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10.xml"/>
  <Override ContentType="application/vnd.openxmlformats-officedocument.spreadsheetml.externalLink+xml" PartName="/xl/externalLinks/externalLink11.xml"/>
  <Override ContentType="application/vnd.openxmlformats-officedocument.spreadsheetml.externalLink+xml" PartName="/xl/externalLinks/externalLink12.xml"/>
  <Override ContentType="application/vnd.openxmlformats-officedocument.spreadsheetml.externalLink+xml" PartName="/xl/externalLinks/externalLink13.xml"/>
  <Override ContentType="application/vnd.openxmlformats-officedocument.spreadsheetml.externalLink+xml" PartName="/xl/externalLinks/externalLink14.xml"/>
  <Override ContentType="application/vnd.openxmlformats-officedocument.spreadsheetml.externalLink+xml" PartName="/xl/externalLinks/externalLink15.xml"/>
  <Override ContentType="application/vnd.openxmlformats-officedocument.spreadsheetml.externalLink+xml" PartName="/xl/externalLinks/externalLink16.xml"/>
  <Override ContentType="application/vnd.openxmlformats-officedocument.spreadsheetml.externalLink+xml" PartName="/xl/externalLinks/externalLink17.xml"/>
  <Override ContentType="application/vnd.openxmlformats-officedocument.spreadsheetml.externalLink+xml" PartName="/xl/externalLinks/externalLink18.xml"/>
  <Override ContentType="application/vnd.openxmlformats-officedocument.spreadsheetml.externalLink+xml" PartName="/xl/externalLinks/externalLink19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20.xml"/>
  <Override ContentType="application/vnd.openxmlformats-officedocument.spreadsheetml.externalLink+xml" PartName="/xl/externalLinks/externalLink21.xml"/>
  <Override ContentType="application/vnd.openxmlformats-officedocument.spreadsheetml.externalLink+xml" PartName="/xl/externalLinks/externalLink22.xml"/>
  <Override ContentType="application/vnd.openxmlformats-officedocument.spreadsheetml.externalLink+xml" PartName="/xl/externalLinks/externalLink23.xml"/>
  <Override ContentType="application/vnd.openxmlformats-officedocument.spreadsheetml.externalLink+xml" PartName="/xl/externalLinks/externalLink24.xml"/>
  <Override ContentType="application/vnd.openxmlformats-officedocument.spreadsheetml.externalLink+xml" PartName="/xl/externalLinks/externalLink25.xml"/>
  <Override ContentType="application/vnd.openxmlformats-officedocument.spreadsheetml.externalLink+xml" PartName="/xl/externalLinks/externalLink26.xml"/>
  <Override ContentType="application/vnd.openxmlformats-officedocument.spreadsheetml.externalLink+xml" PartName="/xl/externalLinks/externalLink27.xml"/>
  <Override ContentType="application/vnd.openxmlformats-officedocument.spreadsheetml.externalLink+xml" PartName="/xl/externalLinks/externalLink28.xml"/>
  <Override ContentType="application/vnd.openxmlformats-officedocument.spreadsheetml.externalLink+xml" PartName="/xl/externalLinks/externalLink29.xml"/>
  <Override ContentType="application/vnd.openxmlformats-officedocument.spreadsheetml.externalLink+xml" PartName="/xl/externalLinks/externalLink3.xml"/>
  <Override ContentType="application/vnd.openxmlformats-officedocument.spreadsheetml.externalLink+xml" PartName="/xl/externalLinks/externalLink30.xml"/>
  <Override ContentType="application/vnd.openxmlformats-officedocument.spreadsheetml.externalLink+xml" PartName="/xl/externalLinks/externalLink4.xml"/>
  <Override ContentType="application/vnd.openxmlformats-officedocument.spreadsheetml.externalLink+xml" PartName="/xl/externalLinks/externalLink5.xml"/>
  <Override ContentType="application/vnd.openxmlformats-officedocument.spreadsheetml.externalLink+xml" PartName="/xl/externalLinks/externalLink6.xml"/>
  <Override ContentType="application/vnd.openxmlformats-officedocument.spreadsheetml.externalLink+xml" PartName="/xl/externalLinks/externalLink7.xml"/>
  <Override ContentType="application/vnd.openxmlformats-officedocument.spreadsheetml.externalLink+xml" PartName="/xl/externalLinks/externalLink8.xml"/>
  <Override ContentType="application/vnd.openxmlformats-officedocument.spreadsheetml.externalLink+xml" PartName="/xl/externalLinks/externalLink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10" windowWidth="19035" windowHeight="11355" tabRatio="858"/>
  </bookViews>
  <sheets>
    <sheet name="ImportantDisclosures" sheetId="27" r:id="rId1"/>
    <sheet name="Model" sheetId="1" r:id="rId2"/>
    <sheet name="MW-Cache" sheetId="19" state="veryHidden" r:id="rId3"/>
    <sheet name="Financial Summary" sheetId="4" r:id="rId4"/>
    <sheet name="Valuation" sheetId="7" r:id="rId5"/>
    <sheet name="IndexInformation" sheetId="28" r:id="rId6"/>
    <sheet name="ModPubIndex" sheetId="29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</externalReferences>
  <definedNames>
    <definedName name="__FDS_HYPERLINK_TOGGLE_STATE__" hidden="1">"ON"</definedName>
    <definedName name="__FDS_UNIQUE_RANGE_ID_GENERATOR_COUNTER" hidden="1">1</definedName>
    <definedName name="_1__123Graph_ACHART_10" hidden="1">[1]Monthly!$B$263:$H$263</definedName>
    <definedName name="_1__FDSAUDITLINK__" hidden="1">{"fdsup://directions/FAT Viewer?action=UPDATE&amp;creator=factset&amp;DYN_ARGS=TRUE&amp;DOC_NAME=FAT:FQL_AUDITING_CLIENT_TEMPLATE.FAT&amp;display_string=Audit&amp;VAR:KEY=FSTGTATODY&amp;VAR:QUERY=RkZfRU5UUlBSX1ZBTF9EQUlMWShOT1csLCwsLCdESUwnKQ==&amp;WINDOW=FIRST_POPUP&amp;HEIGHT=450&amp;WIDTH=","450&amp;START_MAXIMIZED=FALSE&amp;VAR:CALENDAR=FIVEDAY&amp;VAR:SYMBOL=696462&amp;VAR:INDEX=0"}</definedName>
    <definedName name="_10__123Graph_ACHART_8" hidden="1">[1]Monthly!$B$237:$H$237</definedName>
    <definedName name="_11__123Graph_ACHART_9" hidden="1">[1]Monthly!$B$239:$H$239</definedName>
    <definedName name="_13__123Graph_Aｸﾞﾗﾌ_1" hidden="1">[2]ｾｸﾞﾒﾝﾄ!$E$164:$I$164</definedName>
    <definedName name="_14__123Graph_Aｸﾞﾗﾌ_2" hidden="1">[2]単独!$AR$14:$AR$18</definedName>
    <definedName name="_18__123Graph_BCHART_3" hidden="1">[1]Monthly!$B$78:$C$78</definedName>
    <definedName name="_19__123Graph_BCHART_4" hidden="1">[1]Monthly!$B$78:$C$78</definedName>
    <definedName name="_2__123Graph_ACHART_12" hidden="1">[1]Monthly!$B$315:$H$315</definedName>
    <definedName name="_2__123Graph_Aｸﾞﾗﾌ_1" hidden="1">[2]ｾｸﾞﾒﾝﾄ!$E$164:$I$164</definedName>
    <definedName name="_2__FDSAUDITLINK__" hidden="1">{"fdsup://directions/FAT Viewer?action=UPDATE&amp;creator=factset&amp;DYN_ARGS=TRUE&amp;DOC_NAME=FAT:FQL_AUDITING_CLIENT_TEMPLATE.FAT&amp;display_string=Audit&amp;VAR:KEY=TIZYHKLCDA&amp;VAR:QUERY=RkZfRU5UUlBSX1ZBTF9EQUlMWShOT1csLCwsLCdESUwnKQ==&amp;WINDOW=FIRST_POPUP&amp;HEIGHT=450&amp;WIDTH=","450&amp;START_MAXIMIZED=FALSE&amp;VAR:CALENDAR=FIVEDAY&amp;VAR:SYMBOL=654329&amp;VAR:INDEX=0"}</definedName>
    <definedName name="_20__123Graph_BCHART_5" hidden="1">[1]Monthly!$B$150:$D$150</definedName>
    <definedName name="_21__123Graph_BCHART_8" hidden="1">[1]Monthly!$B$238:$H$238</definedName>
    <definedName name="_22__123Graph_BCHART_9" hidden="1">[1]Monthly!$B$240:$H$240</definedName>
    <definedName name="_23__123Graph_Bｸﾞﾗﾌ_1" hidden="1">[2]ｾｸﾞﾒﾝﾄ!$E$165:$I$165</definedName>
    <definedName name="_25__123Graph_CCHART_5" hidden="1">[1]Monthly!$B$151:$D$151</definedName>
    <definedName name="_27__123Graph_DCHART_6" hidden="1">[1]Monthly!$B$176:$D$176</definedName>
    <definedName name="_28__123Graph_Dｸﾞﾗﾌ_1" hidden="1">[2]ｾｸﾞﾒﾝﾄ!$E$167:$I$167</definedName>
    <definedName name="_3__123Graph_Aｸﾞﾗﾌ_2" hidden="1">[2]単独!$AR$14:$AR$18</definedName>
    <definedName name="_30__123Graph_ECHART_5" hidden="1">[1]Monthly!$B$152:$D$152</definedName>
    <definedName name="_31__123Graph_FCHART_5" hidden="1">[1]Monthly!$B$153:$D$153</definedName>
    <definedName name="_32__123Graph_XCHART_12" hidden="1">[1]Monthly!$B$310:$H$310</definedName>
    <definedName name="_35__123Graph_XCHART_2" hidden="1">[1]Monthly!$B$77:$C$77</definedName>
    <definedName name="_36__123Graph_XCHART_3" hidden="1">[1]Monthly!$B$77:$C$77</definedName>
    <definedName name="_37__123Graph_XCHART_5" hidden="1">[1]Monthly!$B$140:$D$140</definedName>
    <definedName name="_4__123Graph_Bｸﾞﾗﾌ_1" hidden="1">[2]ｾｸﾞﾒﾝﾄ!$E$165:$I$165</definedName>
    <definedName name="_5__123Graph_Dｸﾞﾗﾌ_1" hidden="1">[2]ｾｸﾞﾒﾝﾄ!$E$167:$I$167</definedName>
    <definedName name="_6__123Graph_ACHART_2" hidden="1">[1]Monthly!$B$79:$C$79</definedName>
    <definedName name="_7__123Graph_ACHART_3" hidden="1">[1]Monthly!$B$80:$C$80</definedName>
    <definedName name="_8__123Graph_ACHART_4" hidden="1">[1]Monthly!$B$81:$C$81</definedName>
    <definedName name="_9__123Graph_ACHART_5" hidden="1">[1]Monthly!$B$149:$D$149</definedName>
    <definedName name="_bdm.1C9F4F05540F4587878F435C82D584EC.edm" hidden="1">[3]WACC!$A:$IV</definedName>
    <definedName name="_bdm.1CE7F3CF08794069BF458AF0FE8D4B17.edm" hidden="1">[3]Six_Drivers!$A:$IV</definedName>
    <definedName name="_bdm.1D2EA13A95004FA59D3584CE848DFF60.edm" hidden="1">[4]Inputs!$A:$IV</definedName>
    <definedName name="_bdm.1DB7D25DAB0746B08E60FE2D9BB60F97.edm" hidden="1">[5]Graphs!$A:$IV</definedName>
    <definedName name="_bdm.21F7475AFDD441BFAD9553BCD60543C5.edm" hidden="1">[6]Six_Drivers!$A:$IV</definedName>
    <definedName name="_bdm.2FE296D58D26445E8ECF445AA4112D75.edm" hidden="1">'[6]MWA RR'!$A:$IV</definedName>
    <definedName name="_bdm.3BF0EE3919814DDDADF71274BE7E7F31.edm" hidden="1">[7]AsiaPacific!$A:$IV</definedName>
    <definedName name="_bdm.3E5AFCA9283E41849CB5AD1EA9CD3474.edm" hidden="1">[8]Interim!$A:$IV</definedName>
    <definedName name="_bdm.3E615BB464164980A810690E4EB771F8.edm" hidden="1">'[3]MWA RR'!$A:$IV</definedName>
    <definedName name="_bdm.3F03996E79834F57BB66E35760F515EC.edm" hidden="1">[7]Interim!$A:$IV</definedName>
    <definedName name="_bdm.4175EFCD1D5542939999C9F013034BB1.edm" hidden="1">'[9]Financial Tables'!$A:$IV</definedName>
    <definedName name="_bdm.42F67CCC3C1C45638B5EC98256E90947.edm" hidden="1">'[10]Good 12-00 (2)'!$A:$IV</definedName>
    <definedName name="_bdm.43638210427645BAB30EA9D2277EA779.edm" hidden="1">[11]Charts!$A:$IV</definedName>
    <definedName name="_bdm.46D56600DB7840728F138544F8E425DB.edm" hidden="1">'[10]Good 11-36'!$A:$IV</definedName>
    <definedName name="_bdm.4902A7DE87A9412EB93B5EE43CE50A42.edm" hidden="1">[6]Bonikro!$A:$IV</definedName>
    <definedName name="_bdm.49F5D197A2DA4814B3D29F94419B45BA.edm" hidden="1">'[12]AWC Summary'!$A:$IV</definedName>
    <definedName name="_bdm.4A14FE347AD14917B6C53FAAC0186098.edm" hidden="1">'[5]Reserves-Resources'!$A:$IV</definedName>
    <definedName name="_bdm.5552701CB1BD4E68B07245DB9A63DCF4.edm" hidden="1">'[13]Financial summary page'!$A:$IV</definedName>
    <definedName name="_bdm.59CB742B723C4C6D981C7D53BD96C40D.edm" hidden="1">'[4]Financial Tables (MSSB)'!$A:$IV</definedName>
    <definedName name="_bdm.5B835FD4928544199E09F3E6AC3C459E.edm" hidden="1">'[3]X-Check'!$A:$IV</definedName>
    <definedName name="_bdm.5EB07942607B407985C68AA2B11D022B.edm" hidden="1">[14]Chart!$A:$IV</definedName>
    <definedName name="_bdm.60A1016E4A5045B0B4BE42FB21AAF6D6.edm" hidden="1">'[10]Good 11-50'!$A:$IV</definedName>
    <definedName name="_bdm.6903276E172649908E6029DD1A3AFDE1.edm" hidden="1">'[15]Financial Tables (MSSB)'!$A:$IV</definedName>
    <definedName name="_bdm.71581A047AC349F484C660F0BA88F337.edm" hidden="1">'[9]TOX IBES Prospective'!$A:$IV</definedName>
    <definedName name="_bdm.72255E7B7A044E80A13C3873EBE447EA.edm" hidden="1">'[12]Fin Charts'!$A:$IV</definedName>
    <definedName name="_bdm.727E496DB5524C8A88A2C66E9BDE856D.edm" hidden="1">'[16]MWA RR'!$A:$IV</definedName>
    <definedName name="_bdm.7292A65AD15944AF8090B26D662E0550.edm" hidden="1">'[4]MND IBES Prospective'!$A:$IV</definedName>
    <definedName name="_bdm.743C89D5D9EC4174AAD21CB5CB5D1147.edm" hidden="1">'[3]Ops Charts'!$A:$IV</definedName>
    <definedName name="_bdm.76F65B7F9C2947BE8AD07672DA724355.edm" hidden="1">'[8]Earnings and Valuation changes'!$A:$IV</definedName>
    <definedName name="_bdm.7C865DDA9EAF4ADAA3732FB08051F83A.edm" hidden="1">'[6]NCM Summary'!$A:$IV</definedName>
    <definedName name="_bdm.7DF1B88BA9ED43B7BF1C2AF6DCE72993.edm" hidden="1">'[4]Valuation Summary'!$A:$IV</definedName>
    <definedName name="_bdm.7EDCDF42814F4D519EE7C990BB11255C.edm" hidden="1">[4]Sheet2!$A:$IV</definedName>
    <definedName name="_bdm.87520364CDF94FF7A67B1AB8ED08CB40.edm" hidden="1">'[16]Financial Tables'!$A:$IV</definedName>
    <definedName name="_bdm.8FE31D40D9DD44D6B1DE110762F6CEF4.edm" hidden="1">[4]Charts!$A:$IV</definedName>
    <definedName name="_bdm.91489D0FD69746109435F3E7E1A9D28C.edm" hidden="1">'[4]Financial Tables'!$A:$IV</definedName>
    <definedName name="_bdm.972890B33FDE48C7B74AE06C50F0F354.edm" hidden="1">'[17]China Spot HRC - CC Analysis'!$A:$IV</definedName>
    <definedName name="_bdm.9B9E315DDFDC4AB090A3F67068BF4499.edm" hidden="1">[18]Charts!$A:$IV</definedName>
    <definedName name="_bdm.A1F504BAB29B4459BDA7122BAD59CF95.edm" hidden="1">[6]Inputs!$A:$IV</definedName>
    <definedName name="_bdm.A298D939FB1E4234B57F3D82426C2AFB.edm" hidden="1">'[3]Eucla-Perth'!$A:$IV</definedName>
    <definedName name="_bdm.BD2F0FD1033345029FE07E4B8C167998.edm" hidden="1">[14]BOF!$A:$IV</definedName>
    <definedName name="_bdm.BEF2D3C0FD4F4DB69DF414650A1A80C9.edm" hidden="1">'[16]Valuation Summary'!$A:$IV</definedName>
    <definedName name="_bdm.C7C6FBA36F39444B8BCEC128D5B7F931.edm" hidden="1">'[10]Sheet3 (5)'!$A:$IV</definedName>
    <definedName name="_bdm.CBEA1B9A22F24A9D9E6DC3654F66EED1.edm" hidden="1">[13]Charts!$A:$IV</definedName>
    <definedName name="_bdm.D51AED0C009142A081B57E05353907F3.edm" hidden="1">'[19]Risk-Reward_View_Chart'!$A:$IV</definedName>
    <definedName name="_bdm.D8E4DDF8B0344CEAA152FD71ADC7ED15.edm" hidden="1">'[9]DCF Table for Note'!$A:$IV</definedName>
    <definedName name="_bdm.D9AD2EAB8972477D958FD1EAC12D1682.edm" hidden="1">[5]Sensitivity!$A:$IV</definedName>
    <definedName name="_bdm.E12BA4B765F340268599D32AE05DCF2A.edm" hidden="1">'[20]Charts Tables'!$A:$IV</definedName>
    <definedName name="_bdm.E52579A7B5634B9FA587B5AA0283DAE3.edm" hidden="1">'[3]ILU Summary'!$A:$IV</definedName>
    <definedName name="_bdm.E59E169B89454283AD2A93C5592FA149.edm" hidden="1">[14]EAF!$A:$IV</definedName>
    <definedName name="_bdm.E79E0987BE91458EAE53DBC1E26B3189.edm" hidden="1">'[4]Charts for Initiation'!$A:$IV</definedName>
    <definedName name="_bdm.F09048D446B94326863D8F45B2A4BB08.edm" hidden="1">[21]Summary!$A:$IV</definedName>
    <definedName name="_bdm.F0C309CADD124E68A5269A9A524F3CAA.edm" hidden="1">[6]Lihir!$A:$IV</definedName>
    <definedName name="_bdm.FB8C649CE7AB428A916F3D51E0659ED4.edm" hidden="1">'[21]Earnings and Valuation changes'!$A:$IV</definedName>
    <definedName name="_Key1" hidden="1">[2]単独!$U$1</definedName>
    <definedName name="_Order1" hidden="1">255</definedName>
    <definedName name="_Order2" hidden="1">0</definedName>
    <definedName name="_RiskRewardChart">'[22]Risk-Reward_View_Chart'!$A$1:$J$21</definedName>
    <definedName name="_Sort" hidden="1">[2]単独!$A$512:$AC$552</definedName>
    <definedName name="abc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ctual" hidden="1">{#N/A,#N/A,TRUE,"Historicals";#N/A,#N/A,TRUE,"Charts";#N/A,#N/A,TRUE,"Forecasts"}</definedName>
    <definedName name="AdditionalInstructions">IndexInformation!$B$42</definedName>
    <definedName name="Address" localSheetId="0">ImportantDisclosures!$A$2:$A$2</definedName>
    <definedName name="ANA" localSheetId="6">ModPubIndex!$A$7</definedName>
    <definedName name="Authors" localSheetId="0">ImportantDisclosures!$A$7</definedName>
    <definedName name="Authors" localSheetId="5">IndexInformation!$B$18</definedName>
    <definedName name="balance_date">[23]Prices!$C$9</definedName>
    <definedName name="BRO" localSheetId="6">ModPubIndex!$A$1</definedName>
    <definedName name="CF_OtherFinancingCashFlows">'[16]Cash Flow Statement'!$A$90:$IV$90</definedName>
    <definedName name="Code_1Q00_p">[24]production!$H$2</definedName>
    <definedName name="Code_1Q01_p">[24]production!$M$2</definedName>
    <definedName name="Code_1Q02_p">[24]production!$R$2</definedName>
    <definedName name="Code_1Q03_p">[24]production!$W$2</definedName>
    <definedName name="Code_1Q04_p">[24]production!$AB$2</definedName>
    <definedName name="Code_1Q05_p">[24]production!$AG$2</definedName>
    <definedName name="Code_1Q06_p">[24]production!$AL$2</definedName>
    <definedName name="Code_1Q07_p">[24]production!$AQ$2</definedName>
    <definedName name="Code_1Q99_p">[24]production!$C$2</definedName>
    <definedName name="Code_1Year">[25]!code_yearnow-1</definedName>
    <definedName name="Code_2Q00_p">[24]production!$I$2</definedName>
    <definedName name="Code_2Q01_p">[24]production!$N$2</definedName>
    <definedName name="Code_2Q02_p">[24]production!$S$2</definedName>
    <definedName name="Code_2Q03_p">[24]production!$X$2</definedName>
    <definedName name="Code_2Q04_p">[24]production!$AC$2</definedName>
    <definedName name="Code_2Q05_p">[24]production!$AH$2</definedName>
    <definedName name="Code_2Q06_p">[24]production!$AM$2</definedName>
    <definedName name="Code_2Q07_p">[24]production!$AR$2</definedName>
    <definedName name="Code_2Q99_p">[24]production!$D$2</definedName>
    <definedName name="Code_3Q00_p">[24]production!$J$2</definedName>
    <definedName name="Code_3Q01_p">[24]production!$O$2</definedName>
    <definedName name="Code_3Q02_p">[24]production!$T$2</definedName>
    <definedName name="Code_3Q03_p">[24]production!$Y$2</definedName>
    <definedName name="Code_3Q04_p">[24]production!$AD$2</definedName>
    <definedName name="Code_3Q05_p">[24]production!$AI$2</definedName>
    <definedName name="Code_3Q06_p">[24]production!$AN$2</definedName>
    <definedName name="Code_3Q07_p">[24]production!$AS$2</definedName>
    <definedName name="Code_3Q99_p">[24]production!$E$2</definedName>
    <definedName name="Code_4Q00_p">[24]production!$K$2</definedName>
    <definedName name="Code_4Q01_p">[24]production!$P$2</definedName>
    <definedName name="Code_4Q02_p">[24]production!$U$2</definedName>
    <definedName name="Code_4Q03_p">[24]production!$Z$2</definedName>
    <definedName name="Code_4Q04_p">[24]production!$AE$2</definedName>
    <definedName name="Code_4Q05_p">[24]production!$AJ$2</definedName>
    <definedName name="Code_4Q06_p">[24]production!$AO$2</definedName>
    <definedName name="Code_4Q07_p">[24]production!$AT$2</definedName>
    <definedName name="Code_4Q99_p">[24]production!$F$2</definedName>
    <definedName name="Code_CY01_p">[24]production!$Q$2</definedName>
    <definedName name="Code_CY02_p">[24]production!$V$2</definedName>
    <definedName name="Code_CY03_p">[24]production!$AA$2</definedName>
    <definedName name="Code_CY04_p">[24]production!$AF$2</definedName>
    <definedName name="Code_CY05_p">[24]production!$AK$2</definedName>
    <definedName name="Code_CY06_p">[24]production!$AP$2</definedName>
    <definedName name="Code_CY07_p">[24]production!$AU$2</definedName>
    <definedName name="Code_Year1">[25]!code_yearnow+1</definedName>
    <definedName name="Code_Year2">[25]!code_yearnow+2</definedName>
    <definedName name="Code_Year3">[25]!code_yearnow+3</definedName>
    <definedName name="Code_Year4">[25]!code_yearnow+4</definedName>
    <definedName name="CopyrightStamp">ImportantDisclosures!$A$27</definedName>
    <definedName name="COU" localSheetId="6">ModPubIndex!$A$5</definedName>
    <definedName name="CQEnd" localSheetId="5">IndexInformation!$B$31</definedName>
    <definedName name="Curr_WACC">'[23]BDT Input'!$G$31</definedName>
    <definedName name="Currency" localSheetId="5">IndexInformation!$B$24</definedName>
    <definedName name="CurrentStockPrice" localSheetId="5">IndexInformation!$B$23</definedName>
    <definedName name="CurrQtrEPS" localSheetId="5">IndexInformation!$B$29</definedName>
    <definedName name="CurrYearEPS" localSheetId="5">IndexInformation!$B$11</definedName>
    <definedName name="CurrYearTotalRevenue" localSheetId="5">IndexInformation!$B$10</definedName>
    <definedName name="CurrYearTotalRevenueActual" localSheetId="5">IndexInformation!$B$32</definedName>
    <definedName name="CUSIP" localSheetId="5">IndexInformation!$B$20</definedName>
    <definedName name="CYEnd" localSheetId="5">IndexInformation!$B$30</definedName>
    <definedName name="Date" localSheetId="0">ImportantDisclosures!$A$8</definedName>
    <definedName name="Deleted" localSheetId="5">IndexInformation!$B$27</definedName>
    <definedName name="DepExp">[26]Assets!$A$28:$IV$28</definedName>
    <definedName name="Description" localSheetId="5">IndexInformation!$B$7</definedName>
    <definedName name="Discipline" localSheetId="5">IndexInformation!$B$3</definedName>
    <definedName name="DISCIPLINE" localSheetId="6">ModPubIndex!$A$12</definedName>
    <definedName name="DisclosuresText">ImportantDisclosures!$A$22</definedName>
    <definedName name="Distribution" localSheetId="5">IndexInformation!$B$26</definedName>
    <definedName name="DistTable" localSheetId="0">ImportantDisclosures!#REF!</definedName>
    <definedName name="DistTablePreamble" localSheetId="0">ImportantDisclosures!#REF!</definedName>
    <definedName name="DOCDAT" localSheetId="6">ModPubIndex!$A$2</definedName>
    <definedName name="DOCTIME" localSheetId="6">ModPubIndex!$A$3</definedName>
    <definedName name="DocType" localSheetId="5">IndexInformation!$B$5</definedName>
    <definedName name="ds">'[27]BDT Input'!$AZ$318</definedName>
    <definedName name="EMAIL_ALERT" localSheetId="6">ModPubIndex!$A$10</definedName>
    <definedName name="EmailAlert" localSheetId="5">IndexInformation!$B$28</definedName>
    <definedName name="emh_tax">0.36</definedName>
    <definedName name="ｆ" hidden="1">"iQShowAnnual"</definedName>
    <definedName name="FC_Absolute">[4]Inputs!$B$19</definedName>
    <definedName name="FC_Date">[4]Inputs!$B$21</definedName>
    <definedName name="FC_Relative">[4]Inputs!$B$20</definedName>
    <definedName name="FiveYearGrowthRate" localSheetId="5">IndexInformation!$B$16</definedName>
    <definedName name="FollowingYearEPS" localSheetId="5">IndexInformation!$B$15</definedName>
    <definedName name="FollowingYearTotalRevenue" localSheetId="5">IndexInformation!$B$14</definedName>
    <definedName name="FollowingYearTotalRevenueActual" localSheetId="5">IndexInformation!$B$34</definedName>
    <definedName name="FullYear1998_Segment">'[16]Segment Reporting'!$U$1:$U$65536</definedName>
    <definedName name="FullYear1999_Segment">'[16]Segment Reporting'!$X$1:$X$65536</definedName>
    <definedName name="FullYear2000_Segment">'[16]Segment Reporting'!$AA$1:$AA$65536</definedName>
    <definedName name="FullYear2001_Segment">'[16]Segment Reporting'!$AD$1:$AD$65536</definedName>
    <definedName name="FullYear2002_Segment">'[16]Segment Reporting'!$AG$1:$AG$65536</definedName>
    <definedName name="FullYear2003_Segment">'[16]Segment Reporting'!$AJ$1:$AJ$65536</definedName>
    <definedName name="FullYear2004_Segment">'[16]Segment Reporting'!$AM$1:$AM$65536</definedName>
    <definedName name="FullYear2005_Segment">'[16]Segment Reporting'!$AS$1:$AS$65536</definedName>
    <definedName name="FullYear2006_Segment">'[16]Segment Reporting'!$AV$1:$AV$65536</definedName>
    <definedName name="FullYear2007_Segment">'[16]Segment Reporting'!$AY$1:$AY$65536</definedName>
    <definedName name="FullYear2008_Segment">'[16]Segment Reporting'!$BB$1:$BB$65536</definedName>
    <definedName name="FullYear2009_Segment">'[16]Segment Reporting'!$BE$1:$BE$65536</definedName>
    <definedName name="FullYear2010_Segment">'[16]Segment Reporting'!$BK$1:$BK$65536</definedName>
    <definedName name="FullYear2011_Segment">'[16]Segment Reporting'!$BN$1:$BN$65536</definedName>
    <definedName name="FullYear2012_Segment">'[16]Segment Reporting'!$BQ$1:$BQ$65536</definedName>
    <definedName name="FullYear2013_Segment">'[16]Segment Reporting'!$BT$1:$BT$65536</definedName>
    <definedName name="FullYear2014_Segment">'[16]Segment Reporting'!$BW$1:$BW$65536</definedName>
    <definedName name="FullYear2015_Segment">'[16]Segment Reporting'!$BZ$1:$BZ$65536</definedName>
    <definedName name="Gold">31.104</definedName>
    <definedName name="gr_per_oz">[6]WACC!$F$3</definedName>
    <definedName name="HL" localSheetId="6">ModPubIndex!$A$8</definedName>
    <definedName name="hyti71">[24]production!$A$11:$IV$11</definedName>
    <definedName name="hyti91">[24]production!$A$10:$IV$10</definedName>
    <definedName name="ilmenite">[24]production!$A$7:$IV$7</definedName>
    <definedName name="Ilmenite_crl">[24]production!$A$35:$IV$35</definedName>
    <definedName name="ilmenite_gc">[24]production!$A$45:$IV$45</definedName>
    <definedName name="Ilmenite_MSCY">[24]production!$A$17:$IV$17</definedName>
    <definedName name="ilmenite_oh">[24]production!$A$48:$IV$48</definedName>
    <definedName name="Img_Charts" hidden="1">"IMG_10"</definedName>
    <definedName name="Img_ML_1c3d1n6n" hidden="1">"IMG_10"</definedName>
    <definedName name="Img_ML_1e1k9n5y" hidden="1">"IMG_10"</definedName>
    <definedName name="Img_ML_1t5s6u1f" hidden="1">"IMG_10"</definedName>
    <definedName name="Img_ML_1y7a6c1t" hidden="1">"IMG_5"</definedName>
    <definedName name="Img_ML_2j1p7k4i" hidden="1">"IMG_56"</definedName>
    <definedName name="Img_ML_2j4h5d5y" hidden="1">"IMG_5"</definedName>
    <definedName name="Img_ML_2m9t4m5q" hidden="1">"IMG_10"</definedName>
    <definedName name="Img_ML_2v6s9i5c" hidden="1">"IMG_5"</definedName>
    <definedName name="Img_ML_2x1b8j5c" hidden="1">"IMG_10"</definedName>
    <definedName name="Img_ML_2x8r4a2e" hidden="1">"IMG_10"</definedName>
    <definedName name="Img_ML_3b3j3x9k" hidden="1">"IMG_6"</definedName>
    <definedName name="Img_ML_3b5m6a3d" hidden="1">"IMG_6"</definedName>
    <definedName name="Img_ML_3c7g1a7g" hidden="1">"IMG_11"</definedName>
    <definedName name="Img_ML_3e2q4k7i" hidden="1">"IMG_10"</definedName>
    <definedName name="Img_ML_3g2u6j4p" hidden="1">"IMG_10"</definedName>
    <definedName name="Img_ML_3h2n3p4v" hidden="1">"IMG_10"</definedName>
    <definedName name="Img_ML_3p5d9q5j" hidden="1">"IMG_10"</definedName>
    <definedName name="Img_ML_3y1j4m2m" hidden="1">"IMG_5"</definedName>
    <definedName name="Img_ML_4b5r5k9y" hidden="1">"IMG_10"</definedName>
    <definedName name="Img_ML_4k8k7q4x" hidden="1">"IMG_10"</definedName>
    <definedName name="Img_ML_4m3p5r8j" hidden="1">"IMG_10"</definedName>
    <definedName name="Img_ML_4u3z1k5l" hidden="1">"IMG_10"</definedName>
    <definedName name="Img_ML_5d3i8b5s" hidden="1">"IMG_10"</definedName>
    <definedName name="Img_ML_5e7s6t2u" hidden="1">"IMG_10"</definedName>
    <definedName name="Img_ML_5e9i9i2b" hidden="1">"IMG_10"</definedName>
    <definedName name="Img_ML_5f9d1i5x" hidden="1">"IMG_10"</definedName>
    <definedName name="Img_ML_5h6q3g8u" hidden="1">"IMG_10"</definedName>
    <definedName name="Img_ML_5k1g6v5e" hidden="1">"IMG_10"</definedName>
    <definedName name="Img_ML_5k7e4n8n" hidden="1">"IMG_11"</definedName>
    <definedName name="Img_ML_6f2p1m9g" hidden="1">"IMG_11"</definedName>
    <definedName name="Img_ML_6k9c9p4d" hidden="1">"IMG_10"</definedName>
    <definedName name="Img_ML_6m3p7m9h" hidden="1">"IMG_10"</definedName>
    <definedName name="Img_ML_6n6c2h1d" hidden="1">"IMG_10"</definedName>
    <definedName name="Img_ML_6p2b6u6k" hidden="1">"IMG_10"</definedName>
    <definedName name="Img_ML_6p3m8v1n" hidden="1">"IMG_10"</definedName>
    <definedName name="Img_ML_6r9u1n9k" hidden="1">"IMG_10"</definedName>
    <definedName name="Img_ML_6y9f7y3n" hidden="1">"IMG_10"</definedName>
    <definedName name="Img_ML_7b3x8f2f" hidden="1">"IMG_10"</definedName>
    <definedName name="Img_ML_7n6h3t1t" hidden="1">"IMG_10"</definedName>
    <definedName name="Img_ML_7w3j1h9t" hidden="1">"IMG_10"</definedName>
    <definedName name="Img_ML_8b9j5t1p" hidden="1">"IMG_10"</definedName>
    <definedName name="Img_ML_8c2q5i2r" hidden="1">"IMG_10"</definedName>
    <definedName name="Img_ML_8h3m3i1m" hidden="1">"IMG_18"</definedName>
    <definedName name="Img_ML_8j3w6p4c" hidden="1">"IMG_10"</definedName>
    <definedName name="Img_ML_8r1k8t4y" hidden="1">"IMG_10"</definedName>
    <definedName name="Img_ML_8s3q3c1i" hidden="1">"IMG_10"</definedName>
    <definedName name="Img_ML_8t3m5u6f" hidden="1">"IMG_10"</definedName>
    <definedName name="Img_ML_9g2r1i7c" hidden="1">"IMG_10"</definedName>
    <definedName name="Img_ML_9g3r6t7h" hidden="1">"IMG_10"</definedName>
    <definedName name="Img_ML_9n1s4m5f" hidden="1">"IMG_18"</definedName>
    <definedName name="Img_ML_9v6s2g1u" hidden="1">"IMG_10"</definedName>
    <definedName name="IND" localSheetId="6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nterestcopy">Model!$G$102:$BR$102</definedName>
    <definedName name="Interestpaste">Model!$G$103:$BR$103</definedName>
    <definedName name="iQShowHideColumns" hidden="1">"iQShowAnnual"</definedName>
    <definedName name="iQShowHideColumns2" hidden="1">"iQShowAll"</definedName>
    <definedName name="KeepVersions" localSheetId="5">IndexInformation!$B$8</definedName>
    <definedName name="LanguageCode">IndexInformation!$B$38</definedName>
    <definedName name="LastCell" localSheetId="0">ImportantDisclosures!$A$22</definedName>
    <definedName name="LastListUpdate">0</definedName>
    <definedName name="LastOpenedWorkSheet">[17]REQUEST_TABLE!$Z$1500</definedName>
    <definedName name="LastRefreshed">[17]REQUEST_TABLE!$M$4</definedName>
    <definedName name="lbs_per_t">[6]WACC!$F$4</definedName>
    <definedName name="Linking_1">Valuation!$B$4:$D$8</definedName>
    <definedName name="Linking_11" xml:space="preserve"> Valuation!$B$15:$F$19</definedName>
    <definedName name="Linking_12">Valuation!$B$15:$F$19</definedName>
    <definedName name="Linking_16">Valuation!$B$4:$D$10</definedName>
    <definedName name="Linking_18">'Financial Summary'!$N$11:$T$19</definedName>
    <definedName name="Linking_19">Valuation!$B$15:$F$21</definedName>
    <definedName name="Linking_5">'Financial Summary'!$A$1:$U$71</definedName>
    <definedName name="Linking_7">Valuation!$B$35:$D$40</definedName>
    <definedName name="Linking_Text_1">[28]Model!$G$641</definedName>
    <definedName name="MacroVersion" localSheetId="5">IndexInformation!$B$1</definedName>
    <definedName name="ML_4k8k7q4x">[13]Charts!$B$3:$F$4</definedName>
    <definedName name="ML_6m3p7m9h">[13]Charts!$B$3:$H$4</definedName>
    <definedName name="ML_7n6h3t1t">[13]DCF!$L$37:$O$39</definedName>
    <definedName name="modelhome">Model!$A$1</definedName>
    <definedName name="ModelPrice" localSheetId="0">ImportantDisclosures!$A$14</definedName>
    <definedName name="monazite">[24]production!$A$13:$IV$13</definedName>
    <definedName name="monazite_MSCY">[24]production!$A$21:$IV$21</definedName>
    <definedName name="Multiplier" localSheetId="5">IndexInformation!$B$35</definedName>
    <definedName name="NextYearEPS" localSheetId="5">IndexInformation!$B$13</definedName>
    <definedName name="NextYearTotalRevenue" localSheetId="5">IndexInformation!$B$12</definedName>
    <definedName name="NextYearTotalRevenueActual" localSheetId="5">IndexInformation!$B$33</definedName>
    <definedName name="ObjectType">IndexInformation!$B$37</definedName>
    <definedName name="oz">31.1035</definedName>
    <definedName name="oz_per_gr">[6]WACC!$F$5</definedName>
    <definedName name="PANA" localSheetId="6">ModPubIndex!$A$11</definedName>
    <definedName name="PathName" localSheetId="5">IndexInformation!$B$25</definedName>
    <definedName name="PBT">'[26]Profit&amp;Loss'!$A$34:$IV$34</definedName>
    <definedName name="pound">2204</definedName>
    <definedName name="_xlnm.Print_Area" localSheetId="1">Model!$A$1:$AS$1483</definedName>
    <definedName name="_xlnm.Print_Area" localSheetId="4">Valuation!$A$1:$Q$129</definedName>
    <definedName name="PRODUCT" localSheetId="6">ModPubIndex!$A$6</definedName>
    <definedName name="PSYM" localSheetId="6">ModPubIndex!$A$4</definedName>
    <definedName name="PublishDate" localSheetId="5">IndexInformation!$B$2</definedName>
    <definedName name="Rating" localSheetId="5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5">IndexInformation!$B$4</definedName>
    <definedName name="RIC" localSheetId="5">IndexInformation!$B$21</definedName>
    <definedName name="rutile_crl">[24]production!$A$34:$IV$34</definedName>
    <definedName name="rutile_gc">[24]production!$A$44:$IV$44</definedName>
    <definedName name="rutile_MSCY">[24]production!$A$16:$IV$16</definedName>
    <definedName name="s">'[29]Base Case'!$A:$IV</definedName>
    <definedName name="SecondHalf1998_BS">'[16]Balance Sheet'!$T$1:$T$65536</definedName>
    <definedName name="SecondHalf1998_CF">'[16]Cash Flow Statement'!$T$1:$T$65536</definedName>
    <definedName name="SecondHalf1998_Segment">'[16]Segment Reporting'!$T$1:$T$65536</definedName>
    <definedName name="SecondHalf1999_BS">'[16]Balance Sheet'!$W$1:$W$65536</definedName>
    <definedName name="SecondHalf1999_CF">'[16]Cash Flow Statement'!$W$1:$W$65536</definedName>
    <definedName name="SecondHalf1999_Segment">'[16]Segment Reporting'!$W$1:$W$65536</definedName>
    <definedName name="SecondHalf2000_BS">'[16]Balance Sheet'!$Z$1:$Z$65536</definedName>
    <definedName name="SecondHalf2000_CF">'[16]Cash Flow Statement'!$Z$1:$Z$65536</definedName>
    <definedName name="SecondHalf2000_Segment">'[16]Segment Reporting'!$Z$1:$Z$65536</definedName>
    <definedName name="SecondHalf2001_BS">'[16]Balance Sheet'!$AC$1:$AC$65536</definedName>
    <definedName name="SecondHalf2001_CF">'[16]Cash Flow Statement'!$AC$1:$AC$65536</definedName>
    <definedName name="SecondHalf2001_Segment">'[16]Segment Reporting'!$AC$1:$AC$65536</definedName>
    <definedName name="SecondHalf2002_BS">'[16]Balance Sheet'!$AF$1:$AF$65536</definedName>
    <definedName name="SecondHalf2002_CF">'[16]Cash Flow Statement'!$AF$1:$AF$65536</definedName>
    <definedName name="SecondHalf2002_Segment">'[16]Segment Reporting'!$AF$1:$AF$65536</definedName>
    <definedName name="SecondHalf2003_BS">'[16]Balance Sheet'!$AI$1:$AI$65536</definedName>
    <definedName name="SecondHalf2003_CF">'[16]Cash Flow Statement'!$AI$1:$AI$65536</definedName>
    <definedName name="SecondHalf2003_Segment">'[16]Segment Reporting'!$AI$1:$AI$65536</definedName>
    <definedName name="SecondHalf2004_BS">'[16]Balance Sheet'!$AL$1:$AL$65536</definedName>
    <definedName name="SecondHalf2004_CF">'[16]Cash Flow Statement'!$AL$1:$AL$65536</definedName>
    <definedName name="SecondHalf2004_Segment">'[16]Segment Reporting'!$AL$1:$AL$65536</definedName>
    <definedName name="SecondHalf2005_BS">'[16]Balance Sheet'!$AR$1:$AR$65536</definedName>
    <definedName name="SecondHalf2005_CF">'[16]Cash Flow Statement'!$AR$1:$AR$65536</definedName>
    <definedName name="SecondHalf2005_Segment">'[16]Segment Reporting'!$AR$1:$AR$65536</definedName>
    <definedName name="SecondHalf2006_BS">'[16]Balance Sheet'!$AU$1:$AU$65536</definedName>
    <definedName name="SecondHalf2006_CF">'[16]Cash Flow Statement'!$AU$1:$AU$65536</definedName>
    <definedName name="SecondHalf2006_Segment">'[16]Segment Reporting'!$AU$1:$AU$65536</definedName>
    <definedName name="SecondHalf2007_BS">'[16]Balance Sheet'!$AX$1:$AX$65536</definedName>
    <definedName name="SecondHalf2007_CF">'[16]Cash Flow Statement'!$AX$1:$AX$65536</definedName>
    <definedName name="SecondHalf2007_Segment">'[16]Segment Reporting'!$AX$1:$AX$65536</definedName>
    <definedName name="SecondHalf2008_BS">'[16]Balance Sheet'!$BA$1:$BA$65536</definedName>
    <definedName name="SecondHalf2008_CF">'[16]Cash Flow Statement'!$BA$1:$BA$65536</definedName>
    <definedName name="SecondHalf2008_Segment">'[16]Segment Reporting'!$BA$1:$BA$65536</definedName>
    <definedName name="SecondHalf2009_BS">'[16]Balance Sheet'!$BD$1:$BD$65536</definedName>
    <definedName name="SecondHalf2009_CF">'[16]Cash Flow Statement'!$BD$1:$BD$65536</definedName>
    <definedName name="SecondHalf2009_Segment">'[16]Segment Reporting'!$BD$1:$BD$65536</definedName>
    <definedName name="SecondHalf2010_BS">'[16]Balance Sheet'!$BJ$1:$BJ$65536</definedName>
    <definedName name="SecondHalf2010_CF">'[16]Cash Flow Statement'!$BJ$1:$BJ$65536</definedName>
    <definedName name="SecondHalf2010_Segment">'[16]Segment Reporting'!$BJ$1:$BJ$65536</definedName>
    <definedName name="SecondHalf2011_BS">'[16]Balance Sheet'!$BM$1:$BM$65536</definedName>
    <definedName name="SecondHalf2011_CF">'[16]Cash Flow Statement'!$BM$1:$BM$65536</definedName>
    <definedName name="SecondHalf2011_Segment">'[16]Segment Reporting'!$BM$1:$BM$65536</definedName>
    <definedName name="SecondHalf2012_BS">'[16]Balance Sheet'!$BP$1:$BP$65536</definedName>
    <definedName name="SecondHalf2012_CF">'[16]Cash Flow Statement'!$BP$1:$BP$65536</definedName>
    <definedName name="SecondHalf2012_Segment">'[16]Segment Reporting'!$BP$1:$BP$65536</definedName>
    <definedName name="SecondHalf2013_BS">'[16]Balance Sheet'!$BS$1:$BS$65536</definedName>
    <definedName name="SecondHalf2013_CF">'[16]Cash Flow Statement'!$BS$1:$BS$65536</definedName>
    <definedName name="SecondHalf2013_Segment">'[16]Segment Reporting'!$BS$1:$BS$65536</definedName>
    <definedName name="SecondHalf2014_BS">'[16]Balance Sheet'!$BV$1:$BV$65536</definedName>
    <definedName name="SecondHalf2014_CF">'[16]Cash Flow Statement'!$BV$1:$BV$65536</definedName>
    <definedName name="SecondHalf2014_Segment">'[16]Segment Reporting'!$BV$1:$BV$65536</definedName>
    <definedName name="SecondHalf2015_BS">'[16]Balance Sheet'!$BY$1:$BY$65536</definedName>
    <definedName name="SecondHalf2015_CF">'[16]Cash Flow Statement'!$BY$1:$BY$65536</definedName>
    <definedName name="SecondHalf2015_Segment">'[16]Segment Reporting'!$BY$1:$BY$65536</definedName>
    <definedName name="SECSettlement" localSheetId="0">ImportantDisclosures!#REF!</definedName>
    <definedName name="SEDOL" localSheetId="5">IndexInformation!$B$22</definedName>
    <definedName name="SegmentAssets5">'[16]Segment Reporting'!$A$203:$IV$203</definedName>
    <definedName name="SegmentAssets6">'[16]Segment Reporting'!$A$204:$IV$204</definedName>
    <definedName name="SegmentDescription5">'[16]Segment Reporting'!$A$10:$IV$10</definedName>
    <definedName name="SegmentDescription6">'[16]Segment Reporting'!$A$17:$IV$17</definedName>
    <definedName name="SegmentResult5">'[16]Segment Reporting'!$A$152:$IV$152</definedName>
    <definedName name="SegmentResult6">'[16]Segment Reporting'!$A$153:$IV$153</definedName>
    <definedName name="SegmentResultEliminations">'[16]Segment Reporting'!$A$177:$IV$177</definedName>
    <definedName name="SegmentRevenue5">'[16]Segment Reporting'!$A$69:$IV$69</definedName>
    <definedName name="SegmentRevenue6">'[16]Segment Reporting'!$A$77:$IV$77</definedName>
    <definedName name="SegmentRevenueEliminations">'[16]Segment Reporting'!$A$82:$IV$82</definedName>
    <definedName name="SourceDefined" localSheetId="0">ImportantDisclosures!$A$19</definedName>
    <definedName name="StartPosition">[17]REQUEST_TABLE!$B$6</definedName>
    <definedName name="StockRating" localSheetId="0">ImportantDisclosures!$A$11</definedName>
    <definedName name="SubjectCode" localSheetId="5">IndexInformation!$B$6</definedName>
    <definedName name="SubmitterUserId">IndexInformation!$B$39</definedName>
    <definedName name="SUPPRESSED" localSheetId="6">ModPubIndex!$A$13</definedName>
    <definedName name="synrutile">[24]production!$A$9:$IV$9</definedName>
    <definedName name="Synrutile_MSCY">[24]production!$A$19:$IV$19</definedName>
    <definedName name="t_per_lb">[6]WACC!$F$6</definedName>
    <definedName name="TargetPrice" localSheetId="0">ImportantDisclosures!$A$15</definedName>
    <definedName name="TaxDep">[26]Assets!$A$39:$IV$39</definedName>
    <definedName name="TaxRate">[26]Assumptions!$C$16</definedName>
    <definedName name="TemplateRegion">IndexInformation!$B$36</definedName>
    <definedName name="TemplateVersion">2</definedName>
    <definedName name="textToday">[17]REQUEST_TABLE!$G$3</definedName>
    <definedName name="Ticker" localSheetId="0">ImportantDisclosures!$A$10</definedName>
    <definedName name="TickerRegion">IndexInformation!$B$41</definedName>
    <definedName name="Tickers" localSheetId="5">IndexInformation!$B$19</definedName>
    <definedName name="Today">TODAY()</definedName>
    <definedName name="UpdateReason" localSheetId="5">IndexInformation!$B$17</definedName>
    <definedName name="USRegDisclosures" localSheetId="0">ImportantDisclosures!#REF!</definedName>
    <definedName name="VALID_FORMATS">[17]REQUEST_TABLE!$AD$7:$AE$12</definedName>
    <definedName name="VersionNo">1</definedName>
    <definedName name="WACC">[6]WACC!$C$15</definedName>
    <definedName name="Wacc_discount_rate">[5]Valuation!$F$8</definedName>
    <definedName name="WACC_nominal">[30]Valuation!$C$16</definedName>
    <definedName name="WACC_real">[5]Valuation!$B$17</definedName>
    <definedName name="WriteTemplate_Click">[0]!WriteTemplate_Click</definedName>
    <definedName name="wrn.2._.pagers." hidden="1">{"Cover",#N/A,FALSE,"Cover";"Summary",#N/A,FALSE,"Summarpage"}</definedName>
    <definedName name="wrn.allpages." hidden="1">{#N/A,#N/A,TRUE,"Historicals";#N/A,#N/A,TRUE,"Charts";#N/A,#N/A,TRUE,"Forecasts"}</definedName>
    <definedName name="wrn.Client." hidden="1">{"Full_Year",#N/A,FALSE,"PE1_S";#N/A,#N/A,FALSE,"DIVIS_S"}</definedName>
    <definedName name="wrn.Client_Detailed." hidden="1">{"Full_Year",#N/A,FALSE,"PE1_S";"Full_Year",#N/A,FALSE,"Cashflow_EPS";"Full_Year",#N/A,FALSE,"EBIT_DIV"}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Complete._.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Full_Client." hidden="1">{"Full_Year",#N/A,FALSE,"PE1_S";"Automotive",#N/A,FALSE,"Auto_EBIT";#N/A,#N/A,FALSE,"Industrial_EBIT";#N/A,#N/A,FALSE,"Webforge_EBIT"}</definedName>
    <definedName name="wrn.HM." hidden="1">{#N/A,#N/A,FALSE,"HM"}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  <definedName name="wrn.MOBIL." hidden="1">{"quarter",#N/A,FALSE,"MOB"}</definedName>
    <definedName name="wrn.Pulp." hidden="1">{"Pulp Production",#N/A,FALSE,"Pulp";"Pulp Earnings",#N/A,FALSE,"Pulp"}</definedName>
    <definedName name="wvu.BALANCE._.SHEET." hidden="1">{TRUE,TRUE,-1.25,-15.5,604.5,366.75,FALSE,FALSE,TRUE,TRUE,0,1,21,4,198,1,1,4,TRUE,TRUE,3,TRUE,3,TRUE,75,"Swvu.BALANCE._.SHEET.","ACwvu.BALANCE._.SHEET.",#N/A,FALSE,FALSE,0.393700787401575,0.0393700787401575,0.196850393700787,0.196850393700787,2,"&amp;F","Page &amp;P",FALSE,FALSE,TRUE,TRUE,2,85,#N/A,#N/A,"=R4C1:R379C29",FALSE,#N/A,#N/A,FALSE,FALSE,FALSE,9,65532,65532,FALSE,FALSE,TRUE,TRUE,TRUE}</definedName>
    <definedName name="wvu.CASHFLOW._.1." hidden="1">{TRUE,TRUE,-1.25,-15.5,604.5,366.75,FALSE,FALSE,TRUE,TRUE,0,1,17,4,343,1,1,4,TRUE,TRUE,3,TRUE,3,TRUE,75,"Swvu.CASHFLOW._.1.","ACwvu.CASHFLOW._.1.",#N/A,FALSE,FALSE,0.393700787401575,0.0393700787401575,0.196850393700787,0.196850393700787,2,"&amp;F","Page &amp;P",FALSE,FALSE,TRUE,TRUE,2,85,#N/A,#N/A,"=R4C1:R379C29",FALSE,#N/A,#N/A,FALSE,FALSE,FALSE,9,65532,65532,FALSE,FALSE,TRUE,TRUE,TRUE}</definedName>
    <definedName name="wvu.CASHFLOW._.2." hidden="1">{TRUE,TRUE,-1.25,-15.5,604.5,366.75,FALSE,FALSE,TRUE,TRUE,0,1,16,4,361,1,1,4,TRUE,TRUE,3,TRUE,3,TRUE,75,"Swvu.CASHFLOW._.2.","ACwvu.CASHFLOW._.2.",#N/A,FALSE,FALSE,0.393700787401575,0.0393700787401575,0.196850393700787,0.196850393700787,2,"&amp;F","Page &amp;P",FALSE,FALSE,TRUE,TRUE,2,85,#N/A,#N/A,"=R4C1:R379C29",FALSE,#N/A,#N/A,FALSE,FALSE,FALSE,9,65532,65532,FALSE,FALSE,TRUE,TRUE,TRUE}</definedName>
    <definedName name="wvu.DIVIDENDS." hidden="1">{TRUE,TRUE,-1.25,-15.5,604.5,366.75,FALSE,FALSE,TRUE,TRUE,0,1,19,4,236,1,1,4,TRUE,TRUE,3,TRUE,3,TRUE,75,"Swvu.DIVIDENDS.","ACwvu.DIVIDENDS.",#N/A,FALSE,FALSE,0.393700787401575,0.0393700787401575,0.196850393700787,0.196850393700787,2,"&amp;F","Page &amp;P",FALSE,FALSE,TRUE,TRUE,2,85,#N/A,#N/A,"=R4C1:R379C29",FALSE,#N/A,#N/A,FALSE,FALSE,FALSE,9,65532,65532,FALSE,FALSE,TRUE,TRUE,TRUE}</definedName>
    <definedName name="wvu.INTEREST._.CALCS." hidden="1">{TRUE,TRUE,-1.25,-15.5,604.5,366.75,FALSE,FALSE,TRUE,TRUE,0,1,20,4,375,1,1,4,TRUE,TRUE,3,TRUE,3,TRUE,75,"Swvu.INTEREST._.CALCS.","ACwvu.INTEREST._.CALCS.",#N/A,FALSE,FALSE,0.393700787401575,0.0393700787401575,0.196850393700787,0.196850393700787,2,"&amp;F","Page &amp;P",FALSE,FALSE,TRUE,TRUE,2,85,#N/A,#N/A,"=R4C1:R379C29",FALSE,#N/A,#N/A,FALSE,FALSE,FALSE,9,65532,65532,FALSE,FALSE,TRUE,TRUE,TRUE}</definedName>
    <definedName name="wvu.PROFIT._.AND._.LOSS." hidden="1">{TRUE,TRUE,-1.25,-15.5,604.5,366.75,FALSE,FALSE,TRUE,TRUE,0,1,17,4,117,1,1,4,TRUE,TRUE,3,TRUE,3,TRUE,75,"Swvu.PROFIT._.AND._.LOSS.","ACwvu.PROFIT._.AND._.LOSS.",#N/A,FALSE,FALSE,0.393700787401575,0.0393700787401575,0.196850393700787,0.196850393700787,2,"&amp;F","Page &amp;P",FALSE,FALSE,TRUE,TRUE,2,85,#N/A,#N/A,"=R4C1:R379C29",FALSE,#N/A,#N/A,FALSE,FALSE,FALSE,9,65532,65532,FALSE,FALSE,TRUE,TRUE,TRUE}</definedName>
    <definedName name="wvu.RATIOS." hidden="1">{TRUE,TRUE,-1.25,-15.5,604.5,366.75,FALSE,FALSE,TRUE,TRUE,0,1,18,4,236,1,1,4,TRUE,TRUE,3,TRUE,3,TRUE,75,"Swvu.RATIOS.","ACwvu.RATIOS.",#N/A,FALSE,FALSE,0.393700787401575,0.0393700787401575,0.196850393700787,0.196850393700787,2,"&amp;F","Page &amp;P",FALSE,FALSE,TRUE,TRUE,2,85,#N/A,#N/A,"=R4C1:R379C29",FALSE,#N/A,#N/A,FALSE,FALSE,FALSE,9,65532,65532,FALSE,FALSE,TRUE,TRUE,TRUE}</definedName>
    <definedName name="zircon">[24]production!$A$12:$IV$12</definedName>
    <definedName name="zircon_crl">[24]production!$A$36:$IV$36</definedName>
    <definedName name="zircon_gc">[24]production!$A$46:$IV$46</definedName>
    <definedName name="zircon_MSCY">[24]production!$A$20:$IV$20</definedName>
    <definedName name="zircon_oh">[24]production!$A$49:$IV$49</definedName>
  </definedNames>
  <calcPr calcId="145621" iterate="1"/>
</workbook>
</file>

<file path=xl/calcChain.xml><?xml version="1.0" encoding="utf-8"?>
<calcChain xmlns="http://schemas.openxmlformats.org/spreadsheetml/2006/main">
  <c r="E25" i="7" l="1"/>
  <c r="F37" i="7" l="1"/>
  <c r="E37" i="7"/>
  <c r="AI322" i="1" l="1"/>
  <c r="AE230" i="1" l="1"/>
  <c r="AB230" i="1"/>
  <c r="Y230" i="1"/>
  <c r="V230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T231" i="1"/>
  <c r="AG294" i="1" l="1"/>
  <c r="AJ259" i="1" l="1"/>
  <c r="AI259" i="1"/>
  <c r="AF493" i="1"/>
  <c r="Q52" i="4"/>
  <c r="P52" i="4"/>
  <c r="AG1345" i="1" l="1"/>
  <c r="C49" i="7" l="1"/>
  <c r="AF259" i="1" l="1"/>
  <c r="AF752" i="1"/>
  <c r="AE752" i="1"/>
  <c r="AE751" i="1"/>
  <c r="AD751" i="1"/>
  <c r="AG752" i="1"/>
  <c r="AM99" i="1"/>
  <c r="AG33" i="1"/>
  <c r="AG31" i="1"/>
  <c r="AG45" i="1"/>
  <c r="AG40" i="1"/>
  <c r="AH752" i="1" l="1"/>
  <c r="AG65" i="1"/>
  <c r="AG66" i="1"/>
  <c r="AG682" i="1" l="1"/>
  <c r="AJ682" i="1"/>
  <c r="AI682" i="1"/>
  <c r="AG685" i="1"/>
  <c r="AJ685" i="1" s="1"/>
  <c r="AG91" i="1"/>
  <c r="AG87" i="1" s="1"/>
  <c r="AG88" i="1"/>
  <c r="AG85" i="1"/>
  <c r="AG74" i="1"/>
  <c r="AF1190" i="1"/>
  <c r="AF1188" i="1" s="1"/>
  <c r="AE1344" i="1"/>
  <c r="AD1344" i="1"/>
  <c r="AC1344" i="1"/>
  <c r="L1342" i="1"/>
  <c r="M1342" i="1" s="1"/>
  <c r="K1342" i="1"/>
  <c r="O1342" i="1"/>
  <c r="P1342" i="1" s="1"/>
  <c r="N1342" i="1"/>
  <c r="S1342" i="1"/>
  <c r="R1342" i="1"/>
  <c r="Q1342" i="1"/>
  <c r="V1342" i="1"/>
  <c r="U1342" i="1"/>
  <c r="T1342" i="1"/>
  <c r="X1342" i="1"/>
  <c r="Y1342" i="1" s="1"/>
  <c r="W1342" i="1"/>
  <c r="AA1342" i="1"/>
  <c r="AB1342" i="1" s="1"/>
  <c r="Z1342" i="1"/>
  <c r="AD1342" i="1"/>
  <c r="AC1342" i="1"/>
  <c r="AE1342" i="1" s="1"/>
  <c r="AF1342" i="1"/>
  <c r="BR1344" i="1"/>
  <c r="BQ1344" i="1"/>
  <c r="BP1344" i="1"/>
  <c r="BQ1342" i="1"/>
  <c r="BR1342" i="1" s="1"/>
  <c r="BR1343" i="1" s="1"/>
  <c r="BP1342" i="1"/>
  <c r="BR1338" i="1"/>
  <c r="BQ1338" i="1"/>
  <c r="BP1338" i="1"/>
  <c r="BQ1337" i="1"/>
  <c r="BR1337" i="1" s="1"/>
  <c r="BP1337" i="1"/>
  <c r="BQ1336" i="1"/>
  <c r="BR1336" i="1" s="1"/>
  <c r="BP1336" i="1"/>
  <c r="BP1343" i="1" s="1"/>
  <c r="BO1344" i="1"/>
  <c r="BN1344" i="1"/>
  <c r="BM1344" i="1"/>
  <c r="BO1342" i="1"/>
  <c r="BO1343" i="1" s="1"/>
  <c r="BN1342" i="1"/>
  <c r="BN1343" i="1" s="1"/>
  <c r="BM1342" i="1"/>
  <c r="BN1338" i="1"/>
  <c r="BO1338" i="1" s="1"/>
  <c r="BM1338" i="1"/>
  <c r="BM1343" i="1" s="1"/>
  <c r="BN1337" i="1"/>
  <c r="BO1337" i="1" s="1"/>
  <c r="BM1337" i="1"/>
  <c r="BO1336" i="1"/>
  <c r="BN1336" i="1"/>
  <c r="BM1336" i="1"/>
  <c r="BL1344" i="1"/>
  <c r="BK1344" i="1"/>
  <c r="BJ1344" i="1"/>
  <c r="BK1342" i="1"/>
  <c r="BL1342" i="1" s="1"/>
  <c r="BJ1342" i="1"/>
  <c r="BK1338" i="1"/>
  <c r="BL1338" i="1" s="1"/>
  <c r="BJ1338" i="1"/>
  <c r="BJ1343" i="1" s="1"/>
  <c r="BK1337" i="1"/>
  <c r="BL1337" i="1" s="1"/>
  <c r="BJ1337" i="1"/>
  <c r="BL1336" i="1"/>
  <c r="BK1336" i="1"/>
  <c r="BJ1336" i="1"/>
  <c r="BI1344" i="1"/>
  <c r="BH1344" i="1"/>
  <c r="BG1344" i="1"/>
  <c r="BI1342" i="1"/>
  <c r="BH1342" i="1"/>
  <c r="BH1343" i="1" s="1"/>
  <c r="BG1342" i="1"/>
  <c r="BH1338" i="1"/>
  <c r="BI1338" i="1" s="1"/>
  <c r="BG1338" i="1"/>
  <c r="BG1343" i="1" s="1"/>
  <c r="BH1337" i="1"/>
  <c r="BI1337" i="1" s="1"/>
  <c r="BG1337" i="1"/>
  <c r="BH1336" i="1"/>
  <c r="BG1336" i="1"/>
  <c r="BI1336" i="1" s="1"/>
  <c r="BF1344" i="1"/>
  <c r="BE1344" i="1"/>
  <c r="BD1344" i="1"/>
  <c r="BE1342" i="1"/>
  <c r="BF1342" i="1" s="1"/>
  <c r="BD1342" i="1"/>
  <c r="BF1338" i="1"/>
  <c r="BE1338" i="1"/>
  <c r="BD1338" i="1"/>
  <c r="BE1337" i="1"/>
  <c r="BF1337" i="1" s="1"/>
  <c r="BD1337" i="1"/>
  <c r="BE1336" i="1"/>
  <c r="BF1336" i="1" s="1"/>
  <c r="BD1336" i="1"/>
  <c r="BD1343" i="1" s="1"/>
  <c r="BC1344" i="1"/>
  <c r="BB1344" i="1"/>
  <c r="BA1344" i="1"/>
  <c r="BC1342" i="1"/>
  <c r="BC1343" i="1" s="1"/>
  <c r="BB1342" i="1"/>
  <c r="BB1343" i="1" s="1"/>
  <c r="BA1342" i="1"/>
  <c r="BB1338" i="1"/>
  <c r="BC1338" i="1" s="1"/>
  <c r="BA1338" i="1"/>
  <c r="BA1343" i="1" s="1"/>
  <c r="BB1337" i="1"/>
  <c r="BC1337" i="1" s="1"/>
  <c r="BA1337" i="1"/>
  <c r="BC1336" i="1"/>
  <c r="BB1336" i="1"/>
  <c r="BA1336" i="1"/>
  <c r="AZ1344" i="1"/>
  <c r="AY1344" i="1"/>
  <c r="AX1344" i="1"/>
  <c r="AY1342" i="1"/>
  <c r="AZ1342" i="1" s="1"/>
  <c r="AX1342" i="1"/>
  <c r="AY1338" i="1"/>
  <c r="AZ1338" i="1" s="1"/>
  <c r="AX1338" i="1"/>
  <c r="AX1343" i="1" s="1"/>
  <c r="AY1337" i="1"/>
  <c r="AZ1337" i="1" s="1"/>
  <c r="AX1337" i="1"/>
  <c r="AZ1336" i="1"/>
  <c r="AY1336" i="1"/>
  <c r="AX1336" i="1"/>
  <c r="AW1344" i="1"/>
  <c r="AV1344" i="1"/>
  <c r="AU1344" i="1"/>
  <c r="AV1342" i="1"/>
  <c r="AW1342" i="1" s="1"/>
  <c r="AU1342" i="1"/>
  <c r="AV1338" i="1"/>
  <c r="AW1338" i="1" s="1"/>
  <c r="AU1338" i="1"/>
  <c r="AU1343" i="1" s="1"/>
  <c r="AV1337" i="1"/>
  <c r="AW1337" i="1" s="1"/>
  <c r="AU1337" i="1"/>
  <c r="AW1336" i="1"/>
  <c r="AV1336" i="1"/>
  <c r="AU1336" i="1"/>
  <c r="AT1344" i="1"/>
  <c r="AS1344" i="1"/>
  <c r="AR1344" i="1"/>
  <c r="AS1342" i="1"/>
  <c r="AT1342" i="1" s="1"/>
  <c r="AR1342" i="1"/>
  <c r="AT1338" i="1"/>
  <c r="AS1338" i="1"/>
  <c r="AR1338" i="1"/>
  <c r="AS1337" i="1"/>
  <c r="AT1337" i="1" s="1"/>
  <c r="AR1337" i="1"/>
  <c r="AS1336" i="1"/>
  <c r="AT1336" i="1" s="1"/>
  <c r="AR1336" i="1"/>
  <c r="AR1343" i="1" s="1"/>
  <c r="AQ1344" i="1"/>
  <c r="AP1344" i="1"/>
  <c r="AO1344" i="1"/>
  <c r="AP1342" i="1"/>
  <c r="AQ1342" i="1" s="1"/>
  <c r="AO1342" i="1"/>
  <c r="AQ1338" i="1"/>
  <c r="AP1338" i="1"/>
  <c r="AO1338" i="1"/>
  <c r="AP1337" i="1"/>
  <c r="AQ1337" i="1" s="1"/>
  <c r="AO1337" i="1"/>
  <c r="AP1336" i="1"/>
  <c r="AQ1336" i="1" s="1"/>
  <c r="AO1336" i="1"/>
  <c r="AO1343" i="1" s="1"/>
  <c r="AN1344" i="1"/>
  <c r="AM1344" i="1"/>
  <c r="AL1344" i="1"/>
  <c r="AM1342" i="1"/>
  <c r="AN1342" i="1" s="1"/>
  <c r="AL1342" i="1"/>
  <c r="AL1343" i="1" s="1"/>
  <c r="AM1338" i="1"/>
  <c r="AN1338" i="1" s="1"/>
  <c r="AL1338" i="1"/>
  <c r="AM1337" i="1"/>
  <c r="AN1337" i="1" s="1"/>
  <c r="AL1337" i="1"/>
  <c r="AN1336" i="1"/>
  <c r="AM1336" i="1"/>
  <c r="AL1336" i="1"/>
  <c r="AK1342" i="1"/>
  <c r="AJ1336" i="1"/>
  <c r="AJ1337" i="1"/>
  <c r="AJ1338" i="1"/>
  <c r="AJ1342" i="1"/>
  <c r="AJ1343" i="1" s="1"/>
  <c r="AJ1344" i="1"/>
  <c r="AH1342" i="1"/>
  <c r="AI1344" i="1"/>
  <c r="AI1342" i="1"/>
  <c r="AI1343" i="1" s="1"/>
  <c r="AI1338" i="1"/>
  <c r="AI1337" i="1"/>
  <c r="AI1336" i="1"/>
  <c r="AG1342" i="1"/>
  <c r="AG1344" i="1"/>
  <c r="BQ1365" i="1"/>
  <c r="BP1364" i="1"/>
  <c r="BQ1356" i="1"/>
  <c r="BP1356" i="1"/>
  <c r="BP1365" i="1" s="1"/>
  <c r="BQ1355" i="1"/>
  <c r="BQ1354" i="1" s="1"/>
  <c r="BQ1357" i="1" s="1"/>
  <c r="BQ1358" i="1" s="1"/>
  <c r="BP1355" i="1"/>
  <c r="BP1354" i="1"/>
  <c r="BP1357" i="1" s="1"/>
  <c r="BQ1353" i="1"/>
  <c r="BQ1364" i="1" s="1"/>
  <c r="BP1353" i="1"/>
  <c r="BN1364" i="1"/>
  <c r="BM1364" i="1"/>
  <c r="BN1356" i="1"/>
  <c r="BN1365" i="1" s="1"/>
  <c r="BM1356" i="1"/>
  <c r="BM1365" i="1" s="1"/>
  <c r="BN1355" i="1"/>
  <c r="BM1355" i="1"/>
  <c r="BN1354" i="1"/>
  <c r="BN1357" i="1" s="1"/>
  <c r="BM1354" i="1"/>
  <c r="BM1357" i="1" s="1"/>
  <c r="BN1353" i="1"/>
  <c r="BM1353" i="1"/>
  <c r="BK1365" i="1"/>
  <c r="BK1356" i="1"/>
  <c r="BJ1356" i="1"/>
  <c r="BJ1365" i="1" s="1"/>
  <c r="BK1355" i="1"/>
  <c r="BK1354" i="1" s="1"/>
  <c r="BK1357" i="1" s="1"/>
  <c r="BK1358" i="1" s="1"/>
  <c r="BJ1355" i="1"/>
  <c r="BK1353" i="1"/>
  <c r="BK1364" i="1" s="1"/>
  <c r="BJ1353" i="1"/>
  <c r="BJ1364" i="1" s="1"/>
  <c r="BH1365" i="1"/>
  <c r="BG1364" i="1"/>
  <c r="BH1356" i="1"/>
  <c r="BG1356" i="1"/>
  <c r="BG1365" i="1" s="1"/>
  <c r="BH1355" i="1"/>
  <c r="BH1354" i="1" s="1"/>
  <c r="BH1357" i="1" s="1"/>
  <c r="BH1358" i="1" s="1"/>
  <c r="BG1355" i="1"/>
  <c r="BG1354" i="1"/>
  <c r="BG1357" i="1" s="1"/>
  <c r="BH1353" i="1"/>
  <c r="BH1364" i="1" s="1"/>
  <c r="BG1353" i="1"/>
  <c r="BE1365" i="1"/>
  <c r="BD1364" i="1"/>
  <c r="BE1356" i="1"/>
  <c r="BD1356" i="1"/>
  <c r="BD1365" i="1" s="1"/>
  <c r="BE1355" i="1"/>
  <c r="BE1354" i="1" s="1"/>
  <c r="BE1357" i="1" s="1"/>
  <c r="BE1358" i="1" s="1"/>
  <c r="BD1355" i="1"/>
  <c r="BD1354" i="1"/>
  <c r="BD1357" i="1" s="1"/>
  <c r="BE1353" i="1"/>
  <c r="BE1364" i="1" s="1"/>
  <c r="BD1353" i="1"/>
  <c r="BA1364" i="1"/>
  <c r="BB1356" i="1"/>
  <c r="BB1365" i="1" s="1"/>
  <c r="BA1356" i="1"/>
  <c r="BA1365" i="1" s="1"/>
  <c r="BB1355" i="1"/>
  <c r="BA1355" i="1"/>
  <c r="BB1354" i="1"/>
  <c r="BB1357" i="1" s="1"/>
  <c r="BA1354" i="1"/>
  <c r="BA1357" i="1" s="1"/>
  <c r="BB1353" i="1"/>
  <c r="BB1364" i="1" s="1"/>
  <c r="BA1353" i="1"/>
  <c r="AY1365" i="1"/>
  <c r="AX1364" i="1"/>
  <c r="AY1356" i="1"/>
  <c r="AX1356" i="1"/>
  <c r="AX1365" i="1" s="1"/>
  <c r="AY1355" i="1"/>
  <c r="AY1354" i="1" s="1"/>
  <c r="AY1357" i="1" s="1"/>
  <c r="AY1358" i="1" s="1"/>
  <c r="AX1355" i="1"/>
  <c r="AX1354" i="1"/>
  <c r="AX1357" i="1" s="1"/>
  <c r="AY1353" i="1"/>
  <c r="AY1364" i="1" s="1"/>
  <c r="AX1353" i="1"/>
  <c r="AV1365" i="1"/>
  <c r="AU1365" i="1"/>
  <c r="AV1356" i="1"/>
  <c r="AU1356" i="1"/>
  <c r="AV1355" i="1"/>
  <c r="AV1354" i="1" s="1"/>
  <c r="AV1357" i="1" s="1"/>
  <c r="AV1358" i="1" s="1"/>
  <c r="AU1355" i="1"/>
  <c r="AU1354" i="1" s="1"/>
  <c r="AU1357" i="1" s="1"/>
  <c r="AU1358" i="1" s="1"/>
  <c r="AV1353" i="1"/>
  <c r="AV1364" i="1" s="1"/>
  <c r="AU1353" i="1"/>
  <c r="AU1364" i="1" s="1"/>
  <c r="AS1365" i="1"/>
  <c r="AR1364" i="1"/>
  <c r="AS1356" i="1"/>
  <c r="AR1356" i="1"/>
  <c r="AR1365" i="1" s="1"/>
  <c r="AS1355" i="1"/>
  <c r="AS1354" i="1" s="1"/>
  <c r="AS1357" i="1" s="1"/>
  <c r="AS1358" i="1" s="1"/>
  <c r="AR1355" i="1"/>
  <c r="AR1354" i="1"/>
  <c r="AR1357" i="1" s="1"/>
  <c r="AS1353" i="1"/>
  <c r="AS1364" i="1" s="1"/>
  <c r="AR1353" i="1"/>
  <c r="AP1364" i="1"/>
  <c r="AO1364" i="1"/>
  <c r="AP1356" i="1"/>
  <c r="AP1365" i="1" s="1"/>
  <c r="AO1356" i="1"/>
  <c r="AO1365" i="1" s="1"/>
  <c r="AP1355" i="1"/>
  <c r="AO1355" i="1"/>
  <c r="AP1354" i="1"/>
  <c r="AP1357" i="1" s="1"/>
  <c r="AO1354" i="1"/>
  <c r="AO1357" i="1" s="1"/>
  <c r="AP1353" i="1"/>
  <c r="AO1353" i="1"/>
  <c r="AL1364" i="1"/>
  <c r="AM1360" i="1"/>
  <c r="AP1360" i="1" s="1"/>
  <c r="AS1360" i="1" s="1"/>
  <c r="AV1360" i="1" s="1"/>
  <c r="AY1360" i="1" s="1"/>
  <c r="BB1360" i="1" s="1"/>
  <c r="BE1360" i="1" s="1"/>
  <c r="BH1360" i="1" s="1"/>
  <c r="BK1360" i="1" s="1"/>
  <c r="BN1360" i="1" s="1"/>
  <c r="BQ1360" i="1" s="1"/>
  <c r="AM1356" i="1"/>
  <c r="AM1365" i="1" s="1"/>
  <c r="AL1356" i="1"/>
  <c r="AL1365" i="1" s="1"/>
  <c r="AM1355" i="1"/>
  <c r="AM1354" i="1" s="1"/>
  <c r="AM1357" i="1" s="1"/>
  <c r="AM1358" i="1" s="1"/>
  <c r="AL1355" i="1"/>
  <c r="AL1354" i="1"/>
  <c r="AL1357" i="1" s="1"/>
  <c r="AM1353" i="1"/>
  <c r="AM1364" i="1" s="1"/>
  <c r="AL1353" i="1"/>
  <c r="AE1363" i="1"/>
  <c r="AD1363" i="1"/>
  <c r="AD1356" i="1"/>
  <c r="AD1354" i="1"/>
  <c r="AD1353" i="1"/>
  <c r="Y1351" i="1"/>
  <c r="Y1363" i="1"/>
  <c r="Y1361" i="1"/>
  <c r="AG1360" i="1"/>
  <c r="AJ1360" i="1" s="1"/>
  <c r="AF1360" i="1"/>
  <c r="AE1360" i="1"/>
  <c r="AE1359" i="1" s="1"/>
  <c r="BR1359" i="1"/>
  <c r="BO1359" i="1"/>
  <c r="BL1359" i="1"/>
  <c r="BI1359" i="1"/>
  <c r="BF1359" i="1"/>
  <c r="BC1359" i="1"/>
  <c r="AZ1359" i="1"/>
  <c r="AW1359" i="1"/>
  <c r="AT1359" i="1"/>
  <c r="AQ1359" i="1"/>
  <c r="AN1359" i="1"/>
  <c r="AK1359" i="1"/>
  <c r="AH1359" i="1"/>
  <c r="AD1359" i="1"/>
  <c r="Y1357" i="1"/>
  <c r="AH1357" i="1" s="1"/>
  <c r="AH1353" i="1"/>
  <c r="AG1353" i="1"/>
  <c r="AF1353" i="1"/>
  <c r="AI1353" i="1" s="1"/>
  <c r="AD1364" i="1"/>
  <c r="AF1300" i="1"/>
  <c r="AF1278" i="1"/>
  <c r="AF1202" i="1"/>
  <c r="AD67" i="1"/>
  <c r="AK682" i="1" l="1"/>
  <c r="AG92" i="1"/>
  <c r="BQ1343" i="1"/>
  <c r="BL1343" i="1"/>
  <c r="BK1343" i="1"/>
  <c r="BI1343" i="1"/>
  <c r="BF1343" i="1"/>
  <c r="BE1343" i="1"/>
  <c r="AZ1343" i="1"/>
  <c r="AY1343" i="1"/>
  <c r="AW1343" i="1"/>
  <c r="AV1343" i="1"/>
  <c r="AT1343" i="1"/>
  <c r="AS1343" i="1"/>
  <c r="AQ1343" i="1"/>
  <c r="AP1343" i="1"/>
  <c r="AN1343" i="1"/>
  <c r="AM1343" i="1"/>
  <c r="BQ1362" i="1"/>
  <c r="BP1358" i="1"/>
  <c r="BM1358" i="1"/>
  <c r="BN1362" i="1"/>
  <c r="BN1358" i="1"/>
  <c r="BK1362" i="1"/>
  <c r="BJ1354" i="1"/>
  <c r="BJ1357" i="1" s="1"/>
  <c r="BJ1358" i="1" s="1"/>
  <c r="BH1362" i="1"/>
  <c r="BG1358" i="1"/>
  <c r="BE1362" i="1"/>
  <c r="BD1358" i="1"/>
  <c r="BA1358" i="1"/>
  <c r="BB1362" i="1"/>
  <c r="BB1358" i="1"/>
  <c r="AY1362" i="1"/>
  <c r="AX1358" i="1"/>
  <c r="AV1362" i="1"/>
  <c r="AS1362" i="1"/>
  <c r="AR1358" i="1"/>
  <c r="AP1362" i="1"/>
  <c r="AP1358" i="1"/>
  <c r="AO1358" i="1"/>
  <c r="AM1362" i="1"/>
  <c r="AL1358" i="1"/>
  <c r="Y1354" i="1"/>
  <c r="Y1358" i="1"/>
  <c r="AG1364" i="1"/>
  <c r="AE1364" i="1"/>
  <c r="AI1364" i="1"/>
  <c r="AJ1353" i="1"/>
  <c r="AF1364" i="1"/>
  <c r="AH1360" i="1"/>
  <c r="AI1360" i="1"/>
  <c r="AL1360" i="1" s="1"/>
  <c r="AO1360" i="1" s="1"/>
  <c r="AR1360" i="1" s="1"/>
  <c r="AU1360" i="1" s="1"/>
  <c r="AX1360" i="1" s="1"/>
  <c r="BA1360" i="1" s="1"/>
  <c r="BD1360" i="1" s="1"/>
  <c r="BG1360" i="1" s="1"/>
  <c r="BJ1360" i="1" s="1"/>
  <c r="BM1360" i="1" s="1"/>
  <c r="BP1360" i="1" s="1"/>
  <c r="BP1362" i="1" s="1"/>
  <c r="AE1353" i="1"/>
  <c r="AH1358" i="1"/>
  <c r="BA1362" i="1" l="1"/>
  <c r="BA1363" i="1" s="1"/>
  <c r="AL1362" i="1"/>
  <c r="AL1363" i="1" s="1"/>
  <c r="BD1362" i="1"/>
  <c r="BD1363" i="1" s="1"/>
  <c r="BM1362" i="1"/>
  <c r="AX1362" i="1"/>
  <c r="AX1363" i="1" s="1"/>
  <c r="AO1362" i="1"/>
  <c r="AO1366" i="1" s="1"/>
  <c r="AO1345" i="1" s="1"/>
  <c r="AR1362" i="1"/>
  <c r="AR1363" i="1" s="1"/>
  <c r="AU1362" i="1"/>
  <c r="BG1362" i="1"/>
  <c r="BJ1362" i="1"/>
  <c r="BJ1366" i="1" s="1"/>
  <c r="BJ1345" i="1" s="1"/>
  <c r="BQ1366" i="1"/>
  <c r="BQ1363" i="1"/>
  <c r="BP1363" i="1"/>
  <c r="BP1366" i="1"/>
  <c r="BP1345" i="1" s="1"/>
  <c r="BN1366" i="1"/>
  <c r="BN1363" i="1"/>
  <c r="BM1363" i="1"/>
  <c r="BK1366" i="1"/>
  <c r="BK1363" i="1"/>
  <c r="BH1363" i="1"/>
  <c r="BH1366" i="1"/>
  <c r="BG1363" i="1"/>
  <c r="BE1366" i="1"/>
  <c r="BE1363" i="1"/>
  <c r="BB1366" i="1"/>
  <c r="BB1363" i="1"/>
  <c r="BA1366" i="1"/>
  <c r="BA1345" i="1" s="1"/>
  <c r="AX1366" i="1"/>
  <c r="AX1345" i="1" s="1"/>
  <c r="AY1366" i="1"/>
  <c r="AY1363" i="1"/>
  <c r="AV1366" i="1"/>
  <c r="AV1363" i="1"/>
  <c r="AU1363" i="1"/>
  <c r="AS1363" i="1"/>
  <c r="AS1366" i="1"/>
  <c r="AP1366" i="1"/>
  <c r="AP1363" i="1"/>
  <c r="AM1363" i="1"/>
  <c r="AH1364" i="1"/>
  <c r="AJ1364" i="1"/>
  <c r="AK1364" i="1" s="1"/>
  <c r="AK1353" i="1"/>
  <c r="AK1360" i="1"/>
  <c r="BG1366" i="1" l="1"/>
  <c r="BG1345" i="1" s="1"/>
  <c r="BD1366" i="1"/>
  <c r="BD1345" i="1" s="1"/>
  <c r="AU1366" i="1"/>
  <c r="AU1345" i="1" s="1"/>
  <c r="BM1366" i="1"/>
  <c r="BM1345" i="1" s="1"/>
  <c r="AO1363" i="1"/>
  <c r="AR1366" i="1"/>
  <c r="AR1345" i="1" s="1"/>
  <c r="BJ1363" i="1"/>
  <c r="AN1360" i="1"/>
  <c r="AN1364" i="1"/>
  <c r="AQ1353" i="1"/>
  <c r="AN1353" i="1"/>
  <c r="AQ1364" i="1" l="1"/>
  <c r="AT1353" i="1"/>
  <c r="AQ1360" i="1"/>
  <c r="AT1360" i="1" l="1"/>
  <c r="AT1364" i="1"/>
  <c r="AW1353" i="1"/>
  <c r="AZ1353" i="1" l="1"/>
  <c r="AW1364" i="1"/>
  <c r="AW1360" i="1"/>
  <c r="AZ1360" i="1" l="1"/>
  <c r="AZ1364" i="1"/>
  <c r="BC1364" i="1" l="1"/>
  <c r="BF1353" i="1"/>
  <c r="BC1360" i="1"/>
  <c r="BC1353" i="1"/>
  <c r="BF1360" i="1" l="1"/>
  <c r="BF1364" i="1"/>
  <c r="BI1353" i="1"/>
  <c r="BI1360" i="1" l="1"/>
  <c r="BL1353" i="1"/>
  <c r="BI1364" i="1"/>
  <c r="BL1364" i="1" l="1"/>
  <c r="BO1353" i="1"/>
  <c r="BL1360" i="1"/>
  <c r="BO1360" i="1" l="1"/>
  <c r="BO1364" i="1"/>
  <c r="BR1364" i="1" l="1"/>
  <c r="BR1360" i="1"/>
  <c r="BR1353" i="1"/>
  <c r="AF105" i="1" l="1"/>
  <c r="AF249" i="1"/>
  <c r="AF248" i="1"/>
  <c r="AF247" i="1"/>
  <c r="AF246" i="1"/>
  <c r="AF245" i="1"/>
  <c r="AF244" i="1"/>
  <c r="AF240" i="1"/>
  <c r="AF238" i="1"/>
  <c r="AF235" i="1"/>
  <c r="AF234" i="1"/>
  <c r="AF232" i="1"/>
  <c r="AF230" i="1"/>
  <c r="AF229" i="1"/>
  <c r="AF228" i="1"/>
  <c r="AF193" i="1"/>
  <c r="AF190" i="1"/>
  <c r="AF188" i="1" s="1"/>
  <c r="AF189" i="1"/>
  <c r="AF187" i="1"/>
  <c r="AF186" i="1"/>
  <c r="AF185" i="1"/>
  <c r="AF183" i="1"/>
  <c r="AF173" i="1"/>
  <c r="AF174" i="1" s="1"/>
  <c r="AF84" i="1"/>
  <c r="AF14" i="1"/>
  <c r="AF13" i="1"/>
  <c r="AF10" i="1"/>
  <c r="AF137" i="1" s="1"/>
  <c r="AF9" i="1"/>
  <c r="AF11" i="1" s="1"/>
  <c r="AF80" i="1"/>
  <c r="AF66" i="1"/>
  <c r="AF60" i="1"/>
  <c r="AF141" i="1"/>
  <c r="AF43" i="1"/>
  <c r="AF98" i="1"/>
  <c r="AF102" i="1"/>
  <c r="AF146" i="1"/>
  <c r="AF143" i="1"/>
  <c r="AF135" i="1"/>
  <c r="AF133" i="1"/>
  <c r="AF154" i="1"/>
  <c r="AF153" i="1"/>
  <c r="AF152" i="1"/>
  <c r="AF155" i="1" s="1"/>
  <c r="AF134" i="1" s="1"/>
  <c r="AF151" i="1"/>
  <c r="AF160" i="1"/>
  <c r="AF171" i="1"/>
  <c r="AF553" i="1"/>
  <c r="AF552" i="1"/>
  <c r="AF551" i="1"/>
  <c r="AF550" i="1"/>
  <c r="AF546" i="1"/>
  <c r="AF556" i="1" s="1"/>
  <c r="AF545" i="1"/>
  <c r="AF555" i="1" s="1"/>
  <c r="AF535" i="1"/>
  <c r="AF540" i="1" s="1"/>
  <c r="AF1473" i="1"/>
  <c r="AF1468" i="1"/>
  <c r="AF1464" i="1"/>
  <c r="AF1292" i="1"/>
  <c r="AF1283" i="1"/>
  <c r="AF1268" i="1"/>
  <c r="AF1269" i="1" s="1"/>
  <c r="AF1253" i="1"/>
  <c r="AF1254" i="1" s="1"/>
  <c r="AF1261" i="1"/>
  <c r="AF1262" i="1" s="1"/>
  <c r="AF1260" i="1"/>
  <c r="AF1252" i="1"/>
  <c r="AF1243" i="1"/>
  <c r="AF1224" i="1"/>
  <c r="AF1225" i="1" s="1"/>
  <c r="AF1226" i="1" s="1"/>
  <c r="AF1217" i="1"/>
  <c r="AF1218" i="1" s="1"/>
  <c r="AF1219" i="1" s="1"/>
  <c r="AF1211" i="1"/>
  <c r="AF1212" i="1" s="1"/>
  <c r="AF1210" i="1"/>
  <c r="AF687" i="1"/>
  <c r="AF675" i="1"/>
  <c r="AF625" i="1"/>
  <c r="AF633" i="1" s="1"/>
  <c r="AF624" i="1"/>
  <c r="AF618" i="1"/>
  <c r="AF617" i="1"/>
  <c r="AF615" i="1"/>
  <c r="AF613" i="1"/>
  <c r="AF608" i="1"/>
  <c r="AF1179" i="1"/>
  <c r="AF682" i="1"/>
  <c r="AF668" i="1"/>
  <c r="AF660" i="1"/>
  <c r="AF661" i="1" s="1"/>
  <c r="AF652" i="1"/>
  <c r="AF653" i="1" s="1"/>
  <c r="AF644" i="1"/>
  <c r="AF636" i="1"/>
  <c r="AF620" i="1"/>
  <c r="AF136" i="1" l="1"/>
  <c r="AF637" i="1"/>
  <c r="AF645" i="1"/>
  <c r="AF104" i="1"/>
  <c r="AF565" i="1"/>
  <c r="AF626" i="1"/>
  <c r="BR18" i="1" l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M74" i="1" l="1"/>
  <c r="BR90" i="1"/>
  <c r="BR89" i="1"/>
  <c r="BR84" i="1"/>
  <c r="BR83" i="1"/>
  <c r="BR82" i="1"/>
  <c r="BR81" i="1"/>
  <c r="BR75" i="1"/>
  <c r="BQ74" i="1"/>
  <c r="BP74" i="1"/>
  <c r="BR74" i="1" s="1"/>
  <c r="BR73" i="1"/>
  <c r="BR71" i="1"/>
  <c r="BR70" i="1"/>
  <c r="BR68" i="1"/>
  <c r="BR67" i="1"/>
  <c r="BO90" i="1"/>
  <c r="BO89" i="1"/>
  <c r="BO84" i="1"/>
  <c r="BO83" i="1"/>
  <c r="BO82" i="1"/>
  <c r="BO81" i="1"/>
  <c r="BO75" i="1"/>
  <c r="BN74" i="1"/>
  <c r="BM74" i="1"/>
  <c r="BO74" i="1" s="1"/>
  <c r="BO73" i="1"/>
  <c r="BO71" i="1"/>
  <c r="BO70" i="1"/>
  <c r="BO68" i="1"/>
  <c r="BO67" i="1"/>
  <c r="BL90" i="1"/>
  <c r="BL89" i="1"/>
  <c r="BL84" i="1"/>
  <c r="BL83" i="1"/>
  <c r="BL82" i="1"/>
  <c r="BL81" i="1"/>
  <c r="BL75" i="1"/>
  <c r="BK74" i="1"/>
  <c r="BJ74" i="1"/>
  <c r="BL74" i="1" s="1"/>
  <c r="BL73" i="1"/>
  <c r="BL71" i="1"/>
  <c r="BL70" i="1"/>
  <c r="BL68" i="1"/>
  <c r="BL67" i="1"/>
  <c r="BI90" i="1"/>
  <c r="BI89" i="1"/>
  <c r="BI84" i="1"/>
  <c r="BI83" i="1"/>
  <c r="BI82" i="1"/>
  <c r="BI81" i="1"/>
  <c r="BI75" i="1"/>
  <c r="BH74" i="1"/>
  <c r="BG74" i="1"/>
  <c r="BI74" i="1" s="1"/>
  <c r="BI73" i="1"/>
  <c r="BI71" i="1"/>
  <c r="BI70" i="1"/>
  <c r="BI68" i="1"/>
  <c r="BI67" i="1"/>
  <c r="BF90" i="1"/>
  <c r="BF89" i="1"/>
  <c r="BF84" i="1"/>
  <c r="BF83" i="1"/>
  <c r="BF82" i="1"/>
  <c r="BF81" i="1"/>
  <c r="BF75" i="1"/>
  <c r="BE74" i="1"/>
  <c r="BD74" i="1"/>
  <c r="BF74" i="1" s="1"/>
  <c r="BF73" i="1"/>
  <c r="BF71" i="1"/>
  <c r="BF70" i="1"/>
  <c r="BF68" i="1"/>
  <c r="BF67" i="1"/>
  <c r="BC90" i="1"/>
  <c r="BC89" i="1"/>
  <c r="BC84" i="1"/>
  <c r="BC83" i="1"/>
  <c r="BC82" i="1"/>
  <c r="BC81" i="1"/>
  <c r="BC75" i="1"/>
  <c r="BB74" i="1"/>
  <c r="BA74" i="1"/>
  <c r="BC74" i="1" s="1"/>
  <c r="BC73" i="1"/>
  <c r="BC71" i="1"/>
  <c r="BC70" i="1"/>
  <c r="BC68" i="1"/>
  <c r="BC67" i="1"/>
  <c r="AZ90" i="1"/>
  <c r="AZ89" i="1"/>
  <c r="AZ84" i="1"/>
  <c r="AZ83" i="1"/>
  <c r="AZ82" i="1"/>
  <c r="AZ81" i="1"/>
  <c r="AZ75" i="1"/>
  <c r="AY74" i="1"/>
  <c r="AX74" i="1"/>
  <c r="AZ74" i="1" s="1"/>
  <c r="AZ73" i="1"/>
  <c r="AZ71" i="1"/>
  <c r="AZ70" i="1"/>
  <c r="AZ68" i="1"/>
  <c r="AZ67" i="1"/>
  <c r="AW90" i="1"/>
  <c r="AW89" i="1"/>
  <c r="AW84" i="1"/>
  <c r="AW83" i="1"/>
  <c r="AW82" i="1"/>
  <c r="AW81" i="1"/>
  <c r="AW75" i="1"/>
  <c r="AV74" i="1"/>
  <c r="AU74" i="1"/>
  <c r="AW74" i="1" s="1"/>
  <c r="AW73" i="1"/>
  <c r="AW71" i="1"/>
  <c r="AW70" i="1"/>
  <c r="AW68" i="1"/>
  <c r="AW67" i="1"/>
  <c r="AT90" i="1"/>
  <c r="AT89" i="1"/>
  <c r="AT84" i="1"/>
  <c r="AT83" i="1"/>
  <c r="AT82" i="1"/>
  <c r="AT81" i="1"/>
  <c r="AT75" i="1"/>
  <c r="AS74" i="1"/>
  <c r="AR74" i="1"/>
  <c r="AT74" i="1" s="1"/>
  <c r="AT73" i="1"/>
  <c r="AT71" i="1"/>
  <c r="AT70" i="1"/>
  <c r="AT68" i="1"/>
  <c r="AT67" i="1"/>
  <c r="AQ90" i="1"/>
  <c r="AQ89" i="1"/>
  <c r="AQ84" i="1"/>
  <c r="AQ83" i="1"/>
  <c r="AQ82" i="1"/>
  <c r="AQ81" i="1"/>
  <c r="AQ75" i="1"/>
  <c r="AP74" i="1"/>
  <c r="AO74" i="1"/>
  <c r="AQ74" i="1" s="1"/>
  <c r="AQ73" i="1"/>
  <c r="AQ71" i="1"/>
  <c r="AQ70" i="1"/>
  <c r="AQ68" i="1"/>
  <c r="AQ67" i="1"/>
  <c r="AN90" i="1"/>
  <c r="AN89" i="1"/>
  <c r="AN84" i="1"/>
  <c r="AN83" i="1"/>
  <c r="AN82" i="1"/>
  <c r="AN81" i="1"/>
  <c r="AN75" i="1"/>
  <c r="AL74" i="1"/>
  <c r="AN74" i="1" s="1"/>
  <c r="AN73" i="1"/>
  <c r="AN71" i="1"/>
  <c r="AN70" i="1"/>
  <c r="AN68" i="1"/>
  <c r="AN67" i="1"/>
  <c r="Q68" i="4" l="1"/>
  <c r="Q67" i="4"/>
  <c r="Q65" i="4"/>
  <c r="Q64" i="4"/>
  <c r="Q63" i="4"/>
  <c r="Q62" i="4"/>
  <c r="BQ454" i="1"/>
  <c r="BP454" i="1"/>
  <c r="BN454" i="1"/>
  <c r="BM454" i="1"/>
  <c r="BK454" i="1"/>
  <c r="BJ454" i="1"/>
  <c r="BH454" i="1"/>
  <c r="BG454" i="1"/>
  <c r="BE454" i="1"/>
  <c r="BD454" i="1"/>
  <c r="BB454" i="1"/>
  <c r="BA454" i="1"/>
  <c r="AY454" i="1"/>
  <c r="AX454" i="1"/>
  <c r="AV454" i="1"/>
  <c r="AU454" i="1"/>
  <c r="AS454" i="1"/>
  <c r="AR454" i="1"/>
  <c r="AP454" i="1"/>
  <c r="BB464" i="1"/>
  <c r="BA464" i="1"/>
  <c r="BB462" i="1"/>
  <c r="BA462" i="1"/>
  <c r="BB461" i="1"/>
  <c r="BA461" i="1"/>
  <c r="BB459" i="1"/>
  <c r="BA459" i="1"/>
  <c r="BB458" i="1"/>
  <c r="BA458" i="1"/>
  <c r="AY464" i="1"/>
  <c r="AX464" i="1"/>
  <c r="AY462" i="1"/>
  <c r="AX462" i="1"/>
  <c r="AY461" i="1"/>
  <c r="AX461" i="1"/>
  <c r="AY459" i="1"/>
  <c r="AX459" i="1"/>
  <c r="AY458" i="1"/>
  <c r="AX458" i="1"/>
  <c r="AV464" i="1"/>
  <c r="AU464" i="1"/>
  <c r="AV462" i="1"/>
  <c r="AU462" i="1"/>
  <c r="AV461" i="1"/>
  <c r="AU461" i="1"/>
  <c r="AV459" i="1"/>
  <c r="AU459" i="1"/>
  <c r="AV458" i="1"/>
  <c r="AU458" i="1"/>
  <c r="AS464" i="1"/>
  <c r="AR464" i="1"/>
  <c r="AS462" i="1"/>
  <c r="AR462" i="1"/>
  <c r="AS461" i="1"/>
  <c r="AR461" i="1"/>
  <c r="AS459" i="1"/>
  <c r="AR459" i="1"/>
  <c r="AS458" i="1"/>
  <c r="AR458" i="1"/>
  <c r="AO469" i="1"/>
  <c r="AR469" i="1" s="1"/>
  <c r="AU469" i="1" s="1"/>
  <c r="AX469" i="1" s="1"/>
  <c r="BA469" i="1" s="1"/>
  <c r="AP464" i="1"/>
  <c r="AO464" i="1"/>
  <c r="AP462" i="1"/>
  <c r="AO462" i="1"/>
  <c r="AP461" i="1"/>
  <c r="AO461" i="1"/>
  <c r="AP459" i="1"/>
  <c r="AO459" i="1"/>
  <c r="AP458" i="1"/>
  <c r="AO458" i="1"/>
  <c r="AL469" i="1"/>
  <c r="AL468" i="1"/>
  <c r="AO468" i="1" s="1"/>
  <c r="AR468" i="1" s="1"/>
  <c r="AU468" i="1" s="1"/>
  <c r="AX468" i="1" s="1"/>
  <c r="BA468" i="1" s="1"/>
  <c r="AM464" i="1"/>
  <c r="AL464" i="1"/>
  <c r="AM462" i="1"/>
  <c r="AL462" i="1"/>
  <c r="AM461" i="1"/>
  <c r="AL461" i="1"/>
  <c r="AL459" i="1"/>
  <c r="AM459" i="1"/>
  <c r="AM458" i="1"/>
  <c r="AL458" i="1"/>
  <c r="AI469" i="1"/>
  <c r="AJ469" i="1"/>
  <c r="AM469" i="1" s="1"/>
  <c r="AP469" i="1" s="1"/>
  <c r="AS469" i="1" s="1"/>
  <c r="AV469" i="1" s="1"/>
  <c r="AY469" i="1" s="1"/>
  <c r="BB469" i="1" s="1"/>
  <c r="AJ468" i="1"/>
  <c r="AM468" i="1" s="1"/>
  <c r="AP468" i="1" s="1"/>
  <c r="AS468" i="1" s="1"/>
  <c r="AV468" i="1" s="1"/>
  <c r="AY468" i="1" s="1"/>
  <c r="BB468" i="1" s="1"/>
  <c r="AI468" i="1"/>
  <c r="AI465" i="1"/>
  <c r="AJ465" i="1" s="1"/>
  <c r="AM465" i="1" s="1"/>
  <c r="AP465" i="1" s="1"/>
  <c r="AS465" i="1" s="1"/>
  <c r="AV465" i="1" s="1"/>
  <c r="AY465" i="1" s="1"/>
  <c r="BB465" i="1" s="1"/>
  <c r="AI466" i="1"/>
  <c r="AJ466" i="1" s="1"/>
  <c r="AM466" i="1" s="1"/>
  <c r="AP466" i="1" s="1"/>
  <c r="AS466" i="1" s="1"/>
  <c r="AV466" i="1" s="1"/>
  <c r="AY466" i="1" s="1"/>
  <c r="BB466" i="1" s="1"/>
  <c r="AJ464" i="1"/>
  <c r="AI464" i="1"/>
  <c r="AI462" i="1"/>
  <c r="AJ462" i="1" s="1"/>
  <c r="AI461" i="1"/>
  <c r="AJ461" i="1" s="1"/>
  <c r="AJ459" i="1"/>
  <c r="AJ458" i="1"/>
  <c r="AI459" i="1"/>
  <c r="AI458" i="1"/>
  <c r="BQ429" i="1"/>
  <c r="BP429" i="1"/>
  <c r="BQ422" i="1"/>
  <c r="BP422" i="1"/>
  <c r="BQ420" i="1"/>
  <c r="BP420" i="1"/>
  <c r="BQ419" i="1"/>
  <c r="BP419" i="1"/>
  <c r="BN429" i="1"/>
  <c r="BM429" i="1"/>
  <c r="BN422" i="1"/>
  <c r="BM422" i="1"/>
  <c r="BN420" i="1"/>
  <c r="BM420" i="1"/>
  <c r="BN419" i="1"/>
  <c r="BM419" i="1"/>
  <c r="BK429" i="1"/>
  <c r="BJ429" i="1"/>
  <c r="BK422" i="1"/>
  <c r="BJ422" i="1"/>
  <c r="BK420" i="1"/>
  <c r="BJ420" i="1"/>
  <c r="BK419" i="1"/>
  <c r="BJ419" i="1"/>
  <c r="BH429" i="1"/>
  <c r="BG429" i="1"/>
  <c r="BH422" i="1"/>
  <c r="BG422" i="1"/>
  <c r="BH420" i="1"/>
  <c r="BG420" i="1"/>
  <c r="BH419" i="1"/>
  <c r="BG419" i="1"/>
  <c r="BE429" i="1"/>
  <c r="BD429" i="1"/>
  <c r="BE422" i="1"/>
  <c r="BD422" i="1"/>
  <c r="BE420" i="1"/>
  <c r="BD420" i="1"/>
  <c r="BE419" i="1"/>
  <c r="BD419" i="1"/>
  <c r="BB429" i="1"/>
  <c r="BA429" i="1"/>
  <c r="BB422" i="1"/>
  <c r="BA422" i="1"/>
  <c r="BB420" i="1"/>
  <c r="BA420" i="1"/>
  <c r="BB419" i="1"/>
  <c r="BA419" i="1"/>
  <c r="AY429" i="1"/>
  <c r="AX429" i="1"/>
  <c r="AY422" i="1"/>
  <c r="AX422" i="1"/>
  <c r="AY420" i="1"/>
  <c r="AX420" i="1"/>
  <c r="AY419" i="1"/>
  <c r="AX419" i="1"/>
  <c r="AV429" i="1"/>
  <c r="AU429" i="1"/>
  <c r="AV422" i="1"/>
  <c r="AU422" i="1"/>
  <c r="AV420" i="1"/>
  <c r="AU420" i="1"/>
  <c r="AV419" i="1"/>
  <c r="AU419" i="1"/>
  <c r="AS429" i="1"/>
  <c r="AR429" i="1"/>
  <c r="AS422" i="1"/>
  <c r="AR422" i="1"/>
  <c r="AS420" i="1"/>
  <c r="AR420" i="1"/>
  <c r="AS419" i="1"/>
  <c r="AR419" i="1"/>
  <c r="AP429" i="1"/>
  <c r="AO429" i="1"/>
  <c r="AP422" i="1"/>
  <c r="AO422" i="1"/>
  <c r="AP420" i="1"/>
  <c r="AO420" i="1"/>
  <c r="AP419" i="1"/>
  <c r="AO419" i="1"/>
  <c r="AM429" i="1"/>
  <c r="AL429" i="1"/>
  <c r="AL426" i="1"/>
  <c r="AO426" i="1" s="1"/>
  <c r="AR426" i="1" s="1"/>
  <c r="AU426" i="1" s="1"/>
  <c r="AX426" i="1" s="1"/>
  <c r="BA426" i="1" s="1"/>
  <c r="BD426" i="1" s="1"/>
  <c r="BG426" i="1" s="1"/>
  <c r="BJ426" i="1" s="1"/>
  <c r="BM426" i="1" s="1"/>
  <c r="BP426" i="1" s="1"/>
  <c r="AM423" i="1"/>
  <c r="AP423" i="1" s="1"/>
  <c r="AS423" i="1" s="1"/>
  <c r="AV423" i="1" s="1"/>
  <c r="AY423" i="1" s="1"/>
  <c r="BB423" i="1" s="1"/>
  <c r="BE423" i="1" s="1"/>
  <c r="BH423" i="1" s="1"/>
  <c r="BK423" i="1" s="1"/>
  <c r="BN423" i="1" s="1"/>
  <c r="BQ423" i="1" s="1"/>
  <c r="AL423" i="1"/>
  <c r="AO423" i="1" s="1"/>
  <c r="AR423" i="1" s="1"/>
  <c r="AU423" i="1" s="1"/>
  <c r="AX423" i="1" s="1"/>
  <c r="BA423" i="1" s="1"/>
  <c r="BD423" i="1" s="1"/>
  <c r="BG423" i="1" s="1"/>
  <c r="BJ423" i="1" s="1"/>
  <c r="BM423" i="1" s="1"/>
  <c r="BP423" i="1" s="1"/>
  <c r="AM422" i="1"/>
  <c r="AL422" i="1"/>
  <c r="AM419" i="1"/>
  <c r="AM420" i="1"/>
  <c r="AL420" i="1"/>
  <c r="AL419" i="1"/>
  <c r="AI430" i="1"/>
  <c r="AJ430" i="1" s="1"/>
  <c r="AM430" i="1" s="1"/>
  <c r="AP430" i="1" s="1"/>
  <c r="AS430" i="1" s="1"/>
  <c r="AV430" i="1" s="1"/>
  <c r="AY430" i="1" s="1"/>
  <c r="BB430" i="1" s="1"/>
  <c r="BE430" i="1" s="1"/>
  <c r="BH430" i="1" s="1"/>
  <c r="BK430" i="1" s="1"/>
  <c r="BN430" i="1" s="1"/>
  <c r="BQ430" i="1" s="1"/>
  <c r="AI429" i="1"/>
  <c r="AJ429" i="1" s="1"/>
  <c r="AI427" i="1"/>
  <c r="AJ427" i="1" s="1"/>
  <c r="AI426" i="1"/>
  <c r="AJ426" i="1" s="1"/>
  <c r="AM426" i="1" s="1"/>
  <c r="AP426" i="1" s="1"/>
  <c r="AS426" i="1" s="1"/>
  <c r="AV426" i="1" s="1"/>
  <c r="AY426" i="1" s="1"/>
  <c r="BB426" i="1" s="1"/>
  <c r="BE426" i="1" s="1"/>
  <c r="BH426" i="1" s="1"/>
  <c r="BK426" i="1" s="1"/>
  <c r="BN426" i="1" s="1"/>
  <c r="BQ426" i="1" s="1"/>
  <c r="AJ425" i="1"/>
  <c r="AM425" i="1" s="1"/>
  <c r="AP425" i="1" s="1"/>
  <c r="AS425" i="1" s="1"/>
  <c r="AV425" i="1" s="1"/>
  <c r="AY425" i="1" s="1"/>
  <c r="BB425" i="1" s="1"/>
  <c r="BE425" i="1" s="1"/>
  <c r="BH425" i="1" s="1"/>
  <c r="BK425" i="1" s="1"/>
  <c r="BN425" i="1" s="1"/>
  <c r="BQ425" i="1" s="1"/>
  <c r="AI425" i="1"/>
  <c r="AL425" i="1" s="1"/>
  <c r="AO425" i="1" s="1"/>
  <c r="AR425" i="1" s="1"/>
  <c r="AU425" i="1" s="1"/>
  <c r="AX425" i="1" s="1"/>
  <c r="BA425" i="1" s="1"/>
  <c r="BD425" i="1" s="1"/>
  <c r="BG425" i="1" s="1"/>
  <c r="BJ425" i="1" s="1"/>
  <c r="BM425" i="1" s="1"/>
  <c r="BP425" i="1" s="1"/>
  <c r="AI423" i="1"/>
  <c r="AJ423" i="1" s="1"/>
  <c r="AJ422" i="1"/>
  <c r="AI422" i="1"/>
  <c r="AJ420" i="1"/>
  <c r="AJ419" i="1"/>
  <c r="AI420" i="1"/>
  <c r="AI419" i="1"/>
  <c r="BQ415" i="1"/>
  <c r="BP415" i="1"/>
  <c r="BN415" i="1"/>
  <c r="BM415" i="1"/>
  <c r="BK415" i="1"/>
  <c r="BJ415" i="1"/>
  <c r="BH415" i="1"/>
  <c r="BG415" i="1"/>
  <c r="BE415" i="1"/>
  <c r="BD415" i="1"/>
  <c r="BB415" i="1"/>
  <c r="BA415" i="1"/>
  <c r="AY415" i="1"/>
  <c r="AX415" i="1"/>
  <c r="AV415" i="1"/>
  <c r="AU415" i="1"/>
  <c r="AS415" i="1"/>
  <c r="AR415" i="1"/>
  <c r="AP415" i="1"/>
  <c r="AO415" i="1"/>
  <c r="AL465" i="1" l="1"/>
  <c r="AO465" i="1" s="1"/>
  <c r="AR465" i="1" s="1"/>
  <c r="AU465" i="1" s="1"/>
  <c r="AX465" i="1" s="1"/>
  <c r="BA465" i="1" s="1"/>
  <c r="AL466" i="1"/>
  <c r="AO466" i="1" s="1"/>
  <c r="AR466" i="1" s="1"/>
  <c r="AU466" i="1" s="1"/>
  <c r="AX466" i="1" s="1"/>
  <c r="BA466" i="1" s="1"/>
  <c r="AL430" i="1"/>
  <c r="AO430" i="1" s="1"/>
  <c r="AR430" i="1" s="1"/>
  <c r="AU430" i="1" s="1"/>
  <c r="AX430" i="1" s="1"/>
  <c r="BA430" i="1" s="1"/>
  <c r="BD430" i="1" s="1"/>
  <c r="BG430" i="1" s="1"/>
  <c r="BJ430" i="1" s="1"/>
  <c r="BM430" i="1" s="1"/>
  <c r="BP430" i="1" s="1"/>
  <c r="D194" i="1" l="1"/>
  <c r="G66" i="7"/>
  <c r="D1" i="1"/>
  <c r="U51" i="4" l="1"/>
  <c r="V51" i="4"/>
  <c r="W51" i="4"/>
  <c r="X51" i="4"/>
  <c r="Y51" i="4"/>
  <c r="D41" i="7" l="1"/>
  <c r="AC1197" i="1" l="1"/>
  <c r="AE1197" i="1"/>
  <c r="AG265" i="1" l="1"/>
  <c r="AJ265" i="1" s="1"/>
  <c r="AM265" i="1" s="1"/>
  <c r="AP265" i="1" s="1"/>
  <c r="AS265" i="1" s="1"/>
  <c r="AV265" i="1" s="1"/>
  <c r="AY265" i="1" s="1"/>
  <c r="BB265" i="1" s="1"/>
  <c r="BE265" i="1" s="1"/>
  <c r="BH265" i="1" s="1"/>
  <c r="BK265" i="1" s="1"/>
  <c r="BN265" i="1" s="1"/>
  <c r="BQ265" i="1" s="1"/>
  <c r="AF265" i="1"/>
  <c r="AG264" i="1"/>
  <c r="AJ264" i="1" s="1"/>
  <c r="AM264" i="1" s="1"/>
  <c r="AP264" i="1" s="1"/>
  <c r="AS264" i="1" s="1"/>
  <c r="AV264" i="1" s="1"/>
  <c r="AY264" i="1" s="1"/>
  <c r="BB264" i="1" s="1"/>
  <c r="BE264" i="1" s="1"/>
  <c r="BH264" i="1" s="1"/>
  <c r="BK264" i="1" s="1"/>
  <c r="BN264" i="1" s="1"/>
  <c r="BQ264" i="1" s="1"/>
  <c r="AF264" i="1"/>
  <c r="AG263" i="1"/>
  <c r="AJ263" i="1" s="1"/>
  <c r="AM263" i="1" s="1"/>
  <c r="AP263" i="1" s="1"/>
  <c r="AS263" i="1" s="1"/>
  <c r="AV263" i="1" s="1"/>
  <c r="AY263" i="1" s="1"/>
  <c r="BB263" i="1" s="1"/>
  <c r="BE263" i="1" s="1"/>
  <c r="BH263" i="1" s="1"/>
  <c r="BK263" i="1" s="1"/>
  <c r="BN263" i="1" s="1"/>
  <c r="BQ263" i="1" s="1"/>
  <c r="AF263" i="1"/>
  <c r="AI263" i="1" s="1"/>
  <c r="AF260" i="1"/>
  <c r="AI260" i="1" s="1"/>
  <c r="AG260" i="1"/>
  <c r="AJ260" i="1" s="1"/>
  <c r="AM260" i="1" s="1"/>
  <c r="AP260" i="1" s="1"/>
  <c r="AS260" i="1" s="1"/>
  <c r="AV260" i="1" s="1"/>
  <c r="AY260" i="1" s="1"/>
  <c r="BB260" i="1" s="1"/>
  <c r="BE260" i="1" s="1"/>
  <c r="BH260" i="1" s="1"/>
  <c r="BK260" i="1" s="1"/>
  <c r="BN260" i="1" s="1"/>
  <c r="BQ260" i="1" s="1"/>
  <c r="AF261" i="1"/>
  <c r="AI261" i="1" s="1"/>
  <c r="AG261" i="1"/>
  <c r="AJ261" i="1" s="1"/>
  <c r="AM261" i="1" s="1"/>
  <c r="AP261" i="1" s="1"/>
  <c r="AS261" i="1" s="1"/>
  <c r="AV261" i="1" s="1"/>
  <c r="AY261" i="1" s="1"/>
  <c r="AF262" i="1"/>
  <c r="AI262" i="1" s="1"/>
  <c r="AG262" i="1"/>
  <c r="AJ262" i="1" s="1"/>
  <c r="AM262" i="1" s="1"/>
  <c r="AP262" i="1" s="1"/>
  <c r="AS262" i="1" s="1"/>
  <c r="AV262" i="1" s="1"/>
  <c r="AY262" i="1" s="1"/>
  <c r="BB262" i="1" s="1"/>
  <c r="BE262" i="1" s="1"/>
  <c r="AK263" i="1" l="1"/>
  <c r="AH263" i="1"/>
  <c r="AL263" i="1"/>
  <c r="AN263" i="1" s="1"/>
  <c r="AH264" i="1"/>
  <c r="AK261" i="1"/>
  <c r="AL261" i="1"/>
  <c r="BH262" i="1"/>
  <c r="BK262" i="1" s="1"/>
  <c r="BN262" i="1" s="1"/>
  <c r="BQ262" i="1" s="1"/>
  <c r="AK262" i="1"/>
  <c r="AL262" i="1"/>
  <c r="AK260" i="1"/>
  <c r="AL260" i="1"/>
  <c r="BB261" i="1"/>
  <c r="BE261" i="1" s="1"/>
  <c r="BH261" i="1" s="1"/>
  <c r="BK261" i="1" s="1"/>
  <c r="BN261" i="1" s="1"/>
  <c r="BQ261" i="1" s="1"/>
  <c r="AH265" i="1"/>
  <c r="AI264" i="1"/>
  <c r="AK264" i="1" s="1"/>
  <c r="AO263" i="1"/>
  <c r="AI265" i="1"/>
  <c r="AL264" i="1" l="1"/>
  <c r="AN264" i="1" s="1"/>
  <c r="AO260" i="1"/>
  <c r="AN260" i="1"/>
  <c r="AN262" i="1"/>
  <c r="AO262" i="1"/>
  <c r="AN261" i="1"/>
  <c r="AO261" i="1"/>
  <c r="AL265" i="1"/>
  <c r="AK265" i="1"/>
  <c r="AR263" i="1"/>
  <c r="AQ263" i="1"/>
  <c r="AH262" i="1"/>
  <c r="AH261" i="1"/>
  <c r="AO264" i="1" l="1"/>
  <c r="AQ264" i="1" s="1"/>
  <c r="M259" i="1"/>
  <c r="S259" i="1"/>
  <c r="J259" i="1"/>
  <c r="P259" i="1"/>
  <c r="AQ262" i="1"/>
  <c r="AR262" i="1"/>
  <c r="AQ261" i="1"/>
  <c r="AR261" i="1"/>
  <c r="AQ260" i="1"/>
  <c r="AR260" i="1"/>
  <c r="AU263" i="1"/>
  <c r="AT263" i="1"/>
  <c r="AO265" i="1"/>
  <c r="AN265" i="1"/>
  <c r="AR264" i="1" l="1"/>
  <c r="AU264" i="1" s="1"/>
  <c r="AU260" i="1"/>
  <c r="AT260" i="1"/>
  <c r="AT262" i="1"/>
  <c r="AU262" i="1"/>
  <c r="AT261" i="1"/>
  <c r="AU261" i="1"/>
  <c r="AT264" i="1"/>
  <c r="AX263" i="1"/>
  <c r="AW263" i="1"/>
  <c r="AR265" i="1"/>
  <c r="AQ265" i="1"/>
  <c r="AX262" i="1" l="1"/>
  <c r="AW262" i="1"/>
  <c r="AW261" i="1"/>
  <c r="AX261" i="1"/>
  <c r="AW260" i="1"/>
  <c r="AX260" i="1"/>
  <c r="AZ263" i="1"/>
  <c r="BA263" i="1"/>
  <c r="AT265" i="1"/>
  <c r="AU265" i="1"/>
  <c r="AW264" i="1"/>
  <c r="AX264" i="1"/>
  <c r="AZ260" i="1" l="1"/>
  <c r="BA260" i="1"/>
  <c r="AZ262" i="1"/>
  <c r="BA262" i="1"/>
  <c r="BA261" i="1"/>
  <c r="AZ261" i="1"/>
  <c r="BA264" i="1"/>
  <c r="AZ264" i="1"/>
  <c r="BD263" i="1"/>
  <c r="BC263" i="1"/>
  <c r="AX265" i="1"/>
  <c r="AW265" i="1"/>
  <c r="BD260" i="1" l="1"/>
  <c r="BC260" i="1"/>
  <c r="BC261" i="1"/>
  <c r="BD261" i="1"/>
  <c r="BC262" i="1"/>
  <c r="BD262" i="1"/>
  <c r="BG263" i="1"/>
  <c r="BF263" i="1"/>
  <c r="BA265" i="1"/>
  <c r="AZ265" i="1"/>
  <c r="BC264" i="1"/>
  <c r="BD264" i="1"/>
  <c r="BG262" i="1" l="1"/>
  <c r="BF262" i="1"/>
  <c r="BF260" i="1"/>
  <c r="BG260" i="1"/>
  <c r="BF261" i="1"/>
  <c r="BG261" i="1"/>
  <c r="BD265" i="1"/>
  <c r="BC265" i="1"/>
  <c r="BG264" i="1"/>
  <c r="BF264" i="1"/>
  <c r="BJ263" i="1"/>
  <c r="BI263" i="1"/>
  <c r="BI262" i="1" l="1"/>
  <c r="BJ262" i="1"/>
  <c r="BI260" i="1"/>
  <c r="BJ260" i="1"/>
  <c r="BI261" i="1"/>
  <c r="BJ261" i="1"/>
  <c r="BI264" i="1"/>
  <c r="BJ264" i="1"/>
  <c r="BL263" i="1"/>
  <c r="BM263" i="1"/>
  <c r="BF265" i="1"/>
  <c r="BG265" i="1"/>
  <c r="BL261" i="1" l="1"/>
  <c r="BM261" i="1"/>
  <c r="BL262" i="1"/>
  <c r="BM262" i="1"/>
  <c r="BM260" i="1"/>
  <c r="BL260" i="1"/>
  <c r="BJ265" i="1"/>
  <c r="BI265" i="1"/>
  <c r="BM264" i="1"/>
  <c r="BL264" i="1"/>
  <c r="BP263" i="1"/>
  <c r="BR263" i="1" s="1"/>
  <c r="BO263" i="1"/>
  <c r="AH682" i="1"/>
  <c r="BR1379" i="1"/>
  <c r="BO1379" i="1"/>
  <c r="BL1379" i="1"/>
  <c r="BI1379" i="1"/>
  <c r="BF1379" i="1"/>
  <c r="BC1379" i="1"/>
  <c r="AZ1379" i="1"/>
  <c r="AW1379" i="1"/>
  <c r="AT1379" i="1"/>
  <c r="AQ1379" i="1"/>
  <c r="BR751" i="1"/>
  <c r="BO751" i="1"/>
  <c r="BL751" i="1"/>
  <c r="BI751" i="1"/>
  <c r="BF751" i="1"/>
  <c r="BC751" i="1"/>
  <c r="AZ751" i="1"/>
  <c r="AW751" i="1"/>
  <c r="AT751" i="1"/>
  <c r="AQ751" i="1"/>
  <c r="BO261" i="1" l="1"/>
  <c r="BP261" i="1"/>
  <c r="BR261" i="1" s="1"/>
  <c r="BP260" i="1"/>
  <c r="BR260" i="1" s="1"/>
  <c r="BO260" i="1"/>
  <c r="BO262" i="1"/>
  <c r="BP262" i="1"/>
  <c r="BR262" i="1" s="1"/>
  <c r="BO264" i="1"/>
  <c r="BP264" i="1"/>
  <c r="BR264" i="1" s="1"/>
  <c r="BL265" i="1"/>
  <c r="BM265" i="1"/>
  <c r="BR1470" i="1"/>
  <c r="BQ1468" i="1"/>
  <c r="BP1468" i="1"/>
  <c r="BR1466" i="1"/>
  <c r="BO1470" i="1"/>
  <c r="BN1468" i="1"/>
  <c r="BM1468" i="1"/>
  <c r="BO1466" i="1"/>
  <c r="BL1470" i="1"/>
  <c r="BK1468" i="1"/>
  <c r="BJ1468" i="1"/>
  <c r="BL1466" i="1"/>
  <c r="BI1470" i="1"/>
  <c r="BH1468" i="1"/>
  <c r="BG1468" i="1"/>
  <c r="BI1466" i="1"/>
  <c r="BF1470" i="1"/>
  <c r="BE1468" i="1"/>
  <c r="BD1468" i="1"/>
  <c r="BF1466" i="1"/>
  <c r="BC1470" i="1"/>
  <c r="BB1468" i="1"/>
  <c r="BA1468" i="1"/>
  <c r="BC1466" i="1"/>
  <c r="AZ1470" i="1"/>
  <c r="AY1468" i="1"/>
  <c r="AX1468" i="1"/>
  <c r="AZ1466" i="1"/>
  <c r="AW1470" i="1"/>
  <c r="AV1468" i="1"/>
  <c r="AU1468" i="1"/>
  <c r="AW1466" i="1"/>
  <c r="AT1470" i="1"/>
  <c r="AS1468" i="1"/>
  <c r="AR1468" i="1"/>
  <c r="AT1466" i="1"/>
  <c r="AQ1470" i="1"/>
  <c r="AP1468" i="1"/>
  <c r="AO1468" i="1"/>
  <c r="AQ1466" i="1"/>
  <c r="BR1441" i="1"/>
  <c r="BR1420" i="1"/>
  <c r="BR1399" i="1"/>
  <c r="BO1441" i="1"/>
  <c r="BO1420" i="1"/>
  <c r="BO1399" i="1"/>
  <c r="BL1441" i="1"/>
  <c r="BL1420" i="1"/>
  <c r="BL1399" i="1"/>
  <c r="BI1441" i="1"/>
  <c r="BI1420" i="1"/>
  <c r="BI1399" i="1"/>
  <c r="BF1441" i="1"/>
  <c r="BF1420" i="1"/>
  <c r="BF1399" i="1"/>
  <c r="BC1441" i="1"/>
  <c r="BC1420" i="1"/>
  <c r="BC1399" i="1"/>
  <c r="AZ1441" i="1"/>
  <c r="AZ1420" i="1"/>
  <c r="AZ1399" i="1"/>
  <c r="AW1441" i="1"/>
  <c r="AW1420" i="1"/>
  <c r="AW1399" i="1"/>
  <c r="AT1441" i="1"/>
  <c r="AT1420" i="1"/>
  <c r="AT1399" i="1"/>
  <c r="AQ1441" i="1"/>
  <c r="AQ1420" i="1"/>
  <c r="AQ1399" i="1"/>
  <c r="BQ1332" i="1"/>
  <c r="BP1332" i="1"/>
  <c r="BQ1324" i="1"/>
  <c r="BP1324" i="1"/>
  <c r="BN1332" i="1"/>
  <c r="BM1332" i="1"/>
  <c r="BN1324" i="1"/>
  <c r="BM1324" i="1"/>
  <c r="BK1332" i="1"/>
  <c r="BJ1332" i="1"/>
  <c r="BK1324" i="1"/>
  <c r="BJ1324" i="1"/>
  <c r="BH1332" i="1"/>
  <c r="BG1332" i="1"/>
  <c r="BH1324" i="1"/>
  <c r="BG1324" i="1"/>
  <c r="BE1332" i="1"/>
  <c r="BD1332" i="1"/>
  <c r="BE1324" i="1"/>
  <c r="BD1324" i="1"/>
  <c r="BB1332" i="1"/>
  <c r="BA1332" i="1"/>
  <c r="BB1324" i="1"/>
  <c r="BA1324" i="1"/>
  <c r="AY1332" i="1"/>
  <c r="AX1332" i="1"/>
  <c r="AY1324" i="1"/>
  <c r="AX1324" i="1"/>
  <c r="AV1332" i="1"/>
  <c r="AU1332" i="1"/>
  <c r="AV1324" i="1"/>
  <c r="AU1324" i="1"/>
  <c r="AS1332" i="1"/>
  <c r="AR1332" i="1"/>
  <c r="AS1324" i="1"/>
  <c r="AR1324" i="1"/>
  <c r="BR1301" i="1"/>
  <c r="BR1299" i="1"/>
  <c r="BR1284" i="1"/>
  <c r="BQ1275" i="1"/>
  <c r="BP1275" i="1"/>
  <c r="BQ1267" i="1"/>
  <c r="BP1267" i="1"/>
  <c r="BQ1259" i="1"/>
  <c r="BP1259" i="1"/>
  <c r="BQ1238" i="1"/>
  <c r="BP1238" i="1"/>
  <c r="BR1181" i="1"/>
  <c r="BO1301" i="1"/>
  <c r="BO1299" i="1"/>
  <c r="BO1284" i="1"/>
  <c r="BN1275" i="1"/>
  <c r="BM1275" i="1"/>
  <c r="BN1267" i="1"/>
  <c r="BM1267" i="1"/>
  <c r="BN1259" i="1"/>
  <c r="BM1259" i="1"/>
  <c r="BN1238" i="1"/>
  <c r="BM1238" i="1"/>
  <c r="BO1181" i="1"/>
  <c r="BL1301" i="1"/>
  <c r="BL1299" i="1"/>
  <c r="BL1284" i="1"/>
  <c r="BK1275" i="1"/>
  <c r="BJ1275" i="1"/>
  <c r="BK1267" i="1"/>
  <c r="BJ1267" i="1"/>
  <c r="BK1259" i="1"/>
  <c r="BJ1259" i="1"/>
  <c r="BK1238" i="1"/>
  <c r="BJ1238" i="1"/>
  <c r="BL1181" i="1"/>
  <c r="BI1301" i="1"/>
  <c r="BI1299" i="1"/>
  <c r="BI1284" i="1"/>
  <c r="BH1275" i="1"/>
  <c r="BG1275" i="1"/>
  <c r="BH1267" i="1"/>
  <c r="BG1267" i="1"/>
  <c r="BH1259" i="1"/>
  <c r="BG1259" i="1"/>
  <c r="BH1238" i="1"/>
  <c r="BG1238" i="1"/>
  <c r="BI1181" i="1"/>
  <c r="BF1301" i="1"/>
  <c r="BF1299" i="1"/>
  <c r="BF1284" i="1"/>
  <c r="BE1275" i="1"/>
  <c r="BD1275" i="1"/>
  <c r="BE1267" i="1"/>
  <c r="BD1267" i="1"/>
  <c r="BE1259" i="1"/>
  <c r="BD1259" i="1"/>
  <c r="BE1238" i="1"/>
  <c r="BD1238" i="1"/>
  <c r="BF1181" i="1"/>
  <c r="BC1301" i="1"/>
  <c r="BC1299" i="1"/>
  <c r="BC1284" i="1"/>
  <c r="BB1275" i="1"/>
  <c r="BA1275" i="1"/>
  <c r="BB1267" i="1"/>
  <c r="BA1267" i="1"/>
  <c r="BB1259" i="1"/>
  <c r="BA1259" i="1"/>
  <c r="BB1238" i="1"/>
  <c r="BA1238" i="1"/>
  <c r="BC1181" i="1"/>
  <c r="AZ1301" i="1"/>
  <c r="AZ1299" i="1"/>
  <c r="AZ1284" i="1"/>
  <c r="AY1275" i="1"/>
  <c r="AX1275" i="1"/>
  <c r="AY1267" i="1"/>
  <c r="AZ1267" i="1" s="1"/>
  <c r="AX1267" i="1"/>
  <c r="AY1259" i="1"/>
  <c r="AX1259" i="1"/>
  <c r="AY1238" i="1"/>
  <c r="AX1238" i="1"/>
  <c r="AZ1181" i="1"/>
  <c r="AW1301" i="1"/>
  <c r="AW1299" i="1"/>
  <c r="AW1284" i="1"/>
  <c r="AV1275" i="1"/>
  <c r="AU1275" i="1"/>
  <c r="AV1267" i="1"/>
  <c r="AU1267" i="1"/>
  <c r="AV1259" i="1"/>
  <c r="AU1259" i="1"/>
  <c r="AV1238" i="1"/>
  <c r="AU1238" i="1"/>
  <c r="AW1181" i="1"/>
  <c r="AT1301" i="1"/>
  <c r="AT1299" i="1"/>
  <c r="AT1284" i="1"/>
  <c r="AS1275" i="1"/>
  <c r="AR1275" i="1"/>
  <c r="AS1267" i="1"/>
  <c r="AR1267" i="1"/>
  <c r="AS1259" i="1"/>
  <c r="AR1259" i="1"/>
  <c r="AS1238" i="1"/>
  <c r="AR1238" i="1"/>
  <c r="AT1181" i="1"/>
  <c r="AQ1301" i="1"/>
  <c r="AQ1299" i="1"/>
  <c r="AQ1284" i="1"/>
  <c r="AP1275" i="1"/>
  <c r="AO1275" i="1"/>
  <c r="AP1267" i="1"/>
  <c r="AO1267" i="1"/>
  <c r="AP1259" i="1"/>
  <c r="AO1259" i="1"/>
  <c r="AP1238" i="1"/>
  <c r="AO1238" i="1"/>
  <c r="AQ1181" i="1"/>
  <c r="BR1107" i="1"/>
  <c r="BR1086" i="1"/>
  <c r="BR1065" i="1"/>
  <c r="BR1044" i="1"/>
  <c r="BR1023" i="1"/>
  <c r="BR1001" i="1"/>
  <c r="BR980" i="1"/>
  <c r="BR959" i="1"/>
  <c r="BR938" i="1"/>
  <c r="BR917" i="1"/>
  <c r="BR896" i="1"/>
  <c r="BR875" i="1"/>
  <c r="BR854" i="1"/>
  <c r="BR833" i="1"/>
  <c r="BR812" i="1"/>
  <c r="BR791" i="1"/>
  <c r="BR771" i="1"/>
  <c r="BO1107" i="1"/>
  <c r="BO1086" i="1"/>
  <c r="BO1065" i="1"/>
  <c r="BO1044" i="1"/>
  <c r="BO1023" i="1"/>
  <c r="BO1001" i="1"/>
  <c r="BO980" i="1"/>
  <c r="BO959" i="1"/>
  <c r="BO938" i="1"/>
  <c r="BO917" i="1"/>
  <c r="BO896" i="1"/>
  <c r="BO875" i="1"/>
  <c r="BO854" i="1"/>
  <c r="BO833" i="1"/>
  <c r="BO812" i="1"/>
  <c r="BO791" i="1"/>
  <c r="BO771" i="1"/>
  <c r="BL1107" i="1"/>
  <c r="BL1086" i="1"/>
  <c r="BL1065" i="1"/>
  <c r="BL1044" i="1"/>
  <c r="BL1023" i="1"/>
  <c r="BL1001" i="1"/>
  <c r="BL980" i="1"/>
  <c r="BL959" i="1"/>
  <c r="BL938" i="1"/>
  <c r="BL917" i="1"/>
  <c r="BL896" i="1"/>
  <c r="BL875" i="1"/>
  <c r="BL854" i="1"/>
  <c r="BL833" i="1"/>
  <c r="BL812" i="1"/>
  <c r="BL791" i="1"/>
  <c r="BL771" i="1"/>
  <c r="BI1107" i="1"/>
  <c r="BI1086" i="1"/>
  <c r="BI1065" i="1"/>
  <c r="BI1044" i="1"/>
  <c r="BI1023" i="1"/>
  <c r="BI1001" i="1"/>
  <c r="BI980" i="1"/>
  <c r="BI959" i="1"/>
  <c r="BI938" i="1"/>
  <c r="BI917" i="1"/>
  <c r="BI896" i="1"/>
  <c r="BI875" i="1"/>
  <c r="BI854" i="1"/>
  <c r="BI833" i="1"/>
  <c r="BI812" i="1"/>
  <c r="BI791" i="1"/>
  <c r="BI771" i="1"/>
  <c r="BF1107" i="1"/>
  <c r="BF1086" i="1"/>
  <c r="BF1065" i="1"/>
  <c r="BF1044" i="1"/>
  <c r="BF1023" i="1"/>
  <c r="BF1001" i="1"/>
  <c r="BF980" i="1"/>
  <c r="BF959" i="1"/>
  <c r="BF938" i="1"/>
  <c r="BF917" i="1"/>
  <c r="BF896" i="1"/>
  <c r="BF875" i="1"/>
  <c r="BF854" i="1"/>
  <c r="BF833" i="1"/>
  <c r="BF812" i="1"/>
  <c r="BF791" i="1"/>
  <c r="BF771" i="1"/>
  <c r="BC1107" i="1"/>
  <c r="BC1086" i="1"/>
  <c r="BC1065" i="1"/>
  <c r="BC1044" i="1"/>
  <c r="BC1023" i="1"/>
  <c r="BC1001" i="1"/>
  <c r="BC980" i="1"/>
  <c r="BC959" i="1"/>
  <c r="BC938" i="1"/>
  <c r="BC917" i="1"/>
  <c r="BC896" i="1"/>
  <c r="BC875" i="1"/>
  <c r="BC854" i="1"/>
  <c r="BC833" i="1"/>
  <c r="BC812" i="1"/>
  <c r="BC791" i="1"/>
  <c r="BC771" i="1"/>
  <c r="AZ1107" i="1"/>
  <c r="AZ1086" i="1"/>
  <c r="AZ1065" i="1"/>
  <c r="AZ1044" i="1"/>
  <c r="AZ1023" i="1"/>
  <c r="AZ1001" i="1"/>
  <c r="AZ980" i="1"/>
  <c r="AZ959" i="1"/>
  <c r="AZ938" i="1"/>
  <c r="AZ917" i="1"/>
  <c r="AZ896" i="1"/>
  <c r="AZ875" i="1"/>
  <c r="AZ854" i="1"/>
  <c r="AZ833" i="1"/>
  <c r="AZ812" i="1"/>
  <c r="AZ791" i="1"/>
  <c r="AZ771" i="1"/>
  <c r="AW1107" i="1"/>
  <c r="AW1086" i="1"/>
  <c r="AW1065" i="1"/>
  <c r="AW1044" i="1"/>
  <c r="AW1023" i="1"/>
  <c r="AW1001" i="1"/>
  <c r="AW980" i="1"/>
  <c r="AW959" i="1"/>
  <c r="AW938" i="1"/>
  <c r="AW917" i="1"/>
  <c r="AW896" i="1"/>
  <c r="AW875" i="1"/>
  <c r="AW854" i="1"/>
  <c r="AW833" i="1"/>
  <c r="AW812" i="1"/>
  <c r="AW791" i="1"/>
  <c r="AW771" i="1"/>
  <c r="AT1107" i="1"/>
  <c r="AT1086" i="1"/>
  <c r="AT1065" i="1"/>
  <c r="AT1044" i="1"/>
  <c r="AT1023" i="1"/>
  <c r="AT1001" i="1"/>
  <c r="AT980" i="1"/>
  <c r="AT959" i="1"/>
  <c r="AT938" i="1"/>
  <c r="AT917" i="1"/>
  <c r="AT896" i="1"/>
  <c r="AT875" i="1"/>
  <c r="AT854" i="1"/>
  <c r="AT833" i="1"/>
  <c r="AT812" i="1"/>
  <c r="AT791" i="1"/>
  <c r="AT771" i="1"/>
  <c r="AQ1107" i="1"/>
  <c r="AQ1086" i="1"/>
  <c r="AQ1065" i="1"/>
  <c r="AQ1044" i="1"/>
  <c r="AQ1023" i="1"/>
  <c r="AQ1001" i="1"/>
  <c r="AQ980" i="1"/>
  <c r="AQ959" i="1"/>
  <c r="AQ938" i="1"/>
  <c r="AQ917" i="1"/>
  <c r="AQ896" i="1"/>
  <c r="AQ875" i="1"/>
  <c r="AQ854" i="1"/>
  <c r="AQ833" i="1"/>
  <c r="AQ812" i="1"/>
  <c r="AQ791" i="1"/>
  <c r="AQ771" i="1"/>
  <c r="BR731" i="1"/>
  <c r="BO731" i="1"/>
  <c r="BL731" i="1"/>
  <c r="BI731" i="1"/>
  <c r="BF731" i="1"/>
  <c r="BC731" i="1"/>
  <c r="AZ731" i="1"/>
  <c r="AW731" i="1"/>
  <c r="AT731" i="1"/>
  <c r="AQ731" i="1"/>
  <c r="BQ708" i="1"/>
  <c r="BP708" i="1"/>
  <c r="BQ705" i="1"/>
  <c r="BP705" i="1"/>
  <c r="BQ700" i="1"/>
  <c r="BP700" i="1"/>
  <c r="BQ697" i="1"/>
  <c r="BP697" i="1"/>
  <c r="BN708" i="1"/>
  <c r="BM708" i="1"/>
  <c r="BN705" i="1"/>
  <c r="BM705" i="1"/>
  <c r="BN700" i="1"/>
  <c r="BM700" i="1"/>
  <c r="BN697" i="1"/>
  <c r="BM697" i="1"/>
  <c r="BK708" i="1"/>
  <c r="BJ708" i="1"/>
  <c r="BK705" i="1"/>
  <c r="BJ705" i="1"/>
  <c r="BK700" i="1"/>
  <c r="BJ700" i="1"/>
  <c r="BK697" i="1"/>
  <c r="BJ697" i="1"/>
  <c r="BH708" i="1"/>
  <c r="BG708" i="1"/>
  <c r="BH705" i="1"/>
  <c r="BG705" i="1"/>
  <c r="BH700" i="1"/>
  <c r="BG700" i="1"/>
  <c r="BH697" i="1"/>
  <c r="BG697" i="1"/>
  <c r="BE708" i="1"/>
  <c r="BD708" i="1"/>
  <c r="BE705" i="1"/>
  <c r="BD705" i="1"/>
  <c r="BE700" i="1"/>
  <c r="BD700" i="1"/>
  <c r="BE697" i="1"/>
  <c r="BD697" i="1"/>
  <c r="BB708" i="1"/>
  <c r="BA708" i="1"/>
  <c r="BB705" i="1"/>
  <c r="BA705" i="1"/>
  <c r="BB700" i="1"/>
  <c r="BA700" i="1"/>
  <c r="BB697" i="1"/>
  <c r="BA697" i="1"/>
  <c r="AY708" i="1"/>
  <c r="AX708" i="1"/>
  <c r="AY705" i="1"/>
  <c r="AX705" i="1"/>
  <c r="AY700" i="1"/>
  <c r="AX700" i="1"/>
  <c r="AY697" i="1"/>
  <c r="AX697" i="1"/>
  <c r="AV708" i="1"/>
  <c r="AU708" i="1"/>
  <c r="AV705" i="1"/>
  <c r="AU705" i="1"/>
  <c r="AV700" i="1"/>
  <c r="AU700" i="1"/>
  <c r="AV697" i="1"/>
  <c r="AU697" i="1"/>
  <c r="AS708" i="1"/>
  <c r="AR708" i="1"/>
  <c r="AS705" i="1"/>
  <c r="AR705" i="1"/>
  <c r="AS700" i="1"/>
  <c r="AR700" i="1"/>
  <c r="AS697" i="1"/>
  <c r="AR697" i="1"/>
  <c r="BR685" i="1"/>
  <c r="BR682" i="1"/>
  <c r="BR631" i="1"/>
  <c r="BO685" i="1"/>
  <c r="BO682" i="1"/>
  <c r="BO631" i="1"/>
  <c r="BL685" i="1"/>
  <c r="BL682" i="1"/>
  <c r="BL631" i="1"/>
  <c r="BI685" i="1"/>
  <c r="BI682" i="1"/>
  <c r="BI631" i="1"/>
  <c r="BF685" i="1"/>
  <c r="BF682" i="1"/>
  <c r="BF631" i="1"/>
  <c r="BC685" i="1"/>
  <c r="BC682" i="1"/>
  <c r="BC631" i="1"/>
  <c r="AZ685" i="1"/>
  <c r="AZ682" i="1"/>
  <c r="AZ631" i="1"/>
  <c r="AW685" i="1"/>
  <c r="AW682" i="1"/>
  <c r="AW631" i="1"/>
  <c r="AT685" i="1"/>
  <c r="AT682" i="1"/>
  <c r="AT631" i="1"/>
  <c r="AQ685" i="1"/>
  <c r="AQ682" i="1"/>
  <c r="AQ631" i="1"/>
  <c r="BR537" i="1"/>
  <c r="BR530" i="1"/>
  <c r="BR522" i="1"/>
  <c r="BR521" i="1"/>
  <c r="BR519" i="1"/>
  <c r="BR518" i="1"/>
  <c r="BR517" i="1"/>
  <c r="BR515" i="1"/>
  <c r="BR514" i="1"/>
  <c r="BR512" i="1"/>
  <c r="BR511" i="1"/>
  <c r="BR491" i="1"/>
  <c r="BR490" i="1"/>
  <c r="BR487" i="1"/>
  <c r="BR483" i="1"/>
  <c r="BR482" i="1"/>
  <c r="BR480" i="1"/>
  <c r="BR479" i="1"/>
  <c r="BR478" i="1"/>
  <c r="BR476" i="1"/>
  <c r="BR475" i="1"/>
  <c r="BR473" i="1"/>
  <c r="BR472" i="1"/>
  <c r="BR452" i="1"/>
  <c r="BR451" i="1"/>
  <c r="BR448" i="1"/>
  <c r="BR444" i="1"/>
  <c r="BR443" i="1"/>
  <c r="BR441" i="1"/>
  <c r="BR440" i="1"/>
  <c r="BR439" i="1"/>
  <c r="BR437" i="1"/>
  <c r="BR436" i="1"/>
  <c r="BR434" i="1"/>
  <c r="BR433" i="1"/>
  <c r="BR405" i="1"/>
  <c r="BR400" i="1"/>
  <c r="BR397" i="1"/>
  <c r="BR394" i="1"/>
  <c r="BO537" i="1"/>
  <c r="BO530" i="1"/>
  <c r="BO522" i="1"/>
  <c r="BO521" i="1"/>
  <c r="BO519" i="1"/>
  <c r="BO518" i="1"/>
  <c r="BO517" i="1"/>
  <c r="BO515" i="1"/>
  <c r="BO514" i="1"/>
  <c r="BO512" i="1"/>
  <c r="BO511" i="1"/>
  <c r="BO491" i="1"/>
  <c r="BO490" i="1"/>
  <c r="BO487" i="1"/>
  <c r="BO483" i="1"/>
  <c r="BO482" i="1"/>
  <c r="BO480" i="1"/>
  <c r="BO479" i="1"/>
  <c r="BO478" i="1"/>
  <c r="BO476" i="1"/>
  <c r="BO475" i="1"/>
  <c r="BO473" i="1"/>
  <c r="BO472" i="1"/>
  <c r="BO452" i="1"/>
  <c r="BO451" i="1"/>
  <c r="BO448" i="1"/>
  <c r="BO444" i="1"/>
  <c r="BO443" i="1"/>
  <c r="BO441" i="1"/>
  <c r="BO440" i="1"/>
  <c r="BO439" i="1"/>
  <c r="BO437" i="1"/>
  <c r="BO436" i="1"/>
  <c r="BO434" i="1"/>
  <c r="BO433" i="1"/>
  <c r="BO394" i="1"/>
  <c r="BL537" i="1"/>
  <c r="BL530" i="1"/>
  <c r="BL522" i="1"/>
  <c r="BL521" i="1"/>
  <c r="BL519" i="1"/>
  <c r="BL518" i="1"/>
  <c r="BL517" i="1"/>
  <c r="BL515" i="1"/>
  <c r="BL514" i="1"/>
  <c r="BL512" i="1"/>
  <c r="BL511" i="1"/>
  <c r="BL491" i="1"/>
  <c r="BL490" i="1"/>
  <c r="BL487" i="1"/>
  <c r="BL483" i="1"/>
  <c r="BL482" i="1"/>
  <c r="BL480" i="1"/>
  <c r="BL479" i="1"/>
  <c r="BL478" i="1"/>
  <c r="BL476" i="1"/>
  <c r="BL475" i="1"/>
  <c r="BL473" i="1"/>
  <c r="BL472" i="1"/>
  <c r="BL452" i="1"/>
  <c r="BL451" i="1"/>
  <c r="BL448" i="1"/>
  <c r="BL444" i="1"/>
  <c r="BL443" i="1"/>
  <c r="BL441" i="1"/>
  <c r="BL440" i="1"/>
  <c r="BL439" i="1"/>
  <c r="BL437" i="1"/>
  <c r="BL436" i="1"/>
  <c r="BL434" i="1"/>
  <c r="BL433" i="1"/>
  <c r="BL413" i="1"/>
  <c r="BL404" i="1"/>
  <c r="BL402" i="1"/>
  <c r="BL400" i="1"/>
  <c r="BL398" i="1"/>
  <c r="BL395" i="1"/>
  <c r="BL394" i="1"/>
  <c r="BI537" i="1"/>
  <c r="BI530" i="1"/>
  <c r="BI522" i="1"/>
  <c r="BI521" i="1"/>
  <c r="BI519" i="1"/>
  <c r="BI518" i="1"/>
  <c r="BI517" i="1"/>
  <c r="BI515" i="1"/>
  <c r="BI514" i="1"/>
  <c r="BI512" i="1"/>
  <c r="BI511" i="1"/>
  <c r="BI491" i="1"/>
  <c r="BI490" i="1"/>
  <c r="BI487" i="1"/>
  <c r="BI483" i="1"/>
  <c r="BI482" i="1"/>
  <c r="BI480" i="1"/>
  <c r="BI479" i="1"/>
  <c r="BI478" i="1"/>
  <c r="BI476" i="1"/>
  <c r="BI475" i="1"/>
  <c r="BI473" i="1"/>
  <c r="BI472" i="1"/>
  <c r="BI452" i="1"/>
  <c r="BI451" i="1"/>
  <c r="BI448" i="1"/>
  <c r="BI444" i="1"/>
  <c r="BI443" i="1"/>
  <c r="BI441" i="1"/>
  <c r="BI440" i="1"/>
  <c r="BI439" i="1"/>
  <c r="BI437" i="1"/>
  <c r="BI436" i="1"/>
  <c r="BI434" i="1"/>
  <c r="BI433" i="1"/>
  <c r="BI413" i="1"/>
  <c r="BI401" i="1"/>
  <c r="BI400" i="1"/>
  <c r="BI398" i="1"/>
  <c r="BI395" i="1"/>
  <c r="BI394" i="1"/>
  <c r="BF537" i="1"/>
  <c r="BF530" i="1"/>
  <c r="BF522" i="1"/>
  <c r="BF521" i="1"/>
  <c r="BF519" i="1"/>
  <c r="BF518" i="1"/>
  <c r="BF517" i="1"/>
  <c r="BF515" i="1"/>
  <c r="BF514" i="1"/>
  <c r="BF512" i="1"/>
  <c r="BF511" i="1"/>
  <c r="BF491" i="1"/>
  <c r="BF490" i="1"/>
  <c r="BF487" i="1"/>
  <c r="BF483" i="1"/>
  <c r="BF482" i="1"/>
  <c r="BF480" i="1"/>
  <c r="BF479" i="1"/>
  <c r="BF478" i="1"/>
  <c r="BF476" i="1"/>
  <c r="BF475" i="1"/>
  <c r="BF473" i="1"/>
  <c r="BF472" i="1"/>
  <c r="BF452" i="1"/>
  <c r="BF451" i="1"/>
  <c r="BF448" i="1"/>
  <c r="BF444" i="1"/>
  <c r="BF443" i="1"/>
  <c r="BF441" i="1"/>
  <c r="BF440" i="1"/>
  <c r="BF439" i="1"/>
  <c r="BF437" i="1"/>
  <c r="BF436" i="1"/>
  <c r="BF434" i="1"/>
  <c r="BF433" i="1"/>
  <c r="BF395" i="1"/>
  <c r="BF394" i="1"/>
  <c r="BC537" i="1"/>
  <c r="BC530" i="1"/>
  <c r="BC522" i="1"/>
  <c r="BC521" i="1"/>
  <c r="BC519" i="1"/>
  <c r="BC518" i="1"/>
  <c r="BC517" i="1"/>
  <c r="BC515" i="1"/>
  <c r="BC514" i="1"/>
  <c r="BC512" i="1"/>
  <c r="BC511" i="1"/>
  <c r="BC491" i="1"/>
  <c r="BC490" i="1"/>
  <c r="BC487" i="1"/>
  <c r="BC483" i="1"/>
  <c r="BC482" i="1"/>
  <c r="BC480" i="1"/>
  <c r="BC479" i="1"/>
  <c r="BC478" i="1"/>
  <c r="BC476" i="1"/>
  <c r="BC475" i="1"/>
  <c r="BC473" i="1"/>
  <c r="BC472" i="1"/>
  <c r="BC452" i="1"/>
  <c r="BC451" i="1"/>
  <c r="BC448" i="1"/>
  <c r="BC444" i="1"/>
  <c r="BC443" i="1"/>
  <c r="BC441" i="1"/>
  <c r="BC440" i="1"/>
  <c r="BC439" i="1"/>
  <c r="BC437" i="1"/>
  <c r="BC436" i="1"/>
  <c r="BC434" i="1"/>
  <c r="BC433" i="1"/>
  <c r="BC397" i="1"/>
  <c r="BC394" i="1"/>
  <c r="AZ537" i="1"/>
  <c r="AZ530" i="1"/>
  <c r="AZ522" i="1"/>
  <c r="AZ521" i="1"/>
  <c r="AZ519" i="1"/>
  <c r="AZ518" i="1"/>
  <c r="AZ517" i="1"/>
  <c r="AZ515" i="1"/>
  <c r="AZ514" i="1"/>
  <c r="AZ512" i="1"/>
  <c r="AZ511" i="1"/>
  <c r="AZ491" i="1"/>
  <c r="AZ490" i="1"/>
  <c r="AZ487" i="1"/>
  <c r="AZ483" i="1"/>
  <c r="AZ482" i="1"/>
  <c r="AZ480" i="1"/>
  <c r="AZ479" i="1"/>
  <c r="AZ478" i="1"/>
  <c r="AZ476" i="1"/>
  <c r="AZ475" i="1"/>
  <c r="AZ473" i="1"/>
  <c r="AZ472" i="1"/>
  <c r="AZ452" i="1"/>
  <c r="AZ451" i="1"/>
  <c r="AZ448" i="1"/>
  <c r="AZ444" i="1"/>
  <c r="AZ443" i="1"/>
  <c r="AZ441" i="1"/>
  <c r="AZ440" i="1"/>
  <c r="AZ439" i="1"/>
  <c r="AZ437" i="1"/>
  <c r="AZ436" i="1"/>
  <c r="AZ434" i="1"/>
  <c r="AZ433" i="1"/>
  <c r="AZ402" i="1"/>
  <c r="AZ400" i="1"/>
  <c r="AZ394" i="1"/>
  <c r="AW537" i="1"/>
  <c r="AW530" i="1"/>
  <c r="AW522" i="1"/>
  <c r="AW521" i="1"/>
  <c r="AW519" i="1"/>
  <c r="AW518" i="1"/>
  <c r="AW517" i="1"/>
  <c r="AW515" i="1"/>
  <c r="AW514" i="1"/>
  <c r="AW512" i="1"/>
  <c r="AW511" i="1"/>
  <c r="AW491" i="1"/>
  <c r="AW490" i="1"/>
  <c r="AW487" i="1"/>
  <c r="AW483" i="1"/>
  <c r="AW482" i="1"/>
  <c r="AW480" i="1"/>
  <c r="AW479" i="1"/>
  <c r="AW478" i="1"/>
  <c r="AW476" i="1"/>
  <c r="AW475" i="1"/>
  <c r="AW473" i="1"/>
  <c r="AW472" i="1"/>
  <c r="AW452" i="1"/>
  <c r="AW451" i="1"/>
  <c r="AW448" i="1"/>
  <c r="AW444" i="1"/>
  <c r="AW443" i="1"/>
  <c r="AW441" i="1"/>
  <c r="AW440" i="1"/>
  <c r="AW439" i="1"/>
  <c r="AW437" i="1"/>
  <c r="AW436" i="1"/>
  <c r="AW434" i="1"/>
  <c r="AW433" i="1"/>
  <c r="AW413" i="1"/>
  <c r="AW404" i="1"/>
  <c r="AW401" i="1"/>
  <c r="AW394" i="1"/>
  <c r="AT537" i="1"/>
  <c r="AT530" i="1"/>
  <c r="AT522" i="1"/>
  <c r="AT521" i="1"/>
  <c r="AT519" i="1"/>
  <c r="AT518" i="1"/>
  <c r="AT517" i="1"/>
  <c r="AT515" i="1"/>
  <c r="AT514" i="1"/>
  <c r="AT512" i="1"/>
  <c r="AT511" i="1"/>
  <c r="AT491" i="1"/>
  <c r="AT490" i="1"/>
  <c r="AT487" i="1"/>
  <c r="AT483" i="1"/>
  <c r="AT482" i="1"/>
  <c r="AT480" i="1"/>
  <c r="AT479" i="1"/>
  <c r="AT478" i="1"/>
  <c r="AT476" i="1"/>
  <c r="AT475" i="1"/>
  <c r="AT473" i="1"/>
  <c r="AT472" i="1"/>
  <c r="AT452" i="1"/>
  <c r="AT451" i="1"/>
  <c r="AT448" i="1"/>
  <c r="AT444" i="1"/>
  <c r="AT443" i="1"/>
  <c r="AT441" i="1"/>
  <c r="AT440" i="1"/>
  <c r="AT439" i="1"/>
  <c r="AT437" i="1"/>
  <c r="AT436" i="1"/>
  <c r="AT434" i="1"/>
  <c r="AT433" i="1"/>
  <c r="AT413" i="1"/>
  <c r="AT404" i="1"/>
  <c r="AT395" i="1"/>
  <c r="AT394" i="1"/>
  <c r="AQ537" i="1"/>
  <c r="AQ530" i="1"/>
  <c r="AQ522" i="1"/>
  <c r="AQ521" i="1"/>
  <c r="AQ519" i="1"/>
  <c r="AQ518" i="1"/>
  <c r="AQ517" i="1"/>
  <c r="AQ515" i="1"/>
  <c r="AQ514" i="1"/>
  <c r="AQ512" i="1"/>
  <c r="AQ511" i="1"/>
  <c r="AQ491" i="1"/>
  <c r="AQ490" i="1"/>
  <c r="AQ487" i="1"/>
  <c r="AQ483" i="1"/>
  <c r="AQ482" i="1"/>
  <c r="AQ480" i="1"/>
  <c r="AQ479" i="1"/>
  <c r="AQ478" i="1"/>
  <c r="AQ476" i="1"/>
  <c r="AQ475" i="1"/>
  <c r="AQ473" i="1"/>
  <c r="AQ472" i="1"/>
  <c r="AQ452" i="1"/>
  <c r="AQ451" i="1"/>
  <c r="AQ448" i="1"/>
  <c r="AQ444" i="1"/>
  <c r="AQ443" i="1"/>
  <c r="AQ441" i="1"/>
  <c r="AQ440" i="1"/>
  <c r="AQ439" i="1"/>
  <c r="AQ437" i="1"/>
  <c r="AQ436" i="1"/>
  <c r="AQ434" i="1"/>
  <c r="AQ433" i="1"/>
  <c r="AQ394" i="1"/>
  <c r="AS376" i="1"/>
  <c r="AV376" i="1" s="1"/>
  <c r="AY376" i="1" s="1"/>
  <c r="BB376" i="1" s="1"/>
  <c r="BE376" i="1" s="1"/>
  <c r="BH376" i="1" s="1"/>
  <c r="BK376" i="1" s="1"/>
  <c r="BN376" i="1" s="1"/>
  <c r="BQ376" i="1" s="1"/>
  <c r="BQ368" i="1"/>
  <c r="BQ366" i="1" s="1"/>
  <c r="BR369" i="1"/>
  <c r="BR367" i="1"/>
  <c r="BR365" i="1"/>
  <c r="BR361" i="1"/>
  <c r="BR358" i="1"/>
  <c r="BR353" i="1"/>
  <c r="BR350" i="1"/>
  <c r="BR346" i="1"/>
  <c r="BR343" i="1"/>
  <c r="BQ317" i="1"/>
  <c r="BQ315" i="1" s="1"/>
  <c r="BR318" i="1"/>
  <c r="BR316" i="1"/>
  <c r="BR314" i="1"/>
  <c r="BR312" i="1"/>
  <c r="BR309" i="1"/>
  <c r="BR307" i="1"/>
  <c r="BR305" i="1"/>
  <c r="BR302" i="1"/>
  <c r="BR300" i="1"/>
  <c r="BR297" i="1"/>
  <c r="BR295" i="1"/>
  <c r="BN368" i="1"/>
  <c r="BN366" i="1" s="1"/>
  <c r="BO369" i="1"/>
  <c r="BM368" i="1"/>
  <c r="BM366" i="1" s="1"/>
  <c r="BO367" i="1"/>
  <c r="BO365" i="1"/>
  <c r="BO361" i="1"/>
  <c r="BO358" i="1"/>
  <c r="BO353" i="1"/>
  <c r="BO350" i="1"/>
  <c r="BO346" i="1"/>
  <c r="BO343" i="1"/>
  <c r="BM317" i="1"/>
  <c r="BM315" i="1" s="1"/>
  <c r="BO318" i="1"/>
  <c r="BO316" i="1"/>
  <c r="BO314" i="1"/>
  <c r="BO312" i="1"/>
  <c r="BO309" i="1"/>
  <c r="BO307" i="1"/>
  <c r="BO305" i="1"/>
  <c r="BO302" i="1"/>
  <c r="BO300" i="1"/>
  <c r="BO297" i="1"/>
  <c r="BO295" i="1"/>
  <c r="BK368" i="1"/>
  <c r="BK366" i="1" s="1"/>
  <c r="BJ368" i="1"/>
  <c r="BJ366" i="1" s="1"/>
  <c r="BL369" i="1"/>
  <c r="BL367" i="1"/>
  <c r="BL365" i="1"/>
  <c r="BL361" i="1"/>
  <c r="BL358" i="1"/>
  <c r="BL353" i="1"/>
  <c r="BL350" i="1"/>
  <c r="BL346" i="1"/>
  <c r="BL343" i="1"/>
  <c r="BJ317" i="1"/>
  <c r="BJ315" i="1" s="1"/>
  <c r="BJ656" i="1" s="1"/>
  <c r="BL318" i="1"/>
  <c r="BL316" i="1"/>
  <c r="BL314" i="1"/>
  <c r="BL312" i="1"/>
  <c r="BL309" i="1"/>
  <c r="BL307" i="1"/>
  <c r="BL305" i="1"/>
  <c r="BL302" i="1"/>
  <c r="BL300" i="1"/>
  <c r="BL297" i="1"/>
  <c r="BL295" i="1"/>
  <c r="BH368" i="1"/>
  <c r="BH366" i="1" s="1"/>
  <c r="BH1221" i="1" s="1"/>
  <c r="BI369" i="1"/>
  <c r="BI367" i="1"/>
  <c r="BI365" i="1"/>
  <c r="BI361" i="1"/>
  <c r="BI358" i="1"/>
  <c r="BI353" i="1"/>
  <c r="BI350" i="1"/>
  <c r="BI346" i="1"/>
  <c r="BI343" i="1"/>
  <c r="BG317" i="1"/>
  <c r="BG315" i="1" s="1"/>
  <c r="BG640" i="1" s="1"/>
  <c r="BI318" i="1"/>
  <c r="BI316" i="1"/>
  <c r="BI314" i="1"/>
  <c r="BI312" i="1"/>
  <c r="BI309" i="1"/>
  <c r="BI307" i="1"/>
  <c r="BI305" i="1"/>
  <c r="BI302" i="1"/>
  <c r="BI300" i="1"/>
  <c r="BI297" i="1"/>
  <c r="BI295" i="1"/>
  <c r="BE368" i="1"/>
  <c r="BE366" i="1" s="1"/>
  <c r="BE1221" i="1" s="1"/>
  <c r="BD368" i="1"/>
  <c r="BD366" i="1" s="1"/>
  <c r="BF369" i="1"/>
  <c r="BF367" i="1"/>
  <c r="BF365" i="1"/>
  <c r="BF361" i="1"/>
  <c r="BF358" i="1"/>
  <c r="BF353" i="1"/>
  <c r="BF350" i="1"/>
  <c r="BF346" i="1"/>
  <c r="BF343" i="1"/>
  <c r="BD317" i="1"/>
  <c r="BD315" i="1" s="1"/>
  <c r="BD664" i="1" s="1"/>
  <c r="BF318" i="1"/>
  <c r="BF316" i="1"/>
  <c r="BF314" i="1"/>
  <c r="BF312" i="1"/>
  <c r="BF309" i="1"/>
  <c r="BF307" i="1"/>
  <c r="BF305" i="1"/>
  <c r="BF302" i="1"/>
  <c r="BF300" i="1"/>
  <c r="BF297" i="1"/>
  <c r="BF295" i="1"/>
  <c r="BB368" i="1"/>
  <c r="BB366" i="1" s="1"/>
  <c r="BA368" i="1"/>
  <c r="BC369" i="1"/>
  <c r="BC367" i="1"/>
  <c r="BC365" i="1"/>
  <c r="BC361" i="1"/>
  <c r="BC358" i="1"/>
  <c r="BC353" i="1"/>
  <c r="BC350" i="1"/>
  <c r="BC346" i="1"/>
  <c r="BC343" i="1"/>
  <c r="BA317" i="1"/>
  <c r="BA315" i="1" s="1"/>
  <c r="BC318" i="1"/>
  <c r="BC316" i="1"/>
  <c r="BC314" i="1"/>
  <c r="BC312" i="1"/>
  <c r="BC309" i="1"/>
  <c r="BC307" i="1"/>
  <c r="BC305" i="1"/>
  <c r="BC302" i="1"/>
  <c r="BC300" i="1"/>
  <c r="BC297" i="1"/>
  <c r="BC295" i="1"/>
  <c r="AY368" i="1"/>
  <c r="AZ369" i="1"/>
  <c r="AX368" i="1"/>
  <c r="AX366" i="1" s="1"/>
  <c r="AX1214" i="1" s="1"/>
  <c r="AZ367" i="1"/>
  <c r="AZ365" i="1"/>
  <c r="AZ361" i="1"/>
  <c r="AZ358" i="1"/>
  <c r="AZ353" i="1"/>
  <c r="AZ350" i="1"/>
  <c r="AZ346" i="1"/>
  <c r="AZ343" i="1"/>
  <c r="AY317" i="1"/>
  <c r="AY315" i="1" s="1"/>
  <c r="AY648" i="1" s="1"/>
  <c r="AZ318" i="1"/>
  <c r="AZ316" i="1"/>
  <c r="AZ314" i="1"/>
  <c r="AZ312" i="1"/>
  <c r="AZ309" i="1"/>
  <c r="AZ307" i="1"/>
  <c r="AZ305" i="1"/>
  <c r="AZ302" i="1"/>
  <c r="AZ300" i="1"/>
  <c r="AZ297" i="1"/>
  <c r="AZ295" i="1"/>
  <c r="AV368" i="1"/>
  <c r="AV366" i="1" s="1"/>
  <c r="AV1272" i="1" s="1"/>
  <c r="AU368" i="1"/>
  <c r="AW369" i="1"/>
  <c r="AW367" i="1"/>
  <c r="AW365" i="1"/>
  <c r="AW361" i="1"/>
  <c r="AW358" i="1"/>
  <c r="AW353" i="1"/>
  <c r="AW350" i="1"/>
  <c r="AW346" i="1"/>
  <c r="AW343" i="1"/>
  <c r="AW318" i="1"/>
  <c r="AU317" i="1"/>
  <c r="AU315" i="1" s="1"/>
  <c r="AW316" i="1"/>
  <c r="AW314" i="1"/>
  <c r="AW312" i="1"/>
  <c r="AW309" i="1"/>
  <c r="AW307" i="1"/>
  <c r="AW305" i="1"/>
  <c r="AW302" i="1"/>
  <c r="AW300" i="1"/>
  <c r="AW297" i="1"/>
  <c r="AW295" i="1"/>
  <c r="AS368" i="1"/>
  <c r="AS366" i="1" s="1"/>
  <c r="AR368" i="1"/>
  <c r="AR366" i="1" s="1"/>
  <c r="AR1228" i="1" s="1"/>
  <c r="AT369" i="1"/>
  <c r="AT367" i="1"/>
  <c r="AT365" i="1"/>
  <c r="AT361" i="1"/>
  <c r="AT358" i="1"/>
  <c r="AT353" i="1"/>
  <c r="AT350" i="1"/>
  <c r="AT346" i="1"/>
  <c r="AT343" i="1"/>
  <c r="AR317" i="1"/>
  <c r="AR315" i="1" s="1"/>
  <c r="AR648" i="1" s="1"/>
  <c r="AT318" i="1"/>
  <c r="AT316" i="1"/>
  <c r="AT314" i="1"/>
  <c r="AT312" i="1"/>
  <c r="AT309" i="1"/>
  <c r="AT307" i="1"/>
  <c r="AT305" i="1"/>
  <c r="AT302" i="1"/>
  <c r="AT300" i="1"/>
  <c r="AT297" i="1"/>
  <c r="AT295" i="1"/>
  <c r="AQ369" i="1"/>
  <c r="AQ367" i="1"/>
  <c r="AQ365" i="1"/>
  <c r="AQ361" i="1"/>
  <c r="AQ358" i="1"/>
  <c r="AQ353" i="1"/>
  <c r="AQ350" i="1"/>
  <c r="AQ346" i="1"/>
  <c r="AQ343" i="1"/>
  <c r="AQ318" i="1"/>
  <c r="AQ316" i="1"/>
  <c r="AQ314" i="1"/>
  <c r="AQ312" i="1"/>
  <c r="AQ309" i="1"/>
  <c r="AQ307" i="1"/>
  <c r="AQ305" i="1"/>
  <c r="AQ302" i="1"/>
  <c r="AQ300" i="1"/>
  <c r="AQ297" i="1"/>
  <c r="AQ295" i="1"/>
  <c r="BQ166" i="1"/>
  <c r="BP166" i="1"/>
  <c r="BR164" i="1"/>
  <c r="BQ160" i="1"/>
  <c r="BP160" i="1"/>
  <c r="BR158" i="1"/>
  <c r="BN166" i="1"/>
  <c r="BM166" i="1"/>
  <c r="BO164" i="1"/>
  <c r="BN160" i="1"/>
  <c r="BM160" i="1"/>
  <c r="BO158" i="1"/>
  <c r="BK166" i="1"/>
  <c r="BJ166" i="1"/>
  <c r="BL164" i="1"/>
  <c r="BK160" i="1"/>
  <c r="BJ160" i="1"/>
  <c r="BL158" i="1"/>
  <c r="BH166" i="1"/>
  <c r="BG166" i="1"/>
  <c r="BI164" i="1"/>
  <c r="BH160" i="1"/>
  <c r="BG160" i="1"/>
  <c r="BI158" i="1"/>
  <c r="BE166" i="1"/>
  <c r="BD166" i="1"/>
  <c r="BF164" i="1"/>
  <c r="BE160" i="1"/>
  <c r="BD160" i="1"/>
  <c r="BF158" i="1"/>
  <c r="BB166" i="1"/>
  <c r="BA166" i="1"/>
  <c r="BC164" i="1"/>
  <c r="BB160" i="1"/>
  <c r="BA160" i="1"/>
  <c r="BC158" i="1"/>
  <c r="AY166" i="1"/>
  <c r="AX166" i="1"/>
  <c r="AZ164" i="1"/>
  <c r="AY160" i="1"/>
  <c r="AX160" i="1"/>
  <c r="AZ158" i="1"/>
  <c r="AV166" i="1"/>
  <c r="AU166" i="1"/>
  <c r="AW164" i="1"/>
  <c r="AV160" i="1"/>
  <c r="AU160" i="1"/>
  <c r="AW158" i="1"/>
  <c r="AS166" i="1"/>
  <c r="AR166" i="1"/>
  <c r="AT164" i="1"/>
  <c r="AS160" i="1"/>
  <c r="AR160" i="1"/>
  <c r="AT158" i="1"/>
  <c r="AP166" i="1"/>
  <c r="AO166" i="1"/>
  <c r="AQ164" i="1"/>
  <c r="AP160" i="1"/>
  <c r="AO160" i="1"/>
  <c r="AQ158" i="1"/>
  <c r="BR138" i="1"/>
  <c r="BR135" i="1"/>
  <c r="BO138" i="1"/>
  <c r="BO135" i="1"/>
  <c r="BL138" i="1"/>
  <c r="BL135" i="1"/>
  <c r="BI138" i="1"/>
  <c r="BI135" i="1"/>
  <c r="BF138" i="1"/>
  <c r="BF135" i="1"/>
  <c r="BC138" i="1"/>
  <c r="BC135" i="1"/>
  <c r="AZ138" i="1"/>
  <c r="AZ135" i="1"/>
  <c r="AW138" i="1"/>
  <c r="AW135" i="1"/>
  <c r="AT138" i="1"/>
  <c r="AT135" i="1"/>
  <c r="AQ138" i="1"/>
  <c r="AQ135" i="1"/>
  <c r="BQ111" i="1"/>
  <c r="BQ114" i="1" s="1"/>
  <c r="BP111" i="1"/>
  <c r="BP114" i="1" s="1"/>
  <c r="BQ109" i="1"/>
  <c r="BP109" i="1"/>
  <c r="BR108" i="1"/>
  <c r="BR107" i="1"/>
  <c r="BN111" i="1"/>
  <c r="BN114" i="1" s="1"/>
  <c r="BM111" i="1"/>
  <c r="BM114" i="1" s="1"/>
  <c r="BN109" i="1"/>
  <c r="BM109" i="1"/>
  <c r="BO108" i="1"/>
  <c r="BO107" i="1"/>
  <c r="BK111" i="1"/>
  <c r="BK114" i="1" s="1"/>
  <c r="BJ111" i="1"/>
  <c r="BK109" i="1"/>
  <c r="BJ109" i="1"/>
  <c r="BL108" i="1"/>
  <c r="BL107" i="1"/>
  <c r="BH111" i="1"/>
  <c r="BG111" i="1"/>
  <c r="BG114" i="1" s="1"/>
  <c r="BH109" i="1"/>
  <c r="BG109" i="1"/>
  <c r="BI108" i="1"/>
  <c r="BI107" i="1"/>
  <c r="BE111" i="1"/>
  <c r="BE114" i="1" s="1"/>
  <c r="BD111" i="1"/>
  <c r="BD114" i="1" s="1"/>
  <c r="BE109" i="1"/>
  <c r="BD109" i="1"/>
  <c r="BF108" i="1"/>
  <c r="BF107" i="1"/>
  <c r="BB111" i="1"/>
  <c r="BB114" i="1" s="1"/>
  <c r="BA111" i="1"/>
  <c r="BA114" i="1" s="1"/>
  <c r="BB109" i="1"/>
  <c r="BA109" i="1"/>
  <c r="BC108" i="1"/>
  <c r="BC107" i="1"/>
  <c r="AY111" i="1"/>
  <c r="AY114" i="1" s="1"/>
  <c r="AX111" i="1"/>
  <c r="AX114" i="1" s="1"/>
  <c r="AY109" i="1"/>
  <c r="AX109" i="1"/>
  <c r="AZ108" i="1"/>
  <c r="AZ107" i="1"/>
  <c r="AV111" i="1"/>
  <c r="AV114" i="1" s="1"/>
  <c r="AU111" i="1"/>
  <c r="AU114" i="1" s="1"/>
  <c r="AV109" i="1"/>
  <c r="AU109" i="1"/>
  <c r="AW108" i="1"/>
  <c r="AW107" i="1"/>
  <c r="AS111" i="1"/>
  <c r="AS114" i="1" s="1"/>
  <c r="AR111" i="1"/>
  <c r="AS109" i="1"/>
  <c r="AR109" i="1"/>
  <c r="AT108" i="1"/>
  <c r="AT107" i="1"/>
  <c r="AP111" i="1"/>
  <c r="AP114" i="1" s="1"/>
  <c r="AO111" i="1"/>
  <c r="AO114" i="1" s="1"/>
  <c r="AP109" i="1"/>
  <c r="AO109" i="1"/>
  <c r="AQ108" i="1"/>
  <c r="AQ107" i="1"/>
  <c r="BR13" i="1"/>
  <c r="BR60" i="1" s="1"/>
  <c r="BQ13" i="1"/>
  <c r="BQ60" i="1" s="1"/>
  <c r="BP13" i="1"/>
  <c r="BP60" i="1" s="1"/>
  <c r="BO13" i="1"/>
  <c r="BO60" i="1" s="1"/>
  <c r="BN13" i="1"/>
  <c r="BN60" i="1" s="1"/>
  <c r="BM13" i="1"/>
  <c r="BM60" i="1" s="1"/>
  <c r="BL13" i="1"/>
  <c r="BL60" i="1" s="1"/>
  <c r="BK13" i="1"/>
  <c r="BK60" i="1" s="1"/>
  <c r="BJ13" i="1"/>
  <c r="BJ60" i="1" s="1"/>
  <c r="BI13" i="1"/>
  <c r="BI60" i="1" s="1"/>
  <c r="BH13" i="1"/>
  <c r="BH60" i="1" s="1"/>
  <c r="BG13" i="1"/>
  <c r="BG60" i="1" s="1"/>
  <c r="BF13" i="1"/>
  <c r="BF60" i="1" s="1"/>
  <c r="BE13" i="1"/>
  <c r="BE60" i="1" s="1"/>
  <c r="BD13" i="1"/>
  <c r="BD60" i="1" s="1"/>
  <c r="BC13" i="1"/>
  <c r="BC60" i="1" s="1"/>
  <c r="BB13" i="1"/>
  <c r="BB60" i="1" s="1"/>
  <c r="BA13" i="1"/>
  <c r="BA60" i="1" s="1"/>
  <c r="AZ13" i="1"/>
  <c r="AZ60" i="1" s="1"/>
  <c r="AY13" i="1"/>
  <c r="AY60" i="1" s="1"/>
  <c r="AX13" i="1"/>
  <c r="AX60" i="1" s="1"/>
  <c r="AW13" i="1"/>
  <c r="AW60" i="1" s="1"/>
  <c r="AV13" i="1"/>
  <c r="AV60" i="1" s="1"/>
  <c r="AU13" i="1"/>
  <c r="AU60" i="1" s="1"/>
  <c r="AT13" i="1"/>
  <c r="AT60" i="1" s="1"/>
  <c r="AS13" i="1"/>
  <c r="AS60" i="1" s="1"/>
  <c r="AR13" i="1"/>
  <c r="AR60" i="1" s="1"/>
  <c r="AQ13" i="1"/>
  <c r="AQ60" i="1" s="1"/>
  <c r="AP13" i="1"/>
  <c r="AP60" i="1" s="1"/>
  <c r="AO13" i="1"/>
  <c r="AO60" i="1" s="1"/>
  <c r="V1195" i="1"/>
  <c r="Y1195" i="1"/>
  <c r="AB1195" i="1"/>
  <c r="Z1195" i="1"/>
  <c r="AE1195" i="1"/>
  <c r="AC1195" i="1"/>
  <c r="BC1238" i="1" l="1"/>
  <c r="AT405" i="1"/>
  <c r="BO401" i="1"/>
  <c r="BR395" i="1"/>
  <c r="AQ109" i="1"/>
  <c r="AW109" i="1"/>
  <c r="BC109" i="1"/>
  <c r="BO109" i="1"/>
  <c r="AZ319" i="1"/>
  <c r="AW397" i="1"/>
  <c r="AW400" i="1"/>
  <c r="AW402" i="1"/>
  <c r="AZ395" i="1"/>
  <c r="AZ398" i="1"/>
  <c r="BC398" i="1"/>
  <c r="BC401" i="1"/>
  <c r="BC413" i="1"/>
  <c r="BO397" i="1"/>
  <c r="BO402" i="1"/>
  <c r="BO405" i="1"/>
  <c r="AQ376" i="1"/>
  <c r="AR376" i="1"/>
  <c r="AT376" i="1" s="1"/>
  <c r="BC319" i="1"/>
  <c r="AW395" i="1"/>
  <c r="BP265" i="1"/>
  <c r="BR265" i="1" s="1"/>
  <c r="BO265" i="1"/>
  <c r="BR1238" i="1"/>
  <c r="AQ1259" i="1"/>
  <c r="BI1324" i="1"/>
  <c r="BO1332" i="1"/>
  <c r="AT319" i="1"/>
  <c r="BB317" i="1"/>
  <c r="BB315" i="1" s="1"/>
  <c r="BI1332" i="1"/>
  <c r="BR1332" i="1"/>
  <c r="AT401" i="1"/>
  <c r="BF404" i="1"/>
  <c r="AQ1275" i="1"/>
  <c r="AT1259" i="1"/>
  <c r="AZ1275" i="1"/>
  <c r="BF1275" i="1"/>
  <c r="BI1259" i="1"/>
  <c r="BL1275" i="1"/>
  <c r="BR1259" i="1"/>
  <c r="BL109" i="1"/>
  <c r="BL111" i="1"/>
  <c r="BR109" i="1"/>
  <c r="AZ368" i="1"/>
  <c r="AZ366" i="1" s="1"/>
  <c r="BI370" i="1"/>
  <c r="AT397" i="1"/>
  <c r="AT402" i="1"/>
  <c r="AZ397" i="1"/>
  <c r="BC405" i="1"/>
  <c r="BF397" i="1"/>
  <c r="BF402" i="1"/>
  <c r="BF405" i="1"/>
  <c r="BL401" i="1"/>
  <c r="BO395" i="1"/>
  <c r="BR398" i="1"/>
  <c r="AT1238" i="1"/>
  <c r="AW1238" i="1"/>
  <c r="AT1324" i="1"/>
  <c r="AZ1324" i="1"/>
  <c r="BC1324" i="1"/>
  <c r="BO1324" i="1"/>
  <c r="BF319" i="1"/>
  <c r="BE317" i="1"/>
  <c r="BE315" i="1" s="1"/>
  <c r="BG368" i="1"/>
  <c r="BI368" i="1" s="1"/>
  <c r="BI366" i="1" s="1"/>
  <c r="BL319" i="1"/>
  <c r="BK317" i="1"/>
  <c r="AW319" i="1"/>
  <c r="AV317" i="1"/>
  <c r="AV315" i="1" s="1"/>
  <c r="AV648" i="1" s="1"/>
  <c r="AX317" i="1"/>
  <c r="AZ317" i="1" s="1"/>
  <c r="AZ315" i="1" s="1"/>
  <c r="AZ370" i="1"/>
  <c r="BR319" i="1"/>
  <c r="BP317" i="1"/>
  <c r="BP315" i="1" s="1"/>
  <c r="BP640" i="1" s="1"/>
  <c r="BR370" i="1"/>
  <c r="BP368" i="1"/>
  <c r="BP366" i="1" s="1"/>
  <c r="BP1221" i="1" s="1"/>
  <c r="AS317" i="1"/>
  <c r="AS315" i="1" s="1"/>
  <c r="AS664" i="1" s="1"/>
  <c r="BO319" i="1"/>
  <c r="BL397" i="1"/>
  <c r="BO404" i="1"/>
  <c r="BI319" i="1"/>
  <c r="BN317" i="1"/>
  <c r="BO317" i="1" s="1"/>
  <c r="BO315" i="1" s="1"/>
  <c r="AT400" i="1"/>
  <c r="AZ405" i="1"/>
  <c r="BC404" i="1"/>
  <c r="BF400" i="1"/>
  <c r="BI404" i="1"/>
  <c r="BO400" i="1"/>
  <c r="BO413" i="1"/>
  <c r="BR402" i="1"/>
  <c r="AT370" i="1"/>
  <c r="AW370" i="1"/>
  <c r="BC370" i="1"/>
  <c r="BF370" i="1"/>
  <c r="BH317" i="1"/>
  <c r="BH315" i="1" s="1"/>
  <c r="BL370" i="1"/>
  <c r="BO370" i="1"/>
  <c r="AT398" i="1"/>
  <c r="AW398" i="1"/>
  <c r="AW405" i="1"/>
  <c r="AZ401" i="1"/>
  <c r="AZ404" i="1"/>
  <c r="AZ413" i="1"/>
  <c r="BC395" i="1"/>
  <c r="BC400" i="1"/>
  <c r="BC402" i="1"/>
  <c r="BF401" i="1"/>
  <c r="BF413" i="1"/>
  <c r="BI397" i="1"/>
  <c r="BI402" i="1"/>
  <c r="BI405" i="1"/>
  <c r="BL405" i="1"/>
  <c r="BO398" i="1"/>
  <c r="BR401" i="1"/>
  <c r="BR404" i="1"/>
  <c r="BR413" i="1"/>
  <c r="AT700" i="1"/>
  <c r="AT708" i="1"/>
  <c r="AW708" i="1"/>
  <c r="AZ700" i="1"/>
  <c r="AZ708" i="1"/>
  <c r="BC700" i="1"/>
  <c r="BI700" i="1"/>
  <c r="BO700" i="1"/>
  <c r="BR700" i="1"/>
  <c r="BR708" i="1"/>
  <c r="AT697" i="1"/>
  <c r="AT698" i="1" s="1"/>
  <c r="AW697" i="1"/>
  <c r="AW698" i="1" s="1"/>
  <c r="BI697" i="1"/>
  <c r="BI698" i="1" s="1"/>
  <c r="AT109" i="1"/>
  <c r="AT111" i="1"/>
  <c r="AZ109" i="1"/>
  <c r="AR656" i="1"/>
  <c r="AV1236" i="1"/>
  <c r="BE1228" i="1"/>
  <c r="BM648" i="1"/>
  <c r="BM656" i="1"/>
  <c r="BM640" i="1"/>
  <c r="BM664" i="1"/>
  <c r="BM1214" i="1"/>
  <c r="BM1236" i="1"/>
  <c r="AR640" i="1"/>
  <c r="BJ640" i="1"/>
  <c r="BH1236" i="1"/>
  <c r="BH1256" i="1"/>
  <c r="BH1264" i="1"/>
  <c r="BH1272" i="1"/>
  <c r="AR664" i="1"/>
  <c r="AR1256" i="1"/>
  <c r="BI1238" i="1"/>
  <c r="AT1332" i="1"/>
  <c r="BC1332" i="1"/>
  <c r="BI1267" i="1"/>
  <c r="BO1238" i="1"/>
  <c r="BF1267" i="1"/>
  <c r="BF1324" i="1"/>
  <c r="BO1275" i="1"/>
  <c r="AS1272" i="1"/>
  <c r="AS1264" i="1"/>
  <c r="AS1256" i="1"/>
  <c r="AS1236" i="1"/>
  <c r="AS1221" i="1"/>
  <c r="AS1214" i="1"/>
  <c r="AS1228" i="1"/>
  <c r="BQ656" i="1"/>
  <c r="BQ648" i="1"/>
  <c r="BQ640" i="1"/>
  <c r="BQ664" i="1"/>
  <c r="BI111" i="1"/>
  <c r="BH114" i="1"/>
  <c r="BI114" i="1" s="1"/>
  <c r="AU664" i="1"/>
  <c r="AU648" i="1"/>
  <c r="AU640" i="1"/>
  <c r="AU656" i="1"/>
  <c r="BA656" i="1"/>
  <c r="BA640" i="1"/>
  <c r="BA648" i="1"/>
  <c r="BD1228" i="1"/>
  <c r="BD1214" i="1"/>
  <c r="BD1221" i="1"/>
  <c r="BD1272" i="1"/>
  <c r="BD1236" i="1"/>
  <c r="BK1264" i="1"/>
  <c r="BK1221" i="1"/>
  <c r="BK1214" i="1"/>
  <c r="BN1272" i="1"/>
  <c r="BN1264" i="1"/>
  <c r="BN1256" i="1"/>
  <c r="BN1236" i="1"/>
  <c r="BN1221" i="1"/>
  <c r="BN1228" i="1"/>
  <c r="BB709" i="1"/>
  <c r="BE709" i="1"/>
  <c r="BD1256" i="1"/>
  <c r="BB1272" i="1"/>
  <c r="BB1264" i="1"/>
  <c r="BB1256" i="1"/>
  <c r="BB1236" i="1"/>
  <c r="BB1221" i="1"/>
  <c r="BB1228" i="1"/>
  <c r="BJ1272" i="1"/>
  <c r="BJ1264" i="1"/>
  <c r="BJ1256" i="1"/>
  <c r="BJ1236" i="1"/>
  <c r="BJ1221" i="1"/>
  <c r="BJ1228" i="1"/>
  <c r="BJ1214" i="1"/>
  <c r="AR1236" i="1"/>
  <c r="AR1264" i="1"/>
  <c r="AR1221" i="1"/>
  <c r="AR1272" i="1"/>
  <c r="AR1214" i="1"/>
  <c r="AW368" i="1"/>
  <c r="AW366" i="1" s="1"/>
  <c r="AU366" i="1"/>
  <c r="BG656" i="1"/>
  <c r="BG648" i="1"/>
  <c r="BQ1272" i="1"/>
  <c r="BQ1264" i="1"/>
  <c r="BQ1214" i="1"/>
  <c r="BQ1236" i="1"/>
  <c r="BQ1256" i="1"/>
  <c r="BQ1228" i="1"/>
  <c r="BA664" i="1"/>
  <c r="BB1214" i="1"/>
  <c r="BK1228" i="1"/>
  <c r="BK1256" i="1"/>
  <c r="BQ1221" i="1"/>
  <c r="AR114" i="1"/>
  <c r="AT114" i="1" s="1"/>
  <c r="AV1228" i="1"/>
  <c r="AV1214" i="1"/>
  <c r="AV1256" i="1"/>
  <c r="AV1264" i="1"/>
  <c r="AV1221" i="1"/>
  <c r="AY656" i="1"/>
  <c r="AY640" i="1"/>
  <c r="AY664" i="1"/>
  <c r="AY366" i="1"/>
  <c r="BC317" i="1"/>
  <c r="BC315" i="1" s="1"/>
  <c r="BD640" i="1"/>
  <c r="BD656" i="1"/>
  <c r="BE1272" i="1"/>
  <c r="BE1264" i="1"/>
  <c r="BE1256" i="1"/>
  <c r="BE1236" i="1"/>
  <c r="BE1214" i="1"/>
  <c r="BL368" i="1"/>
  <c r="BL366" i="1" s="1"/>
  <c r="BD648" i="1"/>
  <c r="BG664" i="1"/>
  <c r="BD701" i="1"/>
  <c r="BG701" i="1"/>
  <c r="BM701" i="1"/>
  <c r="BR705" i="1"/>
  <c r="BR706" i="1" s="1"/>
  <c r="BD1264" i="1"/>
  <c r="BK1236" i="1"/>
  <c r="BK1272" i="1"/>
  <c r="BN1214" i="1"/>
  <c r="BR1275" i="1"/>
  <c r="BF1332" i="1"/>
  <c r="BC368" i="1"/>
  <c r="BC366" i="1" s="1"/>
  <c r="BA366" i="1"/>
  <c r="BM1272" i="1"/>
  <c r="BM1221" i="1"/>
  <c r="AZ1259" i="1"/>
  <c r="BL1259" i="1"/>
  <c r="BM1228" i="1"/>
  <c r="BM1264" i="1"/>
  <c r="BH1228" i="1"/>
  <c r="BH1214" i="1"/>
  <c r="BJ664" i="1"/>
  <c r="BJ648" i="1"/>
  <c r="BC1267" i="1"/>
  <c r="BM1256" i="1"/>
  <c r="BL1324" i="1"/>
  <c r="BR1324" i="1"/>
  <c r="BF109" i="1"/>
  <c r="BI109" i="1"/>
  <c r="AT368" i="1"/>
  <c r="AT366" i="1" s="1"/>
  <c r="AX1272" i="1"/>
  <c r="AX1264" i="1"/>
  <c r="AX1256" i="1"/>
  <c r="AX1236" i="1"/>
  <c r="AX1221" i="1"/>
  <c r="BF368" i="1"/>
  <c r="BF366" i="1" s="1"/>
  <c r="BO368" i="1"/>
  <c r="BF700" i="1"/>
  <c r="BL700" i="1"/>
  <c r="BL708" i="1"/>
  <c r="AT1267" i="1"/>
  <c r="AX1228" i="1"/>
  <c r="BL1238" i="1"/>
  <c r="BO1259" i="1"/>
  <c r="AW1324" i="1"/>
  <c r="AW1259" i="1"/>
  <c r="AW1267" i="1"/>
  <c r="BF1238" i="1"/>
  <c r="BF1259" i="1"/>
  <c r="AW1332" i="1"/>
  <c r="AZ1332" i="1"/>
  <c r="BL1332" i="1"/>
  <c r="BH709" i="1"/>
  <c r="BE701" i="1"/>
  <c r="BI705" i="1"/>
  <c r="BI706" i="1" s="1"/>
  <c r="AT705" i="1"/>
  <c r="AT706" i="1" s="1"/>
  <c r="AU701" i="1"/>
  <c r="AX701" i="1"/>
  <c r="BA701" i="1"/>
  <c r="BN709" i="1"/>
  <c r="BQ709" i="1"/>
  <c r="BK701" i="1"/>
  <c r="AV709" i="1"/>
  <c r="AY709" i="1"/>
  <c r="BI708" i="1"/>
  <c r="AZ697" i="1"/>
  <c r="AZ698" i="1" s="1"/>
  <c r="BA709" i="1"/>
  <c r="BD709" i="1"/>
  <c r="BJ701" i="1"/>
  <c r="BN701" i="1"/>
  <c r="BR697" i="1"/>
  <c r="BR698" i="1" s="1"/>
  <c r="AW705" i="1"/>
  <c r="AW706" i="1" s="1"/>
  <c r="AU709" i="1"/>
  <c r="AU692" i="1" s="1"/>
  <c r="AU683" i="1" s="1"/>
  <c r="AX709" i="1"/>
  <c r="AX692" i="1" s="1"/>
  <c r="AX683" i="1" s="1"/>
  <c r="BJ709" i="1"/>
  <c r="BO697" i="1"/>
  <c r="BO698" i="1" s="1"/>
  <c r="BO708" i="1"/>
  <c r="BG709" i="1"/>
  <c r="BK709" i="1"/>
  <c r="BM709" i="1"/>
  <c r="AW700" i="1"/>
  <c r="AY701" i="1"/>
  <c r="AZ701" i="1" s="1"/>
  <c r="BC697" i="1"/>
  <c r="BC698" i="1" s="1"/>
  <c r="BC708" i="1"/>
  <c r="BF697" i="1"/>
  <c r="BF698" i="1" s="1"/>
  <c r="BF708" i="1"/>
  <c r="BL705" i="1"/>
  <c r="BL706" i="1" s="1"/>
  <c r="BP701" i="1"/>
  <c r="BP709" i="1"/>
  <c r="BR709" i="1" s="1"/>
  <c r="AP368" i="1"/>
  <c r="AP366" i="1" s="1"/>
  <c r="BC1259" i="1"/>
  <c r="AZ1238" i="1"/>
  <c r="AQ1238" i="1"/>
  <c r="BR1267" i="1"/>
  <c r="BO1267" i="1"/>
  <c r="BL1267" i="1"/>
  <c r="BI1275" i="1"/>
  <c r="BC1275" i="1"/>
  <c r="AW1275" i="1"/>
  <c r="AT1275" i="1"/>
  <c r="AQ1267" i="1"/>
  <c r="BQ701" i="1"/>
  <c r="BO709" i="1"/>
  <c r="BO705" i="1"/>
  <c r="BO706" i="1" s="1"/>
  <c r="BL697" i="1"/>
  <c r="BL698" i="1" s="1"/>
  <c r="BH701" i="1"/>
  <c r="BF709" i="1"/>
  <c r="BF705" i="1"/>
  <c r="BF706" i="1" s="1"/>
  <c r="BB701" i="1"/>
  <c r="BC705" i="1"/>
  <c r="BC706" i="1" s="1"/>
  <c r="AZ705" i="1"/>
  <c r="AZ706" i="1" s="1"/>
  <c r="AV701" i="1"/>
  <c r="BF398" i="1"/>
  <c r="BO366" i="1"/>
  <c r="BR114" i="1"/>
  <c r="BR111" i="1"/>
  <c r="BO114" i="1"/>
  <c r="BO111" i="1"/>
  <c r="BJ114" i="1"/>
  <c r="BF114" i="1"/>
  <c r="BF111" i="1"/>
  <c r="BC114" i="1"/>
  <c r="BC111" i="1"/>
  <c r="AZ114" i="1"/>
  <c r="AZ111" i="1"/>
  <c r="AW114" i="1"/>
  <c r="AW111" i="1"/>
  <c r="AQ114" i="1"/>
  <c r="AQ111" i="1"/>
  <c r="AK319" i="1" l="1"/>
  <c r="AP317" i="1"/>
  <c r="AP315" i="1" s="1"/>
  <c r="AP664" i="1" s="1"/>
  <c r="BF701" i="1"/>
  <c r="AT415" i="1"/>
  <c r="BN315" i="1"/>
  <c r="BN656" i="1" s="1"/>
  <c r="BI317" i="1"/>
  <c r="BI315" i="1" s="1"/>
  <c r="BP1228" i="1"/>
  <c r="AW317" i="1"/>
  <c r="AW315" i="1" s="1"/>
  <c r="BP1236" i="1"/>
  <c r="AV640" i="1"/>
  <c r="AU376" i="1"/>
  <c r="AT454" i="1"/>
  <c r="BC709" i="1"/>
  <c r="BG692" i="1"/>
  <c r="BG683" i="1" s="1"/>
  <c r="AX315" i="1"/>
  <c r="AX656" i="1" s="1"/>
  <c r="AS640" i="1"/>
  <c r="BO701" i="1"/>
  <c r="BK692" i="1"/>
  <c r="BK683" i="1" s="1"/>
  <c r="AS648" i="1"/>
  <c r="BG366" i="1"/>
  <c r="BG1221" i="1" s="1"/>
  <c r="AT317" i="1"/>
  <c r="AT315" i="1" s="1"/>
  <c r="AS656" i="1"/>
  <c r="BP1272" i="1"/>
  <c r="BP664" i="1"/>
  <c r="BP656" i="1"/>
  <c r="BF317" i="1"/>
  <c r="BF315" i="1" s="1"/>
  <c r="AV656" i="1"/>
  <c r="BP1214" i="1"/>
  <c r="AV664" i="1"/>
  <c r="BR368" i="1"/>
  <c r="BR366" i="1" s="1"/>
  <c r="BP1256" i="1"/>
  <c r="BR317" i="1"/>
  <c r="BR315" i="1" s="1"/>
  <c r="BP648" i="1"/>
  <c r="BP1264" i="1"/>
  <c r="BL317" i="1"/>
  <c r="BL315" i="1" s="1"/>
  <c r="BK315" i="1"/>
  <c r="AZ709" i="1"/>
  <c r="BN692" i="1"/>
  <c r="BN683" i="1" s="1"/>
  <c r="AW709" i="1"/>
  <c r="BB648" i="1"/>
  <c r="BB664" i="1"/>
  <c r="BB656" i="1"/>
  <c r="BB640" i="1"/>
  <c r="BA1272" i="1"/>
  <c r="BA1221" i="1"/>
  <c r="BA1256" i="1"/>
  <c r="BA1264" i="1"/>
  <c r="BA1228" i="1"/>
  <c r="BA1236" i="1"/>
  <c r="BA1214" i="1"/>
  <c r="BE664" i="1"/>
  <c r="BE648" i="1"/>
  <c r="BE656" i="1"/>
  <c r="BE640" i="1"/>
  <c r="AU1272" i="1"/>
  <c r="AU1264" i="1"/>
  <c r="AU1256" i="1"/>
  <c r="AU1236" i="1"/>
  <c r="AU1214" i="1"/>
  <c r="AU1228" i="1"/>
  <c r="AU1221" i="1"/>
  <c r="BH664" i="1"/>
  <c r="BH648" i="1"/>
  <c r="BH656" i="1"/>
  <c r="BH640" i="1"/>
  <c r="AY692" i="1"/>
  <c r="AY683" i="1" s="1"/>
  <c r="AZ683" i="1" s="1"/>
  <c r="BE692" i="1"/>
  <c r="BE683" i="1" s="1"/>
  <c r="BL701" i="1"/>
  <c r="AY1264" i="1"/>
  <c r="AY1221" i="1"/>
  <c r="AY1214" i="1"/>
  <c r="AY1272" i="1"/>
  <c r="AY1236" i="1"/>
  <c r="AY1256" i="1"/>
  <c r="AY1228" i="1"/>
  <c r="BM692" i="1"/>
  <c r="BD692" i="1"/>
  <c r="BD683" i="1" s="1"/>
  <c r="BI709" i="1"/>
  <c r="BJ692" i="1"/>
  <c r="BJ683" i="1" s="1"/>
  <c r="BA692" i="1"/>
  <c r="BA683" i="1" s="1"/>
  <c r="BL709" i="1"/>
  <c r="BP692" i="1"/>
  <c r="BP683" i="1" s="1"/>
  <c r="AP1256" i="1"/>
  <c r="AP1228" i="1"/>
  <c r="AP1221" i="1"/>
  <c r="AP1214" i="1"/>
  <c r="AP1236" i="1"/>
  <c r="AP1264" i="1"/>
  <c r="AP1272" i="1"/>
  <c r="BR701" i="1"/>
  <c r="BQ692" i="1"/>
  <c r="BH692" i="1"/>
  <c r="BI701" i="1"/>
  <c r="BB692" i="1"/>
  <c r="BC701" i="1"/>
  <c r="AV692" i="1"/>
  <c r="AW701" i="1"/>
  <c r="AQ415" i="1"/>
  <c r="AQ454" i="1"/>
  <c r="BL114" i="1"/>
  <c r="AG680" i="1"/>
  <c r="AP640" i="1" l="1"/>
  <c r="AP648" i="1"/>
  <c r="AP656" i="1"/>
  <c r="AF680" i="1"/>
  <c r="AG681" i="1"/>
  <c r="BL683" i="1"/>
  <c r="BN648" i="1"/>
  <c r="BN664" i="1"/>
  <c r="BN640" i="1"/>
  <c r="AX664" i="1"/>
  <c r="AX640" i="1"/>
  <c r="AX648" i="1"/>
  <c r="AX376" i="1"/>
  <c r="AW454" i="1"/>
  <c r="AW376" i="1"/>
  <c r="AW415" i="1"/>
  <c r="AQ400" i="1"/>
  <c r="BL692" i="1"/>
  <c r="BG1272" i="1"/>
  <c r="BG1256" i="1"/>
  <c r="BG1214" i="1"/>
  <c r="BG1264" i="1"/>
  <c r="BG1236" i="1"/>
  <c r="BG1228" i="1"/>
  <c r="BK648" i="1"/>
  <c r="BK640" i="1"/>
  <c r="BK664" i="1"/>
  <c r="BK656" i="1"/>
  <c r="AN319" i="1"/>
  <c r="AZ692" i="1"/>
  <c r="BO692" i="1"/>
  <c r="BM683" i="1"/>
  <c r="BO683" i="1" s="1"/>
  <c r="BF692" i="1"/>
  <c r="BF683" i="1"/>
  <c r="AO317" i="1"/>
  <c r="AQ319" i="1"/>
  <c r="AQ370" i="1"/>
  <c r="AO368" i="1"/>
  <c r="BQ683" i="1"/>
  <c r="BR683" i="1" s="1"/>
  <c r="BR692" i="1"/>
  <c r="BI692" i="1"/>
  <c r="BH683" i="1"/>
  <c r="BI683" i="1" s="1"/>
  <c r="BB683" i="1"/>
  <c r="BC683" i="1" s="1"/>
  <c r="BC692" i="1"/>
  <c r="AV683" i="1"/>
  <c r="AW683" i="1" s="1"/>
  <c r="AW692" i="1"/>
  <c r="BA376" i="1" l="1"/>
  <c r="AZ454" i="1"/>
  <c r="AZ415" i="1"/>
  <c r="AZ376" i="1"/>
  <c r="AQ368" i="1"/>
  <c r="AQ366" i="1" s="1"/>
  <c r="AO366" i="1"/>
  <c r="AQ317" i="1"/>
  <c r="AQ315" i="1" s="1"/>
  <c r="AO315" i="1"/>
  <c r="BD376" i="1" l="1"/>
  <c r="BC454" i="1"/>
  <c r="BC415" i="1"/>
  <c r="BC376" i="1"/>
  <c r="AO1236" i="1"/>
  <c r="AO1256" i="1"/>
  <c r="AO1228" i="1"/>
  <c r="AO1221" i="1"/>
  <c r="AO1214" i="1"/>
  <c r="AO1272" i="1"/>
  <c r="AO1264" i="1"/>
  <c r="AO656" i="1"/>
  <c r="AO640" i="1"/>
  <c r="AO664" i="1"/>
  <c r="AO648" i="1"/>
  <c r="BG376" i="1" l="1"/>
  <c r="BF454" i="1"/>
  <c r="BF376" i="1"/>
  <c r="BF415" i="1"/>
  <c r="AQ413" i="1" l="1"/>
  <c r="BJ376" i="1"/>
  <c r="BI454" i="1"/>
  <c r="BI415" i="1"/>
  <c r="BI376" i="1"/>
  <c r="BM376" i="1" l="1"/>
  <c r="BL415" i="1"/>
  <c r="BL454" i="1"/>
  <c r="BL376" i="1"/>
  <c r="AQ402" i="1"/>
  <c r="BP376" i="1" l="1"/>
  <c r="BO415" i="1"/>
  <c r="BO376" i="1"/>
  <c r="BO454" i="1"/>
  <c r="AQ395" i="1"/>
  <c r="BR376" i="1" l="1"/>
  <c r="BR454" i="1"/>
  <c r="BR415" i="1"/>
  <c r="AQ401" i="1"/>
  <c r="AQ405" i="1"/>
  <c r="AQ397" i="1"/>
  <c r="AQ404" i="1"/>
  <c r="I1216" i="1" l="1"/>
  <c r="H1216" i="1"/>
  <c r="I1223" i="1"/>
  <c r="H1223" i="1"/>
  <c r="I1238" i="1"/>
  <c r="H1238" i="1"/>
  <c r="L1238" i="1"/>
  <c r="K1238" i="1"/>
  <c r="R1238" i="1"/>
  <c r="Q1238" i="1"/>
  <c r="O1238" i="1"/>
  <c r="N1238" i="1"/>
  <c r="X1238" i="1"/>
  <c r="W1238" i="1"/>
  <c r="U1238" i="1"/>
  <c r="T1238" i="1"/>
  <c r="AD1238" i="1"/>
  <c r="AC1238" i="1"/>
  <c r="AA1238" i="1"/>
  <c r="Z1238" i="1"/>
  <c r="L1259" i="1"/>
  <c r="K1259" i="1"/>
  <c r="O1259" i="1"/>
  <c r="N1259" i="1"/>
  <c r="R1259" i="1"/>
  <c r="Q1259" i="1"/>
  <c r="U1259" i="1"/>
  <c r="T1259" i="1"/>
  <c r="X1259" i="1"/>
  <c r="W1259" i="1"/>
  <c r="AA1259" i="1"/>
  <c r="Z1259" i="1"/>
  <c r="AD1259" i="1"/>
  <c r="AC1259" i="1"/>
  <c r="L1267" i="1"/>
  <c r="K1267" i="1"/>
  <c r="O1267" i="1"/>
  <c r="N1267" i="1"/>
  <c r="R1267" i="1"/>
  <c r="Q1267" i="1"/>
  <c r="U1267" i="1"/>
  <c r="T1267" i="1"/>
  <c r="X1267" i="1"/>
  <c r="W1267" i="1"/>
  <c r="AA1267" i="1"/>
  <c r="Z1267" i="1"/>
  <c r="AD1267" i="1"/>
  <c r="AC1267" i="1"/>
  <c r="L1275" i="1"/>
  <c r="K1275" i="1"/>
  <c r="O1275" i="1"/>
  <c r="N1275" i="1"/>
  <c r="R1275" i="1"/>
  <c r="Q1275" i="1"/>
  <c r="U1275" i="1"/>
  <c r="T1275" i="1"/>
  <c r="X1275" i="1"/>
  <c r="W1275" i="1"/>
  <c r="AA1275" i="1"/>
  <c r="Z1275" i="1"/>
  <c r="AD1275" i="1"/>
  <c r="AC1275" i="1"/>
  <c r="AB1275" i="1" l="1"/>
  <c r="V1275" i="1"/>
  <c r="P1275" i="1"/>
  <c r="V1259" i="1"/>
  <c r="P1238" i="1"/>
  <c r="AE1275" i="1"/>
  <c r="Y1275" i="1"/>
  <c r="S1275" i="1"/>
  <c r="M1275" i="1"/>
  <c r="Y1259" i="1"/>
  <c r="S1259" i="1"/>
  <c r="M1259" i="1"/>
  <c r="AE1238" i="1"/>
  <c r="S1238" i="1"/>
  <c r="J1238" i="1"/>
  <c r="AB1259" i="1"/>
  <c r="V1238" i="1"/>
  <c r="P1259" i="1"/>
  <c r="M1238" i="1"/>
  <c r="Y1238" i="1"/>
  <c r="AE1267" i="1"/>
  <c r="Y1267" i="1"/>
  <c r="S1267" i="1"/>
  <c r="M1267" i="1"/>
  <c r="AB1238" i="1"/>
  <c r="AB1267" i="1"/>
  <c r="V1267" i="1"/>
  <c r="P1267" i="1"/>
  <c r="AE1259" i="1"/>
  <c r="J1223" i="1"/>
  <c r="J1216" i="1"/>
  <c r="H714" i="1" l="1"/>
  <c r="G714" i="1"/>
  <c r="F714" i="1"/>
  <c r="E714" i="1"/>
  <c r="H712" i="1"/>
  <c r="G712" i="1"/>
  <c r="F712" i="1"/>
  <c r="E712" i="1"/>
  <c r="G713" i="1" l="1"/>
  <c r="F713" i="1"/>
  <c r="E713" i="1"/>
  <c r="J713" i="1"/>
  <c r="I713" i="1"/>
  <c r="H713" i="1"/>
  <c r="G715" i="1"/>
  <c r="F715" i="1"/>
  <c r="E715" i="1"/>
  <c r="J715" i="1"/>
  <c r="I715" i="1"/>
  <c r="H715" i="1"/>
  <c r="K715" i="1"/>
  <c r="AN1107" i="1"/>
  <c r="AK1107" i="1"/>
  <c r="AH1107" i="1"/>
  <c r="AE1107" i="1"/>
  <c r="AB1107" i="1"/>
  <c r="Y1107" i="1"/>
  <c r="V1107" i="1"/>
  <c r="AN1086" i="1"/>
  <c r="AK1086" i="1"/>
  <c r="AH1086" i="1"/>
  <c r="AE1086" i="1"/>
  <c r="AB1086" i="1"/>
  <c r="Y1086" i="1"/>
  <c r="AN1065" i="1"/>
  <c r="AK1065" i="1"/>
  <c r="AH1065" i="1"/>
  <c r="AE1065" i="1"/>
  <c r="AB1065" i="1"/>
  <c r="Y1065" i="1"/>
  <c r="AN1044" i="1"/>
  <c r="AK1044" i="1"/>
  <c r="AH1044" i="1"/>
  <c r="AE1044" i="1"/>
  <c r="AB1044" i="1"/>
  <c r="Y1044" i="1"/>
  <c r="AN1023" i="1"/>
  <c r="AK1023" i="1"/>
  <c r="AH1023" i="1"/>
  <c r="AE1023" i="1"/>
  <c r="AB1023" i="1"/>
  <c r="AN1001" i="1"/>
  <c r="AK1001" i="1"/>
  <c r="AH1001" i="1"/>
  <c r="AE1001" i="1"/>
  <c r="AN980" i="1"/>
  <c r="AK980" i="1"/>
  <c r="AH980" i="1"/>
  <c r="AE980" i="1"/>
  <c r="AN959" i="1"/>
  <c r="AK959" i="1"/>
  <c r="AH959" i="1"/>
  <c r="AE959" i="1"/>
  <c r="AH938" i="1"/>
  <c r="AN938" i="1"/>
  <c r="AK938" i="1"/>
  <c r="AN917" i="1"/>
  <c r="AK917" i="1"/>
  <c r="AH917" i="1"/>
  <c r="AN896" i="1"/>
  <c r="AK896" i="1"/>
  <c r="AH896" i="1"/>
  <c r="H718" i="1" l="1"/>
  <c r="H684" i="1" s="1"/>
  <c r="G718" i="1"/>
  <c r="G684" i="1" s="1"/>
  <c r="F718" i="1"/>
  <c r="F684" i="1" s="1"/>
  <c r="E718" i="1"/>
  <c r="E684" i="1" s="1"/>
  <c r="H717" i="1"/>
  <c r="G717" i="1"/>
  <c r="F717" i="1"/>
  <c r="E717" i="1"/>
  <c r="K659" i="1"/>
  <c r="J659" i="1"/>
  <c r="I659" i="1"/>
  <c r="H659" i="1"/>
  <c r="G659" i="1"/>
  <c r="F659" i="1"/>
  <c r="H667" i="1"/>
  <c r="G667" i="1"/>
  <c r="F667" i="1"/>
  <c r="H651" i="1"/>
  <c r="G651" i="1"/>
  <c r="F651" i="1"/>
  <c r="H716" i="1"/>
  <c r="G716" i="1"/>
  <c r="F716" i="1"/>
  <c r="E659" i="1"/>
  <c r="E667" i="1"/>
  <c r="E651" i="1"/>
  <c r="E716" i="1" l="1"/>
  <c r="E643" i="1"/>
  <c r="G643" i="1"/>
  <c r="H643" i="1"/>
  <c r="F643" i="1"/>
  <c r="K1435" i="1" l="1"/>
  <c r="AN1441" i="1" l="1"/>
  <c r="AK1441" i="1"/>
  <c r="AH1441" i="1"/>
  <c r="AE1441" i="1"/>
  <c r="AB1441" i="1"/>
  <c r="Y1441" i="1"/>
  <c r="AN854" i="1"/>
  <c r="AN833" i="1"/>
  <c r="AN812" i="1"/>
  <c r="AK812" i="1"/>
  <c r="AH812" i="1"/>
  <c r="L1066" i="1"/>
  <c r="K1066" i="1"/>
  <c r="AB732" i="1"/>
  <c r="AN376" i="1" l="1"/>
  <c r="AK376" i="1"/>
  <c r="AK690" i="1" s="1"/>
  <c r="AN164" i="1" l="1"/>
  <c r="AK164" i="1"/>
  <c r="AH164" i="1"/>
  <c r="AM166" i="1"/>
  <c r="AL166" i="1"/>
  <c r="AJ166" i="1"/>
  <c r="AI166" i="1"/>
  <c r="AG166" i="1"/>
  <c r="AF166" i="1"/>
  <c r="AE135" i="1"/>
  <c r="AC135" i="1"/>
  <c r="AB135" i="1"/>
  <c r="Z135" i="1"/>
  <c r="Y135" i="1"/>
  <c r="W135" i="1"/>
  <c r="V135" i="1"/>
  <c r="U135" i="1"/>
  <c r="S1188" i="1" l="1"/>
  <c r="W1188" i="1"/>
  <c r="V1188" i="1"/>
  <c r="Z1188" i="1"/>
  <c r="Y1188" i="1"/>
  <c r="AB1188" i="1"/>
  <c r="AC1188" i="1"/>
  <c r="AE1188" i="1"/>
  <c r="Z1194" i="1" l="1"/>
  <c r="AE1194" i="1"/>
  <c r="V1194" i="1"/>
  <c r="AB1194" i="1"/>
  <c r="AC1194" i="1"/>
  <c r="Y1194" i="1"/>
  <c r="AM317" i="1"/>
  <c r="AL317" i="1"/>
  <c r="AJ317" i="1"/>
  <c r="AI317" i="1"/>
  <c r="AG317" i="1"/>
  <c r="AM368" i="1"/>
  <c r="AL368" i="1"/>
  <c r="AJ368" i="1"/>
  <c r="AI368" i="1"/>
  <c r="AG368" i="1"/>
  <c r="AF317" i="1"/>
  <c r="AH319" i="1"/>
  <c r="AN318" i="1"/>
  <c r="AK318" i="1"/>
  <c r="AH318" i="1"/>
  <c r="AH369" i="1"/>
  <c r="AF368" i="1"/>
  <c r="AH1299" i="1"/>
  <c r="AH1301" i="1"/>
  <c r="AN369" i="1"/>
  <c r="AK369" i="1"/>
  <c r="AC290" i="1"/>
  <c r="AD290" i="1"/>
  <c r="K654" i="1"/>
  <c r="AE745" i="1"/>
  <c r="AN537" i="1"/>
  <c r="AK537" i="1"/>
  <c r="AH537" i="1"/>
  <c r="AE537" i="1"/>
  <c r="AB537" i="1"/>
  <c r="Y537" i="1"/>
  <c r="V537" i="1"/>
  <c r="S1480" i="1"/>
  <c r="Q1480" i="1"/>
  <c r="P1480" i="1"/>
  <c r="N1480" i="1"/>
  <c r="M1480" i="1"/>
  <c r="K1480" i="1"/>
  <c r="J1480" i="1"/>
  <c r="H1480" i="1"/>
  <c r="G1480" i="1"/>
  <c r="V1473" i="1"/>
  <c r="W1473" i="1"/>
  <c r="Y1473" i="1"/>
  <c r="Z1473" i="1"/>
  <c r="AB1473" i="1"/>
  <c r="AC1473" i="1"/>
  <c r="AE1473" i="1"/>
  <c r="AM1468" i="1"/>
  <c r="AL1468" i="1"/>
  <c r="AJ1468" i="1"/>
  <c r="AI1468" i="1"/>
  <c r="AG1468" i="1"/>
  <c r="AN1470" i="1"/>
  <c r="AK1470" i="1"/>
  <c r="AH1470" i="1"/>
  <c r="AE1468" i="1"/>
  <c r="AC1468" i="1"/>
  <c r="AB1468" i="1"/>
  <c r="Z1468" i="1"/>
  <c r="Y1468" i="1"/>
  <c r="W1468" i="1"/>
  <c r="AI1462" i="1"/>
  <c r="AI1472" i="1" s="1"/>
  <c r="AE1464" i="1"/>
  <c r="AC1464" i="1"/>
  <c r="AB1464" i="1"/>
  <c r="Z1464" i="1"/>
  <c r="Y1464" i="1"/>
  <c r="W1464" i="1"/>
  <c r="H1343" i="1"/>
  <c r="I1343" i="1"/>
  <c r="J1343" i="1"/>
  <c r="AN368" i="1" l="1"/>
  <c r="AK368" i="1"/>
  <c r="AK317" i="1"/>
  <c r="AN317" i="1"/>
  <c r="AH317" i="1"/>
  <c r="AI1467" i="1"/>
  <c r="AL1467" i="1" s="1"/>
  <c r="AO1467" i="1" s="1"/>
  <c r="AL1462" i="1"/>
  <c r="AM1275" i="1"/>
  <c r="AL1275" i="1"/>
  <c r="AJ1275" i="1"/>
  <c r="AI1275" i="1"/>
  <c r="AG1275" i="1"/>
  <c r="AF1275" i="1"/>
  <c r="AM1267" i="1"/>
  <c r="AL1267" i="1"/>
  <c r="AJ1267" i="1"/>
  <c r="AI1267" i="1"/>
  <c r="AG1267" i="1"/>
  <c r="AF1267" i="1"/>
  <c r="AM1259" i="1"/>
  <c r="AL1259" i="1"/>
  <c r="AJ1259" i="1"/>
  <c r="AI1259" i="1"/>
  <c r="AG1259" i="1"/>
  <c r="AF1259" i="1"/>
  <c r="AM1238" i="1"/>
  <c r="AL1238" i="1"/>
  <c r="AJ1238" i="1"/>
  <c r="AI1238" i="1"/>
  <c r="AG1238" i="1"/>
  <c r="AF1238" i="1"/>
  <c r="AC1379" i="1"/>
  <c r="AD1379" i="1"/>
  <c r="AE1380" i="1"/>
  <c r="AE1379" i="1" s="1"/>
  <c r="AH1373" i="1"/>
  <c r="AN1284" i="1"/>
  <c r="AK1284" i="1"/>
  <c r="AH1284" i="1"/>
  <c r="AP1332" i="1"/>
  <c r="AO1332" i="1"/>
  <c r="AM1332" i="1"/>
  <c r="AL1332" i="1"/>
  <c r="AJ1332" i="1"/>
  <c r="AI1332" i="1"/>
  <c r="AG1332" i="1"/>
  <c r="AF1332" i="1"/>
  <c r="AP1324" i="1"/>
  <c r="AO1324" i="1"/>
  <c r="AM1324" i="1"/>
  <c r="AL1324" i="1"/>
  <c r="AJ1324" i="1"/>
  <c r="AI1324" i="1"/>
  <c r="AG1324" i="1"/>
  <c r="AF1324" i="1"/>
  <c r="J1305" i="1"/>
  <c r="H1305" i="1"/>
  <c r="J1304" i="1"/>
  <c r="H1304" i="1"/>
  <c r="J1303" i="1"/>
  <c r="K1303" i="1"/>
  <c r="M1303" i="1"/>
  <c r="N1303" i="1"/>
  <c r="P1303" i="1"/>
  <c r="Q1303" i="1"/>
  <c r="S1303" i="1"/>
  <c r="H1303" i="1"/>
  <c r="AD1283" i="1"/>
  <c r="AC1283" i="1"/>
  <c r="AA1283" i="1"/>
  <c r="Z1283" i="1"/>
  <c r="X1283" i="1"/>
  <c r="W1283" i="1"/>
  <c r="U1283" i="1"/>
  <c r="T1283" i="1"/>
  <c r="R1283" i="1"/>
  <c r="Q1283" i="1"/>
  <c r="O1283" i="1"/>
  <c r="N1283" i="1"/>
  <c r="L1283" i="1"/>
  <c r="K1283" i="1"/>
  <c r="I1283" i="1"/>
  <c r="H1283" i="1"/>
  <c r="F1283" i="1"/>
  <c r="E1283" i="1"/>
  <c r="X1280" i="1"/>
  <c r="W1280" i="1"/>
  <c r="U1280" i="1"/>
  <c r="T1280" i="1"/>
  <c r="R1280" i="1"/>
  <c r="Q1280" i="1"/>
  <c r="O1280" i="1"/>
  <c r="N1280" i="1"/>
  <c r="L1280" i="1"/>
  <c r="K1280" i="1"/>
  <c r="AA1280" i="1"/>
  <c r="Z1280" i="1"/>
  <c r="AD1280" i="1"/>
  <c r="AC1280" i="1"/>
  <c r="K1268" i="1"/>
  <c r="N1268" i="1"/>
  <c r="Q1268" i="1"/>
  <c r="T1268" i="1"/>
  <c r="W1268" i="1"/>
  <c r="Z1268" i="1"/>
  <c r="AC1268" i="1"/>
  <c r="G1239" i="1"/>
  <c r="AB1239" i="1"/>
  <c r="Y1239" i="1"/>
  <c r="V1239" i="1"/>
  <c r="S1239" i="1"/>
  <c r="P1239" i="1"/>
  <c r="M1239" i="1"/>
  <c r="J1239" i="1"/>
  <c r="AB1276" i="1"/>
  <c r="Y1276" i="1"/>
  <c r="V1276" i="1"/>
  <c r="S1276" i="1"/>
  <c r="P1276" i="1"/>
  <c r="M1276" i="1"/>
  <c r="J1276" i="1"/>
  <c r="G1276" i="1"/>
  <c r="I1278" i="1"/>
  <c r="K1278" i="1"/>
  <c r="L1278" i="1"/>
  <c r="N1278" i="1"/>
  <c r="O1278" i="1"/>
  <c r="Q1278" i="1"/>
  <c r="R1278" i="1"/>
  <c r="T1278" i="1"/>
  <c r="U1278" i="1"/>
  <c r="W1278" i="1"/>
  <c r="X1278" i="1"/>
  <c r="Z1278" i="1"/>
  <c r="AA1278" i="1"/>
  <c r="AC1278" i="1"/>
  <c r="AD1278" i="1"/>
  <c r="H1278" i="1"/>
  <c r="AE1276" i="1"/>
  <c r="AE1239" i="1"/>
  <c r="H1233" i="1"/>
  <c r="H1234" i="1" s="1"/>
  <c r="I1233" i="1"/>
  <c r="I1234" i="1" s="1"/>
  <c r="AD1233" i="1"/>
  <c r="AD1234" i="1" s="1"/>
  <c r="AC1233" i="1"/>
  <c r="AC1234" i="1" s="1"/>
  <c r="AA1233" i="1"/>
  <c r="AA1234" i="1" s="1"/>
  <c r="Z1233" i="1"/>
  <c r="Z1234" i="1" s="1"/>
  <c r="X1233" i="1"/>
  <c r="X1234" i="1" s="1"/>
  <c r="W1233" i="1"/>
  <c r="W1234" i="1" s="1"/>
  <c r="U1233" i="1"/>
  <c r="U1234" i="1" s="1"/>
  <c r="T1233" i="1"/>
  <c r="T1234" i="1" s="1"/>
  <c r="R1233" i="1"/>
  <c r="R1234" i="1" s="1"/>
  <c r="Q1233" i="1"/>
  <c r="Q1234" i="1" s="1"/>
  <c r="O1233" i="1"/>
  <c r="O1234" i="1" s="1"/>
  <c r="N1233" i="1"/>
  <c r="N1234" i="1" s="1"/>
  <c r="L1233" i="1"/>
  <c r="L1234" i="1" s="1"/>
  <c r="K1233" i="1"/>
  <c r="K1234" i="1" s="1"/>
  <c r="E1184" i="1"/>
  <c r="H1184" i="1"/>
  <c r="K1184" i="1"/>
  <c r="N1184" i="1"/>
  <c r="H689" i="1"/>
  <c r="AE622" i="1"/>
  <c r="AC622" i="1"/>
  <c r="AB622" i="1"/>
  <c r="Z622" i="1"/>
  <c r="Y622" i="1"/>
  <c r="W622" i="1"/>
  <c r="V622" i="1"/>
  <c r="T622" i="1"/>
  <c r="AE617" i="1"/>
  <c r="AC617" i="1"/>
  <c r="AB617" i="1"/>
  <c r="Z617" i="1"/>
  <c r="Y617" i="1"/>
  <c r="W617" i="1"/>
  <c r="V617" i="1"/>
  <c r="T617" i="1"/>
  <c r="AE615" i="1"/>
  <c r="AC615" i="1"/>
  <c r="AB615" i="1"/>
  <c r="Z615" i="1"/>
  <c r="Y615" i="1"/>
  <c r="W615" i="1"/>
  <c r="V615" i="1"/>
  <c r="T615" i="1"/>
  <c r="AE613" i="1"/>
  <c r="AC613" i="1"/>
  <c r="AB613" i="1"/>
  <c r="Z613" i="1"/>
  <c r="Y613" i="1"/>
  <c r="W613" i="1"/>
  <c r="V613" i="1"/>
  <c r="T613" i="1"/>
  <c r="AC618" i="1"/>
  <c r="AB618" i="1"/>
  <c r="Z618" i="1"/>
  <c r="Y618" i="1"/>
  <c r="W618" i="1"/>
  <c r="V618" i="1"/>
  <c r="T618" i="1"/>
  <c r="AE618" i="1"/>
  <c r="AD645" i="1"/>
  <c r="AC645" i="1"/>
  <c r="AA645" i="1"/>
  <c r="Z645" i="1"/>
  <c r="AD661" i="1"/>
  <c r="AC661" i="1"/>
  <c r="AA661" i="1"/>
  <c r="Z661" i="1"/>
  <c r="X661" i="1"/>
  <c r="W661" i="1"/>
  <c r="U661" i="1"/>
  <c r="T661" i="1"/>
  <c r="R661" i="1"/>
  <c r="Q661" i="1"/>
  <c r="O661" i="1"/>
  <c r="N661" i="1"/>
  <c r="L661" i="1"/>
  <c r="K661" i="1"/>
  <c r="I661" i="1"/>
  <c r="H661" i="1"/>
  <c r="AD653" i="1"/>
  <c r="AC653" i="1"/>
  <c r="AA653" i="1"/>
  <c r="Z653" i="1"/>
  <c r="X653" i="1"/>
  <c r="W653" i="1"/>
  <c r="U653" i="1"/>
  <c r="T653" i="1"/>
  <c r="R653" i="1"/>
  <c r="Q653" i="1"/>
  <c r="O653" i="1"/>
  <c r="N653" i="1"/>
  <c r="L653" i="1"/>
  <c r="K653" i="1"/>
  <c r="I653" i="1"/>
  <c r="H653" i="1"/>
  <c r="AD637" i="1"/>
  <c r="AC637" i="1"/>
  <c r="AA637" i="1"/>
  <c r="Z637" i="1"/>
  <c r="X637" i="1"/>
  <c r="W637" i="1"/>
  <c r="U637" i="1"/>
  <c r="T637" i="1"/>
  <c r="R637" i="1"/>
  <c r="Q637" i="1"/>
  <c r="O637" i="1"/>
  <c r="N637" i="1"/>
  <c r="L637" i="1"/>
  <c r="K637" i="1"/>
  <c r="I637" i="1"/>
  <c r="H637" i="1"/>
  <c r="AN314" i="1"/>
  <c r="AK314" i="1"/>
  <c r="AH314" i="1"/>
  <c r="AN312" i="1"/>
  <c r="AK312" i="1"/>
  <c r="AH312" i="1"/>
  <c r="AN309" i="1"/>
  <c r="AK309" i="1"/>
  <c r="AH309" i="1"/>
  <c r="AN307" i="1"/>
  <c r="AK307" i="1"/>
  <c r="AH307" i="1"/>
  <c r="AN305" i="1"/>
  <c r="AK305" i="1"/>
  <c r="AH305" i="1"/>
  <c r="AN302" i="1"/>
  <c r="AK302" i="1"/>
  <c r="AH302" i="1"/>
  <c r="AN300" i="1"/>
  <c r="AK300" i="1"/>
  <c r="AH300" i="1"/>
  <c r="AN297" i="1"/>
  <c r="AN295" i="1"/>
  <c r="AK297" i="1"/>
  <c r="AK295" i="1"/>
  <c r="AH297" i="1"/>
  <c r="AH295" i="1"/>
  <c r="AD1130" i="1"/>
  <c r="AD1131" i="1"/>
  <c r="AD1127" i="1"/>
  <c r="AD1128" i="1"/>
  <c r="AD1124" i="1"/>
  <c r="AD1125" i="1"/>
  <c r="AD1121" i="1"/>
  <c r="AD1122" i="1"/>
  <c r="AC1131" i="1"/>
  <c r="AC1130" i="1"/>
  <c r="AC1128" i="1"/>
  <c r="AC1127" i="1"/>
  <c r="AC1125" i="1"/>
  <c r="AC1124" i="1"/>
  <c r="AC1122" i="1"/>
  <c r="AC1121" i="1"/>
  <c r="AE289" i="1"/>
  <c r="AE1127" i="1" s="1"/>
  <c r="AE288" i="1"/>
  <c r="AE1128" i="1" s="1"/>
  <c r="AE286" i="1"/>
  <c r="AE1131" i="1" s="1"/>
  <c r="AE285" i="1"/>
  <c r="AE284" i="1"/>
  <c r="AE282" i="1"/>
  <c r="AE1124" i="1" s="1"/>
  <c r="AE281" i="1"/>
  <c r="AE279" i="1"/>
  <c r="AE278" i="1"/>
  <c r="AF1280" i="1" l="1"/>
  <c r="AF1454" i="1"/>
  <c r="AF1288" i="1"/>
  <c r="AF1270" i="1"/>
  <c r="AF1279" i="1" s="1"/>
  <c r="AF1451" i="1" s="1"/>
  <c r="AF576" i="1" s="1"/>
  <c r="AL1472" i="1"/>
  <c r="AO1462" i="1"/>
  <c r="AO1460" i="1" s="1"/>
  <c r="AR1467" i="1"/>
  <c r="AE290" i="1"/>
  <c r="AE1122" i="1"/>
  <c r="AG1280" i="1"/>
  <c r="AH1259" i="1"/>
  <c r="AH1275" i="1"/>
  <c r="AH1238" i="1"/>
  <c r="AH1267" i="1"/>
  <c r="AK1275" i="1"/>
  <c r="AN1238" i="1"/>
  <c r="AK1238" i="1"/>
  <c r="AK1267" i="1"/>
  <c r="AN1275" i="1"/>
  <c r="AN1259" i="1"/>
  <c r="AK1259" i="1"/>
  <c r="AN1267" i="1"/>
  <c r="AH1332" i="1"/>
  <c r="AK1332" i="1"/>
  <c r="AQ1332" i="1"/>
  <c r="AN1332" i="1"/>
  <c r="AK1324" i="1"/>
  <c r="AQ1324" i="1"/>
  <c r="AH1324" i="1"/>
  <c r="AN1324" i="1"/>
  <c r="J1283" i="1"/>
  <c r="V1283" i="1"/>
  <c r="G1283" i="1"/>
  <c r="Y1283" i="1"/>
  <c r="AE1283" i="1"/>
  <c r="M1283" i="1"/>
  <c r="S1283" i="1"/>
  <c r="P1283" i="1"/>
  <c r="AB1283" i="1"/>
  <c r="AE1130" i="1"/>
  <c r="AE1125" i="1"/>
  <c r="AE1121" i="1"/>
  <c r="J687" i="1"/>
  <c r="K687" i="1"/>
  <c r="M687" i="1"/>
  <c r="N687" i="1"/>
  <c r="P687" i="1"/>
  <c r="Q687" i="1"/>
  <c r="S687" i="1"/>
  <c r="T687" i="1"/>
  <c r="V687" i="1"/>
  <c r="W687" i="1"/>
  <c r="Y687" i="1"/>
  <c r="Z687" i="1"/>
  <c r="AB687" i="1"/>
  <c r="AC687" i="1"/>
  <c r="AE687" i="1"/>
  <c r="H687" i="1"/>
  <c r="H688" i="1" s="1"/>
  <c r="AP700" i="1"/>
  <c r="AO700" i="1"/>
  <c r="AP697" i="1"/>
  <c r="AS701" i="1" s="1"/>
  <c r="AO697" i="1"/>
  <c r="AR701" i="1" s="1"/>
  <c r="AP708" i="1"/>
  <c r="AO708" i="1"/>
  <c r="AM708" i="1"/>
  <c r="AL708" i="1"/>
  <c r="AJ708" i="1"/>
  <c r="AI708" i="1"/>
  <c r="AG708" i="1"/>
  <c r="AF708" i="1"/>
  <c r="AP705" i="1"/>
  <c r="AS709" i="1" s="1"/>
  <c r="AO705" i="1"/>
  <c r="AR709" i="1" s="1"/>
  <c r="AM705" i="1"/>
  <c r="AL705" i="1"/>
  <c r="AJ705" i="1"/>
  <c r="AI705" i="1"/>
  <c r="AG705" i="1"/>
  <c r="AG709" i="1" s="1"/>
  <c r="AF705" i="1"/>
  <c r="AF709" i="1" s="1"/>
  <c r="AF700" i="1"/>
  <c r="AG700" i="1"/>
  <c r="AI700" i="1"/>
  <c r="AJ700" i="1"/>
  <c r="AL700" i="1"/>
  <c r="AM700" i="1"/>
  <c r="AM697" i="1"/>
  <c r="AP701" i="1" s="1"/>
  <c r="AL697" i="1"/>
  <c r="AJ697" i="1"/>
  <c r="AI697" i="1"/>
  <c r="AG697" i="1"/>
  <c r="AG701" i="1" s="1"/>
  <c r="AF697" i="1"/>
  <c r="AF701" i="1" s="1"/>
  <c r="AD341" i="1"/>
  <c r="W160" i="1"/>
  <c r="AA160" i="1"/>
  <c r="AE160" i="1"/>
  <c r="AC160" i="1"/>
  <c r="AN158" i="1"/>
  <c r="AK158" i="1"/>
  <c r="AM160" i="1"/>
  <c r="AL160" i="1"/>
  <c r="AJ160" i="1"/>
  <c r="AI160" i="1"/>
  <c r="AG160" i="1"/>
  <c r="AD158" i="1"/>
  <c r="AD161" i="1"/>
  <c r="AD159" i="1"/>
  <c r="X108" i="1"/>
  <c r="AE110" i="1"/>
  <c r="AE111" i="1" s="1"/>
  <c r="W115" i="1"/>
  <c r="W114" i="1"/>
  <c r="X114" i="1" s="1"/>
  <c r="W110" i="1"/>
  <c r="W107" i="1"/>
  <c r="Y107" i="1"/>
  <c r="Z115" i="1"/>
  <c r="Z114" i="1"/>
  <c r="AA110" i="1"/>
  <c r="Z110" i="1"/>
  <c r="AB110" i="1"/>
  <c r="AA109" i="1"/>
  <c r="AA115" i="1" s="1"/>
  <c r="Z107" i="1"/>
  <c r="AD112" i="1"/>
  <c r="AM111" i="1"/>
  <c r="AM114" i="1" s="1"/>
  <c r="AL111" i="1"/>
  <c r="AL114" i="1" s="1"/>
  <c r="AM109" i="1"/>
  <c r="AL109" i="1"/>
  <c r="AN108" i="1"/>
  <c r="AN107" i="1"/>
  <c r="AJ111" i="1"/>
  <c r="AJ114" i="1" s="1"/>
  <c r="AJ18" i="1" s="1"/>
  <c r="AI111" i="1"/>
  <c r="AI114" i="1" s="1"/>
  <c r="AI18" i="1" s="1"/>
  <c r="AK108" i="1"/>
  <c r="AK107" i="1"/>
  <c r="AH107" i="1"/>
  <c r="AH108" i="1"/>
  <c r="AB125" i="1"/>
  <c r="U18" i="1"/>
  <c r="AA18" i="1"/>
  <c r="X18" i="1"/>
  <c r="AU1467" i="1" l="1"/>
  <c r="AR1462" i="1"/>
  <c r="AR1460" i="1" s="1"/>
  <c r="AO552" i="1"/>
  <c r="AO1472" i="1"/>
  <c r="AR692" i="1"/>
  <c r="AR683" i="1" s="1"/>
  <c r="AT709" i="1"/>
  <c r="AT701" i="1"/>
  <c r="AS692" i="1"/>
  <c r="AS683" i="1" s="1"/>
  <c r="AH701" i="1"/>
  <c r="AN700" i="1"/>
  <c r="AK708" i="1"/>
  <c r="AQ700" i="1"/>
  <c r="AK700" i="1"/>
  <c r="AL709" i="1"/>
  <c r="AM709" i="1"/>
  <c r="AN708" i="1"/>
  <c r="AI701" i="1"/>
  <c r="AH700" i="1"/>
  <c r="AI709" i="1"/>
  <c r="AO709" i="1"/>
  <c r="AJ701" i="1"/>
  <c r="AK701" i="1" s="1"/>
  <c r="AJ709" i="1"/>
  <c r="AP709" i="1"/>
  <c r="AP692" i="1" s="1"/>
  <c r="AP683" i="1" s="1"/>
  <c r="AH709" i="1"/>
  <c r="AQ708" i="1"/>
  <c r="AQ705" i="1"/>
  <c r="AQ706" i="1" s="1"/>
  <c r="AH708" i="1"/>
  <c r="AO701" i="1"/>
  <c r="AQ697" i="1"/>
  <c r="AQ698" i="1" s="1"/>
  <c r="AL701" i="1"/>
  <c r="AM701" i="1"/>
  <c r="Z113" i="1"/>
  <c r="X107" i="1"/>
  <c r="X109" i="1" s="1"/>
  <c r="W113" i="1"/>
  <c r="AD160" i="1"/>
  <c r="AN109" i="1"/>
  <c r="AK111" i="1"/>
  <c r="AN114" i="1"/>
  <c r="AN111" i="1"/>
  <c r="AK114" i="1"/>
  <c r="AK18" i="1" s="1"/>
  <c r="AO154" i="1" l="1"/>
  <c r="AT683" i="1"/>
  <c r="AR1472" i="1"/>
  <c r="AU1462" i="1"/>
  <c r="AU1460" i="1" s="1"/>
  <c r="AR552" i="1"/>
  <c r="AX1467" i="1"/>
  <c r="AQ701" i="1"/>
  <c r="AO692" i="1"/>
  <c r="AT692" i="1"/>
  <c r="AN709" i="1"/>
  <c r="AK709" i="1"/>
  <c r="AQ709" i="1"/>
  <c r="AN701" i="1"/>
  <c r="BA1467" i="1" l="1"/>
  <c r="AR154" i="1"/>
  <c r="AU1472" i="1"/>
  <c r="AU552" i="1"/>
  <c r="AX1462" i="1"/>
  <c r="AX1460" i="1" s="1"/>
  <c r="AQ692" i="1"/>
  <c r="AO683" i="1"/>
  <c r="AQ683" i="1" s="1"/>
  <c r="C2" i="1"/>
  <c r="BD1467" i="1" l="1"/>
  <c r="AU154" i="1"/>
  <c r="AX552" i="1"/>
  <c r="BA1462" i="1"/>
  <c r="AX1472" i="1"/>
  <c r="K1446" i="1"/>
  <c r="G1436" i="1"/>
  <c r="K1436" i="1" s="1"/>
  <c r="V1441" i="1"/>
  <c r="S1441" i="1"/>
  <c r="P1441" i="1"/>
  <c r="M1441" i="1"/>
  <c r="BD1462" i="1" l="1"/>
  <c r="BA552" i="1"/>
  <c r="BA1472" i="1"/>
  <c r="BA1460" i="1"/>
  <c r="AX154" i="1"/>
  <c r="BD1460" i="1"/>
  <c r="BG1467" i="1"/>
  <c r="K1338" i="1"/>
  <c r="K1230" i="1" s="1"/>
  <c r="K1337" i="1"/>
  <c r="K1223" i="1" s="1"/>
  <c r="K1336" i="1"/>
  <c r="K1216" i="1" s="1"/>
  <c r="K1442" i="1"/>
  <c r="L1435" i="1"/>
  <c r="P1435" i="1"/>
  <c r="G1438" i="1"/>
  <c r="K1438" i="1" s="1"/>
  <c r="BA154" i="1" l="1"/>
  <c r="BD1472" i="1"/>
  <c r="BG1462" i="1"/>
  <c r="BG1460" i="1" s="1"/>
  <c r="BD552" i="1"/>
  <c r="BJ1467" i="1"/>
  <c r="L1442" i="1"/>
  <c r="O1442" i="1" s="1"/>
  <c r="R1442" i="1" s="1"/>
  <c r="U1442" i="1" s="1"/>
  <c r="X1442" i="1" s="1"/>
  <c r="L1446" i="1"/>
  <c r="N1442" i="1"/>
  <c r="Q1442" i="1" s="1"/>
  <c r="P1438" i="1"/>
  <c r="K1447" i="1"/>
  <c r="K1344" i="1" s="1"/>
  <c r="S1435" i="1"/>
  <c r="O1435" i="1"/>
  <c r="O1446" i="1" s="1"/>
  <c r="N1435" i="1"/>
  <c r="N1446" i="1" s="1"/>
  <c r="L1436" i="1"/>
  <c r="G1439" i="1"/>
  <c r="G1444" i="1" s="1"/>
  <c r="G1445" i="1" s="1"/>
  <c r="G1437" i="1"/>
  <c r="L1438" i="1"/>
  <c r="L1447" i="1" s="1"/>
  <c r="L1344" i="1" s="1"/>
  <c r="M1435" i="1"/>
  <c r="BG1472" i="1" l="1"/>
  <c r="BJ1462" i="1"/>
  <c r="BJ1460" i="1" s="1"/>
  <c r="BG552" i="1"/>
  <c r="BD154" i="1"/>
  <c r="BM1467" i="1"/>
  <c r="M1442" i="1"/>
  <c r="O1336" i="1"/>
  <c r="O1216" i="1" s="1"/>
  <c r="O1337" i="1"/>
  <c r="O1223" i="1" s="1"/>
  <c r="O1338" i="1"/>
  <c r="O1230" i="1" s="1"/>
  <c r="L1337" i="1"/>
  <c r="L1223" i="1" s="1"/>
  <c r="M1223" i="1" s="1"/>
  <c r="L1338" i="1"/>
  <c r="L1230" i="1" s="1"/>
  <c r="M1230" i="1" s="1"/>
  <c r="N1337" i="1"/>
  <c r="N1223" i="1" s="1"/>
  <c r="N1338" i="1"/>
  <c r="N1230" i="1" s="1"/>
  <c r="M1446" i="1"/>
  <c r="L1336" i="1"/>
  <c r="N1336" i="1"/>
  <c r="M1447" i="1"/>
  <c r="M1344" i="1" s="1"/>
  <c r="P1446" i="1"/>
  <c r="AA1442" i="1"/>
  <c r="M1438" i="1"/>
  <c r="S1442" i="1"/>
  <c r="T1442" i="1"/>
  <c r="S1438" i="1"/>
  <c r="K1439" i="1"/>
  <c r="K1437" i="1"/>
  <c r="M1436" i="1"/>
  <c r="M1437" i="1" s="1"/>
  <c r="P1437" i="1" s="1"/>
  <c r="P1442" i="1"/>
  <c r="G1440" i="1"/>
  <c r="G1443" i="1"/>
  <c r="L1437" i="1"/>
  <c r="L1439" i="1"/>
  <c r="R1435" i="1"/>
  <c r="R1446" i="1" s="1"/>
  <c r="V1435" i="1"/>
  <c r="Y1435" i="1" s="1"/>
  <c r="Q1435" i="1"/>
  <c r="Q1446" i="1" s="1"/>
  <c r="BP1467" i="1" l="1"/>
  <c r="BJ1472" i="1"/>
  <c r="BM1462" i="1"/>
  <c r="BM1460" i="1" s="1"/>
  <c r="BJ552" i="1"/>
  <c r="BG154" i="1"/>
  <c r="P1230" i="1"/>
  <c r="P1336" i="1"/>
  <c r="N1216" i="1"/>
  <c r="P1223" i="1"/>
  <c r="M1336" i="1"/>
  <c r="L1216" i="1"/>
  <c r="M1216" i="1" s="1"/>
  <c r="P1216" i="1"/>
  <c r="Q1337" i="1"/>
  <c r="Q1223" i="1" s="1"/>
  <c r="Q1338" i="1"/>
  <c r="Q1230" i="1" s="1"/>
  <c r="R1336" i="1"/>
  <c r="R1216" i="1" s="1"/>
  <c r="R1337" i="1"/>
  <c r="R1223" i="1" s="1"/>
  <c r="R1338" i="1"/>
  <c r="R1230" i="1" s="1"/>
  <c r="S1446" i="1"/>
  <c r="Q1336" i="1"/>
  <c r="V1442" i="1"/>
  <c r="W1442" i="1"/>
  <c r="AD1442" i="1"/>
  <c r="W1435" i="1"/>
  <c r="AB1435" i="1"/>
  <c r="X1435" i="1"/>
  <c r="O1438" i="1"/>
  <c r="O1447" i="1" s="1"/>
  <c r="O1344" i="1" s="1"/>
  <c r="N1438" i="1"/>
  <c r="N1447" i="1" s="1"/>
  <c r="N1344" i="1" s="1"/>
  <c r="U1435" i="1"/>
  <c r="U1446" i="1" s="1"/>
  <c r="T1435" i="1"/>
  <c r="T1446" i="1" s="1"/>
  <c r="L1440" i="1"/>
  <c r="L1444" i="1"/>
  <c r="L1448" i="1" s="1"/>
  <c r="L1345" i="1" s="1"/>
  <c r="L1300" i="1" s="1"/>
  <c r="V1438" i="1"/>
  <c r="Y1438" i="1" s="1"/>
  <c r="R1438" i="1"/>
  <c r="Q1438" i="1"/>
  <c r="S1437" i="1"/>
  <c r="P1436" i="1"/>
  <c r="M1439" i="1"/>
  <c r="M1440" i="1" s="1"/>
  <c r="K1440" i="1"/>
  <c r="K1444" i="1"/>
  <c r="K1448" i="1" s="1"/>
  <c r="S1230" i="1" l="1"/>
  <c r="BJ154" i="1"/>
  <c r="S1223" i="1"/>
  <c r="BM1472" i="1"/>
  <c r="BP1462" i="1"/>
  <c r="BP1460" i="1" s="1"/>
  <c r="BM552" i="1"/>
  <c r="S1336" i="1"/>
  <c r="Q1216" i="1"/>
  <c r="S1216" i="1" s="1"/>
  <c r="Q1447" i="1"/>
  <c r="Q1344" i="1" s="1"/>
  <c r="U1336" i="1"/>
  <c r="U1337" i="1"/>
  <c r="U1223" i="1" s="1"/>
  <c r="U1338" i="1"/>
  <c r="U1230" i="1" s="1"/>
  <c r="T1336" i="1"/>
  <c r="T1216" i="1" s="1"/>
  <c r="T1337" i="1"/>
  <c r="T1223" i="1" s="1"/>
  <c r="T1338" i="1"/>
  <c r="T1230" i="1" s="1"/>
  <c r="W1446" i="1"/>
  <c r="M1448" i="1"/>
  <c r="M1345" i="1" s="1"/>
  <c r="K1345" i="1"/>
  <c r="K1300" i="1" s="1"/>
  <c r="R1447" i="1"/>
  <c r="V1446" i="1"/>
  <c r="AB1438" i="1"/>
  <c r="X1438" i="1"/>
  <c r="W1438" i="1"/>
  <c r="X1446" i="1"/>
  <c r="AG1442" i="1"/>
  <c r="P1447" i="1"/>
  <c r="P1344" i="1" s="1"/>
  <c r="Z1435" i="1"/>
  <c r="Z1446" i="1" s="1"/>
  <c r="AE1435" i="1"/>
  <c r="AA1435" i="1"/>
  <c r="AA1446" i="1" s="1"/>
  <c r="Z1442" i="1"/>
  <c r="Y1442" i="1"/>
  <c r="L1445" i="1"/>
  <c r="N1436" i="1"/>
  <c r="O1436" i="1"/>
  <c r="T1438" i="1"/>
  <c r="T1447" i="1" s="1"/>
  <c r="T1344" i="1" s="1"/>
  <c r="U1438" i="1"/>
  <c r="U1447" i="1" s="1"/>
  <c r="U1344" i="1" s="1"/>
  <c r="K1445" i="1"/>
  <c r="M1444" i="1"/>
  <c r="M1445" i="1" s="1"/>
  <c r="V1437" i="1"/>
  <c r="S1436" i="1"/>
  <c r="V1230" i="1" l="1"/>
  <c r="BM154" i="1"/>
  <c r="BP1472" i="1"/>
  <c r="BP552" i="1"/>
  <c r="V1223" i="1"/>
  <c r="V1336" i="1"/>
  <c r="U1216" i="1"/>
  <c r="V1216" i="1" s="1"/>
  <c r="X1337" i="1"/>
  <c r="X1223" i="1" s="1"/>
  <c r="X1338" i="1"/>
  <c r="X1230" i="1" s="1"/>
  <c r="Z1336" i="1"/>
  <c r="Z1216" i="1" s="1"/>
  <c r="Z1337" i="1"/>
  <c r="Z1223" i="1" s="1"/>
  <c r="Z1338" i="1"/>
  <c r="Z1230" i="1" s="1"/>
  <c r="W1336" i="1"/>
  <c r="W1216" i="1" s="1"/>
  <c r="W1337" i="1"/>
  <c r="W1223" i="1" s="1"/>
  <c r="W1338" i="1"/>
  <c r="W1230" i="1" s="1"/>
  <c r="M1300" i="1"/>
  <c r="K1305" i="1"/>
  <c r="K1304" i="1"/>
  <c r="AA1337" i="1"/>
  <c r="AA1223" i="1" s="1"/>
  <c r="AB1223" i="1" s="1"/>
  <c r="AA1338" i="1"/>
  <c r="AA1230" i="1" s="1"/>
  <c r="AB1230" i="1" s="1"/>
  <c r="Y1446" i="1"/>
  <c r="X1336" i="1"/>
  <c r="W1447" i="1"/>
  <c r="W1344" i="1" s="1"/>
  <c r="S1447" i="1"/>
  <c r="S1344" i="1" s="1"/>
  <c r="R1344" i="1"/>
  <c r="AC1435" i="1"/>
  <c r="AC1446" i="1" s="1"/>
  <c r="AD1435" i="1"/>
  <c r="AD1446" i="1" s="1"/>
  <c r="AH1435" i="1"/>
  <c r="AJ1442" i="1"/>
  <c r="AE1438" i="1"/>
  <c r="Z1438" i="1"/>
  <c r="Z1447" i="1" s="1"/>
  <c r="AA1438" i="1"/>
  <c r="AA1447" i="1" s="1"/>
  <c r="AB1442" i="1"/>
  <c r="AC1442" i="1"/>
  <c r="AB1446" i="1"/>
  <c r="V1436" i="1"/>
  <c r="T1436" i="1" s="1"/>
  <c r="Y1437" i="1"/>
  <c r="V1447" i="1"/>
  <c r="V1344" i="1" s="1"/>
  <c r="X1447" i="1"/>
  <c r="R1436" i="1"/>
  <c r="Q1436" i="1"/>
  <c r="O1439" i="1"/>
  <c r="O1437" i="1"/>
  <c r="N1437" i="1"/>
  <c r="N1439" i="1"/>
  <c r="Y1223" i="1" l="1"/>
  <c r="BP154" i="1"/>
  <c r="U1436" i="1"/>
  <c r="U1439" i="1" s="1"/>
  <c r="Y1336" i="1"/>
  <c r="X1216" i="1"/>
  <c r="Y1216" i="1" s="1"/>
  <c r="Y1230" i="1"/>
  <c r="AD1337" i="1"/>
  <c r="AD1223" i="1" s="1"/>
  <c r="AD1338" i="1"/>
  <c r="AD1230" i="1" s="1"/>
  <c r="AE1446" i="1"/>
  <c r="AC1337" i="1"/>
  <c r="AC1223" i="1" s="1"/>
  <c r="AC1338" i="1"/>
  <c r="AC1230" i="1" s="1"/>
  <c r="M1305" i="1"/>
  <c r="M1304" i="1"/>
  <c r="Y1447" i="1"/>
  <c r="Y1344" i="1" s="1"/>
  <c r="X1344" i="1"/>
  <c r="AB1447" i="1"/>
  <c r="Z1344" i="1"/>
  <c r="AH1438" i="1"/>
  <c r="AK1435" i="1"/>
  <c r="AF1435" i="1"/>
  <c r="AF1446" i="1" s="1"/>
  <c r="AF1337" i="1" s="1"/>
  <c r="AG1435" i="1"/>
  <c r="AG1446" i="1" s="1"/>
  <c r="AB1437" i="1"/>
  <c r="Y1436" i="1"/>
  <c r="AF1442" i="1"/>
  <c r="AE1442" i="1"/>
  <c r="AD1438" i="1"/>
  <c r="AD1447" i="1" s="1"/>
  <c r="AC1438" i="1"/>
  <c r="AC1447" i="1" s="1"/>
  <c r="AM1442" i="1"/>
  <c r="AP1442" i="1" s="1"/>
  <c r="Q1437" i="1"/>
  <c r="Q1439" i="1"/>
  <c r="U1437" i="1"/>
  <c r="R1439" i="1"/>
  <c r="R1437" i="1"/>
  <c r="T1439" i="1"/>
  <c r="T1437" i="1"/>
  <c r="N1440" i="1"/>
  <c r="N1444" i="1"/>
  <c r="P1439" i="1"/>
  <c r="O1440" i="1"/>
  <c r="O1444" i="1"/>
  <c r="AG1337" i="1" l="1"/>
  <c r="AH1337" i="1" s="1"/>
  <c r="AG1338" i="1"/>
  <c r="AE1230" i="1"/>
  <c r="AS1442" i="1"/>
  <c r="AE1223" i="1"/>
  <c r="AH1446" i="1"/>
  <c r="N1445" i="1"/>
  <c r="N1448" i="1"/>
  <c r="N1345" i="1" s="1"/>
  <c r="N1300" i="1" s="1"/>
  <c r="AK1438" i="1"/>
  <c r="AG1438" i="1"/>
  <c r="AG1447" i="1" s="1"/>
  <c r="AF1438" i="1"/>
  <c r="AF1447" i="1" s="1"/>
  <c r="O1445" i="1"/>
  <c r="O1448" i="1"/>
  <c r="O1345" i="1" s="1"/>
  <c r="O1300" i="1" s="1"/>
  <c r="AE1447" i="1"/>
  <c r="AI1442" i="1"/>
  <c r="AH1442" i="1"/>
  <c r="X1436" i="1"/>
  <c r="W1436" i="1"/>
  <c r="AE1437" i="1"/>
  <c r="AB1436" i="1"/>
  <c r="AN1435" i="1"/>
  <c r="AQ1435" i="1" s="1"/>
  <c r="AJ1435" i="1"/>
  <c r="AJ1446" i="1" s="1"/>
  <c r="AI1435" i="1"/>
  <c r="AI1446" i="1" s="1"/>
  <c r="U1440" i="1"/>
  <c r="U1444" i="1"/>
  <c r="P1440" i="1"/>
  <c r="P1444" i="1"/>
  <c r="P1445" i="1" s="1"/>
  <c r="V1439" i="1"/>
  <c r="T1440" i="1"/>
  <c r="T1444" i="1"/>
  <c r="S1439" i="1"/>
  <c r="Q1440" i="1"/>
  <c r="Q1444" i="1"/>
  <c r="R1440" i="1"/>
  <c r="R1444" i="1"/>
  <c r="AO1435" i="1" l="1"/>
  <c r="AT1435" i="1"/>
  <c r="AP1435" i="1"/>
  <c r="AV1442" i="1"/>
  <c r="P1300" i="1"/>
  <c r="P1305" i="1" s="1"/>
  <c r="N1305" i="1"/>
  <c r="N1304" i="1"/>
  <c r="AK1446" i="1"/>
  <c r="AH1447" i="1"/>
  <c r="R1445" i="1"/>
  <c r="R1448" i="1"/>
  <c r="R1345" i="1" s="1"/>
  <c r="R1300" i="1" s="1"/>
  <c r="X1437" i="1"/>
  <c r="X1439" i="1"/>
  <c r="AL1442" i="1"/>
  <c r="AO1442" i="1" s="1"/>
  <c r="AK1442" i="1"/>
  <c r="T1445" i="1"/>
  <c r="T1448" i="1"/>
  <c r="T1345" i="1" s="1"/>
  <c r="T1300" i="1" s="1"/>
  <c r="T1305" i="1" s="1"/>
  <c r="AH1437" i="1"/>
  <c r="AE1436" i="1"/>
  <c r="Z1436" i="1"/>
  <c r="AA1436" i="1"/>
  <c r="Q1445" i="1"/>
  <c r="Q1448" i="1"/>
  <c r="U1445" i="1"/>
  <c r="U1448" i="1"/>
  <c r="AJ1438" i="1"/>
  <c r="AJ1447" i="1" s="1"/>
  <c r="AN1438" i="1"/>
  <c r="AQ1438" i="1" s="1"/>
  <c r="AI1438" i="1"/>
  <c r="AI1447" i="1" s="1"/>
  <c r="AL1435" i="1"/>
  <c r="AL1446" i="1" s="1"/>
  <c r="AM1435" i="1"/>
  <c r="AM1446" i="1" s="1"/>
  <c r="W1439" i="1"/>
  <c r="W1437" i="1"/>
  <c r="P1448" i="1"/>
  <c r="P1345" i="1" s="1"/>
  <c r="S1440" i="1"/>
  <c r="S1444" i="1"/>
  <c r="S1445" i="1" s="1"/>
  <c r="V1440" i="1"/>
  <c r="V1444" i="1"/>
  <c r="V1445" i="1" s="1"/>
  <c r="AP1446" i="1" l="1"/>
  <c r="AP1438" i="1"/>
  <c r="AO1438" i="1"/>
  <c r="AT1438" i="1"/>
  <c r="AW1435" i="1"/>
  <c r="AS1435" i="1"/>
  <c r="AS1446" i="1" s="1"/>
  <c r="AR1435" i="1"/>
  <c r="AR1446" i="1" s="1"/>
  <c r="P1304" i="1"/>
  <c r="AO1446" i="1"/>
  <c r="AR1442" i="1"/>
  <c r="AQ1442" i="1"/>
  <c r="AY1442" i="1"/>
  <c r="AN1446" i="1"/>
  <c r="AK1447" i="1"/>
  <c r="S1448" i="1"/>
  <c r="S1345" i="1" s="1"/>
  <c r="Q1345" i="1"/>
  <c r="Q1300" i="1" s="1"/>
  <c r="V1448" i="1"/>
  <c r="V1345" i="1" s="1"/>
  <c r="U1345" i="1"/>
  <c r="U1300" i="1" s="1"/>
  <c r="V1300" i="1" s="1"/>
  <c r="V1305" i="1" s="1"/>
  <c r="AA1439" i="1"/>
  <c r="AA1437" i="1"/>
  <c r="AN1442" i="1"/>
  <c r="W1440" i="1"/>
  <c r="Y1439" i="1"/>
  <c r="W1444" i="1"/>
  <c r="Z1439" i="1"/>
  <c r="Z1437" i="1"/>
  <c r="X1440" i="1"/>
  <c r="X1444" i="1"/>
  <c r="AM1438" i="1"/>
  <c r="AM1447" i="1" s="1"/>
  <c r="AL1438" i="1"/>
  <c r="AL1447" i="1" s="1"/>
  <c r="AD1436" i="1"/>
  <c r="AC1436" i="1"/>
  <c r="AK1437" i="1"/>
  <c r="AH1436" i="1"/>
  <c r="AN1181" i="1"/>
  <c r="AK1181" i="1"/>
  <c r="AH1181" i="1"/>
  <c r="AN631" i="1"/>
  <c r="AK631" i="1"/>
  <c r="AH631" i="1"/>
  <c r="AT1446" i="1" l="1"/>
  <c r="AR1223" i="1"/>
  <c r="AP1223" i="1"/>
  <c r="AQ1446" i="1"/>
  <c r="AO1223" i="1"/>
  <c r="AP1230" i="1"/>
  <c r="AW1438" i="1"/>
  <c r="AZ1435" i="1"/>
  <c r="AU1435" i="1"/>
  <c r="AU1446" i="1" s="1"/>
  <c r="AV1435" i="1"/>
  <c r="AV1446" i="1" s="1"/>
  <c r="AO1447" i="1"/>
  <c r="AR1438" i="1"/>
  <c r="AR1447" i="1" s="1"/>
  <c r="AS1438" i="1"/>
  <c r="AS1447" i="1" s="1"/>
  <c r="AP1447" i="1"/>
  <c r="BB1442" i="1"/>
  <c r="AU1442" i="1"/>
  <c r="AT1442" i="1"/>
  <c r="Q1305" i="1"/>
  <c r="Q1304" i="1"/>
  <c r="S1300" i="1"/>
  <c r="AN1447" i="1"/>
  <c r="AA1440" i="1"/>
  <c r="AA1444" i="1"/>
  <c r="AN1437" i="1"/>
  <c r="AK1436" i="1"/>
  <c r="Z1440" i="1"/>
  <c r="AB1439" i="1"/>
  <c r="Z1444" i="1"/>
  <c r="AG1436" i="1"/>
  <c r="AF1436" i="1"/>
  <c r="AC1439" i="1"/>
  <c r="AC1437" i="1"/>
  <c r="X1445" i="1"/>
  <c r="X1448" i="1"/>
  <c r="X1345" i="1" s="1"/>
  <c r="X1300" i="1" s="1"/>
  <c r="W1445" i="1"/>
  <c r="W1448" i="1"/>
  <c r="AD1437" i="1"/>
  <c r="AD1439" i="1"/>
  <c r="Y1440" i="1"/>
  <c r="Y1444" i="1"/>
  <c r="Y1445" i="1" s="1"/>
  <c r="AH705" i="1"/>
  <c r="AH706" i="1" s="1"/>
  <c r="AN705" i="1"/>
  <c r="AN706" i="1" s="1"/>
  <c r="AK697" i="1"/>
  <c r="AK698" i="1" s="1"/>
  <c r="AG692" i="1"/>
  <c r="AG683" i="1" s="1"/>
  <c r="AI692" i="1"/>
  <c r="AI683" i="1" s="1"/>
  <c r="AH697" i="1"/>
  <c r="AH698" i="1" s="1"/>
  <c r="AK705" i="1"/>
  <c r="AK706" i="1" s="1"/>
  <c r="AN697" i="1"/>
  <c r="AN698" i="1" s="1"/>
  <c r="AM692" i="1"/>
  <c r="AM683" i="1" s="1"/>
  <c r="AJ692" i="1"/>
  <c r="AJ683" i="1" s="1"/>
  <c r="AN530" i="1"/>
  <c r="AK530" i="1"/>
  <c r="AH530" i="1"/>
  <c r="AN522" i="1"/>
  <c r="AK522" i="1"/>
  <c r="AH522" i="1"/>
  <c r="AN521" i="1"/>
  <c r="AK521" i="1"/>
  <c r="AH521" i="1"/>
  <c r="AN519" i="1"/>
  <c r="AK519" i="1"/>
  <c r="AH519" i="1"/>
  <c r="AN518" i="1"/>
  <c r="AK518" i="1"/>
  <c r="AH518" i="1"/>
  <c r="AN517" i="1"/>
  <c r="AK517" i="1"/>
  <c r="AH517" i="1"/>
  <c r="AN515" i="1"/>
  <c r="AK515" i="1"/>
  <c r="AH515" i="1"/>
  <c r="AN514" i="1"/>
  <c r="AK514" i="1"/>
  <c r="AH514" i="1"/>
  <c r="AN512" i="1"/>
  <c r="AK512" i="1"/>
  <c r="AH512" i="1"/>
  <c r="AN511" i="1"/>
  <c r="AK511" i="1"/>
  <c r="AH511" i="1"/>
  <c r="AQ1223" i="1" l="1"/>
  <c r="AW1446" i="1"/>
  <c r="AU1223" i="1"/>
  <c r="AO1230" i="1"/>
  <c r="AQ1230" i="1" s="1"/>
  <c r="AQ1447" i="1"/>
  <c r="BC1435" i="1"/>
  <c r="AX1435" i="1"/>
  <c r="AX1446" i="1" s="1"/>
  <c r="AY1435" i="1"/>
  <c r="AY1446" i="1" s="1"/>
  <c r="AN1436" i="1"/>
  <c r="AM1436" i="1" s="1"/>
  <c r="AQ1437" i="1"/>
  <c r="AU1438" i="1"/>
  <c r="AU1447" i="1" s="1"/>
  <c r="AZ1438" i="1"/>
  <c r="AV1438" i="1"/>
  <c r="AV1447" i="1" s="1"/>
  <c r="AS1223" i="1"/>
  <c r="AT1223" i="1" s="1"/>
  <c r="AR1230" i="1"/>
  <c r="AT1447" i="1"/>
  <c r="AS1230" i="1"/>
  <c r="AX1442" i="1"/>
  <c r="AW1442" i="1"/>
  <c r="BE1442" i="1"/>
  <c r="S1305" i="1"/>
  <c r="S1304" i="1"/>
  <c r="Y1448" i="1"/>
  <c r="Y1345" i="1" s="1"/>
  <c r="W1345" i="1"/>
  <c r="W1300" i="1" s="1"/>
  <c r="Y1300" i="1" s="1"/>
  <c r="AG1439" i="1"/>
  <c r="AG1437" i="1"/>
  <c r="AJ1436" i="1"/>
  <c r="AI1436" i="1"/>
  <c r="Z1448" i="1"/>
  <c r="Z1445" i="1"/>
  <c r="AD1440" i="1"/>
  <c r="AD1444" i="1"/>
  <c r="AE1439" i="1"/>
  <c r="AC1440" i="1"/>
  <c r="AC1444" i="1"/>
  <c r="AB1440" i="1"/>
  <c r="AB1444" i="1"/>
  <c r="AB1445" i="1" s="1"/>
  <c r="AA1448" i="1"/>
  <c r="AA1445" i="1"/>
  <c r="AF1437" i="1"/>
  <c r="AF1439" i="1"/>
  <c r="AF692" i="1"/>
  <c r="AF683" i="1" s="1"/>
  <c r="AH683" i="1" s="1"/>
  <c r="AK683" i="1"/>
  <c r="AL692" i="1"/>
  <c r="AK692" i="1"/>
  <c r="AN370" i="1"/>
  <c r="AK370" i="1"/>
  <c r="AH370" i="1"/>
  <c r="AL1436" i="1" l="1"/>
  <c r="AT1230" i="1"/>
  <c r="AV1223" i="1"/>
  <c r="AW1223" i="1" s="1"/>
  <c r="AY1438" i="1"/>
  <c r="AY1447" i="1" s="1"/>
  <c r="AX1438" i="1"/>
  <c r="AX1447" i="1" s="1"/>
  <c r="AU1230" i="1"/>
  <c r="AW1447" i="1"/>
  <c r="AT1437" i="1"/>
  <c r="AQ1436" i="1"/>
  <c r="AX1223" i="1"/>
  <c r="AZ1446" i="1"/>
  <c r="AV1230" i="1"/>
  <c r="AW1230" i="1" s="1"/>
  <c r="BC1438" i="1"/>
  <c r="BF1435" i="1"/>
  <c r="BA1435" i="1"/>
  <c r="BA1446" i="1" s="1"/>
  <c r="BB1435" i="1"/>
  <c r="BB1446" i="1" s="1"/>
  <c r="BH1442" i="1"/>
  <c r="BA1442" i="1"/>
  <c r="AZ1442" i="1"/>
  <c r="AB1448" i="1"/>
  <c r="Z1345" i="1"/>
  <c r="Z1300" i="1" s="1"/>
  <c r="AC1445" i="1"/>
  <c r="AC1448" i="1"/>
  <c r="AG1440" i="1"/>
  <c r="AG1444" i="1"/>
  <c r="AL1437" i="1"/>
  <c r="AL1439" i="1"/>
  <c r="AI1437" i="1"/>
  <c r="AI1439" i="1"/>
  <c r="AF1440" i="1"/>
  <c r="AH1439" i="1"/>
  <c r="AF1444" i="1"/>
  <c r="AE1440" i="1"/>
  <c r="AE1444" i="1"/>
  <c r="AE1445" i="1" s="1"/>
  <c r="AM1437" i="1"/>
  <c r="AM1439" i="1"/>
  <c r="AJ1437" i="1"/>
  <c r="AJ1439" i="1"/>
  <c r="AD1448" i="1"/>
  <c r="AD1445" i="1"/>
  <c r="AH692" i="1"/>
  <c r="AL683" i="1"/>
  <c r="AN683" i="1" s="1"/>
  <c r="AN692" i="1"/>
  <c r="V809" i="1"/>
  <c r="Z813" i="1"/>
  <c r="AB812" i="1"/>
  <c r="AA813" i="1"/>
  <c r="AB854" i="1"/>
  <c r="AA855" i="1"/>
  <c r="Z855" i="1"/>
  <c r="AB833" i="1"/>
  <c r="AA834" i="1"/>
  <c r="Z834" i="1"/>
  <c r="V830" i="1"/>
  <c r="AB771" i="1"/>
  <c r="AA792" i="1"/>
  <c r="AB792" i="1" s="1"/>
  <c r="AB791" i="1"/>
  <c r="AC792" i="1"/>
  <c r="X876" i="1"/>
  <c r="Y896" i="1"/>
  <c r="AE896" i="1"/>
  <c r="AB896" i="1"/>
  <c r="X897" i="1"/>
  <c r="W897" i="1"/>
  <c r="T960" i="1"/>
  <c r="R960" i="1"/>
  <c r="S960" i="1" s="1"/>
  <c r="R981" i="1"/>
  <c r="O1024" i="1"/>
  <c r="M1065" i="1"/>
  <c r="U918" i="1"/>
  <c r="U939" i="1"/>
  <c r="T939" i="1"/>
  <c r="S1001" i="1"/>
  <c r="R1002" i="1"/>
  <c r="Q1002" i="1"/>
  <c r="S1023" i="1"/>
  <c r="V1023" i="1"/>
  <c r="AZ1447" i="1" l="1"/>
  <c r="AY1230" i="1"/>
  <c r="BC1446" i="1"/>
  <c r="BA1223" i="1"/>
  <c r="AX1230" i="1"/>
  <c r="BD1435" i="1"/>
  <c r="BD1446" i="1" s="1"/>
  <c r="BE1435" i="1"/>
  <c r="BE1446" i="1" s="1"/>
  <c r="BI1435" i="1"/>
  <c r="AP1436" i="1"/>
  <c r="AO1436" i="1"/>
  <c r="BF1438" i="1"/>
  <c r="BB1438" i="1"/>
  <c r="BB1447" i="1" s="1"/>
  <c r="BA1438" i="1"/>
  <c r="BA1447" i="1" s="1"/>
  <c r="AW1437" i="1"/>
  <c r="AT1436" i="1"/>
  <c r="AY1223" i="1"/>
  <c r="AZ1223" i="1" s="1"/>
  <c r="BK1442" i="1"/>
  <c r="BD1442" i="1"/>
  <c r="BC1442" i="1"/>
  <c r="AI1440" i="1"/>
  <c r="AK1439" i="1"/>
  <c r="AI1444" i="1"/>
  <c r="AG1445" i="1"/>
  <c r="AG1448" i="1"/>
  <c r="AM1440" i="1"/>
  <c r="AM1444" i="1"/>
  <c r="AH1440" i="1"/>
  <c r="AH1444" i="1"/>
  <c r="AH1445" i="1" s="1"/>
  <c r="AN1439" i="1"/>
  <c r="AL1440" i="1"/>
  <c r="AL1444" i="1"/>
  <c r="AE1448" i="1"/>
  <c r="AF1448" i="1"/>
  <c r="AF1445" i="1"/>
  <c r="AJ1440" i="1"/>
  <c r="AJ1444" i="1"/>
  <c r="AB813" i="1"/>
  <c r="AB834" i="1"/>
  <c r="AB855" i="1"/>
  <c r="V918" i="1"/>
  <c r="AH1420" i="1"/>
  <c r="AH1399" i="1"/>
  <c r="S1190" i="1"/>
  <c r="AE1190" i="1"/>
  <c r="AE1192" i="1" s="1"/>
  <c r="AC1190" i="1"/>
  <c r="AC1192" i="1" s="1"/>
  <c r="AB1190" i="1"/>
  <c r="AB1192" i="1" s="1"/>
  <c r="Z1190" i="1"/>
  <c r="Z1192" i="1" s="1"/>
  <c r="Y1190" i="1"/>
  <c r="W1190" i="1"/>
  <c r="V1190" i="1"/>
  <c r="AE1198" i="1" l="1"/>
  <c r="AC1198" i="1"/>
  <c r="AZ1230" i="1"/>
  <c r="Y1196" i="1"/>
  <c r="AE1196" i="1"/>
  <c r="AC1196" i="1"/>
  <c r="BC1447" i="1"/>
  <c r="AZ1437" i="1"/>
  <c r="AW1436" i="1"/>
  <c r="AO1437" i="1"/>
  <c r="AO1439" i="1"/>
  <c r="BA1230" i="1"/>
  <c r="Z1196" i="1"/>
  <c r="AP1439" i="1"/>
  <c r="AP1437" i="1"/>
  <c r="BF1446" i="1"/>
  <c r="BD1223" i="1"/>
  <c r="BB1223" i="1"/>
  <c r="BC1223" i="1" s="1"/>
  <c r="V1196" i="1"/>
  <c r="AB1196" i="1"/>
  <c r="AS1436" i="1"/>
  <c r="AR1436" i="1"/>
  <c r="BE1438" i="1"/>
  <c r="BE1447" i="1" s="1"/>
  <c r="BD1438" i="1"/>
  <c r="BD1447" i="1" s="1"/>
  <c r="BI1438" i="1"/>
  <c r="BL1435" i="1"/>
  <c r="BG1435" i="1"/>
  <c r="BG1446" i="1" s="1"/>
  <c r="BH1435" i="1"/>
  <c r="BH1446" i="1" s="1"/>
  <c r="BB1230" i="1"/>
  <c r="BN1442" i="1"/>
  <c r="BF1442" i="1"/>
  <c r="BG1442" i="1"/>
  <c r="AL1448" i="1"/>
  <c r="AL1445" i="1"/>
  <c r="AM1445" i="1"/>
  <c r="AM1448" i="1"/>
  <c r="AI1445" i="1"/>
  <c r="AI1448" i="1"/>
  <c r="AH1448" i="1"/>
  <c r="AN1440" i="1"/>
  <c r="AN1444" i="1"/>
  <c r="AN1445" i="1" s="1"/>
  <c r="AK1440" i="1"/>
  <c r="AK1444" i="1"/>
  <c r="AK1445" i="1" s="1"/>
  <c r="AJ1445" i="1"/>
  <c r="AJ1448" i="1"/>
  <c r="AA1190" i="1"/>
  <c r="X1190" i="1"/>
  <c r="AD1190" i="1"/>
  <c r="AD1188" i="1"/>
  <c r="AA1188" i="1"/>
  <c r="X1188" i="1"/>
  <c r="BF1447" i="1" l="1"/>
  <c r="BL1438" i="1"/>
  <c r="BO1435" i="1"/>
  <c r="BK1435" i="1"/>
  <c r="BK1446" i="1" s="1"/>
  <c r="BJ1435" i="1"/>
  <c r="BJ1446" i="1" s="1"/>
  <c r="AR1437" i="1"/>
  <c r="AR1439" i="1"/>
  <c r="BE1223" i="1"/>
  <c r="BF1223" i="1" s="1"/>
  <c r="AA1194" i="1"/>
  <c r="AA1196" i="1"/>
  <c r="BH1438" i="1"/>
  <c r="BH1447" i="1" s="1"/>
  <c r="BG1438" i="1"/>
  <c r="BG1447" i="1" s="1"/>
  <c r="AS1439" i="1"/>
  <c r="AS1437" i="1"/>
  <c r="BD1230" i="1"/>
  <c r="BE1230" i="1"/>
  <c r="AD1194" i="1"/>
  <c r="AQ1439" i="1"/>
  <c r="AO1440" i="1"/>
  <c r="AO1444" i="1"/>
  <c r="AV1436" i="1"/>
  <c r="AU1436" i="1"/>
  <c r="AD1196" i="1"/>
  <c r="BC1230" i="1"/>
  <c r="BG1223" i="1"/>
  <c r="BI1446" i="1"/>
  <c r="AP1440" i="1"/>
  <c r="AP1444" i="1"/>
  <c r="BC1437" i="1"/>
  <c r="AZ1436" i="1"/>
  <c r="BQ1442" i="1"/>
  <c r="BI1442" i="1"/>
  <c r="BJ1442" i="1"/>
  <c r="AK1448" i="1"/>
  <c r="AN1448" i="1"/>
  <c r="AA1201" i="1"/>
  <c r="X1201" i="1"/>
  <c r="AD1201" i="1"/>
  <c r="BI1447" i="1" l="1"/>
  <c r="BC1436" i="1"/>
  <c r="BF1437" i="1"/>
  <c r="BG1230" i="1"/>
  <c r="BH1223" i="1"/>
  <c r="BI1223" i="1" s="1"/>
  <c r="AP1445" i="1"/>
  <c r="AP1448" i="1"/>
  <c r="AU1439" i="1"/>
  <c r="AU1437" i="1"/>
  <c r="AQ1440" i="1"/>
  <c r="AQ1444" i="1"/>
  <c r="AQ1445" i="1" s="1"/>
  <c r="AT1439" i="1"/>
  <c r="AR1440" i="1"/>
  <c r="AR1444" i="1"/>
  <c r="AV1439" i="1"/>
  <c r="AV1437" i="1"/>
  <c r="BF1230" i="1"/>
  <c r="BR1435" i="1"/>
  <c r="BN1435" i="1"/>
  <c r="BN1446" i="1" s="1"/>
  <c r="BM1435" i="1"/>
  <c r="BM1446" i="1" s="1"/>
  <c r="AY1436" i="1"/>
  <c r="AX1436" i="1"/>
  <c r="AO1445" i="1"/>
  <c r="AO1448" i="1"/>
  <c r="BH1230" i="1"/>
  <c r="BI1230" i="1" s="1"/>
  <c r="AS1440" i="1"/>
  <c r="AS1444" i="1"/>
  <c r="BJ1223" i="1"/>
  <c r="BL1446" i="1"/>
  <c r="BK1438" i="1"/>
  <c r="BK1447" i="1" s="1"/>
  <c r="BO1438" i="1"/>
  <c r="BJ1438" i="1"/>
  <c r="BJ1447" i="1" s="1"/>
  <c r="BM1442" i="1"/>
  <c r="BL1442" i="1"/>
  <c r="AQ1448" i="1" l="1"/>
  <c r="BL1447" i="1"/>
  <c r="AY1439" i="1"/>
  <c r="AY1437" i="1"/>
  <c r="AT1440" i="1"/>
  <c r="AT1444" i="1"/>
  <c r="AT1445" i="1" s="1"/>
  <c r="BK1223" i="1"/>
  <c r="BL1223" i="1" s="1"/>
  <c r="BJ1230" i="1"/>
  <c r="BO1446" i="1"/>
  <c r="BM1223" i="1"/>
  <c r="AW1439" i="1"/>
  <c r="AU1440" i="1"/>
  <c r="AU1444" i="1"/>
  <c r="BK1230" i="1"/>
  <c r="BR1438" i="1"/>
  <c r="BN1438" i="1"/>
  <c r="BN1447" i="1" s="1"/>
  <c r="BM1438" i="1"/>
  <c r="BM1447" i="1" s="1"/>
  <c r="AR1445" i="1"/>
  <c r="AR1448" i="1"/>
  <c r="BI1437" i="1"/>
  <c r="BF1436" i="1"/>
  <c r="AS1445" i="1"/>
  <c r="AS1448" i="1"/>
  <c r="AX1437" i="1"/>
  <c r="AX1439" i="1"/>
  <c r="BP1435" i="1"/>
  <c r="BP1446" i="1" s="1"/>
  <c r="BQ1435" i="1"/>
  <c r="BQ1446" i="1" s="1"/>
  <c r="AV1440" i="1"/>
  <c r="AV1444" i="1"/>
  <c r="BA1436" i="1"/>
  <c r="BB1436" i="1"/>
  <c r="BP1442" i="1"/>
  <c r="BO1442" i="1"/>
  <c r="AA341" i="1"/>
  <c r="X341" i="1"/>
  <c r="BO1447" i="1" l="1"/>
  <c r="BA1437" i="1"/>
  <c r="BA1439" i="1"/>
  <c r="BL1437" i="1"/>
  <c r="BI1436" i="1"/>
  <c r="BN1223" i="1"/>
  <c r="BO1223" i="1" s="1"/>
  <c r="BQ1438" i="1"/>
  <c r="BQ1447" i="1" s="1"/>
  <c r="BP1438" i="1"/>
  <c r="BP1447" i="1" s="1"/>
  <c r="AU1445" i="1"/>
  <c r="AU1448" i="1"/>
  <c r="BM1230" i="1"/>
  <c r="AV1448" i="1"/>
  <c r="AV1445" i="1"/>
  <c r="BP1223" i="1"/>
  <c r="BR1446" i="1"/>
  <c r="BN1230" i="1"/>
  <c r="AX1440" i="1"/>
  <c r="AZ1439" i="1"/>
  <c r="AX1444" i="1"/>
  <c r="AT1448" i="1"/>
  <c r="BL1230" i="1"/>
  <c r="AW1440" i="1"/>
  <c r="AW1444" i="1"/>
  <c r="AW1445" i="1" s="1"/>
  <c r="BB1439" i="1"/>
  <c r="BB1437" i="1"/>
  <c r="BE1436" i="1"/>
  <c r="BD1436" i="1"/>
  <c r="AY1440" i="1"/>
  <c r="AY1444" i="1"/>
  <c r="BR1442" i="1"/>
  <c r="AN353" i="1"/>
  <c r="AK353" i="1"/>
  <c r="AH353" i="1"/>
  <c r="BR1447" i="1" l="1"/>
  <c r="BO1230" i="1"/>
  <c r="AY1448" i="1"/>
  <c r="AY1445" i="1"/>
  <c r="BE1437" i="1"/>
  <c r="BE1439" i="1"/>
  <c r="AX1448" i="1"/>
  <c r="AX1445" i="1"/>
  <c r="BP1230" i="1"/>
  <c r="BQ1223" i="1"/>
  <c r="BR1223" i="1" s="1"/>
  <c r="AZ1440" i="1"/>
  <c r="AZ1444" i="1"/>
  <c r="AZ1445" i="1" s="1"/>
  <c r="BH1436" i="1"/>
  <c r="BG1436" i="1"/>
  <c r="BC1439" i="1"/>
  <c r="BA1440" i="1"/>
  <c r="BA1444" i="1"/>
  <c r="BB1440" i="1"/>
  <c r="BB1444" i="1"/>
  <c r="BO1437" i="1"/>
  <c r="BL1436" i="1"/>
  <c r="BD1437" i="1"/>
  <c r="BD1439" i="1"/>
  <c r="AW1448" i="1"/>
  <c r="BQ1230" i="1"/>
  <c r="AZ1448" i="1" l="1"/>
  <c r="BK1436" i="1"/>
  <c r="BJ1436" i="1"/>
  <c r="BG1437" i="1"/>
  <c r="BG1439" i="1"/>
  <c r="BE1440" i="1"/>
  <c r="BE1444" i="1"/>
  <c r="BF1439" i="1"/>
  <c r="BD1440" i="1"/>
  <c r="BD1444" i="1"/>
  <c r="BR1437" i="1"/>
  <c r="BR1436" i="1" s="1"/>
  <c r="BO1436" i="1"/>
  <c r="BA1448" i="1"/>
  <c r="BA1445" i="1"/>
  <c r="BH1437" i="1"/>
  <c r="BH1439" i="1"/>
  <c r="BR1230" i="1"/>
  <c r="BB1448" i="1"/>
  <c r="BB1445" i="1"/>
  <c r="BC1440" i="1"/>
  <c r="BC1444" i="1"/>
  <c r="BC1445" i="1" s="1"/>
  <c r="BH1440" i="1" l="1"/>
  <c r="BH1444" i="1"/>
  <c r="BN1436" i="1"/>
  <c r="BM1436" i="1"/>
  <c r="BF1440" i="1"/>
  <c r="BF1444" i="1"/>
  <c r="BF1445" i="1" s="1"/>
  <c r="BI1439" i="1"/>
  <c r="BG1440" i="1"/>
  <c r="BG1444" i="1"/>
  <c r="BQ1436" i="1"/>
  <c r="BP1436" i="1"/>
  <c r="BD1448" i="1"/>
  <c r="BD1445" i="1"/>
  <c r="BE1448" i="1"/>
  <c r="BE1445" i="1"/>
  <c r="BJ1437" i="1"/>
  <c r="BJ1439" i="1"/>
  <c r="BC1448" i="1"/>
  <c r="BK1439" i="1"/>
  <c r="BK1437" i="1"/>
  <c r="C46" i="7"/>
  <c r="C77" i="7" s="1"/>
  <c r="BK1440" i="1" l="1"/>
  <c r="BK1444" i="1"/>
  <c r="BP1437" i="1"/>
  <c r="BP1439" i="1"/>
  <c r="BM1437" i="1"/>
  <c r="BM1439" i="1"/>
  <c r="BQ1437" i="1"/>
  <c r="BQ1439" i="1"/>
  <c r="BI1440" i="1"/>
  <c r="BI1444" i="1"/>
  <c r="BI1445" i="1" s="1"/>
  <c r="BN1439" i="1"/>
  <c r="BN1437" i="1"/>
  <c r="BL1439" i="1"/>
  <c r="BJ1440" i="1"/>
  <c r="BJ1444" i="1"/>
  <c r="BH1445" i="1"/>
  <c r="BH1448" i="1"/>
  <c r="BF1448" i="1"/>
  <c r="BG1448" i="1"/>
  <c r="BG1445" i="1"/>
  <c r="D126" i="7"/>
  <c r="AO383" i="1"/>
  <c r="AO386" i="1"/>
  <c r="AO388" i="1"/>
  <c r="AO427" i="1" s="1"/>
  <c r="AO381" i="1"/>
  <c r="AO380" i="1"/>
  <c r="AP381" i="1" l="1"/>
  <c r="AQ381" i="1" s="1"/>
  <c r="AO498" i="1"/>
  <c r="AR381" i="1"/>
  <c r="AR386" i="1"/>
  <c r="AP386" i="1"/>
  <c r="AO503" i="1"/>
  <c r="AM526" i="1"/>
  <c r="AO409" i="1"/>
  <c r="AR380" i="1"/>
  <c r="AP380" i="1"/>
  <c r="AO497" i="1"/>
  <c r="AP388" i="1"/>
  <c r="AP427" i="1" s="1"/>
  <c r="AR388" i="1"/>
  <c r="AR427" i="1" s="1"/>
  <c r="AO505" i="1"/>
  <c r="AR383" i="1"/>
  <c r="AP383" i="1"/>
  <c r="AO500" i="1"/>
  <c r="BR1439" i="1"/>
  <c r="BP1440" i="1"/>
  <c r="BP1444" i="1"/>
  <c r="BL1440" i="1"/>
  <c r="BL1444" i="1"/>
  <c r="BL1445" i="1" s="1"/>
  <c r="BQ1440" i="1"/>
  <c r="BQ1444" i="1"/>
  <c r="BO1439" i="1"/>
  <c r="BM1440" i="1"/>
  <c r="BM1444" i="1"/>
  <c r="BK1445" i="1"/>
  <c r="BK1448" i="1"/>
  <c r="BI1448" i="1"/>
  <c r="BJ1445" i="1"/>
  <c r="BJ1448" i="1"/>
  <c r="BN1440" i="1"/>
  <c r="BN1444" i="1"/>
  <c r="AQ398" i="1"/>
  <c r="AJ497" i="1"/>
  <c r="AL497" i="1"/>
  <c r="AM497" i="1"/>
  <c r="AM505" i="1"/>
  <c r="AM427" i="1"/>
  <c r="AM503" i="1"/>
  <c r="AJ503" i="1"/>
  <c r="AO390" i="1"/>
  <c r="AL526" i="1"/>
  <c r="AF498" i="1"/>
  <c r="AF420" i="1"/>
  <c r="AF459" i="1" s="1"/>
  <c r="AF508" i="1"/>
  <c r="AF430" i="1"/>
  <c r="AF469" i="1" s="1"/>
  <c r="AF526" i="1"/>
  <c r="AF352" i="1" s="1"/>
  <c r="AG526" i="1"/>
  <c r="AL503" i="1"/>
  <c r="AM500" i="1"/>
  <c r="AJ526" i="1"/>
  <c r="AM498" i="1"/>
  <c r="AF419" i="1"/>
  <c r="AF458" i="1" s="1"/>
  <c r="AF497" i="1"/>
  <c r="AF427" i="1"/>
  <c r="AF466" i="1" s="1"/>
  <c r="AF505" i="1"/>
  <c r="AF503" i="1"/>
  <c r="AF425" i="1"/>
  <c r="AF464" i="1" s="1"/>
  <c r="AI526" i="1"/>
  <c r="AO387" i="1"/>
  <c r="R1479" i="1"/>
  <c r="R1478" i="1"/>
  <c r="R1477" i="1"/>
  <c r="O1479" i="1"/>
  <c r="O1478" i="1"/>
  <c r="O1477" i="1"/>
  <c r="L1479" i="1"/>
  <c r="L1478" i="1"/>
  <c r="L1474" i="1" s="1"/>
  <c r="L1477" i="1"/>
  <c r="I1479" i="1"/>
  <c r="I1478" i="1"/>
  <c r="I1477" i="1"/>
  <c r="H1481" i="1"/>
  <c r="K1481" i="1"/>
  <c r="L1481" i="1" s="1"/>
  <c r="N1481" i="1"/>
  <c r="Q1481" i="1"/>
  <c r="R1481" i="1" s="1"/>
  <c r="S1475" i="1"/>
  <c r="Q1475" i="1"/>
  <c r="P1475" i="1"/>
  <c r="N1475" i="1"/>
  <c r="M1475" i="1"/>
  <c r="K1475" i="1"/>
  <c r="J1475" i="1"/>
  <c r="H1475" i="1"/>
  <c r="G1475" i="1"/>
  <c r="S1474" i="1"/>
  <c r="Q1474" i="1"/>
  <c r="P1474" i="1"/>
  <c r="N1474" i="1"/>
  <c r="M1474" i="1"/>
  <c r="K1474" i="1"/>
  <c r="J1474" i="1"/>
  <c r="H1474" i="1"/>
  <c r="G1474" i="1"/>
  <c r="AD1373" i="1"/>
  <c r="AD1384" i="1" s="1"/>
  <c r="AC1373" i="1"/>
  <c r="AC1384" i="1" s="1"/>
  <c r="AN1420" i="1"/>
  <c r="AN1399" i="1"/>
  <c r="AD1400" i="1"/>
  <c r="AG1400" i="1" s="1"/>
  <c r="AC1400" i="1"/>
  <c r="AF1400" i="1" s="1"/>
  <c r="AB1400" i="1"/>
  <c r="AE1399" i="1"/>
  <c r="AE1396" i="1"/>
  <c r="AD1396" i="1" s="1"/>
  <c r="AD1406" i="1" s="1"/>
  <c r="AA1396" i="1"/>
  <c r="AA1406" i="1" s="1"/>
  <c r="W1402" i="1"/>
  <c r="W1397" i="1" s="1"/>
  <c r="AB1397" i="1" s="1"/>
  <c r="W1393" i="1"/>
  <c r="W1401" i="1" s="1"/>
  <c r="AK1420" i="1"/>
  <c r="AA1417" i="1"/>
  <c r="AA1427" i="1" s="1"/>
  <c r="AB1427" i="1" s="1"/>
  <c r="AA1414" i="1"/>
  <c r="AA1426" i="1" s="1"/>
  <c r="AH725" i="1"/>
  <c r="AD725" i="1"/>
  <c r="Z806" i="1"/>
  <c r="Z818" i="1" s="1"/>
  <c r="AD813" i="1"/>
  <c r="AC813" i="1"/>
  <c r="AE812" i="1"/>
  <c r="AE806" i="1"/>
  <c r="AA806" i="1"/>
  <c r="AA818" i="1" s="1"/>
  <c r="V815" i="1"/>
  <c r="V817" i="1" s="1"/>
  <c r="Z809" i="1"/>
  <c r="Z819" i="1" s="1"/>
  <c r="Z827" i="1"/>
  <c r="Z839" i="1" s="1"/>
  <c r="AD834" i="1"/>
  <c r="AC834" i="1"/>
  <c r="AE833" i="1"/>
  <c r="AE827" i="1"/>
  <c r="AD827" i="1" s="1"/>
  <c r="AA827" i="1"/>
  <c r="AA839" i="1" s="1"/>
  <c r="AE848" i="1"/>
  <c r="AK854" i="1"/>
  <c r="AH854" i="1"/>
  <c r="AE854" i="1"/>
  <c r="Z848" i="1"/>
  <c r="AA848" i="1"/>
  <c r="V857" i="1"/>
  <c r="V851" i="1"/>
  <c r="Z851" i="1" s="1"/>
  <c r="V836" i="1"/>
  <c r="Z830" i="1"/>
  <c r="Z840" i="1" s="1"/>
  <c r="V828" i="1"/>
  <c r="AA828" i="1" s="1"/>
  <c r="AH745" i="1"/>
  <c r="AA745" i="1"/>
  <c r="Y755" i="1"/>
  <c r="Y753" i="1"/>
  <c r="Y749" i="1"/>
  <c r="Y750" i="1" s="1"/>
  <c r="Y746" i="1"/>
  <c r="AA768" i="1"/>
  <c r="AB768" i="1" s="1"/>
  <c r="Y765" i="1"/>
  <c r="Y772" i="1" s="1"/>
  <c r="Y774" i="1"/>
  <c r="AE788" i="1"/>
  <c r="AC788" i="1" s="1"/>
  <c r="AA785" i="1"/>
  <c r="AA788" i="1"/>
  <c r="AD792" i="1"/>
  <c r="AE785" i="1"/>
  <c r="AD785" i="1" s="1"/>
  <c r="V794" i="1"/>
  <c r="V792" i="1"/>
  <c r="AB869" i="1"/>
  <c r="X869" i="1"/>
  <c r="Y869" i="1" s="1"/>
  <c r="V878" i="1"/>
  <c r="V880" i="1" s="1"/>
  <c r="V872" i="1"/>
  <c r="V870" i="1"/>
  <c r="X870" i="1" s="1"/>
  <c r="AB890" i="1"/>
  <c r="AE890" i="1" s="1"/>
  <c r="AH890" i="1" s="1"/>
  <c r="X890" i="1"/>
  <c r="X902" i="1" s="1"/>
  <c r="S899" i="1"/>
  <c r="S901" i="1" s="1"/>
  <c r="S893" i="1"/>
  <c r="W893" i="1" s="1"/>
  <c r="W903" i="1" s="1"/>
  <c r="S891" i="1"/>
  <c r="W890" i="1"/>
  <c r="W902" i="1" s="1"/>
  <c r="Y911" i="1"/>
  <c r="U911" i="1"/>
  <c r="Q920" i="1"/>
  <c r="Q922" i="1" s="1"/>
  <c r="Q914" i="1"/>
  <c r="Q912" i="1"/>
  <c r="Y932" i="1"/>
  <c r="U932" i="1"/>
  <c r="U944" i="1" s="1"/>
  <c r="T932" i="1"/>
  <c r="T944" i="1" s="1"/>
  <c r="P940" i="1"/>
  <c r="P935" i="1"/>
  <c r="P933" i="1"/>
  <c r="Y933" i="1" s="1"/>
  <c r="V953" i="1"/>
  <c r="R953" i="1"/>
  <c r="R965" i="1" s="1"/>
  <c r="N961" i="1"/>
  <c r="N956" i="1"/>
  <c r="R956" i="1" s="1"/>
  <c r="R966" i="1" s="1"/>
  <c r="S966" i="1" s="1"/>
  <c r="N954" i="1"/>
  <c r="R954" i="1" s="1"/>
  <c r="AB1001" i="1"/>
  <c r="Y1001" i="1"/>
  <c r="V995" i="1"/>
  <c r="R995" i="1"/>
  <c r="R1007" i="1" s="1"/>
  <c r="Q995" i="1"/>
  <c r="Q1007" i="1" s="1"/>
  <c r="M1004" i="1"/>
  <c r="M1001" i="1"/>
  <c r="M998" i="1"/>
  <c r="V998" i="1" s="1"/>
  <c r="V974" i="1"/>
  <c r="AQ388" i="1" l="1"/>
  <c r="AN458" i="1"/>
  <c r="AN464" i="1"/>
  <c r="AS383" i="1"/>
  <c r="AT383" i="1" s="1"/>
  <c r="AP500" i="1"/>
  <c r="AQ500" i="1" s="1"/>
  <c r="AR409" i="1"/>
  <c r="AO526" i="1"/>
  <c r="AP409" i="1"/>
  <c r="AS386" i="1"/>
  <c r="AP503" i="1"/>
  <c r="AR387" i="1"/>
  <c r="AP387" i="1"/>
  <c r="AO504" i="1"/>
  <c r="AU383" i="1"/>
  <c r="AR500" i="1"/>
  <c r="AR505" i="1"/>
  <c r="AU388" i="1"/>
  <c r="AU427" i="1" s="1"/>
  <c r="AR503" i="1"/>
  <c r="AU386" i="1"/>
  <c r="AU381" i="1"/>
  <c r="AR498" i="1"/>
  <c r="AQ383" i="1"/>
  <c r="AS388" i="1"/>
  <c r="AP505" i="1"/>
  <c r="AS380" i="1"/>
  <c r="AP497" i="1"/>
  <c r="AQ386" i="1"/>
  <c r="AQ380" i="1"/>
  <c r="AR497" i="1"/>
  <c r="AU380" i="1"/>
  <c r="AP498" i="1"/>
  <c r="AS381" i="1"/>
  <c r="AT381" i="1" s="1"/>
  <c r="BM1448" i="1"/>
  <c r="BM1445" i="1"/>
  <c r="BP1445" i="1"/>
  <c r="BP1448" i="1"/>
  <c r="BN1445" i="1"/>
  <c r="BN1448" i="1"/>
  <c r="BO1440" i="1"/>
  <c r="BO1444" i="1"/>
  <c r="BO1445" i="1" s="1"/>
  <c r="BR1440" i="1"/>
  <c r="BR1444" i="1"/>
  <c r="BR1445" i="1" s="1"/>
  <c r="BL1448" i="1"/>
  <c r="BQ1448" i="1"/>
  <c r="BQ1445" i="1"/>
  <c r="AR390" i="1"/>
  <c r="AP390" i="1"/>
  <c r="AQ390" i="1" s="1"/>
  <c r="AO507" i="1"/>
  <c r="AD839" i="1"/>
  <c r="AG508" i="1"/>
  <c r="AM507" i="1"/>
  <c r="AH469" i="1"/>
  <c r="AE1384" i="1"/>
  <c r="AN459" i="1"/>
  <c r="AG507" i="1"/>
  <c r="AJ507" i="1"/>
  <c r="AI507" i="1"/>
  <c r="AF429" i="1"/>
  <c r="AF468" i="1" s="1"/>
  <c r="AF507" i="1"/>
  <c r="AI505" i="1"/>
  <c r="AJ498" i="1"/>
  <c r="AG504" i="1"/>
  <c r="AI504" i="1"/>
  <c r="AI500" i="1"/>
  <c r="AG503" i="1"/>
  <c r="AH464" i="1"/>
  <c r="AH526" i="1"/>
  <c r="AK464" i="1"/>
  <c r="AI503" i="1"/>
  <c r="AG498" i="1"/>
  <c r="AH459" i="1"/>
  <c r="AJ505" i="1"/>
  <c r="AK526" i="1"/>
  <c r="AJ500" i="1"/>
  <c r="AG505" i="1"/>
  <c r="AH466" i="1"/>
  <c r="AN497" i="1"/>
  <c r="AF500" i="1"/>
  <c r="AF422" i="1"/>
  <c r="AF461" i="1" s="1"/>
  <c r="AI497" i="1"/>
  <c r="AJ504" i="1"/>
  <c r="AI508" i="1"/>
  <c r="AG497" i="1"/>
  <c r="AH458" i="1"/>
  <c r="AL500" i="1"/>
  <c r="AN461" i="1"/>
  <c r="AM504" i="1"/>
  <c r="AL427" i="1"/>
  <c r="AN466" i="1" s="1"/>
  <c r="AL505" i="1"/>
  <c r="AJ508" i="1"/>
  <c r="AN503" i="1"/>
  <c r="AG500" i="1"/>
  <c r="AN526" i="1"/>
  <c r="S965" i="1"/>
  <c r="AF890" i="1"/>
  <c r="AG890" i="1"/>
  <c r="AK890" i="1"/>
  <c r="S1007" i="1"/>
  <c r="V944" i="1"/>
  <c r="U914" i="1"/>
  <c r="U924" i="1" s="1"/>
  <c r="U923" i="1"/>
  <c r="Y902" i="1"/>
  <c r="AA1344" i="1"/>
  <c r="AB1426" i="1"/>
  <c r="AA1336" i="1"/>
  <c r="AB818" i="1"/>
  <c r="AB1396" i="1"/>
  <c r="AB1406" i="1"/>
  <c r="AB1344" i="1" s="1"/>
  <c r="AB839" i="1"/>
  <c r="AF813" i="1"/>
  <c r="AG813" i="1"/>
  <c r="J1476" i="1"/>
  <c r="G1476" i="1"/>
  <c r="M1476" i="1"/>
  <c r="S1476" i="1"/>
  <c r="P1476" i="1"/>
  <c r="K1476" i="1"/>
  <c r="Q1476" i="1"/>
  <c r="H1476" i="1"/>
  <c r="N1476" i="1"/>
  <c r="O1480" i="1"/>
  <c r="L1480" i="1"/>
  <c r="I1480" i="1"/>
  <c r="R1480" i="1"/>
  <c r="AB788" i="1"/>
  <c r="AB785" i="1"/>
  <c r="AB745" i="1"/>
  <c r="R957" i="1"/>
  <c r="R958" i="1" s="1"/>
  <c r="Y870" i="1"/>
  <c r="X872" i="1"/>
  <c r="X873" i="1" s="1"/>
  <c r="AB872" i="1"/>
  <c r="T935" i="1"/>
  <c r="T945" i="1" s="1"/>
  <c r="Y935" i="1"/>
  <c r="Y890" i="1"/>
  <c r="AH1400" i="1"/>
  <c r="AF1396" i="1"/>
  <c r="AG1396" i="1"/>
  <c r="Q915" i="1"/>
  <c r="Q916" i="1" s="1"/>
  <c r="X871" i="1"/>
  <c r="O1474" i="1"/>
  <c r="R1475" i="1"/>
  <c r="S894" i="1"/>
  <c r="S896" i="1" s="1"/>
  <c r="S898" i="1" s="1"/>
  <c r="AC827" i="1"/>
  <c r="O1481" i="1"/>
  <c r="R1474" i="1"/>
  <c r="I1475" i="1"/>
  <c r="V789" i="1"/>
  <c r="V786" i="1" s="1"/>
  <c r="AA786" i="1" s="1"/>
  <c r="AC1396" i="1"/>
  <c r="AC1406" i="1" s="1"/>
  <c r="AE1406" i="1" s="1"/>
  <c r="AE1373" i="1"/>
  <c r="I1474" i="1"/>
  <c r="Y769" i="1"/>
  <c r="Y770" i="1" s="1"/>
  <c r="AE1393" i="1"/>
  <c r="AD1393" i="1" s="1"/>
  <c r="L1475" i="1"/>
  <c r="L1476" i="1" s="1"/>
  <c r="Y748" i="1"/>
  <c r="AE748" i="1" s="1"/>
  <c r="AH748" i="1" s="1"/>
  <c r="AE1397" i="1"/>
  <c r="I1481" i="1"/>
  <c r="AA1393" i="1"/>
  <c r="O1475" i="1"/>
  <c r="AB806" i="1"/>
  <c r="AE1400" i="1"/>
  <c r="W1398" i="1"/>
  <c r="W1394" i="1"/>
  <c r="AA809" i="1"/>
  <c r="AA819" i="1" s="1"/>
  <c r="AD788" i="1"/>
  <c r="V849" i="1"/>
  <c r="AA849" i="1" s="1"/>
  <c r="AA851" i="1"/>
  <c r="AA830" i="1"/>
  <c r="AA840" i="1" s="1"/>
  <c r="AE834" i="1"/>
  <c r="AB827" i="1"/>
  <c r="AC785" i="1"/>
  <c r="AD806" i="1"/>
  <c r="AD818" i="1" s="1"/>
  <c r="AC806" i="1"/>
  <c r="AC818" i="1" s="1"/>
  <c r="AA765" i="1"/>
  <c r="AB765" i="1" s="1"/>
  <c r="V831" i="1"/>
  <c r="V832" i="1" s="1"/>
  <c r="AE828" i="1"/>
  <c r="Z828" i="1"/>
  <c r="Z831" i="1" s="1"/>
  <c r="AE813" i="1"/>
  <c r="V807" i="1"/>
  <c r="AA829" i="1"/>
  <c r="V829" i="1"/>
  <c r="Y747" i="1"/>
  <c r="AA747" i="1" s="1"/>
  <c r="R955" i="1"/>
  <c r="R998" i="1"/>
  <c r="R1008" i="1" s="1"/>
  <c r="N957" i="1"/>
  <c r="N958" i="1" s="1"/>
  <c r="P936" i="1"/>
  <c r="P941" i="1" s="1"/>
  <c r="P943" i="1" s="1"/>
  <c r="T933" i="1"/>
  <c r="U933" i="1"/>
  <c r="U912" i="1"/>
  <c r="X893" i="1"/>
  <c r="U935" i="1"/>
  <c r="U945" i="1" s="1"/>
  <c r="Y912" i="1"/>
  <c r="X891" i="1"/>
  <c r="V873" i="1"/>
  <c r="V875" i="1" s="1"/>
  <c r="V871" i="1"/>
  <c r="W891" i="1"/>
  <c r="S892" i="1"/>
  <c r="Q913" i="1"/>
  <c r="P934" i="1"/>
  <c r="N955" i="1"/>
  <c r="M999" i="1"/>
  <c r="R974" i="1"/>
  <c r="R986" i="1" s="1"/>
  <c r="Q974" i="1"/>
  <c r="Q986" i="1" s="1"/>
  <c r="AT388" i="1" l="1"/>
  <c r="AS427" i="1"/>
  <c r="AQ422" i="1"/>
  <c r="AH468" i="1"/>
  <c r="AQ464" i="1"/>
  <c r="AQ459" i="1"/>
  <c r="AQ466" i="1"/>
  <c r="AQ505" i="1"/>
  <c r="AQ419" i="1"/>
  <c r="AQ458" i="1"/>
  <c r="AQ503" i="1"/>
  <c r="AT380" i="1"/>
  <c r="AS497" i="1"/>
  <c r="AV380" i="1"/>
  <c r="AX388" i="1"/>
  <c r="AX427" i="1" s="1"/>
  <c r="AU505" i="1"/>
  <c r="AP504" i="1"/>
  <c r="AQ504" i="1" s="1"/>
  <c r="AS387" i="1"/>
  <c r="AT387" i="1" s="1"/>
  <c r="AU409" i="1"/>
  <c r="AR526" i="1"/>
  <c r="AU497" i="1"/>
  <c r="AX380" i="1"/>
  <c r="AW380" i="1"/>
  <c r="AV386" i="1"/>
  <c r="AW386" i="1" s="1"/>
  <c r="AS503" i="1"/>
  <c r="AQ420" i="1"/>
  <c r="AT419" i="1"/>
  <c r="AQ498" i="1"/>
  <c r="AX386" i="1"/>
  <c r="AU503" i="1"/>
  <c r="AQ497" i="1"/>
  <c r="AQ387" i="1"/>
  <c r="AU387" i="1"/>
  <c r="AR504" i="1"/>
  <c r="AQ409" i="1"/>
  <c r="AS409" i="1"/>
  <c r="AT409" i="1" s="1"/>
  <c r="AP526" i="1"/>
  <c r="AV381" i="1"/>
  <c r="AS498" i="1"/>
  <c r="AQ461" i="1"/>
  <c r="AQ425" i="1"/>
  <c r="AV388" i="1"/>
  <c r="AV427" i="1" s="1"/>
  <c r="AS505" i="1"/>
  <c r="AU498" i="1"/>
  <c r="AX381" i="1"/>
  <c r="AT386" i="1"/>
  <c r="AX383" i="1"/>
  <c r="AU500" i="1"/>
  <c r="AQ427" i="1"/>
  <c r="AV383" i="1"/>
  <c r="AS500" i="1"/>
  <c r="BR1448" i="1"/>
  <c r="AH508" i="1"/>
  <c r="BO1448" i="1"/>
  <c r="AS390" i="1"/>
  <c r="AT390" i="1" s="1"/>
  <c r="AP507" i="1"/>
  <c r="AU390" i="1"/>
  <c r="AR507" i="1"/>
  <c r="AN468" i="1"/>
  <c r="AK458" i="1"/>
  <c r="AL498" i="1"/>
  <c r="AB1336" i="1"/>
  <c r="AA1216" i="1"/>
  <c r="AB1216" i="1" s="1"/>
  <c r="AL507" i="1"/>
  <c r="AN507" i="1" s="1"/>
  <c r="AK468" i="1"/>
  <c r="AI498" i="1"/>
  <c r="AK459" i="1"/>
  <c r="AN500" i="1"/>
  <c r="AK469" i="1"/>
  <c r="AH500" i="1"/>
  <c r="AK461" i="1"/>
  <c r="AK504" i="1"/>
  <c r="AK466" i="1"/>
  <c r="AH497" i="1"/>
  <c r="AK508" i="1"/>
  <c r="AK497" i="1"/>
  <c r="AL508" i="1"/>
  <c r="AM391" i="1"/>
  <c r="AO391" i="1" s="1"/>
  <c r="AF504" i="1"/>
  <c r="AF426" i="1"/>
  <c r="AF465" i="1" s="1"/>
  <c r="AH465" i="1" s="1"/>
  <c r="AL504" i="1"/>
  <c r="AN465" i="1"/>
  <c r="AH503" i="1"/>
  <c r="AH461" i="1"/>
  <c r="AK503" i="1"/>
  <c r="AK500" i="1"/>
  <c r="AK465" i="1"/>
  <c r="V945" i="1"/>
  <c r="AN890" i="1"/>
  <c r="AQ890" i="1" s="1"/>
  <c r="AI890" i="1"/>
  <c r="AI902" i="1" s="1"/>
  <c r="AJ890" i="1"/>
  <c r="AJ902" i="1" s="1"/>
  <c r="AC839" i="1"/>
  <c r="AE818" i="1"/>
  <c r="S986" i="1"/>
  <c r="V923" i="1"/>
  <c r="V924" i="1"/>
  <c r="Y893" i="1"/>
  <c r="X903" i="1"/>
  <c r="AD1405" i="1"/>
  <c r="AB1393" i="1"/>
  <c r="AB1398" i="1" s="1"/>
  <c r="AA1405" i="1"/>
  <c r="AB1405" i="1" s="1"/>
  <c r="AB830" i="1"/>
  <c r="AE830" i="1" s="1"/>
  <c r="AC830" i="1" s="1"/>
  <c r="AC840" i="1" s="1"/>
  <c r="AB840" i="1"/>
  <c r="AG806" i="1"/>
  <c r="AB809" i="1"/>
  <c r="AE809" i="1" s="1"/>
  <c r="AD809" i="1" s="1"/>
  <c r="AD819" i="1" s="1"/>
  <c r="AB819" i="1"/>
  <c r="AF1406" i="1"/>
  <c r="AH813" i="1"/>
  <c r="AJ813" i="1"/>
  <c r="AI813" i="1"/>
  <c r="AF806" i="1"/>
  <c r="AG1406" i="1"/>
  <c r="O1476" i="1"/>
  <c r="R1476" i="1"/>
  <c r="I1476" i="1"/>
  <c r="AC747" i="1"/>
  <c r="AD747" i="1" s="1"/>
  <c r="AA746" i="1"/>
  <c r="AB746" i="1" s="1"/>
  <c r="AB747" i="1" s="1"/>
  <c r="AH507" i="1"/>
  <c r="AK507" i="1"/>
  <c r="AH1396" i="1"/>
  <c r="X874" i="1"/>
  <c r="X878" i="1"/>
  <c r="X880" i="1" s="1"/>
  <c r="V877" i="1"/>
  <c r="Z832" i="1"/>
  <c r="Z836" i="1"/>
  <c r="U915" i="1"/>
  <c r="U913" i="1"/>
  <c r="AF1393" i="1"/>
  <c r="AG1393" i="1"/>
  <c r="AG1405" i="1" s="1"/>
  <c r="Q917" i="1"/>
  <c r="Q919" i="1" s="1"/>
  <c r="V852" i="1"/>
  <c r="V853" i="1" s="1"/>
  <c r="Y766" i="1"/>
  <c r="AA766" i="1" s="1"/>
  <c r="AA767" i="1" s="1"/>
  <c r="AA831" i="1"/>
  <c r="V790" i="1"/>
  <c r="AA748" i="1"/>
  <c r="S895" i="1"/>
  <c r="Z849" i="1"/>
  <c r="Z850" i="1" s="1"/>
  <c r="V850" i="1"/>
  <c r="N962" i="1"/>
  <c r="P937" i="1"/>
  <c r="AE1398" i="1"/>
  <c r="AC1393" i="1"/>
  <c r="AC1405" i="1" s="1"/>
  <c r="V874" i="1"/>
  <c r="AE849" i="1"/>
  <c r="AA1394" i="1"/>
  <c r="AE1394" i="1"/>
  <c r="AE1395" i="1" s="1"/>
  <c r="W1395" i="1"/>
  <c r="W1392" i="1"/>
  <c r="V833" i="1"/>
  <c r="V835" i="1" s="1"/>
  <c r="AB828" i="1"/>
  <c r="AB829" i="1" s="1"/>
  <c r="AE829" i="1" s="1"/>
  <c r="AA789" i="1"/>
  <c r="AB786" i="1"/>
  <c r="AA787" i="1"/>
  <c r="AE807" i="1"/>
  <c r="Z807" i="1"/>
  <c r="AA807" i="1"/>
  <c r="Y891" i="1"/>
  <c r="Z829" i="1"/>
  <c r="AC828" i="1"/>
  <c r="AC829" i="1" s="1"/>
  <c r="AD828" i="1"/>
  <c r="AD829" i="1" s="1"/>
  <c r="AA852" i="1"/>
  <c r="AA850" i="1"/>
  <c r="V810" i="1"/>
  <c r="V808" i="1"/>
  <c r="V787" i="1"/>
  <c r="V784" i="1"/>
  <c r="R977" i="1"/>
  <c r="R987" i="1" s="1"/>
  <c r="U934" i="1"/>
  <c r="U936" i="1"/>
  <c r="U941" i="1" s="1"/>
  <c r="W894" i="1"/>
  <c r="W899" i="1" s="1"/>
  <c r="W892" i="1"/>
  <c r="P942" i="1"/>
  <c r="M1000" i="1"/>
  <c r="M996" i="1"/>
  <c r="AT427" i="1" l="1"/>
  <c r="AT466" i="1"/>
  <c r="AT500" i="1"/>
  <c r="AQ465" i="1"/>
  <c r="AT420" i="1"/>
  <c r="AT505" i="1"/>
  <c r="AT461" i="1"/>
  <c r="AT425" i="1"/>
  <c r="AT464" i="1"/>
  <c r="AY383" i="1"/>
  <c r="AV500" i="1"/>
  <c r="AX500" i="1"/>
  <c r="BA383" i="1"/>
  <c r="AY388" i="1"/>
  <c r="AY427" i="1" s="1"/>
  <c r="AV505" i="1"/>
  <c r="AW505" i="1" s="1"/>
  <c r="BA388" i="1"/>
  <c r="BA427" i="1" s="1"/>
  <c r="AX505" i="1"/>
  <c r="AV497" i="1"/>
  <c r="AW497" i="1" s="1"/>
  <c r="AY380" i="1"/>
  <c r="AZ380" i="1" s="1"/>
  <c r="AV409" i="1"/>
  <c r="AS526" i="1"/>
  <c r="AT526" i="1" s="1"/>
  <c r="AQ426" i="1"/>
  <c r="AX497" i="1"/>
  <c r="BA380" i="1"/>
  <c r="AW388" i="1"/>
  <c r="AQ526" i="1"/>
  <c r="AW383" i="1"/>
  <c r="BA381" i="1"/>
  <c r="AX498" i="1"/>
  <c r="AV498" i="1"/>
  <c r="AY381" i="1"/>
  <c r="AZ381" i="1" s="1"/>
  <c r="AX387" i="1"/>
  <c r="AU504" i="1"/>
  <c r="AX503" i="1"/>
  <c r="BA386" i="1"/>
  <c r="AX409" i="1"/>
  <c r="AU526" i="1"/>
  <c r="AT503" i="1"/>
  <c r="AW381" i="1"/>
  <c r="AT497" i="1"/>
  <c r="AT498" i="1"/>
  <c r="AT458" i="1"/>
  <c r="AY386" i="1"/>
  <c r="AV503" i="1"/>
  <c r="AT422" i="1"/>
  <c r="AT459" i="1"/>
  <c r="AS504" i="1"/>
  <c r="AV387" i="1"/>
  <c r="AP391" i="1"/>
  <c r="AO508" i="1"/>
  <c r="AR391" i="1"/>
  <c r="AV390" i="1"/>
  <c r="AS507" i="1"/>
  <c r="AQ507" i="1"/>
  <c r="AQ429" i="1"/>
  <c r="AX390" i="1"/>
  <c r="AU507" i="1"/>
  <c r="AQ468" i="1"/>
  <c r="AO890" i="1"/>
  <c r="AT890" i="1"/>
  <c r="AP890" i="1"/>
  <c r="AE1405" i="1"/>
  <c r="AH504" i="1"/>
  <c r="AN504" i="1"/>
  <c r="AM508" i="1"/>
  <c r="AN469" i="1"/>
  <c r="AK902" i="1"/>
  <c r="AL890" i="1"/>
  <c r="AL902" i="1" s="1"/>
  <c r="AM890" i="1"/>
  <c r="AM902" i="1" s="1"/>
  <c r="AJ806" i="1"/>
  <c r="AJ818" i="1" s="1"/>
  <c r="AG818" i="1"/>
  <c r="Z841" i="1"/>
  <c r="Z838" i="1"/>
  <c r="AI806" i="1"/>
  <c r="AK806" i="1" s="1"/>
  <c r="AF818" i="1"/>
  <c r="AE839" i="1"/>
  <c r="U946" i="1"/>
  <c r="U943" i="1"/>
  <c r="Y903" i="1"/>
  <c r="W904" i="1"/>
  <c r="W901" i="1"/>
  <c r="AF1405" i="1"/>
  <c r="AH1405" i="1" s="1"/>
  <c r="AL813" i="1"/>
  <c r="AM813" i="1"/>
  <c r="AK813" i="1"/>
  <c r="AG809" i="1"/>
  <c r="AB748" i="1"/>
  <c r="AB749" i="1" s="1"/>
  <c r="AB750" i="1" s="1"/>
  <c r="AH1406" i="1"/>
  <c r="AA832" i="1"/>
  <c r="AA836" i="1"/>
  <c r="Z837" i="1"/>
  <c r="X879" i="1"/>
  <c r="AA853" i="1"/>
  <c r="AA857" i="1"/>
  <c r="W900" i="1"/>
  <c r="U920" i="1"/>
  <c r="U916" i="1"/>
  <c r="AH1393" i="1"/>
  <c r="AC809" i="1"/>
  <c r="AC819" i="1" s="1"/>
  <c r="AE819" i="1" s="1"/>
  <c r="AB766" i="1"/>
  <c r="AB767" i="1" s="1"/>
  <c r="Y764" i="1"/>
  <c r="AA749" i="1"/>
  <c r="Y767" i="1"/>
  <c r="N963" i="1"/>
  <c r="V854" i="1"/>
  <c r="V856" i="1" s="1"/>
  <c r="AD830" i="1"/>
  <c r="AD840" i="1" s="1"/>
  <c r="Z852" i="1"/>
  <c r="AB831" i="1"/>
  <c r="AB832" i="1" s="1"/>
  <c r="AC831" i="1"/>
  <c r="AC832" i="1" s="1"/>
  <c r="AC1395" i="1"/>
  <c r="AF1395" i="1" s="1"/>
  <c r="AF1394" i="1" s="1"/>
  <c r="AD1395" i="1"/>
  <c r="AG1395" i="1" s="1"/>
  <c r="AG1394" i="1" s="1"/>
  <c r="AG1397" i="1" s="1"/>
  <c r="AA1397" i="1"/>
  <c r="AA1402" i="1" s="1"/>
  <c r="AA1407" i="1" s="1"/>
  <c r="AB1394" i="1"/>
  <c r="AA810" i="1"/>
  <c r="AA808" i="1"/>
  <c r="AD807" i="1"/>
  <c r="AD808" i="1" s="1"/>
  <c r="AG808" i="1" s="1"/>
  <c r="AJ808" i="1" s="1"/>
  <c r="AC807" i="1"/>
  <c r="AC808" i="1" s="1"/>
  <c r="AF808" i="1" s="1"/>
  <c r="AI808" i="1" s="1"/>
  <c r="AB787" i="1"/>
  <c r="AE787" i="1" s="1"/>
  <c r="AE786" i="1" s="1"/>
  <c r="AB789" i="1"/>
  <c r="AB790" i="1" s="1"/>
  <c r="Z810" i="1"/>
  <c r="Z815" i="1" s="1"/>
  <c r="Z817" i="1" s="1"/>
  <c r="Z808" i="1"/>
  <c r="AB807" i="1"/>
  <c r="AB808" i="1" s="1"/>
  <c r="AE808" i="1" s="1"/>
  <c r="AA794" i="1"/>
  <c r="AB794" i="1" s="1"/>
  <c r="AA790" i="1"/>
  <c r="V811" i="1"/>
  <c r="V812" i="1"/>
  <c r="V814" i="1" s="1"/>
  <c r="M997" i="1"/>
  <c r="R996" i="1"/>
  <c r="Q996" i="1"/>
  <c r="U937" i="1"/>
  <c r="X894" i="1"/>
  <c r="X892" i="1"/>
  <c r="W895" i="1"/>
  <c r="AW461" i="1" l="1"/>
  <c r="AW422" i="1"/>
  <c r="AW427" i="1"/>
  <c r="AW466" i="1"/>
  <c r="AW464" i="1"/>
  <c r="AT465" i="1"/>
  <c r="AW458" i="1"/>
  <c r="AT504" i="1"/>
  <c r="BA409" i="1"/>
  <c r="AX526" i="1"/>
  <c r="BA503" i="1"/>
  <c r="BD386" i="1"/>
  <c r="AV526" i="1"/>
  <c r="AY409" i="1"/>
  <c r="AZ409" i="1" s="1"/>
  <c r="AY505" i="1"/>
  <c r="BB388" i="1"/>
  <c r="BD383" i="1"/>
  <c r="BA500" i="1"/>
  <c r="AW419" i="1"/>
  <c r="BD381" i="1"/>
  <c r="BA498" i="1"/>
  <c r="AT426" i="1"/>
  <c r="BD388" i="1"/>
  <c r="BD427" i="1" s="1"/>
  <c r="BA505" i="1"/>
  <c r="AW425" i="1"/>
  <c r="AW420" i="1"/>
  <c r="AY387" i="1"/>
  <c r="AW465" i="1"/>
  <c r="AV504" i="1"/>
  <c r="AW503" i="1"/>
  <c r="AW500" i="1"/>
  <c r="AW409" i="1"/>
  <c r="BA387" i="1"/>
  <c r="AX504" i="1"/>
  <c r="AW498" i="1"/>
  <c r="AZ388" i="1"/>
  <c r="AW459" i="1"/>
  <c r="BB383" i="1"/>
  <c r="AY500" i="1"/>
  <c r="BB386" i="1"/>
  <c r="AY503" i="1"/>
  <c r="AZ386" i="1"/>
  <c r="AW387" i="1"/>
  <c r="AY498" i="1"/>
  <c r="BB381" i="1"/>
  <c r="BD380" i="1"/>
  <c r="BA497" i="1"/>
  <c r="BB380" i="1"/>
  <c r="AY497" i="1"/>
  <c r="AZ383" i="1"/>
  <c r="AU391" i="1"/>
  <c r="AR508" i="1"/>
  <c r="AQ391" i="1"/>
  <c r="AS391" i="1"/>
  <c r="AT391" i="1" s="1"/>
  <c r="AP508" i="1"/>
  <c r="AT429" i="1"/>
  <c r="AT468" i="1"/>
  <c r="BA390" i="1"/>
  <c r="AX507" i="1"/>
  <c r="AV507" i="1"/>
  <c r="AY390" i="1"/>
  <c r="AZ390" i="1" s="1"/>
  <c r="AW390" i="1"/>
  <c r="AT507" i="1"/>
  <c r="AP902" i="1"/>
  <c r="AP813" i="1"/>
  <c r="AO813" i="1"/>
  <c r="AR890" i="1"/>
  <c r="AR902" i="1" s="1"/>
  <c r="AW890" i="1"/>
  <c r="AS890" i="1"/>
  <c r="AS902" i="1" s="1"/>
  <c r="AO902" i="1"/>
  <c r="AF529" i="1"/>
  <c r="AJ529" i="1"/>
  <c r="AM806" i="1"/>
  <c r="AN508" i="1"/>
  <c r="AG529" i="1"/>
  <c r="AI529" i="1"/>
  <c r="AN902" i="1"/>
  <c r="AH818" i="1"/>
  <c r="AJ809" i="1"/>
  <c r="AG819" i="1"/>
  <c r="AL806" i="1"/>
  <c r="AI818" i="1"/>
  <c r="AA838" i="1"/>
  <c r="AA841" i="1"/>
  <c r="AB841" i="1" s="1"/>
  <c r="U922" i="1"/>
  <c r="U925" i="1"/>
  <c r="AB1402" i="1"/>
  <c r="AB1403" i="1" s="1"/>
  <c r="AB1407" i="1"/>
  <c r="AD831" i="1"/>
  <c r="AD832" i="1" s="1"/>
  <c r="AE840" i="1"/>
  <c r="AF809" i="1"/>
  <c r="AI807" i="1"/>
  <c r="AL808" i="1"/>
  <c r="AJ807" i="1"/>
  <c r="AM808" i="1"/>
  <c r="AN813" i="1"/>
  <c r="AB769" i="1"/>
  <c r="AB770" i="1" s="1"/>
  <c r="AA795" i="1"/>
  <c r="AA750" i="1"/>
  <c r="AA754" i="1"/>
  <c r="AG1402" i="1"/>
  <c r="AG1398" i="1"/>
  <c r="AA811" i="1"/>
  <c r="AA815" i="1"/>
  <c r="Z820" i="1"/>
  <c r="Z816" i="1"/>
  <c r="AA858" i="1"/>
  <c r="Z853" i="1"/>
  <c r="Z857" i="1"/>
  <c r="AA837" i="1"/>
  <c r="Y894" i="1"/>
  <c r="X899" i="1"/>
  <c r="V920" i="1"/>
  <c r="V922" i="1" s="1"/>
  <c r="U921" i="1"/>
  <c r="R997" i="1"/>
  <c r="R999" i="1"/>
  <c r="R1000" i="1" s="1"/>
  <c r="AH1394" i="1"/>
  <c r="AH1395" i="1" s="1"/>
  <c r="AF1397" i="1"/>
  <c r="AC1394" i="1"/>
  <c r="AC1397" i="1" s="1"/>
  <c r="AC810" i="1"/>
  <c r="AD1394" i="1"/>
  <c r="AD1397" i="1" s="1"/>
  <c r="AB810" i="1"/>
  <c r="AB811" i="1" s="1"/>
  <c r="Z811" i="1"/>
  <c r="AD786" i="1"/>
  <c r="AC786" i="1"/>
  <c r="AD810" i="1"/>
  <c r="U942" i="1"/>
  <c r="X895" i="1"/>
  <c r="M983" i="1"/>
  <c r="M985" i="1" s="1"/>
  <c r="M980" i="1"/>
  <c r="M977" i="1"/>
  <c r="V977" i="1" s="1"/>
  <c r="S1017" i="1"/>
  <c r="O1017" i="1"/>
  <c r="J1026" i="1"/>
  <c r="J1028" i="1" s="1"/>
  <c r="J1025" i="1"/>
  <c r="J1018" i="1"/>
  <c r="O1018" i="1" s="1"/>
  <c r="M1086" i="1"/>
  <c r="BC388" i="1" l="1"/>
  <c r="BB427" i="1"/>
  <c r="AE831" i="1"/>
  <c r="AE832" i="1" s="1"/>
  <c r="AZ505" i="1"/>
  <c r="AZ458" i="1"/>
  <c r="AZ422" i="1"/>
  <c r="AZ500" i="1"/>
  <c r="AZ419" i="1"/>
  <c r="AZ498" i="1"/>
  <c r="AZ503" i="1"/>
  <c r="AW426" i="1"/>
  <c r="AZ420" i="1"/>
  <c r="AZ464" i="1"/>
  <c r="BG380" i="1"/>
  <c r="BD497" i="1"/>
  <c r="BB503" i="1"/>
  <c r="BC503" i="1" s="1"/>
  <c r="BE386" i="1"/>
  <c r="AY504" i="1"/>
  <c r="BB387" i="1"/>
  <c r="BC387" i="1" s="1"/>
  <c r="BD498" i="1"/>
  <c r="BG381" i="1"/>
  <c r="BC386" i="1"/>
  <c r="BB497" i="1"/>
  <c r="BE380" i="1"/>
  <c r="BC419" i="1"/>
  <c r="BB498" i="1"/>
  <c r="BC498" i="1" s="1"/>
  <c r="BE381" i="1"/>
  <c r="BF381" i="1" s="1"/>
  <c r="AZ497" i="1"/>
  <c r="BC381" i="1"/>
  <c r="BG383" i="1"/>
  <c r="BD500" i="1"/>
  <c r="AZ427" i="1"/>
  <c r="BD503" i="1"/>
  <c r="BG386" i="1"/>
  <c r="AW429" i="1"/>
  <c r="BC380" i="1"/>
  <c r="AW526" i="1"/>
  <c r="BC383" i="1"/>
  <c r="BB500" i="1"/>
  <c r="BE383" i="1"/>
  <c r="BF383" i="1" s="1"/>
  <c r="BA504" i="1"/>
  <c r="BD387" i="1"/>
  <c r="BE388" i="1"/>
  <c r="BE427" i="1" s="1"/>
  <c r="BB505" i="1"/>
  <c r="AZ466" i="1"/>
  <c r="AZ459" i="1"/>
  <c r="AZ461" i="1"/>
  <c r="AZ387" i="1"/>
  <c r="AZ425" i="1"/>
  <c r="BG388" i="1"/>
  <c r="BG427" i="1" s="1"/>
  <c r="BD505" i="1"/>
  <c r="BB409" i="1"/>
  <c r="BC409" i="1" s="1"/>
  <c r="AY526" i="1"/>
  <c r="AW504" i="1"/>
  <c r="BD409" i="1"/>
  <c r="BA526" i="1"/>
  <c r="AQ508" i="1"/>
  <c r="AX391" i="1"/>
  <c r="AU508" i="1"/>
  <c r="AV391" i="1"/>
  <c r="AW391" i="1" s="1"/>
  <c r="AS508" i="1"/>
  <c r="AQ469" i="1"/>
  <c r="AQ430" i="1"/>
  <c r="AN806" i="1"/>
  <c r="AW468" i="1"/>
  <c r="AY507" i="1"/>
  <c r="BB390" i="1"/>
  <c r="BC390" i="1" s="1"/>
  <c r="BD390" i="1"/>
  <c r="BA507" i="1"/>
  <c r="AW507" i="1"/>
  <c r="AT902" i="1"/>
  <c r="AM807" i="1"/>
  <c r="AP808" i="1"/>
  <c r="AQ813" i="1"/>
  <c r="AL807" i="1"/>
  <c r="AO808" i="1"/>
  <c r="AM818" i="1"/>
  <c r="AP806" i="1"/>
  <c r="AS813" i="1"/>
  <c r="AR813" i="1"/>
  <c r="AL818" i="1"/>
  <c r="AO806" i="1"/>
  <c r="AU890" i="1"/>
  <c r="AU902" i="1" s="1"/>
  <c r="AZ890" i="1"/>
  <c r="AV890" i="1"/>
  <c r="AV902" i="1" s="1"/>
  <c r="AQ902" i="1"/>
  <c r="AM384" i="1"/>
  <c r="AO384" i="1" s="1"/>
  <c r="AL501" i="1"/>
  <c r="AG501" i="1"/>
  <c r="AJ501" i="1"/>
  <c r="AJ810" i="1"/>
  <c r="AJ811" i="1" s="1"/>
  <c r="AI501" i="1"/>
  <c r="AM412" i="1"/>
  <c r="AL529" i="1"/>
  <c r="AF501" i="1"/>
  <c r="AF423" i="1"/>
  <c r="AF462" i="1" s="1"/>
  <c r="AK529" i="1"/>
  <c r="AH529" i="1"/>
  <c r="AM809" i="1"/>
  <c r="AJ819" i="1"/>
  <c r="AB815" i="1"/>
  <c r="AB817" i="1" s="1"/>
  <c r="AA817" i="1"/>
  <c r="AA820" i="1" s="1"/>
  <c r="AK818" i="1"/>
  <c r="AI809" i="1"/>
  <c r="AI819" i="1" s="1"/>
  <c r="AF819" i="1"/>
  <c r="AH819" i="1" s="1"/>
  <c r="O1025" i="1"/>
  <c r="O1029" i="1"/>
  <c r="V925" i="1"/>
  <c r="X904" i="1"/>
  <c r="X901" i="1"/>
  <c r="AK807" i="1"/>
  <c r="AK808" i="1" s="1"/>
  <c r="AI810" i="1"/>
  <c r="AB754" i="1"/>
  <c r="AA755" i="1"/>
  <c r="AF1402" i="1"/>
  <c r="AH1397" i="1"/>
  <c r="AH1398" i="1" s="1"/>
  <c r="AF1398" i="1"/>
  <c r="AG1403" i="1"/>
  <c r="AA816" i="1"/>
  <c r="Z858" i="1"/>
  <c r="X900" i="1"/>
  <c r="Y899" i="1"/>
  <c r="J1021" i="1"/>
  <c r="J1022" i="1" s="1"/>
  <c r="M978" i="1"/>
  <c r="M979" i="1" s="1"/>
  <c r="AD1398" i="1"/>
  <c r="AD1402" i="1"/>
  <c r="AC1398" i="1"/>
  <c r="AC1402" i="1"/>
  <c r="AC815" i="1"/>
  <c r="AC811" i="1"/>
  <c r="AC787" i="1"/>
  <c r="AC789" i="1"/>
  <c r="J1019" i="1"/>
  <c r="AD811" i="1"/>
  <c r="AD815" i="1"/>
  <c r="AE810" i="1"/>
  <c r="AB795" i="1"/>
  <c r="AD787" i="1"/>
  <c r="AD789" i="1"/>
  <c r="O1019" i="1"/>
  <c r="M1101" i="1"/>
  <c r="AN818" i="1" l="1"/>
  <c r="BC420" i="1"/>
  <c r="BC425" i="1"/>
  <c r="BC422" i="1"/>
  <c r="AJ815" i="1"/>
  <c r="AJ817" i="1" s="1"/>
  <c r="AZ465" i="1"/>
  <c r="BC464" i="1"/>
  <c r="AZ526" i="1"/>
  <c r="BG387" i="1"/>
  <c r="BD504" i="1"/>
  <c r="BH386" i="1"/>
  <c r="BE503" i="1"/>
  <c r="BE464" i="1"/>
  <c r="AT469" i="1"/>
  <c r="BB526" i="1"/>
  <c r="BE409" i="1"/>
  <c r="BF409" i="1" s="1"/>
  <c r="BG505" i="1"/>
  <c r="BJ388" i="1"/>
  <c r="BJ427" i="1" s="1"/>
  <c r="BD464" i="1"/>
  <c r="BJ383" i="1"/>
  <c r="BG500" i="1"/>
  <c r="BC505" i="1"/>
  <c r="BC427" i="1"/>
  <c r="BD466" i="1"/>
  <c r="BC497" i="1"/>
  <c r="BE505" i="1"/>
  <c r="BE466" i="1"/>
  <c r="BH388" i="1"/>
  <c r="BH427" i="1" s="1"/>
  <c r="BF386" i="1"/>
  <c r="BD461" i="1"/>
  <c r="BE459" i="1"/>
  <c r="BE498" i="1"/>
  <c r="BH381" i="1"/>
  <c r="BI381" i="1" s="1"/>
  <c r="BC458" i="1"/>
  <c r="BC461" i="1"/>
  <c r="BD459" i="1"/>
  <c r="BC466" i="1"/>
  <c r="AZ426" i="1"/>
  <c r="BG497" i="1"/>
  <c r="BJ380" i="1"/>
  <c r="BD526" i="1"/>
  <c r="BG409" i="1"/>
  <c r="BC500" i="1"/>
  <c r="BF388" i="1"/>
  <c r="BC459" i="1"/>
  <c r="BH383" i="1"/>
  <c r="BE500" i="1"/>
  <c r="BE461" i="1"/>
  <c r="BJ386" i="1"/>
  <c r="BG503" i="1"/>
  <c r="AZ504" i="1"/>
  <c r="BF380" i="1"/>
  <c r="BE497" i="1"/>
  <c r="BE458" i="1"/>
  <c r="BH380" i="1"/>
  <c r="BJ381" i="1"/>
  <c r="BG498" i="1"/>
  <c r="BE387" i="1"/>
  <c r="BF387" i="1" s="1"/>
  <c r="BB504" i="1"/>
  <c r="BD458" i="1"/>
  <c r="AZ507" i="1"/>
  <c r="AT508" i="1"/>
  <c r="AV508" i="1"/>
  <c r="AY391" i="1"/>
  <c r="AZ391" i="1" s="1"/>
  <c r="BA391" i="1"/>
  <c r="AX508" i="1"/>
  <c r="AK809" i="1"/>
  <c r="AM529" i="1"/>
  <c r="AO412" i="1"/>
  <c r="AP384" i="1"/>
  <c r="AR384" i="1"/>
  <c r="AO501" i="1"/>
  <c r="AN807" i="1"/>
  <c r="AN808" i="1" s="1"/>
  <c r="AT430" i="1"/>
  <c r="AB816" i="1"/>
  <c r="AZ468" i="1"/>
  <c r="BG390" i="1"/>
  <c r="BD507" i="1"/>
  <c r="BE390" i="1"/>
  <c r="BB507" i="1"/>
  <c r="AZ429" i="1"/>
  <c r="AW902" i="1"/>
  <c r="AS806" i="1"/>
  <c r="AP818" i="1"/>
  <c r="AM819" i="1"/>
  <c r="AP809" i="1"/>
  <c r="BC890" i="1"/>
  <c r="AX890" i="1"/>
  <c r="AX902" i="1" s="1"/>
  <c r="AY890" i="1"/>
  <c r="AY902" i="1" s="1"/>
  <c r="AT813" i="1"/>
  <c r="AO807" i="1"/>
  <c r="AR808" i="1"/>
  <c r="AP807" i="1"/>
  <c r="AS808" i="1"/>
  <c r="AL809" i="1"/>
  <c r="AO809" i="1" s="1"/>
  <c r="AQ806" i="1"/>
  <c r="AR806" i="1"/>
  <c r="AO818" i="1"/>
  <c r="AV813" i="1"/>
  <c r="AU813" i="1"/>
  <c r="AH462" i="1"/>
  <c r="AK462" i="1"/>
  <c r="AM810" i="1"/>
  <c r="AM811" i="1" s="1"/>
  <c r="AN462" i="1"/>
  <c r="AM501" i="1"/>
  <c r="AK819" i="1"/>
  <c r="AL819" i="1"/>
  <c r="AC816" i="1"/>
  <c r="AC817" i="1"/>
  <c r="AC820" i="1" s="1"/>
  <c r="AD816" i="1"/>
  <c r="AD817" i="1"/>
  <c r="AD820" i="1" s="1"/>
  <c r="P1029" i="1"/>
  <c r="Y900" i="1"/>
  <c r="Y901" i="1"/>
  <c r="Y904" i="1"/>
  <c r="AB820" i="1"/>
  <c r="AD1403" i="1"/>
  <c r="AD1407" i="1"/>
  <c r="AG1407" i="1"/>
  <c r="AC1407" i="1"/>
  <c r="AH1402" i="1"/>
  <c r="AH1403" i="1" s="1"/>
  <c r="AF1407" i="1"/>
  <c r="AK810" i="1"/>
  <c r="AK811" i="1" s="1"/>
  <c r="AI811" i="1"/>
  <c r="AI815" i="1"/>
  <c r="AI817" i="1" s="1"/>
  <c r="AL810" i="1"/>
  <c r="AB755" i="1"/>
  <c r="AF1403" i="1"/>
  <c r="J1020" i="1"/>
  <c r="O1020" i="1" s="1"/>
  <c r="M975" i="1"/>
  <c r="Q975" i="1" s="1"/>
  <c r="AC1403" i="1"/>
  <c r="AE1402" i="1"/>
  <c r="AE1403" i="1" s="1"/>
  <c r="AD794" i="1"/>
  <c r="AD790" i="1"/>
  <c r="AC794" i="1"/>
  <c r="AC790" i="1"/>
  <c r="AE789" i="1"/>
  <c r="AE790" i="1" s="1"/>
  <c r="AE811" i="1"/>
  <c r="AE815" i="1"/>
  <c r="L1059" i="1"/>
  <c r="L1071" i="1" s="1"/>
  <c r="K1059" i="1"/>
  <c r="K1071" i="1" s="1"/>
  <c r="M1044" i="1"/>
  <c r="L1038" i="1"/>
  <c r="AJ816" i="1" l="1"/>
  <c r="BC465" i="1"/>
  <c r="BF420" i="1"/>
  <c r="BF422" i="1"/>
  <c r="BF461" i="1"/>
  <c r="BC426" i="1"/>
  <c r="BF464" i="1"/>
  <c r="BI380" i="1"/>
  <c r="BK380" i="1"/>
  <c r="BL380" i="1" s="1"/>
  <c r="BH497" i="1"/>
  <c r="BH458" i="1"/>
  <c r="BJ409" i="1"/>
  <c r="BG526" i="1"/>
  <c r="BG458" i="1"/>
  <c r="BK388" i="1"/>
  <c r="BH505" i="1"/>
  <c r="BI505" i="1" s="1"/>
  <c r="BH466" i="1"/>
  <c r="BI388" i="1"/>
  <c r="BH464" i="1"/>
  <c r="BK386" i="1"/>
  <c r="BL386" i="1" s="1"/>
  <c r="BH503" i="1"/>
  <c r="BJ387" i="1"/>
  <c r="BG504" i="1"/>
  <c r="BG459" i="1"/>
  <c r="BF500" i="1"/>
  <c r="BI386" i="1"/>
  <c r="BI383" i="1"/>
  <c r="BH500" i="1"/>
  <c r="BK383" i="1"/>
  <c r="BL383" i="1" s="1"/>
  <c r="BH461" i="1"/>
  <c r="BG461" i="1"/>
  <c r="BC504" i="1"/>
  <c r="BM388" i="1"/>
  <c r="BM427" i="1" s="1"/>
  <c r="BJ505" i="1"/>
  <c r="BF498" i="1"/>
  <c r="BF419" i="1"/>
  <c r="BE504" i="1"/>
  <c r="BH387" i="1"/>
  <c r="BE465" i="1"/>
  <c r="BJ503" i="1"/>
  <c r="BM386" i="1"/>
  <c r="BM380" i="1"/>
  <c r="BJ497" i="1"/>
  <c r="BF427" i="1"/>
  <c r="BC526" i="1"/>
  <c r="BM383" i="1"/>
  <c r="BJ500" i="1"/>
  <c r="BG466" i="1"/>
  <c r="BD465" i="1"/>
  <c r="BF505" i="1"/>
  <c r="BF458" i="1"/>
  <c r="BM381" i="1"/>
  <c r="BJ498" i="1"/>
  <c r="BG464" i="1"/>
  <c r="BF459" i="1"/>
  <c r="BH459" i="1"/>
  <c r="BK381" i="1"/>
  <c r="BH498" i="1"/>
  <c r="BF466" i="1"/>
  <c r="BF497" i="1"/>
  <c r="BF425" i="1"/>
  <c r="BH409" i="1"/>
  <c r="BE526" i="1"/>
  <c r="BF503" i="1"/>
  <c r="AW508" i="1"/>
  <c r="AR501" i="1"/>
  <c r="AU384" i="1"/>
  <c r="BD391" i="1"/>
  <c r="BA508" i="1"/>
  <c r="AN529" i="1"/>
  <c r="AQ384" i="1"/>
  <c r="AS384" i="1"/>
  <c r="AP501" i="1"/>
  <c r="AW469" i="1"/>
  <c r="AP810" i="1"/>
  <c r="AP815" i="1" s="1"/>
  <c r="AP412" i="1"/>
  <c r="AR412" i="1"/>
  <c r="AO529" i="1"/>
  <c r="BB391" i="1"/>
  <c r="AY508" i="1"/>
  <c r="AW430" i="1"/>
  <c r="BC507" i="1"/>
  <c r="BJ390" i="1"/>
  <c r="BG507" i="1"/>
  <c r="BE507" i="1"/>
  <c r="BH390" i="1"/>
  <c r="BE468" i="1"/>
  <c r="BD468" i="1"/>
  <c r="BC429" i="1"/>
  <c r="AN819" i="1"/>
  <c r="BF390" i="1"/>
  <c r="BC468" i="1"/>
  <c r="AY813" i="1"/>
  <c r="AX813" i="1"/>
  <c r="AR809" i="1"/>
  <c r="AO819" i="1"/>
  <c r="AQ809" i="1"/>
  <c r="AO810" i="1"/>
  <c r="AQ807" i="1"/>
  <c r="AQ808" i="1" s="1"/>
  <c r="AQ818" i="1"/>
  <c r="AS807" i="1"/>
  <c r="AV808" i="1"/>
  <c r="BF890" i="1"/>
  <c r="BB890" i="1"/>
  <c r="BB902" i="1" s="1"/>
  <c r="BA890" i="1"/>
  <c r="BA902" i="1" s="1"/>
  <c r="AU806" i="1"/>
  <c r="AR818" i="1"/>
  <c r="AT806" i="1"/>
  <c r="AV806" i="1"/>
  <c r="AS818" i="1"/>
  <c r="AM815" i="1"/>
  <c r="AN809" i="1"/>
  <c r="AW813" i="1"/>
  <c r="AU808" i="1"/>
  <c r="AR807" i="1"/>
  <c r="AZ902" i="1"/>
  <c r="AS809" i="1"/>
  <c r="AP819" i="1"/>
  <c r="R975" i="1"/>
  <c r="R978" i="1" s="1"/>
  <c r="AH1407" i="1"/>
  <c r="AE816" i="1"/>
  <c r="AE817" i="1"/>
  <c r="M1038" i="1"/>
  <c r="L1050" i="1"/>
  <c r="L715" i="1" s="1"/>
  <c r="M1071" i="1"/>
  <c r="O1021" i="1"/>
  <c r="O1026" i="1" s="1"/>
  <c r="O1030" i="1"/>
  <c r="AE1407" i="1"/>
  <c r="AN810" i="1"/>
  <c r="AN811" i="1" s="1"/>
  <c r="AL811" i="1"/>
  <c r="AL815" i="1"/>
  <c r="AL817" i="1" s="1"/>
  <c r="AE820" i="1"/>
  <c r="AI816" i="1"/>
  <c r="AK815" i="1"/>
  <c r="R976" i="1"/>
  <c r="M976" i="1"/>
  <c r="AC795" i="1"/>
  <c r="AD795" i="1"/>
  <c r="M1059" i="1"/>
  <c r="N1066" i="1"/>
  <c r="AH833" i="1"/>
  <c r="AH827" i="1"/>
  <c r="AK827" i="1" s="1"/>
  <c r="AN827" i="1" s="1"/>
  <c r="AQ827" i="1" s="1"/>
  <c r="AE875" i="1"/>
  <c r="AE869" i="1"/>
  <c r="AH869" i="1" s="1"/>
  <c r="AK869" i="1" s="1"/>
  <c r="AB917" i="1"/>
  <c r="Y917" i="1"/>
  <c r="AB911" i="1"/>
  <c r="AE911" i="1" s="1"/>
  <c r="AH911" i="1" s="1"/>
  <c r="AB938" i="1"/>
  <c r="Y938" i="1"/>
  <c r="V938" i="1"/>
  <c r="AB932" i="1"/>
  <c r="Y959" i="1"/>
  <c r="V959" i="1"/>
  <c r="Y953" i="1"/>
  <c r="AB953" i="1" s="1"/>
  <c r="AE953" i="1" s="1"/>
  <c r="V1001" i="1"/>
  <c r="Y995" i="1"/>
  <c r="AB995" i="1" s="1"/>
  <c r="AE995" i="1" s="1"/>
  <c r="AB980" i="1"/>
  <c r="Y980" i="1"/>
  <c r="V980" i="1"/>
  <c r="Y974" i="1"/>
  <c r="AB974" i="1" s="1"/>
  <c r="AE974" i="1" s="1"/>
  <c r="Y1023" i="1"/>
  <c r="V1017" i="1"/>
  <c r="P1059" i="1"/>
  <c r="S1059" i="1" s="1"/>
  <c r="V1059" i="1" s="1"/>
  <c r="Y1059" i="1" s="1"/>
  <c r="K1108" i="1"/>
  <c r="I1101" i="1"/>
  <c r="I1113" i="1" s="1"/>
  <c r="P1038" i="1"/>
  <c r="S1038" i="1" s="1"/>
  <c r="V1038" i="1" s="1"/>
  <c r="Y1038" i="1" s="1"/>
  <c r="BL388" i="1" l="1"/>
  <c r="BK427" i="1"/>
  <c r="BI458" i="1"/>
  <c r="BI422" i="1"/>
  <c r="AP811" i="1"/>
  <c r="BF426" i="1"/>
  <c r="BI464" i="1"/>
  <c r="BF504" i="1"/>
  <c r="BI497" i="1"/>
  <c r="BI427" i="1"/>
  <c r="BI425" i="1"/>
  <c r="BI461" i="1"/>
  <c r="BK498" i="1"/>
  <c r="BL498" i="1" s="1"/>
  <c r="BK459" i="1"/>
  <c r="BN381" i="1"/>
  <c r="BL381" i="1"/>
  <c r="BP380" i="1"/>
  <c r="BM497" i="1"/>
  <c r="BJ464" i="1"/>
  <c r="BK387" i="1"/>
  <c r="BL387" i="1" s="1"/>
  <c r="BH465" i="1"/>
  <c r="BH504" i="1"/>
  <c r="BI420" i="1"/>
  <c r="BG465" i="1"/>
  <c r="BI426" i="1"/>
  <c r="BK497" i="1"/>
  <c r="BN380" i="1"/>
  <c r="BO380" i="1" s="1"/>
  <c r="BK458" i="1"/>
  <c r="BH526" i="1"/>
  <c r="BI526" i="1" s="1"/>
  <c r="BK409" i="1"/>
  <c r="BP381" i="1"/>
  <c r="BM498" i="1"/>
  <c r="BF526" i="1"/>
  <c r="BI459" i="1"/>
  <c r="BJ504" i="1"/>
  <c r="BM387" i="1"/>
  <c r="BI409" i="1"/>
  <c r="BI503" i="1"/>
  <c r="BJ459" i="1"/>
  <c r="BP383" i="1"/>
  <c r="BM500" i="1"/>
  <c r="BJ458" i="1"/>
  <c r="BP386" i="1"/>
  <c r="BM503" i="1"/>
  <c r="BJ466" i="1"/>
  <c r="BI387" i="1"/>
  <c r="BK505" i="1"/>
  <c r="BK466" i="1"/>
  <c r="BN388" i="1"/>
  <c r="BN427" i="1" s="1"/>
  <c r="BI498" i="1"/>
  <c r="BI466" i="1"/>
  <c r="BJ461" i="1"/>
  <c r="BF465" i="1"/>
  <c r="BM505" i="1"/>
  <c r="BP388" i="1"/>
  <c r="BP427" i="1" s="1"/>
  <c r="BK461" i="1"/>
  <c r="BK500" i="1"/>
  <c r="BN383" i="1"/>
  <c r="BO383" i="1" s="1"/>
  <c r="BI504" i="1"/>
  <c r="BK464" i="1"/>
  <c r="BN386" i="1"/>
  <c r="BO386" i="1" s="1"/>
  <c r="BK503" i="1"/>
  <c r="BI500" i="1"/>
  <c r="BI419" i="1"/>
  <c r="BM409" i="1"/>
  <c r="BJ526" i="1"/>
  <c r="BL409" i="1"/>
  <c r="BF429" i="1"/>
  <c r="AZ469" i="1"/>
  <c r="BE391" i="1"/>
  <c r="BF391" i="1" s="1"/>
  <c r="BB508" i="1"/>
  <c r="AR529" i="1"/>
  <c r="AU412" i="1"/>
  <c r="BC391" i="1"/>
  <c r="AQ412" i="1"/>
  <c r="AS412" i="1"/>
  <c r="AP529" i="1"/>
  <c r="AQ501" i="1"/>
  <c r="AZ430" i="1"/>
  <c r="AQ423" i="1"/>
  <c r="AV384" i="1"/>
  <c r="AS501" i="1"/>
  <c r="AT384" i="1"/>
  <c r="BF468" i="1"/>
  <c r="AQ462" i="1"/>
  <c r="AZ508" i="1"/>
  <c r="BG391" i="1"/>
  <c r="BD508" i="1"/>
  <c r="AU501" i="1"/>
  <c r="AX384" i="1"/>
  <c r="BM390" i="1"/>
  <c r="BJ507" i="1"/>
  <c r="BC902" i="1"/>
  <c r="BG468" i="1"/>
  <c r="BK390" i="1"/>
  <c r="BH507" i="1"/>
  <c r="BH468" i="1"/>
  <c r="BI390" i="1"/>
  <c r="BF507" i="1"/>
  <c r="AY806" i="1"/>
  <c r="AV818" i="1"/>
  <c r="AU807" i="1"/>
  <c r="AX808" i="1"/>
  <c r="AM817" i="1"/>
  <c r="AM820" i="1" s="1"/>
  <c r="AM816" i="1"/>
  <c r="AV807" i="1"/>
  <c r="AY808" i="1"/>
  <c r="AT809" i="1"/>
  <c r="AU809" i="1"/>
  <c r="AR819" i="1"/>
  <c r="AK817" i="1"/>
  <c r="AK816" i="1"/>
  <c r="AO827" i="1"/>
  <c r="AT827" i="1"/>
  <c r="AP827" i="1"/>
  <c r="AV809" i="1"/>
  <c r="AS819" i="1"/>
  <c r="AT818" i="1"/>
  <c r="AS810" i="1"/>
  <c r="AO811" i="1"/>
  <c r="AQ810" i="1"/>
  <c r="AQ811" i="1" s="1"/>
  <c r="AO815" i="1"/>
  <c r="AZ813" i="1"/>
  <c r="AT807" i="1"/>
  <c r="AT808" i="1" s="1"/>
  <c r="AR810" i="1"/>
  <c r="AP816" i="1"/>
  <c r="AP817" i="1"/>
  <c r="AW806" i="1"/>
  <c r="AX806" i="1"/>
  <c r="AU818" i="1"/>
  <c r="BD890" i="1"/>
  <c r="BD902" i="1" s="1"/>
  <c r="BI890" i="1"/>
  <c r="BE890" i="1"/>
  <c r="BE902" i="1" s="1"/>
  <c r="AQ819" i="1"/>
  <c r="BA813" i="1"/>
  <c r="BB813" i="1"/>
  <c r="I714" i="1"/>
  <c r="I667" i="1" s="1"/>
  <c r="I712" i="1"/>
  <c r="I643" i="1" s="1"/>
  <c r="AH995" i="1"/>
  <c r="AD995" i="1"/>
  <c r="AC995" i="1"/>
  <c r="W1059" i="1"/>
  <c r="AB1059" i="1"/>
  <c r="X1059" i="1"/>
  <c r="AF911" i="1"/>
  <c r="AK911" i="1"/>
  <c r="AG911" i="1"/>
  <c r="AH974" i="1"/>
  <c r="AD974" i="1"/>
  <c r="AC974" i="1"/>
  <c r="X1038" i="1"/>
  <c r="AB1038" i="1"/>
  <c r="W1038" i="1"/>
  <c r="AC953" i="1"/>
  <c r="AH953" i="1"/>
  <c r="AD953" i="1"/>
  <c r="J1113" i="1"/>
  <c r="O1022" i="1"/>
  <c r="M1050" i="1"/>
  <c r="P1030" i="1"/>
  <c r="O1027" i="1"/>
  <c r="O1028" i="1"/>
  <c r="O1031" i="1"/>
  <c r="P1031" i="1" s="1"/>
  <c r="AI869" i="1"/>
  <c r="AN869" i="1"/>
  <c r="AQ869" i="1" s="1"/>
  <c r="AJ869" i="1"/>
  <c r="AM827" i="1"/>
  <c r="AL827" i="1"/>
  <c r="AL816" i="1"/>
  <c r="AL820" i="1"/>
  <c r="AN815" i="1"/>
  <c r="R979" i="1"/>
  <c r="R983" i="1"/>
  <c r="AE932" i="1"/>
  <c r="AH932" i="1" s="1"/>
  <c r="AB935" i="1"/>
  <c r="V1025" i="1"/>
  <c r="Y1017" i="1"/>
  <c r="S1065" i="1"/>
  <c r="P1065" i="1"/>
  <c r="M1066" i="1"/>
  <c r="J1107" i="1"/>
  <c r="V1044" i="1"/>
  <c r="P1044" i="1"/>
  <c r="BO388" i="1" l="1"/>
  <c r="BI465" i="1"/>
  <c r="BL459" i="1"/>
  <c r="BL419" i="1"/>
  <c r="BL464" i="1"/>
  <c r="BL458" i="1"/>
  <c r="BL425" i="1"/>
  <c r="BL427" i="1"/>
  <c r="BL500" i="1"/>
  <c r="BL422" i="1"/>
  <c r="BM464" i="1"/>
  <c r="BJ465" i="1"/>
  <c r="BN409" i="1"/>
  <c r="BO409" i="1" s="1"/>
  <c r="BK526" i="1"/>
  <c r="BL503" i="1"/>
  <c r="BL461" i="1"/>
  <c r="BP387" i="1"/>
  <c r="BM504" i="1"/>
  <c r="BM459" i="1"/>
  <c r="BP497" i="1"/>
  <c r="BQ381" i="1"/>
  <c r="BR381" i="1" s="1"/>
  <c r="BN459" i="1"/>
  <c r="BN498" i="1"/>
  <c r="BP409" i="1"/>
  <c r="BM526" i="1"/>
  <c r="BQ386" i="1"/>
  <c r="BR386" i="1" s="1"/>
  <c r="BN464" i="1"/>
  <c r="BN503" i="1"/>
  <c r="BO503" i="1" s="1"/>
  <c r="BN461" i="1"/>
  <c r="BQ383" i="1"/>
  <c r="BR383" i="1" s="1"/>
  <c r="BN500" i="1"/>
  <c r="BM466" i="1"/>
  <c r="BL497" i="1"/>
  <c r="BN505" i="1"/>
  <c r="BN466" i="1"/>
  <c r="BQ388" i="1"/>
  <c r="BP500" i="1"/>
  <c r="BP498" i="1"/>
  <c r="BP505" i="1"/>
  <c r="BL466" i="1"/>
  <c r="BP503" i="1"/>
  <c r="BM461" i="1"/>
  <c r="BL420" i="1"/>
  <c r="BL505" i="1"/>
  <c r="BO381" i="1"/>
  <c r="BN458" i="1"/>
  <c r="BQ380" i="1"/>
  <c r="BN497" i="1"/>
  <c r="BN387" i="1"/>
  <c r="BK465" i="1"/>
  <c r="BK504" i="1"/>
  <c r="BM458" i="1"/>
  <c r="AT423" i="1"/>
  <c r="BC430" i="1"/>
  <c r="AT462" i="1"/>
  <c r="BJ391" i="1"/>
  <c r="BG508" i="1"/>
  <c r="AY384" i="1"/>
  <c r="AV501" i="1"/>
  <c r="AV412" i="1"/>
  <c r="AW412" i="1" s="1"/>
  <c r="AS529" i="1"/>
  <c r="AX501" i="1"/>
  <c r="BA384" i="1"/>
  <c r="BD469" i="1"/>
  <c r="BC469" i="1"/>
  <c r="AT412" i="1"/>
  <c r="AW384" i="1"/>
  <c r="AQ529" i="1"/>
  <c r="BC508" i="1"/>
  <c r="AT501" i="1"/>
  <c r="AU529" i="1"/>
  <c r="AX412" i="1"/>
  <c r="BE469" i="1"/>
  <c r="BE508" i="1"/>
  <c r="BH391" i="1"/>
  <c r="BI391" i="1" s="1"/>
  <c r="AP820" i="1"/>
  <c r="BI468" i="1"/>
  <c r="BK507" i="1"/>
  <c r="BN390" i="1"/>
  <c r="BO390" i="1" s="1"/>
  <c r="BK468" i="1"/>
  <c r="BJ468" i="1"/>
  <c r="BF902" i="1"/>
  <c r="BI429" i="1"/>
  <c r="BI507" i="1"/>
  <c r="BP390" i="1"/>
  <c r="BM507" i="1"/>
  <c r="BL390" i="1"/>
  <c r="BE813" i="1"/>
  <c r="BD813" i="1"/>
  <c r="AW818" i="1"/>
  <c r="AY807" i="1"/>
  <c r="BB808" i="1"/>
  <c r="BA808" i="1"/>
  <c r="AX807" i="1"/>
  <c r="AO869" i="1"/>
  <c r="AT869" i="1"/>
  <c r="AP869" i="1"/>
  <c r="BC813" i="1"/>
  <c r="BA806" i="1"/>
  <c r="AZ806" i="1"/>
  <c r="AX818" i="1"/>
  <c r="AR811" i="1"/>
  <c r="AT810" i="1"/>
  <c r="AT811" i="1" s="1"/>
  <c r="AR815" i="1"/>
  <c r="AS811" i="1"/>
  <c r="AS815" i="1"/>
  <c r="AY809" i="1"/>
  <c r="AV819" i="1"/>
  <c r="AR827" i="1"/>
  <c r="AR839" i="1" s="1"/>
  <c r="AW827" i="1"/>
  <c r="AS827" i="1"/>
  <c r="AS839" i="1" s="1"/>
  <c r="AT819" i="1"/>
  <c r="AV810" i="1"/>
  <c r="AU810" i="1"/>
  <c r="AW807" i="1"/>
  <c r="AW808" i="1" s="1"/>
  <c r="BL890" i="1"/>
  <c r="BH890" i="1"/>
  <c r="BH902" i="1" s="1"/>
  <c r="BG890" i="1"/>
  <c r="BG902" i="1" s="1"/>
  <c r="AO817" i="1"/>
  <c r="AO820" i="1" s="1"/>
  <c r="AO816" i="1"/>
  <c r="AQ815" i="1"/>
  <c r="AO839" i="1"/>
  <c r="AW809" i="1"/>
  <c r="AX809" i="1"/>
  <c r="AU819" i="1"/>
  <c r="AN817" i="1"/>
  <c r="AN816" i="1"/>
  <c r="AP839" i="1"/>
  <c r="BB806" i="1"/>
  <c r="AY818" i="1"/>
  <c r="J714" i="1"/>
  <c r="J667" i="1" s="1"/>
  <c r="J712" i="1"/>
  <c r="J643" i="1" s="1"/>
  <c r="M715" i="1"/>
  <c r="M659" i="1" s="1"/>
  <c r="AJ911" i="1"/>
  <c r="AJ923" i="1" s="1"/>
  <c r="AN911" i="1"/>
  <c r="AQ911" i="1" s="1"/>
  <c r="AI911" i="1"/>
  <c r="AI923" i="1" s="1"/>
  <c r="Z1059" i="1"/>
  <c r="Z1071" i="1" s="1"/>
  <c r="AE1059" i="1"/>
  <c r="AA1059" i="1"/>
  <c r="AA1071" i="1" s="1"/>
  <c r="AK932" i="1"/>
  <c r="AF932" i="1"/>
  <c r="AG932" i="1"/>
  <c r="AF953" i="1"/>
  <c r="AG953" i="1"/>
  <c r="AK953" i="1"/>
  <c r="AK995" i="1"/>
  <c r="AF995" i="1"/>
  <c r="AG995" i="1"/>
  <c r="Y1025" i="1"/>
  <c r="AB1017" i="1"/>
  <c r="AE1038" i="1"/>
  <c r="AA1038" i="1"/>
  <c r="AA1050" i="1" s="1"/>
  <c r="Z1038" i="1"/>
  <c r="Z1050" i="1" s="1"/>
  <c r="AK974" i="1"/>
  <c r="AF974" i="1"/>
  <c r="AF986" i="1" s="1"/>
  <c r="AG974" i="1"/>
  <c r="AG986" i="1" s="1"/>
  <c r="J651" i="1"/>
  <c r="I651" i="1"/>
  <c r="I716" i="1"/>
  <c r="L659" i="1"/>
  <c r="L654" i="1" s="1"/>
  <c r="R988" i="1"/>
  <c r="R985" i="1"/>
  <c r="AL869" i="1"/>
  <c r="AL881" i="1" s="1"/>
  <c r="AM869" i="1"/>
  <c r="AM881" i="1" s="1"/>
  <c r="R984" i="1"/>
  <c r="AE935" i="1"/>
  <c r="AH935" i="1" s="1"/>
  <c r="E1104" i="1"/>
  <c r="I1104" i="1" s="1"/>
  <c r="I1114" i="1" s="1"/>
  <c r="E1102" i="1"/>
  <c r="Z159" i="1"/>
  <c r="AB159" i="1" s="1"/>
  <c r="X161" i="1"/>
  <c r="Y159" i="1"/>
  <c r="Y158" i="1"/>
  <c r="AB158" i="1"/>
  <c r="Y111" i="1"/>
  <c r="X111" i="1" s="1"/>
  <c r="R1189" i="1"/>
  <c r="O1189" i="1"/>
  <c r="L1189" i="1"/>
  <c r="BR388" i="1" l="1"/>
  <c r="BQ427" i="1"/>
  <c r="BL465" i="1"/>
  <c r="BO500" i="1"/>
  <c r="BL468" i="1"/>
  <c r="BO505" i="1"/>
  <c r="BO425" i="1"/>
  <c r="BL504" i="1"/>
  <c r="BO459" i="1"/>
  <c r="BQ461" i="1"/>
  <c r="BQ500" i="1"/>
  <c r="BQ503" i="1"/>
  <c r="BR503" i="1" s="1"/>
  <c r="BQ464" i="1"/>
  <c r="BP458" i="1"/>
  <c r="BL507" i="1"/>
  <c r="BO419" i="1"/>
  <c r="BN504" i="1"/>
  <c r="BO504" i="1" s="1"/>
  <c r="BQ387" i="1"/>
  <c r="BR387" i="1" s="1"/>
  <c r="BN465" i="1"/>
  <c r="BP464" i="1"/>
  <c r="BO466" i="1"/>
  <c r="BM465" i="1"/>
  <c r="BO458" i="1"/>
  <c r="BO422" i="1"/>
  <c r="BP459" i="1"/>
  <c r="BP461" i="1"/>
  <c r="BO427" i="1"/>
  <c r="BQ459" i="1"/>
  <c r="BQ498" i="1"/>
  <c r="BR498" i="1" s="1"/>
  <c r="BP504" i="1"/>
  <c r="BL526" i="1"/>
  <c r="BQ409" i="1"/>
  <c r="BQ526" i="1" s="1"/>
  <c r="BN526" i="1"/>
  <c r="BO526" i="1" s="1"/>
  <c r="BQ458" i="1"/>
  <c r="BQ497" i="1"/>
  <c r="BO461" i="1"/>
  <c r="BP466" i="1"/>
  <c r="BQ505" i="1"/>
  <c r="BQ466" i="1"/>
  <c r="BP526" i="1"/>
  <c r="BR380" i="1"/>
  <c r="BO420" i="1"/>
  <c r="BO387" i="1"/>
  <c r="BO497" i="1"/>
  <c r="BO498" i="1"/>
  <c r="BL426" i="1"/>
  <c r="BO464" i="1"/>
  <c r="BL429" i="1"/>
  <c r="BF508" i="1"/>
  <c r="AW462" i="1"/>
  <c r="BF430" i="1"/>
  <c r="BM391" i="1"/>
  <c r="BJ508" i="1"/>
  <c r="AX529" i="1"/>
  <c r="BA412" i="1"/>
  <c r="AT529" i="1"/>
  <c r="BB384" i="1"/>
  <c r="BC384" i="1" s="1"/>
  <c r="AY501" i="1"/>
  <c r="BH508" i="1"/>
  <c r="BH469" i="1"/>
  <c r="BK391" i="1"/>
  <c r="AZ384" i="1"/>
  <c r="AY412" i="1"/>
  <c r="AZ412" i="1" s="1"/>
  <c r="AV529" i="1"/>
  <c r="BG469" i="1"/>
  <c r="AW501" i="1"/>
  <c r="AQ820" i="1"/>
  <c r="BF469" i="1"/>
  <c r="BA501" i="1"/>
  <c r="BD384" i="1"/>
  <c r="AW423" i="1"/>
  <c r="AO881" i="1"/>
  <c r="AY810" i="1"/>
  <c r="AY811" i="1" s="1"/>
  <c r="BN507" i="1"/>
  <c r="BQ390" i="1"/>
  <c r="BN468" i="1"/>
  <c r="BP507" i="1"/>
  <c r="AQ839" i="1"/>
  <c r="BM468" i="1"/>
  <c r="BO890" i="1"/>
  <c r="BJ890" i="1"/>
  <c r="BJ902" i="1" s="1"/>
  <c r="BK890" i="1"/>
  <c r="BK902" i="1" s="1"/>
  <c r="AT839" i="1"/>
  <c r="BB809" i="1"/>
  <c r="AY819" i="1"/>
  <c r="BD806" i="1"/>
  <c r="BC806" i="1"/>
  <c r="BA818" i="1"/>
  <c r="BD808" i="1"/>
  <c r="BA807" i="1"/>
  <c r="AO911" i="1"/>
  <c r="AT911" i="1"/>
  <c r="AP911" i="1"/>
  <c r="AQ816" i="1"/>
  <c r="AQ817" i="1"/>
  <c r="BI902" i="1"/>
  <c r="AU811" i="1"/>
  <c r="AW810" i="1"/>
  <c r="AW811" i="1" s="1"/>
  <c r="AU815" i="1"/>
  <c r="AU827" i="1"/>
  <c r="AU839" i="1" s="1"/>
  <c r="AZ827" i="1"/>
  <c r="AV827" i="1"/>
  <c r="AV839" i="1" s="1"/>
  <c r="AS817" i="1"/>
  <c r="AS820" i="1" s="1"/>
  <c r="AS816" i="1"/>
  <c r="AR869" i="1"/>
  <c r="AR881" i="1" s="1"/>
  <c r="AW869" i="1"/>
  <c r="AS869" i="1"/>
  <c r="AS881" i="1" s="1"/>
  <c r="BE808" i="1"/>
  <c r="BB807" i="1"/>
  <c r="AV811" i="1"/>
  <c r="AV815" i="1"/>
  <c r="AZ818" i="1"/>
  <c r="BF813" i="1"/>
  <c r="BA809" i="1"/>
  <c r="AZ809" i="1"/>
  <c r="AX819" i="1"/>
  <c r="BE806" i="1"/>
  <c r="BB818" i="1"/>
  <c r="AW819" i="1"/>
  <c r="AR816" i="1"/>
  <c r="AR817" i="1"/>
  <c r="AR820" i="1" s="1"/>
  <c r="AT815" i="1"/>
  <c r="AP881" i="1"/>
  <c r="AX810" i="1"/>
  <c r="AZ807" i="1"/>
  <c r="AZ808" i="1" s="1"/>
  <c r="BG813" i="1"/>
  <c r="BH813" i="1"/>
  <c r="J716" i="1"/>
  <c r="AK923" i="1"/>
  <c r="AN974" i="1"/>
  <c r="AQ974" i="1" s="1"/>
  <c r="AJ974" i="1"/>
  <c r="AJ986" i="1" s="1"/>
  <c r="AI974" i="1"/>
  <c r="AI986" i="1" s="1"/>
  <c r="AI953" i="1"/>
  <c r="AJ953" i="1"/>
  <c r="AN953" i="1"/>
  <c r="AQ953" i="1" s="1"/>
  <c r="AB1071" i="1"/>
  <c r="AM911" i="1"/>
  <c r="AM923" i="1" s="1"/>
  <c r="AL911" i="1"/>
  <c r="AL923" i="1" s="1"/>
  <c r="AH1038" i="1"/>
  <c r="AD1038" i="1"/>
  <c r="AD1050" i="1" s="1"/>
  <c r="AC1038" i="1"/>
  <c r="AC1050" i="1" s="1"/>
  <c r="Z1017" i="1"/>
  <c r="AE1017" i="1"/>
  <c r="AB1025" i="1"/>
  <c r="AA1017" i="1"/>
  <c r="AJ995" i="1"/>
  <c r="AN995" i="1"/>
  <c r="AQ995" i="1" s="1"/>
  <c r="AI995" i="1"/>
  <c r="AI932" i="1"/>
  <c r="AI944" i="1" s="1"/>
  <c r="AJ932" i="1"/>
  <c r="AJ944" i="1" s="1"/>
  <c r="AN932" i="1"/>
  <c r="AQ932" i="1" s="1"/>
  <c r="AG935" i="1"/>
  <c r="AF935" i="1"/>
  <c r="AK935" i="1"/>
  <c r="AH986" i="1"/>
  <c r="AB1050" i="1"/>
  <c r="AH1059" i="1"/>
  <c r="AC1059" i="1"/>
  <c r="AC1071" i="1" s="1"/>
  <c r="AD1059" i="1"/>
  <c r="AD1071" i="1" s="1"/>
  <c r="J1114" i="1"/>
  <c r="J717" i="1" s="1"/>
  <c r="I717" i="1"/>
  <c r="AN881" i="1"/>
  <c r="Y161" i="1"/>
  <c r="Y160" i="1" s="1"/>
  <c r="E1103" i="1"/>
  <c r="I1102" i="1"/>
  <c r="E1105" i="1"/>
  <c r="E1106" i="1" s="1"/>
  <c r="Z161" i="1"/>
  <c r="X160" i="1"/>
  <c r="AT820" i="1" l="1"/>
  <c r="BI430" i="1"/>
  <c r="AY815" i="1"/>
  <c r="AY816" i="1" s="1"/>
  <c r="BO468" i="1"/>
  <c r="BR422" i="1"/>
  <c r="BR461" i="1"/>
  <c r="BO465" i="1"/>
  <c r="BR466" i="1"/>
  <c r="BR419" i="1"/>
  <c r="BR497" i="1"/>
  <c r="BR464" i="1"/>
  <c r="BR458" i="1"/>
  <c r="BR526" i="1"/>
  <c r="BI469" i="1"/>
  <c r="BP465" i="1"/>
  <c r="BR420" i="1"/>
  <c r="BO426" i="1"/>
  <c r="BQ504" i="1"/>
  <c r="BQ465" i="1"/>
  <c r="BR465" i="1" s="1"/>
  <c r="BR409" i="1"/>
  <c r="BR500" i="1"/>
  <c r="BR427" i="1"/>
  <c r="BR459" i="1"/>
  <c r="BR425" i="1"/>
  <c r="BR505" i="1"/>
  <c r="BI508" i="1"/>
  <c r="AZ423" i="1"/>
  <c r="AZ462" i="1"/>
  <c r="BJ469" i="1"/>
  <c r="BN391" i="1"/>
  <c r="BO391" i="1" s="1"/>
  <c r="BK508" i="1"/>
  <c r="BK469" i="1"/>
  <c r="BD412" i="1"/>
  <c r="BA529" i="1"/>
  <c r="BL391" i="1"/>
  <c r="AZ501" i="1"/>
  <c r="BD501" i="1"/>
  <c r="BG384" i="1"/>
  <c r="AW529" i="1"/>
  <c r="BP391" i="1"/>
  <c r="BM508" i="1"/>
  <c r="BB412" i="1"/>
  <c r="BC412" i="1" s="1"/>
  <c r="AY529" i="1"/>
  <c r="BE384" i="1"/>
  <c r="BB501" i="1"/>
  <c r="AQ881" i="1"/>
  <c r="BB810" i="1"/>
  <c r="BB815" i="1" s="1"/>
  <c r="AP923" i="1"/>
  <c r="BO429" i="1"/>
  <c r="BO507" i="1"/>
  <c r="BQ507" i="1"/>
  <c r="BQ468" i="1"/>
  <c r="BP468" i="1"/>
  <c r="BR390" i="1"/>
  <c r="AT974" i="1"/>
  <c r="AO974" i="1"/>
  <c r="AP974" i="1"/>
  <c r="BE807" i="1"/>
  <c r="BH808" i="1"/>
  <c r="AT816" i="1"/>
  <c r="AT817" i="1"/>
  <c r="BC809" i="1"/>
  <c r="BD809" i="1"/>
  <c r="BA819" i="1"/>
  <c r="AU869" i="1"/>
  <c r="AU881" i="1" s="1"/>
  <c r="AZ869" i="1"/>
  <c r="AV869" i="1"/>
  <c r="AV881" i="1" s="1"/>
  <c r="AU817" i="1"/>
  <c r="AU820" i="1" s="1"/>
  <c r="AW815" i="1"/>
  <c r="AU816" i="1"/>
  <c r="AR911" i="1"/>
  <c r="AR923" i="1" s="1"/>
  <c r="AW911" i="1"/>
  <c r="AS911" i="1"/>
  <c r="AS923" i="1" s="1"/>
  <c r="BC818" i="1"/>
  <c r="BE809" i="1"/>
  <c r="BB819" i="1"/>
  <c r="BC819" i="1" s="1"/>
  <c r="BJ813" i="1"/>
  <c r="BK813" i="1"/>
  <c r="BA810" i="1"/>
  <c r="BC807" i="1"/>
  <c r="BC808" i="1" s="1"/>
  <c r="AT932" i="1"/>
  <c r="AO932" i="1"/>
  <c r="AP932" i="1"/>
  <c r="AT995" i="1"/>
  <c r="AP995" i="1"/>
  <c r="AO995" i="1"/>
  <c r="AT953" i="1"/>
  <c r="AO953" i="1"/>
  <c r="AP953" i="1"/>
  <c r="BH806" i="1"/>
  <c r="BE818" i="1"/>
  <c r="AX827" i="1"/>
  <c r="AX839" i="1" s="1"/>
  <c r="BC827" i="1"/>
  <c r="AY827" i="1"/>
  <c r="AY839" i="1" s="1"/>
  <c r="AO923" i="1"/>
  <c r="BM890" i="1"/>
  <c r="BM902" i="1" s="1"/>
  <c r="BR890" i="1"/>
  <c r="BN890" i="1"/>
  <c r="BN902" i="1" s="1"/>
  <c r="BG806" i="1"/>
  <c r="BF806" i="1"/>
  <c r="BD818" i="1"/>
  <c r="AZ810" i="1"/>
  <c r="AZ811" i="1" s="1"/>
  <c r="AX811" i="1"/>
  <c r="AX815" i="1"/>
  <c r="BI813" i="1"/>
  <c r="AV816" i="1"/>
  <c r="AV817" i="1"/>
  <c r="AV820" i="1" s="1"/>
  <c r="AT881" i="1"/>
  <c r="AW839" i="1"/>
  <c r="BD807" i="1"/>
  <c r="BG808" i="1"/>
  <c r="AZ819" i="1"/>
  <c r="BL902" i="1"/>
  <c r="AK986" i="1"/>
  <c r="AE1050" i="1"/>
  <c r="AI935" i="1"/>
  <c r="AI945" i="1" s="1"/>
  <c r="AJ935" i="1"/>
  <c r="AJ945" i="1" s="1"/>
  <c r="AN935" i="1"/>
  <c r="AQ935" i="1" s="1"/>
  <c r="AL932" i="1"/>
  <c r="AL944" i="1" s="1"/>
  <c r="AM932" i="1"/>
  <c r="AM944" i="1" s="1"/>
  <c r="AA1025" i="1"/>
  <c r="AE1071" i="1"/>
  <c r="AK944" i="1"/>
  <c r="AM995" i="1"/>
  <c r="AL995" i="1"/>
  <c r="AD1017" i="1"/>
  <c r="AH1017" i="1"/>
  <c r="AC1017" i="1"/>
  <c r="AE1025" i="1"/>
  <c r="AK1038" i="1"/>
  <c r="AG1038" i="1"/>
  <c r="AG1050" i="1" s="1"/>
  <c r="AF1038" i="1"/>
  <c r="AF1050" i="1" s="1"/>
  <c r="AM974" i="1"/>
  <c r="AM986" i="1" s="1"/>
  <c r="AL974" i="1"/>
  <c r="AL986" i="1" s="1"/>
  <c r="AK1059" i="1"/>
  <c r="AF1059" i="1"/>
  <c r="AF1071" i="1" s="1"/>
  <c r="AG1059" i="1"/>
  <c r="AG1071" i="1" s="1"/>
  <c r="Z1025" i="1"/>
  <c r="AN923" i="1"/>
  <c r="AL953" i="1"/>
  <c r="AM953" i="1"/>
  <c r="AB161" i="1"/>
  <c r="Z160" i="1"/>
  <c r="P1017" i="1"/>
  <c r="P1018" i="1"/>
  <c r="P1023" i="1"/>
  <c r="BB811" i="1" l="1"/>
  <c r="AY817" i="1"/>
  <c r="BL508" i="1"/>
  <c r="BR504" i="1"/>
  <c r="BO902" i="1"/>
  <c r="BR429" i="1"/>
  <c r="BC501" i="1"/>
  <c r="BR426" i="1"/>
  <c r="BL469" i="1"/>
  <c r="BL430" i="1"/>
  <c r="BE501" i="1"/>
  <c r="BH384" i="1"/>
  <c r="BI384" i="1" s="1"/>
  <c r="BE462" i="1"/>
  <c r="BP508" i="1"/>
  <c r="BF384" i="1"/>
  <c r="AZ529" i="1"/>
  <c r="BG501" i="1"/>
  <c r="BJ384" i="1"/>
  <c r="BQ391" i="1"/>
  <c r="BN508" i="1"/>
  <c r="BN469" i="1"/>
  <c r="BE412" i="1"/>
  <c r="BF412" i="1" s="1"/>
  <c r="BB529" i="1"/>
  <c r="BD529" i="1"/>
  <c r="BG412" i="1"/>
  <c r="BC423" i="1"/>
  <c r="BM469" i="1"/>
  <c r="BD462" i="1"/>
  <c r="BC462" i="1"/>
  <c r="AT923" i="1"/>
  <c r="AQ923" i="1"/>
  <c r="BR468" i="1"/>
  <c r="AW820" i="1"/>
  <c r="AY820" i="1"/>
  <c r="BR507" i="1"/>
  <c r="BP890" i="1"/>
  <c r="BP902" i="1" s="1"/>
  <c r="BQ890" i="1"/>
  <c r="BQ902" i="1" s="1"/>
  <c r="BG807" i="1"/>
  <c r="BJ808" i="1"/>
  <c r="BF827" i="1"/>
  <c r="BB827" i="1"/>
  <c r="BB839" i="1" s="1"/>
  <c r="BA827" i="1"/>
  <c r="BA839" i="1" s="1"/>
  <c r="AO944" i="1"/>
  <c r="BC810" i="1"/>
  <c r="BC811" i="1" s="1"/>
  <c r="BA811" i="1"/>
  <c r="BA815" i="1"/>
  <c r="AP986" i="1"/>
  <c r="BN813" i="1"/>
  <c r="BM813" i="1"/>
  <c r="AO935" i="1"/>
  <c r="AP935" i="1"/>
  <c r="BD810" i="1"/>
  <c r="BF807" i="1"/>
  <c r="BF808" i="1" s="1"/>
  <c r="BF818" i="1"/>
  <c r="AZ839" i="1"/>
  <c r="AS953" i="1"/>
  <c r="AR953" i="1"/>
  <c r="AW953" i="1"/>
  <c r="AW995" i="1"/>
  <c r="AS995" i="1"/>
  <c r="AR995" i="1"/>
  <c r="AT935" i="1"/>
  <c r="AR932" i="1"/>
  <c r="AR944" i="1" s="1"/>
  <c r="AW932" i="1"/>
  <c r="AS932" i="1"/>
  <c r="AS944" i="1" s="1"/>
  <c r="BH809" i="1"/>
  <c r="BE819" i="1"/>
  <c r="AU911" i="1"/>
  <c r="AU923" i="1" s="1"/>
  <c r="AV911" i="1"/>
  <c r="AV923" i="1" s="1"/>
  <c r="AZ911" i="1"/>
  <c r="AW816" i="1"/>
  <c r="AW817" i="1"/>
  <c r="BG809" i="1"/>
  <c r="BF809" i="1"/>
  <c r="BD819" i="1"/>
  <c r="AO986" i="1"/>
  <c r="AZ815" i="1"/>
  <c r="AX816" i="1"/>
  <c r="AX817" i="1"/>
  <c r="AX820" i="1" s="1"/>
  <c r="BC869" i="1"/>
  <c r="AX869" i="1"/>
  <c r="AX881" i="1" s="1"/>
  <c r="AY869" i="1"/>
  <c r="AY881" i="1" s="1"/>
  <c r="BK808" i="1"/>
  <c r="BH807" i="1"/>
  <c r="AS974" i="1"/>
  <c r="AS986" i="1" s="1"/>
  <c r="AW974" i="1"/>
  <c r="AR974" i="1"/>
  <c r="AR986" i="1" s="1"/>
  <c r="BB816" i="1"/>
  <c r="BB817" i="1"/>
  <c r="BB820" i="1" s="1"/>
  <c r="BK806" i="1"/>
  <c r="BH818" i="1"/>
  <c r="BJ806" i="1"/>
  <c r="BI806" i="1"/>
  <c r="BG818" i="1"/>
  <c r="AP944" i="1"/>
  <c r="BL813" i="1"/>
  <c r="AW881" i="1"/>
  <c r="BE810" i="1"/>
  <c r="AH1050" i="1"/>
  <c r="AK945" i="1"/>
  <c r="AN986" i="1"/>
  <c r="AN944" i="1"/>
  <c r="AD1025" i="1"/>
  <c r="AD1029" i="1"/>
  <c r="AH1071" i="1"/>
  <c r="AL935" i="1"/>
  <c r="AL945" i="1" s="1"/>
  <c r="AM935" i="1"/>
  <c r="AM945" i="1" s="1"/>
  <c r="AN1059" i="1"/>
  <c r="AQ1059" i="1" s="1"/>
  <c r="AI1059" i="1"/>
  <c r="AI1071" i="1" s="1"/>
  <c r="AJ1059" i="1"/>
  <c r="AJ1071" i="1" s="1"/>
  <c r="AN1038" i="1"/>
  <c r="AQ1038" i="1" s="1"/>
  <c r="AI1038" i="1"/>
  <c r="AI1050" i="1" s="1"/>
  <c r="AJ1038" i="1"/>
  <c r="AJ1050" i="1" s="1"/>
  <c r="AC1025" i="1"/>
  <c r="AC1029" i="1"/>
  <c r="AK1017" i="1"/>
  <c r="AF1017" i="1"/>
  <c r="AG1017" i="1"/>
  <c r="AH1025" i="1"/>
  <c r="AB160" i="1"/>
  <c r="P1025" i="1"/>
  <c r="P1024" i="1"/>
  <c r="Q1024" i="1"/>
  <c r="R1024" i="1"/>
  <c r="P1020" i="1"/>
  <c r="S1020" i="1" s="1"/>
  <c r="P1019" i="1"/>
  <c r="S1019" i="1" s="1"/>
  <c r="V1019" i="1" s="1"/>
  <c r="Y1019" i="1" s="1"/>
  <c r="AB1019" i="1" s="1"/>
  <c r="R1017" i="1"/>
  <c r="R1029" i="1" s="1"/>
  <c r="Q1017" i="1"/>
  <c r="Q1029" i="1" s="1"/>
  <c r="BO430" i="1" l="1"/>
  <c r="BF501" i="1"/>
  <c r="BF462" i="1"/>
  <c r="BF423" i="1"/>
  <c r="BO508" i="1"/>
  <c r="BC529" i="1"/>
  <c r="BQ508" i="1"/>
  <c r="BR508" i="1" s="1"/>
  <c r="BQ469" i="1"/>
  <c r="BG462" i="1"/>
  <c r="BR391" i="1"/>
  <c r="BH412" i="1"/>
  <c r="BE529" i="1"/>
  <c r="BF529" i="1" s="1"/>
  <c r="BM384" i="1"/>
  <c r="BJ501" i="1"/>
  <c r="BR430" i="1"/>
  <c r="BP469" i="1"/>
  <c r="BK384" i="1"/>
  <c r="BH501" i="1"/>
  <c r="BH462" i="1"/>
  <c r="BO469" i="1"/>
  <c r="BJ412" i="1"/>
  <c r="BI412" i="1"/>
  <c r="BG529" i="1"/>
  <c r="BH810" i="1"/>
  <c r="BH811" i="1" s="1"/>
  <c r="AZ820" i="1"/>
  <c r="BF819" i="1"/>
  <c r="BR902" i="1"/>
  <c r="AZ881" i="1"/>
  <c r="AQ986" i="1"/>
  <c r="BC839" i="1"/>
  <c r="AT986" i="1"/>
  <c r="BM806" i="1"/>
  <c r="BL806" i="1"/>
  <c r="BJ818" i="1"/>
  <c r="AU995" i="1"/>
  <c r="AZ995" i="1"/>
  <c r="AV995" i="1"/>
  <c r="AT1038" i="1"/>
  <c r="AP1038" i="1"/>
  <c r="AO1038" i="1"/>
  <c r="BI818" i="1"/>
  <c r="BN806" i="1"/>
  <c r="BK818" i="1"/>
  <c r="AU974" i="1"/>
  <c r="AU986" i="1" s="1"/>
  <c r="AZ974" i="1"/>
  <c r="AV974" i="1"/>
  <c r="AV986" i="1" s="1"/>
  <c r="BN808" i="1"/>
  <c r="BK807" i="1"/>
  <c r="AW923" i="1"/>
  <c r="AT944" i="1"/>
  <c r="AZ953" i="1"/>
  <c r="AU953" i="1"/>
  <c r="AV953" i="1"/>
  <c r="AO945" i="1"/>
  <c r="BI807" i="1"/>
  <c r="BI808" i="1" s="1"/>
  <c r="BG810" i="1"/>
  <c r="BE811" i="1"/>
  <c r="BE815" i="1"/>
  <c r="AZ932" i="1"/>
  <c r="AU932" i="1"/>
  <c r="AU944" i="1" s="1"/>
  <c r="AV932" i="1"/>
  <c r="AV944" i="1" s="1"/>
  <c r="AQ944" i="1"/>
  <c r="BO813" i="1"/>
  <c r="BC815" i="1"/>
  <c r="BA816" i="1"/>
  <c r="BA817" i="1"/>
  <c r="BA820" i="1" s="1"/>
  <c r="BC820" i="1" s="1"/>
  <c r="BF810" i="1"/>
  <c r="BF811" i="1" s="1"/>
  <c r="BD811" i="1"/>
  <c r="BD815" i="1"/>
  <c r="BD827" i="1"/>
  <c r="BD839" i="1" s="1"/>
  <c r="BI827" i="1"/>
  <c r="BE827" i="1"/>
  <c r="BE839" i="1" s="1"/>
  <c r="AT1059" i="1"/>
  <c r="AO1059" i="1"/>
  <c r="AP1059" i="1"/>
  <c r="BH815" i="1"/>
  <c r="BB869" i="1"/>
  <c r="BB881" i="1" s="1"/>
  <c r="BF869" i="1"/>
  <c r="BA869" i="1"/>
  <c r="BA881" i="1" s="1"/>
  <c r="AZ816" i="1"/>
  <c r="AZ817" i="1"/>
  <c r="BJ809" i="1"/>
  <c r="BI809" i="1"/>
  <c r="BG819" i="1"/>
  <c r="BC911" i="1"/>
  <c r="AX911" i="1"/>
  <c r="AX923" i="1" s="1"/>
  <c r="AY911" i="1"/>
  <c r="AY923" i="1" s="1"/>
  <c r="BK809" i="1"/>
  <c r="BH819" i="1"/>
  <c r="AW935" i="1"/>
  <c r="AS935" i="1"/>
  <c r="AS945" i="1" s="1"/>
  <c r="AR935" i="1"/>
  <c r="AR945" i="1" s="1"/>
  <c r="AP945" i="1"/>
  <c r="BQ813" i="1"/>
  <c r="BP813" i="1"/>
  <c r="BM808" i="1"/>
  <c r="BJ807" i="1"/>
  <c r="AK1071" i="1"/>
  <c r="AK1050" i="1"/>
  <c r="AE1029" i="1"/>
  <c r="AE1019" i="1"/>
  <c r="AB1018" i="1"/>
  <c r="AM1059" i="1"/>
  <c r="AM1071" i="1" s="1"/>
  <c r="AL1059" i="1"/>
  <c r="AL1071" i="1" s="1"/>
  <c r="AG1029" i="1"/>
  <c r="AG1025" i="1"/>
  <c r="AF1025" i="1"/>
  <c r="AF1029" i="1"/>
  <c r="AN1017" i="1"/>
  <c r="AQ1017" i="1" s="1"/>
  <c r="AJ1017" i="1"/>
  <c r="AK1025" i="1"/>
  <c r="AI1017" i="1"/>
  <c r="AL1038" i="1"/>
  <c r="AL1050" i="1" s="1"/>
  <c r="AM1038" i="1"/>
  <c r="AM1050" i="1" s="1"/>
  <c r="AN945" i="1"/>
  <c r="Q1025" i="1"/>
  <c r="R1025" i="1"/>
  <c r="S1024" i="1"/>
  <c r="P1021" i="1"/>
  <c r="P1022" i="1" s="1"/>
  <c r="S1025" i="1"/>
  <c r="S1018" i="1"/>
  <c r="T1017" i="1"/>
  <c r="T1029" i="1" s="1"/>
  <c r="U1017" i="1"/>
  <c r="U1029" i="1" s="1"/>
  <c r="V1018" i="1"/>
  <c r="Q1020" i="1"/>
  <c r="Q1030" i="1" s="1"/>
  <c r="R1020" i="1"/>
  <c r="R1030" i="1" s="1"/>
  <c r="V1020" i="1"/>
  <c r="BR469" i="1" l="1"/>
  <c r="BI501" i="1"/>
  <c r="BJ462" i="1"/>
  <c r="BI423" i="1"/>
  <c r="BJ529" i="1"/>
  <c r="BM412" i="1"/>
  <c r="BK501" i="1"/>
  <c r="BL501" i="1" s="1"/>
  <c r="BN384" i="1"/>
  <c r="BK462" i="1"/>
  <c r="BL384" i="1"/>
  <c r="BI462" i="1"/>
  <c r="BP384" i="1"/>
  <c r="BM501" i="1"/>
  <c r="BK412" i="1"/>
  <c r="BL412" i="1" s="1"/>
  <c r="BH529" i="1"/>
  <c r="AZ923" i="1"/>
  <c r="AW944" i="1"/>
  <c r="BC881" i="1"/>
  <c r="AQ945" i="1"/>
  <c r="AT945" i="1"/>
  <c r="AV935" i="1"/>
  <c r="AV945" i="1" s="1"/>
  <c r="AU935" i="1"/>
  <c r="AU945" i="1" s="1"/>
  <c r="BH816" i="1"/>
  <c r="BH817" i="1"/>
  <c r="AP1071" i="1"/>
  <c r="BD816" i="1"/>
  <c r="BF815" i="1"/>
  <c r="BD817" i="1"/>
  <c r="BD820" i="1" s="1"/>
  <c r="AW986" i="1"/>
  <c r="AO1050" i="1"/>
  <c r="BL818" i="1"/>
  <c r="BB911" i="1"/>
  <c r="BB923" i="1" s="1"/>
  <c r="BA911" i="1"/>
  <c r="BA923" i="1" s="1"/>
  <c r="BF911" i="1"/>
  <c r="AT1017" i="1"/>
  <c r="AQ1025" i="1"/>
  <c r="AP1017" i="1"/>
  <c r="AO1017" i="1"/>
  <c r="BL807" i="1"/>
  <c r="BL808" i="1" s="1"/>
  <c r="BJ810" i="1"/>
  <c r="BI819" i="1"/>
  <c r="AO1071" i="1"/>
  <c r="BE816" i="1"/>
  <c r="BE817" i="1"/>
  <c r="BE820" i="1" s="1"/>
  <c r="BC953" i="1"/>
  <c r="AY953" i="1"/>
  <c r="AX953" i="1"/>
  <c r="BC974" i="1"/>
  <c r="AY974" i="1"/>
  <c r="AY986" i="1" s="1"/>
  <c r="AX974" i="1"/>
  <c r="AX986" i="1" s="1"/>
  <c r="BQ806" i="1"/>
  <c r="BQ818" i="1" s="1"/>
  <c r="BN818" i="1"/>
  <c r="AP1050" i="1"/>
  <c r="BC995" i="1"/>
  <c r="AX995" i="1"/>
  <c r="AY995" i="1"/>
  <c r="BN809" i="1"/>
  <c r="BK819" i="1"/>
  <c r="BD869" i="1"/>
  <c r="BD881" i="1" s="1"/>
  <c r="BI869" i="1"/>
  <c r="BE869" i="1"/>
  <c r="BE881" i="1" s="1"/>
  <c r="AW1059" i="1"/>
  <c r="AR1059" i="1"/>
  <c r="AR1071" i="1" s="1"/>
  <c r="AS1059" i="1"/>
  <c r="AS1071" i="1" s="1"/>
  <c r="AZ935" i="1"/>
  <c r="AY932" i="1"/>
  <c r="AY944" i="1" s="1"/>
  <c r="BC932" i="1"/>
  <c r="AX932" i="1"/>
  <c r="AX944" i="1" s="1"/>
  <c r="BK810" i="1"/>
  <c r="AW1038" i="1"/>
  <c r="AR1038" i="1"/>
  <c r="AR1050" i="1" s="1"/>
  <c r="AS1038" i="1"/>
  <c r="AS1050" i="1" s="1"/>
  <c r="BO806" i="1"/>
  <c r="BP806" i="1"/>
  <c r="BM818" i="1"/>
  <c r="BP808" i="1"/>
  <c r="BM807" i="1"/>
  <c r="BR813" i="1"/>
  <c r="BM809" i="1"/>
  <c r="BL809" i="1"/>
  <c r="BJ819" i="1"/>
  <c r="BL827" i="1"/>
  <c r="BG827" i="1"/>
  <c r="BG839" i="1" s="1"/>
  <c r="BH827" i="1"/>
  <c r="BH839" i="1" s="1"/>
  <c r="BF839" i="1"/>
  <c r="BC816" i="1"/>
  <c r="BC817" i="1"/>
  <c r="BI810" i="1"/>
  <c r="BI811" i="1" s="1"/>
  <c r="BG811" i="1"/>
  <c r="BG815" i="1"/>
  <c r="BN807" i="1"/>
  <c r="BQ808" i="1"/>
  <c r="AH1029" i="1"/>
  <c r="AN1071" i="1"/>
  <c r="AL1017" i="1"/>
  <c r="AM1017" i="1"/>
  <c r="AN1025" i="1"/>
  <c r="AI1029" i="1"/>
  <c r="AI1025" i="1"/>
  <c r="AA1018" i="1"/>
  <c r="Z1018" i="1"/>
  <c r="AN1050" i="1"/>
  <c r="AJ1025" i="1"/>
  <c r="AJ1029" i="1"/>
  <c r="AE1018" i="1"/>
  <c r="AH1019" i="1"/>
  <c r="S1030" i="1"/>
  <c r="S1029" i="1"/>
  <c r="V1029" i="1"/>
  <c r="P1026" i="1"/>
  <c r="T1025" i="1"/>
  <c r="U1025" i="1"/>
  <c r="U1024" i="1"/>
  <c r="X1017" i="1"/>
  <c r="Y1018" i="1"/>
  <c r="W1017" i="1"/>
  <c r="U1020" i="1"/>
  <c r="U1030" i="1" s="1"/>
  <c r="Y1020" i="1"/>
  <c r="AB1020" i="1" s="1"/>
  <c r="T1020" i="1"/>
  <c r="T1030" i="1" s="1"/>
  <c r="U1018" i="1"/>
  <c r="T1018" i="1"/>
  <c r="Q1018" i="1"/>
  <c r="R1018" i="1"/>
  <c r="BP807" i="1" l="1"/>
  <c r="BI529" i="1"/>
  <c r="BM462" i="1"/>
  <c r="BN412" i="1"/>
  <c r="BK529" i="1"/>
  <c r="BL529" i="1" s="1"/>
  <c r="BP501" i="1"/>
  <c r="BP412" i="1"/>
  <c r="BM529" i="1"/>
  <c r="BN810" i="1"/>
  <c r="BN815" i="1" s="1"/>
  <c r="BQ384" i="1"/>
  <c r="BR384" i="1" s="1"/>
  <c r="BN501" i="1"/>
  <c r="BN462" i="1"/>
  <c r="BL423" i="1"/>
  <c r="BO384" i="1"/>
  <c r="BL462" i="1"/>
  <c r="BC923" i="1"/>
  <c r="AZ986" i="1"/>
  <c r="BI839" i="1"/>
  <c r="AW945" i="1"/>
  <c r="BL819" i="1"/>
  <c r="BG816" i="1"/>
  <c r="BI815" i="1"/>
  <c r="BG817" i="1"/>
  <c r="BG820" i="1" s="1"/>
  <c r="BR806" i="1"/>
  <c r="BP818" i="1"/>
  <c r="BK811" i="1"/>
  <c r="BK815" i="1"/>
  <c r="AY935" i="1"/>
  <c r="AY945" i="1" s="1"/>
  <c r="AX935" i="1"/>
  <c r="AX945" i="1" s="1"/>
  <c r="AU1059" i="1"/>
  <c r="AU1071" i="1" s="1"/>
  <c r="AZ1059" i="1"/>
  <c r="AV1059" i="1"/>
  <c r="AV1071" i="1" s="1"/>
  <c r="BG869" i="1"/>
  <c r="BG881" i="1" s="1"/>
  <c r="BL869" i="1"/>
  <c r="BH869" i="1"/>
  <c r="BH881" i="1" s="1"/>
  <c r="BJ811" i="1"/>
  <c r="BL810" i="1"/>
  <c r="BL811" i="1" s="1"/>
  <c r="BJ815" i="1"/>
  <c r="BO827" i="1"/>
  <c r="BJ827" i="1"/>
  <c r="BJ839" i="1" s="1"/>
  <c r="BK827" i="1"/>
  <c r="BK839" i="1" s="1"/>
  <c r="BQ807" i="1"/>
  <c r="BM810" i="1"/>
  <c r="BO807" i="1"/>
  <c r="BO808" i="1" s="1"/>
  <c r="AV1038" i="1"/>
  <c r="AV1050" i="1" s="1"/>
  <c r="AZ1038" i="1"/>
  <c r="AU1038" i="1"/>
  <c r="AU1050" i="1" s="1"/>
  <c r="BF881" i="1"/>
  <c r="BF974" i="1"/>
  <c r="BB974" i="1"/>
  <c r="BB986" i="1" s="1"/>
  <c r="BA974" i="1"/>
  <c r="BA986" i="1" s="1"/>
  <c r="BB953" i="1"/>
  <c r="BA953" i="1"/>
  <c r="BF953" i="1"/>
  <c r="AQ1071" i="1"/>
  <c r="AW1017" i="1"/>
  <c r="AR1017" i="1"/>
  <c r="AS1017" i="1"/>
  <c r="AT1025" i="1"/>
  <c r="AQ1050" i="1"/>
  <c r="BN811" i="1"/>
  <c r="BP809" i="1"/>
  <c r="BO809" i="1"/>
  <c r="BM819" i="1"/>
  <c r="AO1025" i="1"/>
  <c r="AO1029" i="1"/>
  <c r="BC935" i="1"/>
  <c r="BA932" i="1"/>
  <c r="BA944" i="1" s="1"/>
  <c r="BF932" i="1"/>
  <c r="BB932" i="1"/>
  <c r="BB944" i="1" s="1"/>
  <c r="BF995" i="1"/>
  <c r="BA995" i="1"/>
  <c r="BB995" i="1"/>
  <c r="BO818" i="1"/>
  <c r="AT1050" i="1"/>
  <c r="AZ944" i="1"/>
  <c r="AT1071" i="1"/>
  <c r="BQ809" i="1"/>
  <c r="BQ819" i="1" s="1"/>
  <c r="BN819" i="1"/>
  <c r="BF820" i="1"/>
  <c r="AP1029" i="1"/>
  <c r="AP1025" i="1"/>
  <c r="BI911" i="1"/>
  <c r="BE911" i="1"/>
  <c r="BE923" i="1" s="1"/>
  <c r="BD911" i="1"/>
  <c r="BD923" i="1" s="1"/>
  <c r="BF816" i="1"/>
  <c r="BF817" i="1"/>
  <c r="BH820" i="1"/>
  <c r="AD1018" i="1"/>
  <c r="AC1018" i="1"/>
  <c r="Z1019" i="1"/>
  <c r="AA1019" i="1"/>
  <c r="AM1029" i="1"/>
  <c r="AM1025" i="1"/>
  <c r="AL1029" i="1"/>
  <c r="AL1025" i="1"/>
  <c r="W1029" i="1"/>
  <c r="Z1029" i="1"/>
  <c r="AA1020" i="1"/>
  <c r="AA1021" i="1" s="1"/>
  <c r="AA1022" i="1" s="1"/>
  <c r="Z1020" i="1"/>
  <c r="Z1021" i="1" s="1"/>
  <c r="AE1020" i="1"/>
  <c r="X1029" i="1"/>
  <c r="AA1029" i="1"/>
  <c r="AK1019" i="1"/>
  <c r="AH1018" i="1"/>
  <c r="AK1029" i="1"/>
  <c r="P1027" i="1"/>
  <c r="P1028" i="1"/>
  <c r="V1030" i="1"/>
  <c r="X1024" i="1"/>
  <c r="AA1024" i="1" s="1"/>
  <c r="W1025" i="1"/>
  <c r="X1025" i="1"/>
  <c r="T1024" i="1"/>
  <c r="R1019" i="1"/>
  <c r="R1021" i="1"/>
  <c r="T1019" i="1"/>
  <c r="T1021" i="1"/>
  <c r="W1018" i="1"/>
  <c r="X1018" i="1"/>
  <c r="Q1019" i="1"/>
  <c r="Q1021" i="1"/>
  <c r="Q1026" i="1" s="1"/>
  <c r="Q1031" i="1" s="1"/>
  <c r="U1019" i="1"/>
  <c r="U1021" i="1"/>
  <c r="W1020" i="1"/>
  <c r="W1030" i="1" s="1"/>
  <c r="X1020" i="1"/>
  <c r="X1030" i="1" s="1"/>
  <c r="G1080" i="1"/>
  <c r="G1065" i="1"/>
  <c r="Q980" i="1"/>
  <c r="Q981" i="1" s="1"/>
  <c r="Q998" i="1"/>
  <c r="Q977" i="1"/>
  <c r="H1041" i="1"/>
  <c r="L1041" i="1" s="1"/>
  <c r="BP462" i="1" l="1"/>
  <c r="BQ412" i="1"/>
  <c r="BQ529" i="1" s="1"/>
  <c r="BN529" i="1"/>
  <c r="BP529" i="1"/>
  <c r="BO423" i="1"/>
  <c r="AW1071" i="1"/>
  <c r="BQ462" i="1"/>
  <c r="BQ501" i="1"/>
  <c r="BO501" i="1"/>
  <c r="BO412" i="1"/>
  <c r="BO462" i="1"/>
  <c r="BO819" i="1"/>
  <c r="BL839" i="1"/>
  <c r="BI820" i="1"/>
  <c r="BI881" i="1"/>
  <c r="BC986" i="1"/>
  <c r="BL911" i="1"/>
  <c r="BH911" i="1"/>
  <c r="BH923" i="1" s="1"/>
  <c r="BG911" i="1"/>
  <c r="BG923" i="1" s="1"/>
  <c r="BI995" i="1"/>
  <c r="BD995" i="1"/>
  <c r="BE995" i="1"/>
  <c r="BR809" i="1"/>
  <c r="BP819" i="1"/>
  <c r="BR819" i="1" s="1"/>
  <c r="AU1017" i="1"/>
  <c r="AW1025" i="1"/>
  <c r="AZ1017" i="1"/>
  <c r="AV1017" i="1"/>
  <c r="BO869" i="1"/>
  <c r="BJ869" i="1"/>
  <c r="BJ881" i="1" s="1"/>
  <c r="BK869" i="1"/>
  <c r="BK881" i="1" s="1"/>
  <c r="BC1059" i="1"/>
  <c r="AX1059" i="1"/>
  <c r="AX1071" i="1" s="1"/>
  <c r="AY1059" i="1"/>
  <c r="AY1071" i="1" s="1"/>
  <c r="BR818" i="1"/>
  <c r="BI816" i="1"/>
  <c r="BI817" i="1"/>
  <c r="BB935" i="1"/>
  <c r="BB945" i="1" s="1"/>
  <c r="BA935" i="1"/>
  <c r="BA945" i="1" s="1"/>
  <c r="BN816" i="1"/>
  <c r="BN817" i="1"/>
  <c r="BI974" i="1"/>
  <c r="BE974" i="1"/>
  <c r="BE986" i="1" s="1"/>
  <c r="BD974" i="1"/>
  <c r="BD986" i="1" s="1"/>
  <c r="BQ810" i="1"/>
  <c r="BR827" i="1"/>
  <c r="BM827" i="1"/>
  <c r="BM839" i="1" s="1"/>
  <c r="BN827" i="1"/>
  <c r="BN839" i="1" s="1"/>
  <c r="AZ945" i="1"/>
  <c r="BC944" i="1"/>
  <c r="AS1025" i="1"/>
  <c r="AS1029" i="1"/>
  <c r="BC1038" i="1"/>
  <c r="AX1038" i="1"/>
  <c r="AX1050" i="1" s="1"/>
  <c r="AY1038" i="1"/>
  <c r="AY1050" i="1" s="1"/>
  <c r="BO810" i="1"/>
  <c r="BO811" i="1" s="1"/>
  <c r="BM811" i="1"/>
  <c r="BM815" i="1"/>
  <c r="BK816" i="1"/>
  <c r="BK817" i="1"/>
  <c r="BK820" i="1" s="1"/>
  <c r="BR807" i="1"/>
  <c r="BR808" i="1" s="1"/>
  <c r="BF923" i="1"/>
  <c r="BF935" i="1"/>
  <c r="BE932" i="1"/>
  <c r="BE944" i="1" s="1"/>
  <c r="BD932" i="1"/>
  <c r="BD944" i="1" s="1"/>
  <c r="BI932" i="1"/>
  <c r="AQ1029" i="1"/>
  <c r="AR1029" i="1"/>
  <c r="AR1025" i="1"/>
  <c r="BE953" i="1"/>
  <c r="BD953" i="1"/>
  <c r="BI953" i="1"/>
  <c r="AW1050" i="1"/>
  <c r="BL815" i="1"/>
  <c r="BJ816" i="1"/>
  <c r="BJ817" i="1"/>
  <c r="BJ820" i="1" s="1"/>
  <c r="BP810" i="1"/>
  <c r="Y1029" i="1"/>
  <c r="AB1029" i="1"/>
  <c r="AB1021" i="1"/>
  <c r="AB1022" i="1" s="1"/>
  <c r="Z1022" i="1"/>
  <c r="AF1018" i="1"/>
  <c r="AG1018" i="1"/>
  <c r="AH1020" i="1"/>
  <c r="AD1020" i="1"/>
  <c r="AD1030" i="1" s="1"/>
  <c r="AC1020" i="1"/>
  <c r="AC1030" i="1" s="1"/>
  <c r="AN1019" i="1"/>
  <c r="AK1018" i="1"/>
  <c r="Z1030" i="1"/>
  <c r="AC1019" i="1"/>
  <c r="AD1024" i="1"/>
  <c r="AA1026" i="1"/>
  <c r="AA1030" i="1"/>
  <c r="AN1029" i="1"/>
  <c r="AD1019" i="1"/>
  <c r="M1041" i="1"/>
  <c r="P1041" i="1" s="1"/>
  <c r="L1051" i="1"/>
  <c r="M1051" i="1" s="1"/>
  <c r="Q1028" i="1"/>
  <c r="Y1030" i="1"/>
  <c r="Q999" i="1"/>
  <c r="Q1008" i="1"/>
  <c r="S1008" i="1" s="1"/>
  <c r="Q978" i="1"/>
  <c r="Q983" i="1" s="1"/>
  <c r="Q987" i="1"/>
  <c r="R1026" i="1"/>
  <c r="V1024" i="1"/>
  <c r="T1026" i="1"/>
  <c r="U1026" i="1"/>
  <c r="P1080" i="1"/>
  <c r="S1080" i="1" s="1"/>
  <c r="V1080" i="1" s="1"/>
  <c r="Y1080" i="1" s="1"/>
  <c r="L1080" i="1"/>
  <c r="L1092" i="1" s="1"/>
  <c r="L713" i="1" s="1"/>
  <c r="K1080" i="1"/>
  <c r="K1092" i="1" s="1"/>
  <c r="K713" i="1" s="1"/>
  <c r="U1022" i="1"/>
  <c r="Q1022" i="1"/>
  <c r="S1021" i="1"/>
  <c r="X1019" i="1"/>
  <c r="X1021" i="1"/>
  <c r="V1021" i="1"/>
  <c r="T1022" i="1"/>
  <c r="R1022" i="1"/>
  <c r="W1019" i="1"/>
  <c r="W1021" i="1"/>
  <c r="V220" i="1"/>
  <c r="V211" i="1"/>
  <c r="V205" i="1"/>
  <c r="V196" i="1"/>
  <c r="Y220" i="1"/>
  <c r="Y211" i="1"/>
  <c r="Y205" i="1"/>
  <c r="Y196" i="1"/>
  <c r="AB220" i="1"/>
  <c r="AB211" i="1"/>
  <c r="AB205" i="1"/>
  <c r="AB196" i="1"/>
  <c r="V183" i="1"/>
  <c r="T183" i="1"/>
  <c r="Y183" i="1"/>
  <c r="W183" i="1"/>
  <c r="AB183" i="1"/>
  <c r="Z183" i="1"/>
  <c r="V193" i="1"/>
  <c r="T193" i="1"/>
  <c r="T192" i="1"/>
  <c r="V190" i="1"/>
  <c r="T189" i="1"/>
  <c r="T187" i="1"/>
  <c r="V185" i="1"/>
  <c r="V186" i="1" s="1"/>
  <c r="Y193" i="1"/>
  <c r="W193" i="1"/>
  <c r="Y190" i="1"/>
  <c r="Y185" i="1"/>
  <c r="Y186" i="1" s="1"/>
  <c r="AB193" i="1"/>
  <c r="Z193" i="1"/>
  <c r="AB190" i="1"/>
  <c r="AB185" i="1"/>
  <c r="AB186" i="1" s="1"/>
  <c r="BR412" i="1" l="1"/>
  <c r="BR462" i="1"/>
  <c r="BR501" i="1"/>
  <c r="BO529" i="1"/>
  <c r="BR529" i="1"/>
  <c r="BR423" i="1"/>
  <c r="AZ1071" i="1"/>
  <c r="BC945" i="1"/>
  <c r="BL881" i="1"/>
  <c r="BF944" i="1"/>
  <c r="BI923" i="1"/>
  <c r="AT1029" i="1"/>
  <c r="AZ1050" i="1"/>
  <c r="BL816" i="1"/>
  <c r="BL817" i="1"/>
  <c r="BO839" i="1"/>
  <c r="AU1029" i="1"/>
  <c r="AU1025" i="1"/>
  <c r="BP811" i="1"/>
  <c r="BR810" i="1"/>
  <c r="BR811" i="1" s="1"/>
  <c r="BP815" i="1"/>
  <c r="BE935" i="1"/>
  <c r="BE945" i="1" s="1"/>
  <c r="BD935" i="1"/>
  <c r="BD945" i="1" s="1"/>
  <c r="BI935" i="1"/>
  <c r="BO815" i="1"/>
  <c r="BM816" i="1"/>
  <c r="BM817" i="1"/>
  <c r="BM820" i="1" s="1"/>
  <c r="BP827" i="1"/>
  <c r="BP839" i="1" s="1"/>
  <c r="BQ827" i="1"/>
  <c r="BQ839" i="1" s="1"/>
  <c r="BF986" i="1"/>
  <c r="BN820" i="1"/>
  <c r="BF1059" i="1"/>
  <c r="BA1059" i="1"/>
  <c r="BA1071" i="1" s="1"/>
  <c r="BB1059" i="1"/>
  <c r="BB1071" i="1" s="1"/>
  <c r="BM869" i="1"/>
  <c r="BM881" i="1" s="1"/>
  <c r="BR869" i="1"/>
  <c r="BN869" i="1"/>
  <c r="BN881" i="1" s="1"/>
  <c r="AV1025" i="1"/>
  <c r="AV1029" i="1"/>
  <c r="BL995" i="1"/>
  <c r="BH995" i="1"/>
  <c r="BG995" i="1"/>
  <c r="AD1021" i="1"/>
  <c r="AD1022" i="1" s="1"/>
  <c r="BL953" i="1"/>
  <c r="BG953" i="1"/>
  <c r="BH953" i="1"/>
  <c r="BL932" i="1"/>
  <c r="BG932" i="1"/>
  <c r="BG944" i="1" s="1"/>
  <c r="BH932" i="1"/>
  <c r="BH944" i="1" s="1"/>
  <c r="BL820" i="1"/>
  <c r="BL974" i="1"/>
  <c r="BG974" i="1"/>
  <c r="BG986" i="1" s="1"/>
  <c r="BH974" i="1"/>
  <c r="BH986" i="1" s="1"/>
  <c r="BC1017" i="1"/>
  <c r="AY1017" i="1"/>
  <c r="AX1017" i="1"/>
  <c r="AZ1025" i="1"/>
  <c r="BO911" i="1"/>
  <c r="BK911" i="1"/>
  <c r="BK923" i="1" s="1"/>
  <c r="BJ911" i="1"/>
  <c r="BJ923" i="1" s="1"/>
  <c r="AN1018" i="1"/>
  <c r="AM1018" i="1" s="1"/>
  <c r="AQ1019" i="1"/>
  <c r="BF1038" i="1"/>
  <c r="BA1038" i="1"/>
  <c r="BA1050" i="1" s="1"/>
  <c r="BB1038" i="1"/>
  <c r="BB1050" i="1" s="1"/>
  <c r="BQ811" i="1"/>
  <c r="BQ815" i="1"/>
  <c r="AC1021" i="1"/>
  <c r="AE1030" i="1"/>
  <c r="AG1019" i="1"/>
  <c r="AB1080" i="1"/>
  <c r="W1080" i="1"/>
  <c r="X1080" i="1"/>
  <c r="AF1019" i="1"/>
  <c r="AA1027" i="1"/>
  <c r="AA1028" i="1"/>
  <c r="AB1030" i="1"/>
  <c r="AG1024" i="1"/>
  <c r="AJ1018" i="1"/>
  <c r="AI1018" i="1"/>
  <c r="AG1020" i="1"/>
  <c r="AG1030" i="1" s="1"/>
  <c r="AK1020" i="1"/>
  <c r="AF1020" i="1"/>
  <c r="AF1030" i="1" s="1"/>
  <c r="M1092" i="1"/>
  <c r="M713" i="1" s="1"/>
  <c r="U1028" i="1"/>
  <c r="U1031" i="1"/>
  <c r="T1028" i="1"/>
  <c r="T1031" i="1"/>
  <c r="R1028" i="1"/>
  <c r="R1031" i="1"/>
  <c r="S1031" i="1" s="1"/>
  <c r="Q988" i="1"/>
  <c r="S988" i="1" s="1"/>
  <c r="Q985" i="1"/>
  <c r="S987" i="1"/>
  <c r="Q984" i="1"/>
  <c r="K1087" i="1"/>
  <c r="M1080" i="1"/>
  <c r="L1087" i="1"/>
  <c r="T1027" i="1"/>
  <c r="U1027" i="1"/>
  <c r="R1027" i="1"/>
  <c r="Q1027" i="1"/>
  <c r="W1024" i="1"/>
  <c r="W1022" i="1"/>
  <c r="Y1021" i="1"/>
  <c r="V1022" i="1"/>
  <c r="V1026" i="1"/>
  <c r="V1028" i="1" s="1"/>
  <c r="S1022" i="1"/>
  <c r="S1026" i="1"/>
  <c r="S1028" i="1" s="1"/>
  <c r="X1022" i="1"/>
  <c r="X1026" i="1"/>
  <c r="AA1031" i="1" s="1"/>
  <c r="T191" i="1"/>
  <c r="BO820" i="1" l="1"/>
  <c r="AE1021" i="1"/>
  <c r="AE1022" i="1" s="1"/>
  <c r="AD1026" i="1"/>
  <c r="AD1028" i="1" s="1"/>
  <c r="AL1018" i="1"/>
  <c r="AL1019" i="1" s="1"/>
  <c r="BI986" i="1"/>
  <c r="BI944" i="1"/>
  <c r="AW1029" i="1"/>
  <c r="BC1050" i="1"/>
  <c r="BO974" i="1"/>
  <c r="BJ974" i="1"/>
  <c r="BJ986" i="1" s="1"/>
  <c r="BK974" i="1"/>
  <c r="BK986" i="1" s="1"/>
  <c r="BJ932" i="1"/>
  <c r="BJ944" i="1" s="1"/>
  <c r="BO932" i="1"/>
  <c r="BK932" i="1"/>
  <c r="BK944" i="1" s="1"/>
  <c r="BO953" i="1"/>
  <c r="BJ953" i="1"/>
  <c r="BK953" i="1"/>
  <c r="BI1059" i="1"/>
  <c r="BD1059" i="1"/>
  <c r="BD1071" i="1" s="1"/>
  <c r="BE1059" i="1"/>
  <c r="BE1071" i="1" s="1"/>
  <c r="BI1038" i="1"/>
  <c r="BD1038" i="1"/>
  <c r="BD1050" i="1" s="1"/>
  <c r="BE1038" i="1"/>
  <c r="BE1050" i="1" s="1"/>
  <c r="AT1019" i="1"/>
  <c r="AQ1018" i="1"/>
  <c r="BL923" i="1"/>
  <c r="AX1029" i="1"/>
  <c r="AX1025" i="1"/>
  <c r="BJ995" i="1"/>
  <c r="BO995" i="1"/>
  <c r="BK995" i="1"/>
  <c r="BR839" i="1"/>
  <c r="BL935" i="1"/>
  <c r="BG935" i="1"/>
  <c r="BG945" i="1" s="1"/>
  <c r="BH935" i="1"/>
  <c r="BH945" i="1" s="1"/>
  <c r="BQ816" i="1"/>
  <c r="BQ817" i="1"/>
  <c r="BQ820" i="1" s="1"/>
  <c r="BM911" i="1"/>
  <c r="BM923" i="1" s="1"/>
  <c r="BR911" i="1"/>
  <c r="BN911" i="1"/>
  <c r="BN923" i="1" s="1"/>
  <c r="AY1025" i="1"/>
  <c r="AY1029" i="1"/>
  <c r="BP869" i="1"/>
  <c r="BP881" i="1" s="1"/>
  <c r="BQ869" i="1"/>
  <c r="BQ881" i="1" s="1"/>
  <c r="BC1071" i="1"/>
  <c r="BA1017" i="1"/>
  <c r="BB1017" i="1"/>
  <c r="BF1017" i="1"/>
  <c r="BC1025" i="1"/>
  <c r="BO881" i="1"/>
  <c r="BF945" i="1"/>
  <c r="BO816" i="1"/>
  <c r="BO817" i="1"/>
  <c r="BR815" i="1"/>
  <c r="BP816" i="1"/>
  <c r="BP817" i="1"/>
  <c r="BP820" i="1" s="1"/>
  <c r="AH1030" i="1"/>
  <c r="AC1022" i="1"/>
  <c r="AJ1019" i="1"/>
  <c r="Z1080" i="1"/>
  <c r="AE1080" i="1"/>
  <c r="AA1080" i="1"/>
  <c r="AN1020" i="1"/>
  <c r="AQ1020" i="1" s="1"/>
  <c r="AJ1020" i="1"/>
  <c r="AJ1030" i="1" s="1"/>
  <c r="AI1020" i="1"/>
  <c r="AI1030" i="1" s="1"/>
  <c r="AM1019" i="1"/>
  <c r="AJ1024" i="1"/>
  <c r="Y1024" i="1"/>
  <c r="Y1026" i="1" s="1"/>
  <c r="Z1024" i="1"/>
  <c r="AI1019" i="1"/>
  <c r="AF1021" i="1"/>
  <c r="AG1021" i="1"/>
  <c r="AG1022" i="1" s="1"/>
  <c r="V1031" i="1"/>
  <c r="X1031" i="1"/>
  <c r="X1028" i="1"/>
  <c r="X1027" i="1"/>
  <c r="S1027" i="1"/>
  <c r="V1027" i="1"/>
  <c r="W1026" i="1"/>
  <c r="Y1022" i="1"/>
  <c r="T102" i="1"/>
  <c r="V65" i="1"/>
  <c r="Y65" i="1"/>
  <c r="W65" i="1"/>
  <c r="Z65" i="1"/>
  <c r="AA67" i="1"/>
  <c r="AD1027" i="1" l="1"/>
  <c r="AD1031" i="1"/>
  <c r="BF1071" i="1"/>
  <c r="BF1050" i="1"/>
  <c r="AZ1029" i="1"/>
  <c r="BL944" i="1"/>
  <c r="BB1025" i="1"/>
  <c r="BB1029" i="1"/>
  <c r="BI945" i="1"/>
  <c r="AT1018" i="1"/>
  <c r="AW1019" i="1"/>
  <c r="BH1038" i="1"/>
  <c r="BH1050" i="1" s="1"/>
  <c r="BL1038" i="1"/>
  <c r="BG1038" i="1"/>
  <c r="BG1050" i="1" s="1"/>
  <c r="BL986" i="1"/>
  <c r="BR816" i="1"/>
  <c r="BR817" i="1"/>
  <c r="BA1025" i="1"/>
  <c r="BA1029" i="1"/>
  <c r="BR995" i="1"/>
  <c r="BM995" i="1"/>
  <c r="BN995" i="1"/>
  <c r="BR881" i="1"/>
  <c r="BO923" i="1"/>
  <c r="BR820" i="1"/>
  <c r="BK935" i="1"/>
  <c r="BK945" i="1" s="1"/>
  <c r="BJ935" i="1"/>
  <c r="BJ945" i="1" s="1"/>
  <c r="BO935" i="1"/>
  <c r="BL1059" i="1"/>
  <c r="BH1059" i="1"/>
  <c r="BH1071" i="1" s="1"/>
  <c r="BG1059" i="1"/>
  <c r="BG1071" i="1" s="1"/>
  <c r="BR953" i="1"/>
  <c r="BM953" i="1"/>
  <c r="BN953" i="1"/>
  <c r="BM932" i="1"/>
  <c r="BM944" i="1" s="1"/>
  <c r="BR932" i="1"/>
  <c r="BN932" i="1"/>
  <c r="BN944" i="1" s="1"/>
  <c r="BR974" i="1"/>
  <c r="BM974" i="1"/>
  <c r="BM986" i="1" s="1"/>
  <c r="BN974" i="1"/>
  <c r="BN986" i="1" s="1"/>
  <c r="AO1020" i="1"/>
  <c r="AP1020" i="1"/>
  <c r="AT1020" i="1"/>
  <c r="BD1017" i="1"/>
  <c r="BI1017" i="1"/>
  <c r="BE1017" i="1"/>
  <c r="BF1025" i="1"/>
  <c r="BP911" i="1"/>
  <c r="BP923" i="1" s="1"/>
  <c r="BQ911" i="1"/>
  <c r="BQ923" i="1" s="1"/>
  <c r="AP1018" i="1"/>
  <c r="AO1018" i="1"/>
  <c r="AK1030" i="1"/>
  <c r="AG1026" i="1"/>
  <c r="AB1024" i="1"/>
  <c r="AB1026" i="1" s="1"/>
  <c r="AC1024" i="1"/>
  <c r="Z1026" i="1"/>
  <c r="AM1024" i="1"/>
  <c r="AP1024" i="1" s="1"/>
  <c r="AF1022" i="1"/>
  <c r="AH1021" i="1"/>
  <c r="AH1022" i="1" s="1"/>
  <c r="AM1020" i="1"/>
  <c r="AL1020" i="1"/>
  <c r="AJ1021" i="1"/>
  <c r="AJ1022" i="1" s="1"/>
  <c r="AI1021" i="1"/>
  <c r="AH1080" i="1"/>
  <c r="AD1080" i="1"/>
  <c r="AC1080" i="1"/>
  <c r="Y1027" i="1"/>
  <c r="Y1028" i="1"/>
  <c r="W1028" i="1"/>
  <c r="W1031" i="1"/>
  <c r="Y1031" i="1" s="1"/>
  <c r="W1027" i="1"/>
  <c r="BO986" i="1" l="1"/>
  <c r="BI1071" i="1"/>
  <c r="BO944" i="1"/>
  <c r="BR923" i="1"/>
  <c r="AP1021" i="1"/>
  <c r="AP1022" i="1" s="1"/>
  <c r="AP1019" i="1"/>
  <c r="BL945" i="1"/>
  <c r="BI1050" i="1"/>
  <c r="AS1018" i="1"/>
  <c r="AR1018" i="1"/>
  <c r="AS1024" i="1"/>
  <c r="BE1025" i="1"/>
  <c r="BE1029" i="1"/>
  <c r="AW1020" i="1"/>
  <c r="AS1020" i="1"/>
  <c r="AS1030" i="1" s="1"/>
  <c r="AR1020" i="1"/>
  <c r="AR1030" i="1" s="1"/>
  <c r="BP995" i="1"/>
  <c r="BQ995" i="1"/>
  <c r="BL1017" i="1"/>
  <c r="BG1017" i="1"/>
  <c r="BH1017" i="1"/>
  <c r="BI1025" i="1"/>
  <c r="AP1030" i="1"/>
  <c r="BQ974" i="1"/>
  <c r="BQ986" i="1" s="1"/>
  <c r="BP974" i="1"/>
  <c r="BP986" i="1" s="1"/>
  <c r="BR935" i="1"/>
  <c r="BP932" i="1"/>
  <c r="BP944" i="1" s="1"/>
  <c r="BQ932" i="1"/>
  <c r="BQ944" i="1" s="1"/>
  <c r="BP953" i="1"/>
  <c r="BQ953" i="1"/>
  <c r="BM935" i="1"/>
  <c r="BM945" i="1" s="1"/>
  <c r="BN935" i="1"/>
  <c r="BN945" i="1" s="1"/>
  <c r="BC1029" i="1"/>
  <c r="AO1021" i="1"/>
  <c r="AO1019" i="1"/>
  <c r="BD1025" i="1"/>
  <c r="BD1029" i="1"/>
  <c r="AO1030" i="1"/>
  <c r="BO1059" i="1"/>
  <c r="BJ1059" i="1"/>
  <c r="BJ1071" i="1" s="1"/>
  <c r="BK1059" i="1"/>
  <c r="BK1071" i="1" s="1"/>
  <c r="BO1038" i="1"/>
  <c r="BJ1038" i="1"/>
  <c r="BJ1050" i="1" s="1"/>
  <c r="BK1038" i="1"/>
  <c r="BK1050" i="1" s="1"/>
  <c r="AZ1019" i="1"/>
  <c r="AW1018" i="1"/>
  <c r="AJ1026" i="1"/>
  <c r="AJ1031" i="1" s="1"/>
  <c r="AF1024" i="1"/>
  <c r="AE1024" i="1"/>
  <c r="AE1026" i="1" s="1"/>
  <c r="AC1026" i="1"/>
  <c r="AL1030" i="1"/>
  <c r="AL1021" i="1"/>
  <c r="AB1027" i="1"/>
  <c r="AB1028" i="1"/>
  <c r="AM1030" i="1"/>
  <c r="AM1021" i="1"/>
  <c r="AM1022" i="1" s="1"/>
  <c r="AK1021" i="1"/>
  <c r="AK1022" i="1" s="1"/>
  <c r="AI1022" i="1"/>
  <c r="AK1080" i="1"/>
  <c r="AF1080" i="1"/>
  <c r="AG1080" i="1"/>
  <c r="Z1027" i="1"/>
  <c r="Z1028" i="1"/>
  <c r="Z1031" i="1"/>
  <c r="AB1031" i="1" s="1"/>
  <c r="AG1031" i="1"/>
  <c r="AG1027" i="1"/>
  <c r="AG1028" i="1"/>
  <c r="AH498" i="1"/>
  <c r="AH501" i="1"/>
  <c r="V170" i="1"/>
  <c r="AE84" i="1"/>
  <c r="V90" i="1"/>
  <c r="V87" i="1"/>
  <c r="V71" i="1"/>
  <c r="V84" i="1"/>
  <c r="Y84" i="1"/>
  <c r="BL1050" i="1" l="1"/>
  <c r="AJ1028" i="1"/>
  <c r="BR944" i="1"/>
  <c r="AQ1030" i="1"/>
  <c r="AP1026" i="1"/>
  <c r="AP1027" i="1" s="1"/>
  <c r="BL1071" i="1"/>
  <c r="BR986" i="1"/>
  <c r="AT1030" i="1"/>
  <c r="AZ1018" i="1"/>
  <c r="BC1019" i="1"/>
  <c r="BR1038" i="1"/>
  <c r="BM1038" i="1"/>
  <c r="BM1050" i="1" s="1"/>
  <c r="BN1038" i="1"/>
  <c r="BN1050" i="1" s="1"/>
  <c r="AQ1021" i="1"/>
  <c r="AQ1022" i="1" s="1"/>
  <c r="AO1022" i="1"/>
  <c r="AV1020" i="1"/>
  <c r="AV1030" i="1" s="1"/>
  <c r="AU1020" i="1"/>
  <c r="AU1030" i="1" s="1"/>
  <c r="AZ1020" i="1"/>
  <c r="AV1024" i="1"/>
  <c r="BH1025" i="1"/>
  <c r="BH1029" i="1"/>
  <c r="BF1029" i="1"/>
  <c r="AR1021" i="1"/>
  <c r="AR1019" i="1"/>
  <c r="BR1059" i="1"/>
  <c r="BM1059" i="1"/>
  <c r="BM1071" i="1" s="1"/>
  <c r="BN1059" i="1"/>
  <c r="BN1071" i="1" s="1"/>
  <c r="BG1025" i="1"/>
  <c r="BG1029" i="1"/>
  <c r="AS1019" i="1"/>
  <c r="AS1021" i="1"/>
  <c r="AS1022" i="1" s="1"/>
  <c r="AV1018" i="1"/>
  <c r="AU1018" i="1"/>
  <c r="BO945" i="1"/>
  <c r="BQ935" i="1"/>
  <c r="BQ945" i="1" s="1"/>
  <c r="BP935" i="1"/>
  <c r="BP945" i="1" s="1"/>
  <c r="BO1017" i="1"/>
  <c r="BJ1017" i="1"/>
  <c r="BK1017" i="1"/>
  <c r="BL1025" i="1"/>
  <c r="AP1028" i="1"/>
  <c r="AJ1027" i="1"/>
  <c r="AM1026" i="1"/>
  <c r="AM1027" i="1" s="1"/>
  <c r="AN1080" i="1"/>
  <c r="AQ1080" i="1" s="1"/>
  <c r="AJ1080" i="1"/>
  <c r="AI1080" i="1"/>
  <c r="AC1027" i="1"/>
  <c r="AC1031" i="1"/>
  <c r="AE1031" i="1" s="1"/>
  <c r="AC1028" i="1"/>
  <c r="AN1021" i="1"/>
  <c r="AN1022" i="1" s="1"/>
  <c r="AL1022" i="1"/>
  <c r="AE1027" i="1"/>
  <c r="AE1028" i="1"/>
  <c r="AN1030" i="1"/>
  <c r="AI1024" i="1"/>
  <c r="AH1024" i="1"/>
  <c r="AH1026" i="1" s="1"/>
  <c r="AF1026" i="1"/>
  <c r="Y605" i="1"/>
  <c r="AC1289" i="1"/>
  <c r="H1268" i="1"/>
  <c r="H1260" i="1"/>
  <c r="H1252" i="1"/>
  <c r="I1250" i="1"/>
  <c r="I1268" i="1" s="1"/>
  <c r="I1249" i="1"/>
  <c r="I1260" i="1" s="1"/>
  <c r="I1248" i="1"/>
  <c r="I1252" i="1" s="1"/>
  <c r="H1224" i="1"/>
  <c r="H1217" i="1"/>
  <c r="H1210" i="1"/>
  <c r="K1260" i="1"/>
  <c r="K1261" i="1" s="1"/>
  <c r="K1262" i="1" s="1"/>
  <c r="K1252" i="1"/>
  <c r="L1250" i="1"/>
  <c r="L1268" i="1" s="1"/>
  <c r="M1268" i="1" s="1"/>
  <c r="L1249" i="1"/>
  <c r="L1260" i="1" s="1"/>
  <c r="L1248" i="1"/>
  <c r="L1252" i="1" s="1"/>
  <c r="K1224" i="1"/>
  <c r="K1217" i="1"/>
  <c r="K1210" i="1"/>
  <c r="N1269" i="1"/>
  <c r="N1270" i="1" s="1"/>
  <c r="N1260" i="1"/>
  <c r="N1252" i="1"/>
  <c r="N1224" i="1"/>
  <c r="N1217" i="1"/>
  <c r="N1210" i="1"/>
  <c r="Q1224" i="1"/>
  <c r="Q1217" i="1"/>
  <c r="Q1210" i="1"/>
  <c r="T1224" i="1"/>
  <c r="T1217" i="1"/>
  <c r="T1210" i="1"/>
  <c r="W1224" i="1"/>
  <c r="W1217" i="1"/>
  <c r="W1210" i="1"/>
  <c r="O1250" i="1"/>
  <c r="O1268" i="1" s="1"/>
  <c r="P1268" i="1" s="1"/>
  <c r="O1249" i="1"/>
  <c r="O1260" i="1" s="1"/>
  <c r="O1248" i="1"/>
  <c r="O1252" i="1" s="1"/>
  <c r="AM1031" i="1" l="1"/>
  <c r="BO1071" i="1"/>
  <c r="BO1050" i="1"/>
  <c r="BK1025" i="1"/>
  <c r="BK1029" i="1"/>
  <c r="AV1019" i="1"/>
  <c r="AV1021" i="1"/>
  <c r="AV1022" i="1" s="1"/>
  <c r="BI1029" i="1"/>
  <c r="AY1024" i="1"/>
  <c r="BP1038" i="1"/>
  <c r="BP1050" i="1" s="1"/>
  <c r="BQ1038" i="1"/>
  <c r="BQ1050" i="1" s="1"/>
  <c r="AT1080" i="1"/>
  <c r="AO1080" i="1"/>
  <c r="AP1080" i="1"/>
  <c r="BJ1025" i="1"/>
  <c r="BJ1029" i="1"/>
  <c r="BR945" i="1"/>
  <c r="AT1021" i="1"/>
  <c r="AT1022" i="1" s="1"/>
  <c r="AR1022" i="1"/>
  <c r="AX1020" i="1"/>
  <c r="AX1030" i="1" s="1"/>
  <c r="AY1020" i="1"/>
  <c r="AY1030" i="1" s="1"/>
  <c r="BC1020" i="1"/>
  <c r="AP1031" i="1"/>
  <c r="BR1017" i="1"/>
  <c r="BO1025" i="1"/>
  <c r="BM1017" i="1"/>
  <c r="BN1017" i="1"/>
  <c r="BQ1059" i="1"/>
  <c r="BQ1071" i="1" s="1"/>
  <c r="BP1059" i="1"/>
  <c r="BP1071" i="1" s="1"/>
  <c r="BC1018" i="1"/>
  <c r="BF1019" i="1"/>
  <c r="AM1028" i="1"/>
  <c r="AU1019" i="1"/>
  <c r="AU1021" i="1"/>
  <c r="AS1026" i="1"/>
  <c r="AW1030" i="1"/>
  <c r="AX1018" i="1"/>
  <c r="AY1018" i="1"/>
  <c r="AF1027" i="1"/>
  <c r="AF1031" i="1"/>
  <c r="AH1031" i="1" s="1"/>
  <c r="AF1028" i="1"/>
  <c r="AH1027" i="1"/>
  <c r="AH1028" i="1"/>
  <c r="AL1024" i="1"/>
  <c r="AO1024" i="1" s="1"/>
  <c r="AK1024" i="1"/>
  <c r="AK1026" i="1" s="1"/>
  <c r="AI1026" i="1"/>
  <c r="AL1080" i="1"/>
  <c r="AM1080" i="1"/>
  <c r="O1261" i="1"/>
  <c r="O1262" i="1" s="1"/>
  <c r="O1269" i="1"/>
  <c r="O1270" i="1" s="1"/>
  <c r="L1261" i="1"/>
  <c r="L1262" i="1" s="1"/>
  <c r="K1269" i="1"/>
  <c r="K1270" i="1" s="1"/>
  <c r="N1225" i="1"/>
  <c r="N1226" i="1" s="1"/>
  <c r="N1253" i="1"/>
  <c r="N1254" i="1" s="1"/>
  <c r="K1218" i="1"/>
  <c r="K1219" i="1" s="1"/>
  <c r="L1269" i="1"/>
  <c r="L1270" i="1" s="1"/>
  <c r="W1225" i="1"/>
  <c r="W1226" i="1" s="1"/>
  <c r="Q1211" i="1"/>
  <c r="Q1212" i="1" s="1"/>
  <c r="O1253" i="1"/>
  <c r="O1254" i="1" s="1"/>
  <c r="N1261" i="1"/>
  <c r="N1262" i="1" s="1"/>
  <c r="K1253" i="1"/>
  <c r="K1254" i="1" s="1"/>
  <c r="Q1225" i="1"/>
  <c r="Q1226" i="1" s="1"/>
  <c r="L1253" i="1"/>
  <c r="L1254" i="1" s="1"/>
  <c r="K1211" i="1"/>
  <c r="K1212" i="1" s="1"/>
  <c r="W1218" i="1"/>
  <c r="W1219" i="1" s="1"/>
  <c r="T1225" i="1"/>
  <c r="T1226" i="1" s="1"/>
  <c r="N1218" i="1"/>
  <c r="N1219" i="1" s="1"/>
  <c r="T1211" i="1"/>
  <c r="T1212" i="1" s="1"/>
  <c r="Q1218" i="1"/>
  <c r="Q1219" i="1" s="1"/>
  <c r="W1211" i="1"/>
  <c r="W1212" i="1" s="1"/>
  <c r="K1225" i="1"/>
  <c r="K1226" i="1" s="1"/>
  <c r="T1218" i="1"/>
  <c r="T1219" i="1" s="1"/>
  <c r="N1211" i="1"/>
  <c r="N1212" i="1" s="1"/>
  <c r="M1252" i="1"/>
  <c r="M1260" i="1"/>
  <c r="P1252" i="1"/>
  <c r="P1260" i="1"/>
  <c r="J1252" i="1"/>
  <c r="J1260" i="1"/>
  <c r="J1268" i="1"/>
  <c r="M1269" i="1" s="1"/>
  <c r="M1270" i="1" s="1"/>
  <c r="AV1026" i="1" l="1"/>
  <c r="AV1031" i="1" s="1"/>
  <c r="AZ1030" i="1"/>
  <c r="BR1050" i="1"/>
  <c r="AS1028" i="1"/>
  <c r="AS1031" i="1"/>
  <c r="AS1027" i="1"/>
  <c r="BM1025" i="1"/>
  <c r="BM1029" i="1"/>
  <c r="AY1019" i="1"/>
  <c r="AY1021" i="1"/>
  <c r="AY1022" i="1" s="1"/>
  <c r="BF1018" i="1"/>
  <c r="BI1019" i="1"/>
  <c r="BA1020" i="1"/>
  <c r="BA1030" i="1" s="1"/>
  <c r="BB1020" i="1"/>
  <c r="BB1030" i="1" s="1"/>
  <c r="BF1020" i="1"/>
  <c r="AX1019" i="1"/>
  <c r="AX1021" i="1"/>
  <c r="AU1022" i="1"/>
  <c r="AW1021" i="1"/>
  <c r="AW1022" i="1" s="1"/>
  <c r="BB1018" i="1"/>
  <c r="BA1018" i="1"/>
  <c r="BP1017" i="1"/>
  <c r="BQ1017" i="1"/>
  <c r="BR1025" i="1"/>
  <c r="BB1024" i="1"/>
  <c r="BL1029" i="1"/>
  <c r="AQ1024" i="1"/>
  <c r="AQ1026" i="1" s="1"/>
  <c r="AR1024" i="1"/>
  <c r="AO1026" i="1"/>
  <c r="BR1071" i="1"/>
  <c r="BN1025" i="1"/>
  <c r="BN1029" i="1"/>
  <c r="AW1080" i="1"/>
  <c r="AR1080" i="1"/>
  <c r="AS1080" i="1"/>
  <c r="AN1024" i="1"/>
  <c r="AN1026" i="1" s="1"/>
  <c r="AL1026" i="1"/>
  <c r="AI1031" i="1"/>
  <c r="AK1031" i="1" s="1"/>
  <c r="AI1027" i="1"/>
  <c r="AI1028" i="1"/>
  <c r="AK1027" i="1"/>
  <c r="AK1028" i="1"/>
  <c r="N1279" i="1"/>
  <c r="O1279" i="1"/>
  <c r="L1279" i="1"/>
  <c r="K1279" i="1"/>
  <c r="P1269" i="1"/>
  <c r="P1270" i="1" s="1"/>
  <c r="P1261" i="1"/>
  <c r="P1262" i="1" s="1"/>
  <c r="M1261" i="1"/>
  <c r="M1262" i="1" s="1"/>
  <c r="P1253" i="1"/>
  <c r="P1254" i="1" s="1"/>
  <c r="M1253" i="1"/>
  <c r="M1254" i="1" s="1"/>
  <c r="Q1269" i="1"/>
  <c r="Q1270" i="1" s="1"/>
  <c r="Q1260" i="1"/>
  <c r="Q1261" i="1" s="1"/>
  <c r="Q1262" i="1" s="1"/>
  <c r="Q1252" i="1"/>
  <c r="Q1253" i="1" s="1"/>
  <c r="Q1254" i="1" s="1"/>
  <c r="R1250" i="1"/>
  <c r="R1249" i="1"/>
  <c r="R1260" i="1" s="1"/>
  <c r="R1261" i="1" s="1"/>
  <c r="R1262" i="1" s="1"/>
  <c r="R1248" i="1"/>
  <c r="R1252" i="1" s="1"/>
  <c r="R1253" i="1" s="1"/>
  <c r="R1254" i="1" s="1"/>
  <c r="T1269" i="1"/>
  <c r="T1270" i="1" s="1"/>
  <c r="T1260" i="1"/>
  <c r="T1252" i="1"/>
  <c r="U1250" i="1"/>
  <c r="U1249" i="1"/>
  <c r="U1260" i="1" s="1"/>
  <c r="U1248" i="1"/>
  <c r="U1252" i="1" s="1"/>
  <c r="W1269" i="1"/>
  <c r="W1270" i="1" s="1"/>
  <c r="Z1260" i="1"/>
  <c r="W1260" i="1"/>
  <c r="Z1252" i="1"/>
  <c r="W1252" i="1"/>
  <c r="Z1224" i="1"/>
  <c r="Z1225" i="1" s="1"/>
  <c r="Z1226" i="1" s="1"/>
  <c r="Z1217" i="1"/>
  <c r="Z1218" i="1" s="1"/>
  <c r="Z1219" i="1" s="1"/>
  <c r="Z1210" i="1"/>
  <c r="Z1211" i="1" s="1"/>
  <c r="Z1212" i="1" s="1"/>
  <c r="X1250" i="1"/>
  <c r="X1249" i="1"/>
  <c r="X1260" i="1" s="1"/>
  <c r="X1248" i="1"/>
  <c r="X1252" i="1" s="1"/>
  <c r="AA1250" i="1"/>
  <c r="AA1268" i="1" s="1"/>
  <c r="AB1268" i="1" s="1"/>
  <c r="AA1249" i="1"/>
  <c r="AA1260" i="1" s="1"/>
  <c r="AA1248" i="1"/>
  <c r="AA1252" i="1" s="1"/>
  <c r="U172" i="1"/>
  <c r="X172" i="1"/>
  <c r="AA172" i="1"/>
  <c r="AG788" i="1"/>
  <c r="AE791" i="1"/>
  <c r="AH791" i="1"/>
  <c r="AN791" i="1"/>
  <c r="AF792" i="1"/>
  <c r="AE765" i="1"/>
  <c r="AE768" i="1"/>
  <c r="AE771" i="1"/>
  <c r="AK771" i="1"/>
  <c r="AN771" i="1"/>
  <c r="AB772" i="1"/>
  <c r="AC772" i="1"/>
  <c r="AF772" i="1" s="1"/>
  <c r="AD772" i="1"/>
  <c r="AC745" i="1"/>
  <c r="AC746" i="1" s="1"/>
  <c r="AH751" i="1"/>
  <c r="AK751" i="1"/>
  <c r="AN751" i="1"/>
  <c r="AJ752" i="1"/>
  <c r="AM752" i="1" s="1"/>
  <c r="AP752" i="1" s="1"/>
  <c r="AH731" i="1"/>
  <c r="AK731" i="1"/>
  <c r="AN731" i="1"/>
  <c r="AE732" i="1"/>
  <c r="AF732" i="1"/>
  <c r="AI732" i="1" s="1"/>
  <c r="AG732" i="1"/>
  <c r="AJ732" i="1" s="1"/>
  <c r="AM732" i="1" s="1"/>
  <c r="AP732" i="1" s="1"/>
  <c r="AB734" i="1"/>
  <c r="AB729" i="1" s="1"/>
  <c r="Z869" i="1"/>
  <c r="Z881" i="1" s="1"/>
  <c r="Y876" i="1"/>
  <c r="Y872" i="1"/>
  <c r="V935" i="1"/>
  <c r="V939" i="1"/>
  <c r="V932" i="1"/>
  <c r="AB848" i="1"/>
  <c r="AH848" i="1" s="1"/>
  <c r="AK848" i="1" s="1"/>
  <c r="AN848" i="1" s="1"/>
  <c r="AQ848" i="1" s="1"/>
  <c r="AB851" i="1"/>
  <c r="G1089" i="1"/>
  <c r="S998" i="1"/>
  <c r="S995" i="1"/>
  <c r="H1047" i="1"/>
  <c r="H1049" i="1" s="1"/>
  <c r="S977" i="1"/>
  <c r="V914" i="1"/>
  <c r="H1039" i="1"/>
  <c r="Z890" i="1"/>
  <c r="Z902" i="1" s="1"/>
  <c r="V911" i="1"/>
  <c r="S974" i="1"/>
  <c r="G1068" i="1"/>
  <c r="AY1026" i="1" l="1"/>
  <c r="AY1028" i="1" s="1"/>
  <c r="AA193" i="1"/>
  <c r="X193" i="1"/>
  <c r="U193" i="1"/>
  <c r="AV1028" i="1"/>
  <c r="AV1027" i="1"/>
  <c r="BO1029" i="1"/>
  <c r="BC1030" i="1"/>
  <c r="AU1024" i="1"/>
  <c r="AT1024" i="1"/>
  <c r="AT1026" i="1" s="1"/>
  <c r="AR1026" i="1"/>
  <c r="BE1024" i="1"/>
  <c r="BP1025" i="1"/>
  <c r="BP1029" i="1"/>
  <c r="BD1020" i="1"/>
  <c r="BD1030" i="1" s="1"/>
  <c r="BE1020" i="1"/>
  <c r="BE1030" i="1" s="1"/>
  <c r="BI1020" i="1"/>
  <c r="BD1018" i="1"/>
  <c r="BE1018" i="1"/>
  <c r="AQ1027" i="1"/>
  <c r="AQ1028" i="1"/>
  <c r="AO848" i="1"/>
  <c r="AT848" i="1"/>
  <c r="AP848" i="1"/>
  <c r="AV1080" i="1"/>
  <c r="AZ1080" i="1"/>
  <c r="AU1080" i="1"/>
  <c r="BA1019" i="1"/>
  <c r="BA1021" i="1"/>
  <c r="AZ1021" i="1"/>
  <c r="AZ1022" i="1" s="1"/>
  <c r="AX1022" i="1"/>
  <c r="AS752" i="1"/>
  <c r="AO1031" i="1"/>
  <c r="AQ1031" i="1" s="1"/>
  <c r="AO1027" i="1"/>
  <c r="AO1028" i="1"/>
  <c r="BQ1025" i="1"/>
  <c r="BQ1029" i="1"/>
  <c r="BB1021" i="1"/>
  <c r="BB1022" i="1" s="1"/>
  <c r="BB1019" i="1"/>
  <c r="BI1018" i="1"/>
  <c r="BL1019" i="1"/>
  <c r="AS732" i="1"/>
  <c r="AL1027" i="1"/>
  <c r="AL1028" i="1"/>
  <c r="AL1031" i="1"/>
  <c r="AN1031" i="1" s="1"/>
  <c r="AN1027" i="1"/>
  <c r="AN1028" i="1"/>
  <c r="AM848" i="1"/>
  <c r="AL848" i="1"/>
  <c r="AA1253" i="1"/>
  <c r="AA1254" i="1" s="1"/>
  <c r="X1261" i="1"/>
  <c r="X1262" i="1" s="1"/>
  <c r="T1253" i="1"/>
  <c r="T1254" i="1" s="1"/>
  <c r="Z1261" i="1"/>
  <c r="Z1262" i="1" s="1"/>
  <c r="X1253" i="1"/>
  <c r="X1254" i="1" s="1"/>
  <c r="W1261" i="1"/>
  <c r="W1262" i="1" s="1"/>
  <c r="R1268" i="1"/>
  <c r="S1268" i="1" s="1"/>
  <c r="S1269" i="1" s="1"/>
  <c r="S1270" i="1" s="1"/>
  <c r="U1268" i="1"/>
  <c r="V1268" i="1" s="1"/>
  <c r="Q1279" i="1"/>
  <c r="X1268" i="1"/>
  <c r="Y1268" i="1" s="1"/>
  <c r="AB1269" i="1" s="1"/>
  <c r="AB1270" i="1" s="1"/>
  <c r="Z1269" i="1"/>
  <c r="Z1270" i="1" s="1"/>
  <c r="T1261" i="1"/>
  <c r="T1262" i="1" s="1"/>
  <c r="U1261" i="1"/>
  <c r="U1262" i="1" s="1"/>
  <c r="AA1261" i="1"/>
  <c r="AA1262" i="1" s="1"/>
  <c r="W1253" i="1"/>
  <c r="W1254" i="1" s="1"/>
  <c r="Z1253" i="1"/>
  <c r="Z1254" i="1" s="1"/>
  <c r="U1253" i="1"/>
  <c r="U1254" i="1" s="1"/>
  <c r="AD745" i="1"/>
  <c r="AD746" i="1" s="1"/>
  <c r="AE746" i="1" s="1"/>
  <c r="AC768" i="1"/>
  <c r="AF768" i="1" s="1"/>
  <c r="AD768" i="1"/>
  <c r="AG768" i="1" s="1"/>
  <c r="G1063" i="1"/>
  <c r="G1070" i="1"/>
  <c r="AC765" i="1"/>
  <c r="AD765" i="1"/>
  <c r="H1042" i="1"/>
  <c r="H1044" i="1" s="1"/>
  <c r="L1039" i="1"/>
  <c r="AB857" i="1"/>
  <c r="AG772" i="1"/>
  <c r="AH772" i="1" s="1"/>
  <c r="AE851" i="1"/>
  <c r="AC851" i="1" s="1"/>
  <c r="Y1252" i="1"/>
  <c r="AB1252" i="1"/>
  <c r="Y1260" i="1"/>
  <c r="AB1260" i="1"/>
  <c r="S1252" i="1"/>
  <c r="S1253" i="1" s="1"/>
  <c r="S1254" i="1" s="1"/>
  <c r="S1260" i="1"/>
  <c r="S1261" i="1" s="1"/>
  <c r="S1262" i="1" s="1"/>
  <c r="V1252" i="1"/>
  <c r="V1260" i="1"/>
  <c r="AG785" i="1"/>
  <c r="AH732" i="1"/>
  <c r="AE772" i="1"/>
  <c r="AH729" i="1"/>
  <c r="AF745" i="1"/>
  <c r="AE792" i="1"/>
  <c r="AF788" i="1"/>
  <c r="AL732" i="1"/>
  <c r="AO732" i="1" s="1"/>
  <c r="AK732" i="1"/>
  <c r="AB730" i="1"/>
  <c r="AI772" i="1"/>
  <c r="AJ788" i="1"/>
  <c r="AF785" i="1"/>
  <c r="AG792" i="1"/>
  <c r="AC848" i="1"/>
  <c r="AD848" i="1"/>
  <c r="Y878" i="1"/>
  <c r="Y880" i="1" s="1"/>
  <c r="AB836" i="1"/>
  <c r="AA869" i="1"/>
  <c r="AD869" i="1"/>
  <c r="AA872" i="1"/>
  <c r="AA882" i="1" s="1"/>
  <c r="Y871" i="1"/>
  <c r="AB871" i="1" s="1"/>
  <c r="T936" i="1"/>
  <c r="T941" i="1" s="1"/>
  <c r="T934" i="1"/>
  <c r="X932" i="1"/>
  <c r="X944" i="1" s="1"/>
  <c r="W932" i="1"/>
  <c r="W944" i="1" s="1"/>
  <c r="V933" i="1"/>
  <c r="V934" i="1" s="1"/>
  <c r="Y934" i="1" s="1"/>
  <c r="AB934" i="1" s="1"/>
  <c r="AE934" i="1" s="1"/>
  <c r="AH934" i="1" s="1"/>
  <c r="S959" i="1"/>
  <c r="U995" i="1"/>
  <c r="T995" i="1"/>
  <c r="N1038" i="1"/>
  <c r="N1050" i="1" s="1"/>
  <c r="N715" i="1" s="1"/>
  <c r="O1038" i="1"/>
  <c r="O1050" i="1" s="1"/>
  <c r="H1040" i="1"/>
  <c r="AB893" i="1"/>
  <c r="AA893" i="1" s="1"/>
  <c r="AA903" i="1" s="1"/>
  <c r="AA890" i="1"/>
  <c r="AA902" i="1" s="1"/>
  <c r="Y892" i="1"/>
  <c r="AB892" i="1" s="1"/>
  <c r="AE892" i="1" s="1"/>
  <c r="AH892" i="1" s="1"/>
  <c r="X974" i="1"/>
  <c r="AA974" i="1"/>
  <c r="W974" i="1"/>
  <c r="X911" i="1"/>
  <c r="X923" i="1" s="1"/>
  <c r="W911" i="1"/>
  <c r="W923" i="1" s="1"/>
  <c r="Y914" i="1"/>
  <c r="V912" i="1"/>
  <c r="V913" i="1" s="1"/>
  <c r="Y913" i="1" s="1"/>
  <c r="AB913" i="1" s="1"/>
  <c r="AE913" i="1" s="1"/>
  <c r="AH913" i="1" s="1"/>
  <c r="U974" i="1"/>
  <c r="U986" i="1" s="1"/>
  <c r="T974" i="1"/>
  <c r="T986" i="1" s="1"/>
  <c r="T977" i="1"/>
  <c r="T987" i="1" s="1"/>
  <c r="T1059" i="1"/>
  <c r="W1071" i="1" s="1"/>
  <c r="S980" i="1"/>
  <c r="U1059" i="1"/>
  <c r="X1071" i="1" s="1"/>
  <c r="AY1031" i="1" l="1"/>
  <c r="AY1027" i="1"/>
  <c r="W986" i="1"/>
  <c r="BR1029" i="1"/>
  <c r="BF1030" i="1"/>
  <c r="BD1019" i="1"/>
  <c r="BD1021" i="1"/>
  <c r="AR1027" i="1"/>
  <c r="AR1028" i="1"/>
  <c r="AR1031" i="1"/>
  <c r="AT1031" i="1" s="1"/>
  <c r="BH1020" i="1"/>
  <c r="BH1030" i="1" s="1"/>
  <c r="BL1020" i="1"/>
  <c r="BG1020" i="1"/>
  <c r="BG1030" i="1" s="1"/>
  <c r="AT1027" i="1"/>
  <c r="AT1028" i="1"/>
  <c r="BO1019" i="1"/>
  <c r="BL1018" i="1"/>
  <c r="BC1021" i="1"/>
  <c r="BC1022" i="1" s="1"/>
  <c r="BA1022" i="1"/>
  <c r="BC1080" i="1"/>
  <c r="AY1080" i="1"/>
  <c r="AX1080" i="1"/>
  <c r="BB1026" i="1"/>
  <c r="AX1024" i="1"/>
  <c r="AW1024" i="1"/>
  <c r="AW1026" i="1" s="1"/>
  <c r="AU1026" i="1"/>
  <c r="BG1018" i="1"/>
  <c r="BH1018" i="1"/>
  <c r="AV752" i="1"/>
  <c r="AR848" i="1"/>
  <c r="AW848" i="1"/>
  <c r="AS848" i="1"/>
  <c r="BE1021" i="1"/>
  <c r="BE1022" i="1" s="1"/>
  <c r="BE1019" i="1"/>
  <c r="BH1024" i="1"/>
  <c r="AV732" i="1"/>
  <c r="AR732" i="1"/>
  <c r="AQ732" i="1"/>
  <c r="Y944" i="1"/>
  <c r="O715" i="1"/>
  <c r="O659" i="1" s="1"/>
  <c r="O654" i="1" s="1"/>
  <c r="AB902" i="1"/>
  <c r="AK934" i="1"/>
  <c r="AH933" i="1"/>
  <c r="AK913" i="1"/>
  <c r="AH912" i="1"/>
  <c r="AA986" i="1"/>
  <c r="AD986" i="1"/>
  <c r="AK892" i="1"/>
  <c r="AH891" i="1"/>
  <c r="Y1071" i="1"/>
  <c r="AD881" i="1"/>
  <c r="AA881" i="1"/>
  <c r="AB881" i="1" s="1"/>
  <c r="AB837" i="1"/>
  <c r="AB838" i="1"/>
  <c r="N659" i="1"/>
  <c r="N654" i="1" s="1"/>
  <c r="P1050" i="1"/>
  <c r="V986" i="1"/>
  <c r="X986" i="1"/>
  <c r="T943" i="1"/>
  <c r="T946" i="1"/>
  <c r="Y923" i="1"/>
  <c r="AA1269" i="1"/>
  <c r="AA1270" i="1" s="1"/>
  <c r="AA1279" i="1" s="1"/>
  <c r="AA1451" i="1" s="1"/>
  <c r="AA576" i="1" s="1"/>
  <c r="W1279" i="1"/>
  <c r="W1451" i="1" s="1"/>
  <c r="W576" i="1" s="1"/>
  <c r="T1279" i="1"/>
  <c r="T1451" i="1" s="1"/>
  <c r="Z1279" i="1"/>
  <c r="Z1451" i="1" s="1"/>
  <c r="Z576" i="1" s="1"/>
  <c r="U1269" i="1"/>
  <c r="U1270" i="1" s="1"/>
  <c r="U1279" i="1" s="1"/>
  <c r="U1451" i="1" s="1"/>
  <c r="X1269" i="1"/>
  <c r="X1270" i="1" s="1"/>
  <c r="X1279" i="1" s="1"/>
  <c r="X1451" i="1" s="1"/>
  <c r="X576" i="1" s="1"/>
  <c r="R1269" i="1"/>
  <c r="R1270" i="1" s="1"/>
  <c r="R1279" i="1" s="1"/>
  <c r="Y1269" i="1"/>
  <c r="Y1270" i="1" s="1"/>
  <c r="V1269" i="1"/>
  <c r="V1270" i="1" s="1"/>
  <c r="V1261" i="1"/>
  <c r="V1262" i="1" s="1"/>
  <c r="Y1261" i="1"/>
  <c r="Y1262" i="1" s="1"/>
  <c r="AB1261" i="1"/>
  <c r="AB1262" i="1" s="1"/>
  <c r="V1253" i="1"/>
  <c r="V1254" i="1" s="1"/>
  <c r="AB1253" i="1"/>
  <c r="AB1254" i="1" s="1"/>
  <c r="Y1253" i="1"/>
  <c r="Y1254" i="1" s="1"/>
  <c r="AH788" i="1"/>
  <c r="AJ785" i="1"/>
  <c r="AJ768" i="1"/>
  <c r="AE747" i="1"/>
  <c r="AH746" i="1"/>
  <c r="AG745" i="1"/>
  <c r="AB858" i="1"/>
  <c r="Y879" i="1"/>
  <c r="M1045" i="1"/>
  <c r="AI745" i="1"/>
  <c r="L1040" i="1"/>
  <c r="M1039" i="1"/>
  <c r="M1040" i="1" s="1"/>
  <c r="P1040" i="1" s="1"/>
  <c r="S1040" i="1" s="1"/>
  <c r="V1040" i="1" s="1"/>
  <c r="Y1040" i="1" s="1"/>
  <c r="L1042" i="1"/>
  <c r="V921" i="1"/>
  <c r="S975" i="1"/>
  <c r="Y875" i="1"/>
  <c r="T937" i="1"/>
  <c r="T942" i="1"/>
  <c r="AH771" i="1"/>
  <c r="AF765" i="1"/>
  <c r="AI765" i="1" s="1"/>
  <c r="AC748" i="1"/>
  <c r="AD851" i="1"/>
  <c r="AE769" i="1"/>
  <c r="AF827" i="1"/>
  <c r="AF839" i="1" s="1"/>
  <c r="AG765" i="1"/>
  <c r="AG827" i="1"/>
  <c r="AG839" i="1" s="1"/>
  <c r="AI788" i="1"/>
  <c r="AI752" i="1"/>
  <c r="AH785" i="1"/>
  <c r="AI785" i="1"/>
  <c r="AM788" i="1"/>
  <c r="AP788" i="1" s="1"/>
  <c r="AJ772" i="1"/>
  <c r="AK772" i="1" s="1"/>
  <c r="AN732" i="1"/>
  <c r="AH792" i="1"/>
  <c r="AH768" i="1"/>
  <c r="AI768" i="1"/>
  <c r="AL772" i="1"/>
  <c r="AO772" i="1" s="1"/>
  <c r="AJ827" i="1"/>
  <c r="AI827" i="1"/>
  <c r="AF848" i="1"/>
  <c r="AG848" i="1"/>
  <c r="AH851" i="1"/>
  <c r="AH830" i="1"/>
  <c r="AK830" i="1" s="1"/>
  <c r="AN830" i="1" s="1"/>
  <c r="AQ830" i="1" s="1"/>
  <c r="Z872" i="1"/>
  <c r="AE872" i="1"/>
  <c r="AC869" i="1"/>
  <c r="AC881" i="1" s="1"/>
  <c r="AG869" i="1"/>
  <c r="AE871" i="1"/>
  <c r="AB870" i="1"/>
  <c r="Y873" i="1"/>
  <c r="Y874" i="1" s="1"/>
  <c r="X933" i="1"/>
  <c r="Z932" i="1"/>
  <c r="Z944" i="1" s="1"/>
  <c r="AB933" i="1"/>
  <c r="AA932" i="1"/>
  <c r="AA944" i="1" s="1"/>
  <c r="W935" i="1"/>
  <c r="W945" i="1" s="1"/>
  <c r="X935" i="1"/>
  <c r="X945" i="1" s="1"/>
  <c r="S953" i="1"/>
  <c r="T998" i="1"/>
  <c r="Y998" i="1"/>
  <c r="U998" i="1"/>
  <c r="W995" i="1"/>
  <c r="X995" i="1"/>
  <c r="H1043" i="1"/>
  <c r="R1038" i="1"/>
  <c r="R1050" i="1" s="1"/>
  <c r="Q1038" i="1"/>
  <c r="Q1050" i="1" s="1"/>
  <c r="Q715" i="1" s="1"/>
  <c r="Z893" i="1"/>
  <c r="Z903" i="1" s="1"/>
  <c r="AB891" i="1"/>
  <c r="AE891" i="1"/>
  <c r="AD890" i="1"/>
  <c r="AC890" i="1"/>
  <c r="AF902" i="1" s="1"/>
  <c r="AE893" i="1"/>
  <c r="AH893" i="1" s="1"/>
  <c r="Y977" i="1"/>
  <c r="Z974" i="1"/>
  <c r="Z911" i="1"/>
  <c r="Z923" i="1" s="1"/>
  <c r="AB912" i="1"/>
  <c r="AA911" i="1"/>
  <c r="AA923" i="1" s="1"/>
  <c r="W914" i="1"/>
  <c r="W924" i="1" s="1"/>
  <c r="AB914" i="1"/>
  <c r="X914" i="1"/>
  <c r="X924" i="1" s="1"/>
  <c r="U977" i="1"/>
  <c r="U987" i="1" s="1"/>
  <c r="V987" i="1" s="1"/>
  <c r="T981" i="1"/>
  <c r="S981" i="1"/>
  <c r="Y986" i="1" l="1"/>
  <c r="BI1030" i="1"/>
  <c r="AR772" i="1"/>
  <c r="BK1024" i="1"/>
  <c r="AU848" i="1"/>
  <c r="AZ848" i="1"/>
  <c r="AV848" i="1"/>
  <c r="AY752" i="1"/>
  <c r="AW1027" i="1"/>
  <c r="AW1028" i="1"/>
  <c r="BR1019" i="1"/>
  <c r="BR1018" i="1" s="1"/>
  <c r="BO1018" i="1"/>
  <c r="BO1020" i="1"/>
  <c r="BJ1020" i="1"/>
  <c r="BJ1030" i="1" s="1"/>
  <c r="BK1020" i="1"/>
  <c r="BK1030" i="1" s="1"/>
  <c r="BH1021" i="1"/>
  <c r="BH1022" i="1" s="1"/>
  <c r="BH1019" i="1"/>
  <c r="BA1024" i="1"/>
  <c r="AZ1024" i="1"/>
  <c r="AZ1026" i="1" s="1"/>
  <c r="AX1026" i="1"/>
  <c r="BD1022" i="1"/>
  <c r="BF1021" i="1"/>
  <c r="BF1022" i="1" s="1"/>
  <c r="AT830" i="1"/>
  <c r="AP830" i="1"/>
  <c r="AO830" i="1"/>
  <c r="AS788" i="1"/>
  <c r="BG1021" i="1"/>
  <c r="BG1019" i="1"/>
  <c r="BB1027" i="1"/>
  <c r="BB1031" i="1"/>
  <c r="BB1028" i="1"/>
  <c r="BE1026" i="1"/>
  <c r="AU1028" i="1"/>
  <c r="AU1031" i="1"/>
  <c r="AW1031" i="1" s="1"/>
  <c r="AU1027" i="1"/>
  <c r="BF1080" i="1"/>
  <c r="BB1080" i="1"/>
  <c r="BA1080" i="1"/>
  <c r="BK1018" i="1"/>
  <c r="BJ1018" i="1"/>
  <c r="AY732" i="1"/>
  <c r="AT732" i="1"/>
  <c r="AU732" i="1"/>
  <c r="P715" i="1"/>
  <c r="P659" i="1" s="1"/>
  <c r="R715" i="1"/>
  <c r="R659" i="1" s="1"/>
  <c r="R654" i="1" s="1"/>
  <c r="AG891" i="1"/>
  <c r="AF891" i="1"/>
  <c r="AF912" i="1"/>
  <c r="AG912" i="1"/>
  <c r="Z986" i="1"/>
  <c r="AB986" i="1" s="1"/>
  <c r="AC986" i="1"/>
  <c r="AE986" i="1" s="1"/>
  <c r="AD902" i="1"/>
  <c r="AG902" i="1"/>
  <c r="AH902" i="1" s="1"/>
  <c r="AN892" i="1"/>
  <c r="AK891" i="1"/>
  <c r="AN913" i="1"/>
  <c r="AK912" i="1"/>
  <c r="AG933" i="1"/>
  <c r="AF933" i="1"/>
  <c r="AF893" i="1"/>
  <c r="AG893" i="1"/>
  <c r="AK893" i="1"/>
  <c r="AB1040" i="1"/>
  <c r="Y1039" i="1"/>
  <c r="AN934" i="1"/>
  <c r="AK933" i="1"/>
  <c r="AJ839" i="1"/>
  <c r="AM839" i="1"/>
  <c r="Z882" i="1"/>
  <c r="AB882" i="1" s="1"/>
  <c r="AI839" i="1"/>
  <c r="AL839" i="1"/>
  <c r="S1050" i="1"/>
  <c r="Q659" i="1"/>
  <c r="Q654" i="1" s="1"/>
  <c r="V946" i="1"/>
  <c r="Y945" i="1"/>
  <c r="Y924" i="1"/>
  <c r="AB903" i="1"/>
  <c r="AB923" i="1"/>
  <c r="AB944" i="1"/>
  <c r="AC902" i="1"/>
  <c r="AG881" i="1"/>
  <c r="AJ881" i="1"/>
  <c r="AE881" i="1"/>
  <c r="AL830" i="1"/>
  <c r="AM830" i="1"/>
  <c r="AM785" i="1"/>
  <c r="AP785" i="1" s="1"/>
  <c r="AJ765" i="1"/>
  <c r="AK765" i="1" s="1"/>
  <c r="AM768" i="1"/>
  <c r="AP768" i="1" s="1"/>
  <c r="AF748" i="1"/>
  <c r="AG746" i="1"/>
  <c r="AG747" i="1" s="1"/>
  <c r="AJ747" i="1" s="1"/>
  <c r="AF746" i="1"/>
  <c r="AF747" i="1" s="1"/>
  <c r="AI747" i="1" s="1"/>
  <c r="AI746" i="1" s="1"/>
  <c r="AH747" i="1"/>
  <c r="AL745" i="1"/>
  <c r="AO745" i="1" s="1"/>
  <c r="AJ745" i="1"/>
  <c r="AK745" i="1" s="1"/>
  <c r="AD872" i="1"/>
  <c r="AD882" i="1" s="1"/>
  <c r="AE770" i="1"/>
  <c r="AD769" i="1"/>
  <c r="AC769" i="1"/>
  <c r="S1039" i="1"/>
  <c r="Q1039" i="1" s="1"/>
  <c r="P1039" i="1"/>
  <c r="N1039" i="1" s="1"/>
  <c r="AK788" i="1"/>
  <c r="L1043" i="1"/>
  <c r="M1042" i="1"/>
  <c r="M1043" i="1" s="1"/>
  <c r="AB977" i="1"/>
  <c r="Q976" i="1"/>
  <c r="AJ787" i="1"/>
  <c r="AJ786" i="1" s="1"/>
  <c r="Z876" i="1"/>
  <c r="V941" i="1"/>
  <c r="V943" i="1" s="1"/>
  <c r="W933" i="1"/>
  <c r="W936" i="1" s="1"/>
  <c r="AC749" i="1"/>
  <c r="AD748" i="1"/>
  <c r="AE766" i="1"/>
  <c r="AE767" i="1" s="1"/>
  <c r="AJ767" i="1" s="1"/>
  <c r="X977" i="1"/>
  <c r="X987" i="1" s="1"/>
  <c r="W977" i="1"/>
  <c r="W987" i="1" s="1"/>
  <c r="AH765" i="1"/>
  <c r="AL788" i="1"/>
  <c r="AO788" i="1" s="1"/>
  <c r="AH872" i="1"/>
  <c r="AK872" i="1" s="1"/>
  <c r="AH839" i="1"/>
  <c r="AC872" i="1"/>
  <c r="AC882" i="1" s="1"/>
  <c r="AF869" i="1"/>
  <c r="AL765" i="1"/>
  <c r="AO765" i="1" s="1"/>
  <c r="AL752" i="1"/>
  <c r="AK752" i="1"/>
  <c r="AL768" i="1"/>
  <c r="AO768" i="1" s="1"/>
  <c r="AK768" i="1"/>
  <c r="AI792" i="1"/>
  <c r="AJ791" i="1" s="1"/>
  <c r="AJ792" i="1" s="1"/>
  <c r="AM792" i="1" s="1"/>
  <c r="AP792" i="1" s="1"/>
  <c r="AL785" i="1"/>
  <c r="AO785" i="1" s="1"/>
  <c r="AK785" i="1"/>
  <c r="AM772" i="1"/>
  <c r="U960" i="1"/>
  <c r="V960" i="1" s="1"/>
  <c r="AF851" i="1"/>
  <c r="AG851" i="1"/>
  <c r="AK851" i="1"/>
  <c r="AN851" i="1" s="1"/>
  <c r="AQ851" i="1" s="1"/>
  <c r="AJ848" i="1"/>
  <c r="AI848" i="1"/>
  <c r="AJ830" i="1"/>
  <c r="AI830" i="1"/>
  <c r="AF830" i="1"/>
  <c r="AF840" i="1" s="1"/>
  <c r="AG830" i="1"/>
  <c r="AG840" i="1" s="1"/>
  <c r="AA870" i="1"/>
  <c r="Z870" i="1"/>
  <c r="AH871" i="1"/>
  <c r="AE870" i="1"/>
  <c r="AA935" i="1"/>
  <c r="AA945" i="1" s="1"/>
  <c r="Z935" i="1"/>
  <c r="Z945" i="1" s="1"/>
  <c r="AA933" i="1"/>
  <c r="Z933" i="1"/>
  <c r="X936" i="1"/>
  <c r="X934" i="1"/>
  <c r="AE933" i="1"/>
  <c r="AD932" i="1"/>
  <c r="AC932" i="1"/>
  <c r="W960" i="1"/>
  <c r="T953" i="1"/>
  <c r="U953" i="1"/>
  <c r="S956" i="1"/>
  <c r="V956" i="1" s="1"/>
  <c r="AA995" i="1"/>
  <c r="Z995" i="1"/>
  <c r="AB998" i="1"/>
  <c r="AE998" i="1" s="1"/>
  <c r="X998" i="1"/>
  <c r="W998" i="1"/>
  <c r="N1045" i="1"/>
  <c r="O1045" i="1"/>
  <c r="T1038" i="1"/>
  <c r="V1039" i="1"/>
  <c r="U1038" i="1"/>
  <c r="AC893" i="1"/>
  <c r="AC903" i="1" s="1"/>
  <c r="AD893" i="1"/>
  <c r="AD903" i="1" s="1"/>
  <c r="AC891" i="1"/>
  <c r="AD891" i="1"/>
  <c r="AA891" i="1"/>
  <c r="Z891" i="1"/>
  <c r="W912" i="1"/>
  <c r="X912" i="1"/>
  <c r="AE914" i="1"/>
  <c r="AH914" i="1" s="1"/>
  <c r="AA914" i="1"/>
  <c r="AA924" i="1" s="1"/>
  <c r="Z914" i="1"/>
  <c r="Z924" i="1" s="1"/>
  <c r="AA912" i="1"/>
  <c r="Z912" i="1"/>
  <c r="AE912" i="1"/>
  <c r="AD911" i="1"/>
  <c r="AC911" i="1"/>
  <c r="W981" i="1"/>
  <c r="U981" i="1"/>
  <c r="BL1030" i="1" l="1"/>
  <c r="AT851" i="1"/>
  <c r="AP851" i="1"/>
  <c r="AO851" i="1"/>
  <c r="AN772" i="1"/>
  <c r="AP772" i="1"/>
  <c r="AR765" i="1"/>
  <c r="AR745" i="1"/>
  <c r="AN933" i="1"/>
  <c r="AL933" i="1" s="1"/>
  <c r="AQ934" i="1"/>
  <c r="AO840" i="1"/>
  <c r="BN1020" i="1"/>
  <c r="BN1030" i="1" s="1"/>
  <c r="BM1020" i="1"/>
  <c r="BM1030" i="1" s="1"/>
  <c r="BR1020" i="1"/>
  <c r="BN1024" i="1"/>
  <c r="AR768" i="1"/>
  <c r="AQ768" i="1"/>
  <c r="AR788" i="1"/>
  <c r="AQ788" i="1"/>
  <c r="AS768" i="1"/>
  <c r="AN912" i="1"/>
  <c r="AL912" i="1" s="1"/>
  <c r="AQ913" i="1"/>
  <c r="BJ1021" i="1"/>
  <c r="BJ1019" i="1"/>
  <c r="BG1022" i="1"/>
  <c r="BI1021" i="1"/>
  <c r="BI1022" i="1" s="1"/>
  <c r="AP840" i="1"/>
  <c r="AX1031" i="1"/>
  <c r="AZ1031" i="1" s="1"/>
  <c r="AX1027" i="1"/>
  <c r="AX1028" i="1"/>
  <c r="BM1018" i="1"/>
  <c r="BN1018" i="1"/>
  <c r="BC848" i="1"/>
  <c r="AX848" i="1"/>
  <c r="AY848" i="1"/>
  <c r="AR785" i="1"/>
  <c r="AQ785" i="1"/>
  <c r="BK1019" i="1"/>
  <c r="BK1021" i="1"/>
  <c r="BK1022" i="1" s="1"/>
  <c r="BI1080" i="1"/>
  <c r="BD1080" i="1"/>
  <c r="BE1080" i="1"/>
  <c r="AR830" i="1"/>
  <c r="AR840" i="1" s="1"/>
  <c r="AS830" i="1"/>
  <c r="AS840" i="1" s="1"/>
  <c r="AW830" i="1"/>
  <c r="AZ1027" i="1"/>
  <c r="AZ1028" i="1"/>
  <c r="BP1018" i="1"/>
  <c r="BQ1018" i="1"/>
  <c r="BB752" i="1"/>
  <c r="AU772" i="1"/>
  <c r="AS792" i="1"/>
  <c r="AN752" i="1"/>
  <c r="AO752" i="1"/>
  <c r="AS785" i="1"/>
  <c r="AN891" i="1"/>
  <c r="AM891" i="1" s="1"/>
  <c r="AQ892" i="1"/>
  <c r="BE1027" i="1"/>
  <c r="BE1031" i="1"/>
  <c r="BE1028" i="1"/>
  <c r="AV788" i="1"/>
  <c r="BD1024" i="1"/>
  <c r="BC1024" i="1"/>
  <c r="BC1026" i="1" s="1"/>
  <c r="BA1026" i="1"/>
  <c r="BH1026" i="1"/>
  <c r="BB732" i="1"/>
  <c r="AW732" i="1"/>
  <c r="AX732" i="1"/>
  <c r="AN839" i="1"/>
  <c r="S715" i="1"/>
  <c r="S659" i="1" s="1"/>
  <c r="AE902" i="1"/>
  <c r="AG914" i="1"/>
  <c r="AG915" i="1" s="1"/>
  <c r="AG916" i="1" s="1"/>
  <c r="AF914" i="1"/>
  <c r="AF915" i="1" s="1"/>
  <c r="AK914" i="1"/>
  <c r="AD998" i="1"/>
  <c r="AC998" i="1"/>
  <c r="AH998" i="1"/>
  <c r="AD944" i="1"/>
  <c r="AG944" i="1"/>
  <c r="X1039" i="1"/>
  <c r="W1039" i="1"/>
  <c r="AF903" i="1"/>
  <c r="AG913" i="1"/>
  <c r="U1050" i="1"/>
  <c r="X1050" i="1"/>
  <c r="AE1040" i="1"/>
  <c r="AB1039" i="1"/>
  <c r="AF934" i="1"/>
  <c r="AF936" i="1"/>
  <c r="AI891" i="1"/>
  <c r="AJ891" i="1"/>
  <c r="AF913" i="1"/>
  <c r="AC923" i="1"/>
  <c r="AF923" i="1"/>
  <c r="AJ933" i="1"/>
  <c r="AI933" i="1"/>
  <c r="AJ893" i="1"/>
  <c r="AJ903" i="1" s="1"/>
  <c r="AI893" i="1"/>
  <c r="AI903" i="1" s="1"/>
  <c r="AN893" i="1"/>
  <c r="AQ893" i="1" s="1"/>
  <c r="AG934" i="1"/>
  <c r="AG936" i="1"/>
  <c r="AG937" i="1" s="1"/>
  <c r="AF892" i="1"/>
  <c r="AF894" i="1"/>
  <c r="AD923" i="1"/>
  <c r="AG923" i="1"/>
  <c r="T1050" i="1"/>
  <c r="W1050" i="1"/>
  <c r="W715" i="1" s="1"/>
  <c r="AC944" i="1"/>
  <c r="AF944" i="1"/>
  <c r="Z977" i="1"/>
  <c r="Z987" i="1" s="1"/>
  <c r="AE977" i="1"/>
  <c r="AG903" i="1"/>
  <c r="AI912" i="1"/>
  <c r="AJ912" i="1"/>
  <c r="AG892" i="1"/>
  <c r="AG894" i="1"/>
  <c r="AG895" i="1" s="1"/>
  <c r="AJ840" i="1"/>
  <c r="AM840" i="1"/>
  <c r="AL840" i="1"/>
  <c r="AB945" i="1"/>
  <c r="AI840" i="1"/>
  <c r="Y987" i="1"/>
  <c r="AB924" i="1"/>
  <c r="AE903" i="1"/>
  <c r="AF881" i="1"/>
  <c r="AH881" i="1" s="1"/>
  <c r="AI881" i="1"/>
  <c r="AK881" i="1" s="1"/>
  <c r="AE882" i="1"/>
  <c r="AI872" i="1"/>
  <c r="AJ872" i="1"/>
  <c r="AN872" i="1"/>
  <c r="AQ872" i="1" s="1"/>
  <c r="AH870" i="1"/>
  <c r="AG870" i="1" s="1"/>
  <c r="AK871" i="1"/>
  <c r="AM851" i="1"/>
  <c r="AL851" i="1"/>
  <c r="AF749" i="1"/>
  <c r="AF754" i="1" s="1"/>
  <c r="AN788" i="1"/>
  <c r="AJ766" i="1"/>
  <c r="AJ769" i="1" s="1"/>
  <c r="AJ770" i="1" s="1"/>
  <c r="AM765" i="1"/>
  <c r="AP765" i="1" s="1"/>
  <c r="AQ765" i="1" s="1"/>
  <c r="AG748" i="1"/>
  <c r="AG749" i="1" s="1"/>
  <c r="AI748" i="1"/>
  <c r="AI749" i="1" s="1"/>
  <c r="AL747" i="1"/>
  <c r="AL746" i="1" s="1"/>
  <c r="AM747" i="1"/>
  <c r="AJ746" i="1"/>
  <c r="AM745" i="1"/>
  <c r="AF872" i="1"/>
  <c r="AF882" i="1" s="1"/>
  <c r="R1039" i="1"/>
  <c r="R1040" i="1" s="1"/>
  <c r="AK791" i="1"/>
  <c r="O1039" i="1"/>
  <c r="O1040" i="1" s="1"/>
  <c r="AA977" i="1"/>
  <c r="AA987" i="1" s="1"/>
  <c r="AC754" i="1"/>
  <c r="AC755" i="1" s="1"/>
  <c r="AC750" i="1"/>
  <c r="AJ789" i="1"/>
  <c r="AJ790" i="1" s="1"/>
  <c r="X937" i="1"/>
  <c r="V942" i="1"/>
  <c r="AI787" i="1"/>
  <c r="AI786" i="1" s="1"/>
  <c r="AI789" i="1" s="1"/>
  <c r="W934" i="1"/>
  <c r="AA769" i="1"/>
  <c r="AI767" i="1"/>
  <c r="AI766" i="1" s="1"/>
  <c r="AD749" i="1"/>
  <c r="AK839" i="1"/>
  <c r="Z960" i="1"/>
  <c r="AC960" i="1" s="1"/>
  <c r="AF787" i="1"/>
  <c r="AF786" i="1" s="1"/>
  <c r="AF789" i="1" s="1"/>
  <c r="AG872" i="1"/>
  <c r="AG882" i="1" s="1"/>
  <c r="AG787" i="1"/>
  <c r="AG786" i="1" s="1"/>
  <c r="AN785" i="1"/>
  <c r="AK792" i="1"/>
  <c r="AL792" i="1"/>
  <c r="AO792" i="1" s="1"/>
  <c r="AN768" i="1"/>
  <c r="X960" i="1"/>
  <c r="AI851" i="1"/>
  <c r="AJ851" i="1"/>
  <c r="AC870" i="1"/>
  <c r="AD870" i="1"/>
  <c r="Z873" i="1"/>
  <c r="Z871" i="1"/>
  <c r="AA871" i="1"/>
  <c r="AA873" i="1"/>
  <c r="AC933" i="1"/>
  <c r="AD933" i="1"/>
  <c r="AA936" i="1"/>
  <c r="AA934" i="1"/>
  <c r="Z936" i="1"/>
  <c r="Z934" i="1"/>
  <c r="AC935" i="1"/>
  <c r="AD935" i="1"/>
  <c r="W937" i="1"/>
  <c r="Y936" i="1"/>
  <c r="Y937" i="1" s="1"/>
  <c r="S954" i="1"/>
  <c r="S955" i="1" s="1"/>
  <c r="V955" i="1" s="1"/>
  <c r="Y956" i="1"/>
  <c r="U956" i="1"/>
  <c r="T956" i="1"/>
  <c r="X953" i="1"/>
  <c r="W953" i="1"/>
  <c r="Z998" i="1"/>
  <c r="AA998" i="1"/>
  <c r="N1040" i="1"/>
  <c r="Q1045" i="1"/>
  <c r="R1044" i="1" s="1"/>
  <c r="S1044" i="1" s="1"/>
  <c r="U1039" i="1"/>
  <c r="T1039" i="1"/>
  <c r="P1045" i="1"/>
  <c r="Q1040" i="1"/>
  <c r="Z894" i="1"/>
  <c r="Z892" i="1"/>
  <c r="AC892" i="1"/>
  <c r="AC894" i="1"/>
  <c r="AA894" i="1"/>
  <c r="AA892" i="1"/>
  <c r="AD894" i="1"/>
  <c r="AD892" i="1"/>
  <c r="X981" i="1"/>
  <c r="Y981" i="1" s="1"/>
  <c r="V981" i="1"/>
  <c r="AC912" i="1"/>
  <c r="AD912" i="1"/>
  <c r="AA915" i="1"/>
  <c r="AA913" i="1"/>
  <c r="X915" i="1"/>
  <c r="X913" i="1"/>
  <c r="Z915" i="1"/>
  <c r="Z913" i="1"/>
  <c r="AC914" i="1"/>
  <c r="AC924" i="1" s="1"/>
  <c r="AD914" i="1"/>
  <c r="AD924" i="1" s="1"/>
  <c r="W915" i="1"/>
  <c r="W913" i="1"/>
  <c r="Z981" i="1"/>
  <c r="AC981" i="1" s="1"/>
  <c r="AF981" i="1" s="1"/>
  <c r="S1107" i="1"/>
  <c r="P1107" i="1"/>
  <c r="M1107" i="1"/>
  <c r="P1284" i="1"/>
  <c r="M1284" i="1"/>
  <c r="J1284" i="1"/>
  <c r="G1284" i="1"/>
  <c r="P1277" i="1"/>
  <c r="M1277" i="1"/>
  <c r="J1277" i="1"/>
  <c r="G1277" i="1"/>
  <c r="O1240" i="1"/>
  <c r="N1240" i="1"/>
  <c r="N1282" i="1" s="1"/>
  <c r="L1240" i="1"/>
  <c r="K1240" i="1"/>
  <c r="K1282" i="1" s="1"/>
  <c r="I1240" i="1"/>
  <c r="H1240" i="1"/>
  <c r="H1282" i="1" s="1"/>
  <c r="H1285" i="1" s="1"/>
  <c r="H1290" i="1" s="1"/>
  <c r="F1240" i="1"/>
  <c r="F1282" i="1" s="1"/>
  <c r="E1240" i="1"/>
  <c r="E1282" i="1" s="1"/>
  <c r="E1285" i="1" s="1"/>
  <c r="E1293" i="1" s="1"/>
  <c r="G1232" i="1"/>
  <c r="G1231" i="1"/>
  <c r="J1232" i="1"/>
  <c r="J1231" i="1"/>
  <c r="M1232" i="1"/>
  <c r="M1231" i="1"/>
  <c r="P1232" i="1"/>
  <c r="P1231" i="1"/>
  <c r="O669" i="1"/>
  <c r="N669" i="1"/>
  <c r="L669" i="1"/>
  <c r="K669" i="1"/>
  <c r="I669" i="1"/>
  <c r="H669" i="1"/>
  <c r="F669" i="1"/>
  <c r="E669" i="1"/>
  <c r="P668" i="1"/>
  <c r="P652" i="1"/>
  <c r="M668" i="1"/>
  <c r="M652" i="1"/>
  <c r="J668" i="1"/>
  <c r="J652" i="1"/>
  <c r="G668" i="1"/>
  <c r="G652" i="1"/>
  <c r="P660" i="1"/>
  <c r="M660" i="1"/>
  <c r="J660" i="1"/>
  <c r="G660" i="1"/>
  <c r="P636" i="1"/>
  <c r="M636" i="1"/>
  <c r="J636" i="1"/>
  <c r="G636" i="1"/>
  <c r="AF759" i="1" l="1"/>
  <c r="AL891" i="1"/>
  <c r="AM933" i="1"/>
  <c r="AM934" i="1" s="1"/>
  <c r="AM912" i="1"/>
  <c r="BO1030" i="1"/>
  <c r="BH1027" i="1"/>
  <c r="BH1031" i="1"/>
  <c r="BH1028" i="1"/>
  <c r="AV785" i="1"/>
  <c r="AV792" i="1"/>
  <c r="BP1019" i="1"/>
  <c r="AT840" i="1"/>
  <c r="BN1019" i="1"/>
  <c r="BN1021" i="1"/>
  <c r="BN1022" i="1" s="1"/>
  <c r="AU788" i="1"/>
  <c r="AT788" i="1"/>
  <c r="BK1026" i="1"/>
  <c r="AN745" i="1"/>
  <c r="AP745" i="1"/>
  <c r="BA1031" i="1"/>
  <c r="BC1031" i="1" s="1"/>
  <c r="BA1027" i="1"/>
  <c r="BA1028" i="1"/>
  <c r="AY788" i="1"/>
  <c r="AT892" i="1"/>
  <c r="AQ891" i="1"/>
  <c r="AR752" i="1"/>
  <c r="AQ752" i="1"/>
  <c r="BL1080" i="1"/>
  <c r="BH1080" i="1"/>
  <c r="BG1080" i="1"/>
  <c r="BM1019" i="1"/>
  <c r="BM1021" i="1"/>
  <c r="BJ1022" i="1"/>
  <c r="BL1021" i="1"/>
  <c r="BL1022" i="1" s="1"/>
  <c r="AV768" i="1"/>
  <c r="BQ1024" i="1"/>
  <c r="AQ840" i="1"/>
  <c r="AU765" i="1"/>
  <c r="AQ792" i="1"/>
  <c r="AR792" i="1"/>
  <c r="BC1028" i="1"/>
  <c r="BC1027" i="1"/>
  <c r="AX772" i="1"/>
  <c r="BE752" i="1"/>
  <c r="BB848" i="1"/>
  <c r="BA848" i="1"/>
  <c r="BF848" i="1"/>
  <c r="AT913" i="1"/>
  <c r="AQ912" i="1"/>
  <c r="BP1020" i="1"/>
  <c r="BP1030" i="1" s="1"/>
  <c r="BQ1020" i="1"/>
  <c r="BQ1030" i="1" s="1"/>
  <c r="AS765" i="1"/>
  <c r="AT872" i="1"/>
  <c r="AO872" i="1"/>
  <c r="AP872" i="1"/>
  <c r="AT893" i="1"/>
  <c r="AP893" i="1"/>
  <c r="AO893" i="1"/>
  <c r="BG1024" i="1"/>
  <c r="BF1024" i="1"/>
  <c r="BF1026" i="1" s="1"/>
  <c r="BD1026" i="1"/>
  <c r="BQ1019" i="1"/>
  <c r="BQ1021" i="1"/>
  <c r="BQ1022" i="1" s="1"/>
  <c r="AZ830" i="1"/>
  <c r="AU830" i="1"/>
  <c r="AU840" i="1" s="1"/>
  <c r="AV830" i="1"/>
  <c r="AV840" i="1" s="1"/>
  <c r="AU785" i="1"/>
  <c r="AT785" i="1"/>
  <c r="AU768" i="1"/>
  <c r="AT768" i="1"/>
  <c r="AT934" i="1"/>
  <c r="AQ933" i="1"/>
  <c r="AU745" i="1"/>
  <c r="AS772" i="1"/>
  <c r="AQ772" i="1"/>
  <c r="AR851" i="1"/>
  <c r="AW851" i="1"/>
  <c r="AS851" i="1"/>
  <c r="BE732" i="1"/>
  <c r="AZ732" i="1"/>
  <c r="BA732" i="1"/>
  <c r="AE944" i="1"/>
  <c r="AH944" i="1"/>
  <c r="AH923" i="1"/>
  <c r="V1050" i="1"/>
  <c r="T715" i="1"/>
  <c r="T659" i="1" s="1"/>
  <c r="T654" i="1" s="1"/>
  <c r="U715" i="1"/>
  <c r="U659" i="1" s="1"/>
  <c r="U654" i="1" s="1"/>
  <c r="AE923" i="1"/>
  <c r="X715" i="1"/>
  <c r="X659" i="1" s="1"/>
  <c r="X654" i="1" s="1"/>
  <c r="AI913" i="1"/>
  <c r="AH977" i="1"/>
  <c r="AD977" i="1"/>
  <c r="AD987" i="1" s="1"/>
  <c r="AC977" i="1"/>
  <c r="AC987" i="1" s="1"/>
  <c r="Y1050" i="1"/>
  <c r="W659" i="1"/>
  <c r="W654" i="1" s="1"/>
  <c r="AF895" i="1"/>
  <c r="AH894" i="1"/>
  <c r="AH895" i="1" s="1"/>
  <c r="AJ892" i="1"/>
  <c r="AJ894" i="1"/>
  <c r="AJ895" i="1" s="1"/>
  <c r="Z1039" i="1"/>
  <c r="AA1039" i="1"/>
  <c r="AL913" i="1"/>
  <c r="AI934" i="1"/>
  <c r="AI936" i="1"/>
  <c r="AI892" i="1"/>
  <c r="AI894" i="1"/>
  <c r="AH1040" i="1"/>
  <c r="AE1039" i="1"/>
  <c r="AH903" i="1"/>
  <c r="AN914" i="1"/>
  <c r="AQ914" i="1" s="1"/>
  <c r="AJ914" i="1"/>
  <c r="AJ924" i="1" s="1"/>
  <c r="AI914" i="1"/>
  <c r="AI924" i="1" s="1"/>
  <c r="AD945" i="1"/>
  <c r="AG945" i="1"/>
  <c r="AF960" i="1"/>
  <c r="AL936" i="1"/>
  <c r="AL934" i="1"/>
  <c r="AL892" i="1"/>
  <c r="AM893" i="1"/>
  <c r="AM903" i="1" s="1"/>
  <c r="AL893" i="1"/>
  <c r="AL903" i="1" s="1"/>
  <c r="AJ934" i="1"/>
  <c r="AJ936" i="1"/>
  <c r="AJ937" i="1" s="1"/>
  <c r="AH936" i="1"/>
  <c r="AH937" i="1" s="1"/>
  <c r="AF937" i="1"/>
  <c r="W1040" i="1"/>
  <c r="AF998" i="1"/>
  <c r="AG998" i="1"/>
  <c r="AK998" i="1"/>
  <c r="AF924" i="1"/>
  <c r="AI981" i="1"/>
  <c r="AC945" i="1"/>
  <c r="AF945" i="1"/>
  <c r="AJ913" i="1"/>
  <c r="AM892" i="1"/>
  <c r="AK903" i="1"/>
  <c r="AF916" i="1"/>
  <c r="AH915" i="1"/>
  <c r="AH916" i="1" s="1"/>
  <c r="AM913" i="1"/>
  <c r="X1040" i="1"/>
  <c r="AG924" i="1"/>
  <c r="AI882" i="1"/>
  <c r="AJ882" i="1"/>
  <c r="AB987" i="1"/>
  <c r="AE924" i="1"/>
  <c r="AN840" i="1"/>
  <c r="AF870" i="1"/>
  <c r="AF871" i="1" s="1"/>
  <c r="AN871" i="1"/>
  <c r="AK870" i="1"/>
  <c r="AL872" i="1"/>
  <c r="AL882" i="1" s="1"/>
  <c r="AM872" i="1"/>
  <c r="AM882" i="1" s="1"/>
  <c r="J638" i="1"/>
  <c r="J662" i="1"/>
  <c r="J654" i="1"/>
  <c r="P654" i="1"/>
  <c r="M654" i="1"/>
  <c r="N1285" i="1"/>
  <c r="K1285" i="1"/>
  <c r="O287" i="1"/>
  <c r="O283" i="1"/>
  <c r="O277" i="1"/>
  <c r="K277" i="1"/>
  <c r="K283" i="1"/>
  <c r="K287" i="1"/>
  <c r="L277" i="1"/>
  <c r="L283" i="1"/>
  <c r="L1045" i="1" s="1"/>
  <c r="L1047" i="1" s="1"/>
  <c r="L287" i="1"/>
  <c r="N277" i="1"/>
  <c r="N287" i="1"/>
  <c r="N283" i="1"/>
  <c r="K1288" i="1"/>
  <c r="H1293" i="1"/>
  <c r="L1243" i="1"/>
  <c r="I1285" i="1"/>
  <c r="I1282" i="1"/>
  <c r="J1282" i="1" s="1"/>
  <c r="R1243" i="1"/>
  <c r="O1285" i="1"/>
  <c r="O338" i="1" s="1"/>
  <c r="O1282" i="1"/>
  <c r="G1282" i="1"/>
  <c r="O1243" i="1"/>
  <c r="L1282" i="1"/>
  <c r="L1285" i="1"/>
  <c r="L338" i="1" s="1"/>
  <c r="S1280" i="1"/>
  <c r="P1278" i="1"/>
  <c r="H1243" i="1"/>
  <c r="H1242" i="1"/>
  <c r="N1243" i="1"/>
  <c r="N1242" i="1"/>
  <c r="F1285" i="1"/>
  <c r="G1285" i="1" s="1"/>
  <c r="I1243" i="1"/>
  <c r="I1242" i="1"/>
  <c r="M1280" i="1"/>
  <c r="J1278" i="1"/>
  <c r="K1243" i="1"/>
  <c r="K1242" i="1"/>
  <c r="Q1243" i="1"/>
  <c r="Q1242" i="1"/>
  <c r="P1280" i="1"/>
  <c r="M1278" i="1"/>
  <c r="M1233" i="1"/>
  <c r="M1234" i="1" s="1"/>
  <c r="I1241" i="1"/>
  <c r="O1241" i="1"/>
  <c r="K1241" i="1"/>
  <c r="L1241" i="1"/>
  <c r="H1241" i="1"/>
  <c r="N1241" i="1"/>
  <c r="P1233" i="1"/>
  <c r="P1234" i="1" s="1"/>
  <c r="J1233" i="1"/>
  <c r="J1234" i="1" s="1"/>
  <c r="E623" i="1"/>
  <c r="H672" i="1"/>
  <c r="F623" i="1"/>
  <c r="I672" i="1"/>
  <c r="P637" i="1"/>
  <c r="M653" i="1"/>
  <c r="J637" i="1"/>
  <c r="J661" i="1"/>
  <c r="P653" i="1"/>
  <c r="P661" i="1"/>
  <c r="M637" i="1"/>
  <c r="M661" i="1"/>
  <c r="J653" i="1"/>
  <c r="AF750" i="1"/>
  <c r="AJ774" i="1"/>
  <c r="AJ775" i="1" s="1"/>
  <c r="AI750" i="1"/>
  <c r="AI754" i="1"/>
  <c r="AI755" i="1" s="1"/>
  <c r="AK766" i="1"/>
  <c r="AK767" i="1" s="1"/>
  <c r="AN765" i="1"/>
  <c r="AL748" i="1"/>
  <c r="AJ748" i="1"/>
  <c r="AK746" i="1"/>
  <c r="AK747" i="1" s="1"/>
  <c r="AM746" i="1"/>
  <c r="I623" i="1"/>
  <c r="I670" i="1"/>
  <c r="O623" i="1"/>
  <c r="O670" i="1"/>
  <c r="K623" i="1"/>
  <c r="K634" i="1" s="1"/>
  <c r="K670" i="1"/>
  <c r="L623" i="1"/>
  <c r="L670" i="1"/>
  <c r="H623" i="1"/>
  <c r="H634" i="1" s="1"/>
  <c r="H670" i="1"/>
  <c r="N623" i="1"/>
  <c r="N634" i="1" s="1"/>
  <c r="N670" i="1"/>
  <c r="AF755" i="1"/>
  <c r="AG754" i="1"/>
  <c r="AG750" i="1"/>
  <c r="AH749" i="1"/>
  <c r="AH750" i="1" s="1"/>
  <c r="R1045" i="1"/>
  <c r="S1045" i="1" s="1"/>
  <c r="AJ794" i="1"/>
  <c r="AD754" i="1"/>
  <c r="AD755" i="1" s="1"/>
  <c r="AD750" i="1"/>
  <c r="AG789" i="1"/>
  <c r="AG790" i="1" s="1"/>
  <c r="AF790" i="1"/>
  <c r="AK789" i="1"/>
  <c r="AK790" i="1" s="1"/>
  <c r="AI790" i="1"/>
  <c r="AE749" i="1"/>
  <c r="AE750" i="1" s="1"/>
  <c r="AA774" i="1"/>
  <c r="AA770" i="1"/>
  <c r="AH786" i="1"/>
  <c r="AH787" i="1" s="1"/>
  <c r="AA937" i="1"/>
  <c r="AK786" i="1"/>
  <c r="AK787" i="1" s="1"/>
  <c r="AD895" i="1"/>
  <c r="AA895" i="1"/>
  <c r="AI769" i="1"/>
  <c r="AD767" i="1"/>
  <c r="AC767" i="1"/>
  <c r="P1210" i="1"/>
  <c r="P1224" i="1"/>
  <c r="P1217" i="1"/>
  <c r="M1210" i="1"/>
  <c r="M1224" i="1"/>
  <c r="M1217" i="1"/>
  <c r="J1224" i="1"/>
  <c r="J1217" i="1"/>
  <c r="J1210" i="1"/>
  <c r="I1210" i="1" s="1"/>
  <c r="I1205" i="1" s="1"/>
  <c r="AN792" i="1"/>
  <c r="AK840" i="1"/>
  <c r="AI794" i="1"/>
  <c r="AE794" i="1"/>
  <c r="AE795" i="1" s="1"/>
  <c r="AH840" i="1"/>
  <c r="AH829" i="1"/>
  <c r="AG834" i="1"/>
  <c r="AF834" i="1"/>
  <c r="Y960" i="1"/>
  <c r="AG873" i="1"/>
  <c r="AG871" i="1"/>
  <c r="AB873" i="1"/>
  <c r="Z874" i="1"/>
  <c r="Z878" i="1"/>
  <c r="AD873" i="1"/>
  <c r="AD871" i="1"/>
  <c r="AA874" i="1"/>
  <c r="AC873" i="1"/>
  <c r="AC871" i="1"/>
  <c r="AD936" i="1"/>
  <c r="AD934" i="1"/>
  <c r="AB936" i="1"/>
  <c r="AB937" i="1" s="1"/>
  <c r="Z937" i="1"/>
  <c r="AC936" i="1"/>
  <c r="AC934" i="1"/>
  <c r="Y955" i="1"/>
  <c r="V954" i="1"/>
  <c r="Z953" i="1"/>
  <c r="AA953" i="1"/>
  <c r="W956" i="1"/>
  <c r="AB956" i="1"/>
  <c r="AE956" i="1" s="1"/>
  <c r="X956" i="1"/>
  <c r="U1040" i="1"/>
  <c r="T1040" i="1"/>
  <c r="T1045" i="1"/>
  <c r="W1045" i="1" s="1"/>
  <c r="AB894" i="1"/>
  <c r="AB895" i="1" s="1"/>
  <c r="Z895" i="1"/>
  <c r="AC895" i="1"/>
  <c r="AE894" i="1"/>
  <c r="AE895" i="1" s="1"/>
  <c r="AA981" i="1"/>
  <c r="G669" i="1"/>
  <c r="M669" i="1"/>
  <c r="M1240" i="1"/>
  <c r="P1243" i="1" s="1"/>
  <c r="G1240" i="1"/>
  <c r="J1243" i="1" s="1"/>
  <c r="W916" i="1"/>
  <c r="Y915" i="1"/>
  <c r="X916" i="1"/>
  <c r="AA916" i="1"/>
  <c r="AD915" i="1"/>
  <c r="AD913" i="1"/>
  <c r="AB915" i="1"/>
  <c r="Z916" i="1"/>
  <c r="AC915" i="1"/>
  <c r="AC913" i="1"/>
  <c r="J669" i="1"/>
  <c r="P669" i="1"/>
  <c r="P1240" i="1"/>
  <c r="S1243" i="1" s="1"/>
  <c r="J1240" i="1"/>
  <c r="M1243" i="1" s="1"/>
  <c r="S976" i="1"/>
  <c r="V976" i="1" s="1"/>
  <c r="Y976" i="1" s="1"/>
  <c r="N1108" i="1"/>
  <c r="Q1108" i="1" s="1"/>
  <c r="T1108" i="1" s="1"/>
  <c r="G1060" i="1"/>
  <c r="AM936" i="1" l="1"/>
  <c r="AM937" i="1" s="1"/>
  <c r="BN1026" i="1"/>
  <c r="BN1031" i="1" s="1"/>
  <c r="AF873" i="1"/>
  <c r="AF874" i="1" s="1"/>
  <c r="AM894" i="1"/>
  <c r="AM895" i="1" s="1"/>
  <c r="AJ915" i="1"/>
  <c r="AJ916" i="1" s="1"/>
  <c r="AP787" i="1"/>
  <c r="AP786" i="1" s="1"/>
  <c r="AP789" i="1" s="1"/>
  <c r="AO787" i="1"/>
  <c r="AO786" i="1" s="1"/>
  <c r="AY830" i="1"/>
  <c r="AY840" i="1" s="1"/>
  <c r="BC830" i="1"/>
  <c r="AX830" i="1"/>
  <c r="AX840" i="1" s="1"/>
  <c r="BD1027" i="1"/>
  <c r="BD1028" i="1"/>
  <c r="BD1031" i="1"/>
  <c r="BF1031" i="1" s="1"/>
  <c r="AP903" i="1"/>
  <c r="AR872" i="1"/>
  <c r="AR882" i="1" s="1"/>
  <c r="AW872" i="1"/>
  <c r="AS872" i="1"/>
  <c r="AS882" i="1" s="1"/>
  <c r="BR1030" i="1"/>
  <c r="BD848" i="1"/>
  <c r="BI848" i="1"/>
  <c r="BE848" i="1"/>
  <c r="BH752" i="1"/>
  <c r="AX765" i="1"/>
  <c r="AU752" i="1"/>
  <c r="AT752" i="1"/>
  <c r="BB788" i="1"/>
  <c r="AS745" i="1"/>
  <c r="AQ745" i="1"/>
  <c r="AY785" i="1"/>
  <c r="AL749" i="1"/>
  <c r="AL754" i="1" s="1"/>
  <c r="AL755" i="1" s="1"/>
  <c r="AO748" i="1"/>
  <c r="AN870" i="1"/>
  <c r="AM870" i="1" s="1"/>
  <c r="AQ871" i="1"/>
  <c r="AX745" i="1"/>
  <c r="AW785" i="1"/>
  <c r="AX785" i="1"/>
  <c r="BF1027" i="1"/>
  <c r="BF1028" i="1"/>
  <c r="AR893" i="1"/>
  <c r="AR903" i="1" s="1"/>
  <c r="AW893" i="1"/>
  <c r="AS893" i="1"/>
  <c r="AS903" i="1" s="1"/>
  <c r="BQ1026" i="1"/>
  <c r="AO891" i="1"/>
  <c r="AP891" i="1"/>
  <c r="AW788" i="1"/>
  <c r="AX788" i="1"/>
  <c r="AP914" i="1"/>
  <c r="AO914" i="1"/>
  <c r="AT914" i="1"/>
  <c r="AV851" i="1"/>
  <c r="AU851" i="1"/>
  <c r="AZ851" i="1"/>
  <c r="AV772" i="1"/>
  <c r="AT772" i="1"/>
  <c r="AP933" i="1"/>
  <c r="AO933" i="1"/>
  <c r="AW768" i="1"/>
  <c r="AX768" i="1"/>
  <c r="AW840" i="1"/>
  <c r="BJ1024" i="1"/>
  <c r="BI1024" i="1"/>
  <c r="BI1026" i="1" s="1"/>
  <c r="BG1026" i="1"/>
  <c r="AP882" i="1"/>
  <c r="AV765" i="1"/>
  <c r="AW765" i="1" s="1"/>
  <c r="AO912" i="1"/>
  <c r="AP912" i="1"/>
  <c r="BA772" i="1"/>
  <c r="AT765" i="1"/>
  <c r="AT891" i="1"/>
  <c r="AW892" i="1"/>
  <c r="BK1027" i="1"/>
  <c r="BK1031" i="1"/>
  <c r="BK1028" i="1"/>
  <c r="AY792" i="1"/>
  <c r="AO747" i="1"/>
  <c r="AO746" i="1" s="1"/>
  <c r="AP747" i="1"/>
  <c r="AP746" i="1" s="1"/>
  <c r="AO767" i="1"/>
  <c r="AO766" i="1" s="1"/>
  <c r="AP767" i="1"/>
  <c r="AP766" i="1" s="1"/>
  <c r="AP769" i="1" s="1"/>
  <c r="AT933" i="1"/>
  <c r="AW934" i="1"/>
  <c r="AO903" i="1"/>
  <c r="AO882" i="1"/>
  <c r="AT912" i="1"/>
  <c r="AW913" i="1"/>
  <c r="AT792" i="1"/>
  <c r="AU792" i="1"/>
  <c r="AY768" i="1"/>
  <c r="BO1021" i="1"/>
  <c r="BO1022" i="1" s="1"/>
  <c r="BM1022" i="1"/>
  <c r="BO1080" i="1"/>
  <c r="BJ1080" i="1"/>
  <c r="BK1080" i="1"/>
  <c r="BP1021" i="1"/>
  <c r="BH732" i="1"/>
  <c r="BC732" i="1"/>
  <c r="BD732" i="1"/>
  <c r="AL894" i="1"/>
  <c r="AL895" i="1" s="1"/>
  <c r="AE945" i="1"/>
  <c r="AK924" i="1"/>
  <c r="AN903" i="1"/>
  <c r="AH945" i="1"/>
  <c r="V715" i="1"/>
  <c r="V659" i="1" s="1"/>
  <c r="Y715" i="1"/>
  <c r="Y659" i="1" s="1"/>
  <c r="Z1045" i="1"/>
  <c r="AD956" i="1"/>
  <c r="AH956" i="1"/>
  <c r="AC956" i="1"/>
  <c r="AL981" i="1"/>
  <c r="AO981" i="1" s="1"/>
  <c r="AL937" i="1"/>
  <c r="AM914" i="1"/>
  <c r="AL914" i="1"/>
  <c r="AI895" i="1"/>
  <c r="AK894" i="1"/>
  <c r="AK895" i="1" s="1"/>
  <c r="Z1040" i="1"/>
  <c r="AH924" i="1"/>
  <c r="AG977" i="1"/>
  <c r="AG987" i="1" s="1"/>
  <c r="AF977" i="1"/>
  <c r="AF987" i="1" s="1"/>
  <c r="AK977" i="1"/>
  <c r="AI998" i="1"/>
  <c r="AJ998" i="1"/>
  <c r="AN998" i="1"/>
  <c r="AQ998" i="1" s="1"/>
  <c r="AC1039" i="1"/>
  <c r="AD1039" i="1"/>
  <c r="AI937" i="1"/>
  <c r="AK936" i="1"/>
  <c r="AK937" i="1" s="1"/>
  <c r="W1108" i="1"/>
  <c r="AB981" i="1"/>
  <c r="AD981" i="1"/>
  <c r="AI960" i="1"/>
  <c r="AK1040" i="1"/>
  <c r="AH1039" i="1"/>
  <c r="AA1040" i="1"/>
  <c r="AE987" i="1"/>
  <c r="AI915" i="1"/>
  <c r="Z883" i="1"/>
  <c r="Z880" i="1"/>
  <c r="L1052" i="1"/>
  <c r="M1052" i="1" s="1"/>
  <c r="L1049" i="1"/>
  <c r="I1217" i="1"/>
  <c r="I1206" i="1" s="1"/>
  <c r="AI1223" i="1"/>
  <c r="Y1337" i="1"/>
  <c r="AM1223" i="1"/>
  <c r="AB1337" i="1"/>
  <c r="AE1337" i="1"/>
  <c r="M1337" i="1"/>
  <c r="K337" i="1"/>
  <c r="K1290" i="1"/>
  <c r="I1224" i="1"/>
  <c r="I1207" i="1" s="1"/>
  <c r="T1343" i="1"/>
  <c r="W1343" i="1"/>
  <c r="Q1343" i="1"/>
  <c r="Z1343" i="1"/>
  <c r="K1343" i="1"/>
  <c r="N1343" i="1"/>
  <c r="G1293" i="1"/>
  <c r="G1290" i="1"/>
  <c r="N337" i="1"/>
  <c r="N1290" i="1"/>
  <c r="AK882" i="1"/>
  <c r="AN882" i="1"/>
  <c r="AJ870" i="1"/>
  <c r="AI870" i="1"/>
  <c r="Z879" i="1"/>
  <c r="K1286" i="1"/>
  <c r="K1287" i="1" s="1"/>
  <c r="N1288" i="1"/>
  <c r="Q1288" i="1"/>
  <c r="P1282" i="1"/>
  <c r="O337" i="1"/>
  <c r="N1286" i="1"/>
  <c r="K1293" i="1"/>
  <c r="K338" i="1"/>
  <c r="M1282" i="1"/>
  <c r="L337" i="1"/>
  <c r="N1293" i="1"/>
  <c r="N338" i="1"/>
  <c r="M277" i="1"/>
  <c r="L1048" i="1"/>
  <c r="M1047" i="1"/>
  <c r="M1049" i="1" s="1"/>
  <c r="M283" i="1"/>
  <c r="P283" i="1"/>
  <c r="P287" i="1"/>
  <c r="M287" i="1"/>
  <c r="P277" i="1"/>
  <c r="M1279" i="1"/>
  <c r="M1285" i="1"/>
  <c r="M1290" i="1" s="1"/>
  <c r="L1286" i="1"/>
  <c r="O1288" i="1"/>
  <c r="J1285" i="1"/>
  <c r="J1290" i="1" s="1"/>
  <c r="L1288" i="1"/>
  <c r="P1285" i="1"/>
  <c r="P1290" i="1" s="1"/>
  <c r="O1286" i="1"/>
  <c r="R1288" i="1"/>
  <c r="P1279" i="1"/>
  <c r="J1241" i="1"/>
  <c r="J1242" i="1" s="1"/>
  <c r="M1241" i="1"/>
  <c r="M1242" i="1" s="1"/>
  <c r="P1241" i="1"/>
  <c r="P1242" i="1" s="1"/>
  <c r="O1224" i="1"/>
  <c r="P1225" i="1"/>
  <c r="P1226" i="1" s="1"/>
  <c r="L1224" i="1"/>
  <c r="M1225" i="1"/>
  <c r="M1226" i="1" s="1"/>
  <c r="L1217" i="1"/>
  <c r="M1218" i="1"/>
  <c r="M1219" i="1" s="1"/>
  <c r="O1210" i="1"/>
  <c r="P1211" i="1"/>
  <c r="P1212" i="1" s="1"/>
  <c r="L1210" i="1"/>
  <c r="M1211" i="1"/>
  <c r="M1212" i="1" s="1"/>
  <c r="O1217" i="1"/>
  <c r="P1218" i="1"/>
  <c r="P1219" i="1" s="1"/>
  <c r="I671" i="1"/>
  <c r="H671" i="1"/>
  <c r="G623" i="1"/>
  <c r="G634" i="1" s="1"/>
  <c r="J672" i="1"/>
  <c r="AJ795" i="1"/>
  <c r="AM748" i="1"/>
  <c r="AP748" i="1" s="1"/>
  <c r="AK748" i="1"/>
  <c r="AJ749" i="1"/>
  <c r="AN746" i="1"/>
  <c r="AN747" i="1" s="1"/>
  <c r="P670" i="1"/>
  <c r="J623" i="1"/>
  <c r="J634" i="1" s="1"/>
  <c r="J670" i="1"/>
  <c r="M623" i="1"/>
  <c r="M634" i="1" s="1"/>
  <c r="M670" i="1"/>
  <c r="AG755" i="1"/>
  <c r="U1045" i="1"/>
  <c r="AH754" i="1"/>
  <c r="AH882" i="1"/>
  <c r="AH789" i="1"/>
  <c r="AH790" i="1" s="1"/>
  <c r="AE754" i="1"/>
  <c r="AE755" i="1" s="1"/>
  <c r="AG794" i="1"/>
  <c r="AI795" i="1"/>
  <c r="AI774" i="1"/>
  <c r="AI775" i="1" s="1"/>
  <c r="AI770" i="1"/>
  <c r="AB774" i="1"/>
  <c r="AB775" i="1" s="1"/>
  <c r="AD937" i="1"/>
  <c r="G1062" i="1"/>
  <c r="P1062" i="1" s="1"/>
  <c r="K1060" i="1"/>
  <c r="L1060" i="1"/>
  <c r="AK769" i="1"/>
  <c r="AK770" i="1" s="1"/>
  <c r="AF767" i="1"/>
  <c r="AF766" i="1" s="1"/>
  <c r="AC766" i="1"/>
  <c r="AG767" i="1"/>
  <c r="AG766" i="1" s="1"/>
  <c r="AG769" i="1" s="1"/>
  <c r="AD766" i="1"/>
  <c r="AF794" i="1"/>
  <c r="AK794" i="1"/>
  <c r="AK795" i="1" s="1"/>
  <c r="AL787" i="1"/>
  <c r="AL786" i="1" s="1"/>
  <c r="AL789" i="1" s="1"/>
  <c r="AM787" i="1"/>
  <c r="AM786" i="1" s="1"/>
  <c r="AH834" i="1"/>
  <c r="AK833" i="1" s="1"/>
  <c r="AI834" i="1"/>
  <c r="AL834" i="1" s="1"/>
  <c r="AO834" i="1" s="1"/>
  <c r="AK829" i="1"/>
  <c r="AH828" i="1"/>
  <c r="AB874" i="1"/>
  <c r="AC874" i="1"/>
  <c r="AE873" i="1"/>
  <c r="AD874" i="1"/>
  <c r="AG874" i="1"/>
  <c r="AC937" i="1"/>
  <c r="AE936" i="1"/>
  <c r="AE937" i="1" s="1"/>
  <c r="AA956" i="1"/>
  <c r="Z956" i="1"/>
  <c r="U954" i="1"/>
  <c r="T954" i="1"/>
  <c r="AB955" i="1"/>
  <c r="Y954" i="1"/>
  <c r="AB976" i="1"/>
  <c r="Y975" i="1"/>
  <c r="AB916" i="1"/>
  <c r="AD916" i="1"/>
  <c r="Y916" i="1"/>
  <c r="AC916" i="1"/>
  <c r="AE915" i="1"/>
  <c r="V975" i="1"/>
  <c r="G1061" i="1"/>
  <c r="P1061" i="1" s="1"/>
  <c r="S1061" i="1" s="1"/>
  <c r="V1061" i="1" s="1"/>
  <c r="O1059" i="1"/>
  <c r="O1071" i="1" s="1"/>
  <c r="N1059" i="1"/>
  <c r="N1071" i="1" s="1"/>
  <c r="AN936" i="1" l="1"/>
  <c r="AN937" i="1" s="1"/>
  <c r="BN1028" i="1"/>
  <c r="AL870" i="1"/>
  <c r="AL871" i="1" s="1"/>
  <c r="AH873" i="1"/>
  <c r="BN1027" i="1"/>
  <c r="AL750" i="1"/>
  <c r="AN894" i="1"/>
  <c r="AN895" i="1" s="1"/>
  <c r="AQ903" i="1"/>
  <c r="AT882" i="1"/>
  <c r="AQ882" i="1"/>
  <c r="AT903" i="1"/>
  <c r="AX792" i="1"/>
  <c r="AW792" i="1"/>
  <c r="AP749" i="1"/>
  <c r="BB792" i="1"/>
  <c r="AP915" i="1"/>
  <c r="AP916" i="1" s="1"/>
  <c r="AP913" i="1"/>
  <c r="AO894" i="1"/>
  <c r="AO892" i="1"/>
  <c r="AV893" i="1"/>
  <c r="AV903" i="1" s="1"/>
  <c r="AZ893" i="1"/>
  <c r="AU893" i="1"/>
  <c r="AU903" i="1" s="1"/>
  <c r="BA745" i="1"/>
  <c r="BA830" i="1"/>
  <c r="BA840" i="1" s="1"/>
  <c r="BF830" i="1"/>
  <c r="BB830" i="1"/>
  <c r="BB840" i="1" s="1"/>
  <c r="AS748" i="1"/>
  <c r="BP1022" i="1"/>
  <c r="BR1021" i="1"/>
  <c r="BR1022" i="1" s="1"/>
  <c r="BR1080" i="1"/>
  <c r="BM1080" i="1"/>
  <c r="BN1080" i="1"/>
  <c r="AQ746" i="1"/>
  <c r="AQ747" i="1" s="1"/>
  <c r="AO749" i="1"/>
  <c r="AZ892" i="1"/>
  <c r="AW891" i="1"/>
  <c r="AO913" i="1"/>
  <c r="AO915" i="1"/>
  <c r="BG1027" i="1"/>
  <c r="BG1028" i="1"/>
  <c r="BG1031" i="1"/>
  <c r="BI1031" i="1" s="1"/>
  <c r="AO936" i="1"/>
  <c r="AO934" i="1"/>
  <c r="AY772" i="1"/>
  <c r="AW772" i="1"/>
  <c r="AS914" i="1"/>
  <c r="AS924" i="1" s="1"/>
  <c r="AW914" i="1"/>
  <c r="AR914" i="1"/>
  <c r="AR924" i="1" s="1"/>
  <c r="BA788" i="1"/>
  <c r="AZ788" i="1"/>
  <c r="BA785" i="1"/>
  <c r="AZ785" i="1"/>
  <c r="AT871" i="1"/>
  <c r="AQ870" i="1"/>
  <c r="AV745" i="1"/>
  <c r="AT745" i="1"/>
  <c r="BL848" i="1"/>
  <c r="BG848" i="1"/>
  <c r="BH848" i="1"/>
  <c r="AV872" i="1"/>
  <c r="AV882" i="1" s="1"/>
  <c r="AU872" i="1"/>
  <c r="AU882" i="1" s="1"/>
  <c r="AZ872" i="1"/>
  <c r="AZ840" i="1"/>
  <c r="AR747" i="1"/>
  <c r="AR746" i="1" s="1"/>
  <c r="AS747" i="1"/>
  <c r="AS746" i="1" s="1"/>
  <c r="BB768" i="1"/>
  <c r="AZ913" i="1"/>
  <c r="AW912" i="1"/>
  <c r="AZ934" i="1"/>
  <c r="AW933" i="1"/>
  <c r="AP770" i="1"/>
  <c r="AP774" i="1"/>
  <c r="AS891" i="1"/>
  <c r="AR891" i="1"/>
  <c r="BD772" i="1"/>
  <c r="BI1027" i="1"/>
  <c r="BI1028" i="1"/>
  <c r="AP934" i="1"/>
  <c r="AP936" i="1"/>
  <c r="AP937" i="1" s="1"/>
  <c r="AY851" i="1"/>
  <c r="BC851" i="1"/>
  <c r="AX851" i="1"/>
  <c r="AO924" i="1"/>
  <c r="BQ1027" i="1"/>
  <c r="BQ1028" i="1"/>
  <c r="BQ1031" i="1"/>
  <c r="BB785" i="1"/>
  <c r="AW752" i="1"/>
  <c r="AX752" i="1"/>
  <c r="BK752" i="1"/>
  <c r="AO789" i="1"/>
  <c r="AQ786" i="1"/>
  <c r="AQ787" i="1" s="1"/>
  <c r="AR834" i="1"/>
  <c r="AO998" i="1"/>
  <c r="AP998" i="1"/>
  <c r="AT998" i="1"/>
  <c r="AR981" i="1"/>
  <c r="AR912" i="1"/>
  <c r="AS912" i="1"/>
  <c r="AR933" i="1"/>
  <c r="AS933" i="1"/>
  <c r="AO769" i="1"/>
  <c r="AQ766" i="1"/>
  <c r="AQ767" i="1" s="1"/>
  <c r="AY765" i="1"/>
  <c r="AZ765" i="1" s="1"/>
  <c r="BM1024" i="1"/>
  <c r="BL1024" i="1"/>
  <c r="BL1026" i="1" s="1"/>
  <c r="BJ1026" i="1"/>
  <c r="BA768" i="1"/>
  <c r="AZ768" i="1"/>
  <c r="AP924" i="1"/>
  <c r="AP894" i="1"/>
  <c r="AP895" i="1" s="1"/>
  <c r="AP892" i="1"/>
  <c r="AQ748" i="1"/>
  <c r="AR748" i="1"/>
  <c r="BE788" i="1"/>
  <c r="BA765" i="1"/>
  <c r="AP790" i="1"/>
  <c r="AP794" i="1"/>
  <c r="BK732" i="1"/>
  <c r="BF732" i="1"/>
  <c r="BG732" i="1"/>
  <c r="AH987" i="1"/>
  <c r="V1060" i="1"/>
  <c r="U1060" i="1" s="1"/>
  <c r="Y1061" i="1"/>
  <c r="AB975" i="1"/>
  <c r="AA975" i="1" s="1"/>
  <c r="AA976" i="1" s="1"/>
  <c r="AE976" i="1"/>
  <c r="AL960" i="1"/>
  <c r="AO960" i="1" s="1"/>
  <c r="AG981" i="1"/>
  <c r="AE981" i="1"/>
  <c r="AL998" i="1"/>
  <c r="AM998" i="1"/>
  <c r="AJ977" i="1"/>
  <c r="AJ987" i="1" s="1"/>
  <c r="AI977" i="1"/>
  <c r="AI987" i="1" s="1"/>
  <c r="AN977" i="1"/>
  <c r="AQ977" i="1" s="1"/>
  <c r="AI916" i="1"/>
  <c r="AK915" i="1"/>
  <c r="AK916" i="1" s="1"/>
  <c r="AF1039" i="1"/>
  <c r="AG1039" i="1"/>
  <c r="AB954" i="1"/>
  <c r="Z954" i="1" s="1"/>
  <c r="AE955" i="1"/>
  <c r="V1045" i="1"/>
  <c r="X1045" i="1"/>
  <c r="AN1040" i="1"/>
  <c r="AK1039" i="1"/>
  <c r="AD1040" i="1"/>
  <c r="AL924" i="1"/>
  <c r="AL915" i="1"/>
  <c r="Z1108" i="1"/>
  <c r="AC1040" i="1"/>
  <c r="AM924" i="1"/>
  <c r="AM915" i="1"/>
  <c r="AM916" i="1" s="1"/>
  <c r="AK956" i="1"/>
  <c r="AG956" i="1"/>
  <c r="AF956" i="1"/>
  <c r="AC1045" i="1"/>
  <c r="P1071" i="1"/>
  <c r="V1338" i="1"/>
  <c r="U1343" i="1"/>
  <c r="Y1338" i="1"/>
  <c r="Y1343" i="1" s="1"/>
  <c r="X1343" i="1"/>
  <c r="S1337" i="1"/>
  <c r="S1338" i="1"/>
  <c r="R1343" i="1"/>
  <c r="V1337" i="1"/>
  <c r="AK1337" i="1"/>
  <c r="AJ1223" i="1"/>
  <c r="AK1223" i="1" s="1"/>
  <c r="AB1338" i="1"/>
  <c r="AB1343" i="1" s="1"/>
  <c r="AA1343" i="1"/>
  <c r="L1343" i="1"/>
  <c r="M1338" i="1"/>
  <c r="M1343" i="1" s="1"/>
  <c r="AL1223" i="1"/>
  <c r="AN1223" i="1" s="1"/>
  <c r="O1343" i="1"/>
  <c r="P1338" i="1"/>
  <c r="AE1338" i="1"/>
  <c r="P1337" i="1"/>
  <c r="AL873" i="1"/>
  <c r="AI871" i="1"/>
  <c r="AI873" i="1"/>
  <c r="AM871" i="1"/>
  <c r="AM873" i="1"/>
  <c r="AJ871" i="1"/>
  <c r="AJ873" i="1"/>
  <c r="AK828" i="1"/>
  <c r="AI828" i="1" s="1"/>
  <c r="AN829" i="1"/>
  <c r="N1287" i="1"/>
  <c r="P1293" i="1"/>
  <c r="P338" i="1"/>
  <c r="M337" i="1"/>
  <c r="M1293" i="1"/>
  <c r="M338" i="1"/>
  <c r="P337" i="1"/>
  <c r="M1048" i="1"/>
  <c r="O1287" i="1"/>
  <c r="M1288" i="1"/>
  <c r="J1293" i="1"/>
  <c r="L1287" i="1"/>
  <c r="P1286" i="1"/>
  <c r="S1288" i="1"/>
  <c r="P1288" i="1"/>
  <c r="M1286" i="1"/>
  <c r="L1207" i="1"/>
  <c r="L1225" i="1"/>
  <c r="L1226" i="1" s="1"/>
  <c r="O1207" i="1"/>
  <c r="O1225" i="1"/>
  <c r="O1226" i="1" s="1"/>
  <c r="O1206" i="1"/>
  <c r="O1218" i="1"/>
  <c r="O1219" i="1" s="1"/>
  <c r="O1205" i="1"/>
  <c r="O1211" i="1"/>
  <c r="O1212" i="1" s="1"/>
  <c r="L1205" i="1"/>
  <c r="L1211" i="1"/>
  <c r="L1212" i="1" s="1"/>
  <c r="L1206" i="1"/>
  <c r="L1218" i="1"/>
  <c r="L1219" i="1" s="1"/>
  <c r="J671" i="1"/>
  <c r="AM749" i="1"/>
  <c r="AN749" i="1" s="1"/>
  <c r="AN750" i="1" s="1"/>
  <c r="AG795" i="1"/>
  <c r="AN748" i="1"/>
  <c r="AJ754" i="1"/>
  <c r="AK749" i="1"/>
  <c r="AK750" i="1" s="1"/>
  <c r="AJ750" i="1"/>
  <c r="AH755" i="1"/>
  <c r="AK774" i="1"/>
  <c r="AK775" i="1" s="1"/>
  <c r="AL790" i="1"/>
  <c r="AM789" i="1"/>
  <c r="AM790" i="1" s="1"/>
  <c r="AF795" i="1"/>
  <c r="AC774" i="1"/>
  <c r="AC775" i="1" s="1"/>
  <c r="AC770" i="1"/>
  <c r="AG774" i="1"/>
  <c r="AG775" i="1" s="1"/>
  <c r="AG770" i="1"/>
  <c r="AD774" i="1"/>
  <c r="AD775" i="1" s="1"/>
  <c r="AD770" i="1"/>
  <c r="M1060" i="1"/>
  <c r="M1061" i="1" s="1"/>
  <c r="K1061" i="1"/>
  <c r="L1061" i="1"/>
  <c r="K1062" i="1"/>
  <c r="L1062" i="1"/>
  <c r="L1072" i="1" s="1"/>
  <c r="AJ834" i="1"/>
  <c r="AH766" i="1"/>
  <c r="AH767" i="1" s="1"/>
  <c r="AF769" i="1"/>
  <c r="AF770" i="1" s="1"/>
  <c r="P1060" i="1"/>
  <c r="O1060" i="1" s="1"/>
  <c r="AH794" i="1"/>
  <c r="AH795" i="1" s="1"/>
  <c r="AN786" i="1"/>
  <c r="AN787" i="1" s="1"/>
  <c r="AG828" i="1"/>
  <c r="AF828" i="1"/>
  <c r="AH874" i="1"/>
  <c r="AE874" i="1"/>
  <c r="W954" i="1"/>
  <c r="X954" i="1"/>
  <c r="T957" i="1"/>
  <c r="T955" i="1"/>
  <c r="U957" i="1"/>
  <c r="U955" i="1"/>
  <c r="W975" i="1"/>
  <c r="W976" i="1" s="1"/>
  <c r="X975" i="1"/>
  <c r="X976" i="1" s="1"/>
  <c r="AE916" i="1"/>
  <c r="U975" i="1"/>
  <c r="T975" i="1"/>
  <c r="G1064" i="1"/>
  <c r="S1062" i="1"/>
  <c r="V1062" i="1" s="1"/>
  <c r="Y1062" i="1" s="1"/>
  <c r="O1062" i="1"/>
  <c r="N1062" i="1"/>
  <c r="S1060" i="1"/>
  <c r="Q1059" i="1"/>
  <c r="R1059" i="1"/>
  <c r="AS749" i="1" l="1"/>
  <c r="AS754" i="1" s="1"/>
  <c r="AA954" i="1"/>
  <c r="AA957" i="1" s="1"/>
  <c r="T1060" i="1"/>
  <c r="T1061" i="1" s="1"/>
  <c r="AT924" i="1"/>
  <c r="AW903" i="1"/>
  <c r="AN828" i="1"/>
  <c r="AM828" i="1" s="1"/>
  <c r="AQ829" i="1"/>
  <c r="AO977" i="1"/>
  <c r="AP977" i="1"/>
  <c r="AT977" i="1"/>
  <c r="AU748" i="1"/>
  <c r="AT748" i="1"/>
  <c r="BP1024" i="1"/>
  <c r="BO1024" i="1"/>
  <c r="BO1026" i="1" s="1"/>
  <c r="BM1026" i="1"/>
  <c r="AV767" i="1"/>
  <c r="AV766" i="1" s="1"/>
  <c r="AV769" i="1" s="1"/>
  <c r="AU767" i="1"/>
  <c r="AU766" i="1" s="1"/>
  <c r="AS915" i="1"/>
  <c r="AS916" i="1" s="1"/>
  <c r="AS913" i="1"/>
  <c r="AO790" i="1"/>
  <c r="AQ789" i="1"/>
  <c r="AQ790" i="1" s="1"/>
  <c r="AO794" i="1"/>
  <c r="BA752" i="1"/>
  <c r="AZ752" i="1"/>
  <c r="BG772" i="1"/>
  <c r="AP775" i="1"/>
  <c r="AV912" i="1"/>
  <c r="AU912" i="1"/>
  <c r="AS750" i="1"/>
  <c r="AY872" i="1"/>
  <c r="AY882" i="1" s="1"/>
  <c r="BC872" i="1"/>
  <c r="AX872" i="1"/>
  <c r="AX882" i="1" s="1"/>
  <c r="AV891" i="1"/>
  <c r="AU891" i="1"/>
  <c r="AY893" i="1"/>
  <c r="AY903" i="1" s="1"/>
  <c r="BC893" i="1"/>
  <c r="AX893" i="1"/>
  <c r="AX903" i="1" s="1"/>
  <c r="AP750" i="1"/>
  <c r="AP754" i="1"/>
  <c r="BD768" i="1"/>
  <c r="BC768" i="1"/>
  <c r="AQ769" i="1"/>
  <c r="AQ770" i="1" s="1"/>
  <c r="AO770" i="1"/>
  <c r="AO774" i="1"/>
  <c r="AR915" i="1"/>
  <c r="AR913" i="1"/>
  <c r="AW998" i="1"/>
  <c r="AR998" i="1"/>
  <c r="AS998" i="1"/>
  <c r="AU834" i="1"/>
  <c r="BA851" i="1"/>
  <c r="BF851" i="1"/>
  <c r="BB851" i="1"/>
  <c r="BC913" i="1"/>
  <c r="AZ912" i="1"/>
  <c r="AT746" i="1"/>
  <c r="AT747" i="1" s="1"/>
  <c r="AR749" i="1"/>
  <c r="BO848" i="1"/>
  <c r="BJ848" i="1"/>
  <c r="BK848" i="1"/>
  <c r="AW745" i="1"/>
  <c r="AY745" i="1"/>
  <c r="BC788" i="1"/>
  <c r="BD788" i="1"/>
  <c r="AO937" i="1"/>
  <c r="AQ936" i="1"/>
  <c r="AQ937" i="1" s="1"/>
  <c r="BC892" i="1"/>
  <c r="AZ891" i="1"/>
  <c r="BE830" i="1"/>
  <c r="BE840" i="1" s="1"/>
  <c r="BD830" i="1"/>
  <c r="BD840" i="1" s="1"/>
  <c r="BI830" i="1"/>
  <c r="BH788" i="1"/>
  <c r="BJ1027" i="1"/>
  <c r="BJ1031" i="1"/>
  <c r="BL1031" i="1" s="1"/>
  <c r="BJ1028" i="1"/>
  <c r="BB765" i="1"/>
  <c r="BC765" i="1" s="1"/>
  <c r="AS936" i="1"/>
  <c r="AS937" i="1" s="1"/>
  <c r="AS934" i="1"/>
  <c r="BN752" i="1"/>
  <c r="AR892" i="1"/>
  <c r="AR894" i="1"/>
  <c r="AU933" i="1"/>
  <c r="AV933" i="1"/>
  <c r="AW882" i="1"/>
  <c r="AO870" i="1"/>
  <c r="AP870" i="1"/>
  <c r="BD785" i="1"/>
  <c r="BC785" i="1"/>
  <c r="AQ915" i="1"/>
  <c r="AQ916" i="1" s="1"/>
  <c r="AO916" i="1"/>
  <c r="AO754" i="1"/>
  <c r="AO750" i="1"/>
  <c r="AQ749" i="1"/>
  <c r="AQ750" i="1" s="1"/>
  <c r="BQ1080" i="1"/>
  <c r="BP1080" i="1"/>
  <c r="BC840" i="1"/>
  <c r="BD745" i="1"/>
  <c r="AR787" i="1"/>
  <c r="AR786" i="1" s="1"/>
  <c r="AS787" i="1"/>
  <c r="AS786" i="1" s="1"/>
  <c r="AS789" i="1" s="1"/>
  <c r="AN1039" i="1"/>
  <c r="AL1039" i="1" s="1"/>
  <c r="AQ1040" i="1"/>
  <c r="AR960" i="1"/>
  <c r="AP795" i="1"/>
  <c r="BD765" i="1"/>
  <c r="BL1027" i="1"/>
  <c r="BL1028" i="1"/>
  <c r="AR934" i="1"/>
  <c r="AR936" i="1"/>
  <c r="AU981" i="1"/>
  <c r="AU787" i="1"/>
  <c r="AU786" i="1" s="1"/>
  <c r="AV787" i="1"/>
  <c r="AV786" i="1" s="1"/>
  <c r="AV789" i="1" s="1"/>
  <c r="BE785" i="1"/>
  <c r="AQ924" i="1"/>
  <c r="AS892" i="1"/>
  <c r="AS894" i="1"/>
  <c r="AS895" i="1" s="1"/>
  <c r="AZ933" i="1"/>
  <c r="BC934" i="1"/>
  <c r="BE768" i="1"/>
  <c r="AT870" i="1"/>
  <c r="AW871" i="1"/>
  <c r="AV914" i="1"/>
  <c r="AV924" i="1" s="1"/>
  <c r="AU914" i="1"/>
  <c r="AU924" i="1" s="1"/>
  <c r="AZ914" i="1"/>
  <c r="BB772" i="1"/>
  <c r="AZ772" i="1"/>
  <c r="AV747" i="1"/>
  <c r="AV746" i="1" s="1"/>
  <c r="AU747" i="1"/>
  <c r="AU746" i="1" s="1"/>
  <c r="AV748" i="1"/>
  <c r="AQ894" i="1"/>
  <c r="AQ895" i="1" s="1"/>
  <c r="AO895" i="1"/>
  <c r="BE792" i="1"/>
  <c r="BA792" i="1"/>
  <c r="AZ792" i="1"/>
  <c r="BN732" i="1"/>
  <c r="BI732" i="1"/>
  <c r="BJ732" i="1"/>
  <c r="N1072" i="1"/>
  <c r="O1072" i="1"/>
  <c r="Z975" i="1"/>
  <c r="Z976" i="1" s="1"/>
  <c r="S1343" i="1"/>
  <c r="AC1108" i="1"/>
  <c r="AG1040" i="1"/>
  <c r="AJ981" i="1"/>
  <c r="AH981" i="1"/>
  <c r="AH976" i="1"/>
  <c r="AE975" i="1"/>
  <c r="AA1045" i="1"/>
  <c r="Y1045" i="1"/>
  <c r="AF1040" i="1"/>
  <c r="AM977" i="1"/>
  <c r="AM987" i="1" s="1"/>
  <c r="AL977" i="1"/>
  <c r="AL987" i="1" s="1"/>
  <c r="W1062" i="1"/>
  <c r="X1062" i="1"/>
  <c r="AB1062" i="1"/>
  <c r="AF1045" i="1"/>
  <c r="AN956" i="1"/>
  <c r="AQ956" i="1" s="1"/>
  <c r="AJ956" i="1"/>
  <c r="AI956" i="1"/>
  <c r="AL916" i="1"/>
  <c r="AN915" i="1"/>
  <c r="AN916" i="1" s="1"/>
  <c r="AK987" i="1"/>
  <c r="AB1061" i="1"/>
  <c r="Y1060" i="1"/>
  <c r="AN924" i="1"/>
  <c r="AI1039" i="1"/>
  <c r="AJ1039" i="1"/>
  <c r="AH955" i="1"/>
  <c r="AE954" i="1"/>
  <c r="R1071" i="1"/>
  <c r="U1071" i="1"/>
  <c r="Q1071" i="1"/>
  <c r="T1071" i="1"/>
  <c r="K1063" i="1"/>
  <c r="K1064" i="1" s="1"/>
  <c r="K1072" i="1"/>
  <c r="P1343" i="1"/>
  <c r="V1343" i="1"/>
  <c r="AM874" i="1"/>
  <c r="AK873" i="1"/>
  <c r="AK874" i="1" s="1"/>
  <c r="AI874" i="1"/>
  <c r="AJ874" i="1"/>
  <c r="AL874" i="1"/>
  <c r="AN873" i="1"/>
  <c r="AN874" i="1" s="1"/>
  <c r="AJ828" i="1"/>
  <c r="AJ831" i="1" s="1"/>
  <c r="AK834" i="1"/>
  <c r="AM834" i="1"/>
  <c r="M1287" i="1"/>
  <c r="P1287" i="1"/>
  <c r="O1242" i="1"/>
  <c r="L1242" i="1"/>
  <c r="AM754" i="1"/>
  <c r="AM750" i="1"/>
  <c r="AJ755" i="1"/>
  <c r="AK754" i="1"/>
  <c r="AE774" i="1"/>
  <c r="AE775" i="1" s="1"/>
  <c r="AN789" i="1"/>
  <c r="AN790" i="1" s="1"/>
  <c r="AM794" i="1"/>
  <c r="L1063" i="1"/>
  <c r="M1062" i="1"/>
  <c r="AH769" i="1"/>
  <c r="AH770" i="1" s="1"/>
  <c r="AF774" i="1"/>
  <c r="AF775" i="1" s="1"/>
  <c r="AL767" i="1"/>
  <c r="AL766" i="1" s="1"/>
  <c r="AM767" i="1"/>
  <c r="AM766" i="1" s="1"/>
  <c r="AM769" i="1" s="1"/>
  <c r="N1060" i="1"/>
  <c r="N1061" i="1" s="1"/>
  <c r="AL794" i="1"/>
  <c r="AL795" i="1" s="1"/>
  <c r="AC836" i="1"/>
  <c r="AF829" i="1"/>
  <c r="AF831" i="1"/>
  <c r="AI831" i="1"/>
  <c r="AI829" i="1"/>
  <c r="AD836" i="1"/>
  <c r="AG829" i="1"/>
  <c r="AG831" i="1"/>
  <c r="U958" i="1"/>
  <c r="U962" i="1"/>
  <c r="T958" i="1"/>
  <c r="V957" i="1"/>
  <c r="T962" i="1"/>
  <c r="T967" i="1" s="1"/>
  <c r="Z957" i="1"/>
  <c r="Z955" i="1"/>
  <c r="X957" i="1"/>
  <c r="X955" i="1"/>
  <c r="W955" i="1"/>
  <c r="W957" i="1"/>
  <c r="T976" i="1"/>
  <c r="T978" i="1"/>
  <c r="U978" i="1"/>
  <c r="U976" i="1"/>
  <c r="T1062" i="1"/>
  <c r="U1062" i="1"/>
  <c r="U1061" i="1"/>
  <c r="Q1060" i="1"/>
  <c r="R1060" i="1"/>
  <c r="Q1062" i="1"/>
  <c r="Q1072" i="1" s="1"/>
  <c r="R1062" i="1"/>
  <c r="R1072" i="1" s="1"/>
  <c r="O1063" i="1"/>
  <c r="O1061" i="1"/>
  <c r="AA955" i="1" l="1"/>
  <c r="AM1039" i="1"/>
  <c r="AM1040" i="1" s="1"/>
  <c r="P1072" i="1"/>
  <c r="AL828" i="1"/>
  <c r="AL829" i="1" s="1"/>
  <c r="AV749" i="1"/>
  <c r="AV750" i="1" s="1"/>
  <c r="AZ882" i="1"/>
  <c r="AZ903" i="1"/>
  <c r="BC792" i="1"/>
  <c r="BD792" i="1"/>
  <c r="AU749" i="1"/>
  <c r="AW746" i="1"/>
  <c r="AW747" i="1" s="1"/>
  <c r="BE772" i="1"/>
  <c r="BC772" i="1"/>
  <c r="AZ871" i="1"/>
  <c r="AW870" i="1"/>
  <c r="BH768" i="1"/>
  <c r="AV790" i="1"/>
  <c r="AV794" i="1"/>
  <c r="AX981" i="1"/>
  <c r="AS790" i="1"/>
  <c r="AS794" i="1"/>
  <c r="BG745" i="1"/>
  <c r="AP873" i="1"/>
  <c r="AP874" i="1" s="1"/>
  <c r="AP871" i="1"/>
  <c r="AV936" i="1"/>
  <c r="AV937" i="1" s="1"/>
  <c r="AV934" i="1"/>
  <c r="BG830" i="1"/>
  <c r="BG840" i="1" s="1"/>
  <c r="BH830" i="1"/>
  <c r="BH840" i="1" s="1"/>
  <c r="BL830" i="1"/>
  <c r="AY891" i="1"/>
  <c r="AX891" i="1"/>
  <c r="BB745" i="1"/>
  <c r="AZ745" i="1"/>
  <c r="BR848" i="1"/>
  <c r="BM848" i="1"/>
  <c r="BN848" i="1"/>
  <c r="AY747" i="1"/>
  <c r="AY746" i="1" s="1"/>
  <c r="AX747" i="1"/>
  <c r="AX746" i="1" s="1"/>
  <c r="BD851" i="1"/>
  <c r="BE851" i="1"/>
  <c r="BI851" i="1"/>
  <c r="AP755" i="1"/>
  <c r="AV894" i="1"/>
  <c r="AV892" i="1"/>
  <c r="AV915" i="1"/>
  <c r="AV913" i="1"/>
  <c r="AV770" i="1"/>
  <c r="AV774" i="1"/>
  <c r="AP987" i="1"/>
  <c r="AN834" i="1"/>
  <c r="AP834" i="1"/>
  <c r="AY914" i="1"/>
  <c r="AY924" i="1" s="1"/>
  <c r="BC914" i="1"/>
  <c r="AX914" i="1"/>
  <c r="AX924" i="1" s="1"/>
  <c r="AS870" i="1"/>
  <c r="AR870" i="1"/>
  <c r="BC933" i="1"/>
  <c r="BF934" i="1"/>
  <c r="AU789" i="1"/>
  <c r="AW786" i="1"/>
  <c r="AW787" i="1" s="1"/>
  <c r="AT936" i="1"/>
  <c r="AT937" i="1" s="1"/>
  <c r="AR937" i="1"/>
  <c r="AU960" i="1"/>
  <c r="AT786" i="1"/>
  <c r="AT787" i="1" s="1"/>
  <c r="AR789" i="1"/>
  <c r="AO873" i="1"/>
  <c r="AO871" i="1"/>
  <c r="AU934" i="1"/>
  <c r="AU936" i="1"/>
  <c r="BQ752" i="1"/>
  <c r="BC891" i="1"/>
  <c r="BF892" i="1"/>
  <c r="BG788" i="1"/>
  <c r="BF788" i="1"/>
  <c r="AX912" i="1"/>
  <c r="AY912" i="1"/>
  <c r="AR916" i="1"/>
  <c r="AT915" i="1"/>
  <c r="AT916" i="1" s="1"/>
  <c r="AS755" i="1"/>
  <c r="BJ772" i="1"/>
  <c r="BC752" i="1"/>
  <c r="BD752" i="1"/>
  <c r="BM1027" i="1"/>
  <c r="BM1028" i="1"/>
  <c r="BM1031" i="1"/>
  <c r="BO1031" i="1" s="1"/>
  <c r="AO987" i="1"/>
  <c r="AY933" i="1"/>
  <c r="AX933" i="1"/>
  <c r="AT1040" i="1"/>
  <c r="AQ1039" i="1"/>
  <c r="AO755" i="1"/>
  <c r="AQ754" i="1"/>
  <c r="AT894" i="1"/>
  <c r="AT895" i="1" s="1"/>
  <c r="AR895" i="1"/>
  <c r="BE765" i="1"/>
  <c r="BF765" i="1" s="1"/>
  <c r="BF840" i="1"/>
  <c r="BC912" i="1"/>
  <c r="BF913" i="1"/>
  <c r="AO775" i="1"/>
  <c r="AQ774" i="1"/>
  <c r="AO795" i="1"/>
  <c r="AQ794" i="1"/>
  <c r="BO1027" i="1"/>
  <c r="BO1028" i="1"/>
  <c r="AW748" i="1"/>
  <c r="AX748" i="1"/>
  <c r="AT829" i="1"/>
  <c r="AQ828" i="1"/>
  <c r="AO956" i="1"/>
  <c r="AP956" i="1"/>
  <c r="AT956" i="1"/>
  <c r="BH792" i="1"/>
  <c r="AY748" i="1"/>
  <c r="AW924" i="1"/>
  <c r="BH785" i="1"/>
  <c r="BG765" i="1"/>
  <c r="BG785" i="1"/>
  <c r="BF785" i="1"/>
  <c r="BK788" i="1"/>
  <c r="AT749" i="1"/>
  <c r="AT750" i="1" s="1"/>
  <c r="AR750" i="1"/>
  <c r="AR754" i="1"/>
  <c r="AX834" i="1"/>
  <c r="AU998" i="1"/>
  <c r="AV998" i="1"/>
  <c r="AZ998" i="1"/>
  <c r="BG768" i="1"/>
  <c r="BF768" i="1"/>
  <c r="BA893" i="1"/>
  <c r="BA903" i="1" s="1"/>
  <c r="BF893" i="1"/>
  <c r="BB893" i="1"/>
  <c r="BB903" i="1" s="1"/>
  <c r="AU892" i="1"/>
  <c r="AU894" i="1"/>
  <c r="BA872" i="1"/>
  <c r="BA882" i="1" s="1"/>
  <c r="BF872" i="1"/>
  <c r="BB872" i="1"/>
  <c r="BB882" i="1" s="1"/>
  <c r="AU915" i="1"/>
  <c r="AU913" i="1"/>
  <c r="AU769" i="1"/>
  <c r="AW766" i="1"/>
  <c r="AW767" i="1" s="1"/>
  <c r="BR1024" i="1"/>
  <c r="BR1026" i="1" s="1"/>
  <c r="BP1026" i="1"/>
  <c r="AW977" i="1"/>
  <c r="AS977" i="1"/>
  <c r="AS987" i="1" s="1"/>
  <c r="AR977" i="1"/>
  <c r="AR987" i="1" s="1"/>
  <c r="BQ732" i="1"/>
  <c r="BM732" i="1"/>
  <c r="BL732" i="1"/>
  <c r="K1068" i="1"/>
  <c r="K1073" i="1" s="1"/>
  <c r="M1063" i="1"/>
  <c r="M1068" i="1" s="1"/>
  <c r="AJ829" i="1"/>
  <c r="AN987" i="1"/>
  <c r="AJ1040" i="1"/>
  <c r="AE1061" i="1"/>
  <c r="AB1060" i="1"/>
  <c r="X1072" i="1"/>
  <c r="AH975" i="1"/>
  <c r="AK976" i="1"/>
  <c r="AL1040" i="1"/>
  <c r="AI1040" i="1"/>
  <c r="AI1045" i="1"/>
  <c r="W1072" i="1"/>
  <c r="AD1045" i="1"/>
  <c r="AB1045" i="1"/>
  <c r="AD954" i="1"/>
  <c r="AC954" i="1"/>
  <c r="AF1108" i="1"/>
  <c r="AK955" i="1"/>
  <c r="AH954" i="1"/>
  <c r="W1060" i="1"/>
  <c r="X1060" i="1"/>
  <c r="AM956" i="1"/>
  <c r="AL956" i="1"/>
  <c r="AA1062" i="1"/>
  <c r="AA1072" i="1" s="1"/>
  <c r="Z1062" i="1"/>
  <c r="Z1072" i="1" s="1"/>
  <c r="AE1062" i="1"/>
  <c r="AC975" i="1"/>
  <c r="AD975" i="1"/>
  <c r="AM981" i="1"/>
  <c r="AP981" i="1" s="1"/>
  <c r="AK981" i="1"/>
  <c r="U1072" i="1"/>
  <c r="AC838" i="1"/>
  <c r="AC841" i="1"/>
  <c r="AD841" i="1"/>
  <c r="AD838" i="1"/>
  <c r="S1072" i="1"/>
  <c r="T1072" i="1"/>
  <c r="M1072" i="1"/>
  <c r="V1071" i="1"/>
  <c r="S1071" i="1"/>
  <c r="U963" i="1"/>
  <c r="T963" i="1"/>
  <c r="AD837" i="1"/>
  <c r="AC837" i="1"/>
  <c r="AM829" i="1"/>
  <c r="AM831" i="1"/>
  <c r="AM755" i="1"/>
  <c r="AN754" i="1"/>
  <c r="AM795" i="1"/>
  <c r="AK755" i="1"/>
  <c r="AM774" i="1"/>
  <c r="AM775" i="1" s="1"/>
  <c r="AM770" i="1"/>
  <c r="T1063" i="1"/>
  <c r="T1064" i="1" s="1"/>
  <c r="O1064" i="1"/>
  <c r="U1063" i="1"/>
  <c r="L1068" i="1"/>
  <c r="L1073" i="1" s="1"/>
  <c r="L1064" i="1"/>
  <c r="N1063" i="1"/>
  <c r="N1064" i="1" s="1"/>
  <c r="AH774" i="1"/>
  <c r="AH775" i="1" s="1"/>
  <c r="AN766" i="1"/>
  <c r="AN767" i="1" s="1"/>
  <c r="AL769" i="1"/>
  <c r="AL770" i="1" s="1"/>
  <c r="AN794" i="1"/>
  <c r="AN795" i="1" s="1"/>
  <c r="AG832" i="1"/>
  <c r="AG836" i="1"/>
  <c r="AF832" i="1"/>
  <c r="AH831" i="1"/>
  <c r="AF836" i="1"/>
  <c r="AJ832" i="1"/>
  <c r="AJ836" i="1"/>
  <c r="AE836" i="1"/>
  <c r="AI832" i="1"/>
  <c r="AK831" i="1"/>
  <c r="AI836" i="1"/>
  <c r="W958" i="1"/>
  <c r="Y957" i="1"/>
  <c r="W962" i="1"/>
  <c r="X958" i="1"/>
  <c r="X962" i="1"/>
  <c r="Z958" i="1"/>
  <c r="AB957" i="1"/>
  <c r="Z962" i="1"/>
  <c r="V958" i="1"/>
  <c r="V962" i="1"/>
  <c r="V963" i="1" s="1"/>
  <c r="AA958" i="1"/>
  <c r="V978" i="1"/>
  <c r="T979" i="1"/>
  <c r="T983" i="1"/>
  <c r="W978" i="1"/>
  <c r="AA978" i="1"/>
  <c r="U979" i="1"/>
  <c r="U983" i="1"/>
  <c r="X978" i="1"/>
  <c r="Z978" i="1"/>
  <c r="O1066" i="1"/>
  <c r="R1063" i="1"/>
  <c r="R1061" i="1"/>
  <c r="Q1063" i="1"/>
  <c r="Q1061" i="1"/>
  <c r="AL831" i="1" l="1"/>
  <c r="AN831" i="1" s="1"/>
  <c r="AV754" i="1"/>
  <c r="AV755" i="1" s="1"/>
  <c r="M1064" i="1"/>
  <c r="M1073" i="1"/>
  <c r="K1070" i="1"/>
  <c r="K1069" i="1"/>
  <c r="BC903" i="1"/>
  <c r="BC882" i="1"/>
  <c r="AQ987" i="1"/>
  <c r="AU977" i="1"/>
  <c r="AU987" i="1" s="1"/>
  <c r="AV977" i="1"/>
  <c r="AV987" i="1" s="1"/>
  <c r="AZ977" i="1"/>
  <c r="AW769" i="1"/>
  <c r="AW770" i="1" s="1"/>
  <c r="AU770" i="1"/>
  <c r="AU774" i="1"/>
  <c r="BE872" i="1"/>
  <c r="BE882" i="1" s="1"/>
  <c r="BD872" i="1"/>
  <c r="BD882" i="1" s="1"/>
  <c r="BI872" i="1"/>
  <c r="AR755" i="1"/>
  <c r="AT754" i="1"/>
  <c r="BJ785" i="1"/>
  <c r="BI785" i="1"/>
  <c r="BB748" i="1"/>
  <c r="BI913" i="1"/>
  <c r="BF912" i="1"/>
  <c r="AQ755" i="1"/>
  <c r="AW1040" i="1"/>
  <c r="AT1039" i="1"/>
  <c r="BM772" i="1"/>
  <c r="AR790" i="1"/>
  <c r="AT789" i="1"/>
  <c r="AT790" i="1" s="1"/>
  <c r="AR794" i="1"/>
  <c r="BF933" i="1"/>
  <c r="BI934" i="1"/>
  <c r="AV916" i="1"/>
  <c r="AX749" i="1"/>
  <c r="AZ746" i="1"/>
  <c r="AZ747" i="1" s="1"/>
  <c r="BP848" i="1"/>
  <c r="BQ848" i="1"/>
  <c r="BE745" i="1"/>
  <c r="BC745" i="1"/>
  <c r="BJ745" i="1"/>
  <c r="AW749" i="1"/>
  <c r="AW750" i="1" s="1"/>
  <c r="AU750" i="1"/>
  <c r="AU754" i="1"/>
  <c r="AS981" i="1"/>
  <c r="AQ981" i="1"/>
  <c r="BP1027" i="1"/>
  <c r="BP1031" i="1"/>
  <c r="BR1031" i="1" s="1"/>
  <c r="BP1028" i="1"/>
  <c r="BE893" i="1"/>
  <c r="BE903" i="1" s="1"/>
  <c r="BD893" i="1"/>
  <c r="BD903" i="1" s="1"/>
  <c r="BI893" i="1"/>
  <c r="BJ768" i="1"/>
  <c r="BI768" i="1"/>
  <c r="BN788" i="1"/>
  <c r="BK785" i="1"/>
  <c r="AZ748" i="1"/>
  <c r="BA748" i="1"/>
  <c r="AQ795" i="1"/>
  <c r="AQ775" i="1"/>
  <c r="BA912" i="1"/>
  <c r="BB912" i="1"/>
  <c r="BH765" i="1"/>
  <c r="BI765" i="1" s="1"/>
  <c r="AX936" i="1"/>
  <c r="AX934" i="1"/>
  <c r="AY915" i="1"/>
  <c r="AY916" i="1" s="1"/>
  <c r="AY913" i="1"/>
  <c r="BJ788" i="1"/>
  <c r="BI788" i="1"/>
  <c r="AY787" i="1"/>
  <c r="AY786" i="1" s="1"/>
  <c r="AY789" i="1" s="1"/>
  <c r="AX787" i="1"/>
  <c r="AX786" i="1" s="1"/>
  <c r="BA933" i="1"/>
  <c r="BB933" i="1"/>
  <c r="BB914" i="1"/>
  <c r="BB924" i="1" s="1"/>
  <c r="BA914" i="1"/>
  <c r="BA924" i="1" s="1"/>
  <c r="BF914" i="1"/>
  <c r="AS834" i="1"/>
  <c r="AQ834" i="1"/>
  <c r="AV775" i="1"/>
  <c r="BH851" i="1"/>
  <c r="BG851" i="1"/>
  <c r="BL851" i="1"/>
  <c r="AY749" i="1"/>
  <c r="AX892" i="1"/>
  <c r="AX894" i="1"/>
  <c r="BI840" i="1"/>
  <c r="AS795" i="1"/>
  <c r="BA981" i="1"/>
  <c r="BK768" i="1"/>
  <c r="AT987" i="1"/>
  <c r="BR1027" i="1"/>
  <c r="BR1028" i="1"/>
  <c r="AW915" i="1"/>
  <c r="AW916" i="1" s="1"/>
  <c r="AU916" i="1"/>
  <c r="AU895" i="1"/>
  <c r="AW894" i="1"/>
  <c r="AW895" i="1" s="1"/>
  <c r="AY998" i="1"/>
  <c r="AX998" i="1"/>
  <c r="BC998" i="1"/>
  <c r="BJ765" i="1"/>
  <c r="BK792" i="1"/>
  <c r="AO828" i="1"/>
  <c r="AP828" i="1"/>
  <c r="AY934" i="1"/>
  <c r="AY936" i="1"/>
  <c r="AY937" i="1" s="1"/>
  <c r="AX915" i="1"/>
  <c r="AX913" i="1"/>
  <c r="BI892" i="1"/>
  <c r="BF891" i="1"/>
  <c r="AQ873" i="1"/>
  <c r="AQ874" i="1" s="1"/>
  <c r="AO874" i="1"/>
  <c r="BA787" i="1"/>
  <c r="BA786" i="1" s="1"/>
  <c r="BB787" i="1"/>
  <c r="BB786" i="1" s="1"/>
  <c r="BB789" i="1" s="1"/>
  <c r="AR871" i="1"/>
  <c r="AR873" i="1"/>
  <c r="AZ924" i="1"/>
  <c r="AV895" i="1"/>
  <c r="AY892" i="1"/>
  <c r="AY894" i="1"/>
  <c r="AY895" i="1" s="1"/>
  <c r="AV795" i="1"/>
  <c r="AV870" i="1"/>
  <c r="AU870" i="1"/>
  <c r="BH772" i="1"/>
  <c r="BF772" i="1"/>
  <c r="BG792" i="1"/>
  <c r="BF792" i="1"/>
  <c r="AS767" i="1"/>
  <c r="AS766" i="1" s="1"/>
  <c r="AS769" i="1" s="1"/>
  <c r="AR767" i="1"/>
  <c r="AR766" i="1" s="1"/>
  <c r="BB767" i="1"/>
  <c r="BB766" i="1" s="1"/>
  <c r="BB769" i="1" s="1"/>
  <c r="BA767" i="1"/>
  <c r="BA766" i="1" s="1"/>
  <c r="BA834" i="1"/>
  <c r="AW956" i="1"/>
  <c r="AR956" i="1"/>
  <c r="AS956" i="1"/>
  <c r="AT828" i="1"/>
  <c r="AW829" i="1"/>
  <c r="AO1039" i="1"/>
  <c r="AP1039" i="1"/>
  <c r="BF752" i="1"/>
  <c r="BG752" i="1"/>
  <c r="BB891" i="1"/>
  <c r="BA891" i="1"/>
  <c r="AU937" i="1"/>
  <c r="AW936" i="1"/>
  <c r="AW937" i="1" s="1"/>
  <c r="AX960" i="1"/>
  <c r="AW789" i="1"/>
  <c r="AW790" i="1" s="1"/>
  <c r="AU790" i="1"/>
  <c r="AU794" i="1"/>
  <c r="AS871" i="1"/>
  <c r="AS873" i="1"/>
  <c r="AS874" i="1" s="1"/>
  <c r="BK830" i="1"/>
  <c r="BK840" i="1" s="1"/>
  <c r="BO830" i="1"/>
  <c r="BJ830" i="1"/>
  <c r="BJ840" i="1" s="1"/>
  <c r="BC871" i="1"/>
  <c r="AZ870" i="1"/>
  <c r="BB747" i="1"/>
  <c r="BB746" i="1" s="1"/>
  <c r="BA747" i="1"/>
  <c r="BA746" i="1" s="1"/>
  <c r="BP732" i="1"/>
  <c r="BO732" i="1"/>
  <c r="AE841" i="1"/>
  <c r="Y1072" i="1"/>
  <c r="AC976" i="1"/>
  <c r="AC978" i="1"/>
  <c r="W1063" i="1"/>
  <c r="W1061" i="1"/>
  <c r="AI1108" i="1"/>
  <c r="AA1060" i="1"/>
  <c r="Z1060" i="1"/>
  <c r="AG954" i="1"/>
  <c r="AF954" i="1"/>
  <c r="AK975" i="1"/>
  <c r="AN976" i="1"/>
  <c r="AH1061" i="1"/>
  <c r="AE1060" i="1"/>
  <c r="AN981" i="1"/>
  <c r="AD1062" i="1"/>
  <c r="AD1072" i="1" s="1"/>
  <c r="AC1062" i="1"/>
  <c r="AC1072" i="1" s="1"/>
  <c r="AH1062" i="1"/>
  <c r="AN955" i="1"/>
  <c r="AK954" i="1"/>
  <c r="AC955" i="1"/>
  <c r="AC957" i="1"/>
  <c r="AL1045" i="1"/>
  <c r="AO1045" i="1" s="1"/>
  <c r="AF975" i="1"/>
  <c r="AG975" i="1"/>
  <c r="AD978" i="1"/>
  <c r="AD976" i="1"/>
  <c r="AB1072" i="1"/>
  <c r="X1061" i="1"/>
  <c r="X1063" i="1"/>
  <c r="X1064" i="1" s="1"/>
  <c r="AD957" i="1"/>
  <c r="AD958" i="1" s="1"/>
  <c r="AD955" i="1"/>
  <c r="AG1045" i="1"/>
  <c r="AE1045" i="1"/>
  <c r="AF841" i="1"/>
  <c r="AF838" i="1"/>
  <c r="AE837" i="1"/>
  <c r="AE838" i="1"/>
  <c r="AI841" i="1"/>
  <c r="AI838" i="1"/>
  <c r="AJ841" i="1"/>
  <c r="AJ838" i="1"/>
  <c r="AG838" i="1"/>
  <c r="AG841" i="1"/>
  <c r="V1072" i="1"/>
  <c r="U988" i="1"/>
  <c r="U985" i="1"/>
  <c r="T988" i="1"/>
  <c r="T985" i="1"/>
  <c r="AM836" i="1"/>
  <c r="AM832" i="1"/>
  <c r="AN755" i="1"/>
  <c r="AI837" i="1"/>
  <c r="AF837" i="1"/>
  <c r="AG837" i="1"/>
  <c r="AJ837" i="1"/>
  <c r="L1069" i="1"/>
  <c r="L1070" i="1"/>
  <c r="M1069" i="1"/>
  <c r="M1070" i="1"/>
  <c r="V1063" i="1"/>
  <c r="V1064" i="1" s="1"/>
  <c r="X963" i="1"/>
  <c r="W963" i="1"/>
  <c r="Z963" i="1"/>
  <c r="R1064" i="1"/>
  <c r="P1063" i="1"/>
  <c r="P1064" i="1" s="1"/>
  <c r="U1064" i="1"/>
  <c r="U984" i="1"/>
  <c r="T984" i="1"/>
  <c r="AB978" i="1"/>
  <c r="AB979" i="1" s="1"/>
  <c r="AL774" i="1"/>
  <c r="AL775" i="1" s="1"/>
  <c r="AN769" i="1"/>
  <c r="AN770" i="1" s="1"/>
  <c r="AK832" i="1"/>
  <c r="AK836" i="1"/>
  <c r="AH832" i="1"/>
  <c r="AH836" i="1"/>
  <c r="Y958" i="1"/>
  <c r="Y962" i="1"/>
  <c r="Y963" i="1" s="1"/>
  <c r="AB958" i="1"/>
  <c r="Y978" i="1"/>
  <c r="V983" i="1"/>
  <c r="V985" i="1" s="1"/>
  <c r="V979" i="1"/>
  <c r="Q1066" i="1"/>
  <c r="R1066" i="1"/>
  <c r="N1068" i="1"/>
  <c r="N1073" i="1" s="1"/>
  <c r="P1066" i="1"/>
  <c r="O1068" i="1"/>
  <c r="O1073" i="1" s="1"/>
  <c r="Q1064" i="1"/>
  <c r="S1063" i="1"/>
  <c r="S1064" i="1" s="1"/>
  <c r="AL836" i="1" l="1"/>
  <c r="AL841" i="1" s="1"/>
  <c r="AL832" i="1"/>
  <c r="BB749" i="1"/>
  <c r="BB750" i="1" s="1"/>
  <c r="BC924" i="1"/>
  <c r="BF882" i="1"/>
  <c r="AW987" i="1"/>
  <c r="BA749" i="1"/>
  <c r="BC746" i="1"/>
  <c r="BC747" i="1" s="1"/>
  <c r="BI752" i="1"/>
  <c r="BJ752" i="1"/>
  <c r="BD834" i="1"/>
  <c r="AR769" i="1"/>
  <c r="AT766" i="1"/>
  <c r="AT767" i="1" s="1"/>
  <c r="AU873" i="1"/>
  <c r="AU871" i="1"/>
  <c r="BB790" i="1"/>
  <c r="BB794" i="1"/>
  <c r="AZ915" i="1"/>
  <c r="AZ916" i="1" s="1"/>
  <c r="AX916" i="1"/>
  <c r="AP829" i="1"/>
  <c r="AP831" i="1"/>
  <c r="BB998" i="1"/>
  <c r="BA998" i="1"/>
  <c r="BF998" i="1"/>
  <c r="BN768" i="1"/>
  <c r="AX895" i="1"/>
  <c r="AZ894" i="1"/>
  <c r="AZ895" i="1" s="1"/>
  <c r="AX789" i="1"/>
  <c r="AZ786" i="1"/>
  <c r="AZ787" i="1" s="1"/>
  <c r="BM788" i="1"/>
  <c r="BL788" i="1"/>
  <c r="AZ936" i="1"/>
  <c r="AZ937" i="1" s="1"/>
  <c r="AX937" i="1"/>
  <c r="BA915" i="1"/>
  <c r="BA913" i="1"/>
  <c r="BM768" i="1"/>
  <c r="BL768" i="1"/>
  <c r="BM745" i="1"/>
  <c r="AX750" i="1"/>
  <c r="AZ749" i="1"/>
  <c r="AZ750" i="1" s="1"/>
  <c r="AX754" i="1"/>
  <c r="BD933" i="1"/>
  <c r="BE933" i="1"/>
  <c r="AW1039" i="1"/>
  <c r="AZ1040" i="1"/>
  <c r="BI912" i="1"/>
  <c r="BL913" i="1"/>
  <c r="BE748" i="1"/>
  <c r="AN975" i="1"/>
  <c r="AM975" i="1" s="1"/>
  <c r="AQ976" i="1"/>
  <c r="BB754" i="1"/>
  <c r="BL840" i="1"/>
  <c r="AW794" i="1"/>
  <c r="AU795" i="1"/>
  <c r="BA892" i="1"/>
  <c r="BA894" i="1"/>
  <c r="AZ829" i="1"/>
  <c r="AW828" i="1"/>
  <c r="AV956" i="1"/>
  <c r="AU956" i="1"/>
  <c r="AZ956" i="1"/>
  <c r="BA769" i="1"/>
  <c r="BC766" i="1"/>
  <c r="BC767" i="1" s="1"/>
  <c r="AS770" i="1"/>
  <c r="AS774" i="1"/>
  <c r="AV873" i="1"/>
  <c r="AV871" i="1"/>
  <c r="BA789" i="1"/>
  <c r="BC786" i="1"/>
  <c r="BC787" i="1" s="1"/>
  <c r="BE891" i="1"/>
  <c r="BD891" i="1"/>
  <c r="AO829" i="1"/>
  <c r="AO831" i="1"/>
  <c r="AY790" i="1"/>
  <c r="AY794" i="1"/>
  <c r="BQ788" i="1"/>
  <c r="BG893" i="1"/>
  <c r="BG903" i="1" s="1"/>
  <c r="BH893" i="1"/>
  <c r="BH903" i="1" s="1"/>
  <c r="BL893" i="1"/>
  <c r="AT981" i="1"/>
  <c r="AV981" i="1"/>
  <c r="AR795" i="1"/>
  <c r="AT794" i="1"/>
  <c r="BP772" i="1"/>
  <c r="AT755" i="1"/>
  <c r="AX977" i="1"/>
  <c r="AX987" i="1" s="1"/>
  <c r="AY977" i="1"/>
  <c r="AY987" i="1" s="1"/>
  <c r="BC977" i="1"/>
  <c r="AR1045" i="1"/>
  <c r="AN954" i="1"/>
  <c r="AL954" i="1" s="1"/>
  <c r="AQ955" i="1"/>
  <c r="AX870" i="1"/>
  <c r="AY870" i="1"/>
  <c r="BR830" i="1"/>
  <c r="BM830" i="1"/>
  <c r="BM840" i="1" s="1"/>
  <c r="BN830" i="1"/>
  <c r="BN840" i="1" s="1"/>
  <c r="BA960" i="1"/>
  <c r="BB894" i="1"/>
  <c r="BB895" i="1" s="1"/>
  <c r="BB892" i="1"/>
  <c r="AP1040" i="1"/>
  <c r="AS828" i="1"/>
  <c r="AR828" i="1"/>
  <c r="BB770" i="1"/>
  <c r="BB774" i="1"/>
  <c r="AR874" i="1"/>
  <c r="AT873" i="1"/>
  <c r="AT874" i="1" s="1"/>
  <c r="BI891" i="1"/>
  <c r="BL892" i="1"/>
  <c r="BM765" i="1"/>
  <c r="BD981" i="1"/>
  <c r="AY750" i="1"/>
  <c r="AY754" i="1"/>
  <c r="AV834" i="1"/>
  <c r="AT834" i="1"/>
  <c r="BB936" i="1"/>
  <c r="BB937" i="1" s="1"/>
  <c r="BB934" i="1"/>
  <c r="BK765" i="1"/>
  <c r="BC748" i="1"/>
  <c r="BD748" i="1"/>
  <c r="BN785" i="1"/>
  <c r="AU755" i="1"/>
  <c r="AW754" i="1"/>
  <c r="AW774" i="1"/>
  <c r="AU775" i="1"/>
  <c r="BC870" i="1"/>
  <c r="BF871" i="1"/>
  <c r="AO1040" i="1"/>
  <c r="BJ792" i="1"/>
  <c r="BI792" i="1"/>
  <c r="BK772" i="1"/>
  <c r="BI772" i="1"/>
  <c r="BN792" i="1"/>
  <c r="BK851" i="1"/>
  <c r="BO851" i="1"/>
  <c r="BJ851" i="1"/>
  <c r="BE914" i="1"/>
  <c r="BE924" i="1" s="1"/>
  <c r="BD914" i="1"/>
  <c r="BD924" i="1" s="1"/>
  <c r="BI914" i="1"/>
  <c r="BA934" i="1"/>
  <c r="BA936" i="1"/>
  <c r="BB913" i="1"/>
  <c r="BB915" i="1"/>
  <c r="BB916" i="1" s="1"/>
  <c r="BF903" i="1"/>
  <c r="BH745" i="1"/>
  <c r="BF745" i="1"/>
  <c r="BE747" i="1"/>
  <c r="BE746" i="1" s="1"/>
  <c r="BD747" i="1"/>
  <c r="BD746" i="1" s="1"/>
  <c r="BL934" i="1"/>
  <c r="BI933" i="1"/>
  <c r="AR1039" i="1"/>
  <c r="AS1039" i="1"/>
  <c r="BD912" i="1"/>
  <c r="BE912" i="1"/>
  <c r="BM785" i="1"/>
  <c r="BL785" i="1"/>
  <c r="BG872" i="1"/>
  <c r="BG882" i="1" s="1"/>
  <c r="BH872" i="1"/>
  <c r="BH882" i="1" s="1"/>
  <c r="BL872" i="1"/>
  <c r="BR732" i="1"/>
  <c r="AE1072" i="1"/>
  <c r="AJ1045" i="1"/>
  <c r="AH1045" i="1"/>
  <c r="AG978" i="1"/>
  <c r="AG976" i="1"/>
  <c r="AK1061" i="1"/>
  <c r="AH1060" i="1"/>
  <c r="AF957" i="1"/>
  <c r="AF955" i="1"/>
  <c r="AA1061" i="1"/>
  <c r="AA1063" i="1"/>
  <c r="AA1064" i="1" s="1"/>
  <c r="Y1063" i="1"/>
  <c r="Y1064" i="1" s="1"/>
  <c r="W1064" i="1"/>
  <c r="AF978" i="1"/>
  <c r="AF976" i="1"/>
  <c r="AE957" i="1"/>
  <c r="AE958" i="1" s="1"/>
  <c r="AC958" i="1"/>
  <c r="AC962" i="1"/>
  <c r="AG955" i="1"/>
  <c r="AG957" i="1"/>
  <c r="AG958" i="1" s="1"/>
  <c r="AE978" i="1"/>
  <c r="AC979" i="1"/>
  <c r="AC983" i="1"/>
  <c r="AF1062" i="1"/>
  <c r="AF1072" i="1" s="1"/>
  <c r="AG1062" i="1"/>
  <c r="AG1072" i="1" s="1"/>
  <c r="AK1062" i="1"/>
  <c r="AI975" i="1"/>
  <c r="AJ975" i="1"/>
  <c r="AL1108" i="1"/>
  <c r="AO1108" i="1" s="1"/>
  <c r="AD979" i="1"/>
  <c r="AD983" i="1"/>
  <c r="AJ954" i="1"/>
  <c r="AI954" i="1"/>
  <c r="AC1060" i="1"/>
  <c r="AD1060" i="1"/>
  <c r="Z1063" i="1"/>
  <c r="Z1061" i="1"/>
  <c r="AH837" i="1"/>
  <c r="AH838" i="1"/>
  <c r="AK837" i="1"/>
  <c r="AK838" i="1"/>
  <c r="AM838" i="1"/>
  <c r="AM841" i="1"/>
  <c r="P1073" i="1"/>
  <c r="V988" i="1"/>
  <c r="AM837" i="1"/>
  <c r="AN836" i="1"/>
  <c r="AN838" i="1" s="1"/>
  <c r="AN832" i="1"/>
  <c r="AH841" i="1"/>
  <c r="AK841" i="1"/>
  <c r="P1068" i="1"/>
  <c r="P1069" i="1" s="1"/>
  <c r="V984" i="1"/>
  <c r="AB983" i="1"/>
  <c r="AB985" i="1" s="1"/>
  <c r="AN774" i="1"/>
  <c r="AN775" i="1" s="1"/>
  <c r="Q1068" i="1"/>
  <c r="Q1073" i="1" s="1"/>
  <c r="S1066" i="1"/>
  <c r="O1069" i="1"/>
  <c r="O1070" i="1"/>
  <c r="R1068" i="1"/>
  <c r="R1073" i="1" s="1"/>
  <c r="N1070" i="1"/>
  <c r="N1069" i="1"/>
  <c r="U1066" i="1"/>
  <c r="V171" i="1"/>
  <c r="U170" i="1"/>
  <c r="U171" i="1" s="1"/>
  <c r="T171" i="1"/>
  <c r="Y170" i="1"/>
  <c r="Y171" i="1" s="1"/>
  <c r="X170" i="1"/>
  <c r="X171" i="1" s="1"/>
  <c r="W170" i="1"/>
  <c r="W171" i="1" s="1"/>
  <c r="AB170" i="1"/>
  <c r="AB171" i="1" s="1"/>
  <c r="AA170" i="1"/>
  <c r="AA171" i="1" s="1"/>
  <c r="Z170" i="1"/>
  <c r="Z171" i="1" s="1"/>
  <c r="AL837" i="1" l="1"/>
  <c r="AL838" i="1"/>
  <c r="AM954" i="1"/>
  <c r="AM955" i="1" s="1"/>
  <c r="BE749" i="1"/>
  <c r="BE754" i="1" s="1"/>
  <c r="AL975" i="1"/>
  <c r="AL978" i="1" s="1"/>
  <c r="BI903" i="1"/>
  <c r="AH1072" i="1"/>
  <c r="BE915" i="1"/>
  <c r="BE916" i="1" s="1"/>
  <c r="BE913" i="1"/>
  <c r="BH933" i="1"/>
  <c r="BG933" i="1"/>
  <c r="BQ792" i="1"/>
  <c r="BP765" i="1"/>
  <c r="AS829" i="1"/>
  <c r="AS831" i="1"/>
  <c r="AX871" i="1"/>
  <c r="AX873" i="1"/>
  <c r="BK893" i="1"/>
  <c r="BK903" i="1" s="1"/>
  <c r="BO893" i="1"/>
  <c r="BJ893" i="1"/>
  <c r="BJ903" i="1" s="1"/>
  <c r="AQ831" i="1"/>
  <c r="AO832" i="1"/>
  <c r="AO836" i="1"/>
  <c r="BG787" i="1"/>
  <c r="BG786" i="1" s="1"/>
  <c r="BH787" i="1"/>
  <c r="BH786" i="1" s="1"/>
  <c r="BH789" i="1" s="1"/>
  <c r="AS775" i="1"/>
  <c r="AY956" i="1"/>
  <c r="AX956" i="1"/>
  <c r="BC956" i="1"/>
  <c r="BC829" i="1"/>
  <c r="AZ828" i="1"/>
  <c r="AW795" i="1"/>
  <c r="BB755" i="1"/>
  <c r="BC1040" i="1"/>
  <c r="AZ1039" i="1"/>
  <c r="AZ754" i="1"/>
  <c r="AX755" i="1"/>
  <c r="BP745" i="1"/>
  <c r="BP768" i="1"/>
  <c r="BO768" i="1"/>
  <c r="BD787" i="1"/>
  <c r="BD786" i="1" s="1"/>
  <c r="BE787" i="1"/>
  <c r="BE786" i="1" s="1"/>
  <c r="BE789" i="1" s="1"/>
  <c r="BL752" i="1"/>
  <c r="BM752" i="1"/>
  <c r="BD915" i="1"/>
  <c r="BD913" i="1"/>
  <c r="BO934" i="1"/>
  <c r="BL933" i="1"/>
  <c r="BK745" i="1"/>
  <c r="BI745" i="1"/>
  <c r="BH914" i="1"/>
  <c r="BH924" i="1" s="1"/>
  <c r="BG914" i="1"/>
  <c r="BG924" i="1" s="1"/>
  <c r="BL914" i="1"/>
  <c r="BR851" i="1"/>
  <c r="BM851" i="1"/>
  <c r="BN851" i="1"/>
  <c r="BQ785" i="1"/>
  <c r="AY755" i="1"/>
  <c r="BG981" i="1"/>
  <c r="BO892" i="1"/>
  <c r="BL891" i="1"/>
  <c r="BB775" i="1"/>
  <c r="BO840" i="1"/>
  <c r="AT955" i="1"/>
  <c r="AQ954" i="1"/>
  <c r="AU1045" i="1"/>
  <c r="AY795" i="1"/>
  <c r="BA790" i="1"/>
  <c r="BC789" i="1"/>
  <c r="BC790" i="1" s="1"/>
  <c r="BA794" i="1"/>
  <c r="BA895" i="1"/>
  <c r="BC894" i="1"/>
  <c r="BC895" i="1" s="1"/>
  <c r="BH748" i="1"/>
  <c r="AV1039" i="1"/>
  <c r="AU1039" i="1"/>
  <c r="AZ789" i="1"/>
  <c r="AZ790" i="1" s="1"/>
  <c r="AX790" i="1"/>
  <c r="AX794" i="1"/>
  <c r="AZ794" i="1" s="1"/>
  <c r="AU874" i="1"/>
  <c r="AW873" i="1"/>
  <c r="AW874" i="1" s="1"/>
  <c r="BG834" i="1"/>
  <c r="BK872" i="1"/>
  <c r="BK882" i="1" s="1"/>
  <c r="BO872" i="1"/>
  <c r="BJ872" i="1"/>
  <c r="BJ882" i="1" s="1"/>
  <c r="AS1040" i="1"/>
  <c r="BD749" i="1"/>
  <c r="BF746" i="1"/>
  <c r="BF747" i="1" s="1"/>
  <c r="BL792" i="1"/>
  <c r="BM792" i="1"/>
  <c r="BI871" i="1"/>
  <c r="BF870" i="1"/>
  <c r="AW775" i="1"/>
  <c r="AW755" i="1"/>
  <c r="BN765" i="1"/>
  <c r="BG891" i="1"/>
  <c r="BH891" i="1"/>
  <c r="BD960" i="1"/>
  <c r="BP830" i="1"/>
  <c r="BP840" i="1" s="1"/>
  <c r="BQ830" i="1"/>
  <c r="BQ840" i="1" s="1"/>
  <c r="BA977" i="1"/>
  <c r="BA987" i="1" s="1"/>
  <c r="BB977" i="1"/>
  <c r="BB987" i="1" s="1"/>
  <c r="BF977" i="1"/>
  <c r="AY981" i="1"/>
  <c r="AW981" i="1"/>
  <c r="BD892" i="1"/>
  <c r="BD894" i="1"/>
  <c r="BG767" i="1"/>
  <c r="BG766" i="1" s="1"/>
  <c r="BH767" i="1"/>
  <c r="BH766" i="1" s="1"/>
  <c r="BH769" i="1" s="1"/>
  <c r="AT976" i="1"/>
  <c r="AQ975" i="1"/>
  <c r="BO913" i="1"/>
  <c r="BL912" i="1"/>
  <c r="BE936" i="1"/>
  <c r="BE937" i="1" s="1"/>
  <c r="BE934" i="1"/>
  <c r="BA916" i="1"/>
  <c r="BC915" i="1"/>
  <c r="BC916" i="1" s="1"/>
  <c r="BQ768" i="1"/>
  <c r="AP832" i="1"/>
  <c r="AP836" i="1"/>
  <c r="BB795" i="1"/>
  <c r="AY767" i="1"/>
  <c r="AY766" i="1" s="1"/>
  <c r="AY769" i="1" s="1"/>
  <c r="AX767" i="1"/>
  <c r="AX766" i="1" s="1"/>
  <c r="BG747" i="1"/>
  <c r="BG746" i="1" s="1"/>
  <c r="BH747" i="1"/>
  <c r="BH746" i="1" s="1"/>
  <c r="AR1108" i="1"/>
  <c r="BI882" i="1"/>
  <c r="BO785" i="1"/>
  <c r="BP785" i="1"/>
  <c r="AR1040" i="1"/>
  <c r="BC936" i="1"/>
  <c r="BC937" i="1" s="1"/>
  <c r="BA937" i="1"/>
  <c r="BF924" i="1"/>
  <c r="BN772" i="1"/>
  <c r="BL772" i="1"/>
  <c r="BA870" i="1"/>
  <c r="BB870" i="1"/>
  <c r="BF748" i="1"/>
  <c r="BG748" i="1"/>
  <c r="AY834" i="1"/>
  <c r="AW834" i="1"/>
  <c r="BL765" i="1"/>
  <c r="AR829" i="1"/>
  <c r="AR831" i="1"/>
  <c r="AY871" i="1"/>
  <c r="AY873" i="1"/>
  <c r="AY874" i="1" s="1"/>
  <c r="AZ987" i="1"/>
  <c r="AT795" i="1"/>
  <c r="BE894" i="1"/>
  <c r="BE895" i="1" s="1"/>
  <c r="BE892" i="1"/>
  <c r="AV874" i="1"/>
  <c r="BA770" i="1"/>
  <c r="BC769" i="1"/>
  <c r="BC770" i="1" s="1"/>
  <c r="BA774" i="1"/>
  <c r="AV828" i="1"/>
  <c r="AU828" i="1"/>
  <c r="BG912" i="1"/>
  <c r="BH912" i="1"/>
  <c r="BD934" i="1"/>
  <c r="BD936" i="1"/>
  <c r="BP788" i="1"/>
  <c r="BO788" i="1"/>
  <c r="BE998" i="1"/>
  <c r="BI998" i="1"/>
  <c r="BD998" i="1"/>
  <c r="AR770" i="1"/>
  <c r="AT769" i="1"/>
  <c r="AT770" i="1" s="1"/>
  <c r="AR774" i="1"/>
  <c r="BA750" i="1"/>
  <c r="BC749" i="1"/>
  <c r="BC750" i="1" s="1"/>
  <c r="BA754" i="1"/>
  <c r="AD1061" i="1"/>
  <c r="AD1063" i="1"/>
  <c r="AD1064" i="1" s="1"/>
  <c r="AD984" i="1"/>
  <c r="AD985" i="1"/>
  <c r="AJ976" i="1"/>
  <c r="AJ978" i="1"/>
  <c r="AE979" i="1"/>
  <c r="AE983" i="1"/>
  <c r="AM976" i="1"/>
  <c r="AM978" i="1"/>
  <c r="AF958" i="1"/>
  <c r="AH957" i="1"/>
  <c r="AH958" i="1" s="1"/>
  <c r="AF962" i="1"/>
  <c r="AL957" i="1"/>
  <c r="AL955" i="1"/>
  <c r="AG979" i="1"/>
  <c r="AG983" i="1"/>
  <c r="AC1061" i="1"/>
  <c r="AC1063" i="1"/>
  <c r="AI976" i="1"/>
  <c r="AI978" i="1"/>
  <c r="AG1060" i="1"/>
  <c r="AF1060" i="1"/>
  <c r="AI955" i="1"/>
  <c r="AI957" i="1"/>
  <c r="AJ1062" i="1"/>
  <c r="AJ1072" i="1" s="1"/>
  <c r="AI1062" i="1"/>
  <c r="AI1072" i="1" s="1"/>
  <c r="AN1062" i="1"/>
  <c r="AQ1062" i="1" s="1"/>
  <c r="AC985" i="1"/>
  <c r="AC984" i="1"/>
  <c r="AC963" i="1"/>
  <c r="AH978" i="1"/>
  <c r="AF979" i="1"/>
  <c r="AF983" i="1"/>
  <c r="AN1061" i="1"/>
  <c r="AK1060" i="1"/>
  <c r="U1068" i="1"/>
  <c r="U1070" i="1" s="1"/>
  <c r="X1066" i="1"/>
  <c r="Z1064" i="1"/>
  <c r="AB1063" i="1"/>
  <c r="AB1064" i="1" s="1"/>
  <c r="AJ955" i="1"/>
  <c r="AJ957" i="1"/>
  <c r="AJ958" i="1" s="1"/>
  <c r="AM957" i="1"/>
  <c r="AM958" i="1" s="1"/>
  <c r="AM1045" i="1"/>
  <c r="AP1045" i="1" s="1"/>
  <c r="AK1045" i="1"/>
  <c r="S1073" i="1"/>
  <c r="AN841" i="1"/>
  <c r="AN837" i="1"/>
  <c r="P1070" i="1"/>
  <c r="AB984" i="1"/>
  <c r="S1068" i="1"/>
  <c r="S1069" i="1" s="1"/>
  <c r="T1065" i="1"/>
  <c r="Q1069" i="1"/>
  <c r="Q1070" i="1"/>
  <c r="R1070" i="1"/>
  <c r="R1069" i="1"/>
  <c r="BE750" i="1" l="1"/>
  <c r="BH749" i="1"/>
  <c r="BH750" i="1" s="1"/>
  <c r="U1073" i="1"/>
  <c r="U1069" i="1"/>
  <c r="AL976" i="1"/>
  <c r="BC987" i="1"/>
  <c r="BL903" i="1"/>
  <c r="AZ795" i="1"/>
  <c r="AR775" i="1"/>
  <c r="AT774" i="1"/>
  <c r="BL998" i="1"/>
  <c r="BH998" i="1"/>
  <c r="BG998" i="1"/>
  <c r="BR788" i="1"/>
  <c r="BG913" i="1"/>
  <c r="BG915" i="1"/>
  <c r="BC774" i="1"/>
  <c r="BA775" i="1"/>
  <c r="BJ748" i="1"/>
  <c r="BI748" i="1"/>
  <c r="BR913" i="1"/>
  <c r="BR912" i="1" s="1"/>
  <c r="BO912" i="1"/>
  <c r="BI766" i="1"/>
  <c r="BI767" i="1" s="1"/>
  <c r="BG769" i="1"/>
  <c r="BG960" i="1"/>
  <c r="BQ765" i="1"/>
  <c r="BR765" i="1" s="1"/>
  <c r="BP792" i="1"/>
  <c r="BO792" i="1"/>
  <c r="BL882" i="1"/>
  <c r="AV1040" i="1"/>
  <c r="BK891" i="1"/>
  <c r="BJ891" i="1"/>
  <c r="BO914" i="1"/>
  <c r="BK914" i="1"/>
  <c r="BK924" i="1" s="1"/>
  <c r="BJ914" i="1"/>
  <c r="BJ924" i="1" s="1"/>
  <c r="BN745" i="1"/>
  <c r="BL745" i="1"/>
  <c r="AY1039" i="1"/>
  <c r="AX1039" i="1"/>
  <c r="BB956" i="1"/>
  <c r="BA956" i="1"/>
  <c r="BF956" i="1"/>
  <c r="AS832" i="1"/>
  <c r="AS836" i="1"/>
  <c r="BO765" i="1"/>
  <c r="BG936" i="1"/>
  <c r="BG934" i="1"/>
  <c r="BA755" i="1"/>
  <c r="BC754" i="1"/>
  <c r="BD937" i="1"/>
  <c r="BF936" i="1"/>
  <c r="BF937" i="1" s="1"/>
  <c r="AR832" i="1"/>
  <c r="AT831" i="1"/>
  <c r="AR836" i="1"/>
  <c r="BI746" i="1"/>
  <c r="BI747" i="1" s="1"/>
  <c r="BG749" i="1"/>
  <c r="AP975" i="1"/>
  <c r="AO975" i="1"/>
  <c r="BF894" i="1"/>
  <c r="BF895" i="1" s="1"/>
  <c r="BD895" i="1"/>
  <c r="AZ981" i="1"/>
  <c r="BB981" i="1"/>
  <c r="BH894" i="1"/>
  <c r="BH895" i="1" s="1"/>
  <c r="BH892" i="1"/>
  <c r="BE870" i="1"/>
  <c r="BD870" i="1"/>
  <c r="AX1045" i="1"/>
  <c r="BR892" i="1"/>
  <c r="BR891" i="1" s="1"/>
  <c r="BO891" i="1"/>
  <c r="BD916" i="1"/>
  <c r="BF915" i="1"/>
  <c r="BF916" i="1" s="1"/>
  <c r="BE790" i="1"/>
  <c r="BE794" i="1"/>
  <c r="BR768" i="1"/>
  <c r="BF1040" i="1"/>
  <c r="BC1039" i="1"/>
  <c r="BH790" i="1"/>
  <c r="BH794" i="1"/>
  <c r="AQ832" i="1"/>
  <c r="AQ836" i="1"/>
  <c r="AZ873" i="1"/>
  <c r="AZ874" i="1" s="1"/>
  <c r="AX874" i="1"/>
  <c r="BH936" i="1"/>
  <c r="BH937" i="1" s="1"/>
  <c r="BH934" i="1"/>
  <c r="AP1062" i="1"/>
  <c r="AO1062" i="1"/>
  <c r="AT1062" i="1"/>
  <c r="AU829" i="1"/>
  <c r="AU831" i="1"/>
  <c r="BB834" i="1"/>
  <c r="AZ834" i="1"/>
  <c r="BB871" i="1"/>
  <c r="BB873" i="1"/>
  <c r="BB874" i="1" s="1"/>
  <c r="BQ772" i="1"/>
  <c r="BO772" i="1"/>
  <c r="BE755" i="1"/>
  <c r="AX769" i="1"/>
  <c r="AZ766" i="1"/>
  <c r="AZ767" i="1" s="1"/>
  <c r="AT975" i="1"/>
  <c r="AW976" i="1"/>
  <c r="BI977" i="1"/>
  <c r="BD977" i="1"/>
  <c r="BD987" i="1" s="1"/>
  <c r="BE977" i="1"/>
  <c r="BE987" i="1" s="1"/>
  <c r="BR840" i="1"/>
  <c r="BG892" i="1"/>
  <c r="BG894" i="1"/>
  <c r="BI870" i="1"/>
  <c r="BL871" i="1"/>
  <c r="BJ747" i="1"/>
  <c r="BJ746" i="1" s="1"/>
  <c r="BK747" i="1"/>
  <c r="BK746" i="1" s="1"/>
  <c r="BK748" i="1"/>
  <c r="BA795" i="1"/>
  <c r="BC794" i="1"/>
  <c r="AO954" i="1"/>
  <c r="AP954" i="1"/>
  <c r="BI924" i="1"/>
  <c r="BK933" i="1"/>
  <c r="BJ933" i="1"/>
  <c r="BD789" i="1"/>
  <c r="BF786" i="1"/>
  <c r="BF787" i="1" s="1"/>
  <c r="AZ755" i="1"/>
  <c r="AY828" i="1"/>
  <c r="AX828" i="1"/>
  <c r="BI786" i="1"/>
  <c r="BI787" i="1" s="1"/>
  <c r="BG789" i="1"/>
  <c r="AS1045" i="1"/>
  <c r="AQ1045" i="1"/>
  <c r="AN1060" i="1"/>
  <c r="AM1060" i="1" s="1"/>
  <c r="AQ1061" i="1"/>
  <c r="BH913" i="1"/>
  <c r="BH915" i="1"/>
  <c r="BH916" i="1" s="1"/>
  <c r="AV829" i="1"/>
  <c r="AV831" i="1"/>
  <c r="BA873" i="1"/>
  <c r="BA871" i="1"/>
  <c r="BR785" i="1"/>
  <c r="AU1108" i="1"/>
  <c r="AY770" i="1"/>
  <c r="AY774" i="1"/>
  <c r="AP838" i="1"/>
  <c r="AP841" i="1"/>
  <c r="AP837" i="1"/>
  <c r="BJ912" i="1"/>
  <c r="BK912" i="1"/>
  <c r="BH770" i="1"/>
  <c r="BH774" i="1"/>
  <c r="BD750" i="1"/>
  <c r="BF749" i="1"/>
  <c r="BF750" i="1" s="1"/>
  <c r="BD754" i="1"/>
  <c r="BR872" i="1"/>
  <c r="BM872" i="1"/>
  <c r="BM882" i="1" s="1"/>
  <c r="BN872" i="1"/>
  <c r="BN882" i="1" s="1"/>
  <c r="BJ834" i="1"/>
  <c r="AX795" i="1"/>
  <c r="AU1040" i="1"/>
  <c r="AT954" i="1"/>
  <c r="AW955" i="1"/>
  <c r="BJ981" i="1"/>
  <c r="BP851" i="1"/>
  <c r="BQ851" i="1"/>
  <c r="BR934" i="1"/>
  <c r="BR933" i="1" s="1"/>
  <c r="BO933" i="1"/>
  <c r="BP752" i="1"/>
  <c r="BO752" i="1"/>
  <c r="BC828" i="1"/>
  <c r="BF829" i="1"/>
  <c r="AO838" i="1"/>
  <c r="AO837" i="1"/>
  <c r="AO841" i="1"/>
  <c r="BR893" i="1"/>
  <c r="BN893" i="1"/>
  <c r="BN903" i="1" s="1"/>
  <c r="BM893" i="1"/>
  <c r="BM903" i="1" s="1"/>
  <c r="AN1045" i="1"/>
  <c r="AI1060" i="1"/>
  <c r="AJ1060" i="1"/>
  <c r="AH979" i="1"/>
  <c r="AH983" i="1"/>
  <c r="AF1061" i="1"/>
  <c r="AF1063" i="1"/>
  <c r="AE1063" i="1"/>
  <c r="AE1064" i="1" s="1"/>
  <c r="AC1064" i="1"/>
  <c r="AK957" i="1"/>
  <c r="AK958" i="1" s="1"/>
  <c r="AI958" i="1"/>
  <c r="AI962" i="1"/>
  <c r="AG1061" i="1"/>
  <c r="AG1063" i="1"/>
  <c r="AG1064" i="1" s="1"/>
  <c r="AL962" i="1"/>
  <c r="AL958" i="1"/>
  <c r="AN957" i="1"/>
  <c r="AN958" i="1" s="1"/>
  <c r="AM979" i="1"/>
  <c r="AM983" i="1"/>
  <c r="AJ979" i="1"/>
  <c r="AJ983" i="1"/>
  <c r="AA1066" i="1"/>
  <c r="X1068" i="1"/>
  <c r="AF984" i="1"/>
  <c r="AF988" i="1"/>
  <c r="AF985" i="1"/>
  <c r="AM1062" i="1"/>
  <c r="AM1072" i="1" s="1"/>
  <c r="AL1062" i="1"/>
  <c r="AL1072" i="1" s="1"/>
  <c r="AK978" i="1"/>
  <c r="AI979" i="1"/>
  <c r="AI983" i="1"/>
  <c r="AG988" i="1"/>
  <c r="AG984" i="1"/>
  <c r="AG985" i="1"/>
  <c r="AF963" i="1"/>
  <c r="AN978" i="1"/>
  <c r="AL979" i="1"/>
  <c r="AL983" i="1"/>
  <c r="AK1072" i="1"/>
  <c r="AE984" i="1"/>
  <c r="AE985" i="1"/>
  <c r="S1070" i="1"/>
  <c r="V1065" i="1"/>
  <c r="T1066" i="1"/>
  <c r="W1066" i="1" s="1"/>
  <c r="BH754" i="1" l="1"/>
  <c r="BH755" i="1" s="1"/>
  <c r="AL1060" i="1"/>
  <c r="BK749" i="1"/>
  <c r="BK754" i="1" s="1"/>
  <c r="BO903" i="1"/>
  <c r="AN1072" i="1"/>
  <c r="BL924" i="1"/>
  <c r="AQ841" i="1"/>
  <c r="BB828" i="1"/>
  <c r="BA828" i="1"/>
  <c r="BM981" i="1"/>
  <c r="BP872" i="1"/>
  <c r="BP882" i="1" s="1"/>
  <c r="BQ872" i="1"/>
  <c r="BQ882" i="1" s="1"/>
  <c r="AY775" i="1"/>
  <c r="AX829" i="1"/>
  <c r="AX831" i="1"/>
  <c r="BK936" i="1"/>
  <c r="BK937" i="1" s="1"/>
  <c r="BK934" i="1"/>
  <c r="AP955" i="1"/>
  <c r="AP957" i="1"/>
  <c r="AP958" i="1" s="1"/>
  <c r="AO1072" i="1"/>
  <c r="BE871" i="1"/>
  <c r="BE873" i="1"/>
  <c r="BE874" i="1" s="1"/>
  <c r="BM747" i="1"/>
  <c r="BM746" i="1" s="1"/>
  <c r="BN747" i="1"/>
  <c r="BN746" i="1" s="1"/>
  <c r="AS837" i="1"/>
  <c r="AS841" i="1"/>
  <c r="AS838" i="1"/>
  <c r="BP893" i="1"/>
  <c r="BP903" i="1" s="1"/>
  <c r="BQ893" i="1"/>
  <c r="BQ903" i="1" s="1"/>
  <c r="BI829" i="1"/>
  <c r="BF828" i="1"/>
  <c r="BQ933" i="1"/>
  <c r="BP933" i="1"/>
  <c r="BK913" i="1"/>
  <c r="BK915" i="1"/>
  <c r="BK916" i="1" s="1"/>
  <c r="AX1108" i="1"/>
  <c r="BA874" i="1"/>
  <c r="BC873" i="1"/>
  <c r="BC874" i="1" s="1"/>
  <c r="BM787" i="1"/>
  <c r="BM786" i="1" s="1"/>
  <c r="BN787" i="1"/>
  <c r="BN786" i="1" s="1"/>
  <c r="BN789" i="1" s="1"/>
  <c r="BJ934" i="1"/>
  <c r="BJ936" i="1"/>
  <c r="BK750" i="1"/>
  <c r="BI894" i="1"/>
  <c r="BI895" i="1" s="1"/>
  <c r="BG895" i="1"/>
  <c r="BF987" i="1"/>
  <c r="AS975" i="1"/>
  <c r="AR975" i="1"/>
  <c r="BR772" i="1"/>
  <c r="AR1062" i="1"/>
  <c r="AR1072" i="1" s="1"/>
  <c r="AS1062" i="1"/>
  <c r="AS1072" i="1" s="1"/>
  <c r="AW1062" i="1"/>
  <c r="BI1040" i="1"/>
  <c r="BF1039" i="1"/>
  <c r="BQ891" i="1"/>
  <c r="BP891" i="1"/>
  <c r="BD871" i="1"/>
  <c r="BD873" i="1"/>
  <c r="BG750" i="1"/>
  <c r="BI749" i="1"/>
  <c r="BI750" i="1" s="1"/>
  <c r="BG754" i="1"/>
  <c r="AX1040" i="1"/>
  <c r="BM767" i="1"/>
  <c r="BM766" i="1" s="1"/>
  <c r="BN767" i="1"/>
  <c r="BN766" i="1" s="1"/>
  <c r="BN769" i="1" s="1"/>
  <c r="BI915" i="1"/>
  <c r="BI916" i="1" s="1"/>
  <c r="BG916" i="1"/>
  <c r="AV832" i="1"/>
  <c r="AV836" i="1"/>
  <c r="BL746" i="1"/>
  <c r="BL747" i="1" s="1"/>
  <c r="BJ749" i="1"/>
  <c r="BE834" i="1"/>
  <c r="BC834" i="1"/>
  <c r="BH795" i="1"/>
  <c r="BI956" i="1"/>
  <c r="BD956" i="1"/>
  <c r="BE956" i="1"/>
  <c r="AY1040" i="1"/>
  <c r="BQ745" i="1"/>
  <c r="BO745" i="1"/>
  <c r="BR914" i="1"/>
  <c r="BM914" i="1"/>
  <c r="BM924" i="1" s="1"/>
  <c r="BN914" i="1"/>
  <c r="BN924" i="1" s="1"/>
  <c r="BN912" i="1"/>
  <c r="BM912" i="1"/>
  <c r="BR752" i="1"/>
  <c r="AZ955" i="1"/>
  <c r="AW954" i="1"/>
  <c r="BM834" i="1"/>
  <c r="BD755" i="1"/>
  <c r="BF754" i="1"/>
  <c r="BH775" i="1"/>
  <c r="AT1061" i="1"/>
  <c r="AQ1060" i="1"/>
  <c r="AV1045" i="1"/>
  <c r="AT1045" i="1"/>
  <c r="AY829" i="1"/>
  <c r="AY831" i="1"/>
  <c r="BK787" i="1"/>
  <c r="BK786" i="1" s="1"/>
  <c r="BK789" i="1" s="1"/>
  <c r="BJ787" i="1"/>
  <c r="BJ786" i="1" s="1"/>
  <c r="AO955" i="1"/>
  <c r="AO957" i="1"/>
  <c r="BO871" i="1"/>
  <c r="BL870" i="1"/>
  <c r="BL977" i="1"/>
  <c r="BG977" i="1"/>
  <c r="BG987" i="1" s="1"/>
  <c r="BH977" i="1"/>
  <c r="BH987" i="1" s="1"/>
  <c r="BE767" i="1"/>
  <c r="BE766" i="1" s="1"/>
  <c r="BE769" i="1" s="1"/>
  <c r="BD767" i="1"/>
  <c r="BD766" i="1" s="1"/>
  <c r="AW831" i="1"/>
  <c r="AU832" i="1"/>
  <c r="AU836" i="1"/>
  <c r="AP1072" i="1"/>
  <c r="BA1045" i="1"/>
  <c r="BC981" i="1"/>
  <c r="BE981" i="1"/>
  <c r="AO976" i="1"/>
  <c r="AO978" i="1"/>
  <c r="AR838" i="1"/>
  <c r="AR837" i="1"/>
  <c r="AR841" i="1"/>
  <c r="BJ894" i="1"/>
  <c r="BJ892" i="1"/>
  <c r="BR792" i="1"/>
  <c r="BJ960" i="1"/>
  <c r="BP912" i="1"/>
  <c r="BQ912" i="1"/>
  <c r="BL748" i="1"/>
  <c r="BM748" i="1"/>
  <c r="BC775" i="1"/>
  <c r="BO998" i="1"/>
  <c r="BK998" i="1"/>
  <c r="BJ998" i="1"/>
  <c r="BJ913" i="1"/>
  <c r="BJ915" i="1"/>
  <c r="BM933" i="1"/>
  <c r="BN933" i="1"/>
  <c r="AR954" i="1"/>
  <c r="AS954" i="1"/>
  <c r="BO882" i="1"/>
  <c r="BG790" i="1"/>
  <c r="BI789" i="1"/>
  <c r="BI790" i="1" s="1"/>
  <c r="BG794" i="1"/>
  <c r="BD790" i="1"/>
  <c r="BF789" i="1"/>
  <c r="BF790" i="1" s="1"/>
  <c r="BD794" i="1"/>
  <c r="BC795" i="1"/>
  <c r="BN748" i="1"/>
  <c r="BG870" i="1"/>
  <c r="BH870" i="1"/>
  <c r="AZ976" i="1"/>
  <c r="AW975" i="1"/>
  <c r="AZ769" i="1"/>
  <c r="AZ770" i="1" s="1"/>
  <c r="AX770" i="1"/>
  <c r="AX774" i="1"/>
  <c r="AQ838" i="1"/>
  <c r="AQ837" i="1"/>
  <c r="BB1039" i="1"/>
  <c r="BA1039" i="1"/>
  <c r="BE795" i="1"/>
  <c r="BN891" i="1"/>
  <c r="BM891" i="1"/>
  <c r="AP976" i="1"/>
  <c r="AP978" i="1"/>
  <c r="AT832" i="1"/>
  <c r="AT836" i="1"/>
  <c r="BC755" i="1"/>
  <c r="BI936" i="1"/>
  <c r="BI937" i="1" s="1"/>
  <c r="BG937" i="1"/>
  <c r="BK894" i="1"/>
  <c r="BK895" i="1" s="1"/>
  <c r="BK892" i="1"/>
  <c r="BG770" i="1"/>
  <c r="BI769" i="1"/>
  <c r="BI770" i="1" s="1"/>
  <c r="BG774" i="1"/>
  <c r="AT775" i="1"/>
  <c r="AJ984" i="1"/>
  <c r="AJ985" i="1"/>
  <c r="AJ988" i="1"/>
  <c r="AL1061" i="1"/>
  <c r="AL1063" i="1"/>
  <c r="AH1063" i="1"/>
  <c r="AH1064" i="1" s="1"/>
  <c r="AF1064" i="1"/>
  <c r="AJ1061" i="1"/>
  <c r="AJ1063" i="1"/>
  <c r="AJ1064" i="1" s="1"/>
  <c r="AI988" i="1"/>
  <c r="AI984" i="1"/>
  <c r="AI985" i="1"/>
  <c r="X1073" i="1"/>
  <c r="X1069" i="1"/>
  <c r="X1070" i="1"/>
  <c r="AI963" i="1"/>
  <c r="AM1063" i="1"/>
  <c r="AM1064" i="1" s="1"/>
  <c r="AM1061" i="1"/>
  <c r="AI1061" i="1"/>
  <c r="AI1063" i="1"/>
  <c r="AL984" i="1"/>
  <c r="AL985" i="1"/>
  <c r="AL988" i="1"/>
  <c r="Z1066" i="1"/>
  <c r="Y1066" i="1"/>
  <c r="Y1068" i="1" s="1"/>
  <c r="W1068" i="1"/>
  <c r="AN979" i="1"/>
  <c r="AN983" i="1"/>
  <c r="AD1066" i="1"/>
  <c r="AA1068" i="1"/>
  <c r="AM985" i="1"/>
  <c r="AM988" i="1"/>
  <c r="AM984" i="1"/>
  <c r="AL963" i="1"/>
  <c r="AH984" i="1"/>
  <c r="AH985" i="1"/>
  <c r="AK979" i="1"/>
  <c r="AK983" i="1"/>
  <c r="AH988" i="1"/>
  <c r="T1068" i="1"/>
  <c r="T1073" i="1" s="1"/>
  <c r="V1073" i="1" s="1"/>
  <c r="V1066" i="1"/>
  <c r="V1068" i="1" s="1"/>
  <c r="BR882" i="1" l="1"/>
  <c r="BO924" i="1"/>
  <c r="BB1040" i="1"/>
  <c r="AZ975" i="1"/>
  <c r="BC976" i="1"/>
  <c r="BN936" i="1"/>
  <c r="BN937" i="1" s="1"/>
  <c r="BN934" i="1"/>
  <c r="BQ913" i="1"/>
  <c r="BL894" i="1"/>
  <c r="BL895" i="1" s="1"/>
  <c r="BJ895" i="1"/>
  <c r="AQ978" i="1"/>
  <c r="AO979" i="1"/>
  <c r="AO983" i="1"/>
  <c r="BK977" i="1"/>
  <c r="BK987" i="1" s="1"/>
  <c r="BO977" i="1"/>
  <c r="BJ977" i="1"/>
  <c r="BJ987" i="1" s="1"/>
  <c r="BR745" i="1"/>
  <c r="AV837" i="1"/>
  <c r="AV838" i="1"/>
  <c r="AV841" i="1"/>
  <c r="BQ894" i="1"/>
  <c r="BQ895" i="1" s="1"/>
  <c r="BQ892" i="1"/>
  <c r="BD828" i="1"/>
  <c r="BE828" i="1"/>
  <c r="BI774" i="1"/>
  <c r="BG775" i="1"/>
  <c r="AP979" i="1"/>
  <c r="AP983" i="1"/>
  <c r="BN894" i="1"/>
  <c r="BN895" i="1" s="1"/>
  <c r="BN892" i="1"/>
  <c r="BA1040" i="1"/>
  <c r="AU975" i="1"/>
  <c r="AV975" i="1"/>
  <c r="BD795" i="1"/>
  <c r="BF794" i="1"/>
  <c r="AR955" i="1"/>
  <c r="AR957" i="1"/>
  <c r="BF981" i="1"/>
  <c r="BH981" i="1"/>
  <c r="BD1045" i="1"/>
  <c r="AW832" i="1"/>
  <c r="AW836" i="1"/>
  <c r="BR871" i="1"/>
  <c r="BR870" i="1" s="1"/>
  <c r="BO870" i="1"/>
  <c r="BK790" i="1"/>
  <c r="BK794" i="1"/>
  <c r="AU954" i="1"/>
  <c r="AV954" i="1"/>
  <c r="BN913" i="1"/>
  <c r="BN915" i="1"/>
  <c r="BN916" i="1" s="1"/>
  <c r="BQ747" i="1"/>
  <c r="BQ746" i="1" s="1"/>
  <c r="BP747" i="1"/>
  <c r="BP746" i="1" s="1"/>
  <c r="BP892" i="1"/>
  <c r="BP894" i="1"/>
  <c r="AV1062" i="1"/>
  <c r="AV1072" i="1" s="1"/>
  <c r="AU1062" i="1"/>
  <c r="AU1072" i="1" s="1"/>
  <c r="AZ1062" i="1"/>
  <c r="BL936" i="1"/>
  <c r="BL937" i="1" s="1"/>
  <c r="BJ937" i="1"/>
  <c r="BA1108" i="1"/>
  <c r="BQ936" i="1"/>
  <c r="BQ937" i="1" s="1"/>
  <c r="BQ934" i="1"/>
  <c r="BN749" i="1"/>
  <c r="AQ1072" i="1"/>
  <c r="BQ748" i="1"/>
  <c r="BM960" i="1"/>
  <c r="BD769" i="1"/>
  <c r="BF766" i="1"/>
  <c r="BF767" i="1" s="1"/>
  <c r="AY1045" i="1"/>
  <c r="AW1045" i="1"/>
  <c r="AX832" i="1"/>
  <c r="AZ831" i="1"/>
  <c r="AX836" i="1"/>
  <c r="AT838" i="1"/>
  <c r="AT837" i="1"/>
  <c r="BH873" i="1"/>
  <c r="BH874" i="1" s="1"/>
  <c r="BH871" i="1"/>
  <c r="BM934" i="1"/>
  <c r="BM936" i="1"/>
  <c r="BO748" i="1"/>
  <c r="BP748" i="1"/>
  <c r="BP913" i="1"/>
  <c r="AT841" i="1"/>
  <c r="AU837" i="1"/>
  <c r="AU838" i="1"/>
  <c r="AU841" i="1"/>
  <c r="BE770" i="1"/>
  <c r="BE774" i="1"/>
  <c r="AP1060" i="1"/>
  <c r="AO1060" i="1"/>
  <c r="BF755" i="1"/>
  <c r="BN770" i="1"/>
  <c r="BN774" i="1"/>
  <c r="BF873" i="1"/>
  <c r="BF874" i="1" s="1"/>
  <c r="BD874" i="1"/>
  <c r="BE1039" i="1"/>
  <c r="BD1039" i="1"/>
  <c r="AT1072" i="1"/>
  <c r="AS978" i="1"/>
  <c r="AS976" i="1"/>
  <c r="BK755" i="1"/>
  <c r="BN790" i="1"/>
  <c r="BN794" i="1"/>
  <c r="BI828" i="1"/>
  <c r="BL829" i="1"/>
  <c r="BA831" i="1"/>
  <c r="BA829" i="1"/>
  <c r="AZ774" i="1"/>
  <c r="AX775" i="1"/>
  <c r="AO958" i="1"/>
  <c r="AQ957" i="1"/>
  <c r="AQ958" i="1" s="1"/>
  <c r="AO962" i="1"/>
  <c r="AY832" i="1"/>
  <c r="AY836" i="1"/>
  <c r="AZ954" i="1"/>
  <c r="BC955" i="1"/>
  <c r="BH834" i="1"/>
  <c r="BF834" i="1"/>
  <c r="AR976" i="1"/>
  <c r="AR978" i="1"/>
  <c r="BM749" i="1"/>
  <c r="BO746" i="1"/>
  <c r="BO747" i="1" s="1"/>
  <c r="BP981" i="1"/>
  <c r="BM894" i="1"/>
  <c r="BM892" i="1"/>
  <c r="BG871" i="1"/>
  <c r="BG873" i="1"/>
  <c r="BG795" i="1"/>
  <c r="BI794" i="1"/>
  <c r="AS955" i="1"/>
  <c r="AS957" i="1"/>
  <c r="AS958" i="1" s="1"/>
  <c r="BJ916" i="1"/>
  <c r="BL915" i="1"/>
  <c r="BL916" i="1" s="1"/>
  <c r="BN998" i="1"/>
  <c r="BM998" i="1"/>
  <c r="BR998" i="1"/>
  <c r="BI987" i="1"/>
  <c r="BJ870" i="1"/>
  <c r="BK870" i="1"/>
  <c r="BL786" i="1"/>
  <c r="BL787" i="1" s="1"/>
  <c r="BJ789" i="1"/>
  <c r="AW1061" i="1"/>
  <c r="AT1060" i="1"/>
  <c r="BP834" i="1"/>
  <c r="BM915" i="1"/>
  <c r="BM913" i="1"/>
  <c r="BQ914" i="1"/>
  <c r="BQ924" i="1" s="1"/>
  <c r="BP914" i="1"/>
  <c r="BP924" i="1" s="1"/>
  <c r="BL956" i="1"/>
  <c r="BG956" i="1"/>
  <c r="BH956" i="1"/>
  <c r="BL749" i="1"/>
  <c r="BL750" i="1" s="1"/>
  <c r="BJ750" i="1"/>
  <c r="BJ754" i="1"/>
  <c r="BO766" i="1"/>
  <c r="BO767" i="1" s="1"/>
  <c r="BM769" i="1"/>
  <c r="BG755" i="1"/>
  <c r="BI754" i="1"/>
  <c r="BL1040" i="1"/>
  <c r="BI1039" i="1"/>
  <c r="BM789" i="1"/>
  <c r="BO786" i="1"/>
  <c r="BO787" i="1" s="1"/>
  <c r="BP936" i="1"/>
  <c r="BP934" i="1"/>
  <c r="BR903" i="1"/>
  <c r="BB831" i="1"/>
  <c r="BB829" i="1"/>
  <c r="AK988" i="1"/>
  <c r="AA1070" i="1"/>
  <c r="AA1073" i="1"/>
  <c r="AA1069" i="1"/>
  <c r="W1073" i="1"/>
  <c r="Y1073" i="1" s="1"/>
  <c r="W1069" i="1"/>
  <c r="W1070" i="1"/>
  <c r="AG1066" i="1"/>
  <c r="AD1068" i="1"/>
  <c r="Y1069" i="1"/>
  <c r="Y1070" i="1"/>
  <c r="AK985" i="1"/>
  <c r="AK984" i="1"/>
  <c r="AN984" i="1"/>
  <c r="AN985" i="1"/>
  <c r="AC1066" i="1"/>
  <c r="AB1066" i="1"/>
  <c r="AB1068" i="1" s="1"/>
  <c r="Z1068" i="1"/>
  <c r="AI1064" i="1"/>
  <c r="AK1063" i="1"/>
  <c r="AK1064" i="1" s="1"/>
  <c r="AN988" i="1"/>
  <c r="AN1063" i="1"/>
  <c r="AN1064" i="1" s="1"/>
  <c r="AL1064" i="1"/>
  <c r="V1070" i="1"/>
  <c r="V1069" i="1"/>
  <c r="T1070" i="1"/>
  <c r="T1069" i="1"/>
  <c r="AW1072" i="1" l="1"/>
  <c r="BL987" i="1"/>
  <c r="BG1039" i="1"/>
  <c r="BH1039" i="1"/>
  <c r="BK834" i="1"/>
  <c r="BI834" i="1"/>
  <c r="BN795" i="1"/>
  <c r="BF795" i="1"/>
  <c r="BI755" i="1"/>
  <c r="BO789" i="1"/>
  <c r="BO790" i="1" s="1"/>
  <c r="BM790" i="1"/>
  <c r="BM794" i="1"/>
  <c r="BL754" i="1"/>
  <c r="BJ755" i="1"/>
  <c r="BR924" i="1"/>
  <c r="BJ871" i="1"/>
  <c r="BJ873" i="1"/>
  <c r="BG874" i="1"/>
  <c r="BI873" i="1"/>
  <c r="BI874" i="1" s="1"/>
  <c r="BO749" i="1"/>
  <c r="BO750" i="1" s="1"/>
  <c r="BM750" i="1"/>
  <c r="BM754" i="1"/>
  <c r="AY838" i="1"/>
  <c r="AY837" i="1"/>
  <c r="AY841" i="1"/>
  <c r="AZ775" i="1"/>
  <c r="BG828" i="1"/>
  <c r="BH828" i="1"/>
  <c r="BE775" i="1"/>
  <c r="BP915" i="1"/>
  <c r="BO936" i="1"/>
  <c r="BO937" i="1" s="1"/>
  <c r="BM937" i="1"/>
  <c r="BB1045" i="1"/>
  <c r="AZ1045" i="1"/>
  <c r="BQ749" i="1"/>
  <c r="AU955" i="1"/>
  <c r="AU957" i="1"/>
  <c r="BN870" i="1"/>
  <c r="BM870" i="1"/>
  <c r="BK981" i="1"/>
  <c r="BI981" i="1"/>
  <c r="AV976" i="1"/>
  <c r="AV978" i="1"/>
  <c r="BD829" i="1"/>
  <c r="BD831" i="1"/>
  <c r="BQ915" i="1"/>
  <c r="BQ916" i="1" s="1"/>
  <c r="BC975" i="1"/>
  <c r="BF976" i="1"/>
  <c r="BL789" i="1"/>
  <c r="BL790" i="1" s="1"/>
  <c r="BJ790" i="1"/>
  <c r="BJ794" i="1"/>
  <c r="BD1040" i="1"/>
  <c r="BP870" i="1"/>
  <c r="BQ870" i="1"/>
  <c r="AU976" i="1"/>
  <c r="AU978" i="1"/>
  <c r="BM977" i="1"/>
  <c r="BM987" i="1" s="1"/>
  <c r="BN977" i="1"/>
  <c r="BN987" i="1" s="1"/>
  <c r="BR977" i="1"/>
  <c r="AQ979" i="1"/>
  <c r="AQ983" i="1"/>
  <c r="AY975" i="1"/>
  <c r="AX975" i="1"/>
  <c r="BB832" i="1"/>
  <c r="BB836" i="1"/>
  <c r="BI795" i="1"/>
  <c r="AT978" i="1"/>
  <c r="AR979" i="1"/>
  <c r="AR983" i="1"/>
  <c r="BR894" i="1"/>
  <c r="BR895" i="1" s="1"/>
  <c r="BP895" i="1"/>
  <c r="BR936" i="1"/>
  <c r="BR937" i="1" s="1"/>
  <c r="BP937" i="1"/>
  <c r="BO1040" i="1"/>
  <c r="BL1039" i="1"/>
  <c r="BM770" i="1"/>
  <c r="BO769" i="1"/>
  <c r="BO770" i="1" s="1"/>
  <c r="BM774" i="1"/>
  <c r="BK956" i="1"/>
  <c r="BJ956" i="1"/>
  <c r="BO956" i="1"/>
  <c r="BM916" i="1"/>
  <c r="BO915" i="1"/>
  <c r="BO916" i="1" s="1"/>
  <c r="AR1060" i="1"/>
  <c r="AS1060" i="1"/>
  <c r="BP787" i="1"/>
  <c r="BP786" i="1" s="1"/>
  <c r="BQ787" i="1"/>
  <c r="BQ786" i="1" s="1"/>
  <c r="BQ789" i="1" s="1"/>
  <c r="BQ998" i="1"/>
  <c r="BP998" i="1"/>
  <c r="BC954" i="1"/>
  <c r="BF955" i="1"/>
  <c r="AO963" i="1"/>
  <c r="BC831" i="1"/>
  <c r="BA832" i="1"/>
  <c r="BA836" i="1"/>
  <c r="AS979" i="1"/>
  <c r="AS983" i="1"/>
  <c r="BE1040" i="1"/>
  <c r="AO1061" i="1"/>
  <c r="AO1063" i="1"/>
  <c r="AX838" i="1"/>
  <c r="AX841" i="1"/>
  <c r="AX837" i="1"/>
  <c r="BD770" i="1"/>
  <c r="BF769" i="1"/>
  <c r="BF770" i="1" s="1"/>
  <c r="BD774" i="1"/>
  <c r="BP960" i="1"/>
  <c r="AY1062" i="1"/>
  <c r="AY1072" i="1" s="1"/>
  <c r="AX1062" i="1"/>
  <c r="AX1072" i="1" s="1"/>
  <c r="BC1062" i="1"/>
  <c r="BK795" i="1"/>
  <c r="AW837" i="1"/>
  <c r="AW838" i="1"/>
  <c r="BG1045" i="1"/>
  <c r="AP985" i="1"/>
  <c r="AP988" i="1"/>
  <c r="AP984" i="1"/>
  <c r="BI775" i="1"/>
  <c r="BN775" i="1"/>
  <c r="BR748" i="1"/>
  <c r="BJ767" i="1"/>
  <c r="BJ766" i="1" s="1"/>
  <c r="BK767" i="1"/>
  <c r="BK766" i="1" s="1"/>
  <c r="BK769" i="1" s="1"/>
  <c r="AZ1061" i="1"/>
  <c r="AW1060" i="1"/>
  <c r="BK871" i="1"/>
  <c r="BK873" i="1"/>
  <c r="BK874" i="1" s="1"/>
  <c r="BM895" i="1"/>
  <c r="BO894" i="1"/>
  <c r="BO895" i="1" s="1"/>
  <c r="AX954" i="1"/>
  <c r="AY954" i="1"/>
  <c r="BO829" i="1"/>
  <c r="BL828" i="1"/>
  <c r="AP1063" i="1"/>
  <c r="AP1064" i="1" s="1"/>
  <c r="AP1061" i="1"/>
  <c r="AZ832" i="1"/>
  <c r="AZ836" i="1"/>
  <c r="BN750" i="1"/>
  <c r="BN754" i="1"/>
  <c r="BD1108" i="1"/>
  <c r="BR746" i="1"/>
  <c r="BR747" i="1" s="1"/>
  <c r="BP749" i="1"/>
  <c r="AV957" i="1"/>
  <c r="AV958" i="1" s="1"/>
  <c r="AV955" i="1"/>
  <c r="AR958" i="1"/>
  <c r="AT957" i="1"/>
  <c r="AT958" i="1" s="1"/>
  <c r="AR962" i="1"/>
  <c r="BE829" i="1"/>
  <c r="BE831" i="1"/>
  <c r="AW841" i="1"/>
  <c r="AO984" i="1"/>
  <c r="AO985" i="1"/>
  <c r="AO988" i="1"/>
  <c r="AB1069" i="1"/>
  <c r="AB1070" i="1"/>
  <c r="AD1070" i="1"/>
  <c r="AD1073" i="1"/>
  <c r="AD1069" i="1"/>
  <c r="AF1066" i="1"/>
  <c r="AE1066" i="1"/>
  <c r="AE1068" i="1" s="1"/>
  <c r="AC1068" i="1"/>
  <c r="AJ1066" i="1"/>
  <c r="AG1068" i="1"/>
  <c r="Z1073" i="1"/>
  <c r="AB1073" i="1" s="1"/>
  <c r="Z1069" i="1"/>
  <c r="Z1070" i="1"/>
  <c r="F1182" i="1"/>
  <c r="I1182" i="1"/>
  <c r="L1182" i="1"/>
  <c r="O1182" i="1"/>
  <c r="R1182" i="1"/>
  <c r="F1175" i="1"/>
  <c r="I1175" i="1"/>
  <c r="L1175" i="1"/>
  <c r="O1175" i="1"/>
  <c r="S1168" i="1"/>
  <c r="Q1168" i="1"/>
  <c r="P1168" i="1"/>
  <c r="N1168" i="1"/>
  <c r="N1169" i="1" s="1"/>
  <c r="M1168" i="1"/>
  <c r="K1168" i="1"/>
  <c r="J1168" i="1"/>
  <c r="H1168" i="1"/>
  <c r="G1168" i="1"/>
  <c r="E1168" i="1"/>
  <c r="M1291" i="1"/>
  <c r="K1291" i="1"/>
  <c r="K1170" i="1" s="1"/>
  <c r="K1183" i="1" s="1"/>
  <c r="J1291" i="1"/>
  <c r="J1170" i="1" s="1"/>
  <c r="J1183" i="1" s="1"/>
  <c r="H1291" i="1"/>
  <c r="H1170" i="1" s="1"/>
  <c r="H1183" i="1" s="1"/>
  <c r="G1291" i="1"/>
  <c r="G1170" i="1" s="1"/>
  <c r="G1183" i="1" s="1"/>
  <c r="E1291" i="1"/>
  <c r="E1170" i="1" s="1"/>
  <c r="E1183" i="1" s="1"/>
  <c r="F1289" i="1"/>
  <c r="F1168" i="1" s="1"/>
  <c r="F1169" i="1" s="1"/>
  <c r="I1289" i="1"/>
  <c r="L1289" i="1"/>
  <c r="P1291" i="1"/>
  <c r="N1291" i="1"/>
  <c r="N1170" i="1" s="1"/>
  <c r="N1183" i="1" s="1"/>
  <c r="O1289" i="1"/>
  <c r="R1289" i="1"/>
  <c r="S1291" i="1"/>
  <c r="S1170" i="1" s="1"/>
  <c r="S1183" i="1" s="1"/>
  <c r="Q1291" i="1"/>
  <c r="E677" i="1"/>
  <c r="F673" i="1"/>
  <c r="F624" i="1" s="1"/>
  <c r="E675" i="1"/>
  <c r="E674" i="1"/>
  <c r="F632" i="1"/>
  <c r="F629" i="1"/>
  <c r="G624" i="1"/>
  <c r="E624" i="1"/>
  <c r="G677" i="1"/>
  <c r="G675" i="1"/>
  <c r="G625" i="1" s="1"/>
  <c r="G633" i="1" s="1"/>
  <c r="G674" i="1"/>
  <c r="H624" i="1"/>
  <c r="I629" i="1"/>
  <c r="I632" i="1"/>
  <c r="I673" i="1"/>
  <c r="I624" i="1" s="1"/>
  <c r="H677" i="1"/>
  <c r="H675" i="1"/>
  <c r="H625" i="1" s="1"/>
  <c r="H674" i="1"/>
  <c r="J624" i="1"/>
  <c r="J677" i="1"/>
  <c r="J675" i="1"/>
  <c r="J625" i="1" s="1"/>
  <c r="J633" i="1" s="1"/>
  <c r="J674" i="1"/>
  <c r="L632" i="1"/>
  <c r="M624" i="1"/>
  <c r="K624" i="1"/>
  <c r="P624" i="1"/>
  <c r="N624" i="1"/>
  <c r="L629" i="1"/>
  <c r="K677" i="1"/>
  <c r="K675" i="1"/>
  <c r="K625" i="1" s="1"/>
  <c r="K674" i="1"/>
  <c r="L673" i="1"/>
  <c r="L624" i="1" s="1"/>
  <c r="M677" i="1"/>
  <c r="M675" i="1"/>
  <c r="M625" i="1" s="1"/>
  <c r="M633" i="1" s="1"/>
  <c r="M674" i="1"/>
  <c r="N677" i="1"/>
  <c r="N675" i="1"/>
  <c r="N625" i="1" s="1"/>
  <c r="N674" i="1"/>
  <c r="O673" i="1"/>
  <c r="O674" i="1" s="1"/>
  <c r="O632" i="1"/>
  <c r="O629" i="1"/>
  <c r="P677" i="1"/>
  <c r="P675" i="1"/>
  <c r="P625" i="1" s="1"/>
  <c r="P633" i="1" s="1"/>
  <c r="P674" i="1"/>
  <c r="P623" i="1"/>
  <c r="P634" i="1" s="1"/>
  <c r="BO987" i="1" l="1"/>
  <c r="AX955" i="1"/>
  <c r="AX957" i="1"/>
  <c r="BA1062" i="1"/>
  <c r="BA1072" i="1" s="1"/>
  <c r="BB1062" i="1"/>
  <c r="BB1072" i="1" s="1"/>
  <c r="BF1062" i="1"/>
  <c r="BA841" i="1"/>
  <c r="BA838" i="1"/>
  <c r="BA837" i="1"/>
  <c r="BF954" i="1"/>
  <c r="BI955" i="1"/>
  <c r="BQ790" i="1"/>
  <c r="BQ794" i="1"/>
  <c r="BJ1039" i="1"/>
  <c r="BK1039" i="1"/>
  <c r="AT979" i="1"/>
  <c r="AT983" i="1"/>
  <c r="AY976" i="1"/>
  <c r="AY978" i="1"/>
  <c r="BF975" i="1"/>
  <c r="BI976" i="1"/>
  <c r="AU958" i="1"/>
  <c r="AW957" i="1"/>
  <c r="AW958" i="1" s="1"/>
  <c r="AU962" i="1"/>
  <c r="BO754" i="1"/>
  <c r="BM755" i="1"/>
  <c r="BN834" i="1"/>
  <c r="BL834" i="1"/>
  <c r="AR963" i="1"/>
  <c r="AZ837" i="1"/>
  <c r="AZ838" i="1"/>
  <c r="BJ828" i="1"/>
  <c r="BK828" i="1"/>
  <c r="BK770" i="1"/>
  <c r="BK774" i="1"/>
  <c r="AZ1072" i="1"/>
  <c r="BA954" i="1"/>
  <c r="BB954" i="1"/>
  <c r="BP789" i="1"/>
  <c r="BR786" i="1"/>
  <c r="BR787" i="1" s="1"/>
  <c r="BO774" i="1"/>
  <c r="BM775" i="1"/>
  <c r="BR1040" i="1"/>
  <c r="BR1039" i="1" s="1"/>
  <c r="BO1039" i="1"/>
  <c r="BB837" i="1"/>
  <c r="BB841" i="1"/>
  <c r="BB838" i="1"/>
  <c r="AQ985" i="1"/>
  <c r="AQ984" i="1"/>
  <c r="BQ873" i="1"/>
  <c r="BQ874" i="1" s="1"/>
  <c r="BQ871" i="1"/>
  <c r="BJ795" i="1"/>
  <c r="BL794" i="1"/>
  <c r="BA975" i="1"/>
  <c r="BB975" i="1"/>
  <c r="AV979" i="1"/>
  <c r="AV983" i="1"/>
  <c r="BN981" i="1"/>
  <c r="BL981" i="1"/>
  <c r="BP916" i="1"/>
  <c r="BR915" i="1"/>
  <c r="BR916" i="1" s="1"/>
  <c r="BH829" i="1"/>
  <c r="BH831" i="1"/>
  <c r="BL873" i="1"/>
  <c r="BL874" i="1" s="1"/>
  <c r="BJ874" i="1"/>
  <c r="BL755" i="1"/>
  <c r="BR749" i="1"/>
  <c r="BR750" i="1" s="1"/>
  <c r="BP750" i="1"/>
  <c r="BP754" i="1"/>
  <c r="BG1108" i="1"/>
  <c r="BR829" i="1"/>
  <c r="BR828" i="1" s="1"/>
  <c r="BO828" i="1"/>
  <c r="AU1060" i="1"/>
  <c r="AV1060" i="1"/>
  <c r="BJ769" i="1"/>
  <c r="BL766" i="1"/>
  <c r="BL767" i="1" s="1"/>
  <c r="AQ988" i="1"/>
  <c r="BJ1045" i="1"/>
  <c r="BD775" i="1"/>
  <c r="BF774" i="1"/>
  <c r="AO1064" i="1"/>
  <c r="AQ1063" i="1"/>
  <c r="AQ1064" i="1" s="1"/>
  <c r="AS984" i="1"/>
  <c r="AS985" i="1"/>
  <c r="AS988" i="1"/>
  <c r="BC832" i="1"/>
  <c r="BC836" i="1"/>
  <c r="AS1061" i="1"/>
  <c r="AS1063" i="1"/>
  <c r="AS1064" i="1" s="1"/>
  <c r="BN956" i="1"/>
  <c r="BM956" i="1"/>
  <c r="BR956" i="1"/>
  <c r="AR985" i="1"/>
  <c r="AR988" i="1"/>
  <c r="AR984" i="1"/>
  <c r="AW978" i="1"/>
  <c r="AU979" i="1"/>
  <c r="AU983" i="1"/>
  <c r="BP873" i="1"/>
  <c r="BP871" i="1"/>
  <c r="BM871" i="1"/>
  <c r="BM873" i="1"/>
  <c r="BQ750" i="1"/>
  <c r="BQ754" i="1"/>
  <c r="BE1045" i="1"/>
  <c r="BC1045" i="1"/>
  <c r="BG829" i="1"/>
  <c r="BG831" i="1"/>
  <c r="BH1040" i="1"/>
  <c r="BE832" i="1"/>
  <c r="BE836" i="1"/>
  <c r="BN755" i="1"/>
  <c r="AY955" i="1"/>
  <c r="AY957" i="1"/>
  <c r="AY958" i="1" s="1"/>
  <c r="BC1061" i="1"/>
  <c r="AZ1060" i="1"/>
  <c r="AZ841" i="1"/>
  <c r="AR1063" i="1"/>
  <c r="AR1061" i="1"/>
  <c r="AX978" i="1"/>
  <c r="AX976" i="1"/>
  <c r="BP977" i="1"/>
  <c r="BP987" i="1" s="1"/>
  <c r="BQ977" i="1"/>
  <c r="BQ987" i="1" s="1"/>
  <c r="BD832" i="1"/>
  <c r="BF831" i="1"/>
  <c r="BD836" i="1"/>
  <c r="BN871" i="1"/>
  <c r="BN873" i="1"/>
  <c r="BN874" i="1" s="1"/>
  <c r="BM795" i="1"/>
  <c r="BO794" i="1"/>
  <c r="BG1040" i="1"/>
  <c r="AC1073" i="1"/>
  <c r="AE1073" i="1" s="1"/>
  <c r="AC1069" i="1"/>
  <c r="AC1070" i="1"/>
  <c r="AE1069" i="1"/>
  <c r="AE1070" i="1"/>
  <c r="AG1070" i="1"/>
  <c r="AG1073" i="1"/>
  <c r="AG1069" i="1"/>
  <c r="AI1066" i="1"/>
  <c r="AH1066" i="1"/>
  <c r="AH1068" i="1" s="1"/>
  <c r="AF1068" i="1"/>
  <c r="AM1066" i="1"/>
  <c r="AJ1068" i="1"/>
  <c r="R1168" i="1"/>
  <c r="L1168" i="1"/>
  <c r="L1169" i="1" s="1"/>
  <c r="L1290" i="1"/>
  <c r="O1168" i="1"/>
  <c r="O1290" i="1"/>
  <c r="I1168" i="1"/>
  <c r="I1290" i="1"/>
  <c r="O1184" i="1"/>
  <c r="L1184" i="1"/>
  <c r="I1184" i="1"/>
  <c r="F1184" i="1"/>
  <c r="N633" i="1"/>
  <c r="H633" i="1"/>
  <c r="L634" i="1"/>
  <c r="O634" i="1"/>
  <c r="K633" i="1"/>
  <c r="I634" i="1"/>
  <c r="F674" i="1"/>
  <c r="L675" i="1"/>
  <c r="L625" i="1" s="1"/>
  <c r="I674" i="1"/>
  <c r="F675" i="1"/>
  <c r="F625" i="1" s="1"/>
  <c r="O1291" i="1"/>
  <c r="O1170" i="1" s="1"/>
  <c r="O1183" i="1" s="1"/>
  <c r="O624" i="1"/>
  <c r="I675" i="1"/>
  <c r="I676" i="1" s="1"/>
  <c r="H626" i="1"/>
  <c r="E625" i="1"/>
  <c r="L1291" i="1"/>
  <c r="L1170" i="1" s="1"/>
  <c r="L1183" i="1" s="1"/>
  <c r="H1171" i="1"/>
  <c r="H1172" i="1" s="1"/>
  <c r="O675" i="1"/>
  <c r="O625" i="1" s="1"/>
  <c r="N626" i="1"/>
  <c r="P626" i="1"/>
  <c r="P627" i="1" s="1"/>
  <c r="K626" i="1"/>
  <c r="M626" i="1"/>
  <c r="M627" i="1" s="1"/>
  <c r="J626" i="1"/>
  <c r="J627" i="1" s="1"/>
  <c r="G626" i="1"/>
  <c r="G627" i="1" s="1"/>
  <c r="R1291" i="1"/>
  <c r="R1170" i="1" s="1"/>
  <c r="R1183" i="1" s="1"/>
  <c r="F1291" i="1"/>
  <c r="F1170" i="1" s="1"/>
  <c r="F1183" i="1" s="1"/>
  <c r="I1291" i="1"/>
  <c r="I1170" i="1" s="1"/>
  <c r="I1183" i="1" s="1"/>
  <c r="E1171" i="1"/>
  <c r="E1172" i="1" s="1"/>
  <c r="G1171" i="1"/>
  <c r="G1173" i="1" s="1"/>
  <c r="K1171" i="1"/>
  <c r="K1172" i="1" s="1"/>
  <c r="S1171" i="1"/>
  <c r="H1169" i="1"/>
  <c r="P1170" i="1"/>
  <c r="P1183" i="1" s="1"/>
  <c r="J1171" i="1"/>
  <c r="J1173" i="1" s="1"/>
  <c r="N1171" i="1"/>
  <c r="N1172" i="1" s="1"/>
  <c r="M1170" i="1"/>
  <c r="M1183" i="1" s="1"/>
  <c r="Q1170" i="1"/>
  <c r="Q1183" i="1" s="1"/>
  <c r="E1169" i="1"/>
  <c r="I1169" i="1"/>
  <c r="K1169" i="1"/>
  <c r="O1169" i="1"/>
  <c r="L674" i="1"/>
  <c r="BR987" i="1" l="1"/>
  <c r="BO795" i="1"/>
  <c r="BF832" i="1"/>
  <c r="BF836" i="1"/>
  <c r="AT1063" i="1"/>
  <c r="AT1064" i="1" s="1"/>
  <c r="AR1064" i="1"/>
  <c r="BF1061" i="1"/>
  <c r="BC1060" i="1"/>
  <c r="BH1045" i="1"/>
  <c r="BF1045" i="1"/>
  <c r="BM1045" i="1"/>
  <c r="BJ770" i="1"/>
  <c r="BL769" i="1"/>
  <c r="BL770" i="1" s="1"/>
  <c r="BJ774" i="1"/>
  <c r="BQ828" i="1"/>
  <c r="BP828" i="1"/>
  <c r="BQ981" i="1"/>
  <c r="BO981" i="1"/>
  <c r="BA978" i="1"/>
  <c r="BA976" i="1"/>
  <c r="BQ1039" i="1"/>
  <c r="BP1039" i="1"/>
  <c r="BO755" i="1"/>
  <c r="AY979" i="1"/>
  <c r="AY983" i="1"/>
  <c r="BK1040" i="1"/>
  <c r="BL955" i="1"/>
  <c r="BI954" i="1"/>
  <c r="BC841" i="1"/>
  <c r="AX979" i="1"/>
  <c r="AZ978" i="1"/>
  <c r="AX983" i="1"/>
  <c r="BE841" i="1"/>
  <c r="BE838" i="1"/>
  <c r="BE837" i="1"/>
  <c r="BQ755" i="1"/>
  <c r="AW979" i="1"/>
  <c r="AW983" i="1"/>
  <c r="BQ956" i="1"/>
  <c r="BP956" i="1"/>
  <c r="AV1061" i="1"/>
  <c r="AV1063" i="1"/>
  <c r="AV1064" i="1" s="1"/>
  <c r="AV988" i="1"/>
  <c r="AV984" i="1"/>
  <c r="AV985" i="1"/>
  <c r="BL795" i="1"/>
  <c r="BP790" i="1"/>
  <c r="BR789" i="1"/>
  <c r="BR790" i="1" s="1"/>
  <c r="BP794" i="1"/>
  <c r="BK829" i="1"/>
  <c r="BK831" i="1"/>
  <c r="BJ1040" i="1"/>
  <c r="BE954" i="1"/>
  <c r="BD954" i="1"/>
  <c r="BC1072" i="1"/>
  <c r="BI831" i="1"/>
  <c r="BG832" i="1"/>
  <c r="BG836" i="1"/>
  <c r="BP874" i="1"/>
  <c r="BR873" i="1"/>
  <c r="BR874" i="1" s="1"/>
  <c r="BF775" i="1"/>
  <c r="AU1061" i="1"/>
  <c r="AU1063" i="1"/>
  <c r="BJ1108" i="1"/>
  <c r="BH832" i="1"/>
  <c r="BH836" i="1"/>
  <c r="BO775" i="1"/>
  <c r="BB957" i="1"/>
  <c r="BB958" i="1" s="1"/>
  <c r="BB955" i="1"/>
  <c r="BJ829" i="1"/>
  <c r="BJ831" i="1"/>
  <c r="BQ834" i="1"/>
  <c r="BO834" i="1"/>
  <c r="BL976" i="1"/>
  <c r="BI975" i="1"/>
  <c r="AT985" i="1"/>
  <c r="AT984" i="1"/>
  <c r="BQ795" i="1"/>
  <c r="AZ957" i="1"/>
  <c r="AZ958" i="1" s="1"/>
  <c r="AX958" i="1"/>
  <c r="AX962" i="1"/>
  <c r="AM1068" i="1"/>
  <c r="AM1073" i="1" s="1"/>
  <c r="AP1066" i="1"/>
  <c r="BD838" i="1"/>
  <c r="BD841" i="1"/>
  <c r="BD837" i="1"/>
  <c r="AX1060" i="1"/>
  <c r="AY1060" i="1"/>
  <c r="BO873" i="1"/>
  <c r="BO874" i="1" s="1"/>
  <c r="BM874" i="1"/>
  <c r="AU988" i="1"/>
  <c r="AU985" i="1"/>
  <c r="AU984" i="1"/>
  <c r="AT988" i="1"/>
  <c r="BC838" i="1"/>
  <c r="BC837" i="1"/>
  <c r="BQ767" i="1"/>
  <c r="BQ766" i="1" s="1"/>
  <c r="BQ769" i="1" s="1"/>
  <c r="BP767" i="1"/>
  <c r="BP766" i="1" s="1"/>
  <c r="BN828" i="1"/>
  <c r="BM828" i="1"/>
  <c r="BR754" i="1"/>
  <c r="BP755" i="1"/>
  <c r="BB976" i="1"/>
  <c r="BB978" i="1"/>
  <c r="BM1039" i="1"/>
  <c r="BN1039" i="1"/>
  <c r="BA955" i="1"/>
  <c r="BA957" i="1"/>
  <c r="BK775" i="1"/>
  <c r="AU963" i="1"/>
  <c r="BE975" i="1"/>
  <c r="BD975" i="1"/>
  <c r="BE1062" i="1"/>
  <c r="BE1072" i="1" s="1"/>
  <c r="BD1062" i="1"/>
  <c r="BD1072" i="1" s="1"/>
  <c r="BI1062" i="1"/>
  <c r="AF1073" i="1"/>
  <c r="AF1069" i="1"/>
  <c r="AF1070" i="1"/>
  <c r="AH1069" i="1"/>
  <c r="AH1070" i="1"/>
  <c r="AJ1070" i="1"/>
  <c r="AJ1073" i="1"/>
  <c r="AJ1069" i="1"/>
  <c r="AL1066" i="1"/>
  <c r="AO1066" i="1" s="1"/>
  <c r="AK1066" i="1"/>
  <c r="AK1068" i="1" s="1"/>
  <c r="AI1068" i="1"/>
  <c r="I677" i="1"/>
  <c r="O633" i="1"/>
  <c r="L633" i="1"/>
  <c r="L1292" i="1"/>
  <c r="L676" i="1"/>
  <c r="L1171" i="1"/>
  <c r="L1172" i="1" s="1"/>
  <c r="R1292" i="1"/>
  <c r="O1292" i="1"/>
  <c r="I1292" i="1"/>
  <c r="F626" i="1"/>
  <c r="L626" i="1"/>
  <c r="R1171" i="1"/>
  <c r="E626" i="1"/>
  <c r="F1292" i="1"/>
  <c r="F676" i="1"/>
  <c r="O626" i="1"/>
  <c r="F1171" i="1"/>
  <c r="F1172" i="1" s="1"/>
  <c r="O1171" i="1"/>
  <c r="Q1171" i="1"/>
  <c r="I625" i="1"/>
  <c r="I1171" i="1"/>
  <c r="I1172" i="1" s="1"/>
  <c r="M1171" i="1"/>
  <c r="M1173" i="1" s="1"/>
  <c r="P1171" i="1"/>
  <c r="P1173" i="1" s="1"/>
  <c r="P1167" i="1"/>
  <c r="P1184" i="1" s="1"/>
  <c r="M1167" i="1"/>
  <c r="M1184" i="1" s="1"/>
  <c r="J1167" i="1"/>
  <c r="G1167" i="1"/>
  <c r="G1184" i="1" s="1"/>
  <c r="AH1073" i="1" l="1"/>
  <c r="AM1070" i="1"/>
  <c r="AM1069" i="1"/>
  <c r="AW988" i="1"/>
  <c r="BD978" i="1"/>
  <c r="BD976" i="1"/>
  <c r="BB979" i="1"/>
  <c r="BB983" i="1"/>
  <c r="BQ770" i="1"/>
  <c r="BQ774" i="1"/>
  <c r="BF841" i="1"/>
  <c r="AX963" i="1"/>
  <c r="BH975" i="1"/>
  <c r="BG975" i="1"/>
  <c r="BR834" i="1"/>
  <c r="BM1108" i="1"/>
  <c r="BG837" i="1"/>
  <c r="BG841" i="1"/>
  <c r="BG838" i="1"/>
  <c r="AX988" i="1"/>
  <c r="AX984" i="1"/>
  <c r="AX985" i="1"/>
  <c r="BQ1040" i="1"/>
  <c r="BL774" i="1"/>
  <c r="BJ775" i="1"/>
  <c r="BB1060" i="1"/>
  <c r="BA1060" i="1"/>
  <c r="BF838" i="1"/>
  <c r="BF837" i="1"/>
  <c r="AR1066" i="1"/>
  <c r="AQ1066" i="1"/>
  <c r="AQ1068" i="1" s="1"/>
  <c r="AO1068" i="1"/>
  <c r="BG1062" i="1"/>
  <c r="BG1072" i="1" s="1"/>
  <c r="BH1062" i="1"/>
  <c r="BH1072" i="1" s="1"/>
  <c r="BL1062" i="1"/>
  <c r="BE976" i="1"/>
  <c r="BE978" i="1"/>
  <c r="BM829" i="1"/>
  <c r="BM831" i="1"/>
  <c r="AY1061" i="1"/>
  <c r="AY1063" i="1"/>
  <c r="AY1064" i="1" s="1"/>
  <c r="BO976" i="1"/>
  <c r="BL975" i="1"/>
  <c r="BJ832" i="1"/>
  <c r="BL831" i="1"/>
  <c r="BJ836" i="1"/>
  <c r="BH837" i="1"/>
  <c r="BH838" i="1"/>
  <c r="BH841" i="1"/>
  <c r="AW1063" i="1"/>
  <c r="AW1064" i="1" s="1"/>
  <c r="AU1064" i="1"/>
  <c r="BD957" i="1"/>
  <c r="BD955" i="1"/>
  <c r="BP795" i="1"/>
  <c r="BR794" i="1"/>
  <c r="AW985" i="1"/>
  <c r="AW984" i="1"/>
  <c r="AZ979" i="1"/>
  <c r="AZ983" i="1"/>
  <c r="BR981" i="1"/>
  <c r="BP1045" i="1"/>
  <c r="BI1061" i="1"/>
  <c r="BF1060" i="1"/>
  <c r="BF1072" i="1"/>
  <c r="BN1040" i="1"/>
  <c r="BN831" i="1"/>
  <c r="BN829" i="1"/>
  <c r="AX1061" i="1"/>
  <c r="AX1063" i="1"/>
  <c r="AS1066" i="1"/>
  <c r="AP1068" i="1"/>
  <c r="BI832" i="1"/>
  <c r="BI836" i="1"/>
  <c r="BE955" i="1"/>
  <c r="BE957" i="1"/>
  <c r="BE958" i="1" s="1"/>
  <c r="BG954" i="1"/>
  <c r="BH954" i="1"/>
  <c r="AY988" i="1"/>
  <c r="AY984" i="1"/>
  <c r="AY985" i="1"/>
  <c r="BC978" i="1"/>
  <c r="BA979" i="1"/>
  <c r="BA983" i="1"/>
  <c r="BP831" i="1"/>
  <c r="BP829" i="1"/>
  <c r="BK1045" i="1"/>
  <c r="BI1045" i="1"/>
  <c r="BC957" i="1"/>
  <c r="BC958" i="1" s="1"/>
  <c r="BA958" i="1"/>
  <c r="BA962" i="1"/>
  <c r="BM1040" i="1"/>
  <c r="BR755" i="1"/>
  <c r="BR766" i="1"/>
  <c r="BR767" i="1" s="1"/>
  <c r="BP769" i="1"/>
  <c r="BK832" i="1"/>
  <c r="BK836" i="1"/>
  <c r="BO955" i="1"/>
  <c r="BL954" i="1"/>
  <c r="BP1040" i="1"/>
  <c r="BQ829" i="1"/>
  <c r="BQ831" i="1"/>
  <c r="BQ832" i="1" s="1"/>
  <c r="AN1066" i="1"/>
  <c r="AN1068" i="1" s="1"/>
  <c r="AL1068" i="1"/>
  <c r="AI1073" i="1"/>
  <c r="AK1073" i="1" s="1"/>
  <c r="AI1069" i="1"/>
  <c r="AI1070" i="1"/>
  <c r="AK1069" i="1"/>
  <c r="AK1070" i="1"/>
  <c r="O1293" i="1"/>
  <c r="R1305" i="1"/>
  <c r="O1304" i="1"/>
  <c r="O1303" i="1"/>
  <c r="L1293" i="1"/>
  <c r="L1303" i="1"/>
  <c r="L1304" i="1"/>
  <c r="O1305" i="1"/>
  <c r="R1303" i="1"/>
  <c r="U1305" i="1"/>
  <c r="R1304" i="1"/>
  <c r="F1293" i="1"/>
  <c r="I1305" i="1"/>
  <c r="I1293" i="1"/>
  <c r="I1304" i="1"/>
  <c r="L1305" i="1"/>
  <c r="I1303" i="1"/>
  <c r="J1172" i="1"/>
  <c r="J1184" i="1"/>
  <c r="F677" i="1"/>
  <c r="L677" i="1"/>
  <c r="L687" i="1"/>
  <c r="I687" i="1"/>
  <c r="I633" i="1"/>
  <c r="O1172" i="1"/>
  <c r="I626" i="1"/>
  <c r="G1169" i="1"/>
  <c r="M1169" i="1"/>
  <c r="G1172" i="1"/>
  <c r="J1169" i="1"/>
  <c r="P1169" i="1"/>
  <c r="P1172" i="1"/>
  <c r="M1172" i="1"/>
  <c r="AB228" i="1"/>
  <c r="Z228" i="1"/>
  <c r="Y228" i="1"/>
  <c r="W228" i="1"/>
  <c r="AB154" i="1"/>
  <c r="Z154" i="1"/>
  <c r="Y154" i="1"/>
  <c r="W154" i="1"/>
  <c r="V154" i="1"/>
  <c r="AB153" i="1"/>
  <c r="Z153" i="1"/>
  <c r="Y153" i="1"/>
  <c r="W153" i="1"/>
  <c r="V153" i="1"/>
  <c r="T153" i="1"/>
  <c r="AB152" i="1"/>
  <c r="Z152" i="1"/>
  <c r="Y152" i="1"/>
  <c r="W152" i="1"/>
  <c r="V152" i="1"/>
  <c r="T152" i="1"/>
  <c r="AB151" i="1"/>
  <c r="Z151" i="1"/>
  <c r="Y151" i="1"/>
  <c r="W151" i="1"/>
  <c r="V151" i="1"/>
  <c r="T151" i="1"/>
  <c r="V146" i="1"/>
  <c r="AB143" i="1"/>
  <c r="Z143" i="1"/>
  <c r="Y143" i="1"/>
  <c r="W143" i="1"/>
  <c r="V143" i="1"/>
  <c r="AB142" i="1"/>
  <c r="Z142" i="1"/>
  <c r="Y142" i="1"/>
  <c r="W142" i="1"/>
  <c r="V142" i="1"/>
  <c r="AB141" i="1"/>
  <c r="Z141" i="1"/>
  <c r="Y141" i="1"/>
  <c r="W141" i="1"/>
  <c r="V141" i="1"/>
  <c r="AB139" i="1"/>
  <c r="Z139" i="1"/>
  <c r="AA133" i="1" s="1"/>
  <c r="Y139" i="1"/>
  <c r="Z133" i="1" s="1"/>
  <c r="W139" i="1"/>
  <c r="X133" i="1" s="1"/>
  <c r="V139" i="1"/>
  <c r="Y133" i="1" s="1"/>
  <c r="Z125" i="1"/>
  <c r="Y125" i="1"/>
  <c r="W125" i="1"/>
  <c r="V125" i="1"/>
  <c r="AB123" i="1"/>
  <c r="Z123" i="1"/>
  <c r="Y123" i="1"/>
  <c r="W123" i="1"/>
  <c r="V123" i="1"/>
  <c r="AB122" i="1"/>
  <c r="Z122" i="1"/>
  <c r="Y122" i="1"/>
  <c r="W122" i="1"/>
  <c r="V122" i="1"/>
  <c r="AB121" i="1"/>
  <c r="Z121" i="1"/>
  <c r="Y121" i="1"/>
  <c r="W121" i="1"/>
  <c r="V121" i="1"/>
  <c r="V535" i="1"/>
  <c r="T535" i="1"/>
  <c r="Z552" i="1"/>
  <c r="Y552" i="1"/>
  <c r="W552" i="1"/>
  <c r="V552" i="1"/>
  <c r="T552" i="1"/>
  <c r="Z550" i="1"/>
  <c r="Y550" i="1"/>
  <c r="W550" i="1"/>
  <c r="V550" i="1"/>
  <c r="T550" i="1"/>
  <c r="Z545" i="1"/>
  <c r="Y545" i="1"/>
  <c r="W545" i="1"/>
  <c r="V545" i="1"/>
  <c r="T545" i="1"/>
  <c r="T1472" i="1"/>
  <c r="X1472" i="1"/>
  <c r="AA1472" i="1"/>
  <c r="Z1460" i="1"/>
  <c r="Y1460" i="1"/>
  <c r="W1460" i="1"/>
  <c r="V1460" i="1"/>
  <c r="T1460" i="1"/>
  <c r="Z1459" i="1"/>
  <c r="Y1459" i="1"/>
  <c r="W1459" i="1"/>
  <c r="V1459" i="1"/>
  <c r="T1459" i="1"/>
  <c r="U1462" i="1"/>
  <c r="U552" i="1" s="1"/>
  <c r="X1462" i="1"/>
  <c r="AA1462" i="1"/>
  <c r="AB1170" i="1"/>
  <c r="AB1183" i="1" s="1"/>
  <c r="Z1170" i="1"/>
  <c r="Y1170" i="1"/>
  <c r="Y1183" i="1" s="1"/>
  <c r="W1170" i="1"/>
  <c r="W1183" i="1" s="1"/>
  <c r="V1170" i="1"/>
  <c r="V1183" i="1" s="1"/>
  <c r="T1170" i="1"/>
  <c r="AB1168" i="1"/>
  <c r="Z1168" i="1"/>
  <c r="Y1168" i="1"/>
  <c r="Y546" i="1" s="1"/>
  <c r="W1168" i="1"/>
  <c r="W546" i="1" s="1"/>
  <c r="V1168" i="1"/>
  <c r="T1168" i="1"/>
  <c r="U1291" i="1"/>
  <c r="U1170" i="1" s="1"/>
  <c r="U1289" i="1"/>
  <c r="T1292" i="1"/>
  <c r="V1292" i="1"/>
  <c r="W1292" i="1"/>
  <c r="Y1292" i="1"/>
  <c r="X1291" i="1"/>
  <c r="X1170" i="1" s="1"/>
  <c r="X1289" i="1"/>
  <c r="U1182" i="1"/>
  <c r="U1183" i="1" s="1"/>
  <c r="U1178" i="1"/>
  <c r="U1177" i="1"/>
  <c r="U1176" i="1"/>
  <c r="T1179" i="1"/>
  <c r="V1179" i="1"/>
  <c r="X1182" i="1"/>
  <c r="X1183" i="1" s="1"/>
  <c r="X1178" i="1"/>
  <c r="X1177" i="1"/>
  <c r="X1176" i="1"/>
  <c r="W1179" i="1"/>
  <c r="AA1240" i="1"/>
  <c r="Z1240" i="1"/>
  <c r="X1240" i="1"/>
  <c r="W1240" i="1"/>
  <c r="W1282" i="1" s="1"/>
  <c r="U1240" i="1"/>
  <c r="T1240" i="1"/>
  <c r="T1282" i="1" s="1"/>
  <c r="R1240" i="1"/>
  <c r="Q1240" i="1"/>
  <c r="Q1282" i="1" s="1"/>
  <c r="S1232" i="1"/>
  <c r="S1233" i="1" s="1"/>
  <c r="S1234" i="1" s="1"/>
  <c r="S1231" i="1"/>
  <c r="V1232" i="1"/>
  <c r="V1231" i="1"/>
  <c r="Y1232" i="1"/>
  <c r="Y1231" i="1"/>
  <c r="AB1232" i="1"/>
  <c r="AB1231" i="1"/>
  <c r="AB1284" i="1"/>
  <c r="Y1284" i="1"/>
  <c r="V1284" i="1"/>
  <c r="S1284" i="1"/>
  <c r="AA1182" i="1"/>
  <c r="Y1179" i="1"/>
  <c r="AA1178" i="1"/>
  <c r="AA1177" i="1"/>
  <c r="AA1176" i="1"/>
  <c r="Z1179" i="1"/>
  <c r="U621" i="1"/>
  <c r="U616" i="1"/>
  <c r="U614" i="1"/>
  <c r="U612" i="1"/>
  <c r="U606" i="1"/>
  <c r="U550" i="1" s="1"/>
  <c r="U605" i="1"/>
  <c r="U604" i="1"/>
  <c r="V608" i="1"/>
  <c r="T608" i="1"/>
  <c r="S1277" i="1"/>
  <c r="V1277" i="1"/>
  <c r="Y1277" i="1"/>
  <c r="AB1277" i="1"/>
  <c r="AA1173" i="1"/>
  <c r="R1175" i="1"/>
  <c r="Z535" i="1"/>
  <c r="Y535" i="1"/>
  <c r="W535" i="1"/>
  <c r="R632" i="1"/>
  <c r="R629" i="1"/>
  <c r="U629" i="1"/>
  <c r="X629" i="1"/>
  <c r="AA629" i="1"/>
  <c r="Z624" i="1"/>
  <c r="Y624" i="1"/>
  <c r="W624" i="1"/>
  <c r="V624" i="1"/>
  <c r="T624" i="1"/>
  <c r="S624" i="1"/>
  <c r="Q624" i="1"/>
  <c r="S675" i="1"/>
  <c r="Q675" i="1"/>
  <c r="Q625" i="1" s="1"/>
  <c r="R673" i="1"/>
  <c r="R624" i="1" s="1"/>
  <c r="T1471" i="1"/>
  <c r="U1467" i="1"/>
  <c r="U1463" i="1"/>
  <c r="V1471" i="1"/>
  <c r="X1467" i="1"/>
  <c r="X1463" i="1"/>
  <c r="W1471" i="1"/>
  <c r="AA1467" i="1"/>
  <c r="AA1463" i="1"/>
  <c r="Z1471" i="1"/>
  <c r="Y1471" i="1"/>
  <c r="U1175" i="1"/>
  <c r="X1175" i="1"/>
  <c r="AA1175" i="1"/>
  <c r="Y675" i="1"/>
  <c r="Y625" i="1" s="1"/>
  <c r="Y633" i="1" s="1"/>
  <c r="W675" i="1"/>
  <c r="W625" i="1" s="1"/>
  <c r="V675" i="1"/>
  <c r="V625" i="1" s="1"/>
  <c r="V633" i="1" s="1"/>
  <c r="T675" i="1"/>
  <c r="T625" i="1" s="1"/>
  <c r="X673" i="1"/>
  <c r="X624" i="1" s="1"/>
  <c r="U673" i="1"/>
  <c r="U624" i="1" s="1"/>
  <c r="Z675" i="1"/>
  <c r="Z625" i="1" s="1"/>
  <c r="AA673" i="1"/>
  <c r="AA624" i="1" s="1"/>
  <c r="U632" i="1"/>
  <c r="X632" i="1"/>
  <c r="AA632" i="1"/>
  <c r="U611" i="1"/>
  <c r="X621" i="1"/>
  <c r="X616" i="1"/>
  <c r="X614" i="1"/>
  <c r="X612" i="1"/>
  <c r="X611" i="1"/>
  <c r="X606" i="1"/>
  <c r="X605" i="1"/>
  <c r="X604" i="1"/>
  <c r="AA621" i="1"/>
  <c r="AA616" i="1"/>
  <c r="AB624" i="1"/>
  <c r="W608" i="1"/>
  <c r="AA614" i="1"/>
  <c r="AA612" i="1"/>
  <c r="AA611" i="1"/>
  <c r="AA609" i="1"/>
  <c r="AA606" i="1"/>
  <c r="AA550" i="1" s="1"/>
  <c r="AA605" i="1"/>
  <c r="AA604" i="1"/>
  <c r="Z608" i="1"/>
  <c r="AA180" i="1"/>
  <c r="AA178" i="1"/>
  <c r="X180" i="1"/>
  <c r="X178" i="1"/>
  <c r="U180" i="1"/>
  <c r="U178" i="1"/>
  <c r="U182" i="1"/>
  <c r="X182" i="1"/>
  <c r="AA182" i="1"/>
  <c r="V102" i="1"/>
  <c r="V104" i="1" s="1"/>
  <c r="T13" i="1"/>
  <c r="V98" i="1"/>
  <c r="U101" i="1"/>
  <c r="U100" i="1"/>
  <c r="Y98" i="1"/>
  <c r="W98" i="1"/>
  <c r="X101" i="1"/>
  <c r="X100" i="1"/>
  <c r="W102" i="1"/>
  <c r="W104" i="1" s="1"/>
  <c r="Y102" i="1"/>
  <c r="Y104" i="1" s="1"/>
  <c r="AB98" i="1"/>
  <c r="Z98" i="1"/>
  <c r="AA101" i="1"/>
  <c r="AA100" i="1"/>
  <c r="Z102" i="1"/>
  <c r="Z104" i="1" s="1"/>
  <c r="AB102" i="1"/>
  <c r="W93" i="1"/>
  <c r="V93" i="1"/>
  <c r="V60" i="1"/>
  <c r="Y60" i="1"/>
  <c r="W60" i="1"/>
  <c r="Z60" i="1"/>
  <c r="AC60" i="1"/>
  <c r="AB60" i="1"/>
  <c r="AE60" i="1"/>
  <c r="X90" i="1"/>
  <c r="X89" i="1"/>
  <c r="X85" i="1"/>
  <c r="X83" i="1"/>
  <c r="X82" i="1"/>
  <c r="X81" i="1"/>
  <c r="X79" i="1"/>
  <c r="X78" i="1"/>
  <c r="X75" i="1"/>
  <c r="X73" i="1"/>
  <c r="X74" i="1"/>
  <c r="X72" i="1"/>
  <c r="X71" i="1"/>
  <c r="X70" i="1"/>
  <c r="X69" i="1"/>
  <c r="X66" i="1"/>
  <c r="X64" i="1"/>
  <c r="X61" i="1"/>
  <c r="AA90" i="1"/>
  <c r="AA89" i="1"/>
  <c r="AA85" i="1"/>
  <c r="AA83" i="1"/>
  <c r="AA82" i="1"/>
  <c r="AA81" i="1"/>
  <c r="AA79" i="1"/>
  <c r="AA78" i="1"/>
  <c r="AA75" i="1"/>
  <c r="AA73" i="1"/>
  <c r="AA74" i="1"/>
  <c r="AA72" i="1"/>
  <c r="AA71" i="1"/>
  <c r="AA70" i="1"/>
  <c r="AA69" i="1"/>
  <c r="AA66" i="1"/>
  <c r="AA64" i="1"/>
  <c r="AA61" i="1"/>
  <c r="AD90" i="1"/>
  <c r="AD89" i="1"/>
  <c r="AD85" i="1"/>
  <c r="AC84" i="1"/>
  <c r="AD84" i="1" s="1"/>
  <c r="Z84" i="1"/>
  <c r="AA84" i="1" s="1"/>
  <c r="W84" i="1"/>
  <c r="X84" i="1" s="1"/>
  <c r="AD83" i="1"/>
  <c r="AD82" i="1"/>
  <c r="AD81" i="1"/>
  <c r="AE80" i="1"/>
  <c r="AC80" i="1"/>
  <c r="AB80" i="1"/>
  <c r="Z80" i="1"/>
  <c r="Y80" i="1"/>
  <c r="W80" i="1"/>
  <c r="V80" i="1"/>
  <c r="AD79" i="1"/>
  <c r="AD78" i="1"/>
  <c r="AE76" i="1"/>
  <c r="AE77" i="1" s="1"/>
  <c r="AC76" i="1"/>
  <c r="AB76" i="1"/>
  <c r="Z76" i="1"/>
  <c r="Y76" i="1"/>
  <c r="W76" i="1"/>
  <c r="AD75" i="1"/>
  <c r="AD73" i="1"/>
  <c r="AD74" i="1"/>
  <c r="AD72" i="1"/>
  <c r="AD71" i="1"/>
  <c r="AD70" i="1"/>
  <c r="AD69" i="1"/>
  <c r="AD66" i="1"/>
  <c r="AE65" i="1"/>
  <c r="AC65" i="1"/>
  <c r="AB65" i="1"/>
  <c r="AD64" i="1"/>
  <c r="AE63" i="1"/>
  <c r="AC63" i="1"/>
  <c r="AB63" i="1"/>
  <c r="Z63" i="1"/>
  <c r="AD61" i="1"/>
  <c r="AD135" i="1" l="1"/>
  <c r="Y86" i="1"/>
  <c r="Y87" i="1" s="1"/>
  <c r="AE86" i="1"/>
  <c r="AE87" i="1" s="1"/>
  <c r="X135" i="1"/>
  <c r="V86" i="1"/>
  <c r="AB86" i="1"/>
  <c r="AB87" i="1" s="1"/>
  <c r="AA135" i="1"/>
  <c r="BR955" i="1"/>
  <c r="BR954" i="1" s="1"/>
  <c r="BO954" i="1"/>
  <c r="BC979" i="1"/>
  <c r="BC983" i="1"/>
  <c r="BH955" i="1"/>
  <c r="BH957" i="1"/>
  <c r="BH958" i="1" s="1"/>
  <c r="BI837" i="1"/>
  <c r="BI838" i="1"/>
  <c r="AV1066" i="1"/>
  <c r="AS1068" i="1"/>
  <c r="BN832" i="1"/>
  <c r="BN836" i="1"/>
  <c r="AZ984" i="1"/>
  <c r="AZ985" i="1"/>
  <c r="BF957" i="1"/>
  <c r="BF958" i="1" s="1"/>
  <c r="BD958" i="1"/>
  <c r="BD962" i="1"/>
  <c r="AU1066" i="1"/>
  <c r="AT1066" i="1"/>
  <c r="AT1068" i="1" s="1"/>
  <c r="AR1068" i="1"/>
  <c r="BB1063" i="1"/>
  <c r="BB1064" i="1" s="1"/>
  <c r="BB1061" i="1"/>
  <c r="BL775" i="1"/>
  <c r="BI841" i="1"/>
  <c r="BK837" i="1"/>
  <c r="BK841" i="1"/>
  <c r="BK838" i="1"/>
  <c r="BA963" i="1"/>
  <c r="BP832" i="1"/>
  <c r="BR831" i="1"/>
  <c r="BR832" i="1" s="1"/>
  <c r="BP836" i="1"/>
  <c r="BG955" i="1"/>
  <c r="BG957" i="1"/>
  <c r="AX1064" i="1"/>
  <c r="AZ1063" i="1"/>
  <c r="AZ1064" i="1" s="1"/>
  <c r="BE1060" i="1"/>
  <c r="BD1060" i="1"/>
  <c r="BR795" i="1"/>
  <c r="BK975" i="1"/>
  <c r="BJ975" i="1"/>
  <c r="BO831" i="1"/>
  <c r="BM832" i="1"/>
  <c r="BM836" i="1"/>
  <c r="BE979" i="1"/>
  <c r="BE983" i="1"/>
  <c r="BI1072" i="1"/>
  <c r="AZ988" i="1"/>
  <c r="BQ836" i="1"/>
  <c r="BQ775" i="1"/>
  <c r="BA988" i="1"/>
  <c r="BA985" i="1"/>
  <c r="BA984" i="1"/>
  <c r="BL1061" i="1"/>
  <c r="BI1060" i="1"/>
  <c r="BJ837" i="1"/>
  <c r="BJ841" i="1"/>
  <c r="BJ838" i="1"/>
  <c r="BR976" i="1"/>
  <c r="BR975" i="1" s="1"/>
  <c r="BO975" i="1"/>
  <c r="AO1073" i="1"/>
  <c r="AO1069" i="1"/>
  <c r="AO1070" i="1"/>
  <c r="BG976" i="1"/>
  <c r="BG978" i="1"/>
  <c r="BJ954" i="1"/>
  <c r="BK954" i="1"/>
  <c r="BP770" i="1"/>
  <c r="BR769" i="1"/>
  <c r="BR770" i="1" s="1"/>
  <c r="BP774" i="1"/>
  <c r="BN1045" i="1"/>
  <c r="BL1045" i="1"/>
  <c r="AP1070" i="1"/>
  <c r="AP1073" i="1"/>
  <c r="AP1069" i="1"/>
  <c r="BL832" i="1"/>
  <c r="BL836" i="1"/>
  <c r="BO1062" i="1"/>
  <c r="BJ1062" i="1"/>
  <c r="BJ1072" i="1" s="1"/>
  <c r="BK1062" i="1"/>
  <c r="BK1072" i="1" s="1"/>
  <c r="AQ1069" i="1"/>
  <c r="AQ1070" i="1"/>
  <c r="BA1061" i="1"/>
  <c r="BA1063" i="1"/>
  <c r="BP1108" i="1"/>
  <c r="BH976" i="1"/>
  <c r="BH978" i="1"/>
  <c r="BB985" i="1"/>
  <c r="BB984" i="1"/>
  <c r="BB988" i="1"/>
  <c r="BD979" i="1"/>
  <c r="BF978" i="1"/>
  <c r="BD983" i="1"/>
  <c r="AL1070" i="1"/>
  <c r="AL1073" i="1"/>
  <c r="AN1073" i="1" s="1"/>
  <c r="AL1069" i="1"/>
  <c r="AN1069" i="1"/>
  <c r="AN1070" i="1"/>
  <c r="X1168" i="1"/>
  <c r="X1171" i="1" s="1"/>
  <c r="Q1285" i="1"/>
  <c r="W1285" i="1"/>
  <c r="T1285" i="1"/>
  <c r="AA154" i="1"/>
  <c r="AA1473" i="1"/>
  <c r="X154" i="1"/>
  <c r="X1473" i="1"/>
  <c r="U1472" i="1"/>
  <c r="T1473" i="1"/>
  <c r="AA1468" i="1"/>
  <c r="X1468" i="1"/>
  <c r="X1464" i="1"/>
  <c r="U1459" i="1"/>
  <c r="AA1459" i="1"/>
  <c r="AA1464" i="1"/>
  <c r="T551" i="1"/>
  <c r="T553" i="1" s="1"/>
  <c r="T10" i="1" s="1"/>
  <c r="T1183" i="1"/>
  <c r="Z551" i="1"/>
  <c r="Z553" i="1" s="1"/>
  <c r="Z10" i="1" s="1"/>
  <c r="Z1183" i="1"/>
  <c r="V1233" i="1"/>
  <c r="V1234" i="1" s="1"/>
  <c r="T1304" i="1"/>
  <c r="W1305" i="1"/>
  <c r="T1303" i="1"/>
  <c r="Y1304" i="1"/>
  <c r="Y1303" i="1"/>
  <c r="Z1305" i="1"/>
  <c r="W1304" i="1"/>
  <c r="W1303" i="1"/>
  <c r="V1303" i="1"/>
  <c r="Y1305" i="1"/>
  <c r="V1304" i="1"/>
  <c r="X1243" i="1"/>
  <c r="U1285" i="1"/>
  <c r="X1454" i="1" s="1"/>
  <c r="U1282" i="1"/>
  <c r="AA1285" i="1"/>
  <c r="AA1282" i="1"/>
  <c r="AB1233" i="1"/>
  <c r="AB1234" i="1" s="1"/>
  <c r="U1243" i="1"/>
  <c r="R1282" i="1"/>
  <c r="R1285" i="1"/>
  <c r="R1290" i="1" s="1"/>
  <c r="AA1243" i="1"/>
  <c r="X1285" i="1"/>
  <c r="AA1454" i="1" s="1"/>
  <c r="X1282" i="1"/>
  <c r="Z1282" i="1"/>
  <c r="S1278" i="1"/>
  <c r="S1279" i="1" s="1"/>
  <c r="V1280" i="1"/>
  <c r="AE1280" i="1"/>
  <c r="AB1278" i="1"/>
  <c r="T1243" i="1"/>
  <c r="T1242" i="1"/>
  <c r="T1452" i="1" s="1"/>
  <c r="Z1243" i="1"/>
  <c r="Z1242" i="1"/>
  <c r="Z1452" i="1" s="1"/>
  <c r="Z579" i="1" s="1"/>
  <c r="AB1280" i="1"/>
  <c r="Y1278" i="1"/>
  <c r="Y1280" i="1"/>
  <c r="V1278" i="1"/>
  <c r="W1243" i="1"/>
  <c r="W1242" i="1"/>
  <c r="W1452" i="1" s="1"/>
  <c r="W579" i="1" s="1"/>
  <c r="Y1233" i="1"/>
  <c r="Y1234" i="1" s="1"/>
  <c r="Q1241" i="1"/>
  <c r="U1241" i="1"/>
  <c r="AA1241" i="1"/>
  <c r="W1241" i="1"/>
  <c r="R1241" i="1"/>
  <c r="X1241" i="1"/>
  <c r="T1241" i="1"/>
  <c r="Z1241" i="1"/>
  <c r="AA153" i="1"/>
  <c r="X153" i="1"/>
  <c r="X615" i="1"/>
  <c r="AA615" i="1"/>
  <c r="AA617" i="1"/>
  <c r="AA613" i="1"/>
  <c r="AA618" i="1"/>
  <c r="X618" i="1"/>
  <c r="X613" i="1"/>
  <c r="U617" i="1"/>
  <c r="U152" i="1"/>
  <c r="U622" i="1"/>
  <c r="AA152" i="1"/>
  <c r="AA622" i="1"/>
  <c r="X617" i="1"/>
  <c r="U618" i="1"/>
  <c r="U613" i="1"/>
  <c r="X152" i="1"/>
  <c r="X622" i="1"/>
  <c r="U615" i="1"/>
  <c r="X1460" i="1"/>
  <c r="Y540" i="1"/>
  <c r="U151" i="1"/>
  <c r="X151" i="1"/>
  <c r="W633" i="1"/>
  <c r="Q633" i="1"/>
  <c r="AA151" i="1"/>
  <c r="T633" i="1"/>
  <c r="Z633" i="1"/>
  <c r="W540" i="1"/>
  <c r="Z540" i="1"/>
  <c r="AB99" i="1"/>
  <c r="AB104" i="1"/>
  <c r="X183" i="1"/>
  <c r="AC86" i="1"/>
  <c r="AC87" i="1" s="1"/>
  <c r="Y13" i="1"/>
  <c r="Y99" i="1"/>
  <c r="W13" i="1"/>
  <c r="W99" i="1"/>
  <c r="V223" i="1"/>
  <c r="V208" i="1"/>
  <c r="U183" i="1"/>
  <c r="V13" i="1"/>
  <c r="V99" i="1"/>
  <c r="Z13" i="1"/>
  <c r="Z99" i="1"/>
  <c r="U102" i="1"/>
  <c r="U13" i="1" s="1"/>
  <c r="AA183" i="1"/>
  <c r="W86" i="1"/>
  <c r="W87" i="1" s="1"/>
  <c r="AD60" i="1"/>
  <c r="AB133" i="1"/>
  <c r="U1460" i="1"/>
  <c r="AA1460" i="1"/>
  <c r="AB77" i="1"/>
  <c r="W77" i="1"/>
  <c r="AC77" i="1"/>
  <c r="X1179" i="1"/>
  <c r="Z77" i="1"/>
  <c r="Y77" i="1"/>
  <c r="AA535" i="1"/>
  <c r="U535" i="1"/>
  <c r="AB1217" i="1"/>
  <c r="AB1224" i="1"/>
  <c r="AB1210" i="1"/>
  <c r="Y1224" i="1"/>
  <c r="Y1217" i="1"/>
  <c r="Y1210" i="1"/>
  <c r="V1210" i="1"/>
  <c r="V1224" i="1"/>
  <c r="V1217" i="1"/>
  <c r="S1224" i="1"/>
  <c r="S1217" i="1"/>
  <c r="S1210" i="1"/>
  <c r="X535" i="1"/>
  <c r="V76" i="1"/>
  <c r="W133" i="1"/>
  <c r="X60" i="1"/>
  <c r="U675" i="1"/>
  <c r="U625" i="1" s="1"/>
  <c r="R675" i="1"/>
  <c r="R625" i="1" s="1"/>
  <c r="U1179" i="1"/>
  <c r="V144" i="1"/>
  <c r="Y145" i="1"/>
  <c r="Y147" i="1" s="1"/>
  <c r="AB146" i="1" s="1"/>
  <c r="AB144" i="1"/>
  <c r="Z155" i="1"/>
  <c r="Z134" i="1" s="1"/>
  <c r="Z136" i="1" s="1"/>
  <c r="W555" i="1"/>
  <c r="AA80" i="1"/>
  <c r="Y1240" i="1"/>
  <c r="AB1243" i="1" s="1"/>
  <c r="S1240" i="1"/>
  <c r="T1461" i="1"/>
  <c r="T547" i="1" s="1"/>
  <c r="T557" i="1" s="1"/>
  <c r="W1461" i="1"/>
  <c r="W547" i="1" s="1"/>
  <c r="W557" i="1" s="1"/>
  <c r="V551" i="1"/>
  <c r="V553" i="1" s="1"/>
  <c r="V10" i="1" s="1"/>
  <c r="AB1240" i="1"/>
  <c r="V1240" i="1"/>
  <c r="Y1243" i="1" s="1"/>
  <c r="Y1461" i="1"/>
  <c r="Y547" i="1" s="1"/>
  <c r="Y557" i="1" s="1"/>
  <c r="X552" i="1"/>
  <c r="AB13" i="1"/>
  <c r="V155" i="1"/>
  <c r="V134" i="1" s="1"/>
  <c r="V136" i="1" s="1"/>
  <c r="U551" i="1"/>
  <c r="U553" i="1" s="1"/>
  <c r="U10" i="1" s="1"/>
  <c r="X228" i="1"/>
  <c r="AA228" i="1"/>
  <c r="X1471" i="1"/>
  <c r="X1459" i="1"/>
  <c r="T626" i="1"/>
  <c r="T259" i="1" s="1"/>
  <c r="V626" i="1"/>
  <c r="V259" i="1" s="1"/>
  <c r="Z626" i="1"/>
  <c r="Z259" i="1" s="1"/>
  <c r="Z1092" i="1" s="1"/>
  <c r="Z713" i="1" s="1"/>
  <c r="S625" i="1"/>
  <c r="S633" i="1" s="1"/>
  <c r="T546" i="1"/>
  <c r="W1171" i="1"/>
  <c r="W551" i="1"/>
  <c r="W553" i="1" s="1"/>
  <c r="W10" i="1" s="1"/>
  <c r="AD80" i="1"/>
  <c r="Z86" i="1"/>
  <c r="Z87" i="1" s="1"/>
  <c r="X80" i="1"/>
  <c r="AA60" i="1"/>
  <c r="AA102" i="1"/>
  <c r="X102" i="1"/>
  <c r="X675" i="1"/>
  <c r="X625" i="1" s="1"/>
  <c r="AA1471" i="1"/>
  <c r="Q626" i="1"/>
  <c r="W626" i="1"/>
  <c r="W259" i="1" s="1"/>
  <c r="Y626" i="1"/>
  <c r="Y259" i="1" s="1"/>
  <c r="V546" i="1"/>
  <c r="Z546" i="1"/>
  <c r="Y1171" i="1"/>
  <c r="Y551" i="1"/>
  <c r="Y553" i="1" s="1"/>
  <c r="Y10" i="1" s="1"/>
  <c r="AA552" i="1"/>
  <c r="X551" i="1"/>
  <c r="T555" i="1"/>
  <c r="T565" i="1" s="1"/>
  <c r="Z555" i="1"/>
  <c r="T154" i="1"/>
  <c r="T155" i="1" s="1"/>
  <c r="X1292" i="1"/>
  <c r="U1292" i="1"/>
  <c r="U1168" i="1"/>
  <c r="T1171" i="1"/>
  <c r="V1171" i="1"/>
  <c r="Z1171" i="1"/>
  <c r="AB1171" i="1"/>
  <c r="V1461" i="1"/>
  <c r="V547" i="1" s="1"/>
  <c r="V557" i="1" s="1"/>
  <c r="Z1461" i="1"/>
  <c r="Z547" i="1" s="1"/>
  <c r="Z557" i="1" s="1"/>
  <c r="V555" i="1"/>
  <c r="V565" i="1" s="1"/>
  <c r="Y555" i="1"/>
  <c r="W124" i="1"/>
  <c r="Z124" i="1"/>
  <c r="AB155" i="1"/>
  <c r="AB134" i="1" s="1"/>
  <c r="AB136" i="1" s="1"/>
  <c r="U153" i="1"/>
  <c r="W145" i="1"/>
  <c r="W147" i="1" s="1"/>
  <c r="X146" i="1" s="1"/>
  <c r="Z144" i="1"/>
  <c r="W155" i="1"/>
  <c r="W134" i="1" s="1"/>
  <c r="W136" i="1" s="1"/>
  <c r="Y155" i="1"/>
  <c r="Y134" i="1" s="1"/>
  <c r="Y136" i="1" s="1"/>
  <c r="AA607" i="1"/>
  <c r="X550" i="1"/>
  <c r="U607" i="1"/>
  <c r="AA545" i="1"/>
  <c r="V124" i="1"/>
  <c r="AD76" i="1"/>
  <c r="AD77" i="1" s="1"/>
  <c r="AA76" i="1"/>
  <c r="AA77" i="1" s="1"/>
  <c r="X76" i="1"/>
  <c r="X77" i="1" s="1"/>
  <c r="X607" i="1"/>
  <c r="X545" i="1"/>
  <c r="U545" i="1"/>
  <c r="AB124" i="1"/>
  <c r="AB62" i="1" s="1"/>
  <c r="Y124" i="1"/>
  <c r="W144" i="1"/>
  <c r="Y144" i="1"/>
  <c r="V145" i="1"/>
  <c r="V147" i="1" s="1"/>
  <c r="Z145" i="1"/>
  <c r="Z147" i="1" s="1"/>
  <c r="AB145" i="1"/>
  <c r="AB147" i="1" s="1"/>
  <c r="U1471" i="1"/>
  <c r="X546" i="1" l="1"/>
  <c r="AD86" i="1"/>
  <c r="AA86" i="1"/>
  <c r="AC91" i="1"/>
  <c r="AC92" i="1" s="1"/>
  <c r="X86" i="1"/>
  <c r="W91" i="1"/>
  <c r="X88" i="1" s="1"/>
  <c r="T240" i="1"/>
  <c r="BC988" i="1"/>
  <c r="BD988" i="1"/>
  <c r="BD984" i="1"/>
  <c r="BD985" i="1"/>
  <c r="BN1062" i="1"/>
  <c r="BN1072" i="1" s="1"/>
  <c r="BM1062" i="1"/>
  <c r="BM1072" i="1" s="1"/>
  <c r="BR1062" i="1"/>
  <c r="BI978" i="1"/>
  <c r="BG979" i="1"/>
  <c r="BG983" i="1"/>
  <c r="BP975" i="1"/>
  <c r="BQ975" i="1"/>
  <c r="BH1060" i="1"/>
  <c r="BG1060" i="1"/>
  <c r="BQ837" i="1"/>
  <c r="BQ841" i="1"/>
  <c r="BQ838" i="1"/>
  <c r="BE984" i="1"/>
  <c r="BE988" i="1"/>
  <c r="BE985" i="1"/>
  <c r="BO832" i="1"/>
  <c r="BO836" i="1"/>
  <c r="BE1063" i="1"/>
  <c r="BE1064" i="1" s="1"/>
  <c r="BE1061" i="1"/>
  <c r="AX1066" i="1"/>
  <c r="AW1066" i="1"/>
  <c r="AW1068" i="1" s="1"/>
  <c r="AU1068" i="1"/>
  <c r="BN837" i="1"/>
  <c r="BN841" i="1"/>
  <c r="BN838" i="1"/>
  <c r="BC984" i="1"/>
  <c r="BC985" i="1"/>
  <c r="BF979" i="1"/>
  <c r="BF983" i="1"/>
  <c r="BO1061" i="1"/>
  <c r="BL1060" i="1"/>
  <c r="BJ976" i="1"/>
  <c r="BJ978" i="1"/>
  <c r="BP837" i="1"/>
  <c r="BP838" i="1"/>
  <c r="BP841" i="1"/>
  <c r="BL841" i="1"/>
  <c r="BH979" i="1"/>
  <c r="BH983" i="1"/>
  <c r="BC1063" i="1"/>
  <c r="BC1064" i="1" s="1"/>
  <c r="BA1064" i="1"/>
  <c r="BL837" i="1"/>
  <c r="BL838" i="1"/>
  <c r="BQ1045" i="1"/>
  <c r="BO1045" i="1"/>
  <c r="BK957" i="1"/>
  <c r="BK958" i="1" s="1"/>
  <c r="BK955" i="1"/>
  <c r="AQ1073" i="1"/>
  <c r="BM837" i="1"/>
  <c r="BM838" i="1"/>
  <c r="BM841" i="1"/>
  <c r="BK978" i="1"/>
  <c r="BK976" i="1"/>
  <c r="AR1070" i="1"/>
  <c r="AR1073" i="1"/>
  <c r="AR1069" i="1"/>
  <c r="BD963" i="1"/>
  <c r="AS1073" i="1"/>
  <c r="AS1069" i="1"/>
  <c r="AS1070" i="1"/>
  <c r="BN954" i="1"/>
  <c r="BM954" i="1"/>
  <c r="BL1072" i="1"/>
  <c r="BP775" i="1"/>
  <c r="BR774" i="1"/>
  <c r="BJ955" i="1"/>
  <c r="BJ957" i="1"/>
  <c r="BM975" i="1"/>
  <c r="BN975" i="1"/>
  <c r="BD1061" i="1"/>
  <c r="BD1063" i="1"/>
  <c r="BI957" i="1"/>
  <c r="BI958" i="1" s="1"/>
  <c r="BG958" i="1"/>
  <c r="BG962" i="1"/>
  <c r="BR836" i="1"/>
  <c r="AT1069" i="1"/>
  <c r="AT1070" i="1"/>
  <c r="AY1066" i="1"/>
  <c r="AV1068" i="1"/>
  <c r="BP954" i="1"/>
  <c r="BQ954" i="1"/>
  <c r="Y578" i="1"/>
  <c r="Y575" i="1"/>
  <c r="W575" i="1"/>
  <c r="W574" i="1" s="1"/>
  <c r="W578" i="1"/>
  <c r="W577" i="1" s="1"/>
  <c r="W1007" i="1"/>
  <c r="W1008" i="1"/>
  <c r="W965" i="1"/>
  <c r="W966" i="1"/>
  <c r="W967" i="1"/>
  <c r="T1007" i="1"/>
  <c r="T1008" i="1"/>
  <c r="T965" i="1"/>
  <c r="T966" i="1"/>
  <c r="Z575" i="1"/>
  <c r="Z574" i="1" s="1"/>
  <c r="Z578" i="1"/>
  <c r="Z577" i="1" s="1"/>
  <c r="Z1007" i="1"/>
  <c r="Z1008" i="1"/>
  <c r="Z965" i="1"/>
  <c r="Z966" i="1"/>
  <c r="Z967" i="1"/>
  <c r="T1454" i="1"/>
  <c r="Q1290" i="1"/>
  <c r="X1290" i="1"/>
  <c r="W1288" i="1"/>
  <c r="T1290" i="1"/>
  <c r="Z1288" i="1"/>
  <c r="W1290" i="1"/>
  <c r="U1290" i="1"/>
  <c r="Z860" i="1"/>
  <c r="Z861" i="1"/>
  <c r="Z862" i="1"/>
  <c r="Q1167" i="1"/>
  <c r="Q1184" i="1" s="1"/>
  <c r="T1288" i="1"/>
  <c r="AF1297" i="1"/>
  <c r="Q1286" i="1"/>
  <c r="Q1287" i="1" s="1"/>
  <c r="T338" i="1"/>
  <c r="W1454" i="1"/>
  <c r="W338" i="1"/>
  <c r="Z1454" i="1"/>
  <c r="R338" i="1"/>
  <c r="U1454" i="1"/>
  <c r="Q337" i="1"/>
  <c r="T1286" i="1"/>
  <c r="T1293" i="1"/>
  <c r="T1167" i="1"/>
  <c r="T1184" i="1" s="1"/>
  <c r="AA337" i="1"/>
  <c r="T337" i="1"/>
  <c r="U1167" i="1"/>
  <c r="U536" i="1" s="1"/>
  <c r="U538" i="1" s="1"/>
  <c r="U8" i="1" s="1"/>
  <c r="U338" i="1"/>
  <c r="V1282" i="1"/>
  <c r="U337" i="1"/>
  <c r="W337" i="1"/>
  <c r="W1167" i="1"/>
  <c r="W1184" i="1" s="1"/>
  <c r="Z1285" i="1"/>
  <c r="Z1290" i="1" s="1"/>
  <c r="Y1282" i="1"/>
  <c r="X337" i="1"/>
  <c r="S1282" i="1"/>
  <c r="R337" i="1"/>
  <c r="W1286" i="1"/>
  <c r="AA1167" i="1"/>
  <c r="AA536" i="1" s="1"/>
  <c r="AA538" i="1" s="1"/>
  <c r="AA338" i="1"/>
  <c r="T556" i="1"/>
  <c r="T558" i="1" s="1"/>
  <c r="X1167" i="1"/>
  <c r="X536" i="1" s="1"/>
  <c r="X538" i="1" s="1"/>
  <c r="X276" i="1" s="1"/>
  <c r="X338" i="1"/>
  <c r="W1293" i="1"/>
  <c r="Q1293" i="1"/>
  <c r="Q338" i="1"/>
  <c r="Z556" i="1"/>
  <c r="Z558" i="1" s="1"/>
  <c r="AA1461" i="1"/>
  <c r="AA547" i="1" s="1"/>
  <c r="AA557" i="1" s="1"/>
  <c r="U154" i="1"/>
  <c r="U155" i="1" s="1"/>
  <c r="U134" i="1" s="1"/>
  <c r="U136" i="1" s="1"/>
  <c r="U1473" i="1"/>
  <c r="U1461" i="1"/>
  <c r="U547" i="1" s="1"/>
  <c r="U557" i="1" s="1"/>
  <c r="X1303" i="1"/>
  <c r="X1304" i="1"/>
  <c r="U1293" i="1"/>
  <c r="U1304" i="1"/>
  <c r="X1305" i="1"/>
  <c r="U1303" i="1"/>
  <c r="X1293" i="1"/>
  <c r="AA155" i="1"/>
  <c r="AA134" i="1" s="1"/>
  <c r="AA136" i="1" s="1"/>
  <c r="R1167" i="1"/>
  <c r="R1172" i="1" s="1"/>
  <c r="R1293" i="1"/>
  <c r="X1461" i="1"/>
  <c r="X547" i="1" s="1"/>
  <c r="X557" i="1" s="1"/>
  <c r="V1279" i="1"/>
  <c r="V1451" i="1" s="1"/>
  <c r="Y1285" i="1"/>
  <c r="X1286" i="1"/>
  <c r="AA1288" i="1"/>
  <c r="S1285" i="1"/>
  <c r="S1290" i="1" s="1"/>
  <c r="R1286" i="1"/>
  <c r="R1287" i="1" s="1"/>
  <c r="U1288" i="1"/>
  <c r="AB1282" i="1"/>
  <c r="V1285" i="1"/>
  <c r="V1290" i="1" s="1"/>
  <c r="X1288" i="1"/>
  <c r="U1286" i="1"/>
  <c r="AA1286" i="1"/>
  <c r="S1241" i="1"/>
  <c r="S1242" i="1" s="1"/>
  <c r="V1243" i="1"/>
  <c r="Y1279" i="1"/>
  <c r="Y1451" i="1" s="1"/>
  <c r="Y576" i="1" s="1"/>
  <c r="AB1279" i="1"/>
  <c r="AB1451" i="1" s="1"/>
  <c r="AB576" i="1" s="1"/>
  <c r="AB1241" i="1"/>
  <c r="AB1242" i="1" s="1"/>
  <c r="AB1452" i="1" s="1"/>
  <c r="AB579" i="1" s="1"/>
  <c r="V1241" i="1"/>
  <c r="Y1241" i="1"/>
  <c r="Y1242" i="1" s="1"/>
  <c r="Y1452" i="1" s="1"/>
  <c r="Y579" i="1" s="1"/>
  <c r="U1224" i="1"/>
  <c r="U1207" i="1" s="1"/>
  <c r="V1225" i="1"/>
  <c r="V1226" i="1" s="1"/>
  <c r="X1224" i="1"/>
  <c r="Y1225" i="1"/>
  <c r="Y1226" i="1" s="1"/>
  <c r="AB1211" i="1"/>
  <c r="AB1212" i="1" s="1"/>
  <c r="R1224" i="1"/>
  <c r="R1225" i="1" s="1"/>
  <c r="R1226" i="1" s="1"/>
  <c r="S1225" i="1"/>
  <c r="S1226" i="1" s="1"/>
  <c r="AB1225" i="1"/>
  <c r="AB1226" i="1" s="1"/>
  <c r="R1210" i="1"/>
  <c r="R1211" i="1" s="1"/>
  <c r="R1212" i="1" s="1"/>
  <c r="S1211" i="1"/>
  <c r="S1212" i="1" s="1"/>
  <c r="U1210" i="1"/>
  <c r="U1205" i="1" s="1"/>
  <c r="V1211" i="1"/>
  <c r="V1212" i="1" s="1"/>
  <c r="X1210" i="1"/>
  <c r="X1205" i="1" s="1"/>
  <c r="Y1211" i="1"/>
  <c r="Y1212" i="1" s="1"/>
  <c r="R1217" i="1"/>
  <c r="S1218" i="1"/>
  <c r="S1219" i="1" s="1"/>
  <c r="U1217" i="1"/>
  <c r="V1218" i="1"/>
  <c r="V1219" i="1" s="1"/>
  <c r="X1217" i="1"/>
  <c r="Y1218" i="1"/>
  <c r="Y1219" i="1" s="1"/>
  <c r="AA1217" i="1"/>
  <c r="AB1218" i="1"/>
  <c r="AB1219" i="1" s="1"/>
  <c r="X155" i="1"/>
  <c r="X134" i="1" s="1"/>
  <c r="X136" i="1" s="1"/>
  <c r="U633" i="1"/>
  <c r="R633" i="1"/>
  <c r="X633" i="1"/>
  <c r="Z562" i="1"/>
  <c r="W562" i="1"/>
  <c r="Y562" i="1"/>
  <c r="AA540" i="1"/>
  <c r="W560" i="1"/>
  <c r="W565" i="1"/>
  <c r="W566" i="1" s="1"/>
  <c r="Y565" i="1"/>
  <c r="Y566" i="1" s="1"/>
  <c r="Y560" i="1"/>
  <c r="Z565" i="1"/>
  <c r="Z560" i="1"/>
  <c r="X540" i="1"/>
  <c r="AA13" i="1"/>
  <c r="AA104" i="1"/>
  <c r="X13" i="1"/>
  <c r="X104" i="1"/>
  <c r="U676" i="1"/>
  <c r="AB244" i="1"/>
  <c r="AB198" i="1"/>
  <c r="AB213" i="1"/>
  <c r="Y198" i="1"/>
  <c r="Y213" i="1"/>
  <c r="Y207" i="1"/>
  <c r="Y222" i="1"/>
  <c r="AB207" i="1"/>
  <c r="AB222" i="1"/>
  <c r="V244" i="1"/>
  <c r="V198" i="1"/>
  <c r="V213" i="1"/>
  <c r="AD87" i="1"/>
  <c r="AE91" i="1"/>
  <c r="AE92" i="1" s="1"/>
  <c r="X87" i="1"/>
  <c r="Y91" i="1"/>
  <c r="Y92" i="1" s="1"/>
  <c r="V77" i="1"/>
  <c r="AA1224" i="1"/>
  <c r="AA1210" i="1"/>
  <c r="U626" i="1"/>
  <c r="U259" i="1" s="1"/>
  <c r="R676" i="1"/>
  <c r="Z146" i="1"/>
  <c r="Z148" i="1" s="1"/>
  <c r="R626" i="1"/>
  <c r="Y548" i="1"/>
  <c r="Y9" i="1" s="1"/>
  <c r="X553" i="1"/>
  <c r="X10" i="1" s="1"/>
  <c r="V556" i="1"/>
  <c r="X676" i="1"/>
  <c r="V548" i="1"/>
  <c r="V9" i="1" s="1"/>
  <c r="W548" i="1"/>
  <c r="W9" i="1" s="1"/>
  <c r="Y556" i="1"/>
  <c r="AA608" i="1"/>
  <c r="Z548" i="1"/>
  <c r="Z9" i="1" s="1"/>
  <c r="T548" i="1"/>
  <c r="T9" i="1" s="1"/>
  <c r="W240" i="1"/>
  <c r="W137" i="1"/>
  <c r="W138" i="1" s="1"/>
  <c r="U137" i="1"/>
  <c r="U240" i="1"/>
  <c r="W244" i="1"/>
  <c r="Z240" i="1"/>
  <c r="Z137" i="1"/>
  <c r="Z138" i="1" s="1"/>
  <c r="Y137" i="1"/>
  <c r="Y138" i="1" s="1"/>
  <c r="Y240" i="1"/>
  <c r="W556" i="1"/>
  <c r="X626" i="1"/>
  <c r="X259" i="1" s="1"/>
  <c r="Y244" i="1"/>
  <c r="Z244" i="1"/>
  <c r="U546" i="1"/>
  <c r="U556" i="1" s="1"/>
  <c r="V240" i="1"/>
  <c r="V137" i="1"/>
  <c r="V138" i="1" s="1"/>
  <c r="X556" i="1"/>
  <c r="S626" i="1"/>
  <c r="U1171" i="1"/>
  <c r="X608" i="1"/>
  <c r="U608" i="1"/>
  <c r="U555" i="1"/>
  <c r="U565" i="1" s="1"/>
  <c r="X555" i="1"/>
  <c r="AA555" i="1"/>
  <c r="AA146" i="1"/>
  <c r="AB148" i="1"/>
  <c r="U146" i="1"/>
  <c r="V148" i="1"/>
  <c r="Y146" i="1"/>
  <c r="Y148" i="1" s="1"/>
  <c r="W146" i="1"/>
  <c r="W148" i="1" s="1"/>
  <c r="AA669" i="1"/>
  <c r="AF681" i="1" s="1"/>
  <c r="Z669" i="1"/>
  <c r="X669" i="1"/>
  <c r="W669" i="1"/>
  <c r="U669" i="1"/>
  <c r="T669" i="1"/>
  <c r="R669" i="1"/>
  <c r="Q669" i="1"/>
  <c r="AB668" i="1"/>
  <c r="AB652" i="1"/>
  <c r="Y668" i="1"/>
  <c r="Y652" i="1"/>
  <c r="V668" i="1"/>
  <c r="V652" i="1"/>
  <c r="S668" i="1"/>
  <c r="S652" i="1"/>
  <c r="S654" i="1" s="1"/>
  <c r="AB660" i="1"/>
  <c r="Y660" i="1"/>
  <c r="V660" i="1"/>
  <c r="S660" i="1"/>
  <c r="AB644" i="1"/>
  <c r="Y644" i="1"/>
  <c r="Y636" i="1"/>
  <c r="AD88" i="1" l="1"/>
  <c r="U567" i="1"/>
  <c r="W92" i="1"/>
  <c r="W1287" i="1"/>
  <c r="W1453" i="1" s="1"/>
  <c r="W1455" i="1" s="1"/>
  <c r="W1456" i="1" s="1"/>
  <c r="X137" i="1"/>
  <c r="U241" i="1"/>
  <c r="BF988" i="1"/>
  <c r="BQ955" i="1"/>
  <c r="BQ957" i="1"/>
  <c r="BQ958" i="1" s="1"/>
  <c r="BR1061" i="1"/>
  <c r="BR1060" i="1" s="1"/>
  <c r="BO1060" i="1"/>
  <c r="BR841" i="1"/>
  <c r="BQ978" i="1"/>
  <c r="BQ976" i="1"/>
  <c r="BI979" i="1"/>
  <c r="BI983" i="1"/>
  <c r="BP955" i="1"/>
  <c r="BP957" i="1"/>
  <c r="BN976" i="1"/>
  <c r="BN978" i="1"/>
  <c r="BR1045" i="1"/>
  <c r="BL978" i="1"/>
  <c r="BJ979" i="1"/>
  <c r="BJ983" i="1"/>
  <c r="AU1069" i="1"/>
  <c r="AU1073" i="1"/>
  <c r="AU1070" i="1"/>
  <c r="BP976" i="1"/>
  <c r="BP978" i="1"/>
  <c r="AV1069" i="1"/>
  <c r="AV1070" i="1"/>
  <c r="AV1073" i="1"/>
  <c r="BR837" i="1"/>
  <c r="BR838" i="1"/>
  <c r="BD1064" i="1"/>
  <c r="BF1063" i="1"/>
  <c r="BF1064" i="1" s="1"/>
  <c r="BM976" i="1"/>
  <c r="BM978" i="1"/>
  <c r="BR775" i="1"/>
  <c r="BM955" i="1"/>
  <c r="BM957" i="1"/>
  <c r="BF984" i="1"/>
  <c r="BF985" i="1"/>
  <c r="AW1069" i="1"/>
  <c r="AW1070" i="1"/>
  <c r="BO837" i="1"/>
  <c r="BO838" i="1"/>
  <c r="BG1061" i="1"/>
  <c r="BG1063" i="1"/>
  <c r="BG984" i="1"/>
  <c r="BG985" i="1"/>
  <c r="BG988" i="1"/>
  <c r="BQ1062" i="1"/>
  <c r="BQ1072" i="1" s="1"/>
  <c r="BP1062" i="1"/>
  <c r="BP1072" i="1" s="1"/>
  <c r="BB1066" i="1"/>
  <c r="AY1068" i="1"/>
  <c r="BG963" i="1"/>
  <c r="BL957" i="1"/>
  <c r="BL958" i="1" s="1"/>
  <c r="BJ958" i="1"/>
  <c r="BJ962" i="1"/>
  <c r="BN955" i="1"/>
  <c r="BN957" i="1"/>
  <c r="BN958" i="1" s="1"/>
  <c r="AT1073" i="1"/>
  <c r="BK979" i="1"/>
  <c r="BK983" i="1"/>
  <c r="BH984" i="1"/>
  <c r="BH988" i="1"/>
  <c r="BH985" i="1"/>
  <c r="BJ1060" i="1"/>
  <c r="BK1060" i="1"/>
  <c r="BO841" i="1"/>
  <c r="BA1066" i="1"/>
  <c r="AZ1066" i="1"/>
  <c r="AZ1068" i="1" s="1"/>
  <c r="AX1068" i="1"/>
  <c r="BH1061" i="1"/>
  <c r="BH1063" i="1"/>
  <c r="BH1064" i="1" s="1"/>
  <c r="BO1072" i="1"/>
  <c r="Z715" i="1"/>
  <c r="Z659" i="1" s="1"/>
  <c r="Z654" i="1" s="1"/>
  <c r="X575" i="1"/>
  <c r="X574" i="1" s="1"/>
  <c r="X578" i="1"/>
  <c r="X1007" i="1"/>
  <c r="Y1007" i="1" s="1"/>
  <c r="X1008" i="1"/>
  <c r="Y1008" i="1" s="1"/>
  <c r="X965" i="1"/>
  <c r="X966" i="1"/>
  <c r="X967" i="1"/>
  <c r="Y967" i="1" s="1"/>
  <c r="U1007" i="1"/>
  <c r="U1008" i="1"/>
  <c r="V1008" i="1" s="1"/>
  <c r="U965" i="1"/>
  <c r="U966" i="1"/>
  <c r="V966" i="1" s="1"/>
  <c r="V1007" i="1"/>
  <c r="Y574" i="1"/>
  <c r="Y577" i="1"/>
  <c r="AB1454" i="1"/>
  <c r="Y1290" i="1"/>
  <c r="T1169" i="1"/>
  <c r="X1172" i="1"/>
  <c r="Q1172" i="1"/>
  <c r="Q1169" i="1"/>
  <c r="T1287" i="1"/>
  <c r="T1453" i="1" s="1"/>
  <c r="T1455" i="1" s="1"/>
  <c r="T1456" i="1" s="1"/>
  <c r="U1169" i="1"/>
  <c r="X1169" i="1"/>
  <c r="V654" i="1"/>
  <c r="W1169" i="1"/>
  <c r="Y654" i="1"/>
  <c r="T1172" i="1"/>
  <c r="T536" i="1"/>
  <c r="T538" i="1" s="1"/>
  <c r="W1172" i="1"/>
  <c r="W536" i="1"/>
  <c r="W538" i="1" s="1"/>
  <c r="U1184" i="1"/>
  <c r="AA1184" i="1"/>
  <c r="X562" i="1"/>
  <c r="Y1167" i="1"/>
  <c r="Y1184" i="1" s="1"/>
  <c r="X1184" i="1"/>
  <c r="AA541" i="1"/>
  <c r="X541" i="1"/>
  <c r="AA276" i="1"/>
  <c r="V338" i="1"/>
  <c r="Y1454" i="1"/>
  <c r="S338" i="1"/>
  <c r="V1454" i="1"/>
  <c r="Z337" i="1"/>
  <c r="S337" i="1"/>
  <c r="V337" i="1"/>
  <c r="Z1286" i="1"/>
  <c r="Z1287" i="1" s="1"/>
  <c r="Z1453" i="1" s="1"/>
  <c r="Z1455" i="1" s="1"/>
  <c r="Z1456" i="1" s="1"/>
  <c r="Y1293" i="1"/>
  <c r="Y338" i="1"/>
  <c r="AA336" i="1"/>
  <c r="Z1167" i="1"/>
  <c r="Z338" i="1"/>
  <c r="AB1285" i="1"/>
  <c r="X336" i="1"/>
  <c r="Y337" i="1"/>
  <c r="U336" i="1"/>
  <c r="U277" i="1"/>
  <c r="U287" i="1"/>
  <c r="U283" i="1"/>
  <c r="AA277" i="1"/>
  <c r="AA280" i="1"/>
  <c r="AA283" i="1"/>
  <c r="AA287" i="1"/>
  <c r="S653" i="1"/>
  <c r="Q277" i="1"/>
  <c r="Q287" i="1"/>
  <c r="Q283" i="1"/>
  <c r="W287" i="1"/>
  <c r="W283" i="1"/>
  <c r="W280" i="1"/>
  <c r="W277" i="1"/>
  <c r="S661" i="1"/>
  <c r="R277" i="1"/>
  <c r="R287" i="1"/>
  <c r="R283" i="1"/>
  <c r="X277" i="1"/>
  <c r="X287" i="1"/>
  <c r="X283" i="1"/>
  <c r="X280" i="1"/>
  <c r="U276" i="1"/>
  <c r="T277" i="1"/>
  <c r="T287" i="1"/>
  <c r="T283" i="1"/>
  <c r="Z287" i="1"/>
  <c r="Z277" i="1"/>
  <c r="Z280" i="1"/>
  <c r="Z283" i="1"/>
  <c r="X548" i="1"/>
  <c r="X9" i="1" s="1"/>
  <c r="R1169" i="1"/>
  <c r="R1184" i="1"/>
  <c r="V1167" i="1"/>
  <c r="V1184" i="1" s="1"/>
  <c r="V1293" i="1"/>
  <c r="S1167" i="1"/>
  <c r="S1172" i="1" s="1"/>
  <c r="S1293" i="1"/>
  <c r="AA1287" i="1"/>
  <c r="AA1453" i="1" s="1"/>
  <c r="AA1455" i="1" s="1"/>
  <c r="AA1456" i="1" s="1"/>
  <c r="U1287" i="1"/>
  <c r="U1453" i="1" s="1"/>
  <c r="U1455" i="1" s="1"/>
  <c r="U1456" i="1" s="1"/>
  <c r="S1286" i="1"/>
  <c r="S1287" i="1" s="1"/>
  <c r="V1288" i="1"/>
  <c r="X1287" i="1"/>
  <c r="X1453" i="1" s="1"/>
  <c r="X1455" i="1" s="1"/>
  <c r="X1456" i="1" s="1"/>
  <c r="V1286" i="1"/>
  <c r="Y1288" i="1"/>
  <c r="AB1288" i="1"/>
  <c r="Y1286" i="1"/>
  <c r="V1242" i="1"/>
  <c r="V1452" i="1" s="1"/>
  <c r="R1205" i="1"/>
  <c r="X1211" i="1"/>
  <c r="X1212" i="1" s="1"/>
  <c r="X1218" i="1"/>
  <c r="X1219" i="1" s="1"/>
  <c r="X1225" i="1"/>
  <c r="X1226" i="1" s="1"/>
  <c r="R1207" i="1"/>
  <c r="X1207" i="1"/>
  <c r="AA1207" i="1"/>
  <c r="AA1225" i="1"/>
  <c r="AA1226" i="1" s="1"/>
  <c r="U1211" i="1"/>
  <c r="U1212" i="1" s="1"/>
  <c r="U1225" i="1"/>
  <c r="U1226" i="1" s="1"/>
  <c r="AA1205" i="1"/>
  <c r="AA1211" i="1"/>
  <c r="AA1212" i="1" s="1"/>
  <c r="R1206" i="1"/>
  <c r="R1218" i="1"/>
  <c r="R1219" i="1" s="1"/>
  <c r="R1242" i="1" s="1"/>
  <c r="AA1206" i="1"/>
  <c r="AA1218" i="1"/>
  <c r="AA1219" i="1" s="1"/>
  <c r="U1206" i="1"/>
  <c r="U1218" i="1"/>
  <c r="U1219" i="1" s="1"/>
  <c r="R670" i="1"/>
  <c r="Q670" i="1"/>
  <c r="Y653" i="1"/>
  <c r="V653" i="1"/>
  <c r="AB653" i="1"/>
  <c r="V661" i="1"/>
  <c r="Y661" i="1"/>
  <c r="AB645" i="1"/>
  <c r="AB661" i="1"/>
  <c r="X687" i="1"/>
  <c r="U687" i="1"/>
  <c r="W670" i="1"/>
  <c r="X670" i="1"/>
  <c r="T670" i="1"/>
  <c r="Z670" i="1"/>
  <c r="U670" i="1"/>
  <c r="AA670" i="1"/>
  <c r="Z566" i="1"/>
  <c r="AA562" i="1"/>
  <c r="W558" i="1"/>
  <c r="Z563" i="1" s="1"/>
  <c r="W561" i="1"/>
  <c r="V558" i="1"/>
  <c r="X8" i="1"/>
  <c r="X543" i="1"/>
  <c r="AA8" i="1"/>
  <c r="AA543" i="1"/>
  <c r="X561" i="1"/>
  <c r="X567" i="1"/>
  <c r="X568" i="1" s="1"/>
  <c r="X565" i="1"/>
  <c r="X566" i="1" s="1"/>
  <c r="X560" i="1"/>
  <c r="Y558" i="1"/>
  <c r="Y561" i="1"/>
  <c r="Z561" i="1"/>
  <c r="AA560" i="1"/>
  <c r="AA565" i="1"/>
  <c r="T248" i="1"/>
  <c r="T247" i="1"/>
  <c r="V207" i="1"/>
  <c r="V222" i="1"/>
  <c r="Y203" i="1"/>
  <c r="Y218" i="1"/>
  <c r="V248" i="1"/>
  <c r="V203" i="1"/>
  <c r="V218" i="1"/>
  <c r="X91" i="1"/>
  <c r="X240" i="1"/>
  <c r="AD91" i="1"/>
  <c r="V91" i="1"/>
  <c r="V92" i="1" s="1"/>
  <c r="Y11" i="1"/>
  <c r="X558" i="1"/>
  <c r="W59" i="1"/>
  <c r="U548" i="1"/>
  <c r="U9" i="1" s="1"/>
  <c r="Y248" i="1"/>
  <c r="W11" i="1"/>
  <c r="W248" i="1"/>
  <c r="Y59" i="1"/>
  <c r="Y247" i="1"/>
  <c r="T11" i="1"/>
  <c r="V247" i="1"/>
  <c r="Z59" i="1"/>
  <c r="V11" i="1"/>
  <c r="Z248" i="1"/>
  <c r="V59" i="1"/>
  <c r="U558" i="1"/>
  <c r="U570" i="1" s="1"/>
  <c r="Z11" i="1"/>
  <c r="U1172" i="1"/>
  <c r="T677" i="1"/>
  <c r="T674" i="1"/>
  <c r="T623" i="1"/>
  <c r="T634" i="1" s="1"/>
  <c r="X674" i="1"/>
  <c r="X623" i="1"/>
  <c r="X634" i="1" s="1"/>
  <c r="AA674" i="1"/>
  <c r="AA623" i="1"/>
  <c r="AA634" i="1" s="1"/>
  <c r="Q623" i="1"/>
  <c r="Q634" i="1" s="1"/>
  <c r="Q677" i="1"/>
  <c r="Q674" i="1"/>
  <c r="R623" i="1"/>
  <c r="R634" i="1" s="1"/>
  <c r="R677" i="1"/>
  <c r="R674" i="1"/>
  <c r="U677" i="1"/>
  <c r="U674" i="1"/>
  <c r="U623" i="1"/>
  <c r="U634" i="1" s="1"/>
  <c r="W677" i="1"/>
  <c r="W674" i="1"/>
  <c r="W623" i="1"/>
  <c r="W634" i="1" s="1"/>
  <c r="Z674" i="1"/>
  <c r="Z677" i="1"/>
  <c r="Z623" i="1"/>
  <c r="Z634" i="1" s="1"/>
  <c r="X677" i="1"/>
  <c r="Y669" i="1"/>
  <c r="AB636" i="1"/>
  <c r="V636" i="1"/>
  <c r="S636" i="1"/>
  <c r="Y608" i="1"/>
  <c r="W68" i="1" l="1"/>
  <c r="X241" i="1"/>
  <c r="Z247" i="1"/>
  <c r="Z249" i="1"/>
  <c r="AA241" i="1"/>
  <c r="Y93" i="1"/>
  <c r="Y223" i="1" s="1"/>
  <c r="U248" i="1"/>
  <c r="BI988" i="1"/>
  <c r="BD1066" i="1"/>
  <c r="BC1066" i="1"/>
  <c r="BC1068" i="1" s="1"/>
  <c r="BA1068" i="1"/>
  <c r="BK984" i="1"/>
  <c r="BK985" i="1"/>
  <c r="BK988" i="1"/>
  <c r="AY1070" i="1"/>
  <c r="AY1073" i="1"/>
  <c r="AY1069" i="1"/>
  <c r="BO957" i="1"/>
  <c r="BO958" i="1" s="1"/>
  <c r="BM958" i="1"/>
  <c r="BM962" i="1"/>
  <c r="BO978" i="1"/>
  <c r="BM979" i="1"/>
  <c r="BM983" i="1"/>
  <c r="AW1073" i="1"/>
  <c r="BL979" i="1"/>
  <c r="BL983" i="1"/>
  <c r="BQ1060" i="1"/>
  <c r="BP1060" i="1"/>
  <c r="BE1066" i="1"/>
  <c r="BB1068" i="1"/>
  <c r="BP979" i="1"/>
  <c r="BR978" i="1"/>
  <c r="BP983" i="1"/>
  <c r="BN979" i="1"/>
  <c r="BN983" i="1"/>
  <c r="BQ979" i="1"/>
  <c r="BQ983" i="1"/>
  <c r="AX1069" i="1"/>
  <c r="AX1070" i="1"/>
  <c r="AX1073" i="1"/>
  <c r="BK1061" i="1"/>
  <c r="BK1063" i="1"/>
  <c r="BK1064" i="1" s="1"/>
  <c r="BJ963" i="1"/>
  <c r="BR1072" i="1"/>
  <c r="BJ984" i="1"/>
  <c r="BJ985" i="1"/>
  <c r="BJ988" i="1"/>
  <c r="BI984" i="1"/>
  <c r="BI985" i="1"/>
  <c r="AZ1070" i="1"/>
  <c r="AZ1069" i="1"/>
  <c r="BJ1061" i="1"/>
  <c r="BJ1063" i="1"/>
  <c r="BI1063" i="1"/>
  <c r="BI1064" i="1" s="1"/>
  <c r="BG1064" i="1"/>
  <c r="BP958" i="1"/>
  <c r="BR957" i="1"/>
  <c r="BR958" i="1" s="1"/>
  <c r="BP962" i="1"/>
  <c r="BN1060" i="1"/>
  <c r="BM1060" i="1"/>
  <c r="V965" i="1"/>
  <c r="Y966" i="1"/>
  <c r="Y580" i="1"/>
  <c r="Y965" i="1"/>
  <c r="AB1286" i="1"/>
  <c r="AB1290" i="1"/>
  <c r="Y1169" i="1"/>
  <c r="Y1172" i="1"/>
  <c r="W541" i="1"/>
  <c r="V1169" i="1"/>
  <c r="Y536" i="1"/>
  <c r="Y567" i="1" s="1"/>
  <c r="T567" i="1"/>
  <c r="T336" i="1"/>
  <c r="T570" i="1"/>
  <c r="W567" i="1"/>
  <c r="W276" i="1"/>
  <c r="W543" i="1"/>
  <c r="W582" i="1" s="1"/>
  <c r="W8" i="1"/>
  <c r="T276" i="1"/>
  <c r="T8" i="1"/>
  <c r="W336" i="1"/>
  <c r="AB338" i="1"/>
  <c r="X11" i="1"/>
  <c r="Z1184" i="1"/>
  <c r="Z1169" i="1"/>
  <c r="Z536" i="1"/>
  <c r="Z1172" i="1"/>
  <c r="AB337" i="1"/>
  <c r="Y287" i="1"/>
  <c r="Y277" i="1"/>
  <c r="Y280" i="1"/>
  <c r="X248" i="1"/>
  <c r="Y283" i="1"/>
  <c r="X59" i="1"/>
  <c r="V536" i="1"/>
  <c r="V1172" i="1"/>
  <c r="S1169" i="1"/>
  <c r="S1184" i="1"/>
  <c r="V1287" i="1"/>
  <c r="V1453" i="1" s="1"/>
  <c r="V1455" i="1" s="1"/>
  <c r="V1456" i="1" s="1"/>
  <c r="Y1287" i="1"/>
  <c r="AB1287" i="1"/>
  <c r="U1242" i="1"/>
  <c r="U1452" i="1" s="1"/>
  <c r="AA1242" i="1"/>
  <c r="AA1452" i="1" s="1"/>
  <c r="AA579" i="1" s="1"/>
  <c r="X1242" i="1"/>
  <c r="X1452" i="1" s="1"/>
  <c r="X579" i="1" s="1"/>
  <c r="X577" i="1" s="1"/>
  <c r="X580" i="1" s="1"/>
  <c r="V669" i="1"/>
  <c r="V637" i="1"/>
  <c r="AB669" i="1"/>
  <c r="AB637" i="1"/>
  <c r="S669" i="1"/>
  <c r="S637" i="1"/>
  <c r="Y637" i="1"/>
  <c r="Y623" i="1"/>
  <c r="Y634" i="1" s="1"/>
  <c r="AA566" i="1"/>
  <c r="X225" i="1"/>
  <c r="Y563" i="1"/>
  <c r="X563" i="1"/>
  <c r="X570" i="1"/>
  <c r="X571" i="1" s="1"/>
  <c r="W563" i="1"/>
  <c r="W570" i="1"/>
  <c r="Z68" i="1"/>
  <c r="Z93" i="1"/>
  <c r="V249" i="1"/>
  <c r="V216" i="1"/>
  <c r="V201" i="1"/>
  <c r="T14" i="1"/>
  <c r="T249" i="1"/>
  <c r="Y14" i="1"/>
  <c r="Y201" i="1"/>
  <c r="Y216" i="1"/>
  <c r="Y249" i="1"/>
  <c r="W249" i="1"/>
  <c r="U225" i="1"/>
  <c r="W247" i="1"/>
  <c r="U11" i="1"/>
  <c r="W14" i="1"/>
  <c r="Z14" i="1"/>
  <c r="V14" i="1"/>
  <c r="Y674" i="1"/>
  <c r="Y677" i="1"/>
  <c r="U12" i="1"/>
  <c r="X12" i="1"/>
  <c r="U15" i="1"/>
  <c r="U16" i="1"/>
  <c r="X16" i="1"/>
  <c r="X15" i="1"/>
  <c r="AA16" i="1"/>
  <c r="AA15" i="1"/>
  <c r="AA12" i="1"/>
  <c r="U55" i="1"/>
  <c r="U53" i="1"/>
  <c r="U52" i="1"/>
  <c r="U51" i="1"/>
  <c r="X55" i="1"/>
  <c r="X53" i="1"/>
  <c r="X52" i="1"/>
  <c r="X51" i="1"/>
  <c r="AA55" i="1"/>
  <c r="AA53" i="1"/>
  <c r="AA52" i="1"/>
  <c r="AA51" i="1"/>
  <c r="U47" i="1"/>
  <c r="U46" i="1"/>
  <c r="U45" i="1"/>
  <c r="U44" i="1"/>
  <c r="U43" i="1"/>
  <c r="U42" i="1"/>
  <c r="X47" i="1"/>
  <c r="X46" i="1"/>
  <c r="X45" i="1"/>
  <c r="X44" i="1"/>
  <c r="X43" i="1"/>
  <c r="X42" i="1"/>
  <c r="AA47" i="1"/>
  <c r="AA46" i="1"/>
  <c r="AA45" i="1"/>
  <c r="AA44" i="1"/>
  <c r="AA43" i="1"/>
  <c r="AA42" i="1"/>
  <c r="U40" i="1"/>
  <c r="U39" i="1"/>
  <c r="U38" i="1"/>
  <c r="U37" i="1"/>
  <c r="U36" i="1"/>
  <c r="X40" i="1"/>
  <c r="X39" i="1"/>
  <c r="X38" i="1"/>
  <c r="X37" i="1"/>
  <c r="X36" i="1"/>
  <c r="AA40" i="1"/>
  <c r="AA39" i="1"/>
  <c r="AA38" i="1"/>
  <c r="AA37" i="1"/>
  <c r="AA36" i="1"/>
  <c r="U33" i="1"/>
  <c r="U32" i="1"/>
  <c r="U31" i="1"/>
  <c r="U30" i="1"/>
  <c r="U29" i="1"/>
  <c r="U28" i="1"/>
  <c r="U27" i="1"/>
  <c r="X33" i="1"/>
  <c r="X32" i="1"/>
  <c r="X31" i="1"/>
  <c r="X30" i="1"/>
  <c r="X29" i="1"/>
  <c r="X28" i="1"/>
  <c r="X27" i="1"/>
  <c r="AA33" i="1"/>
  <c r="AA32" i="1"/>
  <c r="AA31" i="1"/>
  <c r="AA30" i="1"/>
  <c r="AA29" i="1"/>
  <c r="AA28" i="1"/>
  <c r="AA27" i="1"/>
  <c r="U25" i="1"/>
  <c r="U24" i="1"/>
  <c r="U23" i="1"/>
  <c r="U22" i="1"/>
  <c r="U21" i="1"/>
  <c r="X25" i="1"/>
  <c r="X24" i="1"/>
  <c r="X23" i="1"/>
  <c r="X22" i="1"/>
  <c r="X21" i="1"/>
  <c r="AA25" i="1"/>
  <c r="AA24" i="1"/>
  <c r="AA23" i="1"/>
  <c r="AA22" i="1"/>
  <c r="AA21" i="1"/>
  <c r="Y208" i="1" l="1"/>
  <c r="X139" i="1"/>
  <c r="X138" i="1" s="1"/>
  <c r="X249" i="1"/>
  <c r="X92" i="1"/>
  <c r="AA139" i="1"/>
  <c r="AA141" i="1"/>
  <c r="AA63" i="1"/>
  <c r="W225" i="1"/>
  <c r="X141" i="1"/>
  <c r="U139" i="1"/>
  <c r="U138" i="1" s="1"/>
  <c r="U236" i="1"/>
  <c r="T241" i="1"/>
  <c r="X236" i="1"/>
  <c r="BM1063" i="1"/>
  <c r="BM1061" i="1"/>
  <c r="BQ1063" i="1"/>
  <c r="BQ1064" i="1" s="1"/>
  <c r="BQ1061" i="1"/>
  <c r="BM963" i="1"/>
  <c r="BN1063" i="1"/>
  <c r="BN1064" i="1" s="1"/>
  <c r="BN1061" i="1"/>
  <c r="BJ1064" i="1"/>
  <c r="BL1063" i="1"/>
  <c r="BL1064" i="1" s="1"/>
  <c r="BQ984" i="1"/>
  <c r="BQ988" i="1"/>
  <c r="BQ985" i="1"/>
  <c r="BB1073" i="1"/>
  <c r="BB1069" i="1"/>
  <c r="BB1070" i="1"/>
  <c r="BL984" i="1"/>
  <c r="BL985" i="1"/>
  <c r="BM984" i="1"/>
  <c r="BM988" i="1"/>
  <c r="BM985" i="1"/>
  <c r="BA1069" i="1"/>
  <c r="BA1073" i="1"/>
  <c r="BA1070" i="1"/>
  <c r="BP963" i="1"/>
  <c r="AZ1073" i="1"/>
  <c r="BP984" i="1"/>
  <c r="BP985" i="1"/>
  <c r="BP988" i="1"/>
  <c r="BH1066" i="1"/>
  <c r="BE1068" i="1"/>
  <c r="BL988" i="1"/>
  <c r="BC1070" i="1"/>
  <c r="BC1069" i="1"/>
  <c r="BN984" i="1"/>
  <c r="BN988" i="1"/>
  <c r="BO988" i="1" s="1"/>
  <c r="BN985" i="1"/>
  <c r="BR979" i="1"/>
  <c r="BR983" i="1"/>
  <c r="BP1061" i="1"/>
  <c r="BP1063" i="1"/>
  <c r="BO979" i="1"/>
  <c r="BO983" i="1"/>
  <c r="BG1066" i="1"/>
  <c r="BF1066" i="1"/>
  <c r="BF1068" i="1" s="1"/>
  <c r="BD1068" i="1"/>
  <c r="AB1453" i="1"/>
  <c r="AB1455" i="1" s="1"/>
  <c r="AB1456" i="1" s="1"/>
  <c r="Y1453" i="1"/>
  <c r="Y1455" i="1" s="1"/>
  <c r="Y1456" i="1" s="1"/>
  <c r="Y538" i="1"/>
  <c r="Y276" i="1" s="1"/>
  <c r="X14" i="1"/>
  <c r="X105" i="1" s="1"/>
  <c r="X226" i="1"/>
  <c r="T226" i="1"/>
  <c r="W568" i="1"/>
  <c r="W120" i="1"/>
  <c r="W571" i="1"/>
  <c r="W130" i="1"/>
  <c r="W241" i="1"/>
  <c r="W126" i="1"/>
  <c r="W236" i="1"/>
  <c r="T225" i="1"/>
  <c r="W226" i="1"/>
  <c r="W119" i="1"/>
  <c r="T236" i="1"/>
  <c r="W118" i="1"/>
  <c r="W129" i="1"/>
  <c r="V538" i="1"/>
  <c r="V336" i="1" s="1"/>
  <c r="Z538" i="1"/>
  <c r="Z336" i="1" s="1"/>
  <c r="Z567" i="1"/>
  <c r="Z568" i="1" s="1"/>
  <c r="Z541" i="1"/>
  <c r="S283" i="1"/>
  <c r="S287" i="1"/>
  <c r="V287" i="1"/>
  <c r="V283" i="1"/>
  <c r="S277" i="1"/>
  <c r="AB287" i="1"/>
  <c r="AB283" i="1"/>
  <c r="AB280" i="1"/>
  <c r="V277" i="1"/>
  <c r="AB277" i="1"/>
  <c r="V567" i="1"/>
  <c r="Y568" i="1" s="1"/>
  <c r="Y541" i="1"/>
  <c r="AB670" i="1"/>
  <c r="S623" i="1"/>
  <c r="S634" i="1" s="1"/>
  <c r="Y670" i="1"/>
  <c r="V677" i="1"/>
  <c r="V670" i="1"/>
  <c r="S677" i="1"/>
  <c r="AB677" i="1"/>
  <c r="AB623" i="1"/>
  <c r="AB634" i="1" s="1"/>
  <c r="AB674" i="1"/>
  <c r="S674" i="1"/>
  <c r="S670" i="1"/>
  <c r="V674" i="1"/>
  <c r="V623" i="1"/>
  <c r="V634" i="1" s="1"/>
  <c r="T235" i="1"/>
  <c r="T105" i="1"/>
  <c r="V235" i="1"/>
  <c r="V105" i="1"/>
  <c r="Z17" i="1"/>
  <c r="Z179" i="1" s="1"/>
  <c r="Z173" i="1" s="1"/>
  <c r="Z105" i="1"/>
  <c r="Y17" i="1"/>
  <c r="Y179" i="1" s="1"/>
  <c r="Y105" i="1"/>
  <c r="W235" i="1"/>
  <c r="W105" i="1"/>
  <c r="T17" i="1"/>
  <c r="T179" i="1" s="1"/>
  <c r="T173" i="1" s="1"/>
  <c r="Y235" i="1"/>
  <c r="W17" i="1"/>
  <c r="Z235" i="1"/>
  <c r="AA99" i="1"/>
  <c r="X65" i="1"/>
  <c r="X99" i="1"/>
  <c r="U226" i="1"/>
  <c r="U249" i="1"/>
  <c r="U14" i="1"/>
  <c r="U235" i="1" s="1"/>
  <c r="V17" i="1"/>
  <c r="AA143" i="1"/>
  <c r="AA98" i="1"/>
  <c r="X143" i="1"/>
  <c r="X98" i="1"/>
  <c r="U143" i="1"/>
  <c r="X63" i="1"/>
  <c r="Y63" i="1"/>
  <c r="X26" i="1"/>
  <c r="U34" i="1"/>
  <c r="U54" i="1"/>
  <c r="U56" i="1" s="1"/>
  <c r="AA34" i="1"/>
  <c r="AA54" i="1"/>
  <c r="AA56" i="1" s="1"/>
  <c r="AA189" i="1" s="1"/>
  <c r="AA122" i="1"/>
  <c r="AA119" i="1"/>
  <c r="X122" i="1"/>
  <c r="X119" i="1"/>
  <c r="U129" i="1"/>
  <c r="U125" i="1"/>
  <c r="U121" i="1"/>
  <c r="U118" i="1"/>
  <c r="U26" i="1"/>
  <c r="AA41" i="1"/>
  <c r="U130" i="1"/>
  <c r="U123" i="1"/>
  <c r="U120" i="1"/>
  <c r="V68" i="1"/>
  <c r="AA129" i="1"/>
  <c r="AA125" i="1"/>
  <c r="AA121" i="1"/>
  <c r="AA118" i="1"/>
  <c r="AA26" i="1"/>
  <c r="X129" i="1"/>
  <c r="X125" i="1"/>
  <c r="X121" i="1"/>
  <c r="X118" i="1"/>
  <c r="U122" i="1"/>
  <c r="U119" i="1"/>
  <c r="X34" i="1"/>
  <c r="AA130" i="1"/>
  <c r="AA123" i="1"/>
  <c r="AA120" i="1"/>
  <c r="AA65" i="1"/>
  <c r="X41" i="1"/>
  <c r="X130" i="1"/>
  <c r="X123" i="1"/>
  <c r="X120" i="1"/>
  <c r="U41" i="1"/>
  <c r="U141" i="1"/>
  <c r="AA142" i="1"/>
  <c r="AA48" i="1"/>
  <c r="X48" i="1"/>
  <c r="X142" i="1"/>
  <c r="X145" i="1" s="1"/>
  <c r="X147" i="1" s="1"/>
  <c r="X148" i="1" s="1"/>
  <c r="U48" i="1"/>
  <c r="U142" i="1"/>
  <c r="X54" i="1"/>
  <c r="X56" i="1" s="1"/>
  <c r="X189" i="1" s="1"/>
  <c r="Z54" i="1"/>
  <c r="Z56" i="1" s="1"/>
  <c r="Z189" i="1" s="1"/>
  <c r="Z48" i="1"/>
  <c r="Z41" i="1"/>
  <c r="Z34" i="1"/>
  <c r="Z26" i="1"/>
  <c r="W54" i="1"/>
  <c r="W56" i="1" s="1"/>
  <c r="W189" i="1" s="1"/>
  <c r="W48" i="1"/>
  <c r="W41" i="1"/>
  <c r="V41" i="1"/>
  <c r="W34" i="1"/>
  <c r="W26" i="1"/>
  <c r="V34" i="1"/>
  <c r="V26" i="1"/>
  <c r="AA145" i="1" l="1"/>
  <c r="AA147" i="1" s="1"/>
  <c r="AA148" i="1" s="1"/>
  <c r="T190" i="1"/>
  <c r="T188" i="1" s="1"/>
  <c r="Z190" i="1"/>
  <c r="Z188" i="1" s="1"/>
  <c r="BD1073" i="1"/>
  <c r="BD1069" i="1"/>
  <c r="BD1070" i="1"/>
  <c r="BE1069" i="1"/>
  <c r="BE1073" i="1"/>
  <c r="BE1070" i="1"/>
  <c r="BF1069" i="1"/>
  <c r="BF1070" i="1"/>
  <c r="BP1064" i="1"/>
  <c r="BR1063" i="1"/>
  <c r="BR1064" i="1" s="1"/>
  <c r="BK1066" i="1"/>
  <c r="BH1068" i="1"/>
  <c r="BI1066" i="1"/>
  <c r="BI1068" i="1" s="1"/>
  <c r="BJ1066" i="1"/>
  <c r="BG1068" i="1"/>
  <c r="BR988" i="1"/>
  <c r="BO984" i="1"/>
  <c r="BO985" i="1"/>
  <c r="BR984" i="1"/>
  <c r="BR985" i="1"/>
  <c r="BC1073" i="1"/>
  <c r="BM1064" i="1"/>
  <c r="BO1063" i="1"/>
  <c r="BO1064" i="1" s="1"/>
  <c r="Y336" i="1"/>
  <c r="Y570" i="1"/>
  <c r="Y8" i="1"/>
  <c r="X235" i="1"/>
  <c r="X17" i="1"/>
  <c r="X227" i="1" s="1"/>
  <c r="Y543" i="1"/>
  <c r="V8" i="1"/>
  <c r="V570" i="1"/>
  <c r="V276" i="1"/>
  <c r="Z276" i="1"/>
  <c r="Z570" i="1"/>
  <c r="Z571" i="1" s="1"/>
  <c r="Z8" i="1"/>
  <c r="Z543" i="1"/>
  <c r="Z582" i="1" s="1"/>
  <c r="W179" i="1"/>
  <c r="W173" i="1" s="1"/>
  <c r="W19" i="1"/>
  <c r="W242" i="1" s="1"/>
  <c r="Y19" i="1"/>
  <c r="Y242" i="1" s="1"/>
  <c r="Y234" i="1"/>
  <c r="T185" i="1"/>
  <c r="T186" i="1" s="1"/>
  <c r="U187" i="1" s="1"/>
  <c r="V187" i="1" s="1"/>
  <c r="T234" i="1"/>
  <c r="U105" i="1"/>
  <c r="Z174" i="1"/>
  <c r="Z19" i="1"/>
  <c r="Z181" i="1" s="1"/>
  <c r="T227" i="1"/>
  <c r="Z234" i="1"/>
  <c r="Z185" i="1"/>
  <c r="Z186" i="1" s="1"/>
  <c r="AA187" i="1" s="1"/>
  <c r="T174" i="1"/>
  <c r="T19" i="1"/>
  <c r="T242" i="1" s="1"/>
  <c r="W227" i="1"/>
  <c r="W234" i="1"/>
  <c r="U49" i="1"/>
  <c r="U189" i="1"/>
  <c r="V234" i="1"/>
  <c r="V179" i="1"/>
  <c r="U17" i="1"/>
  <c r="U179" i="1" s="1"/>
  <c r="U173" i="1" s="1"/>
  <c r="V19" i="1"/>
  <c r="Y68" i="1"/>
  <c r="Z49" i="1"/>
  <c r="Z50" i="1" s="1"/>
  <c r="Z57" i="1" s="1"/>
  <c r="Z238" i="1"/>
  <c r="Z245" i="1"/>
  <c r="Z246" i="1"/>
  <c r="W245" i="1"/>
  <c r="W246" i="1"/>
  <c r="V128" i="1"/>
  <c r="V127" i="1"/>
  <c r="W35" i="1"/>
  <c r="W127" i="1"/>
  <c r="W128" i="1"/>
  <c r="Z127" i="1"/>
  <c r="Z128" i="1"/>
  <c r="W49" i="1"/>
  <c r="X128" i="1"/>
  <c r="U35" i="1"/>
  <c r="U238" i="1" s="1"/>
  <c r="X49" i="1"/>
  <c r="X35" i="1"/>
  <c r="X238" i="1" s="1"/>
  <c r="AA124" i="1"/>
  <c r="AA62" i="1" s="1"/>
  <c r="X127" i="1"/>
  <c r="X144" i="1"/>
  <c r="AA144" i="1"/>
  <c r="U145" i="1"/>
  <c r="U147" i="1" s="1"/>
  <c r="U148" i="1" s="1"/>
  <c r="U144" i="1"/>
  <c r="X126" i="1"/>
  <c r="AA126" i="1"/>
  <c r="U126" i="1"/>
  <c r="X124" i="1"/>
  <c r="X62" i="1" s="1"/>
  <c r="AA128" i="1"/>
  <c r="AA127" i="1"/>
  <c r="U124" i="1"/>
  <c r="AA49" i="1"/>
  <c r="U128" i="1"/>
  <c r="U127" i="1"/>
  <c r="AA35" i="1"/>
  <c r="S54" i="1"/>
  <c r="S56" i="1" s="1"/>
  <c r="V54" i="1"/>
  <c r="V56" i="1" s="1"/>
  <c r="S48" i="1"/>
  <c r="V48" i="1"/>
  <c r="V49" i="1" s="1"/>
  <c r="S41" i="1"/>
  <c r="S34" i="1"/>
  <c r="S26" i="1"/>
  <c r="Y54" i="1"/>
  <c r="Y56" i="1" s="1"/>
  <c r="Y189" i="1" s="1"/>
  <c r="Y188" i="1" s="1"/>
  <c r="Y48" i="1"/>
  <c r="Y41" i="1"/>
  <c r="Y34" i="1"/>
  <c r="Y26" i="1"/>
  <c r="V226" i="1" l="1"/>
  <c r="Y225" i="1"/>
  <c r="W174" i="1"/>
  <c r="Z227" i="1"/>
  <c r="BG1070" i="1"/>
  <c r="BG1073" i="1"/>
  <c r="BG1069" i="1"/>
  <c r="BN1066" i="1"/>
  <c r="BK1068" i="1"/>
  <c r="BM1066" i="1"/>
  <c r="BL1066" i="1"/>
  <c r="BL1068" i="1" s="1"/>
  <c r="BJ1068" i="1"/>
  <c r="BI1069" i="1"/>
  <c r="BI1070" i="1"/>
  <c r="BH1073" i="1"/>
  <c r="BH1069" i="1"/>
  <c r="BH1070" i="1"/>
  <c r="BF1073" i="1"/>
  <c r="Y129" i="1"/>
  <c r="Y227" i="1"/>
  <c r="Y119" i="1"/>
  <c r="X234" i="1"/>
  <c r="X179" i="1"/>
  <c r="X173" i="1" s="1"/>
  <c r="Y241" i="1"/>
  <c r="Y126" i="1"/>
  <c r="Y118" i="1"/>
  <c r="Y130" i="1"/>
  <c r="Y120" i="1"/>
  <c r="Y226" i="1"/>
  <c r="Y236" i="1"/>
  <c r="Y571" i="1"/>
  <c r="X229" i="1"/>
  <c r="X19" i="1"/>
  <c r="X181" i="1" s="1"/>
  <c r="V119" i="1"/>
  <c r="V236" i="1"/>
  <c r="V130" i="1"/>
  <c r="V118" i="1"/>
  <c r="V227" i="1"/>
  <c r="V225" i="1"/>
  <c r="V120" i="1"/>
  <c r="V241" i="1"/>
  <c r="V129" i="1"/>
  <c r="V126" i="1"/>
  <c r="Z225" i="1"/>
  <c r="Z119" i="1"/>
  <c r="Z236" i="1"/>
  <c r="Z120" i="1"/>
  <c r="Z126" i="1"/>
  <c r="Z241" i="1"/>
  <c r="Z226" i="1"/>
  <c r="Z129" i="1"/>
  <c r="Z118" i="1"/>
  <c r="Z130" i="1"/>
  <c r="W190" i="1"/>
  <c r="W188" i="1" s="1"/>
  <c r="W185" i="1"/>
  <c r="W186" i="1" s="1"/>
  <c r="X187" i="1" s="1"/>
  <c r="Z242" i="1"/>
  <c r="Y181" i="1"/>
  <c r="X68" i="1"/>
  <c r="X93" i="1"/>
  <c r="T181" i="1"/>
  <c r="V189" i="1"/>
  <c r="V188" i="1" s="1"/>
  <c r="Y232" i="1"/>
  <c r="V232" i="1"/>
  <c r="W181" i="1"/>
  <c r="Z192" i="1"/>
  <c r="Z191" i="1" s="1"/>
  <c r="U174" i="1"/>
  <c r="U190" i="1"/>
  <c r="U188" i="1" s="1"/>
  <c r="U185" i="1"/>
  <c r="U186" i="1" s="1"/>
  <c r="W187" i="1" s="1"/>
  <c r="V242" i="1"/>
  <c r="V181" i="1"/>
  <c r="U19" i="1"/>
  <c r="U234" i="1"/>
  <c r="U227" i="1"/>
  <c r="U229" i="1"/>
  <c r="Y49" i="1"/>
  <c r="S35" i="1"/>
  <c r="V237" i="1" s="1"/>
  <c r="U230" i="1"/>
  <c r="T232" i="1"/>
  <c r="T229" i="1"/>
  <c r="V229" i="1"/>
  <c r="V245" i="1"/>
  <c r="V238" i="1"/>
  <c r="V246" i="1"/>
  <c r="W232" i="1"/>
  <c r="W229" i="1"/>
  <c r="Y229" i="1"/>
  <c r="Y128" i="1"/>
  <c r="Y127" i="1"/>
  <c r="Y246" i="1"/>
  <c r="Y245" i="1"/>
  <c r="Z232" i="1"/>
  <c r="Z229" i="1"/>
  <c r="V50" i="1"/>
  <c r="V57" i="1" s="1"/>
  <c r="W50" i="1"/>
  <c r="W57" i="1" s="1"/>
  <c r="W238" i="1"/>
  <c r="W237" i="1"/>
  <c r="W230" i="1"/>
  <c r="Y35" i="1"/>
  <c r="S49" i="1"/>
  <c r="X237" i="1"/>
  <c r="X230" i="1"/>
  <c r="U237" i="1"/>
  <c r="X244" i="1"/>
  <c r="X246" i="1"/>
  <c r="U50" i="1"/>
  <c r="U57" i="1" s="1"/>
  <c r="X245" i="1"/>
  <c r="X247" i="1"/>
  <c r="X232" i="1"/>
  <c r="X50" i="1"/>
  <c r="X57" i="1" s="1"/>
  <c r="AA244" i="1"/>
  <c r="AA246" i="1"/>
  <c r="AA245" i="1"/>
  <c r="AA238" i="1"/>
  <c r="AA237" i="1"/>
  <c r="AA50" i="1"/>
  <c r="AA57" i="1" s="1"/>
  <c r="U247" i="1"/>
  <c r="U246" i="1"/>
  <c r="U245" i="1"/>
  <c r="U244" i="1"/>
  <c r="U232" i="1"/>
  <c r="X174" i="1" l="1"/>
  <c r="BJ1069" i="1"/>
  <c r="BJ1070" i="1"/>
  <c r="BJ1073" i="1"/>
  <c r="BQ1066" i="1"/>
  <c r="BQ1068" i="1" s="1"/>
  <c r="BN1068" i="1"/>
  <c r="BL1070" i="1"/>
  <c r="BL1069" i="1"/>
  <c r="BP1066" i="1"/>
  <c r="BO1066" i="1"/>
  <c r="BO1068" i="1" s="1"/>
  <c r="BM1068" i="1"/>
  <c r="BI1073" i="1"/>
  <c r="BK1069" i="1"/>
  <c r="BK1070" i="1"/>
  <c r="BK1073" i="1"/>
  <c r="X242" i="1"/>
  <c r="X190" i="1"/>
  <c r="X188" i="1" s="1"/>
  <c r="X239" i="1"/>
  <c r="X185" i="1"/>
  <c r="X186" i="1" s="1"/>
  <c r="Z187" i="1" s="1"/>
  <c r="AB187" i="1" s="1"/>
  <c r="Y187" i="1"/>
  <c r="U239" i="1"/>
  <c r="W192" i="1"/>
  <c r="W191" i="1" s="1"/>
  <c r="U242" i="1"/>
  <c r="U181" i="1"/>
  <c r="V192" i="1"/>
  <c r="V191" i="1" s="1"/>
  <c r="AA192" i="1"/>
  <c r="AA191" i="1" s="1"/>
  <c r="X192" i="1"/>
  <c r="X191" i="1" s="1"/>
  <c r="U192" i="1"/>
  <c r="U191" i="1" s="1"/>
  <c r="T237" i="1"/>
  <c r="Y50" i="1"/>
  <c r="Y57" i="1" s="1"/>
  <c r="S50" i="1"/>
  <c r="S57" i="1" s="1"/>
  <c r="T230" i="1"/>
  <c r="V239" i="1"/>
  <c r="Y238" i="1"/>
  <c r="Z237" i="1"/>
  <c r="Z239" i="1" s="1"/>
  <c r="Y237" i="1"/>
  <c r="Z230" i="1"/>
  <c r="W239" i="1"/>
  <c r="AN1301" i="1"/>
  <c r="AN1299" i="1"/>
  <c r="AK1301" i="1"/>
  <c r="AK1299" i="1"/>
  <c r="BR1066" i="1" l="1"/>
  <c r="BR1068" i="1" s="1"/>
  <c r="BP1068" i="1"/>
  <c r="BQ1070" i="1"/>
  <c r="BQ1073" i="1"/>
  <c r="BQ1069" i="1"/>
  <c r="BL1073" i="1"/>
  <c r="BM1073" i="1"/>
  <c r="BM1069" i="1"/>
  <c r="BM1070" i="1"/>
  <c r="BO1069" i="1"/>
  <c r="BO1070" i="1"/>
  <c r="BN1069" i="1"/>
  <c r="BN1073" i="1"/>
  <c r="BN1070" i="1"/>
  <c r="Y192" i="1"/>
  <c r="Y191" i="1" s="1"/>
  <c r="Y239" i="1"/>
  <c r="BO1073" i="1" l="1"/>
  <c r="BP1073" i="1"/>
  <c r="BP1069" i="1"/>
  <c r="BP1070" i="1"/>
  <c r="BR1070" i="1"/>
  <c r="BR1069" i="1"/>
  <c r="BR1073" i="1" l="1"/>
  <c r="K72" i="7" l="1"/>
  <c r="H72" i="7"/>
  <c r="E72" i="7"/>
  <c r="E41" i="7"/>
  <c r="F41" i="7" s="1"/>
  <c r="C52" i="7" l="1"/>
  <c r="C54" i="7" s="1"/>
  <c r="C48" i="7"/>
  <c r="E68" i="7" s="1"/>
  <c r="F39" i="7"/>
  <c r="D37" i="7"/>
  <c r="Q104" i="7"/>
  <c r="Q99" i="7"/>
  <c r="P110" i="7"/>
  <c r="C92" i="7"/>
  <c r="C93" i="7" s="1"/>
  <c r="C89" i="7"/>
  <c r="C84" i="7"/>
  <c r="C81" i="7"/>
  <c r="C78" i="7"/>
  <c r="H69" i="7"/>
  <c r="K69" i="7" s="1"/>
  <c r="J66" i="7"/>
  <c r="D66" i="7"/>
  <c r="E39" i="7"/>
  <c r="C7" i="7"/>
  <c r="C6" i="7"/>
  <c r="C5" i="7"/>
  <c r="AB1292" i="1"/>
  <c r="Z1292" i="1"/>
  <c r="AN454" i="1"/>
  <c r="AK454" i="1"/>
  <c r="AN415" i="1"/>
  <c r="AK415" i="1"/>
  <c r="AN487" i="1"/>
  <c r="AK487" i="1"/>
  <c r="AN483" i="1"/>
  <c r="AN482" i="1"/>
  <c r="AN480" i="1"/>
  <c r="AN479" i="1"/>
  <c r="AN478" i="1"/>
  <c r="AN476" i="1"/>
  <c r="AN475" i="1"/>
  <c r="AN473" i="1"/>
  <c r="AN472" i="1"/>
  <c r="AK483" i="1"/>
  <c r="AK482" i="1"/>
  <c r="AK480" i="1"/>
  <c r="AK479" i="1"/>
  <c r="AK478" i="1"/>
  <c r="AK476" i="1"/>
  <c r="AK475" i="1"/>
  <c r="AK473" i="1"/>
  <c r="AK472" i="1"/>
  <c r="AH483" i="1"/>
  <c r="AH482" i="1"/>
  <c r="AH480" i="1"/>
  <c r="AH479" i="1"/>
  <c r="AH478" i="1"/>
  <c r="AH476" i="1"/>
  <c r="AH475" i="1"/>
  <c r="AN444" i="1"/>
  <c r="AN443" i="1"/>
  <c r="AN441" i="1"/>
  <c r="AN440" i="1"/>
  <c r="AN439" i="1"/>
  <c r="AN437" i="1"/>
  <c r="AN436" i="1"/>
  <c r="AN434" i="1"/>
  <c r="AN433" i="1"/>
  <c r="AK444" i="1"/>
  <c r="AK443" i="1"/>
  <c r="AK441" i="1"/>
  <c r="AK440" i="1"/>
  <c r="AK439" i="1"/>
  <c r="AK437" i="1"/>
  <c r="AK436" i="1"/>
  <c r="AK434" i="1"/>
  <c r="AK433" i="1"/>
  <c r="AH444" i="1"/>
  <c r="AH443" i="1"/>
  <c r="AH441" i="1"/>
  <c r="AH440" i="1"/>
  <c r="AH439" i="1"/>
  <c r="AH437" i="1"/>
  <c r="AH436" i="1"/>
  <c r="AN430" i="1"/>
  <c r="AN429" i="1"/>
  <c r="AN427" i="1"/>
  <c r="AN426" i="1"/>
  <c r="AN425" i="1"/>
  <c r="AN423" i="1"/>
  <c r="AN422" i="1"/>
  <c r="AN420" i="1"/>
  <c r="AN419" i="1"/>
  <c r="AK430" i="1"/>
  <c r="AK429" i="1"/>
  <c r="AK427" i="1"/>
  <c r="AK426" i="1"/>
  <c r="AK425" i="1"/>
  <c r="AK423" i="1"/>
  <c r="AK422" i="1"/>
  <c r="AK420" i="1"/>
  <c r="AK419" i="1"/>
  <c r="AH430" i="1"/>
  <c r="AH429" i="1"/>
  <c r="AH427" i="1"/>
  <c r="AH426" i="1"/>
  <c r="AH425" i="1"/>
  <c r="AH423" i="1"/>
  <c r="AH422" i="1"/>
  <c r="AN448" i="1"/>
  <c r="AK448" i="1"/>
  <c r="AH448" i="1"/>
  <c r="AN452" i="1"/>
  <c r="AN451" i="1"/>
  <c r="AK452" i="1"/>
  <c r="AK451" i="1"/>
  <c r="AH452" i="1"/>
  <c r="AN409" i="1"/>
  <c r="AK409" i="1"/>
  <c r="AN405" i="1"/>
  <c r="AN404" i="1"/>
  <c r="AN402" i="1"/>
  <c r="AN401" i="1"/>
  <c r="AN400" i="1"/>
  <c r="AN398" i="1"/>
  <c r="AN397" i="1"/>
  <c r="AN395" i="1"/>
  <c r="AN394" i="1"/>
  <c r="AK405" i="1"/>
  <c r="AK404" i="1"/>
  <c r="AK402" i="1"/>
  <c r="AK401" i="1"/>
  <c r="AK400" i="1"/>
  <c r="AK398" i="1"/>
  <c r="AK397" i="1"/>
  <c r="AK395" i="1"/>
  <c r="AK394" i="1"/>
  <c r="AN391" i="1"/>
  <c r="AN390" i="1"/>
  <c r="AK391" i="1"/>
  <c r="AK390" i="1"/>
  <c r="AH400" i="1"/>
  <c r="AH394" i="1"/>
  <c r="AN388" i="1"/>
  <c r="AN387" i="1"/>
  <c r="AN386" i="1"/>
  <c r="AN384" i="1"/>
  <c r="AN383" i="1"/>
  <c r="AN381" i="1"/>
  <c r="AN380" i="1"/>
  <c r="AK388" i="1"/>
  <c r="AK387" i="1"/>
  <c r="AK386" i="1"/>
  <c r="AK384" i="1"/>
  <c r="AK383" i="1"/>
  <c r="AK381" i="1"/>
  <c r="AK380" i="1"/>
  <c r="AH391" i="1"/>
  <c r="AH390" i="1"/>
  <c r="AH388" i="1"/>
  <c r="AH387" i="1"/>
  <c r="AH386" i="1"/>
  <c r="AH384" i="1"/>
  <c r="AH383" i="1"/>
  <c r="AN491" i="1"/>
  <c r="AK491" i="1"/>
  <c r="AH491" i="1"/>
  <c r="AN490" i="1"/>
  <c r="AK490" i="1"/>
  <c r="AH490" i="1"/>
  <c r="AH487" i="1"/>
  <c r="AH473" i="1"/>
  <c r="AH472" i="1"/>
  <c r="AH451" i="1"/>
  <c r="AH434" i="1"/>
  <c r="AH433" i="1"/>
  <c r="AH420" i="1"/>
  <c r="AH419" i="1"/>
  <c r="AN413" i="1"/>
  <c r="AK413" i="1"/>
  <c r="AH413" i="1"/>
  <c r="AN412" i="1"/>
  <c r="AK412" i="1"/>
  <c r="AH412" i="1"/>
  <c r="AH409" i="1"/>
  <c r="AH381" i="1"/>
  <c r="AH380" i="1"/>
  <c r="C95" i="7" l="1"/>
  <c r="J111" i="7" s="1"/>
  <c r="Z1293" i="1"/>
  <c r="Z1303" i="1"/>
  <c r="Z1304" i="1"/>
  <c r="AB1293" i="1"/>
  <c r="AB1303" i="1"/>
  <c r="C83" i="7"/>
  <c r="C85" i="7" s="1"/>
  <c r="C79" i="7"/>
  <c r="C123" i="7" s="1"/>
  <c r="F110" i="7"/>
  <c r="N110" i="7"/>
  <c r="I110" i="7"/>
  <c r="J110" i="7"/>
  <c r="Q110" i="7"/>
  <c r="E110" i="7"/>
  <c r="M110" i="7"/>
  <c r="H68" i="7"/>
  <c r="P111" i="7"/>
  <c r="P112" i="7" s="1"/>
  <c r="D39" i="7"/>
  <c r="G110" i="7"/>
  <c r="K110" i="7"/>
  <c r="O110" i="7"/>
  <c r="D110" i="7"/>
  <c r="H110" i="7"/>
  <c r="L110" i="7"/>
  <c r="D111" i="7" l="1"/>
  <c r="D112" i="7" s="1"/>
  <c r="K111" i="7"/>
  <c r="M111" i="7"/>
  <c r="M112" i="7" s="1"/>
  <c r="O111" i="7"/>
  <c r="O112" i="7" s="1"/>
  <c r="G111" i="7"/>
  <c r="G112" i="7" s="1"/>
  <c r="I111" i="7"/>
  <c r="H111" i="7"/>
  <c r="H112" i="7" s="1"/>
  <c r="N111" i="7"/>
  <c r="N112" i="7" s="1"/>
  <c r="L111" i="7"/>
  <c r="L112" i="7" s="1"/>
  <c r="Q111" i="7"/>
  <c r="F111" i="7"/>
  <c r="F112" i="7" s="1"/>
  <c r="E111" i="7"/>
  <c r="E112" i="7" s="1"/>
  <c r="K68" i="7"/>
  <c r="Q112" i="7"/>
  <c r="I112" i="7"/>
  <c r="J112" i="7"/>
  <c r="K112" i="7"/>
  <c r="D124" i="7"/>
  <c r="D120" i="7"/>
  <c r="D123" i="7"/>
  <c r="N25" i="4" l="1"/>
  <c r="T18" i="4"/>
  <c r="T8" i="4"/>
  <c r="T4" i="4"/>
  <c r="AB2" i="4"/>
  <c r="P39" i="4"/>
  <c r="D70" i="4"/>
  <c r="C70" i="4"/>
  <c r="C69" i="4"/>
  <c r="D69" i="4"/>
  <c r="C68" i="4"/>
  <c r="D68" i="4"/>
  <c r="D67" i="4"/>
  <c r="C67" i="4"/>
  <c r="D63" i="4"/>
  <c r="C63" i="4"/>
  <c r="D62" i="4"/>
  <c r="C62" i="4"/>
  <c r="C59" i="4"/>
  <c r="D59" i="4"/>
  <c r="D58" i="4"/>
  <c r="C58" i="4"/>
  <c r="D54" i="4"/>
  <c r="C54" i="4"/>
  <c r="D53" i="4"/>
  <c r="C53" i="4"/>
  <c r="D52" i="4"/>
  <c r="C52" i="4"/>
  <c r="C49" i="4"/>
  <c r="D49" i="4"/>
  <c r="C48" i="4"/>
  <c r="D48" i="4"/>
  <c r="D47" i="4"/>
  <c r="C47" i="4"/>
  <c r="T9" i="4" l="1"/>
  <c r="AB204" i="1"/>
  <c r="P30" i="4" s="1"/>
  <c r="Y197" i="1"/>
  <c r="V204" i="1"/>
  <c r="V197" i="1"/>
  <c r="AB197" i="1"/>
  <c r="Y195" i="1"/>
  <c r="Y204" i="1"/>
  <c r="V195" i="1"/>
  <c r="AB195" i="1"/>
  <c r="P26" i="4" s="1"/>
  <c r="D44" i="4"/>
  <c r="D41" i="4"/>
  <c r="C41" i="4"/>
  <c r="C40" i="4"/>
  <c r="D40" i="4"/>
  <c r="H40" i="4"/>
  <c r="I40" i="4"/>
  <c r="J40" i="4"/>
  <c r="K40" i="4"/>
  <c r="L40" i="4"/>
  <c r="L35" i="4"/>
  <c r="K35" i="4"/>
  <c r="J35" i="4"/>
  <c r="I35" i="4"/>
  <c r="H35" i="4"/>
  <c r="D35" i="4"/>
  <c r="C35" i="4"/>
  <c r="L34" i="4"/>
  <c r="K34" i="4"/>
  <c r="J34" i="4"/>
  <c r="I34" i="4"/>
  <c r="H34" i="4"/>
  <c r="D34" i="4"/>
  <c r="C34" i="4"/>
  <c r="L33" i="4"/>
  <c r="K33" i="4"/>
  <c r="J33" i="4"/>
  <c r="I33" i="4"/>
  <c r="H33" i="4"/>
  <c r="D33" i="4"/>
  <c r="C33" i="4"/>
  <c r="D32" i="4"/>
  <c r="C32" i="4"/>
  <c r="D31" i="4"/>
  <c r="C31" i="4"/>
  <c r="C28" i="4"/>
  <c r="D28" i="4"/>
  <c r="C25" i="4"/>
  <c r="D25" i="4"/>
  <c r="H24" i="4"/>
  <c r="I24" i="4"/>
  <c r="J24" i="4"/>
  <c r="K24" i="4"/>
  <c r="L24" i="4"/>
  <c r="D20" i="4"/>
  <c r="C20" i="4"/>
  <c r="D19" i="4"/>
  <c r="C19" i="4"/>
  <c r="D16" i="4"/>
  <c r="C16" i="4"/>
  <c r="C14" i="4"/>
  <c r="D14" i="4"/>
  <c r="D13" i="4"/>
  <c r="C13" i="4"/>
  <c r="L11" i="4"/>
  <c r="K11" i="4"/>
  <c r="J11" i="4"/>
  <c r="I11" i="4"/>
  <c r="H11" i="4"/>
  <c r="C11" i="4"/>
  <c r="Q51" i="4"/>
  <c r="R51" i="4"/>
  <c r="S51" i="4"/>
  <c r="T51" i="4"/>
  <c r="U58" i="4"/>
  <c r="V58" i="4"/>
  <c r="W58" i="4"/>
  <c r="X58" i="4"/>
  <c r="Y58" i="4"/>
  <c r="P51" i="4"/>
  <c r="Q38" i="4"/>
  <c r="R38" i="4"/>
  <c r="S38" i="4"/>
  <c r="T38" i="4"/>
  <c r="U38" i="4"/>
  <c r="V38" i="4"/>
  <c r="W38" i="4"/>
  <c r="X38" i="4"/>
  <c r="Y38" i="4"/>
  <c r="P38" i="4"/>
  <c r="Q24" i="4"/>
  <c r="R24" i="4"/>
  <c r="S24" i="4"/>
  <c r="T24" i="4"/>
  <c r="U24" i="4"/>
  <c r="V24" i="4"/>
  <c r="W24" i="4"/>
  <c r="X24" i="4"/>
  <c r="Y24" i="4"/>
  <c r="P24" i="4"/>
  <c r="D46" i="4"/>
  <c r="E46" i="4"/>
  <c r="F46" i="4"/>
  <c r="G46" i="4"/>
  <c r="H46" i="4"/>
  <c r="I46" i="4"/>
  <c r="J46" i="4"/>
  <c r="K46" i="4"/>
  <c r="L46" i="4"/>
  <c r="C46" i="4"/>
  <c r="D22" i="4"/>
  <c r="E22" i="4"/>
  <c r="F22" i="4"/>
  <c r="G22" i="4"/>
  <c r="H22" i="4"/>
  <c r="I22" i="4"/>
  <c r="J22" i="4"/>
  <c r="K22" i="4"/>
  <c r="L22" i="4"/>
  <c r="C22" i="4"/>
  <c r="V199" i="1" l="1"/>
  <c r="V206" i="1"/>
  <c r="Y199" i="1"/>
  <c r="Y206" i="1"/>
  <c r="AB206" i="1"/>
  <c r="P29" i="4" s="1"/>
  <c r="AB199" i="1"/>
  <c r="Y202" i="1" l="1"/>
  <c r="Y200" i="1"/>
  <c r="V202" i="1"/>
  <c r="V200" i="1"/>
  <c r="W1421" i="1"/>
  <c r="W1423" i="1"/>
  <c r="AD1421" i="1"/>
  <c r="AC1421" i="1"/>
  <c r="AB1421" i="1"/>
  <c r="AE1420" i="1"/>
  <c r="AE1417" i="1"/>
  <c r="AF1421" i="1" l="1"/>
  <c r="AG1421" i="1"/>
  <c r="AD1417" i="1"/>
  <c r="AC1417" i="1"/>
  <c r="AE1421" i="1"/>
  <c r="W1418" i="1"/>
  <c r="W1415" i="1" s="1"/>
  <c r="AE1414" i="1"/>
  <c r="AF1417" i="1" l="1"/>
  <c r="AF1427" i="1" s="1"/>
  <c r="AC1427" i="1"/>
  <c r="AG1417" i="1"/>
  <c r="AG1427" i="1" s="1"/>
  <c r="AD1427" i="1"/>
  <c r="AJ1421" i="1"/>
  <c r="AM1421" i="1" s="1"/>
  <c r="AP1421" i="1" s="1"/>
  <c r="AH1421" i="1"/>
  <c r="AI1421" i="1"/>
  <c r="AD1414" i="1"/>
  <c r="AC1414" i="1"/>
  <c r="W1413" i="1"/>
  <c r="AA1415" i="1"/>
  <c r="AE1418" i="1"/>
  <c r="AE1419" i="1" s="1"/>
  <c r="AE1415" i="1"/>
  <c r="AE1416" i="1" s="1"/>
  <c r="W1416" i="1"/>
  <c r="AC1416" i="1" s="1"/>
  <c r="AF1416" i="1" s="1"/>
  <c r="W1419" i="1"/>
  <c r="AB1418" i="1"/>
  <c r="AS1421" i="1" l="1"/>
  <c r="AE1427" i="1"/>
  <c r="AF1414" i="1"/>
  <c r="AF1426" i="1" s="1"/>
  <c r="AC1426" i="1"/>
  <c r="AC1336" i="1" s="1"/>
  <c r="AG1414" i="1"/>
  <c r="AG1426" i="1" s="1"/>
  <c r="AG1336" i="1" s="1"/>
  <c r="AD1426" i="1"/>
  <c r="AD1336" i="1" s="1"/>
  <c r="AD1216" i="1" s="1"/>
  <c r="AH1417" i="1"/>
  <c r="AH1427" i="1"/>
  <c r="AL1421" i="1"/>
  <c r="AK1421" i="1"/>
  <c r="AD1416" i="1"/>
  <c r="AG1416" i="1" s="1"/>
  <c r="AI1416" i="1"/>
  <c r="AJ1416" i="1"/>
  <c r="AF1336" i="1" l="1"/>
  <c r="AF1216" i="1" s="1"/>
  <c r="AG1343" i="1"/>
  <c r="AN1421" i="1"/>
  <c r="AO1421" i="1"/>
  <c r="AH1426" i="1"/>
  <c r="AV1421" i="1"/>
  <c r="AG1415" i="1"/>
  <c r="AG1418" i="1" s="1"/>
  <c r="AG1423" i="1" s="1"/>
  <c r="AC1343" i="1"/>
  <c r="AC1216" i="1"/>
  <c r="AE1216" i="1" s="1"/>
  <c r="AD1243" i="1"/>
  <c r="AD1288" i="1"/>
  <c r="AD1454" i="1"/>
  <c r="AF1415" i="1"/>
  <c r="AF1418" i="1" s="1"/>
  <c r="AG1216" i="1"/>
  <c r="AH1414" i="1"/>
  <c r="AE1336" i="1"/>
  <c r="AE1343" i="1" s="1"/>
  <c r="AD1343" i="1"/>
  <c r="AE1426" i="1"/>
  <c r="AG1419" i="1"/>
  <c r="AH1415" i="1" l="1"/>
  <c r="AH1416" i="1" s="1"/>
  <c r="AH1216" i="1"/>
  <c r="AH1336" i="1"/>
  <c r="AY1421" i="1"/>
  <c r="AQ1421" i="1"/>
  <c r="AR1421" i="1"/>
  <c r="AE1243" i="1"/>
  <c r="AE1288" i="1"/>
  <c r="AE1454" i="1"/>
  <c r="AC1243" i="1"/>
  <c r="AC1454" i="1"/>
  <c r="AC1288" i="1"/>
  <c r="AG1424" i="1"/>
  <c r="AH1418" i="1"/>
  <c r="AH1419" i="1" s="1"/>
  <c r="AF1419" i="1"/>
  <c r="AF1423" i="1"/>
  <c r="AU1421" i="1" l="1"/>
  <c r="AT1421" i="1"/>
  <c r="BB1421" i="1"/>
  <c r="AH1423" i="1"/>
  <c r="AF1424" i="1"/>
  <c r="AN135" i="1"/>
  <c r="AK135" i="1"/>
  <c r="AH135" i="1"/>
  <c r="AI16" i="1" l="1"/>
  <c r="BE1421" i="1"/>
  <c r="AX1421" i="1"/>
  <c r="AW1421" i="1"/>
  <c r="AH1424" i="1"/>
  <c r="AG13" i="1"/>
  <c r="AG60" i="1" s="1"/>
  <c r="AH60" i="1" s="1"/>
  <c r="AH13" i="1"/>
  <c r="AI13" i="1"/>
  <c r="AJ13" i="1"/>
  <c r="AK13" i="1"/>
  <c r="AL13" i="1"/>
  <c r="AM13" i="1"/>
  <c r="AM60" i="1" s="1"/>
  <c r="AN13" i="1"/>
  <c r="AK68" i="1"/>
  <c r="AK67" i="1"/>
  <c r="AH67" i="1"/>
  <c r="AC228" i="1"/>
  <c r="AE228" i="1"/>
  <c r="Q39" i="4" s="1"/>
  <c r="AE220" i="1"/>
  <c r="AE211" i="1"/>
  <c r="AE205" i="1"/>
  <c r="AE196" i="1"/>
  <c r="AG184" i="1"/>
  <c r="AJ184" i="1" s="1"/>
  <c r="AM184" i="1" s="1"/>
  <c r="AP184" i="1" s="1"/>
  <c r="AS184" i="1" s="1"/>
  <c r="AV184" i="1" s="1"/>
  <c r="AY184" i="1" s="1"/>
  <c r="BB184" i="1" s="1"/>
  <c r="BE184" i="1" s="1"/>
  <c r="BH184" i="1" s="1"/>
  <c r="BK184" i="1" s="1"/>
  <c r="BN184" i="1" s="1"/>
  <c r="BQ184" i="1" s="1"/>
  <c r="AH170" i="1"/>
  <c r="AF170" i="1"/>
  <c r="AE193" i="1"/>
  <c r="AC193" i="1"/>
  <c r="AE190" i="1"/>
  <c r="AE185" i="1"/>
  <c r="AE186" i="1" s="1"/>
  <c r="AE183" i="1"/>
  <c r="AC183" i="1"/>
  <c r="AD182" i="1"/>
  <c r="AD180" i="1"/>
  <c r="AD178" i="1"/>
  <c r="AD228" i="1" s="1"/>
  <c r="AD172" i="1"/>
  <c r="AE170" i="1"/>
  <c r="AE171" i="1" s="1"/>
  <c r="AD170" i="1"/>
  <c r="AC170" i="1"/>
  <c r="AC171" i="1" s="1"/>
  <c r="AL60" i="1" l="1"/>
  <c r="AN60" i="1"/>
  <c r="AD193" i="1"/>
  <c r="AL16" i="1"/>
  <c r="BA1421" i="1"/>
  <c r="AZ1421" i="1"/>
  <c r="BH1421" i="1"/>
  <c r="E11" i="4"/>
  <c r="F11" i="4"/>
  <c r="G11" i="4"/>
  <c r="AH184" i="1"/>
  <c r="AE204" i="1"/>
  <c r="Q30" i="4" s="1"/>
  <c r="AI184" i="1"/>
  <c r="AK184" i="1" s="1"/>
  <c r="AD183" i="1"/>
  <c r="AG183" i="1" s="1"/>
  <c r="AJ183" i="1" s="1"/>
  <c r="AM183" i="1" s="1"/>
  <c r="AP183" i="1" s="1"/>
  <c r="AS183" i="1" s="1"/>
  <c r="AV183" i="1" s="1"/>
  <c r="AY183" i="1" s="1"/>
  <c r="BB183" i="1" s="1"/>
  <c r="BE183" i="1" s="1"/>
  <c r="BH183" i="1" s="1"/>
  <c r="BK183" i="1" s="1"/>
  <c r="BN183" i="1" s="1"/>
  <c r="BQ183" i="1" s="1"/>
  <c r="AI183" i="1"/>
  <c r="AE195" i="1"/>
  <c r="Q26" i="4" s="1"/>
  <c r="AE197" i="1"/>
  <c r="AD171" i="1"/>
  <c r="AO16" i="1" l="1"/>
  <c r="BD1421" i="1"/>
  <c r="BC1421" i="1"/>
  <c r="BK1421" i="1"/>
  <c r="AL184" i="1"/>
  <c r="AL183" i="1"/>
  <c r="AO183" i="1" s="1"/>
  <c r="AR183" i="1" s="1"/>
  <c r="AU183" i="1" s="1"/>
  <c r="AX183" i="1" s="1"/>
  <c r="BA183" i="1" s="1"/>
  <c r="BD183" i="1" s="1"/>
  <c r="BG183" i="1" s="1"/>
  <c r="BJ183" i="1" s="1"/>
  <c r="BM183" i="1" s="1"/>
  <c r="BP183" i="1" s="1"/>
  <c r="AR16" i="1" l="1"/>
  <c r="AN184" i="1"/>
  <c r="AO184" i="1"/>
  <c r="BN1421" i="1"/>
  <c r="BF1421" i="1"/>
  <c r="BG1421" i="1"/>
  <c r="AK81" i="1"/>
  <c r="AH81" i="1"/>
  <c r="AK71" i="1"/>
  <c r="G34" i="4" l="1"/>
  <c r="F40" i="4"/>
  <c r="AU16" i="1"/>
  <c r="E40" i="4"/>
  <c r="F34" i="4"/>
  <c r="G40" i="4"/>
  <c r="BQ1421" i="1"/>
  <c r="AQ184" i="1"/>
  <c r="AR184" i="1"/>
  <c r="BJ1421" i="1"/>
  <c r="BI1421" i="1"/>
  <c r="AE143" i="1"/>
  <c r="AE142" i="1"/>
  <c r="AE141" i="1"/>
  <c r="AC141" i="1"/>
  <c r="AC142" i="1"/>
  <c r="AC143" i="1"/>
  <c r="AK84" i="1"/>
  <c r="AH84" i="1"/>
  <c r="AK83" i="1"/>
  <c r="AH83" i="1"/>
  <c r="AK82" i="1"/>
  <c r="AH82" i="1"/>
  <c r="AN138" i="1"/>
  <c r="AK138" i="1"/>
  <c r="AK89" i="1"/>
  <c r="AK90" i="1"/>
  <c r="AH88" i="1"/>
  <c r="AX16" i="1" l="1"/>
  <c r="BM1421" i="1"/>
  <c r="BL1421" i="1"/>
  <c r="AT184" i="1"/>
  <c r="AU184" i="1"/>
  <c r="D43" i="4"/>
  <c r="D39" i="4"/>
  <c r="C43" i="4"/>
  <c r="C39" i="4"/>
  <c r="AE144" i="1"/>
  <c r="AC146" i="1"/>
  <c r="AE145" i="1"/>
  <c r="AE147" i="1" s="1"/>
  <c r="AH146" i="1" s="1"/>
  <c r="AC145" i="1"/>
  <c r="AC144" i="1"/>
  <c r="BA16" i="1" l="1"/>
  <c r="AW184" i="1"/>
  <c r="AX184" i="1"/>
  <c r="BO1421" i="1"/>
  <c r="BP1421" i="1"/>
  <c r="AC147" i="1"/>
  <c r="AD146" i="1" s="1"/>
  <c r="C80" i="7"/>
  <c r="C82" i="7" s="1"/>
  <c r="C122" i="7" s="1"/>
  <c r="D122" i="7" s="1"/>
  <c r="C51" i="7"/>
  <c r="E67" i="7" s="1"/>
  <c r="C42" i="4"/>
  <c r="D42" i="4"/>
  <c r="AE244" i="1"/>
  <c r="Q49" i="4" s="1"/>
  <c r="AC244" i="1"/>
  <c r="AE213" i="1"/>
  <c r="AH213" i="1" s="1"/>
  <c r="AK213" i="1" s="1"/>
  <c r="AN213" i="1" s="1"/>
  <c r="AQ213" i="1" s="1"/>
  <c r="AT213" i="1" s="1"/>
  <c r="AW213" i="1" s="1"/>
  <c r="AZ213" i="1" s="1"/>
  <c r="BC213" i="1" s="1"/>
  <c r="BF213" i="1" s="1"/>
  <c r="BI213" i="1" s="1"/>
  <c r="BL213" i="1" s="1"/>
  <c r="BO213" i="1" s="1"/>
  <c r="BR213" i="1" s="1"/>
  <c r="AE198" i="1"/>
  <c r="AE146" i="1"/>
  <c r="AE148" i="1" s="1"/>
  <c r="AB1167" i="1"/>
  <c r="AB1184" i="1" s="1"/>
  <c r="AC154" i="1"/>
  <c r="AE154" i="1"/>
  <c r="AC153" i="1"/>
  <c r="AE153" i="1"/>
  <c r="AD1472" i="1"/>
  <c r="AD1182" i="1"/>
  <c r="AD621" i="1"/>
  <c r="AC152" i="1"/>
  <c r="AE152" i="1"/>
  <c r="AC151" i="1"/>
  <c r="AE151" i="1"/>
  <c r="AD632" i="1"/>
  <c r="AC139" i="1"/>
  <c r="AE139" i="1"/>
  <c r="AE133" i="1"/>
  <c r="BD16" i="1" l="1"/>
  <c r="AE199" i="1"/>
  <c r="AH198" i="1"/>
  <c r="AK198" i="1" s="1"/>
  <c r="AN198" i="1" s="1"/>
  <c r="AQ198" i="1" s="1"/>
  <c r="AT198" i="1" s="1"/>
  <c r="AW198" i="1" s="1"/>
  <c r="AZ198" i="1" s="1"/>
  <c r="BC198" i="1" s="1"/>
  <c r="BF198" i="1" s="1"/>
  <c r="BI198" i="1" s="1"/>
  <c r="BL198" i="1" s="1"/>
  <c r="BO198" i="1" s="1"/>
  <c r="BR198" i="1" s="1"/>
  <c r="BR1421" i="1"/>
  <c r="AZ184" i="1"/>
  <c r="BA184" i="1"/>
  <c r="AD153" i="1"/>
  <c r="AD152" i="1"/>
  <c r="AD151" i="1"/>
  <c r="AC148" i="1"/>
  <c r="AD133" i="1"/>
  <c r="AB1169" i="1"/>
  <c r="AB1172" i="1"/>
  <c r="H67" i="7"/>
  <c r="AI154" i="1"/>
  <c r="AD154" i="1"/>
  <c r="AE155" i="1"/>
  <c r="AE134" i="1" s="1"/>
  <c r="AE136" i="1" s="1"/>
  <c r="AC155" i="1"/>
  <c r="AC134" i="1" s="1"/>
  <c r="AC136" i="1" s="1"/>
  <c r="AH133" i="1"/>
  <c r="AC133" i="1"/>
  <c r="K67" i="7" l="1"/>
  <c r="BG16" i="1"/>
  <c r="BC184" i="1"/>
  <c r="BD184" i="1"/>
  <c r="AD155" i="1"/>
  <c r="AD134" i="1" s="1"/>
  <c r="AL154" i="1"/>
  <c r="BJ16" i="1" l="1"/>
  <c r="BF184" i="1"/>
  <c r="BG184" i="1"/>
  <c r="AK75" i="1"/>
  <c r="AK73" i="1"/>
  <c r="AK70" i="1"/>
  <c r="AH71" i="1"/>
  <c r="AH73" i="1"/>
  <c r="AH75" i="1"/>
  <c r="AH70" i="1"/>
  <c r="AD136" i="1"/>
  <c r="AD12" i="1"/>
  <c r="C29" i="4"/>
  <c r="C27" i="4"/>
  <c r="AB552" i="1"/>
  <c r="AB551" i="1"/>
  <c r="AB550" i="1"/>
  <c r="AB546" i="1"/>
  <c r="AB545" i="1"/>
  <c r="AB536" i="1"/>
  <c r="AB535" i="1"/>
  <c r="D27" i="4"/>
  <c r="D29" i="4"/>
  <c r="G33" i="4" l="1"/>
  <c r="F33" i="4"/>
  <c r="AD63" i="1"/>
  <c r="E33" i="4"/>
  <c r="BM16" i="1"/>
  <c r="E34" i="4"/>
  <c r="BJ184" i="1"/>
  <c r="BI184" i="1"/>
  <c r="AB541" i="1"/>
  <c r="AB540" i="1"/>
  <c r="D38" i="4"/>
  <c r="D37" i="4"/>
  <c r="D36" i="4" s="1"/>
  <c r="C38" i="4"/>
  <c r="C37" i="4"/>
  <c r="C36" i="4" s="1"/>
  <c r="AB538" i="1"/>
  <c r="AB276" i="1" s="1"/>
  <c r="AB555" i="1"/>
  <c r="AB553" i="1"/>
  <c r="AB10" i="1" s="1"/>
  <c r="AB556" i="1"/>
  <c r="BP16" i="1" l="1"/>
  <c r="BL184" i="1"/>
  <c r="BM184" i="1"/>
  <c r="AB336" i="1"/>
  <c r="P53" i="4"/>
  <c r="AB565" i="1"/>
  <c r="AB566" i="1" s="1"/>
  <c r="AB560" i="1"/>
  <c r="P54" i="4"/>
  <c r="AB561" i="1"/>
  <c r="AB567" i="1"/>
  <c r="AB568" i="1" s="1"/>
  <c r="AB8" i="1"/>
  <c r="AB543" i="1"/>
  <c r="AB240" i="1"/>
  <c r="P45" i="4" s="1"/>
  <c r="AB137" i="1"/>
  <c r="AB138" i="1" s="1"/>
  <c r="C8" i="4"/>
  <c r="AE222" i="1"/>
  <c r="AE207" i="1"/>
  <c r="AE206" i="1" s="1"/>
  <c r="Q29" i="4" s="1"/>
  <c r="C24" i="4"/>
  <c r="D24" i="4"/>
  <c r="AB115" i="1"/>
  <c r="AC109" i="1"/>
  <c r="AD107" i="1"/>
  <c r="C26" i="4"/>
  <c r="AE125" i="1"/>
  <c r="AC125" i="1"/>
  <c r="AE123" i="1"/>
  <c r="AE122" i="1"/>
  <c r="AE121" i="1"/>
  <c r="AC123" i="1"/>
  <c r="AC122" i="1"/>
  <c r="AC121" i="1"/>
  <c r="AI109" i="1"/>
  <c r="AG109" i="1"/>
  <c r="AF109" i="1"/>
  <c r="AE115" i="1"/>
  <c r="AB108" i="1"/>
  <c r="AE108" i="1"/>
  <c r="AD108" i="1" s="1"/>
  <c r="AD18" i="1"/>
  <c r="AD16" i="1"/>
  <c r="AD15" i="1"/>
  <c r="AE98" i="1"/>
  <c r="AC98" i="1"/>
  <c r="AD101" i="1"/>
  <c r="AD100" i="1"/>
  <c r="AE102" i="1"/>
  <c r="AE104" i="1" s="1"/>
  <c r="AC102" i="1"/>
  <c r="AC104" i="1" s="1"/>
  <c r="AG16" i="1" l="1"/>
  <c r="BO184" i="1"/>
  <c r="BP184" i="1"/>
  <c r="BR184" i="1" s="1"/>
  <c r="AB119" i="1"/>
  <c r="C4" i="4"/>
  <c r="C5" i="4" s="1"/>
  <c r="AB118" i="1"/>
  <c r="AB126" i="1"/>
  <c r="P46" i="4" s="1"/>
  <c r="AB129" i="1"/>
  <c r="AB130" i="1"/>
  <c r="AB241" i="1"/>
  <c r="P43" i="4" s="1"/>
  <c r="AB120" i="1"/>
  <c r="AB114" i="1"/>
  <c r="AB107" i="1"/>
  <c r="AB113" i="1" s="1"/>
  <c r="AA108" i="1"/>
  <c r="AD109" i="1"/>
  <c r="AC115" i="1"/>
  <c r="AD115" i="1" s="1"/>
  <c r="AC110" i="1"/>
  <c r="AC13" i="1"/>
  <c r="AC99" i="1"/>
  <c r="AO99" i="1" s="1"/>
  <c r="AE13" i="1"/>
  <c r="AE99" i="1"/>
  <c r="AJ16" i="1"/>
  <c r="AG37" i="1"/>
  <c r="AH109" i="1"/>
  <c r="AK109" i="1"/>
  <c r="AE124" i="1"/>
  <c r="AC124" i="1"/>
  <c r="AC62" i="1" s="1"/>
  <c r="AJ109" i="1"/>
  <c r="AI98" i="1"/>
  <c r="AD102" i="1"/>
  <c r="AD104" i="1" s="1"/>
  <c r="AR99" i="1" l="1"/>
  <c r="AG55" i="1"/>
  <c r="AH55" i="1" s="1"/>
  <c r="AH16" i="1"/>
  <c r="AC111" i="1"/>
  <c r="AC114" i="1" s="1"/>
  <c r="AC113" i="1"/>
  <c r="AD110" i="1"/>
  <c r="AA114" i="1"/>
  <c r="AA107" i="1"/>
  <c r="AA113" i="1" s="1"/>
  <c r="D11" i="4"/>
  <c r="AE62" i="1"/>
  <c r="E14" i="4"/>
  <c r="AM16" i="1"/>
  <c r="AK16" i="1"/>
  <c r="AH37" i="1"/>
  <c r="AG141" i="1"/>
  <c r="AL98" i="1"/>
  <c r="AO98" i="1" s="1"/>
  <c r="AR98" i="1" s="1"/>
  <c r="AU98" i="1" s="1"/>
  <c r="AX98" i="1" s="1"/>
  <c r="BA98" i="1" s="1"/>
  <c r="BD98" i="1" s="1"/>
  <c r="BG98" i="1" s="1"/>
  <c r="BJ98" i="1" s="1"/>
  <c r="BM98" i="1" s="1"/>
  <c r="BP98" i="1" s="1"/>
  <c r="AD13" i="1"/>
  <c r="AU99" i="1" l="1"/>
  <c r="E70" i="4"/>
  <c r="AI55" i="1"/>
  <c r="E59" i="4"/>
  <c r="AJ55" i="1"/>
  <c r="D26" i="4"/>
  <c r="AN16" i="1"/>
  <c r="AP16" i="1"/>
  <c r="AD113" i="1"/>
  <c r="AE113" i="1" s="1"/>
  <c r="AD111" i="1"/>
  <c r="AD114" i="1" s="1"/>
  <c r="AE114" i="1" s="1"/>
  <c r="F14" i="4"/>
  <c r="AI37" i="1"/>
  <c r="AH141" i="1"/>
  <c r="AX99" i="1" l="1"/>
  <c r="G14" i="4"/>
  <c r="AK55" i="1"/>
  <c r="AS16" i="1"/>
  <c r="AQ16" i="1"/>
  <c r="AJ37" i="1"/>
  <c r="AI141" i="1"/>
  <c r="BA99" i="1" l="1"/>
  <c r="AL55" i="1"/>
  <c r="F70" i="4"/>
  <c r="H14" i="4"/>
  <c r="AV16" i="1"/>
  <c r="AT16" i="1"/>
  <c r="AK37" i="1"/>
  <c r="AJ141" i="1"/>
  <c r="BD99" i="1" l="1"/>
  <c r="AM55" i="1"/>
  <c r="F59" i="4"/>
  <c r="I14" i="4"/>
  <c r="AW16" i="1"/>
  <c r="AY16" i="1"/>
  <c r="AL37" i="1"/>
  <c r="AK141" i="1"/>
  <c r="BG99" i="1" l="1"/>
  <c r="AN55" i="1"/>
  <c r="BB16" i="1"/>
  <c r="AZ16" i="1"/>
  <c r="J14" i="4"/>
  <c r="AM37" i="1"/>
  <c r="AL141" i="1"/>
  <c r="BJ99" i="1" l="1"/>
  <c r="AO55" i="1"/>
  <c r="G70" i="4"/>
  <c r="K14" i="4"/>
  <c r="BE16" i="1"/>
  <c r="BC16" i="1"/>
  <c r="AN37" i="1"/>
  <c r="AM141" i="1"/>
  <c r="BM99" i="1" l="1"/>
  <c r="AP55" i="1"/>
  <c r="AO37" i="1"/>
  <c r="L14" i="4"/>
  <c r="BH16" i="1"/>
  <c r="BF16" i="1"/>
  <c r="AN141" i="1"/>
  <c r="G59" i="4"/>
  <c r="AL552" i="1"/>
  <c r="AI552" i="1"/>
  <c r="AE552" i="1"/>
  <c r="AC552" i="1"/>
  <c r="AC1459" i="1"/>
  <c r="AE1459" i="1"/>
  <c r="AB1459" i="1"/>
  <c r="AC1460" i="1"/>
  <c r="AE1460" i="1"/>
  <c r="AB1460" i="1"/>
  <c r="AD1462" i="1"/>
  <c r="AE535" i="1"/>
  <c r="AE550" i="1"/>
  <c r="AC550" i="1"/>
  <c r="AE545" i="1"/>
  <c r="AC545" i="1"/>
  <c r="AC535" i="1"/>
  <c r="AD611" i="1"/>
  <c r="AD629" i="1"/>
  <c r="AD1175" i="1"/>
  <c r="BP99" i="1" l="1"/>
  <c r="AG24" i="1"/>
  <c r="AH31" i="1"/>
  <c r="AG39" i="1"/>
  <c r="AH39" i="1" s="1"/>
  <c r="AG46" i="1"/>
  <c r="AG25" i="1"/>
  <c r="AG32" i="1"/>
  <c r="AO141" i="1"/>
  <c r="AH33" i="1"/>
  <c r="AG43" i="1"/>
  <c r="AG52" i="1"/>
  <c r="AP37" i="1"/>
  <c r="AQ55" i="1"/>
  <c r="AG30" i="1"/>
  <c r="AG38" i="1"/>
  <c r="AG47" i="1"/>
  <c r="BK16" i="1"/>
  <c r="BI16" i="1"/>
  <c r="AC540" i="1"/>
  <c r="AG1462" i="1"/>
  <c r="AD1473" i="1"/>
  <c r="AE540" i="1"/>
  <c r="AF65" i="1"/>
  <c r="AD552" i="1"/>
  <c r="AC1461" i="1"/>
  <c r="AC547" i="1" s="1"/>
  <c r="AC557" i="1" s="1"/>
  <c r="AE555" i="1"/>
  <c r="AB1461" i="1"/>
  <c r="AB547" i="1" s="1"/>
  <c r="AB548" i="1" s="1"/>
  <c r="AE1461" i="1"/>
  <c r="AE547" i="1" s="1"/>
  <c r="AG28" i="1"/>
  <c r="AH52" i="1"/>
  <c r="AH43" i="1"/>
  <c r="AC555" i="1"/>
  <c r="AH1466" i="1"/>
  <c r="AK1466" i="1"/>
  <c r="AN1466" i="1"/>
  <c r="AE1471" i="1"/>
  <c r="AB1471" i="1"/>
  <c r="AD1463" i="1"/>
  <c r="AD1464" i="1" s="1"/>
  <c r="AF1460" i="1"/>
  <c r="AD614" i="1"/>
  <c r="AD616" i="1"/>
  <c r="AD612" i="1"/>
  <c r="AE608" i="1"/>
  <c r="AB608" i="1"/>
  <c r="AD1176" i="1"/>
  <c r="AD1177" i="1"/>
  <c r="AD1178" i="1"/>
  <c r="AE1179" i="1"/>
  <c r="AC1179" i="1"/>
  <c r="AB1179" i="1"/>
  <c r="AA1179" i="1" s="1"/>
  <c r="AE624" i="1"/>
  <c r="AC624" i="1"/>
  <c r="AN685" i="1"/>
  <c r="AK685" i="1"/>
  <c r="AH685" i="1"/>
  <c r="AN682" i="1"/>
  <c r="AN316" i="1"/>
  <c r="AK316" i="1"/>
  <c r="AH316" i="1"/>
  <c r="AM315" i="1"/>
  <c r="AM664" i="1" s="1"/>
  <c r="AL315" i="1"/>
  <c r="AL664" i="1" s="1"/>
  <c r="AJ315" i="1"/>
  <c r="AJ664" i="1" s="1"/>
  <c r="AI315" i="1"/>
  <c r="AI664" i="1" s="1"/>
  <c r="AG315" i="1"/>
  <c r="AG664" i="1" s="1"/>
  <c r="AF315" i="1"/>
  <c r="AA1191" i="1"/>
  <c r="AA1192" i="1" s="1"/>
  <c r="AD1191" i="1"/>
  <c r="AN367" i="1"/>
  <c r="AM366" i="1"/>
  <c r="AL366" i="1"/>
  <c r="AK367" i="1"/>
  <c r="AJ366" i="1"/>
  <c r="AI366" i="1"/>
  <c r="AH368" i="1"/>
  <c r="AH367" i="1"/>
  <c r="AG366" i="1"/>
  <c r="AF366" i="1"/>
  <c r="AN365" i="1"/>
  <c r="AN361" i="1"/>
  <c r="AN358" i="1"/>
  <c r="AK365" i="1"/>
  <c r="AK361" i="1"/>
  <c r="AK358" i="1"/>
  <c r="AC1240" i="1"/>
  <c r="AC1282" i="1" s="1"/>
  <c r="AD1240" i="1"/>
  <c r="AE1170" i="1"/>
  <c r="AE1183" i="1" s="1"/>
  <c r="AC1170" i="1"/>
  <c r="AC1183" i="1" s="1"/>
  <c r="AE1168" i="1"/>
  <c r="AD1289" i="1"/>
  <c r="AA1289" i="1"/>
  <c r="AD1291" i="1"/>
  <c r="AA1291" i="1"/>
  <c r="AA1170" i="1" s="1"/>
  <c r="AA1183" i="1" s="1"/>
  <c r="AH365" i="1"/>
  <c r="AH361" i="1"/>
  <c r="AH358" i="1"/>
  <c r="AN350" i="1"/>
  <c r="AK350" i="1"/>
  <c r="AH350" i="1"/>
  <c r="AN346" i="1"/>
  <c r="AK346" i="1"/>
  <c r="AH346" i="1"/>
  <c r="AN343" i="1"/>
  <c r="AK343" i="1"/>
  <c r="AH343" i="1"/>
  <c r="AF560" i="1" l="1"/>
  <c r="AC562" i="1"/>
  <c r="AH24" i="1"/>
  <c r="AJ30" i="1"/>
  <c r="AH47" i="1"/>
  <c r="AJ24" i="1"/>
  <c r="AH30" i="1"/>
  <c r="AI30" i="1" s="1"/>
  <c r="AJ47" i="1"/>
  <c r="AH45" i="1"/>
  <c r="AJ45" i="1"/>
  <c r="AM45" i="1" s="1"/>
  <c r="AH38" i="1"/>
  <c r="AJ32" i="1"/>
  <c r="AH46" i="1"/>
  <c r="AI33" i="1"/>
  <c r="AI47" i="1"/>
  <c r="AH28" i="1"/>
  <c r="AD1197" i="1"/>
  <c r="AD1192" i="1"/>
  <c r="AD1198" i="1" s="1"/>
  <c r="AJ38" i="1"/>
  <c r="AJ46" i="1"/>
  <c r="AQ37" i="1"/>
  <c r="AJ52" i="1"/>
  <c r="AJ33" i="1"/>
  <c r="H70" i="4"/>
  <c r="AR55" i="1"/>
  <c r="AJ31" i="1"/>
  <c r="AH32" i="1"/>
  <c r="AJ43" i="1"/>
  <c r="AP141" i="1"/>
  <c r="AH25" i="1"/>
  <c r="AJ39" i="1"/>
  <c r="BL16" i="1"/>
  <c r="BN16" i="1"/>
  <c r="AF664" i="1"/>
  <c r="AF640" i="1"/>
  <c r="AE1319" i="1"/>
  <c r="AE1327" i="1" s="1"/>
  <c r="AD1168" i="1"/>
  <c r="AD546" i="1" s="1"/>
  <c r="AA1168" i="1"/>
  <c r="AA1171" i="1" s="1"/>
  <c r="AA1290" i="1"/>
  <c r="AG648" i="1"/>
  <c r="AC1285" i="1"/>
  <c r="AF1296" i="1" s="1"/>
  <c r="AJ1462" i="1"/>
  <c r="AG1472" i="1"/>
  <c r="AG1272" i="1"/>
  <c r="AF1272" i="1"/>
  <c r="AD1170" i="1"/>
  <c r="AD1285" i="1"/>
  <c r="AG1296" i="1" s="1"/>
  <c r="AD1282" i="1"/>
  <c r="AJ1264" i="1"/>
  <c r="AJ1272" i="1"/>
  <c r="AM1264" i="1"/>
  <c r="AM1272" i="1"/>
  <c r="AI1272" i="1"/>
  <c r="AI1264" i="1"/>
  <c r="AL1272" i="1"/>
  <c r="AL1264" i="1"/>
  <c r="AJ1256" i="1"/>
  <c r="AG1256" i="1"/>
  <c r="AG1264" i="1"/>
  <c r="AM1256" i="1"/>
  <c r="AI1256" i="1"/>
  <c r="AL1256" i="1"/>
  <c r="AD1241" i="1"/>
  <c r="AC1241" i="1"/>
  <c r="AJ1221" i="1"/>
  <c r="AJ1228" i="1"/>
  <c r="AM1221" i="1"/>
  <c r="AM1228" i="1"/>
  <c r="AI1221" i="1"/>
  <c r="AI1228" i="1"/>
  <c r="AL1221" i="1"/>
  <c r="AL1228" i="1"/>
  <c r="AJ1236" i="1"/>
  <c r="AM1236" i="1"/>
  <c r="AI1236" i="1"/>
  <c r="AL1236" i="1"/>
  <c r="AJ1214" i="1"/>
  <c r="AM1214" i="1"/>
  <c r="AI1214" i="1"/>
  <c r="AL1214" i="1"/>
  <c r="AD618" i="1"/>
  <c r="AM656" i="1"/>
  <c r="AI656" i="1"/>
  <c r="AJ656" i="1"/>
  <c r="AL656" i="1"/>
  <c r="AL640" i="1"/>
  <c r="AL648" i="1"/>
  <c r="AI640" i="1"/>
  <c r="AI648" i="1"/>
  <c r="AM640" i="1"/>
  <c r="AM648" i="1"/>
  <c r="AJ640" i="1"/>
  <c r="AJ648" i="1"/>
  <c r="AE560" i="1"/>
  <c r="AE565" i="1"/>
  <c r="AE566" i="1" s="1"/>
  <c r="AC565" i="1"/>
  <c r="AC560" i="1"/>
  <c r="AE546" i="1"/>
  <c r="AE548" i="1" s="1"/>
  <c r="AE9" i="1" s="1"/>
  <c r="Q53" i="4"/>
  <c r="AE557" i="1"/>
  <c r="AF1221" i="1"/>
  <c r="AF1264" i="1"/>
  <c r="AF1256" i="1"/>
  <c r="AF1228" i="1"/>
  <c r="AF1214" i="1"/>
  <c r="AF1236" i="1"/>
  <c r="AG1228" i="1"/>
  <c r="AG1214" i="1"/>
  <c r="AG1236" i="1"/>
  <c r="AG1221" i="1"/>
  <c r="AF656" i="1"/>
  <c r="AG656" i="1"/>
  <c r="AG640" i="1"/>
  <c r="AF648" i="1"/>
  <c r="AA551" i="1"/>
  <c r="AA553" i="1" s="1"/>
  <c r="AA10" i="1" s="1"/>
  <c r="AA1292" i="1"/>
  <c r="AI31" i="1"/>
  <c r="E53" i="4"/>
  <c r="AI52" i="1"/>
  <c r="E68" i="4"/>
  <c r="AJ40" i="1"/>
  <c r="AE551" i="1"/>
  <c r="AH1462" i="1"/>
  <c r="AG552" i="1"/>
  <c r="AH552" i="1" s="1"/>
  <c r="AC551" i="1"/>
  <c r="AC553" i="1" s="1"/>
  <c r="AC10" i="1" s="1"/>
  <c r="AH40" i="1"/>
  <c r="AB557" i="1"/>
  <c r="AB562" i="1" s="1"/>
  <c r="AB9" i="1"/>
  <c r="AI39" i="1"/>
  <c r="AD1179" i="1"/>
  <c r="AI43" i="1"/>
  <c r="AD1459" i="1"/>
  <c r="AJ28" i="1"/>
  <c r="AI24" i="1"/>
  <c r="AK47" i="1"/>
  <c r="AM47" i="1"/>
  <c r="AM30" i="1"/>
  <c r="AK30" i="1"/>
  <c r="AK24" i="1"/>
  <c r="AD1467" i="1"/>
  <c r="AG1467" i="1" s="1"/>
  <c r="AJ1467" i="1" s="1"/>
  <c r="AC1471" i="1"/>
  <c r="AN315" i="1"/>
  <c r="AK315" i="1"/>
  <c r="AH315" i="1"/>
  <c r="AH366" i="1"/>
  <c r="AK366" i="1"/>
  <c r="AN366" i="1"/>
  <c r="AE1240" i="1"/>
  <c r="AE1171" i="1"/>
  <c r="AC1168" i="1"/>
  <c r="Y1381" i="1"/>
  <c r="AG679" i="1" l="1"/>
  <c r="AG690" i="1" s="1"/>
  <c r="AG691" i="1" s="1"/>
  <c r="AK45" i="1"/>
  <c r="AN45" i="1" s="1"/>
  <c r="E63" i="4"/>
  <c r="AC566" i="1"/>
  <c r="AF566" i="1"/>
  <c r="AF679" i="1"/>
  <c r="AI45" i="1"/>
  <c r="AM24" i="1"/>
  <c r="AI38" i="1"/>
  <c r="AI28" i="1"/>
  <c r="H59" i="4"/>
  <c r="AK38" i="1"/>
  <c r="AQ141" i="1"/>
  <c r="AK43" i="1"/>
  <c r="AM43" i="1"/>
  <c r="AP43" i="1" s="1"/>
  <c r="AI25" i="1"/>
  <c r="AM52" i="1"/>
  <c r="AK52" i="1"/>
  <c r="AP24" i="1"/>
  <c r="AM31" i="1"/>
  <c r="AK31" i="1"/>
  <c r="AI46" i="1"/>
  <c r="AM38" i="1"/>
  <c r="AK46" i="1"/>
  <c r="AP45" i="1"/>
  <c r="AR37" i="1"/>
  <c r="AK39" i="1"/>
  <c r="AM39" i="1"/>
  <c r="AS55" i="1"/>
  <c r="AK33" i="1"/>
  <c r="AM33" i="1"/>
  <c r="AP47" i="1"/>
  <c r="AK40" i="1"/>
  <c r="AP30" i="1"/>
  <c r="AM46" i="1"/>
  <c r="AI40" i="1"/>
  <c r="AF1295" i="1"/>
  <c r="AI32" i="1"/>
  <c r="AK32" i="1"/>
  <c r="AM32" i="1"/>
  <c r="AA546" i="1"/>
  <c r="AA556" i="1" s="1"/>
  <c r="AG1295" i="1"/>
  <c r="AA1169" i="1"/>
  <c r="AD1290" i="1"/>
  <c r="AI1297" i="1"/>
  <c r="AD1171" i="1"/>
  <c r="BH1329" i="1"/>
  <c r="BD1329" i="1"/>
  <c r="BB1329" i="1"/>
  <c r="BN1329" i="1"/>
  <c r="BJ1329" i="1"/>
  <c r="BE1329" i="1"/>
  <c r="AY1329" i="1"/>
  <c r="AR1329" i="1"/>
  <c r="AX1329" i="1"/>
  <c r="BG1329" i="1"/>
  <c r="BA1329" i="1"/>
  <c r="AV1329" i="1"/>
  <c r="AS1329" i="1"/>
  <c r="BP1329" i="1"/>
  <c r="AU1329" i="1"/>
  <c r="BQ1329" i="1"/>
  <c r="BQ1333" i="1" s="1"/>
  <c r="BM1329" i="1"/>
  <c r="BK1329" i="1"/>
  <c r="BQ16" i="1"/>
  <c r="BO16" i="1"/>
  <c r="BQ1321" i="1"/>
  <c r="BN1321" i="1"/>
  <c r="BJ1321" i="1"/>
  <c r="AU1321" i="1"/>
  <c r="AS1321" i="1"/>
  <c r="BP1321" i="1"/>
  <c r="BH1321" i="1"/>
  <c r="BA1321" i="1"/>
  <c r="BB1321" i="1"/>
  <c r="AY1321" i="1"/>
  <c r="BG1321" i="1"/>
  <c r="BE1321" i="1"/>
  <c r="AX1321" i="1"/>
  <c r="AV1321" i="1"/>
  <c r="AR1321" i="1"/>
  <c r="BM1321" i="1"/>
  <c r="BD1321" i="1"/>
  <c r="BK1321" i="1"/>
  <c r="AC1290" i="1"/>
  <c r="AO1321" i="1"/>
  <c r="AI1321" i="1"/>
  <c r="AM1321" i="1"/>
  <c r="AG1321" i="1"/>
  <c r="AG1325" i="1" s="1"/>
  <c r="AL1321" i="1"/>
  <c r="AF1321" i="1"/>
  <c r="AP1321" i="1"/>
  <c r="AJ1321" i="1"/>
  <c r="AG1297" i="1"/>
  <c r="AE553" i="1"/>
  <c r="AE10" i="1" s="1"/>
  <c r="AC337" i="1"/>
  <c r="AE1282" i="1"/>
  <c r="AD337" i="1"/>
  <c r="AD338" i="1"/>
  <c r="AC1286" i="1"/>
  <c r="AC338" i="1"/>
  <c r="AH1472" i="1"/>
  <c r="AG154" i="1"/>
  <c r="AJ1472" i="1"/>
  <c r="AM1462" i="1"/>
  <c r="AP1462" i="1" s="1"/>
  <c r="AK1462" i="1"/>
  <c r="AM1467" i="1"/>
  <c r="AK1467" i="1"/>
  <c r="AD1468" i="1"/>
  <c r="AD551" i="1"/>
  <c r="AD556" i="1" s="1"/>
  <c r="AD1183" i="1"/>
  <c r="AA1293" i="1"/>
  <c r="AA1303" i="1"/>
  <c r="AE1285" i="1"/>
  <c r="AE1290" i="1" s="1"/>
  <c r="AD1286" i="1"/>
  <c r="AD1287" i="1" s="1"/>
  <c r="AD1453" i="1" s="1"/>
  <c r="AD1455" i="1" s="1"/>
  <c r="AD1456" i="1" s="1"/>
  <c r="AE1241" i="1"/>
  <c r="AE1242" i="1" s="1"/>
  <c r="AE1452" i="1" s="1"/>
  <c r="AE579" i="1" s="1"/>
  <c r="AE562" i="1"/>
  <c r="AK498" i="1"/>
  <c r="Q55" i="4"/>
  <c r="AD1471" i="1"/>
  <c r="AB203" i="1"/>
  <c r="AB202" i="1" s="1"/>
  <c r="P28" i="4" s="1"/>
  <c r="AB218" i="1"/>
  <c r="D6" i="4"/>
  <c r="AE59" i="1"/>
  <c r="AA137" i="1"/>
  <c r="AA138" i="1" s="1"/>
  <c r="AA240" i="1"/>
  <c r="C6" i="4"/>
  <c r="C7" i="4" s="1"/>
  <c r="AB248" i="1"/>
  <c r="AB225" i="1"/>
  <c r="AB11" i="1"/>
  <c r="AB59" i="1"/>
  <c r="AB247" i="1"/>
  <c r="P48" i="4" s="1"/>
  <c r="AA1172" i="1"/>
  <c r="AA1174" i="1"/>
  <c r="AB558" i="1"/>
  <c r="P55" i="4"/>
  <c r="AE248" i="1"/>
  <c r="AE247" i="1"/>
  <c r="Q48" i="4" s="1"/>
  <c r="AC137" i="1"/>
  <c r="AC138" i="1" s="1"/>
  <c r="AC240" i="1"/>
  <c r="AE218" i="1"/>
  <c r="AE203" i="1"/>
  <c r="AE202" i="1" s="1"/>
  <c r="Q28" i="4" s="1"/>
  <c r="AM40" i="1"/>
  <c r="AE556" i="1"/>
  <c r="AJ552" i="1"/>
  <c r="AK552" i="1" s="1"/>
  <c r="AH65" i="1"/>
  <c r="AL1460" i="1"/>
  <c r="AI1460" i="1"/>
  <c r="AM28" i="1"/>
  <c r="AK28" i="1"/>
  <c r="AD1460" i="1"/>
  <c r="AD1461" i="1" s="1"/>
  <c r="AD547" i="1" s="1"/>
  <c r="AD557" i="1" s="1"/>
  <c r="AD562" i="1" s="1"/>
  <c r="AL24" i="1"/>
  <c r="AN24" i="1"/>
  <c r="AL47" i="1"/>
  <c r="AN47" i="1"/>
  <c r="AN43" i="1"/>
  <c r="AL43" i="1"/>
  <c r="AN30" i="1"/>
  <c r="AL30" i="1"/>
  <c r="AC1171" i="1"/>
  <c r="AC546" i="1"/>
  <c r="AF678" i="1" l="1"/>
  <c r="AF690" i="1"/>
  <c r="AF691" i="1" s="1"/>
  <c r="AG678" i="1"/>
  <c r="AO45" i="1"/>
  <c r="F63" i="4"/>
  <c r="AL45" i="1"/>
  <c r="G63" i="4"/>
  <c r="AQ45" i="1"/>
  <c r="AN38" i="1"/>
  <c r="AL38" i="1"/>
  <c r="AJ65" i="1"/>
  <c r="AN40" i="1"/>
  <c r="AQ40" i="1" s="1"/>
  <c r="AA548" i="1"/>
  <c r="AA9" i="1" s="1"/>
  <c r="AL46" i="1"/>
  <c r="AI65" i="1"/>
  <c r="BK1333" i="1"/>
  <c r="AK65" i="1"/>
  <c r="AL40" i="1"/>
  <c r="AN46" i="1"/>
  <c r="AP33" i="1"/>
  <c r="AP31" i="1"/>
  <c r="F68" i="4"/>
  <c r="AN52" i="1"/>
  <c r="AL52" i="1"/>
  <c r="AS37" i="1"/>
  <c r="AS43" i="1"/>
  <c r="AS47" i="1"/>
  <c r="F53" i="4"/>
  <c r="AN31" i="1"/>
  <c r="AL31" i="1"/>
  <c r="AS24" i="1"/>
  <c r="AT55" i="1"/>
  <c r="AP38" i="1"/>
  <c r="AJ25" i="1"/>
  <c r="AP28" i="1"/>
  <c r="E29" i="4"/>
  <c r="AP40" i="1"/>
  <c r="BR16" i="1"/>
  <c r="AP32" i="1"/>
  <c r="AP46" i="1"/>
  <c r="AS30" i="1"/>
  <c r="AL33" i="1"/>
  <c r="AN33" i="1"/>
  <c r="AP39" i="1"/>
  <c r="AP52" i="1"/>
  <c r="D8" i="4"/>
  <c r="AR141" i="1"/>
  <c r="AN32" i="1"/>
  <c r="AL32" i="1"/>
  <c r="AN39" i="1"/>
  <c r="AL39" i="1"/>
  <c r="AS45" i="1"/>
  <c r="BE1333" i="1"/>
  <c r="AU1325" i="1"/>
  <c r="AQ38" i="1"/>
  <c r="AO38" i="1"/>
  <c r="AO47" i="1"/>
  <c r="AQ47" i="1"/>
  <c r="AQ24" i="1"/>
  <c r="AO24" i="1"/>
  <c r="AN1467" i="1"/>
  <c r="AN1468" i="1" s="1"/>
  <c r="AP1467" i="1"/>
  <c r="BL1321" i="1"/>
  <c r="BL1322" i="1" s="1"/>
  <c r="BK1325" i="1"/>
  <c r="AW1321" i="1"/>
  <c r="AW1322" i="1" s="1"/>
  <c r="AV1325" i="1"/>
  <c r="AY1325" i="1"/>
  <c r="BP1325" i="1"/>
  <c r="BR1321" i="1"/>
  <c r="BR1322" i="1" s="1"/>
  <c r="BN1325" i="1"/>
  <c r="BP1333" i="1"/>
  <c r="BR1333" i="1" s="1"/>
  <c r="BR1329" i="1"/>
  <c r="BR1330" i="1" s="1"/>
  <c r="BG1333" i="1"/>
  <c r="BI1329" i="1"/>
  <c r="BI1330" i="1" s="1"/>
  <c r="BD1333" i="1"/>
  <c r="BF1329" i="1"/>
  <c r="BF1330" i="1" s="1"/>
  <c r="AQ30" i="1"/>
  <c r="AO30" i="1"/>
  <c r="BD1325" i="1"/>
  <c r="BF1321" i="1"/>
  <c r="BF1322" i="1" s="1"/>
  <c r="AX1325" i="1"/>
  <c r="AZ1321" i="1"/>
  <c r="AZ1322" i="1" s="1"/>
  <c r="BC1321" i="1"/>
  <c r="BC1322" i="1" s="1"/>
  <c r="BB1325" i="1"/>
  <c r="AS1325" i="1"/>
  <c r="BQ1325" i="1"/>
  <c r="BM1333" i="1"/>
  <c r="BO1329" i="1"/>
  <c r="BO1330" i="1" s="1"/>
  <c r="AX1333" i="1"/>
  <c r="AZ1329" i="1"/>
  <c r="AZ1330" i="1" s="1"/>
  <c r="BL1329" i="1"/>
  <c r="BL1330" i="1" s="1"/>
  <c r="BJ1333" i="1"/>
  <c r="BL1333" i="1" s="1"/>
  <c r="BH1333" i="1"/>
  <c r="AP1472" i="1"/>
  <c r="AS1462" i="1"/>
  <c r="AP552" i="1"/>
  <c r="AQ552" i="1" s="1"/>
  <c r="AQ1462" i="1"/>
  <c r="BM1325" i="1"/>
  <c r="BO1321" i="1"/>
  <c r="BO1322" i="1" s="1"/>
  <c r="BE1325" i="1"/>
  <c r="BA1325" i="1"/>
  <c r="AV1333" i="1"/>
  <c r="AT1329" i="1"/>
  <c r="AT1330" i="1" s="1"/>
  <c r="BN1333" i="1"/>
  <c r="AQ43" i="1"/>
  <c r="AO43" i="1"/>
  <c r="AT1321" i="1"/>
  <c r="AT1322" i="1" s="1"/>
  <c r="AR1325" i="1"/>
  <c r="BG1325" i="1"/>
  <c r="BI1321" i="1"/>
  <c r="BI1322" i="1" s="1"/>
  <c r="BH1325" i="1"/>
  <c r="BJ1325" i="1"/>
  <c r="AW1329" i="1"/>
  <c r="AW1330" i="1" s="1"/>
  <c r="AU1333" i="1"/>
  <c r="AU1308" i="1" s="1"/>
  <c r="AU1298" i="1" s="1"/>
  <c r="BC1329" i="1"/>
  <c r="BC1330" i="1" s="1"/>
  <c r="BA1333" i="1"/>
  <c r="AY1333" i="1"/>
  <c r="BB1333" i="1"/>
  <c r="AP1325" i="1"/>
  <c r="AJ1325" i="1"/>
  <c r="AE240" i="1"/>
  <c r="Q45" i="4" s="1"/>
  <c r="AE137" i="1"/>
  <c r="AE138" i="1" s="1"/>
  <c r="AF1325" i="1"/>
  <c r="AH1325" i="1" s="1"/>
  <c r="AH1321" i="1"/>
  <c r="AH1322" i="1" s="1"/>
  <c r="AI1325" i="1"/>
  <c r="AK1321" i="1"/>
  <c r="AK1322" i="1" s="1"/>
  <c r="AO1329" i="1"/>
  <c r="AR1333" i="1" s="1"/>
  <c r="AI1329" i="1"/>
  <c r="AM1329" i="1"/>
  <c r="AG1329" i="1"/>
  <c r="AG1333" i="1" s="1"/>
  <c r="AL1329" i="1"/>
  <c r="AF1329" i="1"/>
  <c r="AP1329" i="1"/>
  <c r="AS1333" i="1" s="1"/>
  <c r="AJ1329" i="1"/>
  <c r="AJ1333" i="1" s="1"/>
  <c r="AL1325" i="1"/>
  <c r="AN1321" i="1"/>
  <c r="AN1322" i="1" s="1"/>
  <c r="AO1325" i="1"/>
  <c r="AQ1321" i="1"/>
  <c r="AQ1322" i="1" s="1"/>
  <c r="AE11" i="1"/>
  <c r="AM1325" i="1"/>
  <c r="AC1287" i="1"/>
  <c r="AC1453" i="1" s="1"/>
  <c r="AC1455" i="1" s="1"/>
  <c r="AC1456" i="1" s="1"/>
  <c r="AH1296" i="1"/>
  <c r="AN1462" i="1"/>
  <c r="AM1472" i="1"/>
  <c r="AK1472" i="1"/>
  <c r="AJ154" i="1"/>
  <c r="AH1473" i="1"/>
  <c r="AH154" i="1"/>
  <c r="AE1286" i="1"/>
  <c r="AE1287" i="1" s="1"/>
  <c r="AA558" i="1"/>
  <c r="AA561" i="1"/>
  <c r="AA567" i="1"/>
  <c r="AA568" i="1" s="1"/>
  <c r="AE561" i="1"/>
  <c r="P56" i="4"/>
  <c r="AB563" i="1"/>
  <c r="AB570" i="1"/>
  <c r="AB571" i="1" s="1"/>
  <c r="AD561" i="1"/>
  <c r="AN505" i="1"/>
  <c r="AN498" i="1"/>
  <c r="AE68" i="1"/>
  <c r="AE93" i="1"/>
  <c r="AE208" i="1" s="1"/>
  <c r="AB68" i="1"/>
  <c r="AB93" i="1"/>
  <c r="AH1467" i="1"/>
  <c r="AB216" i="1"/>
  <c r="AB201" i="1"/>
  <c r="AB200" i="1" s="1"/>
  <c r="AB236" i="1"/>
  <c r="AB226" i="1"/>
  <c r="AB249" i="1"/>
  <c r="P47" i="4" s="1"/>
  <c r="AB14" i="1"/>
  <c r="AB105" i="1" s="1"/>
  <c r="C9" i="4"/>
  <c r="AA248" i="1"/>
  <c r="AA59" i="1"/>
  <c r="AA11" i="1"/>
  <c r="AA225" i="1"/>
  <c r="AA247" i="1"/>
  <c r="AE558" i="1"/>
  <c r="Q54" i="4"/>
  <c r="C23" i="4"/>
  <c r="C30" i="4" s="1"/>
  <c r="D23" i="4"/>
  <c r="D30" i="4" s="1"/>
  <c r="AM552" i="1"/>
  <c r="AN552" i="1" s="1"/>
  <c r="AG1460" i="1"/>
  <c r="AN28" i="1"/>
  <c r="AL28" i="1"/>
  <c r="AC548" i="1"/>
  <c r="AC9" i="1" s="1"/>
  <c r="AC556" i="1"/>
  <c r="AT45" i="1" l="1"/>
  <c r="AO40" i="1"/>
  <c r="AO65" i="1" s="1"/>
  <c r="H63" i="4"/>
  <c r="AR45" i="1"/>
  <c r="AF561" i="1"/>
  <c r="AQ65" i="1"/>
  <c r="AL65" i="1"/>
  <c r="AN65" i="1"/>
  <c r="G29" i="4" s="1"/>
  <c r="AM65" i="1"/>
  <c r="BD1308" i="1"/>
  <c r="BD1298" i="1" s="1"/>
  <c r="AQ46" i="1"/>
  <c r="AZ1333" i="1"/>
  <c r="AO46" i="1"/>
  <c r="F29" i="4"/>
  <c r="AS40" i="1"/>
  <c r="BJ1308" i="1"/>
  <c r="BJ1298" i="1" s="1"/>
  <c r="AT37" i="1"/>
  <c r="AO33" i="1"/>
  <c r="AQ33" i="1"/>
  <c r="AE201" i="1"/>
  <c r="AE200" i="1" s="1"/>
  <c r="Q27" i="4" s="1"/>
  <c r="BF1333" i="1"/>
  <c r="AV45" i="1"/>
  <c r="AS32" i="1"/>
  <c r="AK25" i="1"/>
  <c r="I70" i="4"/>
  <c r="AU55" i="1"/>
  <c r="G53" i="4"/>
  <c r="AO31" i="1"/>
  <c r="AQ31" i="1"/>
  <c r="AV47" i="1"/>
  <c r="G68" i="4"/>
  <c r="AO52" i="1"/>
  <c r="AQ52" i="1"/>
  <c r="AS31" i="1"/>
  <c r="AV30" i="1"/>
  <c r="AC59" i="1"/>
  <c r="BC1333" i="1"/>
  <c r="AQ32" i="1"/>
  <c r="AO32" i="1"/>
  <c r="AS46" i="1"/>
  <c r="AS141" i="1"/>
  <c r="AQ39" i="1"/>
  <c r="AO39" i="1"/>
  <c r="AS52" i="1"/>
  <c r="AS39" i="1"/>
  <c r="AS28" i="1"/>
  <c r="AS38" i="1"/>
  <c r="AV24" i="1"/>
  <c r="AV43" i="1"/>
  <c r="AS33" i="1"/>
  <c r="AH1468" i="1"/>
  <c r="BA1308" i="1"/>
  <c r="BA1298" i="1" s="1"/>
  <c r="BG1308" i="1"/>
  <c r="BG1298" i="1" s="1"/>
  <c r="AT1333" i="1"/>
  <c r="AQ28" i="1"/>
  <c r="AO28" i="1"/>
  <c r="AP154" i="1"/>
  <c r="AQ1472" i="1"/>
  <c r="BM1308" i="1"/>
  <c r="BM1298" i="1" s="1"/>
  <c r="AT30" i="1"/>
  <c r="AR30" i="1"/>
  <c r="BN1308" i="1"/>
  <c r="BO1325" i="1"/>
  <c r="AV1308" i="1"/>
  <c r="AW1325" i="1"/>
  <c r="AP1460" i="1"/>
  <c r="AS1467" i="1"/>
  <c r="AQ1467" i="1"/>
  <c r="AT47" i="1"/>
  <c r="AR47" i="1"/>
  <c r="BI1333" i="1"/>
  <c r="BQ1308" i="1"/>
  <c r="BR1325" i="1"/>
  <c r="AR1308" i="1"/>
  <c r="AR1298" i="1" s="1"/>
  <c r="AT43" i="1"/>
  <c r="AR43" i="1"/>
  <c r="AW1333" i="1"/>
  <c r="BE1308" i="1"/>
  <c r="BF1325" i="1"/>
  <c r="AT1325" i="1"/>
  <c r="AS1308" i="1"/>
  <c r="AX1308" i="1"/>
  <c r="AX1298" i="1" s="1"/>
  <c r="BP1308" i="1"/>
  <c r="BP1298" i="1" s="1"/>
  <c r="BK1308" i="1"/>
  <c r="BL1325" i="1"/>
  <c r="AE249" i="1"/>
  <c r="Q47" i="4" s="1"/>
  <c r="BH1308" i="1"/>
  <c r="BI1325" i="1"/>
  <c r="AT40" i="1"/>
  <c r="AR40" i="1"/>
  <c r="AR65" i="1" s="1"/>
  <c r="BO1333" i="1"/>
  <c r="AT1462" i="1"/>
  <c r="AV1462" i="1"/>
  <c r="AS552" i="1"/>
  <c r="AT552" i="1" s="1"/>
  <c r="AS1472" i="1"/>
  <c r="BB1308" i="1"/>
  <c r="BC1325" i="1"/>
  <c r="AY1308" i="1"/>
  <c r="AZ1325" i="1"/>
  <c r="AR24" i="1"/>
  <c r="AT24" i="1"/>
  <c r="AR38" i="1"/>
  <c r="AT38" i="1"/>
  <c r="AE1453" i="1"/>
  <c r="AE1455" i="1" s="1"/>
  <c r="AE1456" i="1" s="1"/>
  <c r="AQ1325" i="1"/>
  <c r="AK1325" i="1"/>
  <c r="AN820" i="1"/>
  <c r="AP1333" i="1"/>
  <c r="AP1308" i="1" s="1"/>
  <c r="AP1298" i="1" s="1"/>
  <c r="AE14" i="1"/>
  <c r="AE17" i="1" s="1"/>
  <c r="AE234" i="1" s="1"/>
  <c r="AE216" i="1"/>
  <c r="D9" i="4"/>
  <c r="AN1325" i="1"/>
  <c r="AM1333" i="1"/>
  <c r="AJ1308" i="1"/>
  <c r="AJ1298" i="1" s="1"/>
  <c r="AF1333" i="1"/>
  <c r="AF1308" i="1" s="1"/>
  <c r="AF1298" i="1" s="1"/>
  <c r="AH1329" i="1"/>
  <c r="AH1330" i="1" s="1"/>
  <c r="AI1333" i="1"/>
  <c r="AI1308" i="1" s="1"/>
  <c r="AK1329" i="1"/>
  <c r="AK1330" i="1" s="1"/>
  <c r="AG1308" i="1"/>
  <c r="AL1333" i="1"/>
  <c r="AL1308" i="1" s="1"/>
  <c r="AN1329" i="1"/>
  <c r="AN1330" i="1" s="1"/>
  <c r="AQ1329" i="1"/>
  <c r="AQ1330" i="1" s="1"/>
  <c r="AO1333" i="1"/>
  <c r="AO1308" i="1" s="1"/>
  <c r="AO1298" i="1" s="1"/>
  <c r="AK1473" i="1"/>
  <c r="AK154" i="1"/>
  <c r="AN1472" i="1"/>
  <c r="AM154" i="1"/>
  <c r="AK1468" i="1"/>
  <c r="AH1469" i="1"/>
  <c r="AC558" i="1"/>
  <c r="AC561" i="1"/>
  <c r="Q56" i="4"/>
  <c r="AE563" i="1"/>
  <c r="AA563" i="1"/>
  <c r="AA570" i="1"/>
  <c r="AA571" i="1" s="1"/>
  <c r="AE223" i="1"/>
  <c r="AB223" i="1"/>
  <c r="AB208" i="1"/>
  <c r="AA68" i="1"/>
  <c r="AA93" i="1"/>
  <c r="AH1460" i="1"/>
  <c r="AA236" i="1"/>
  <c r="AA14" i="1"/>
  <c r="AA105" i="1" s="1"/>
  <c r="AA249" i="1"/>
  <c r="AA226" i="1"/>
  <c r="AA232" i="1"/>
  <c r="AB235" i="1"/>
  <c r="AB17" i="1"/>
  <c r="AB179" i="1" s="1"/>
  <c r="C12" i="4"/>
  <c r="C15" i="4" s="1"/>
  <c r="C17" i="4" s="1"/>
  <c r="C10" i="4"/>
  <c r="AC248" i="1"/>
  <c r="AC247" i="1"/>
  <c r="AC11" i="1"/>
  <c r="AJ1460" i="1"/>
  <c r="AW45" i="1" l="1"/>
  <c r="I63" i="4"/>
  <c r="AU45" i="1"/>
  <c r="AP65" i="1"/>
  <c r="AR46" i="1"/>
  <c r="I59" i="4"/>
  <c r="AT46" i="1"/>
  <c r="AT65" i="1"/>
  <c r="AS65" i="1"/>
  <c r="D12" i="4"/>
  <c r="D15" i="4" s="1"/>
  <c r="D17" i="4" s="1"/>
  <c r="AU37" i="1"/>
  <c r="AT141" i="1"/>
  <c r="AV40" i="1"/>
  <c r="AY40" i="1" s="1"/>
  <c r="AC93" i="1"/>
  <c r="AC68" i="1"/>
  <c r="AC249" i="1"/>
  <c r="AV33" i="1"/>
  <c r="AY24" i="1"/>
  <c r="AV28" i="1"/>
  <c r="AV39" i="1"/>
  <c r="AT39" i="1"/>
  <c r="AR39" i="1"/>
  <c r="AR32" i="1"/>
  <c r="AT32" i="1"/>
  <c r="AY30" i="1"/>
  <c r="AY47" i="1"/>
  <c r="AT31" i="1"/>
  <c r="AR31" i="1"/>
  <c r="H53" i="4"/>
  <c r="AV55" i="1"/>
  <c r="AL25" i="1"/>
  <c r="AV32" i="1"/>
  <c r="AY45" i="1"/>
  <c r="AY43" i="1"/>
  <c r="AV38" i="1"/>
  <c r="AV52" i="1"/>
  <c r="AV46" i="1"/>
  <c r="AV31" i="1"/>
  <c r="H29" i="4"/>
  <c r="AT52" i="1"/>
  <c r="AR52" i="1"/>
  <c r="H68" i="4"/>
  <c r="AR33" i="1"/>
  <c r="AT33" i="1"/>
  <c r="AE19" i="1"/>
  <c r="AE181" i="1" s="1"/>
  <c r="AQ1298" i="1"/>
  <c r="BC1308" i="1"/>
  <c r="BB1298" i="1"/>
  <c r="BC1298" i="1" s="1"/>
  <c r="AW40" i="1"/>
  <c r="AU40" i="1"/>
  <c r="AT1308" i="1"/>
  <c r="AS1298" i="1"/>
  <c r="AT1298" i="1" s="1"/>
  <c r="AW46" i="1"/>
  <c r="AU46" i="1"/>
  <c r="AS1460" i="1"/>
  <c r="AV1467" i="1"/>
  <c r="AT1467" i="1"/>
  <c r="AU30" i="1"/>
  <c r="AW30" i="1"/>
  <c r="AE235" i="1"/>
  <c r="AW38" i="1"/>
  <c r="AU38" i="1"/>
  <c r="AV1472" i="1"/>
  <c r="AY1462" i="1"/>
  <c r="AV552" i="1"/>
  <c r="AW552" i="1" s="1"/>
  <c r="AW1462" i="1"/>
  <c r="BK1298" i="1"/>
  <c r="BL1298" i="1" s="1"/>
  <c r="BL1308" i="1"/>
  <c r="AU43" i="1"/>
  <c r="AW43" i="1"/>
  <c r="BR1308" i="1"/>
  <c r="BQ1298" i="1"/>
  <c r="BR1298" i="1" s="1"/>
  <c r="BO1308" i="1"/>
  <c r="BN1298" i="1"/>
  <c r="BO1298" i="1" s="1"/>
  <c r="AE105" i="1"/>
  <c r="AZ1308" i="1"/>
  <c r="AY1298" i="1"/>
  <c r="AZ1298" i="1" s="1"/>
  <c r="AU47" i="1"/>
  <c r="AW47" i="1"/>
  <c r="AR28" i="1"/>
  <c r="AT28" i="1"/>
  <c r="AE179" i="1"/>
  <c r="AW24" i="1"/>
  <c r="AU24" i="1"/>
  <c r="AS154" i="1"/>
  <c r="AT1472" i="1"/>
  <c r="BI1308" i="1"/>
  <c r="BH1298" i="1"/>
  <c r="BI1298" i="1" s="1"/>
  <c r="BF1308" i="1"/>
  <c r="BE1298" i="1"/>
  <c r="BF1298" i="1" s="1"/>
  <c r="AQ1469" i="1"/>
  <c r="AQ1468" i="1"/>
  <c r="AQ1460" i="1"/>
  <c r="AV1298" i="1"/>
  <c r="AW1298" i="1" s="1"/>
  <c r="AW1308" i="1"/>
  <c r="AQ154" i="1"/>
  <c r="AQ1473" i="1"/>
  <c r="AN1333" i="1"/>
  <c r="AH1333" i="1"/>
  <c r="AK1333" i="1"/>
  <c r="AL1298" i="1"/>
  <c r="AK1308" i="1"/>
  <c r="AI1298" i="1"/>
  <c r="AK1298" i="1" s="1"/>
  <c r="AG1298" i="1"/>
  <c r="AH1298" i="1" s="1"/>
  <c r="AH1308" i="1"/>
  <c r="AQ1333" i="1"/>
  <c r="AQ1308" i="1"/>
  <c r="AM1308" i="1"/>
  <c r="AM1298" i="1" s="1"/>
  <c r="AN1473" i="1"/>
  <c r="AN154" i="1"/>
  <c r="AK1469" i="1"/>
  <c r="AC563" i="1"/>
  <c r="AB234" i="1"/>
  <c r="AB227" i="1"/>
  <c r="AB19" i="1"/>
  <c r="AA17" i="1"/>
  <c r="AA179" i="1" s="1"/>
  <c r="AA173" i="1" s="1"/>
  <c r="AA235" i="1"/>
  <c r="AC14" i="1"/>
  <c r="AK1460" i="1"/>
  <c r="AM1460" i="1"/>
  <c r="AZ45" i="1" l="1"/>
  <c r="AX45" i="1"/>
  <c r="J63" i="4"/>
  <c r="AU65" i="1"/>
  <c r="AU141" i="1"/>
  <c r="AV65" i="1"/>
  <c r="AW65" i="1"/>
  <c r="AV37" i="1"/>
  <c r="I29" i="4"/>
  <c r="AY46" i="1"/>
  <c r="AY38" i="1"/>
  <c r="BB45" i="1"/>
  <c r="AM25" i="1"/>
  <c r="BB30" i="1"/>
  <c r="AY39" i="1"/>
  <c r="BB24" i="1"/>
  <c r="AY31" i="1"/>
  <c r="I53" i="4"/>
  <c r="AU31" i="1"/>
  <c r="AW31" i="1"/>
  <c r="AU32" i="1"/>
  <c r="AW32" i="1"/>
  <c r="AW39" i="1"/>
  <c r="AU39" i="1"/>
  <c r="AU52" i="1"/>
  <c r="AW52" i="1"/>
  <c r="I68" i="4"/>
  <c r="AY52" i="1"/>
  <c r="BB43" i="1"/>
  <c r="AY32" i="1"/>
  <c r="AW55" i="1"/>
  <c r="BB47" i="1"/>
  <c r="AY28" i="1"/>
  <c r="AY33" i="1"/>
  <c r="AU33" i="1"/>
  <c r="AW33" i="1"/>
  <c r="AE242" i="1"/>
  <c r="AW28" i="1"/>
  <c r="AU28" i="1"/>
  <c r="AV154" i="1"/>
  <c r="AW1472" i="1"/>
  <c r="AZ30" i="1"/>
  <c r="AX30" i="1"/>
  <c r="AZ40" i="1"/>
  <c r="AX40" i="1"/>
  <c r="BB40" i="1"/>
  <c r="AX24" i="1"/>
  <c r="AZ24" i="1"/>
  <c r="AZ43" i="1"/>
  <c r="AX43" i="1"/>
  <c r="AX38" i="1"/>
  <c r="AZ38" i="1"/>
  <c r="AT1468" i="1"/>
  <c r="AT1460" i="1"/>
  <c r="AT1469" i="1"/>
  <c r="AZ46" i="1"/>
  <c r="AX46" i="1"/>
  <c r="AT1473" i="1"/>
  <c r="AT154" i="1"/>
  <c r="AZ47" i="1"/>
  <c r="AX47" i="1"/>
  <c r="AY1472" i="1"/>
  <c r="BB1462" i="1"/>
  <c r="AY552" i="1"/>
  <c r="AZ552" i="1" s="1"/>
  <c r="AZ1462" i="1"/>
  <c r="AV1460" i="1"/>
  <c r="AY1467" i="1"/>
  <c r="AW1467" i="1"/>
  <c r="AN1298" i="1"/>
  <c r="AN1308" i="1"/>
  <c r="AN1469" i="1"/>
  <c r="AA174" i="1"/>
  <c r="AA190" i="1"/>
  <c r="AA188" i="1" s="1"/>
  <c r="AA185" i="1"/>
  <c r="AA186" i="1" s="1"/>
  <c r="AC187" i="1" s="1"/>
  <c r="AB242" i="1"/>
  <c r="AB181" i="1"/>
  <c r="AA234" i="1"/>
  <c r="AA239" i="1" s="1"/>
  <c r="AA227" i="1"/>
  <c r="AA229" i="1"/>
  <c r="AA19" i="1"/>
  <c r="AA230" i="1"/>
  <c r="AC105" i="1"/>
  <c r="AC235" i="1"/>
  <c r="AC17" i="1"/>
  <c r="AN1460" i="1"/>
  <c r="K63" i="4" l="1"/>
  <c r="BA45" i="1"/>
  <c r="BC45" i="1"/>
  <c r="AX65" i="1"/>
  <c r="AV141" i="1"/>
  <c r="AW37" i="1"/>
  <c r="AY65" i="1"/>
  <c r="AZ65" i="1"/>
  <c r="AX33" i="1"/>
  <c r="AZ33" i="1"/>
  <c r="BB32" i="1"/>
  <c r="AZ31" i="1"/>
  <c r="AX31" i="1"/>
  <c r="J53" i="4"/>
  <c r="J29" i="4"/>
  <c r="BB28" i="1"/>
  <c r="J70" i="4"/>
  <c r="AX55" i="1"/>
  <c r="BE43" i="1"/>
  <c r="J68" i="4"/>
  <c r="AZ52" i="1"/>
  <c r="AX52" i="1"/>
  <c r="BB33" i="1"/>
  <c r="AZ39" i="1"/>
  <c r="AX39" i="1"/>
  <c r="BE24" i="1"/>
  <c r="BE30" i="1"/>
  <c r="BE45" i="1"/>
  <c r="BB46" i="1"/>
  <c r="BE47" i="1"/>
  <c r="BB52" i="1"/>
  <c r="AZ32" i="1"/>
  <c r="AX32" i="1"/>
  <c r="BB31" i="1"/>
  <c r="BB39" i="1"/>
  <c r="AN25" i="1"/>
  <c r="BB38" i="1"/>
  <c r="AW1468" i="1"/>
  <c r="AW1460" i="1"/>
  <c r="AW1469" i="1"/>
  <c r="AW141" i="1"/>
  <c r="BC43" i="1"/>
  <c r="BA43" i="1"/>
  <c r="BC24" i="1"/>
  <c r="BA24" i="1"/>
  <c r="AY1460" i="1"/>
  <c r="BB1467" i="1"/>
  <c r="AZ1467" i="1"/>
  <c r="BB1472" i="1"/>
  <c r="BB552" i="1"/>
  <c r="BC552" i="1" s="1"/>
  <c r="BE1462" i="1"/>
  <c r="BC1462" i="1"/>
  <c r="BE40" i="1"/>
  <c r="BC40" i="1"/>
  <c r="BA40" i="1"/>
  <c r="BA30" i="1"/>
  <c r="BC30" i="1"/>
  <c r="AY154" i="1"/>
  <c r="AZ1472" i="1"/>
  <c r="BC47" i="1"/>
  <c r="BA47" i="1"/>
  <c r="AW1473" i="1"/>
  <c r="AW154" i="1"/>
  <c r="BA46" i="1"/>
  <c r="BC46" i="1"/>
  <c r="BC38" i="1"/>
  <c r="BA38" i="1"/>
  <c r="AX28" i="1"/>
  <c r="AZ28" i="1"/>
  <c r="AC19" i="1"/>
  <c r="AC181" i="1" s="1"/>
  <c r="AA242" i="1"/>
  <c r="AA181" i="1"/>
  <c r="AC179" i="1"/>
  <c r="AC173" i="1" s="1"/>
  <c r="AC234" i="1"/>
  <c r="AK1399" i="1"/>
  <c r="AD24" i="1"/>
  <c r="AD25" i="1"/>
  <c r="AE26" i="1"/>
  <c r="D51" i="4" s="1"/>
  <c r="D50" i="4" s="1"/>
  <c r="AC26" i="1"/>
  <c r="AB26" i="1"/>
  <c r="AD55" i="1"/>
  <c r="AC54" i="1"/>
  <c r="AC56" i="1" s="1"/>
  <c r="AE54" i="1"/>
  <c r="AE56" i="1" s="1"/>
  <c r="D71" i="4" s="1"/>
  <c r="AB54" i="1"/>
  <c r="AB56" i="1" s="1"/>
  <c r="AD53" i="1"/>
  <c r="AD52" i="1"/>
  <c r="AD51" i="1"/>
  <c r="AD43" i="1"/>
  <c r="AD44" i="1"/>
  <c r="AD45" i="1"/>
  <c r="AD46" i="1"/>
  <c r="AD47" i="1"/>
  <c r="AD42" i="1"/>
  <c r="AC48" i="1"/>
  <c r="AE48" i="1"/>
  <c r="D65" i="4" s="1"/>
  <c r="AB48" i="1"/>
  <c r="C65" i="4" s="1"/>
  <c r="AD37" i="1"/>
  <c r="AD38" i="1"/>
  <c r="AD39" i="1"/>
  <c r="AD40" i="1"/>
  <c r="AD36" i="1"/>
  <c r="AC41" i="1"/>
  <c r="AE41" i="1"/>
  <c r="D61" i="4" s="1"/>
  <c r="D60" i="4" s="1"/>
  <c r="AB41" i="1"/>
  <c r="C61" i="4" s="1"/>
  <c r="C60" i="4" s="1"/>
  <c r="AC34" i="1"/>
  <c r="AE34" i="1"/>
  <c r="D56" i="4" s="1"/>
  <c r="D55" i="4" s="1"/>
  <c r="AB34" i="1"/>
  <c r="C56" i="4" s="1"/>
  <c r="C55" i="4" s="1"/>
  <c r="AD28" i="1"/>
  <c r="AD29" i="1"/>
  <c r="AD30" i="1"/>
  <c r="AD31" i="1"/>
  <c r="AD32" i="1"/>
  <c r="AD33" i="1"/>
  <c r="AD27" i="1"/>
  <c r="AD22" i="1"/>
  <c r="AD23" i="1"/>
  <c r="AD21" i="1"/>
  <c r="AE1284" i="1"/>
  <c r="AE1231" i="1"/>
  <c r="BA65" i="1" l="1"/>
  <c r="BD45" i="1"/>
  <c r="L63" i="4"/>
  <c r="BF45" i="1"/>
  <c r="J59" i="4"/>
  <c r="AX37" i="1"/>
  <c r="BC65" i="1"/>
  <c r="BB65" i="1"/>
  <c r="AD92" i="1"/>
  <c r="AD139" i="1"/>
  <c r="AD141" i="1"/>
  <c r="BH47" i="1"/>
  <c r="BH45" i="1"/>
  <c r="BH24" i="1"/>
  <c r="AY55" i="1"/>
  <c r="BE28" i="1"/>
  <c r="BE32" i="1"/>
  <c r="AO25" i="1"/>
  <c r="BE31" i="1"/>
  <c r="BE33" i="1"/>
  <c r="K53" i="4"/>
  <c r="BC31" i="1"/>
  <c r="BA31" i="1"/>
  <c r="BC33" i="1"/>
  <c r="BA33" i="1"/>
  <c r="K29" i="4"/>
  <c r="BE52" i="1"/>
  <c r="BE46" i="1"/>
  <c r="BH30" i="1"/>
  <c r="BC39" i="1"/>
  <c r="BA39" i="1"/>
  <c r="BE38" i="1"/>
  <c r="BE39" i="1"/>
  <c r="BA32" i="1"/>
  <c r="BC32" i="1"/>
  <c r="BC52" i="1"/>
  <c r="K68" i="4"/>
  <c r="BA52" i="1"/>
  <c r="BH43" i="1"/>
  <c r="AC242" i="1"/>
  <c r="BH40" i="1"/>
  <c r="AZ1468" i="1"/>
  <c r="AZ1469" i="1"/>
  <c r="AZ1460" i="1"/>
  <c r="BF1462" i="1"/>
  <c r="BE552" i="1"/>
  <c r="BF552" i="1" s="1"/>
  <c r="BH1462" i="1"/>
  <c r="BE1472" i="1"/>
  <c r="BB1460" i="1"/>
  <c r="BE1467" i="1"/>
  <c r="BC1467" i="1"/>
  <c r="BF43" i="1"/>
  <c r="BD43" i="1"/>
  <c r="BC28" i="1"/>
  <c r="BA28" i="1"/>
  <c r="BF38" i="1"/>
  <c r="BD38" i="1"/>
  <c r="BD47" i="1"/>
  <c r="BF47" i="1"/>
  <c r="BF46" i="1"/>
  <c r="BD46" i="1"/>
  <c r="AZ154" i="1"/>
  <c r="AZ1473" i="1"/>
  <c r="BD30" i="1"/>
  <c r="BF30" i="1"/>
  <c r="BD40" i="1"/>
  <c r="BF40" i="1"/>
  <c r="BB154" i="1"/>
  <c r="BC1472" i="1"/>
  <c r="BF24" i="1"/>
  <c r="BD24" i="1"/>
  <c r="AE338" i="1"/>
  <c r="AE337" i="1"/>
  <c r="AB189" i="1"/>
  <c r="AB188" i="1" s="1"/>
  <c r="AB232" i="1"/>
  <c r="P41" i="4" s="1"/>
  <c r="AE232" i="1"/>
  <c r="AD99" i="1"/>
  <c r="AC190" i="1"/>
  <c r="AC174" i="1"/>
  <c r="AD65" i="1"/>
  <c r="C71" i="4"/>
  <c r="AB245" i="1"/>
  <c r="AB246" i="1"/>
  <c r="AB229" i="1"/>
  <c r="P40" i="4" s="1"/>
  <c r="C51" i="4"/>
  <c r="C50" i="4" s="1"/>
  <c r="AB128" i="1"/>
  <c r="AB127" i="1"/>
  <c r="AC189" i="1"/>
  <c r="AC246" i="1"/>
  <c r="AC245" i="1"/>
  <c r="AE189" i="1"/>
  <c r="AE188" i="1" s="1"/>
  <c r="AE245" i="1"/>
  <c r="AE246" i="1"/>
  <c r="AC185" i="1"/>
  <c r="AC186" i="1" s="1"/>
  <c r="AD187" i="1" s="1"/>
  <c r="AE187" i="1" s="1"/>
  <c r="AC229" i="1"/>
  <c r="AE229" i="1"/>
  <c r="Q40" i="4" s="1"/>
  <c r="AC232" i="1"/>
  <c r="AC128" i="1"/>
  <c r="AC127" i="1"/>
  <c r="AE128" i="1"/>
  <c r="AE127" i="1"/>
  <c r="AD123" i="1"/>
  <c r="AD122" i="1"/>
  <c r="AE49" i="1"/>
  <c r="D66" i="4" s="1"/>
  <c r="AD98" i="1"/>
  <c r="AD143" i="1"/>
  <c r="AD142" i="1"/>
  <c r="AD145" i="1" s="1"/>
  <c r="AD121" i="1"/>
  <c r="AD125" i="1"/>
  <c r="AC49" i="1"/>
  <c r="AB49" i="1"/>
  <c r="C66" i="4" s="1"/>
  <c r="AD54" i="1"/>
  <c r="AD56" i="1" s="1"/>
  <c r="AD26" i="1"/>
  <c r="AD34" i="1"/>
  <c r="AC35" i="1"/>
  <c r="AC238" i="1" s="1"/>
  <c r="AE35" i="1"/>
  <c r="AB35" i="1"/>
  <c r="AD41" i="1"/>
  <c r="AD48" i="1"/>
  <c r="BD65" i="1" l="1"/>
  <c r="BI45" i="1"/>
  <c r="BG45" i="1"/>
  <c r="AY37" i="1"/>
  <c r="AX141" i="1"/>
  <c r="BE65" i="1"/>
  <c r="BF65" i="1"/>
  <c r="BH52" i="1"/>
  <c r="BD52" i="1"/>
  <c r="BF52" i="1"/>
  <c r="L68" i="4"/>
  <c r="BH38" i="1"/>
  <c r="BH31" i="1"/>
  <c r="BH32" i="1"/>
  <c r="AZ55" i="1"/>
  <c r="BK30" i="1"/>
  <c r="BK45" i="1"/>
  <c r="L29" i="4"/>
  <c r="BD32" i="1"/>
  <c r="BF32" i="1"/>
  <c r="BH39" i="1"/>
  <c r="BD39" i="1"/>
  <c r="BF39" i="1"/>
  <c r="BD31" i="1"/>
  <c r="BF31" i="1"/>
  <c r="L53" i="4"/>
  <c r="BH33" i="1"/>
  <c r="AP25" i="1"/>
  <c r="BH28" i="1"/>
  <c r="BK43" i="1"/>
  <c r="BH46" i="1"/>
  <c r="BF33" i="1"/>
  <c r="BD33" i="1"/>
  <c r="BK24" i="1"/>
  <c r="BK47" i="1"/>
  <c r="BC1473" i="1"/>
  <c r="BC154" i="1"/>
  <c r="BL45" i="1"/>
  <c r="AZ37" i="1"/>
  <c r="AY141" i="1"/>
  <c r="BI30" i="1"/>
  <c r="BG30" i="1"/>
  <c r="BF28" i="1"/>
  <c r="BD28" i="1"/>
  <c r="BE154" i="1"/>
  <c r="BF1472" i="1"/>
  <c r="BI40" i="1"/>
  <c r="BG40" i="1"/>
  <c r="BI46" i="1"/>
  <c r="BG46" i="1"/>
  <c r="BI47" i="1"/>
  <c r="BG47" i="1"/>
  <c r="BC1469" i="1"/>
  <c r="BC1468" i="1"/>
  <c r="BC1460" i="1"/>
  <c r="BH1472" i="1"/>
  <c r="BK1462" i="1"/>
  <c r="BH552" i="1"/>
  <c r="BI552" i="1" s="1"/>
  <c r="BI1462" i="1"/>
  <c r="BG24" i="1"/>
  <c r="BI24" i="1"/>
  <c r="BG38" i="1"/>
  <c r="BI38" i="1"/>
  <c r="BG43" i="1"/>
  <c r="BI43" i="1"/>
  <c r="BE1460" i="1"/>
  <c r="BH1467" i="1"/>
  <c r="BF1467" i="1"/>
  <c r="BK40" i="1"/>
  <c r="AD147" i="1"/>
  <c r="AD148" i="1" s="1"/>
  <c r="AC188" i="1"/>
  <c r="C57" i="4"/>
  <c r="AB238" i="1"/>
  <c r="AB237" i="1"/>
  <c r="P42" i="4"/>
  <c r="AE238" i="1"/>
  <c r="D57" i="4"/>
  <c r="AD189" i="1"/>
  <c r="Q42" i="4"/>
  <c r="AC230" i="1"/>
  <c r="AE50" i="1"/>
  <c r="AE57" i="1" s="1"/>
  <c r="AD127" i="1"/>
  <c r="AD128" i="1"/>
  <c r="AD124" i="1"/>
  <c r="AD62" i="1" s="1"/>
  <c r="AD144" i="1"/>
  <c r="AP99" i="1"/>
  <c r="AC50" i="1"/>
  <c r="AC57" i="1" s="1"/>
  <c r="AB50" i="1"/>
  <c r="AB57" i="1" s="1"/>
  <c r="AD35" i="1"/>
  <c r="AD238" i="1" s="1"/>
  <c r="AD49" i="1"/>
  <c r="AS99" i="1" l="1"/>
  <c r="BJ45" i="1"/>
  <c r="BG65" i="1"/>
  <c r="BI65" i="1"/>
  <c r="BH65" i="1"/>
  <c r="BK46" i="1"/>
  <c r="AQ25" i="1"/>
  <c r="BG31" i="1"/>
  <c r="BI31" i="1"/>
  <c r="BG32" i="1"/>
  <c r="BI32" i="1"/>
  <c r="BN30" i="1"/>
  <c r="BK32" i="1"/>
  <c r="BK38" i="1"/>
  <c r="BN47" i="1"/>
  <c r="BG33" i="1"/>
  <c r="BI33" i="1"/>
  <c r="BN43" i="1"/>
  <c r="BK28" i="1"/>
  <c r="BK33" i="1"/>
  <c r="BN45" i="1"/>
  <c r="K70" i="4"/>
  <c r="BA55" i="1"/>
  <c r="BK31" i="1"/>
  <c r="BG52" i="1"/>
  <c r="BI52" i="1"/>
  <c r="BK52" i="1"/>
  <c r="BN24" i="1"/>
  <c r="BG39" i="1"/>
  <c r="BI39" i="1"/>
  <c r="BK39" i="1"/>
  <c r="BJ43" i="1"/>
  <c r="BL43" i="1"/>
  <c r="BJ47" i="1"/>
  <c r="BL47" i="1"/>
  <c r="BJ40" i="1"/>
  <c r="BJ65" i="1" s="1"/>
  <c r="BL40" i="1"/>
  <c r="BG28" i="1"/>
  <c r="BI28" i="1"/>
  <c r="BA37" i="1"/>
  <c r="AZ141" i="1"/>
  <c r="K59" i="4"/>
  <c r="BF1469" i="1"/>
  <c r="BF1468" i="1"/>
  <c r="BF1460" i="1"/>
  <c r="BF1473" i="1"/>
  <c r="BF154" i="1"/>
  <c r="BH1460" i="1"/>
  <c r="BK1467" i="1"/>
  <c r="BI1467" i="1"/>
  <c r="BL38" i="1"/>
  <c r="BJ38" i="1"/>
  <c r="BJ24" i="1"/>
  <c r="BL24" i="1"/>
  <c r="BL1462" i="1"/>
  <c r="BK552" i="1"/>
  <c r="BL552" i="1" s="1"/>
  <c r="BN1462" i="1"/>
  <c r="BK1472" i="1"/>
  <c r="BL46" i="1"/>
  <c r="BJ46" i="1"/>
  <c r="BJ30" i="1"/>
  <c r="BL30" i="1"/>
  <c r="BM45" i="1"/>
  <c r="BO45" i="1"/>
  <c r="BN40" i="1"/>
  <c r="BH154" i="1"/>
  <c r="BI1472" i="1"/>
  <c r="AB192" i="1"/>
  <c r="AB191" i="1" s="1"/>
  <c r="P44" i="4"/>
  <c r="AB239" i="1"/>
  <c r="Q41" i="4"/>
  <c r="AD245" i="1"/>
  <c r="AD244" i="1"/>
  <c r="AD246" i="1"/>
  <c r="AE192" i="1"/>
  <c r="AE191" i="1" s="1"/>
  <c r="AC192" i="1"/>
  <c r="AC191" i="1" s="1"/>
  <c r="AD50" i="1"/>
  <c r="AD57" i="1" s="1"/>
  <c r="AV99" i="1" l="1"/>
  <c r="BL65" i="1"/>
  <c r="BK65" i="1"/>
  <c r="BN52" i="1"/>
  <c r="BN33" i="1"/>
  <c r="BQ43" i="1"/>
  <c r="BN39" i="1"/>
  <c r="BJ52" i="1"/>
  <c r="BL52" i="1"/>
  <c r="BN31" i="1"/>
  <c r="BN38" i="1"/>
  <c r="BQ30" i="1"/>
  <c r="BJ31" i="1"/>
  <c r="BL31" i="1"/>
  <c r="AR25" i="1"/>
  <c r="BJ39" i="1"/>
  <c r="BL39" i="1"/>
  <c r="BQ24" i="1"/>
  <c r="BB55" i="1"/>
  <c r="BQ45" i="1"/>
  <c r="BN28" i="1"/>
  <c r="BL32" i="1"/>
  <c r="BJ32" i="1"/>
  <c r="BJ33" i="1"/>
  <c r="BL33" i="1"/>
  <c r="BQ47" i="1"/>
  <c r="BN32" i="1"/>
  <c r="BN46" i="1"/>
  <c r="BQ40" i="1"/>
  <c r="BR45" i="1"/>
  <c r="BP45" i="1"/>
  <c r="BM43" i="1"/>
  <c r="BO43" i="1"/>
  <c r="BO46" i="1"/>
  <c r="BM46" i="1"/>
  <c r="BM38" i="1"/>
  <c r="BO38" i="1"/>
  <c r="BI1473" i="1"/>
  <c r="BI154" i="1"/>
  <c r="BO30" i="1"/>
  <c r="BM30" i="1"/>
  <c r="BK154" i="1"/>
  <c r="BL1472" i="1"/>
  <c r="BM24" i="1"/>
  <c r="BO24" i="1"/>
  <c r="BI1469" i="1"/>
  <c r="BI1468" i="1"/>
  <c r="BI1460" i="1"/>
  <c r="BB37" i="1"/>
  <c r="BA141" i="1"/>
  <c r="BO47" i="1"/>
  <c r="BM47" i="1"/>
  <c r="BO1462" i="1"/>
  <c r="BQ1462" i="1"/>
  <c r="BN552" i="1"/>
  <c r="BO552" i="1" s="1"/>
  <c r="BN1472" i="1"/>
  <c r="BK1460" i="1"/>
  <c r="BN1467" i="1"/>
  <c r="BL1467" i="1"/>
  <c r="BL28" i="1"/>
  <c r="BJ28" i="1"/>
  <c r="BO40" i="1"/>
  <c r="BM40" i="1"/>
  <c r="BM65" i="1" s="1"/>
  <c r="AD192" i="1"/>
  <c r="AD191" i="1" s="1"/>
  <c r="AA1246" i="1"/>
  <c r="AD1246" i="1"/>
  <c r="X1246" i="1"/>
  <c r="AE344" i="1"/>
  <c r="AC344" i="1"/>
  <c r="AD1189" i="1"/>
  <c r="AA1189" i="1"/>
  <c r="X1189" i="1"/>
  <c r="X1202" i="1" s="1"/>
  <c r="U1189" i="1"/>
  <c r="AD347" i="1"/>
  <c r="AA347" i="1"/>
  <c r="X347" i="1"/>
  <c r="AA344" i="1"/>
  <c r="X344" i="1"/>
  <c r="R345" i="1"/>
  <c r="AY99" i="1" l="1"/>
  <c r="BO65" i="1"/>
  <c r="BN65" i="1"/>
  <c r="BQ32" i="1"/>
  <c r="BM31" i="1"/>
  <c r="BO31" i="1"/>
  <c r="BQ31" i="1"/>
  <c r="BO39" i="1"/>
  <c r="BM39" i="1"/>
  <c r="BM52" i="1"/>
  <c r="BO52" i="1"/>
  <c r="BQ39" i="1"/>
  <c r="BQ33" i="1"/>
  <c r="BQ46" i="1"/>
  <c r="BQ28" i="1"/>
  <c r="BC55" i="1"/>
  <c r="BQ38" i="1"/>
  <c r="BO33" i="1"/>
  <c r="BM33" i="1"/>
  <c r="BM32" i="1"/>
  <c r="BO32" i="1"/>
  <c r="AS25" i="1"/>
  <c r="BQ52" i="1"/>
  <c r="AA1202" i="1"/>
  <c r="AA1195" i="1"/>
  <c r="AD1195" i="1"/>
  <c r="BM28" i="1"/>
  <c r="BO28" i="1"/>
  <c r="BN154" i="1"/>
  <c r="BO1472" i="1"/>
  <c r="BC37" i="1"/>
  <c r="BB141" i="1"/>
  <c r="BP24" i="1"/>
  <c r="BR24" i="1"/>
  <c r="BR46" i="1"/>
  <c r="BP46" i="1"/>
  <c r="BP40" i="1"/>
  <c r="BP65" i="1" s="1"/>
  <c r="BR40" i="1"/>
  <c r="BR65" i="1" s="1"/>
  <c r="BL1460" i="1"/>
  <c r="BL1469" i="1"/>
  <c r="BL1468" i="1"/>
  <c r="BP30" i="1"/>
  <c r="BR30" i="1"/>
  <c r="BR38" i="1"/>
  <c r="BP38" i="1"/>
  <c r="BP43" i="1"/>
  <c r="BR43" i="1"/>
  <c r="BN1460" i="1"/>
  <c r="BQ1467" i="1"/>
  <c r="BO1467" i="1"/>
  <c r="BR1462" i="1"/>
  <c r="BQ552" i="1"/>
  <c r="BR552" i="1" s="1"/>
  <c r="BQ1472" i="1"/>
  <c r="BP47" i="1"/>
  <c r="BR47" i="1"/>
  <c r="BL154" i="1"/>
  <c r="BL1473" i="1"/>
  <c r="AD1202" i="1"/>
  <c r="AD344" i="1"/>
  <c r="BB99" i="1" l="1"/>
  <c r="BQ65" i="1"/>
  <c r="L70" i="4"/>
  <c r="BD55" i="1"/>
  <c r="AT25" i="1"/>
  <c r="BP32" i="1"/>
  <c r="BR32" i="1"/>
  <c r="BP33" i="1"/>
  <c r="BR33" i="1"/>
  <c r="BP52" i="1"/>
  <c r="BR52" i="1"/>
  <c r="BP39" i="1"/>
  <c r="BR39" i="1"/>
  <c r="BP31" i="1"/>
  <c r="BR31" i="1"/>
  <c r="BQ154" i="1"/>
  <c r="BR1472" i="1"/>
  <c r="BQ1460" i="1"/>
  <c r="BR1467" i="1"/>
  <c r="BO1473" i="1"/>
  <c r="BO154" i="1"/>
  <c r="BC141" i="1"/>
  <c r="BD37" i="1"/>
  <c r="L59" i="4"/>
  <c r="BO1460" i="1"/>
  <c r="BO1469" i="1"/>
  <c r="BO1468" i="1"/>
  <c r="BR28" i="1"/>
  <c r="BP28" i="1"/>
  <c r="AJ1400" i="1"/>
  <c r="AN1379" i="1"/>
  <c r="AK1379" i="1"/>
  <c r="AG1380" i="1"/>
  <c r="AF1380" i="1"/>
  <c r="AH1379" i="1"/>
  <c r="BE99" i="1" l="1"/>
  <c r="AU25" i="1"/>
  <c r="BE55" i="1"/>
  <c r="BE37" i="1"/>
  <c r="BD141" i="1"/>
  <c r="BR1460" i="1"/>
  <c r="BR1469" i="1"/>
  <c r="BR1468" i="1"/>
  <c r="BR1473" i="1"/>
  <c r="BR154" i="1"/>
  <c r="AI1380" i="1"/>
  <c r="AJ1380" i="1"/>
  <c r="AI1400" i="1"/>
  <c r="AL1400" i="1" s="1"/>
  <c r="AO1400" i="1" s="1"/>
  <c r="AI1396" i="1"/>
  <c r="AI1406" i="1" s="1"/>
  <c r="AJ1396" i="1"/>
  <c r="AJ1406" i="1" s="1"/>
  <c r="AM1400" i="1"/>
  <c r="AP1400" i="1" s="1"/>
  <c r="BH99" i="1" l="1"/>
  <c r="BF55" i="1"/>
  <c r="AV25" i="1"/>
  <c r="AS1400" i="1"/>
  <c r="AR1400" i="1"/>
  <c r="AQ1400" i="1"/>
  <c r="BF37" i="1"/>
  <c r="BE141" i="1"/>
  <c r="AM1396" i="1"/>
  <c r="AK1396" i="1"/>
  <c r="AL1380" i="1"/>
  <c r="AO1380" i="1" s="1"/>
  <c r="AM1380" i="1"/>
  <c r="AP1380" i="1" s="1"/>
  <c r="AJ1393" i="1"/>
  <c r="AJ1405" i="1" s="1"/>
  <c r="AK1400" i="1"/>
  <c r="AN1400" i="1"/>
  <c r="AI1395" i="1"/>
  <c r="AL1396" i="1"/>
  <c r="BK99" i="1" l="1"/>
  <c r="AW25" i="1"/>
  <c r="BG55" i="1"/>
  <c r="AL1406" i="1"/>
  <c r="AO1396" i="1"/>
  <c r="AM1406" i="1"/>
  <c r="AP1396" i="1"/>
  <c r="AS1380" i="1"/>
  <c r="AR1380" i="1"/>
  <c r="AQ1380" i="1"/>
  <c r="BG37" i="1"/>
  <c r="BF141" i="1"/>
  <c r="AU1400" i="1"/>
  <c r="AT1400" i="1"/>
  <c r="AV1400" i="1"/>
  <c r="AK1406" i="1"/>
  <c r="AM1393" i="1"/>
  <c r="AN1396" i="1"/>
  <c r="AJ1395" i="1"/>
  <c r="AJ1394" i="1" s="1"/>
  <c r="AJ1397" i="1" s="1"/>
  <c r="BN99" i="1" l="1"/>
  <c r="BH55" i="1"/>
  <c r="AX25" i="1"/>
  <c r="AN1406" i="1"/>
  <c r="AY1400" i="1"/>
  <c r="AP1406" i="1"/>
  <c r="AS1396" i="1"/>
  <c r="AM1405" i="1"/>
  <c r="AP1393" i="1"/>
  <c r="BH37" i="1"/>
  <c r="BG141" i="1"/>
  <c r="AU1380" i="1"/>
  <c r="AT1380" i="1"/>
  <c r="AV1380" i="1"/>
  <c r="AO1406" i="1"/>
  <c r="AR1396" i="1"/>
  <c r="AQ1396" i="1"/>
  <c r="AX1400" i="1"/>
  <c r="AW1400" i="1"/>
  <c r="AJ1402" i="1"/>
  <c r="AJ1407" i="1" s="1"/>
  <c r="AJ1398" i="1"/>
  <c r="AI1393" i="1"/>
  <c r="AI1405" i="1" s="1"/>
  <c r="BQ99" i="1" l="1"/>
  <c r="AY25" i="1"/>
  <c r="BI55" i="1"/>
  <c r="AQ1406" i="1"/>
  <c r="BA1400" i="1"/>
  <c r="AZ1400" i="1"/>
  <c r="AY1380" i="1"/>
  <c r="AS1406" i="1"/>
  <c r="AV1396" i="1"/>
  <c r="BI37" i="1"/>
  <c r="BH141" i="1"/>
  <c r="AP1405" i="1"/>
  <c r="AS1393" i="1"/>
  <c r="AU1396" i="1"/>
  <c r="AR1406" i="1"/>
  <c r="AT1396" i="1"/>
  <c r="AX1380" i="1"/>
  <c r="AW1380" i="1"/>
  <c r="BB1400" i="1"/>
  <c r="AK1393" i="1"/>
  <c r="AK1405" i="1"/>
  <c r="AJ1403" i="1"/>
  <c r="AI1394" i="1"/>
  <c r="AI1397" i="1" s="1"/>
  <c r="AL1393" i="1"/>
  <c r="BJ55" i="1" l="1"/>
  <c r="AZ25" i="1"/>
  <c r="AL1405" i="1"/>
  <c r="AN1405" i="1" s="1"/>
  <c r="AO1393" i="1"/>
  <c r="BE1400" i="1"/>
  <c r="BJ37" i="1"/>
  <c r="BI141" i="1"/>
  <c r="AT1406" i="1"/>
  <c r="BC1400" i="1"/>
  <c r="BD1400" i="1"/>
  <c r="AU1406" i="1"/>
  <c r="AW1396" i="1"/>
  <c r="AX1396" i="1"/>
  <c r="BB1380" i="1"/>
  <c r="BA1380" i="1"/>
  <c r="AZ1380" i="1"/>
  <c r="AS1405" i="1"/>
  <c r="AV1393" i="1"/>
  <c r="AV1406" i="1"/>
  <c r="AY1396" i="1"/>
  <c r="AN1393" i="1"/>
  <c r="AI1402" i="1"/>
  <c r="AK1397" i="1"/>
  <c r="AK1398" i="1" s="1"/>
  <c r="AI1398" i="1"/>
  <c r="AK1394" i="1"/>
  <c r="AK1395" i="1" s="1"/>
  <c r="AM1395" i="1"/>
  <c r="AM1394" i="1" s="1"/>
  <c r="AM1397" i="1" s="1"/>
  <c r="AL1395" i="1"/>
  <c r="AL1394" i="1" s="1"/>
  <c r="AL1397" i="1" s="1"/>
  <c r="BA25" i="1" l="1"/>
  <c r="BK55" i="1"/>
  <c r="AO1395" i="1"/>
  <c r="AO1394" i="1" s="1"/>
  <c r="AP1395" i="1"/>
  <c r="AP1394" i="1" s="1"/>
  <c r="AP1397" i="1" s="1"/>
  <c r="AY1406" i="1"/>
  <c r="BB1396" i="1"/>
  <c r="BE1380" i="1"/>
  <c r="AW1406" i="1"/>
  <c r="BH1400" i="1"/>
  <c r="AV1405" i="1"/>
  <c r="AY1393" i="1"/>
  <c r="BC1380" i="1"/>
  <c r="BD1380" i="1"/>
  <c r="AO1405" i="1"/>
  <c r="AQ1405" i="1" s="1"/>
  <c r="AR1393" i="1"/>
  <c r="AQ1393" i="1"/>
  <c r="AX1406" i="1"/>
  <c r="BA1396" i="1"/>
  <c r="AZ1396" i="1"/>
  <c r="BG1400" i="1"/>
  <c r="BF1400" i="1"/>
  <c r="BK37" i="1"/>
  <c r="BJ141" i="1"/>
  <c r="AK1402" i="1"/>
  <c r="AK1403" i="1" s="1"/>
  <c r="AI1407" i="1"/>
  <c r="AK1407" i="1" s="1"/>
  <c r="AL1402" i="1"/>
  <c r="AL1407" i="1" s="1"/>
  <c r="AN1397" i="1"/>
  <c r="AN1398" i="1" s="1"/>
  <c r="AL1398" i="1"/>
  <c r="AM1402" i="1"/>
  <c r="AM1407" i="1" s="1"/>
  <c r="AM1398" i="1"/>
  <c r="AI1403" i="1"/>
  <c r="AN1394" i="1"/>
  <c r="AN1395" i="1" s="1"/>
  <c r="BL55" i="1" l="1"/>
  <c r="BB25" i="1"/>
  <c r="AZ1406" i="1"/>
  <c r="BJ1400" i="1"/>
  <c r="BI1400" i="1"/>
  <c r="BK1400" i="1"/>
  <c r="BB1406" i="1"/>
  <c r="BE1396" i="1"/>
  <c r="BB1393" i="1"/>
  <c r="AY1405" i="1"/>
  <c r="BL37" i="1"/>
  <c r="BK141" i="1"/>
  <c r="AR1405" i="1"/>
  <c r="AT1405" i="1" s="1"/>
  <c r="AU1393" i="1"/>
  <c r="AT1393" i="1"/>
  <c r="AP1398" i="1"/>
  <c r="AP1402" i="1"/>
  <c r="AR1395" i="1"/>
  <c r="AR1394" i="1" s="1"/>
  <c r="AS1395" i="1"/>
  <c r="AS1394" i="1" s="1"/>
  <c r="AS1397" i="1" s="1"/>
  <c r="BD1396" i="1"/>
  <c r="BA1406" i="1"/>
  <c r="BC1396" i="1"/>
  <c r="BG1380" i="1"/>
  <c r="BF1380" i="1"/>
  <c r="BH1380" i="1"/>
  <c r="AO1397" i="1"/>
  <c r="AQ1394" i="1"/>
  <c r="AQ1395" i="1" s="1"/>
  <c r="AN1402" i="1"/>
  <c r="AN1403" i="1" s="1"/>
  <c r="AL1403" i="1"/>
  <c r="AM1403" i="1"/>
  <c r="BC25" i="1" l="1"/>
  <c r="BM55" i="1"/>
  <c r="AO1398" i="1"/>
  <c r="AQ1397" i="1"/>
  <c r="AQ1398" i="1" s="1"/>
  <c r="AO1402" i="1"/>
  <c r="BD1406" i="1"/>
  <c r="BF1396" i="1"/>
  <c r="BG1396" i="1"/>
  <c r="BN1400" i="1"/>
  <c r="BI1380" i="1"/>
  <c r="BJ1380" i="1"/>
  <c r="AS1398" i="1"/>
  <c r="AS1402" i="1"/>
  <c r="BL141" i="1"/>
  <c r="BM37" i="1"/>
  <c r="BB1405" i="1"/>
  <c r="BE1393" i="1"/>
  <c r="BE1406" i="1"/>
  <c r="BH1396" i="1"/>
  <c r="BK1380" i="1"/>
  <c r="AR1397" i="1"/>
  <c r="AT1394" i="1"/>
  <c r="AT1395" i="1" s="1"/>
  <c r="AU1405" i="1"/>
  <c r="AW1405" i="1" s="1"/>
  <c r="AW1393" i="1"/>
  <c r="AX1393" i="1"/>
  <c r="AU1395" i="1"/>
  <c r="AU1394" i="1" s="1"/>
  <c r="AV1395" i="1"/>
  <c r="AV1394" i="1" s="1"/>
  <c r="AV1397" i="1" s="1"/>
  <c r="BC1406" i="1"/>
  <c r="AP1407" i="1"/>
  <c r="AP1403" i="1"/>
  <c r="BM1400" i="1"/>
  <c r="BL1400" i="1"/>
  <c r="AN1407" i="1"/>
  <c r="BN55" i="1" l="1"/>
  <c r="BD25" i="1"/>
  <c r="BF1406" i="1"/>
  <c r="AU1397" i="1"/>
  <c r="AW1394" i="1"/>
  <c r="AW1395" i="1" s="1"/>
  <c r="AY1395" i="1"/>
  <c r="AY1394" i="1" s="1"/>
  <c r="AY1397" i="1" s="1"/>
  <c r="AX1395" i="1"/>
  <c r="AX1394" i="1" s="1"/>
  <c r="BH1406" i="1"/>
  <c r="BK1396" i="1"/>
  <c r="BN37" i="1"/>
  <c r="BM141" i="1"/>
  <c r="BQ1400" i="1"/>
  <c r="AX1405" i="1"/>
  <c r="AZ1405" i="1" s="1"/>
  <c r="AZ1393" i="1"/>
  <c r="BA1393" i="1"/>
  <c r="AR1398" i="1"/>
  <c r="AT1397" i="1"/>
  <c r="AT1398" i="1" s="1"/>
  <c r="AR1402" i="1"/>
  <c r="BL1380" i="1"/>
  <c r="BM1380" i="1"/>
  <c r="AO1403" i="1"/>
  <c r="AO1407" i="1"/>
  <c r="AQ1407" i="1" s="1"/>
  <c r="AQ1402" i="1"/>
  <c r="AQ1403" i="1" s="1"/>
  <c r="BE1405" i="1"/>
  <c r="BH1393" i="1"/>
  <c r="AS1407" i="1"/>
  <c r="AS1403" i="1"/>
  <c r="BJ1396" i="1"/>
  <c r="BG1406" i="1"/>
  <c r="BI1396" i="1"/>
  <c r="BO1400" i="1"/>
  <c r="BP1400" i="1"/>
  <c r="AV1398" i="1"/>
  <c r="AV1402" i="1"/>
  <c r="BN1380" i="1"/>
  <c r="AD673" i="1"/>
  <c r="AD624" i="1" s="1"/>
  <c r="AC675" i="1"/>
  <c r="AD605" i="1"/>
  <c r="AD606" i="1"/>
  <c r="AD622" i="1" s="1"/>
  <c r="AD604" i="1"/>
  <c r="AC607" i="1"/>
  <c r="AB675" i="1"/>
  <c r="AB625" i="1" s="1"/>
  <c r="AB633" i="1" s="1"/>
  <c r="AE675" i="1"/>
  <c r="AE625" i="1" s="1"/>
  <c r="AE633" i="1" s="1"/>
  <c r="AE644" i="1"/>
  <c r="AE660" i="1"/>
  <c r="AE652" i="1"/>
  <c r="AE668" i="1"/>
  <c r="AE636" i="1"/>
  <c r="AD669" i="1"/>
  <c r="AI681" i="1" s="1"/>
  <c r="AC669" i="1"/>
  <c r="BE25" i="1" l="1"/>
  <c r="BO55" i="1"/>
  <c r="BI1406" i="1"/>
  <c r="BH1405" i="1"/>
  <c r="BK1393" i="1"/>
  <c r="AR1403" i="1"/>
  <c r="AT1402" i="1"/>
  <c r="AT1403" i="1" s="1"/>
  <c r="AR1407" i="1"/>
  <c r="AT1407" i="1" s="1"/>
  <c r="AZ1394" i="1"/>
  <c r="AZ1395" i="1" s="1"/>
  <c r="AX1397" i="1"/>
  <c r="BQ1380" i="1"/>
  <c r="BR1400" i="1"/>
  <c r="BM1396" i="1"/>
  <c r="BJ1406" i="1"/>
  <c r="BL1396" i="1"/>
  <c r="BO37" i="1"/>
  <c r="BN141" i="1"/>
  <c r="AY1398" i="1"/>
  <c r="AY1402" i="1"/>
  <c r="AH681" i="1"/>
  <c r="AV1407" i="1"/>
  <c r="AV1403" i="1"/>
  <c r="BP1380" i="1"/>
  <c r="BO1380" i="1"/>
  <c r="BK1406" i="1"/>
  <c r="BN1396" i="1"/>
  <c r="BA1395" i="1"/>
  <c r="BA1394" i="1" s="1"/>
  <c r="BB1395" i="1"/>
  <c r="BB1394" i="1" s="1"/>
  <c r="BB1397" i="1" s="1"/>
  <c r="BA1405" i="1"/>
  <c r="BC1405" i="1" s="1"/>
  <c r="BD1393" i="1"/>
  <c r="BC1393" i="1"/>
  <c r="AU1398" i="1"/>
  <c r="AW1397" i="1"/>
  <c r="AW1398" i="1" s="1"/>
  <c r="AU1402" i="1"/>
  <c r="AE645" i="1"/>
  <c r="AD280" i="1"/>
  <c r="AD283" i="1"/>
  <c r="AD287" i="1"/>
  <c r="AD277" i="1"/>
  <c r="AC283" i="1"/>
  <c r="AC287" i="1"/>
  <c r="AC277" i="1"/>
  <c r="AC280" i="1"/>
  <c r="AE653" i="1"/>
  <c r="AD613" i="1"/>
  <c r="AD617" i="1"/>
  <c r="AD615" i="1"/>
  <c r="AE637" i="1"/>
  <c r="AE661" i="1"/>
  <c r="AD1126" i="1"/>
  <c r="AD1129" i="1"/>
  <c r="AD1120" i="1"/>
  <c r="AD1123" i="1"/>
  <c r="AC1126" i="1"/>
  <c r="AC1120" i="1"/>
  <c r="AC1123" i="1"/>
  <c r="AC1129" i="1"/>
  <c r="AD670" i="1"/>
  <c r="AC623" i="1"/>
  <c r="AC634" i="1" s="1"/>
  <c r="AC670" i="1"/>
  <c r="AD545" i="1"/>
  <c r="AD548" i="1" s="1"/>
  <c r="AD9" i="1" s="1"/>
  <c r="AC608" i="1"/>
  <c r="AB626" i="1"/>
  <c r="AB259" i="1" s="1"/>
  <c r="AD550" i="1"/>
  <c r="AD553" i="1" s="1"/>
  <c r="AD10" i="1" s="1"/>
  <c r="AD535" i="1"/>
  <c r="AD623" i="1"/>
  <c r="AD634" i="1" s="1"/>
  <c r="AC625" i="1"/>
  <c r="AC633" i="1" s="1"/>
  <c r="AC677" i="1"/>
  <c r="AC674" i="1"/>
  <c r="AD675" i="1"/>
  <c r="AD607" i="1"/>
  <c r="AD674" i="1"/>
  <c r="AE669" i="1"/>
  <c r="AE1129" i="1" s="1"/>
  <c r="AD59" i="1" l="1"/>
  <c r="BP55" i="1"/>
  <c r="BF25" i="1"/>
  <c r="BA1397" i="1"/>
  <c r="BC1394" i="1"/>
  <c r="BC1395" i="1" s="1"/>
  <c r="BP1396" i="1"/>
  <c r="BM1406" i="1"/>
  <c r="BO1396" i="1"/>
  <c r="BN1406" i="1"/>
  <c r="BQ1396" i="1"/>
  <c r="BQ1406" i="1" s="1"/>
  <c r="BR1380" i="1"/>
  <c r="BO141" i="1"/>
  <c r="BP37" i="1"/>
  <c r="AZ1397" i="1"/>
  <c r="AZ1398" i="1" s="1"/>
  <c r="AX1398" i="1"/>
  <c r="AX1402" i="1"/>
  <c r="AU1407" i="1"/>
  <c r="AW1407" i="1" s="1"/>
  <c r="AU1403" i="1"/>
  <c r="AW1402" i="1"/>
  <c r="AW1403" i="1" s="1"/>
  <c r="AY1403" i="1"/>
  <c r="AY1407" i="1"/>
  <c r="BD1395" i="1"/>
  <c r="BD1394" i="1" s="1"/>
  <c r="BE1395" i="1"/>
  <c r="BE1394" i="1" s="1"/>
  <c r="BE1397" i="1" s="1"/>
  <c r="BK1405" i="1"/>
  <c r="BN1393" i="1"/>
  <c r="BD1405" i="1"/>
  <c r="BF1405" i="1" s="1"/>
  <c r="BG1393" i="1"/>
  <c r="BF1393" i="1"/>
  <c r="BB1398" i="1"/>
  <c r="BB1402" i="1"/>
  <c r="BL1406" i="1"/>
  <c r="AB575" i="1"/>
  <c r="AB578" i="1"/>
  <c r="AB577" i="1" s="1"/>
  <c r="AC291" i="1"/>
  <c r="AD291" i="1"/>
  <c r="AE283" i="1"/>
  <c r="AD540" i="1"/>
  <c r="AE280" i="1"/>
  <c r="AE287" i="1"/>
  <c r="AE277" i="1"/>
  <c r="AD1133" i="1"/>
  <c r="AD1145" i="1" s="1"/>
  <c r="AD1132" i="1"/>
  <c r="AD1138" i="1" s="1"/>
  <c r="AE1123" i="1"/>
  <c r="AE1126" i="1"/>
  <c r="AE1120" i="1"/>
  <c r="AC1132" i="1"/>
  <c r="AC1139" i="1" s="1"/>
  <c r="AC1133" i="1"/>
  <c r="AC1143" i="1" s="1"/>
  <c r="AE623" i="1"/>
  <c r="AE634" i="1" s="1"/>
  <c r="AE670" i="1"/>
  <c r="AD625" i="1"/>
  <c r="AD93" i="1"/>
  <c r="AD248" i="1"/>
  <c r="AD247" i="1"/>
  <c r="AD137" i="1"/>
  <c r="AD138" i="1" s="1"/>
  <c r="AD240" i="1"/>
  <c r="AD555" i="1"/>
  <c r="AE626" i="1"/>
  <c r="AE259" i="1" s="1"/>
  <c r="AE493" i="1" s="1"/>
  <c r="AC626" i="1"/>
  <c r="AC259" i="1" s="1"/>
  <c r="AD11" i="1"/>
  <c r="AD608" i="1"/>
  <c r="AE677" i="1"/>
  <c r="AE674" i="1"/>
  <c r="AD676" i="1"/>
  <c r="Y1377" i="1"/>
  <c r="Y1378" i="1" s="1"/>
  <c r="BO1406" i="1" l="1"/>
  <c r="AD68" i="1"/>
  <c r="BG25" i="1"/>
  <c r="BQ55" i="1"/>
  <c r="AD249" i="1"/>
  <c r="BN1405" i="1"/>
  <c r="BQ1393" i="1"/>
  <c r="BQ1405" i="1" s="1"/>
  <c r="BP141" i="1"/>
  <c r="BQ37" i="1"/>
  <c r="AZ1402" i="1"/>
  <c r="AZ1403" i="1" s="1"/>
  <c r="AX1407" i="1"/>
  <c r="AZ1407" i="1" s="1"/>
  <c r="AX1403" i="1"/>
  <c r="BP1406" i="1"/>
  <c r="BR1406" i="1" s="1"/>
  <c r="BR1396" i="1"/>
  <c r="BG1405" i="1"/>
  <c r="BI1405" i="1" s="1"/>
  <c r="BJ1393" i="1"/>
  <c r="BI1393" i="1"/>
  <c r="BE1398" i="1"/>
  <c r="BE1402" i="1"/>
  <c r="BG1395" i="1"/>
  <c r="BG1394" i="1" s="1"/>
  <c r="BH1395" i="1"/>
  <c r="BH1394" i="1" s="1"/>
  <c r="BH1397" i="1" s="1"/>
  <c r="BB1407" i="1"/>
  <c r="BB1403" i="1"/>
  <c r="BD1397" i="1"/>
  <c r="BF1394" i="1"/>
  <c r="BF1395" i="1" s="1"/>
  <c r="BA1398" i="1"/>
  <c r="BC1397" i="1"/>
  <c r="BC1398" i="1" s="1"/>
  <c r="BA1402" i="1"/>
  <c r="AC1092" i="1"/>
  <c r="AC1007" i="1"/>
  <c r="AC1008" i="1"/>
  <c r="AC965" i="1"/>
  <c r="AC966" i="1"/>
  <c r="AC967" i="1"/>
  <c r="AC964" i="1"/>
  <c r="AB574" i="1"/>
  <c r="AC578" i="1"/>
  <c r="AC493" i="1"/>
  <c r="AC860" i="1"/>
  <c r="AC861" i="1"/>
  <c r="AE291" i="1"/>
  <c r="AH680" i="1"/>
  <c r="AD1142" i="1"/>
  <c r="AD1139" i="1"/>
  <c r="AD1136" i="1"/>
  <c r="AC1140" i="1"/>
  <c r="AC1144" i="1"/>
  <c r="AD1137" i="1"/>
  <c r="AC1135" i="1"/>
  <c r="AC1145" i="1"/>
  <c r="AD1143" i="1"/>
  <c r="AC1137" i="1"/>
  <c r="AD1140" i="1"/>
  <c r="AD1135" i="1"/>
  <c r="AC1138" i="1"/>
  <c r="AC1136" i="1"/>
  <c r="AD1144" i="1"/>
  <c r="AC1142" i="1"/>
  <c r="AE1133" i="1"/>
  <c r="AE1145" i="1" s="1"/>
  <c r="AE1132" i="1"/>
  <c r="AH679" i="1"/>
  <c r="AD633" i="1"/>
  <c r="AD626" i="1"/>
  <c r="AD259" i="1" s="1"/>
  <c r="AD558" i="1"/>
  <c r="AD565" i="1"/>
  <c r="AD566" i="1" s="1"/>
  <c r="AD560" i="1"/>
  <c r="AD677" i="1"/>
  <c r="AD14" i="1"/>
  <c r="AD232" i="1"/>
  <c r="AH690" i="1" l="1"/>
  <c r="BR55" i="1"/>
  <c r="BH25" i="1"/>
  <c r="BK1395" i="1"/>
  <c r="BK1394" i="1" s="1"/>
  <c r="BK1397" i="1" s="1"/>
  <c r="BJ1395" i="1"/>
  <c r="BJ1394" i="1" s="1"/>
  <c r="BH1398" i="1"/>
  <c r="BH1402" i="1"/>
  <c r="BR37" i="1"/>
  <c r="BQ141" i="1"/>
  <c r="BA1407" i="1"/>
  <c r="BC1407" i="1" s="1"/>
  <c r="BC1402" i="1"/>
  <c r="BC1403" i="1" s="1"/>
  <c r="BA1403" i="1"/>
  <c r="BD1398" i="1"/>
  <c r="BF1397" i="1"/>
  <c r="BF1398" i="1" s="1"/>
  <c r="BD1402" i="1"/>
  <c r="BG1397" i="1"/>
  <c r="BI1394" i="1"/>
  <c r="BI1395" i="1" s="1"/>
  <c r="BJ1405" i="1"/>
  <c r="BL1405" i="1" s="1"/>
  <c r="BM1393" i="1"/>
  <c r="BL1393" i="1"/>
  <c r="BE1407" i="1"/>
  <c r="BE1403" i="1"/>
  <c r="AI493" i="1"/>
  <c r="AD17" i="1"/>
  <c r="AD105" i="1"/>
  <c r="AD1092" i="1"/>
  <c r="AE1092" i="1" s="1"/>
  <c r="AD1007" i="1"/>
  <c r="AD1008" i="1"/>
  <c r="AE1008" i="1" s="1"/>
  <c r="AD965" i="1"/>
  <c r="AD966" i="1"/>
  <c r="AE966" i="1" s="1"/>
  <c r="AE1007" i="1"/>
  <c r="AB580" i="1"/>
  <c r="AD493" i="1"/>
  <c r="AG493" i="1" s="1"/>
  <c r="AD860" i="1"/>
  <c r="AE860" i="1" s="1"/>
  <c r="AD861" i="1"/>
  <c r="AE861" i="1" s="1"/>
  <c r="AE1138" i="1"/>
  <c r="AE1139" i="1"/>
  <c r="AE1140" i="1"/>
  <c r="AE1135" i="1"/>
  <c r="AE1136" i="1"/>
  <c r="AE1142" i="1"/>
  <c r="AE1144" i="1"/>
  <c r="AE1143" i="1"/>
  <c r="AE1137" i="1"/>
  <c r="AD563" i="1"/>
  <c r="AD235" i="1"/>
  <c r="AN1380" i="1"/>
  <c r="AK1380" i="1"/>
  <c r="BR141" i="1" l="1"/>
  <c r="BI25" i="1"/>
  <c r="AL493" i="1"/>
  <c r="AO493" i="1" s="1"/>
  <c r="AR493" i="1" s="1"/>
  <c r="AD234" i="1"/>
  <c r="AD230" i="1"/>
  <c r="AD19" i="1"/>
  <c r="AD181" i="1" s="1"/>
  <c r="BM1405" i="1"/>
  <c r="BO1405" i="1" s="1"/>
  <c r="BO1393" i="1"/>
  <c r="BP1393" i="1"/>
  <c r="BD1403" i="1"/>
  <c r="BD1407" i="1"/>
  <c r="BF1407" i="1" s="1"/>
  <c r="BH1403" i="1"/>
  <c r="BH1407" i="1"/>
  <c r="BF1402" i="1"/>
  <c r="BF1403" i="1" s="1"/>
  <c r="BN1395" i="1"/>
  <c r="BN1394" i="1" s="1"/>
  <c r="BN1397" i="1" s="1"/>
  <c r="BM1395" i="1"/>
  <c r="BM1394" i="1" s="1"/>
  <c r="BJ1397" i="1"/>
  <c r="BL1394" i="1"/>
  <c r="BL1395" i="1" s="1"/>
  <c r="AD179" i="1"/>
  <c r="AD173" i="1" s="1"/>
  <c r="AD229" i="1"/>
  <c r="BG1398" i="1"/>
  <c r="BI1397" i="1"/>
  <c r="BI1398" i="1" s="1"/>
  <c r="BG1402" i="1"/>
  <c r="BK1398" i="1"/>
  <c r="BK1402" i="1"/>
  <c r="AH493" i="1"/>
  <c r="AE965" i="1"/>
  <c r="AJ493" i="1"/>
  <c r="AK493" i="1" s="1"/>
  <c r="AH1380" i="1"/>
  <c r="Y1383" i="1"/>
  <c r="Y1374" i="1"/>
  <c r="BJ25" i="1" l="1"/>
  <c r="AD174" i="1"/>
  <c r="AD242" i="1"/>
  <c r="AD190" i="1"/>
  <c r="AD188" i="1" s="1"/>
  <c r="AD185" i="1"/>
  <c r="AD186" i="1" s="1"/>
  <c r="BG1407" i="1"/>
  <c r="BI1407" i="1" s="1"/>
  <c r="BG1403" i="1"/>
  <c r="BI1402" i="1"/>
  <c r="BI1403" i="1" s="1"/>
  <c r="AU493" i="1"/>
  <c r="BP1395" i="1"/>
  <c r="BP1394" i="1" s="1"/>
  <c r="BQ1395" i="1"/>
  <c r="BQ1394" i="1" s="1"/>
  <c r="BQ1397" i="1" s="1"/>
  <c r="BL1397" i="1"/>
  <c r="BL1398" i="1" s="1"/>
  <c r="BJ1398" i="1"/>
  <c r="BJ1402" i="1"/>
  <c r="BP1405" i="1"/>
  <c r="BR1405" i="1" s="1"/>
  <c r="BR1393" i="1"/>
  <c r="BK1403" i="1"/>
  <c r="BK1407" i="1"/>
  <c r="BM1397" i="1"/>
  <c r="BO1394" i="1"/>
  <c r="BO1395" i="1" s="1"/>
  <c r="BN1398" i="1"/>
  <c r="BN1402" i="1"/>
  <c r="AM493" i="1"/>
  <c r="Y1376" i="1"/>
  <c r="AH1376" i="1" s="1"/>
  <c r="AC1374" i="1"/>
  <c r="AC1375" i="1" s="1"/>
  <c r="AD1374" i="1"/>
  <c r="AD1375" i="1" s="1"/>
  <c r="Y1375" i="1"/>
  <c r="AF1375" i="1" s="1"/>
  <c r="AH1377" i="1"/>
  <c r="AH1378" i="1" s="1"/>
  <c r="AC1217" i="1"/>
  <c r="AC1224" i="1"/>
  <c r="AC1210" i="1"/>
  <c r="AC1260" i="1"/>
  <c r="AC1252" i="1"/>
  <c r="AD1248" i="1"/>
  <c r="AD1249" i="1"/>
  <c r="AD1260" i="1" s="1"/>
  <c r="AD1250" i="1"/>
  <c r="AD1268" i="1" s="1"/>
  <c r="AE1268" i="1" s="1"/>
  <c r="AE1232" i="1"/>
  <c r="AE1277" i="1"/>
  <c r="BK25" i="1" l="1"/>
  <c r="AP493" i="1"/>
  <c r="BO1397" i="1"/>
  <c r="BO1398" i="1" s="1"/>
  <c r="BM1398" i="1"/>
  <c r="BM1402" i="1"/>
  <c r="BQ1398" i="1"/>
  <c r="BQ1402" i="1"/>
  <c r="BN1403" i="1"/>
  <c r="BN1407" i="1"/>
  <c r="BL1402" i="1"/>
  <c r="BL1403" i="1" s="1"/>
  <c r="BJ1407" i="1"/>
  <c r="BL1407" i="1" s="1"/>
  <c r="BJ1403" i="1"/>
  <c r="BP1397" i="1"/>
  <c r="BR1394" i="1"/>
  <c r="BR1395" i="1" s="1"/>
  <c r="AX493" i="1"/>
  <c r="AN493" i="1"/>
  <c r="AE1278" i="1"/>
  <c r="AE1279" i="1" s="1"/>
  <c r="AE1451" i="1" s="1"/>
  <c r="AE576" i="1" s="1"/>
  <c r="AH1280" i="1"/>
  <c r="AD1269" i="1"/>
  <c r="AD1270" i="1" s="1"/>
  <c r="AC1269" i="1"/>
  <c r="AC1270" i="1" s="1"/>
  <c r="AD1261" i="1"/>
  <c r="AD1262" i="1" s="1"/>
  <c r="AC1261" i="1"/>
  <c r="AC1262" i="1" s="1"/>
  <c r="AC1253" i="1"/>
  <c r="AC1254" i="1" s="1"/>
  <c r="AE1233" i="1"/>
  <c r="AE1234" i="1" s="1"/>
  <c r="AC1225" i="1"/>
  <c r="AC1226" i="1" s="1"/>
  <c r="AC1218" i="1"/>
  <c r="AC1219" i="1" s="1"/>
  <c r="AC1211" i="1"/>
  <c r="AC1212" i="1" s="1"/>
  <c r="AE1374" i="1"/>
  <c r="AE1375" i="1" s="1"/>
  <c r="AD1376" i="1"/>
  <c r="AC1376" i="1"/>
  <c r="AC1167" i="1"/>
  <c r="AD1252" i="1"/>
  <c r="AG1375" i="1"/>
  <c r="AJ1375" i="1" s="1"/>
  <c r="AM1375" i="1" s="1"/>
  <c r="AP1375" i="1" s="1"/>
  <c r="AI1375" i="1"/>
  <c r="AL1375" i="1" s="1"/>
  <c r="AO1375" i="1" s="1"/>
  <c r="AR1375" i="1" s="1"/>
  <c r="AE1269" i="1"/>
  <c r="AE1270" i="1" s="1"/>
  <c r="AE1260" i="1"/>
  <c r="AE1261" i="1" s="1"/>
  <c r="AE1262" i="1" s="1"/>
  <c r="BL25" i="1" l="1"/>
  <c r="BM1403" i="1"/>
  <c r="BO1402" i="1"/>
  <c r="BO1403" i="1" s="1"/>
  <c r="BM1407" i="1"/>
  <c r="BO1407" i="1" s="1"/>
  <c r="AU1375" i="1"/>
  <c r="BP1398" i="1"/>
  <c r="BR1397" i="1"/>
  <c r="BR1398" i="1" s="1"/>
  <c r="BP1402" i="1"/>
  <c r="AS493" i="1"/>
  <c r="AQ493" i="1"/>
  <c r="AS1375" i="1"/>
  <c r="BA493" i="1"/>
  <c r="BQ1407" i="1"/>
  <c r="BQ1403" i="1"/>
  <c r="AC1279" i="1"/>
  <c r="AC1451" i="1" s="1"/>
  <c r="AC576" i="1" s="1"/>
  <c r="AC1377" i="1"/>
  <c r="AC1378" i="1" s="1"/>
  <c r="AC1385" i="1"/>
  <c r="AD1377" i="1"/>
  <c r="AD1382" i="1" s="1"/>
  <c r="AD1385" i="1"/>
  <c r="AC1242" i="1"/>
  <c r="AC1452" i="1" s="1"/>
  <c r="AC579" i="1" s="1"/>
  <c r="AD1253" i="1"/>
  <c r="AD1254" i="1" s="1"/>
  <c r="AD1279" i="1" s="1"/>
  <c r="AD1451" i="1" s="1"/>
  <c r="AD576" i="1" s="1"/>
  <c r="AC1169" i="1"/>
  <c r="AC1184" i="1"/>
  <c r="AE1376" i="1"/>
  <c r="AC1172" i="1"/>
  <c r="AC536" i="1"/>
  <c r="AE1252" i="1"/>
  <c r="AE1253" i="1" s="1"/>
  <c r="AE1254" i="1" s="1"/>
  <c r="BM25" i="1" l="1"/>
  <c r="AC1382" i="1"/>
  <c r="AC1386" i="1" s="1"/>
  <c r="AV1375" i="1"/>
  <c r="AY1375" i="1" s="1"/>
  <c r="AV493" i="1"/>
  <c r="AT493" i="1"/>
  <c r="BD493" i="1"/>
  <c r="BP1403" i="1"/>
  <c r="BP1407" i="1"/>
  <c r="BR1407" i="1" s="1"/>
  <c r="BR1402" i="1"/>
  <c r="BR1403" i="1" s="1"/>
  <c r="AX1375" i="1"/>
  <c r="BA1375" i="1" s="1"/>
  <c r="AE1377" i="1"/>
  <c r="AE1378" i="1" s="1"/>
  <c r="AD1378" i="1"/>
  <c r="AE1385" i="1"/>
  <c r="AD1383" i="1"/>
  <c r="AD1386" i="1"/>
  <c r="AC538" i="1"/>
  <c r="AC276" i="1" s="1"/>
  <c r="AC541" i="1"/>
  <c r="AC567" i="1"/>
  <c r="AC568" i="1" s="1"/>
  <c r="BN25" i="1" l="1"/>
  <c r="AE1382" i="1"/>
  <c r="AE1383" i="1" s="1"/>
  <c r="AC1383" i="1"/>
  <c r="AY493" i="1"/>
  <c r="AW493" i="1"/>
  <c r="BD1375" i="1"/>
  <c r="BG493" i="1"/>
  <c r="BB1375" i="1"/>
  <c r="AE1386" i="1"/>
  <c r="AC336" i="1"/>
  <c r="AC268" i="1" s="1"/>
  <c r="AC8" i="1"/>
  <c r="AC543" i="1"/>
  <c r="AC582" i="1" s="1"/>
  <c r="AC570" i="1"/>
  <c r="AC571" i="1" s="1"/>
  <c r="BO25" i="1" l="1"/>
  <c r="BE1375" i="1"/>
  <c r="BG1375" i="1"/>
  <c r="BB493" i="1"/>
  <c r="AZ493" i="1"/>
  <c r="BJ493" i="1"/>
  <c r="AC269" i="1"/>
  <c r="AC271" i="1"/>
  <c r="AC273" i="1"/>
  <c r="AC270" i="1"/>
  <c r="AC272" i="1"/>
  <c r="AC120" i="1"/>
  <c r="AC130" i="1"/>
  <c r="AC241" i="1"/>
  <c r="AC227" i="1"/>
  <c r="AC126" i="1"/>
  <c r="AC226" i="1"/>
  <c r="AC129" i="1"/>
  <c r="AC237" i="1"/>
  <c r="AC236" i="1"/>
  <c r="AC119" i="1"/>
  <c r="AC225" i="1"/>
  <c r="AC118" i="1"/>
  <c r="BP25" i="1" l="1"/>
  <c r="BJ1375" i="1"/>
  <c r="BH1375" i="1"/>
  <c r="BM493" i="1"/>
  <c r="BE493" i="1"/>
  <c r="BC493" i="1"/>
  <c r="AC577" i="1"/>
  <c r="AC239" i="1"/>
  <c r="AF1376" i="1"/>
  <c r="AG1376" i="1"/>
  <c r="H16" i="4" l="1"/>
  <c r="BQ25" i="1"/>
  <c r="BH493" i="1"/>
  <c r="BF493" i="1"/>
  <c r="BK1375" i="1"/>
  <c r="BP493" i="1"/>
  <c r="BM1375" i="1"/>
  <c r="AF1385" i="1"/>
  <c r="AF1344" i="1" s="1"/>
  <c r="AG1385" i="1"/>
  <c r="AI1376" i="1"/>
  <c r="AI1385" i="1" s="1"/>
  <c r="AJ1376" i="1"/>
  <c r="AJ1385" i="1" s="1"/>
  <c r="I16" i="4" l="1"/>
  <c r="BR25" i="1"/>
  <c r="BN1375" i="1"/>
  <c r="BP1375" i="1"/>
  <c r="BK493" i="1"/>
  <c r="BI493" i="1"/>
  <c r="AK1385" i="1"/>
  <c r="AH1385" i="1"/>
  <c r="AH1344" i="1" s="1"/>
  <c r="AG1291" i="1"/>
  <c r="AK1376" i="1"/>
  <c r="AL1376" i="1"/>
  <c r="AM1376" i="1"/>
  <c r="J16" i="4" l="1"/>
  <c r="AM1385" i="1"/>
  <c r="AP1376" i="1"/>
  <c r="BL493" i="1"/>
  <c r="BN493" i="1"/>
  <c r="BQ1375" i="1"/>
  <c r="AL1385" i="1"/>
  <c r="AN1385" i="1" s="1"/>
  <c r="AO1376" i="1"/>
  <c r="AH1291" i="1"/>
  <c r="AF1170" i="1"/>
  <c r="AN1376" i="1"/>
  <c r="AF1180" i="1" l="1"/>
  <c r="AF1183" i="1"/>
  <c r="K16" i="4"/>
  <c r="BQ493" i="1"/>
  <c r="BO493" i="1"/>
  <c r="AS1376" i="1"/>
  <c r="AP1385" i="1"/>
  <c r="AO1385" i="1"/>
  <c r="AR1376" i="1"/>
  <c r="AQ1376" i="1"/>
  <c r="AD1167" i="1"/>
  <c r="AE1167" i="1"/>
  <c r="L16" i="4" l="1"/>
  <c r="AQ1385" i="1"/>
  <c r="AR1385" i="1"/>
  <c r="AU1376" i="1"/>
  <c r="AT1376" i="1"/>
  <c r="AS1385" i="1"/>
  <c r="AV1376" i="1"/>
  <c r="BR493" i="1"/>
  <c r="AE1184" i="1"/>
  <c r="AD536" i="1"/>
  <c r="AD1184" i="1"/>
  <c r="AD1172" i="1"/>
  <c r="AD1169" i="1"/>
  <c r="AE536" i="1"/>
  <c r="AE1210" i="1"/>
  <c r="AE1217" i="1"/>
  <c r="AE1224" i="1"/>
  <c r="AV1385" i="1" l="1"/>
  <c r="AY1376" i="1"/>
  <c r="AT1385" i="1"/>
  <c r="AU1385" i="1"/>
  <c r="AX1376" i="1"/>
  <c r="AW1376" i="1"/>
  <c r="AD541" i="1"/>
  <c r="AD1224" i="1"/>
  <c r="AE1225" i="1"/>
  <c r="AE1226" i="1" s="1"/>
  <c r="AD1217" i="1"/>
  <c r="AD1206" i="1" s="1"/>
  <c r="AE1218" i="1"/>
  <c r="AE1219" i="1" s="1"/>
  <c r="AD1210" i="1"/>
  <c r="AE1211" i="1"/>
  <c r="AE1212" i="1" s="1"/>
  <c r="AD538" i="1"/>
  <c r="AD336" i="1" s="1"/>
  <c r="AD567" i="1"/>
  <c r="AD568" i="1" s="1"/>
  <c r="AE541" i="1"/>
  <c r="AE567" i="1"/>
  <c r="AE568" i="1" s="1"/>
  <c r="AE538" i="1"/>
  <c r="AE336" i="1" s="1"/>
  <c r="AE1169" i="1"/>
  <c r="AE1172" i="1"/>
  <c r="AW1385" i="1" l="1"/>
  <c r="AX1385" i="1"/>
  <c r="BA1376" i="1"/>
  <c r="AZ1376" i="1"/>
  <c r="AY1385" i="1"/>
  <c r="BB1376" i="1"/>
  <c r="AD570" i="1"/>
  <c r="AD571" i="1" s="1"/>
  <c r="AD276" i="1"/>
  <c r="AE570" i="1"/>
  <c r="AE571" i="1" s="1"/>
  <c r="AE276" i="1"/>
  <c r="AD1205" i="1"/>
  <c r="AD1225" i="1"/>
  <c r="AD1226" i="1" s="1"/>
  <c r="AD1207" i="1"/>
  <c r="AD1211" i="1"/>
  <c r="AD1212" i="1" s="1"/>
  <c r="AD1218" i="1"/>
  <c r="AD1219" i="1" s="1"/>
  <c r="AD543" i="1"/>
  <c r="AD8" i="1"/>
  <c r="AH1297" i="1"/>
  <c r="AE8" i="1"/>
  <c r="AE543" i="1"/>
  <c r="AD225" i="1" l="1"/>
  <c r="BB1385" i="1"/>
  <c r="BE1376" i="1"/>
  <c r="AZ1385" i="1"/>
  <c r="BD1376" i="1"/>
  <c r="BA1385" i="1"/>
  <c r="BC1376" i="1"/>
  <c r="AE268" i="1"/>
  <c r="AE272" i="1"/>
  <c r="AE269" i="1"/>
  <c r="AE271" i="1"/>
  <c r="AE270" i="1"/>
  <c r="AE273" i="1"/>
  <c r="AD269" i="1"/>
  <c r="AD272" i="1"/>
  <c r="AD268" i="1"/>
  <c r="AD271" i="1"/>
  <c r="AD270" i="1"/>
  <c r="AD273" i="1"/>
  <c r="AD1242" i="1"/>
  <c r="AD1452" i="1" s="1"/>
  <c r="AD579" i="1" s="1"/>
  <c r="AD227" i="1"/>
  <c r="AD130" i="1"/>
  <c r="AD120" i="1"/>
  <c r="AG120" i="1" s="1"/>
  <c r="AJ120" i="1" s="1"/>
  <c r="AM120" i="1" s="1"/>
  <c r="AP120" i="1" s="1"/>
  <c r="AS120" i="1" s="1"/>
  <c r="AV120" i="1" s="1"/>
  <c r="AY120" i="1" s="1"/>
  <c r="BB120" i="1" s="1"/>
  <c r="BE120" i="1" s="1"/>
  <c r="BH120" i="1" s="1"/>
  <c r="BK120" i="1" s="1"/>
  <c r="BN120" i="1" s="1"/>
  <c r="BQ120" i="1" s="1"/>
  <c r="AD236" i="1"/>
  <c r="AD226" i="1"/>
  <c r="AD118" i="1"/>
  <c r="AG118" i="1" s="1"/>
  <c r="AJ118" i="1" s="1"/>
  <c r="AM118" i="1" s="1"/>
  <c r="AP118" i="1" s="1"/>
  <c r="AS118" i="1" s="1"/>
  <c r="AV118" i="1" s="1"/>
  <c r="AY118" i="1" s="1"/>
  <c r="BB118" i="1" s="1"/>
  <c r="BE118" i="1" s="1"/>
  <c r="BH118" i="1" s="1"/>
  <c r="BK118" i="1" s="1"/>
  <c r="AD241" i="1"/>
  <c r="AD119" i="1"/>
  <c r="AG119" i="1" s="1"/>
  <c r="AJ119" i="1" s="1"/>
  <c r="AM119" i="1" s="1"/>
  <c r="AP119" i="1" s="1"/>
  <c r="AS119" i="1" s="1"/>
  <c r="AV119" i="1" s="1"/>
  <c r="AY119" i="1" s="1"/>
  <c r="BB119" i="1" s="1"/>
  <c r="BE119" i="1" s="1"/>
  <c r="BH119" i="1" s="1"/>
  <c r="BK119" i="1" s="1"/>
  <c r="AD129" i="1"/>
  <c r="AD126" i="1"/>
  <c r="AD237" i="1"/>
  <c r="AE120" i="1"/>
  <c r="AE130" i="1"/>
  <c r="AE118" i="1"/>
  <c r="AE225" i="1"/>
  <c r="D4" i="4"/>
  <c r="D7" i="4" s="1"/>
  <c r="AE126" i="1"/>
  <c r="AE227" i="1"/>
  <c r="AE226" i="1"/>
  <c r="AE236" i="1"/>
  <c r="AE241" i="1"/>
  <c r="Q43" i="4" s="1"/>
  <c r="AE119" i="1"/>
  <c r="AE129" i="1"/>
  <c r="AE237" i="1"/>
  <c r="Q44" i="4" s="1"/>
  <c r="BN119" i="1" l="1"/>
  <c r="BQ119" i="1" s="1"/>
  <c r="BD1385" i="1"/>
  <c r="BG1376" i="1"/>
  <c r="BF1376" i="1"/>
  <c r="BE1385" i="1"/>
  <c r="BH1376" i="1"/>
  <c r="BC1385" i="1"/>
  <c r="Q46" i="4"/>
  <c r="AD239" i="1"/>
  <c r="D10" i="4"/>
  <c r="D5" i="4"/>
  <c r="AE239" i="1"/>
  <c r="BJ1376" i="1" l="1"/>
  <c r="BG1385" i="1"/>
  <c r="BI1376" i="1"/>
  <c r="BH1385" i="1"/>
  <c r="BK1376" i="1"/>
  <c r="BF1385" i="1"/>
  <c r="BK1385" i="1" l="1"/>
  <c r="BN1376" i="1"/>
  <c r="BM1376" i="1"/>
  <c r="BJ1385" i="1"/>
  <c r="BL1376" i="1"/>
  <c r="BI1385" i="1"/>
  <c r="BM1385" i="1" l="1"/>
  <c r="BP1376" i="1"/>
  <c r="BO1376" i="1"/>
  <c r="BN1385" i="1"/>
  <c r="BQ1376" i="1"/>
  <c r="BQ1385" i="1" s="1"/>
  <c r="BL1385" i="1"/>
  <c r="AH1295" i="1"/>
  <c r="BO1385" i="1" l="1"/>
  <c r="BP1385" i="1"/>
  <c r="BR1376" i="1"/>
  <c r="BR1385" i="1" l="1"/>
  <c r="AC1292" i="1"/>
  <c r="AD1292" i="1"/>
  <c r="AE1292" i="1"/>
  <c r="AE1303" i="1" l="1"/>
  <c r="AD1303" i="1"/>
  <c r="AC1303" i="1"/>
  <c r="AD1293" i="1"/>
  <c r="AE1293" i="1"/>
  <c r="AC1293" i="1"/>
  <c r="AI60" i="1" l="1"/>
  <c r="AJ60" i="1"/>
  <c r="AK60" i="1"/>
  <c r="G24" i="4" l="1"/>
  <c r="E24" i="4"/>
  <c r="F24" i="4"/>
  <c r="AJ74" i="1"/>
  <c r="AI74" i="1"/>
  <c r="AH74" i="1" l="1"/>
  <c r="AK74" i="1"/>
  <c r="G35" i="4" l="1"/>
  <c r="E35" i="4"/>
  <c r="F35" i="4"/>
  <c r="AA675" i="1" l="1"/>
  <c r="AA676" i="1" l="1"/>
  <c r="AA625" i="1"/>
  <c r="AA633" i="1" s="1"/>
  <c r="AA687" i="1" l="1"/>
  <c r="AD687" i="1"/>
  <c r="AA677" i="1"/>
  <c r="AA626" i="1"/>
  <c r="AA259" i="1" s="1"/>
  <c r="AA1092" i="1" s="1"/>
  <c r="AB1092" i="1" s="1"/>
  <c r="O676" i="1"/>
  <c r="AA578" i="1" l="1"/>
  <c r="AA577" i="1" s="1"/>
  <c r="AA575" i="1"/>
  <c r="AA574" i="1" s="1"/>
  <c r="AA1007" i="1"/>
  <c r="AB1007" i="1" s="1"/>
  <c r="AA1008" i="1"/>
  <c r="AB1008" i="1" s="1"/>
  <c r="AA965" i="1"/>
  <c r="AA966" i="1"/>
  <c r="AA860" i="1"/>
  <c r="AB860" i="1" s="1"/>
  <c r="AA861" i="1"/>
  <c r="AB861" i="1" s="1"/>
  <c r="AA862" i="1"/>
  <c r="AB862" i="1" s="1"/>
  <c r="O677" i="1"/>
  <c r="O687" i="1"/>
  <c r="R687" i="1"/>
  <c r="W979" i="1"/>
  <c r="W983" i="1"/>
  <c r="AB966" i="1" l="1"/>
  <c r="AB965" i="1"/>
  <c r="AA580" i="1"/>
  <c r="W985" i="1"/>
  <c r="W988" i="1"/>
  <c r="W984" i="1"/>
  <c r="X983" i="1"/>
  <c r="X979" i="1"/>
  <c r="X985" i="1" l="1"/>
  <c r="X988" i="1"/>
  <c r="Y988" i="1" s="1"/>
  <c r="X984" i="1"/>
  <c r="Z983" i="1"/>
  <c r="AC988" i="1" s="1"/>
  <c r="Z979" i="1"/>
  <c r="Y979" i="1"/>
  <c r="Y983" i="1"/>
  <c r="Y985" i="1" s="1"/>
  <c r="Z985" i="1" l="1"/>
  <c r="Z988" i="1"/>
  <c r="Z984" i="1"/>
  <c r="Y984" i="1"/>
  <c r="AA979" i="1"/>
  <c r="AA983" i="1"/>
  <c r="AD988" i="1" s="1"/>
  <c r="AE988" i="1" s="1"/>
  <c r="AA985" i="1" l="1"/>
  <c r="AA988" i="1"/>
  <c r="AB988" i="1" s="1"/>
  <c r="AA984" i="1"/>
  <c r="V936" i="1"/>
  <c r="V937" i="1" s="1"/>
  <c r="W939" i="1" l="1"/>
  <c r="X939" i="1"/>
  <c r="X941" i="1" l="1"/>
  <c r="AA939" i="1"/>
  <c r="Z939" i="1"/>
  <c r="W941" i="1"/>
  <c r="Y939" i="1"/>
  <c r="Y941" i="1" s="1"/>
  <c r="W946" i="1" l="1"/>
  <c r="W943" i="1"/>
  <c r="Y942" i="1"/>
  <c r="Y943" i="1"/>
  <c r="X942" i="1"/>
  <c r="X943" i="1"/>
  <c r="X946" i="1"/>
  <c r="W942" i="1"/>
  <c r="AA941" i="1"/>
  <c r="AB939" i="1"/>
  <c r="Z941" i="1"/>
  <c r="AC939" i="1"/>
  <c r="AF939" i="1" s="1"/>
  <c r="AF941" i="1" l="1"/>
  <c r="AI939" i="1"/>
  <c r="Y946" i="1"/>
  <c r="Z946" i="1"/>
  <c r="Z943" i="1"/>
  <c r="AA946" i="1"/>
  <c r="AA943" i="1"/>
  <c r="Z942" i="1"/>
  <c r="AA942" i="1"/>
  <c r="AB941" i="1"/>
  <c r="AD939" i="1"/>
  <c r="AC941" i="1"/>
  <c r="AD941" i="1" l="1"/>
  <c r="AD942" i="1" s="1"/>
  <c r="AG939" i="1"/>
  <c r="AI941" i="1"/>
  <c r="AL939" i="1"/>
  <c r="AO939" i="1" s="1"/>
  <c r="AF942" i="1"/>
  <c r="AF943" i="1"/>
  <c r="AF946" i="1"/>
  <c r="AC946" i="1"/>
  <c r="AC943" i="1"/>
  <c r="AB942" i="1"/>
  <c r="AB943" i="1"/>
  <c r="AB946" i="1"/>
  <c r="AC942" i="1"/>
  <c r="AE938" i="1"/>
  <c r="AE939" i="1"/>
  <c r="AE941" i="1" s="1"/>
  <c r="X1206" i="1"/>
  <c r="AD943" i="1" l="1"/>
  <c r="AD946" i="1"/>
  <c r="AE946" i="1" s="1"/>
  <c r="AR939" i="1"/>
  <c r="AO941" i="1"/>
  <c r="AL941" i="1"/>
  <c r="AG941" i="1"/>
  <c r="AJ939" i="1"/>
  <c r="AH939" i="1"/>
  <c r="AH941" i="1" s="1"/>
  <c r="AI943" i="1"/>
  <c r="AI946" i="1"/>
  <c r="AI942" i="1"/>
  <c r="AE942" i="1"/>
  <c r="AE943" i="1"/>
  <c r="C44" i="4"/>
  <c r="AB91" i="1"/>
  <c r="AB92" i="1" s="1"/>
  <c r="AA87" i="1"/>
  <c r="Z91" i="1"/>
  <c r="AA88" i="1" s="1"/>
  <c r="AO943" i="1" l="1"/>
  <c r="AO946" i="1"/>
  <c r="AO942" i="1"/>
  <c r="AU939" i="1"/>
  <c r="AR941" i="1"/>
  <c r="AG946" i="1"/>
  <c r="AH946" i="1" s="1"/>
  <c r="AG942" i="1"/>
  <c r="AG943" i="1"/>
  <c r="AL946" i="1"/>
  <c r="AL942" i="1"/>
  <c r="AL943" i="1"/>
  <c r="AH942" i="1"/>
  <c r="AH943" i="1"/>
  <c r="AM939" i="1"/>
  <c r="AP939" i="1" s="1"/>
  <c r="AJ941" i="1"/>
  <c r="AK939" i="1"/>
  <c r="AK941" i="1" s="1"/>
  <c r="Z92" i="1"/>
  <c r="AA91" i="1"/>
  <c r="AA92" i="1" s="1"/>
  <c r="AX939" i="1" l="1"/>
  <c r="AU941" i="1"/>
  <c r="AS939" i="1"/>
  <c r="AP941" i="1"/>
  <c r="AQ939" i="1"/>
  <c r="AQ941" i="1" s="1"/>
  <c r="AR943" i="1"/>
  <c r="AR942" i="1"/>
  <c r="AR946" i="1"/>
  <c r="AK942" i="1"/>
  <c r="AK943" i="1"/>
  <c r="AJ943" i="1"/>
  <c r="AJ942" i="1"/>
  <c r="AJ946" i="1"/>
  <c r="AK946" i="1" s="1"/>
  <c r="AM941" i="1"/>
  <c r="AN939" i="1"/>
  <c r="AN941" i="1" s="1"/>
  <c r="S1002" i="1"/>
  <c r="AT939" i="1" l="1"/>
  <c r="AT941" i="1" s="1"/>
  <c r="AV939" i="1"/>
  <c r="AS941" i="1"/>
  <c r="AU946" i="1"/>
  <c r="AU942" i="1"/>
  <c r="AU943" i="1"/>
  <c r="AQ943" i="1"/>
  <c r="AQ942" i="1"/>
  <c r="AP942" i="1"/>
  <c r="AP943" i="1"/>
  <c r="AP946" i="1"/>
  <c r="AQ946" i="1" s="1"/>
  <c r="BA939" i="1"/>
  <c r="AX941" i="1"/>
  <c r="AM946" i="1"/>
  <c r="AN946" i="1" s="1"/>
  <c r="AM943" i="1"/>
  <c r="AM942" i="1"/>
  <c r="AN942" i="1"/>
  <c r="AN943" i="1"/>
  <c r="Q997" i="1"/>
  <c r="S996" i="1"/>
  <c r="S997" i="1" s="1"/>
  <c r="V997" i="1" s="1"/>
  <c r="U1002" i="1"/>
  <c r="T1002" i="1"/>
  <c r="AX946" i="1" l="1"/>
  <c r="AX943" i="1"/>
  <c r="AX942" i="1"/>
  <c r="AS946" i="1"/>
  <c r="AT946" i="1" s="1"/>
  <c r="AS943" i="1"/>
  <c r="AS942" i="1"/>
  <c r="AY939" i="1"/>
  <c r="AV941" i="1"/>
  <c r="AW939" i="1"/>
  <c r="AW941" i="1" s="1"/>
  <c r="BD939" i="1"/>
  <c r="BA941" i="1"/>
  <c r="AT942" i="1"/>
  <c r="AT943" i="1"/>
  <c r="Y997" i="1"/>
  <c r="V996" i="1"/>
  <c r="V1002" i="1"/>
  <c r="X1002" i="1"/>
  <c r="W1002" i="1"/>
  <c r="BB939" i="1" l="1"/>
  <c r="AY941" i="1"/>
  <c r="AZ939" i="1"/>
  <c r="AZ941" i="1" s="1"/>
  <c r="BG939" i="1"/>
  <c r="BD941" i="1"/>
  <c r="AW943" i="1"/>
  <c r="AW942" i="1"/>
  <c r="BA942" i="1"/>
  <c r="BA946" i="1"/>
  <c r="BA943" i="1"/>
  <c r="AV943" i="1"/>
  <c r="AV942" i="1"/>
  <c r="AV946" i="1"/>
  <c r="AW946" i="1" s="1"/>
  <c r="T996" i="1"/>
  <c r="U996" i="1"/>
  <c r="AB997" i="1"/>
  <c r="Y996" i="1"/>
  <c r="Y1002" i="1"/>
  <c r="Z1002" i="1"/>
  <c r="AC1002" i="1" s="1"/>
  <c r="AA1002" i="1"/>
  <c r="AD1002" i="1" s="1"/>
  <c r="BJ939" i="1" l="1"/>
  <c r="BG941" i="1"/>
  <c r="AZ942" i="1"/>
  <c r="AZ943" i="1"/>
  <c r="AY946" i="1"/>
  <c r="AZ946" i="1" s="1"/>
  <c r="AY942" i="1"/>
  <c r="AY943" i="1"/>
  <c r="BD943" i="1"/>
  <c r="BD942" i="1"/>
  <c r="BD946" i="1"/>
  <c r="BE939" i="1"/>
  <c r="BB941" i="1"/>
  <c r="BC939" i="1"/>
  <c r="BC941" i="1" s="1"/>
  <c r="AG1002" i="1"/>
  <c r="AF1002" i="1"/>
  <c r="AE1002" i="1"/>
  <c r="AB996" i="1"/>
  <c r="AA996" i="1" s="1"/>
  <c r="AE997" i="1"/>
  <c r="U997" i="1"/>
  <c r="U999" i="1"/>
  <c r="X996" i="1"/>
  <c r="W996" i="1"/>
  <c r="T997" i="1"/>
  <c r="T999" i="1"/>
  <c r="AB1002" i="1"/>
  <c r="BC943" i="1" l="1"/>
  <c r="BC942" i="1"/>
  <c r="BG942" i="1"/>
  <c r="BG946" i="1"/>
  <c r="BG943" i="1"/>
  <c r="BB943" i="1"/>
  <c r="BB942" i="1"/>
  <c r="BB946" i="1"/>
  <c r="BC946" i="1" s="1"/>
  <c r="BF939" i="1"/>
  <c r="BF941" i="1" s="1"/>
  <c r="BH939" i="1"/>
  <c r="BE941" i="1"/>
  <c r="BM939" i="1"/>
  <c r="BJ941" i="1"/>
  <c r="Z996" i="1"/>
  <c r="Z997" i="1" s="1"/>
  <c r="AH997" i="1"/>
  <c r="AE996" i="1"/>
  <c r="AH1002" i="1"/>
  <c r="AI1002" i="1"/>
  <c r="AJ1002" i="1"/>
  <c r="W999" i="1"/>
  <c r="W997" i="1"/>
  <c r="X997" i="1"/>
  <c r="X999" i="1"/>
  <c r="T1000" i="1"/>
  <c r="V999" i="1"/>
  <c r="T1004" i="1"/>
  <c r="AA997" i="1"/>
  <c r="AA999" i="1"/>
  <c r="U1000" i="1"/>
  <c r="U1004" i="1"/>
  <c r="Z999" i="1" l="1"/>
  <c r="Z1000" i="1" s="1"/>
  <c r="BP939" i="1"/>
  <c r="BM941" i="1"/>
  <c r="BE942" i="1"/>
  <c r="BE946" i="1"/>
  <c r="BF946" i="1" s="1"/>
  <c r="BE943" i="1"/>
  <c r="BJ942" i="1"/>
  <c r="BJ943" i="1"/>
  <c r="BJ946" i="1"/>
  <c r="BK939" i="1"/>
  <c r="BH941" i="1"/>
  <c r="BI939" i="1"/>
  <c r="BI941" i="1" s="1"/>
  <c r="BF942" i="1"/>
  <c r="BF943" i="1"/>
  <c r="AM1002" i="1"/>
  <c r="AP1002" i="1" s="1"/>
  <c r="AC996" i="1"/>
  <c r="AD996" i="1"/>
  <c r="AK997" i="1"/>
  <c r="AH996" i="1"/>
  <c r="AL1002" i="1"/>
  <c r="AO1002" i="1" s="1"/>
  <c r="AK1002" i="1"/>
  <c r="U1005" i="1"/>
  <c r="T1005" i="1"/>
  <c r="X1000" i="1"/>
  <c r="X1004" i="1"/>
  <c r="X1009" i="1" s="1"/>
  <c r="V1000" i="1"/>
  <c r="V1004" i="1"/>
  <c r="V1005" i="1" s="1"/>
  <c r="AA1000" i="1"/>
  <c r="AA1004" i="1"/>
  <c r="Y999" i="1"/>
  <c r="W1000" i="1"/>
  <c r="W1004" i="1"/>
  <c r="W1009" i="1" s="1"/>
  <c r="Y895" i="1"/>
  <c r="Y897" i="1"/>
  <c r="Z1004" i="1" l="1"/>
  <c r="Z1005" i="1" s="1"/>
  <c r="AB999" i="1"/>
  <c r="AR1002" i="1"/>
  <c r="AQ1002" i="1"/>
  <c r="BI942" i="1"/>
  <c r="BI943" i="1"/>
  <c r="AS1002" i="1"/>
  <c r="BH942" i="1"/>
  <c r="BH943" i="1"/>
  <c r="BH946" i="1"/>
  <c r="BI946" i="1" s="1"/>
  <c r="BM942" i="1"/>
  <c r="BM943" i="1"/>
  <c r="BM946" i="1"/>
  <c r="BN939" i="1"/>
  <c r="BK941" i="1"/>
  <c r="BL939" i="1"/>
  <c r="BL941" i="1" s="1"/>
  <c r="BP941" i="1"/>
  <c r="Y1009" i="1"/>
  <c r="AN1002" i="1"/>
  <c r="AC999" i="1"/>
  <c r="AC997" i="1"/>
  <c r="AG996" i="1"/>
  <c r="AF996" i="1"/>
  <c r="AN997" i="1"/>
  <c r="AK996" i="1"/>
  <c r="AD997" i="1"/>
  <c r="AD999" i="1"/>
  <c r="AA1009" i="1"/>
  <c r="Z1009" i="1"/>
  <c r="AA1005" i="1"/>
  <c r="W1005" i="1"/>
  <c r="X1005" i="1"/>
  <c r="Y1000" i="1"/>
  <c r="Y1004" i="1"/>
  <c r="Y1005" i="1" s="1"/>
  <c r="AB1000" i="1"/>
  <c r="AB1004" i="1"/>
  <c r="AB1005" i="1" s="1"/>
  <c r="AA897" i="1"/>
  <c r="AA899" i="1" s="1"/>
  <c r="BL942" i="1" l="1"/>
  <c r="BL943" i="1"/>
  <c r="BK942" i="1"/>
  <c r="BK946" i="1"/>
  <c r="BL946" i="1" s="1"/>
  <c r="BK943" i="1"/>
  <c r="BP942" i="1"/>
  <c r="BP946" i="1"/>
  <c r="BP943" i="1"/>
  <c r="BQ939" i="1"/>
  <c r="BN941" i="1"/>
  <c r="BO939" i="1"/>
  <c r="BO941" i="1" s="1"/>
  <c r="AT1002" i="1"/>
  <c r="AV1002" i="1"/>
  <c r="AN996" i="1"/>
  <c r="AM996" i="1" s="1"/>
  <c r="AQ997" i="1"/>
  <c r="AU1002" i="1"/>
  <c r="AI996" i="1"/>
  <c r="AJ996" i="1"/>
  <c r="AD1000" i="1"/>
  <c r="AD1004" i="1"/>
  <c r="AC1000" i="1"/>
  <c r="AE999" i="1"/>
  <c r="AC1004" i="1"/>
  <c r="AF999" i="1"/>
  <c r="AF997" i="1"/>
  <c r="AG997" i="1"/>
  <c r="AG999" i="1"/>
  <c r="AA901" i="1"/>
  <c r="AA904" i="1"/>
  <c r="AB1009" i="1"/>
  <c r="AA900" i="1"/>
  <c r="Z897" i="1"/>
  <c r="Z899" i="1" s="1"/>
  <c r="AD897" i="1"/>
  <c r="AG897" i="1" s="1"/>
  <c r="AL996" i="1" l="1"/>
  <c r="AL999" i="1" s="1"/>
  <c r="BO942" i="1"/>
  <c r="BO943" i="1"/>
  <c r="AX1002" i="1"/>
  <c r="AW1002" i="1"/>
  <c r="BN942" i="1"/>
  <c r="BN943" i="1"/>
  <c r="BN946" i="1"/>
  <c r="BO946" i="1" s="1"/>
  <c r="AT997" i="1"/>
  <c r="AQ996" i="1"/>
  <c r="AY1002" i="1"/>
  <c r="BQ941" i="1"/>
  <c r="BR939" i="1"/>
  <c r="BR941" i="1" s="1"/>
  <c r="AJ897" i="1"/>
  <c r="AG899" i="1"/>
  <c r="AD1009" i="1"/>
  <c r="AD1005" i="1"/>
  <c r="AD1006" i="1"/>
  <c r="AF1000" i="1"/>
  <c r="AH999" i="1"/>
  <c r="AF1004" i="1"/>
  <c r="AM997" i="1"/>
  <c r="AM999" i="1"/>
  <c r="AJ997" i="1"/>
  <c r="AJ999" i="1"/>
  <c r="AE1000" i="1"/>
  <c r="AE1004" i="1"/>
  <c r="AG1000" i="1"/>
  <c r="AG1004" i="1"/>
  <c r="AC1009" i="1"/>
  <c r="AC1005" i="1"/>
  <c r="AC1006" i="1"/>
  <c r="AL997" i="1"/>
  <c r="AI999" i="1"/>
  <c r="AI997" i="1"/>
  <c r="Z900" i="1"/>
  <c r="Z904" i="1"/>
  <c r="AB904" i="1" s="1"/>
  <c r="Z901" i="1"/>
  <c r="AB897" i="1"/>
  <c r="AB899" i="1" s="1"/>
  <c r="AC897" i="1"/>
  <c r="AD899" i="1"/>
  <c r="AZ1002" i="1" l="1"/>
  <c r="BB1002" i="1"/>
  <c r="BA1002" i="1"/>
  <c r="BR942" i="1"/>
  <c r="BR943" i="1"/>
  <c r="AO996" i="1"/>
  <c r="AP996" i="1"/>
  <c r="BQ942" i="1"/>
  <c r="BQ946" i="1"/>
  <c r="BR946" i="1" s="1"/>
  <c r="BQ943" i="1"/>
  <c r="AT996" i="1"/>
  <c r="AW997" i="1"/>
  <c r="AE897" i="1"/>
  <c r="AE899" i="1" s="1"/>
  <c r="AE901" i="1" s="1"/>
  <c r="AF897" i="1"/>
  <c r="AF1005" i="1"/>
  <c r="AH1000" i="1"/>
  <c r="AH1004" i="1"/>
  <c r="AE1009" i="1"/>
  <c r="AG1005" i="1"/>
  <c r="AI1000" i="1"/>
  <c r="AK999" i="1"/>
  <c r="AI1004" i="1"/>
  <c r="AE1005" i="1"/>
  <c r="AE1006" i="1"/>
  <c r="AM1000" i="1"/>
  <c r="AM1004" i="1"/>
  <c r="AG904" i="1"/>
  <c r="AG901" i="1"/>
  <c r="AG900" i="1"/>
  <c r="AJ1000" i="1"/>
  <c r="AJ1004" i="1"/>
  <c r="AN999" i="1"/>
  <c r="AL1000" i="1"/>
  <c r="AL1004" i="1"/>
  <c r="AM897" i="1"/>
  <c r="AJ899" i="1"/>
  <c r="AD901" i="1"/>
  <c r="AD904" i="1"/>
  <c r="AB900" i="1"/>
  <c r="AB901" i="1"/>
  <c r="AE900" i="1"/>
  <c r="AD900" i="1"/>
  <c r="AC899" i="1"/>
  <c r="AC901" i="1" s="1"/>
  <c r="AO997" i="1" l="1"/>
  <c r="AO999" i="1"/>
  <c r="BD1002" i="1"/>
  <c r="AM899" i="1"/>
  <c r="AM900" i="1" s="1"/>
  <c r="AP897" i="1"/>
  <c r="AZ997" i="1"/>
  <c r="AW996" i="1"/>
  <c r="BC1002" i="1"/>
  <c r="BE1002" i="1"/>
  <c r="AR996" i="1"/>
  <c r="AS996" i="1"/>
  <c r="AP997" i="1"/>
  <c r="AP999" i="1"/>
  <c r="AJ901" i="1"/>
  <c r="AJ900" i="1"/>
  <c r="AJ904" i="1"/>
  <c r="AN1000" i="1"/>
  <c r="AN1004" i="1"/>
  <c r="AJ1005" i="1"/>
  <c r="AH1005" i="1"/>
  <c r="AL1005" i="1"/>
  <c r="AM1005" i="1"/>
  <c r="AI1005" i="1"/>
  <c r="AI897" i="1"/>
  <c r="AH897" i="1"/>
  <c r="AH899" i="1" s="1"/>
  <c r="AF899" i="1"/>
  <c r="AK1000" i="1"/>
  <c r="AK1004" i="1"/>
  <c r="AC904" i="1"/>
  <c r="AE904" i="1" s="1"/>
  <c r="AC900" i="1"/>
  <c r="V915" i="1"/>
  <c r="V916" i="1" s="1"/>
  <c r="AM904" i="1" l="1"/>
  <c r="AM901" i="1"/>
  <c r="AR999" i="1"/>
  <c r="AR997" i="1"/>
  <c r="AU996" i="1"/>
  <c r="AV996" i="1"/>
  <c r="AP1000" i="1"/>
  <c r="AP1004" i="1"/>
  <c r="AZ996" i="1"/>
  <c r="BC997" i="1"/>
  <c r="BG1002" i="1"/>
  <c r="BF1002" i="1"/>
  <c r="BH1002" i="1"/>
  <c r="AS897" i="1"/>
  <c r="AP899" i="1"/>
  <c r="AO1000" i="1"/>
  <c r="AQ999" i="1"/>
  <c r="AO1004" i="1"/>
  <c r="AS999" i="1"/>
  <c r="AS997" i="1"/>
  <c r="AK1005" i="1"/>
  <c r="AK897" i="1"/>
  <c r="AK899" i="1" s="1"/>
  <c r="AL897" i="1"/>
  <c r="AO897" i="1" s="1"/>
  <c r="AI899" i="1"/>
  <c r="AF900" i="1"/>
  <c r="AF901" i="1"/>
  <c r="AF904" i="1"/>
  <c r="AH904" i="1" s="1"/>
  <c r="AH900" i="1"/>
  <c r="AH901" i="1"/>
  <c r="AN1005" i="1"/>
  <c r="V917" i="1"/>
  <c r="BK1002" i="1" l="1"/>
  <c r="BC996" i="1"/>
  <c r="BF997" i="1"/>
  <c r="AV999" i="1"/>
  <c r="AV997" i="1"/>
  <c r="AS1000" i="1"/>
  <c r="AS1004" i="1"/>
  <c r="AP901" i="1"/>
  <c r="AP904" i="1"/>
  <c r="AP900" i="1"/>
  <c r="AY996" i="1"/>
  <c r="AX996" i="1"/>
  <c r="AU997" i="1"/>
  <c r="AU999" i="1"/>
  <c r="AQ897" i="1"/>
  <c r="AQ899" i="1" s="1"/>
  <c r="AR897" i="1"/>
  <c r="AO899" i="1"/>
  <c r="AO1005" i="1"/>
  <c r="AV897" i="1"/>
  <c r="AS899" i="1"/>
  <c r="AP1005" i="1"/>
  <c r="AQ1000" i="1"/>
  <c r="AQ1004" i="1"/>
  <c r="BJ1002" i="1"/>
  <c r="BI1002" i="1"/>
  <c r="AR1000" i="1"/>
  <c r="AT999" i="1"/>
  <c r="AR1004" i="1"/>
  <c r="AK900" i="1"/>
  <c r="AK901" i="1"/>
  <c r="AN897" i="1"/>
  <c r="AN899" i="1" s="1"/>
  <c r="AL899" i="1"/>
  <c r="AI904" i="1"/>
  <c r="AK904" i="1" s="1"/>
  <c r="AI900" i="1"/>
  <c r="AI901" i="1"/>
  <c r="X918" i="1"/>
  <c r="W918" i="1"/>
  <c r="AS901" i="1" l="1"/>
  <c r="AS904" i="1"/>
  <c r="AS900" i="1"/>
  <c r="AU1000" i="1"/>
  <c r="AW999" i="1"/>
  <c r="AU1004" i="1"/>
  <c r="AS1005" i="1"/>
  <c r="BF996" i="1"/>
  <c r="BI997" i="1"/>
  <c r="AR1005" i="1"/>
  <c r="AY897" i="1"/>
  <c r="AV899" i="1"/>
  <c r="AO900" i="1"/>
  <c r="AO904" i="1"/>
  <c r="AQ904" i="1" s="1"/>
  <c r="AO901" i="1"/>
  <c r="BB996" i="1"/>
  <c r="BA996" i="1"/>
  <c r="AT1000" i="1"/>
  <c r="AT1004" i="1"/>
  <c r="BM1002" i="1"/>
  <c r="BL1002" i="1"/>
  <c r="AT897" i="1"/>
  <c r="AT899" i="1" s="1"/>
  <c r="AU897" i="1"/>
  <c r="AR899" i="1"/>
  <c r="AX999" i="1"/>
  <c r="AX997" i="1"/>
  <c r="AQ1005" i="1"/>
  <c r="AQ901" i="1"/>
  <c r="AQ900" i="1"/>
  <c r="AY997" i="1"/>
  <c r="AY999" i="1"/>
  <c r="AV1000" i="1"/>
  <c r="AV1004" i="1"/>
  <c r="BN1002" i="1"/>
  <c r="AL900" i="1"/>
  <c r="AL901" i="1"/>
  <c r="AN900" i="1"/>
  <c r="AN901" i="1"/>
  <c r="AL904" i="1"/>
  <c r="AN904" i="1" s="1"/>
  <c r="X920" i="1"/>
  <c r="Y918" i="1"/>
  <c r="Y920" i="1" s="1"/>
  <c r="Y922" i="1" s="1"/>
  <c r="W920" i="1"/>
  <c r="W925" i="1" s="1"/>
  <c r="Z918" i="1"/>
  <c r="AA918" i="1"/>
  <c r="AT900" i="1" l="1"/>
  <c r="AT901" i="1"/>
  <c r="AT1005" i="1"/>
  <c r="BB897" i="1"/>
  <c r="AY899" i="1"/>
  <c r="AV1005" i="1"/>
  <c r="AX1000" i="1"/>
  <c r="AZ999" i="1"/>
  <c r="AX1004" i="1"/>
  <c r="BL997" i="1"/>
  <c r="BI996" i="1"/>
  <c r="AY1000" i="1"/>
  <c r="AY1004" i="1"/>
  <c r="AR900" i="1"/>
  <c r="AR901" i="1"/>
  <c r="AR904" i="1"/>
  <c r="AT904" i="1" s="1"/>
  <c r="BA999" i="1"/>
  <c r="BA997" i="1"/>
  <c r="BE996" i="1"/>
  <c r="BD996" i="1"/>
  <c r="AU1005" i="1"/>
  <c r="BQ1002" i="1"/>
  <c r="AX897" i="1"/>
  <c r="AW897" i="1"/>
  <c r="AW899" i="1" s="1"/>
  <c r="AU899" i="1"/>
  <c r="BO1002" i="1"/>
  <c r="BP1002" i="1"/>
  <c r="BB999" i="1"/>
  <c r="BB997" i="1"/>
  <c r="AV900" i="1"/>
  <c r="AV901" i="1"/>
  <c r="AV904" i="1"/>
  <c r="AW1000" i="1"/>
  <c r="AW1004" i="1"/>
  <c r="W922" i="1"/>
  <c r="X922" i="1"/>
  <c r="X925" i="1"/>
  <c r="Y921" i="1"/>
  <c r="W921" i="1"/>
  <c r="X921" i="1"/>
  <c r="AB918" i="1"/>
  <c r="AC917" i="1" s="1"/>
  <c r="AC918" i="1" s="1"/>
  <c r="AF918" i="1" s="1"/>
  <c r="Z920" i="1"/>
  <c r="AA920" i="1"/>
  <c r="BA897" i="1" l="1"/>
  <c r="AZ897" i="1"/>
  <c r="AZ899" i="1" s="1"/>
  <c r="AX899" i="1"/>
  <c r="BG996" i="1"/>
  <c r="BH996" i="1"/>
  <c r="AW1005" i="1"/>
  <c r="BA1000" i="1"/>
  <c r="BC999" i="1"/>
  <c r="BA1004" i="1"/>
  <c r="BO997" i="1"/>
  <c r="BL996" i="1"/>
  <c r="BB1000" i="1"/>
  <c r="BB1004" i="1"/>
  <c r="AU900" i="1"/>
  <c r="AU904" i="1"/>
  <c r="AW904" i="1" s="1"/>
  <c r="AU901" i="1"/>
  <c r="BR1002" i="1"/>
  <c r="BD999" i="1"/>
  <c r="BD997" i="1"/>
  <c r="AY1005" i="1"/>
  <c r="AX1005" i="1"/>
  <c r="AY900" i="1"/>
  <c r="AY901" i="1"/>
  <c r="AY904" i="1"/>
  <c r="AW900" i="1"/>
  <c r="AW901" i="1"/>
  <c r="BE999" i="1"/>
  <c r="BE997" i="1"/>
  <c r="AZ1000" i="1"/>
  <c r="AZ1004" i="1"/>
  <c r="BE897" i="1"/>
  <c r="BB899" i="1"/>
  <c r="AI918" i="1"/>
  <c r="AF920" i="1"/>
  <c r="AA922" i="1"/>
  <c r="AA925" i="1"/>
  <c r="Y925" i="1"/>
  <c r="Z925" i="1"/>
  <c r="Z922" i="1"/>
  <c r="AA921" i="1"/>
  <c r="Z921" i="1"/>
  <c r="AB920" i="1"/>
  <c r="AB922" i="1" s="1"/>
  <c r="AC920" i="1"/>
  <c r="AZ1005" i="1" l="1"/>
  <c r="BB1005" i="1"/>
  <c r="BA1005" i="1"/>
  <c r="AX901" i="1"/>
  <c r="AX904" i="1"/>
  <c r="AZ904" i="1" s="1"/>
  <c r="AX900" i="1"/>
  <c r="BC1000" i="1"/>
  <c r="BC1004" i="1"/>
  <c r="AZ900" i="1"/>
  <c r="AZ901" i="1"/>
  <c r="BB900" i="1"/>
  <c r="BB901" i="1"/>
  <c r="BB904" i="1"/>
  <c r="BF999" i="1"/>
  <c r="BD1000" i="1"/>
  <c r="BD1004" i="1"/>
  <c r="BJ996" i="1"/>
  <c r="BK996" i="1"/>
  <c r="BH997" i="1"/>
  <c r="BH999" i="1"/>
  <c r="BC897" i="1"/>
  <c r="BC899" i="1" s="1"/>
  <c r="BD897" i="1"/>
  <c r="BA899" i="1"/>
  <c r="BH897" i="1"/>
  <c r="BE899" i="1"/>
  <c r="BE1000" i="1"/>
  <c r="BE1004" i="1"/>
  <c r="BR997" i="1"/>
  <c r="BR996" i="1" s="1"/>
  <c r="BO996" i="1"/>
  <c r="BG997" i="1"/>
  <c r="BG999" i="1"/>
  <c r="AF921" i="1"/>
  <c r="AF922" i="1"/>
  <c r="AF925" i="1"/>
  <c r="AL918" i="1"/>
  <c r="AO918" i="1" s="1"/>
  <c r="AI920" i="1"/>
  <c r="AB925" i="1"/>
  <c r="AC925" i="1"/>
  <c r="AC922" i="1"/>
  <c r="AC921" i="1"/>
  <c r="AB921" i="1"/>
  <c r="AE917" i="1"/>
  <c r="AD918" i="1"/>
  <c r="AG918" i="1" s="1"/>
  <c r="BQ996" i="1" l="1"/>
  <c r="BP996" i="1"/>
  <c r="BG897" i="1"/>
  <c r="BF897" i="1"/>
  <c r="BF899" i="1" s="1"/>
  <c r="BD899" i="1"/>
  <c r="BK997" i="1"/>
  <c r="BK999" i="1"/>
  <c r="BF1000" i="1"/>
  <c r="BF1004" i="1"/>
  <c r="AR918" i="1"/>
  <c r="AO920" i="1"/>
  <c r="BC901" i="1"/>
  <c r="BC900" i="1"/>
  <c r="BJ999" i="1"/>
  <c r="BJ997" i="1"/>
  <c r="BI999" i="1"/>
  <c r="BG1000" i="1"/>
  <c r="BG1004" i="1"/>
  <c r="BE900" i="1"/>
  <c r="BE904" i="1"/>
  <c r="BE901" i="1"/>
  <c r="BK897" i="1"/>
  <c r="BH899" i="1"/>
  <c r="BH1000" i="1"/>
  <c r="BH1004" i="1"/>
  <c r="BD1005" i="1"/>
  <c r="BC1005" i="1"/>
  <c r="BN996" i="1"/>
  <c r="BM996" i="1"/>
  <c r="BE1005" i="1"/>
  <c r="BA904" i="1"/>
  <c r="BC904" i="1" s="1"/>
  <c r="BA901" i="1"/>
  <c r="BA900" i="1"/>
  <c r="AL920" i="1"/>
  <c r="AI925" i="1"/>
  <c r="AI921" i="1"/>
  <c r="AI922" i="1"/>
  <c r="AJ918" i="1"/>
  <c r="AG920" i="1"/>
  <c r="AH918" i="1"/>
  <c r="AH920" i="1" s="1"/>
  <c r="AD920" i="1"/>
  <c r="AE918" i="1"/>
  <c r="AE920" i="1" s="1"/>
  <c r="AE922" i="1" s="1"/>
  <c r="BH1005" i="1" l="1"/>
  <c r="AO921" i="1"/>
  <c r="AO925" i="1"/>
  <c r="AO922" i="1"/>
  <c r="BF900" i="1"/>
  <c r="BF901" i="1"/>
  <c r="BM997" i="1"/>
  <c r="BM999" i="1"/>
  <c r="BI1000" i="1"/>
  <c r="BI1004" i="1"/>
  <c r="BL999" i="1"/>
  <c r="BJ1000" i="1"/>
  <c r="BJ1004" i="1"/>
  <c r="AU918" i="1"/>
  <c r="AR920" i="1"/>
  <c r="BK1000" i="1"/>
  <c r="BK1004" i="1"/>
  <c r="BJ897" i="1"/>
  <c r="BI897" i="1"/>
  <c r="BI899" i="1" s="1"/>
  <c r="BG899" i="1"/>
  <c r="BN997" i="1"/>
  <c r="BN999" i="1"/>
  <c r="BH900" i="1"/>
  <c r="BH904" i="1"/>
  <c r="BH901" i="1"/>
  <c r="BP999" i="1"/>
  <c r="BP997" i="1"/>
  <c r="BN897" i="1"/>
  <c r="BK899" i="1"/>
  <c r="BG1005" i="1"/>
  <c r="BF1005" i="1"/>
  <c r="BD900" i="1"/>
  <c r="BD901" i="1"/>
  <c r="BD904" i="1"/>
  <c r="BF904" i="1" s="1"/>
  <c r="BQ997" i="1"/>
  <c r="BQ999" i="1"/>
  <c r="AG925" i="1"/>
  <c r="AH925" i="1" s="1"/>
  <c r="AG921" i="1"/>
  <c r="AG922" i="1"/>
  <c r="AL921" i="1"/>
  <c r="AL922" i="1"/>
  <c r="AL925" i="1"/>
  <c r="AM918" i="1"/>
  <c r="AP918" i="1" s="1"/>
  <c r="AJ920" i="1"/>
  <c r="AK918" i="1"/>
  <c r="AK920" i="1" s="1"/>
  <c r="AH921" i="1"/>
  <c r="AH922" i="1"/>
  <c r="AD922" i="1"/>
  <c r="AD925" i="1"/>
  <c r="AE925" i="1" s="1"/>
  <c r="AE921" i="1"/>
  <c r="AD921" i="1"/>
  <c r="BP1000" i="1" l="1"/>
  <c r="BR999" i="1"/>
  <c r="BP1004" i="1"/>
  <c r="BN1000" i="1"/>
  <c r="BN1004" i="1"/>
  <c r="BM897" i="1"/>
  <c r="BL897" i="1"/>
  <c r="BL899" i="1" s="1"/>
  <c r="BJ899" i="1"/>
  <c r="BL1000" i="1"/>
  <c r="BL1004" i="1"/>
  <c r="BK900" i="1"/>
  <c r="BK901" i="1"/>
  <c r="BK904" i="1"/>
  <c r="BK1005" i="1"/>
  <c r="AX918" i="1"/>
  <c r="AU920" i="1"/>
  <c r="BI1005" i="1"/>
  <c r="BQ897" i="1"/>
  <c r="BQ899" i="1" s="1"/>
  <c r="BN899" i="1"/>
  <c r="BG900" i="1"/>
  <c r="BG901" i="1"/>
  <c r="BG904" i="1"/>
  <c r="BI904" i="1" s="1"/>
  <c r="BJ1005" i="1"/>
  <c r="BO999" i="1"/>
  <c r="BM1000" i="1"/>
  <c r="BM1004" i="1"/>
  <c r="AS918" i="1"/>
  <c r="AP920" i="1"/>
  <c r="AQ918" i="1"/>
  <c r="AQ920" i="1" s="1"/>
  <c r="BQ1000" i="1"/>
  <c r="BQ1004" i="1"/>
  <c r="BI900" i="1"/>
  <c r="BI901" i="1"/>
  <c r="AR922" i="1"/>
  <c r="AR921" i="1"/>
  <c r="AR925" i="1"/>
  <c r="AM920" i="1"/>
  <c r="AN918" i="1"/>
  <c r="AN920" i="1" s="1"/>
  <c r="AJ922" i="1"/>
  <c r="AJ925" i="1"/>
  <c r="AK925" i="1" s="1"/>
  <c r="AJ921" i="1"/>
  <c r="AK921" i="1"/>
  <c r="AK922" i="1"/>
  <c r="G1083" i="1"/>
  <c r="BQ1005" i="1" l="1"/>
  <c r="AV918" i="1"/>
  <c r="AS920" i="1"/>
  <c r="AT918" i="1"/>
  <c r="AT920" i="1" s="1"/>
  <c r="BQ900" i="1"/>
  <c r="BQ901" i="1"/>
  <c r="BQ904" i="1"/>
  <c r="BJ900" i="1"/>
  <c r="BJ901" i="1"/>
  <c r="BJ904" i="1"/>
  <c r="BL904" i="1" s="1"/>
  <c r="BM1005" i="1"/>
  <c r="AU922" i="1"/>
  <c r="AU921" i="1"/>
  <c r="AU925" i="1"/>
  <c r="BL900" i="1"/>
  <c r="BL901" i="1"/>
  <c r="BP1005" i="1"/>
  <c r="AQ921" i="1"/>
  <c r="AQ922" i="1"/>
  <c r="BL1005" i="1"/>
  <c r="BP897" i="1"/>
  <c r="BO897" i="1"/>
  <c r="BO899" i="1" s="1"/>
  <c r="BM899" i="1"/>
  <c r="BR1000" i="1"/>
  <c r="BR1004" i="1"/>
  <c r="AP925" i="1"/>
  <c r="AQ925" i="1" s="1"/>
  <c r="AP921" i="1"/>
  <c r="AP922" i="1"/>
  <c r="BO1000" i="1"/>
  <c r="BO1004" i="1"/>
  <c r="BN900" i="1"/>
  <c r="BN901" i="1"/>
  <c r="BN904" i="1"/>
  <c r="BA918" i="1"/>
  <c r="AX920" i="1"/>
  <c r="BN1005" i="1"/>
  <c r="AN921" i="1"/>
  <c r="AN922" i="1"/>
  <c r="AM925" i="1"/>
  <c r="AN925" i="1" s="1"/>
  <c r="AM921" i="1"/>
  <c r="AM922" i="1"/>
  <c r="G1081" i="1"/>
  <c r="L1081" i="1" s="1"/>
  <c r="K1083" i="1"/>
  <c r="K1093" i="1" s="1"/>
  <c r="L1083" i="1"/>
  <c r="L1093" i="1" s="1"/>
  <c r="N1080" i="1"/>
  <c r="N1092" i="1" s="1"/>
  <c r="N713" i="1" s="1"/>
  <c r="O1080" i="1"/>
  <c r="O1092" i="1" s="1"/>
  <c r="O713" i="1" s="1"/>
  <c r="BO1005" i="1" l="1"/>
  <c r="BM900" i="1"/>
  <c r="BM904" i="1"/>
  <c r="BO904" i="1" s="1"/>
  <c r="BM901" i="1"/>
  <c r="AY918" i="1"/>
  <c r="AV920" i="1"/>
  <c r="AW918" i="1"/>
  <c r="AW920" i="1" s="1"/>
  <c r="BO900" i="1"/>
  <c r="BO901" i="1"/>
  <c r="BR1005" i="1"/>
  <c r="BR897" i="1"/>
  <c r="BR899" i="1" s="1"/>
  <c r="BP899" i="1"/>
  <c r="AT922" i="1"/>
  <c r="AT921" i="1"/>
  <c r="BD918" i="1"/>
  <c r="BA920" i="1"/>
  <c r="AX921" i="1"/>
  <c r="AX925" i="1"/>
  <c r="AX922" i="1"/>
  <c r="AS921" i="1"/>
  <c r="AS922" i="1"/>
  <c r="AS925" i="1"/>
  <c r="AT925" i="1" s="1"/>
  <c r="P1092" i="1"/>
  <c r="P713" i="1" s="1"/>
  <c r="M1093" i="1"/>
  <c r="G1082" i="1"/>
  <c r="K1081" i="1"/>
  <c r="M1081" i="1" s="1"/>
  <c r="M1082" i="1" s="1"/>
  <c r="P1082" i="1" s="1"/>
  <c r="S1082" i="1" s="1"/>
  <c r="V1082" i="1" s="1"/>
  <c r="Y1082" i="1" s="1"/>
  <c r="G1084" i="1"/>
  <c r="G1085" i="1" s="1"/>
  <c r="M1083" i="1"/>
  <c r="P1083" i="1" s="1"/>
  <c r="O1083" i="1" s="1"/>
  <c r="O1093" i="1" s="1"/>
  <c r="L1084" i="1"/>
  <c r="L1089" i="1" s="1"/>
  <c r="L1094" i="1" s="1"/>
  <c r="L1082" i="1"/>
  <c r="Q1080" i="1"/>
  <c r="Q1092" i="1" s="1"/>
  <c r="Q713" i="1" s="1"/>
  <c r="R1080" i="1"/>
  <c r="R1092" i="1" s="1"/>
  <c r="R713" i="1" s="1"/>
  <c r="AW922" i="1" l="1"/>
  <c r="AW921" i="1"/>
  <c r="BA925" i="1"/>
  <c r="BA922" i="1"/>
  <c r="BA921" i="1"/>
  <c r="AV921" i="1"/>
  <c r="AV922" i="1"/>
  <c r="AV925" i="1"/>
  <c r="AW925" i="1" s="1"/>
  <c r="BP900" i="1"/>
  <c r="BP904" i="1"/>
  <c r="BR904" i="1" s="1"/>
  <c r="BP901" i="1"/>
  <c r="AZ918" i="1"/>
  <c r="AZ920" i="1" s="1"/>
  <c r="BB918" i="1"/>
  <c r="AY920" i="1"/>
  <c r="BG918" i="1"/>
  <c r="BD920" i="1"/>
  <c r="BR900" i="1"/>
  <c r="BR901" i="1"/>
  <c r="AB1082" i="1"/>
  <c r="Y1081" i="1"/>
  <c r="S1092" i="1"/>
  <c r="S713" i="1" s="1"/>
  <c r="K1082" i="1"/>
  <c r="G1086" i="1"/>
  <c r="G1088" i="1" s="1"/>
  <c r="K1084" i="1"/>
  <c r="N1083" i="1"/>
  <c r="N1093" i="1" s="1"/>
  <c r="P1093" i="1" s="1"/>
  <c r="S1083" i="1"/>
  <c r="R1083" i="1" s="1"/>
  <c r="R1093" i="1" s="1"/>
  <c r="L1085" i="1"/>
  <c r="S1081" i="1"/>
  <c r="Q1081" i="1" s="1"/>
  <c r="P1081" i="1"/>
  <c r="N1081" i="1" s="1"/>
  <c r="M1087" i="1"/>
  <c r="U1080" i="1"/>
  <c r="V1081" i="1"/>
  <c r="T1080" i="1"/>
  <c r="BJ918" i="1" l="1"/>
  <c r="BG920" i="1"/>
  <c r="AZ921" i="1"/>
  <c r="AZ922" i="1"/>
  <c r="BD922" i="1"/>
  <c r="BD925" i="1"/>
  <c r="BD921" i="1"/>
  <c r="AY925" i="1"/>
  <c r="AZ925" i="1" s="1"/>
  <c r="AY922" i="1"/>
  <c r="AY921" i="1"/>
  <c r="BE918" i="1"/>
  <c r="BB920" i="1"/>
  <c r="BC918" i="1"/>
  <c r="BC920" i="1" s="1"/>
  <c r="T1092" i="1"/>
  <c r="T713" i="1" s="1"/>
  <c r="W1092" i="1"/>
  <c r="W713" i="1" s="1"/>
  <c r="W1081" i="1"/>
  <c r="X1081" i="1"/>
  <c r="U1092" i="1"/>
  <c r="U713" i="1" s="1"/>
  <c r="X1092" i="1"/>
  <c r="X713" i="1" s="1"/>
  <c r="AE1082" i="1"/>
  <c r="AB1081" i="1"/>
  <c r="K1085" i="1"/>
  <c r="K1089" i="1"/>
  <c r="K1094" i="1" s="1"/>
  <c r="M1084" i="1"/>
  <c r="M1085" i="1" s="1"/>
  <c r="V1083" i="1"/>
  <c r="Q1083" i="1"/>
  <c r="Q1093" i="1" s="1"/>
  <c r="S1093" i="1" s="1"/>
  <c r="R1081" i="1"/>
  <c r="R1084" i="1" s="1"/>
  <c r="O1081" i="1"/>
  <c r="O1084" i="1" s="1"/>
  <c r="L1090" i="1"/>
  <c r="T1081" i="1"/>
  <c r="U1081" i="1"/>
  <c r="Q1082" i="1"/>
  <c r="N1084" i="1"/>
  <c r="N1082" i="1"/>
  <c r="V1092" i="1" l="1"/>
  <c r="V713" i="1" s="1"/>
  <c r="BC922" i="1"/>
  <c r="BC921" i="1"/>
  <c r="BG922" i="1"/>
  <c r="BG921" i="1"/>
  <c r="BG925" i="1"/>
  <c r="BB921" i="1"/>
  <c r="BB922" i="1"/>
  <c r="BB925" i="1"/>
  <c r="BC925" i="1" s="1"/>
  <c r="BH918" i="1"/>
  <c r="BE920" i="1"/>
  <c r="BF918" i="1"/>
  <c r="BF920" i="1" s="1"/>
  <c r="BM918" i="1"/>
  <c r="BJ920" i="1"/>
  <c r="Z1081" i="1"/>
  <c r="AA1081" i="1"/>
  <c r="X1082" i="1"/>
  <c r="AH1082" i="1"/>
  <c r="AE1081" i="1"/>
  <c r="W1082" i="1"/>
  <c r="Y1092" i="1"/>
  <c r="Y713" i="1" s="1"/>
  <c r="T1083" i="1"/>
  <c r="T1093" i="1" s="1"/>
  <c r="Y1083" i="1"/>
  <c r="M1094" i="1"/>
  <c r="M1089" i="1"/>
  <c r="M1090" i="1" s="1"/>
  <c r="K1090" i="1"/>
  <c r="U1083" i="1"/>
  <c r="U1093" i="1" s="1"/>
  <c r="O1082" i="1"/>
  <c r="Q1084" i="1"/>
  <c r="Q1085" i="1" s="1"/>
  <c r="R1082" i="1"/>
  <c r="R1085" i="1"/>
  <c r="O1085" i="1"/>
  <c r="P1084" i="1"/>
  <c r="P1085" i="1" s="1"/>
  <c r="N1085" i="1"/>
  <c r="T1082" i="1"/>
  <c r="U1082" i="1"/>
  <c r="BF922" i="1" l="1"/>
  <c r="BF921" i="1"/>
  <c r="BJ921" i="1"/>
  <c r="BJ922" i="1"/>
  <c r="BJ925" i="1"/>
  <c r="BE922" i="1"/>
  <c r="BE925" i="1"/>
  <c r="BF925" i="1" s="1"/>
  <c r="BE921" i="1"/>
  <c r="BK918" i="1"/>
  <c r="BH920" i="1"/>
  <c r="BI918" i="1"/>
  <c r="BI920" i="1" s="1"/>
  <c r="BP918" i="1"/>
  <c r="BM920" i="1"/>
  <c r="T1084" i="1"/>
  <c r="T1085" i="1" s="1"/>
  <c r="V1093" i="1"/>
  <c r="X1083" i="1"/>
  <c r="W1083" i="1"/>
  <c r="AB1083" i="1"/>
  <c r="AC1081" i="1"/>
  <c r="AD1081" i="1"/>
  <c r="AA1082" i="1"/>
  <c r="AK1082" i="1"/>
  <c r="AH1081" i="1"/>
  <c r="Z1082" i="1"/>
  <c r="U1084" i="1"/>
  <c r="U1085" i="1" s="1"/>
  <c r="S1084" i="1"/>
  <c r="S1085" i="1" s="1"/>
  <c r="BP920" i="1" l="1"/>
  <c r="BI921" i="1"/>
  <c r="BI922" i="1"/>
  <c r="BM921" i="1"/>
  <c r="BM922" i="1"/>
  <c r="BM925" i="1"/>
  <c r="BH921" i="1"/>
  <c r="BH922" i="1"/>
  <c r="BH925" i="1"/>
  <c r="BI925" i="1" s="1"/>
  <c r="BN918" i="1"/>
  <c r="BK920" i="1"/>
  <c r="BL918" i="1"/>
  <c r="BL920" i="1" s="1"/>
  <c r="AC1082" i="1"/>
  <c r="AA1083" i="1"/>
  <c r="Z1083" i="1"/>
  <c r="AE1083" i="1"/>
  <c r="AN1082" i="1"/>
  <c r="AK1081" i="1"/>
  <c r="W1093" i="1"/>
  <c r="W1084" i="1"/>
  <c r="AF1081" i="1"/>
  <c r="AG1081" i="1"/>
  <c r="AD1082" i="1"/>
  <c r="X1093" i="1"/>
  <c r="X1084" i="1"/>
  <c r="X1085" i="1" s="1"/>
  <c r="V1084" i="1"/>
  <c r="V1085" i="1" s="1"/>
  <c r="P1086" i="1"/>
  <c r="N1087" i="1"/>
  <c r="O1087" i="1"/>
  <c r="O1089" i="1" s="1"/>
  <c r="O1094" i="1" s="1"/>
  <c r="BK921" i="1" l="1"/>
  <c r="BK922" i="1"/>
  <c r="BK925" i="1"/>
  <c r="BL925" i="1" s="1"/>
  <c r="BQ918" i="1"/>
  <c r="BN920" i="1"/>
  <c r="BO918" i="1"/>
  <c r="BO920" i="1" s="1"/>
  <c r="AN1081" i="1"/>
  <c r="AL1081" i="1" s="1"/>
  <c r="AQ1082" i="1"/>
  <c r="BP921" i="1"/>
  <c r="BP922" i="1"/>
  <c r="BP925" i="1"/>
  <c r="BL921" i="1"/>
  <c r="BL922" i="1"/>
  <c r="Y1093" i="1"/>
  <c r="Z1093" i="1"/>
  <c r="Z1084" i="1"/>
  <c r="AG1082" i="1"/>
  <c r="AI1081" i="1"/>
  <c r="AJ1081" i="1"/>
  <c r="AA1093" i="1"/>
  <c r="AA1084" i="1"/>
  <c r="AA1085" i="1" s="1"/>
  <c r="AF1082" i="1"/>
  <c r="Y1084" i="1"/>
  <c r="Y1085" i="1" s="1"/>
  <c r="W1085" i="1"/>
  <c r="AD1083" i="1"/>
  <c r="AC1083" i="1"/>
  <c r="AH1083" i="1"/>
  <c r="O1090" i="1"/>
  <c r="P1087" i="1"/>
  <c r="P1089" i="1" s="1"/>
  <c r="N1089" i="1"/>
  <c r="N1094" i="1" s="1"/>
  <c r="P1094" i="1" s="1"/>
  <c r="S1086" i="1"/>
  <c r="Q1087" i="1"/>
  <c r="R1087" i="1"/>
  <c r="R1089" i="1" s="1"/>
  <c r="R1094" i="1" s="1"/>
  <c r="AM1081" i="1" l="1"/>
  <c r="AM1082" i="1" s="1"/>
  <c r="AT1082" i="1"/>
  <c r="AQ1081" i="1"/>
  <c r="BQ920" i="1"/>
  <c r="BR918" i="1"/>
  <c r="BR920" i="1" s="1"/>
  <c r="BO921" i="1"/>
  <c r="BO922" i="1"/>
  <c r="BN921" i="1"/>
  <c r="BN922" i="1"/>
  <c r="BN925" i="1"/>
  <c r="BO925" i="1" s="1"/>
  <c r="AK1083" i="1"/>
  <c r="AF1083" i="1"/>
  <c r="AG1083" i="1"/>
  <c r="AL1082" i="1"/>
  <c r="AJ1082" i="1"/>
  <c r="Z1085" i="1"/>
  <c r="AB1084" i="1"/>
  <c r="AB1085" i="1" s="1"/>
  <c r="AC1093" i="1"/>
  <c r="AC1084" i="1"/>
  <c r="AI1082" i="1"/>
  <c r="AB1093" i="1"/>
  <c r="AD1093" i="1"/>
  <c r="AD1084" i="1"/>
  <c r="AD1085" i="1" s="1"/>
  <c r="U1087" i="1"/>
  <c r="P1090" i="1"/>
  <c r="S1087" i="1"/>
  <c r="S1089" i="1" s="1"/>
  <c r="Q1089" i="1"/>
  <c r="Q1094" i="1" s="1"/>
  <c r="N1090" i="1"/>
  <c r="R1090" i="1"/>
  <c r="V1086" i="1"/>
  <c r="T1087" i="1"/>
  <c r="BR921" i="1" l="1"/>
  <c r="BR922" i="1"/>
  <c r="BQ921" i="1"/>
  <c r="BQ922" i="1"/>
  <c r="BQ925" i="1"/>
  <c r="BR925" i="1" s="1"/>
  <c r="AP1081" i="1"/>
  <c r="AO1081" i="1"/>
  <c r="AW1082" i="1"/>
  <c r="AT1081" i="1"/>
  <c r="AE1084" i="1"/>
  <c r="AE1085" i="1" s="1"/>
  <c r="AC1085" i="1"/>
  <c r="AG1084" i="1"/>
  <c r="AG1085" i="1" s="1"/>
  <c r="T1089" i="1"/>
  <c r="T1094" i="1" s="1"/>
  <c r="W1087" i="1"/>
  <c r="AE1093" i="1"/>
  <c r="AF1084" i="1"/>
  <c r="U1089" i="1"/>
  <c r="U1094" i="1" s="1"/>
  <c r="X1087" i="1"/>
  <c r="AJ1083" i="1"/>
  <c r="AI1083" i="1"/>
  <c r="AN1083" i="1"/>
  <c r="AQ1083" i="1" s="1"/>
  <c r="S1094" i="1"/>
  <c r="S1090" i="1"/>
  <c r="Q1090" i="1"/>
  <c r="V1087" i="1"/>
  <c r="V1089" i="1" s="1"/>
  <c r="T1090" i="1" l="1"/>
  <c r="AZ1082" i="1"/>
  <c r="AW1081" i="1"/>
  <c r="AO1082" i="1"/>
  <c r="AP1083" i="1"/>
  <c r="AP1084" i="1" s="1"/>
  <c r="AP1085" i="1" s="1"/>
  <c r="AO1083" i="1"/>
  <c r="AO1084" i="1" s="1"/>
  <c r="AT1083" i="1"/>
  <c r="AP1082" i="1"/>
  <c r="V1094" i="1"/>
  <c r="AR1081" i="1"/>
  <c r="AS1081" i="1"/>
  <c r="U1090" i="1"/>
  <c r="AA1087" i="1"/>
  <c r="X1089" i="1"/>
  <c r="AJ1084" i="1"/>
  <c r="AJ1085" i="1" s="1"/>
  <c r="AM1083" i="1"/>
  <c r="AL1083" i="1"/>
  <c r="Z1087" i="1"/>
  <c r="Y1087" i="1"/>
  <c r="Y1089" i="1" s="1"/>
  <c r="W1089" i="1"/>
  <c r="AI1084" i="1"/>
  <c r="AF1085" i="1"/>
  <c r="AH1084" i="1"/>
  <c r="AH1085" i="1" s="1"/>
  <c r="V1090" i="1"/>
  <c r="AS1082" i="1" l="1"/>
  <c r="AQ1084" i="1"/>
  <c r="AQ1085" i="1" s="1"/>
  <c r="AO1085" i="1"/>
  <c r="AR1082" i="1"/>
  <c r="AR1083" i="1"/>
  <c r="AS1083" i="1"/>
  <c r="AW1083" i="1"/>
  <c r="AV1081" i="1"/>
  <c r="AU1081" i="1"/>
  <c r="BC1082" i="1"/>
  <c r="AZ1081" i="1"/>
  <c r="Y1090" i="1"/>
  <c r="Y1091" i="1"/>
  <c r="AB1087" i="1"/>
  <c r="AB1089" i="1" s="1"/>
  <c r="AC1087" i="1"/>
  <c r="Z1089" i="1"/>
  <c r="AL1084" i="1"/>
  <c r="X1091" i="1"/>
  <c r="X1094" i="1"/>
  <c r="X1090" i="1"/>
  <c r="AI1085" i="1"/>
  <c r="AK1084" i="1"/>
  <c r="AK1085" i="1" s="1"/>
  <c r="W1094" i="1"/>
  <c r="W1090" i="1"/>
  <c r="W1091" i="1"/>
  <c r="AM1084" i="1"/>
  <c r="AM1085" i="1" s="1"/>
  <c r="AD1087" i="1"/>
  <c r="AA1089" i="1"/>
  <c r="J1108" i="1"/>
  <c r="J1101" i="1"/>
  <c r="AU1082" i="1" l="1"/>
  <c r="AX1081" i="1"/>
  <c r="AY1081" i="1"/>
  <c r="AV1082" i="1"/>
  <c r="BF1082" i="1"/>
  <c r="BC1081" i="1"/>
  <c r="AR1084" i="1"/>
  <c r="AS1084" i="1"/>
  <c r="AS1085" i="1" s="1"/>
  <c r="AV1083" i="1"/>
  <c r="AU1083" i="1"/>
  <c r="AZ1083" i="1"/>
  <c r="AA1091" i="1"/>
  <c r="AA1094" i="1"/>
  <c r="AA1090" i="1"/>
  <c r="AF1087" i="1"/>
  <c r="AE1087" i="1"/>
  <c r="AE1089" i="1" s="1"/>
  <c r="AC1089" i="1"/>
  <c r="AG1087" i="1"/>
  <c r="AD1089" i="1"/>
  <c r="AN1084" i="1"/>
  <c r="AN1085" i="1" s="1"/>
  <c r="AL1085" i="1"/>
  <c r="AB1090" i="1"/>
  <c r="AB1091" i="1"/>
  <c r="Y1094" i="1"/>
  <c r="Z1094" i="1"/>
  <c r="Z1090" i="1"/>
  <c r="Z1091" i="1"/>
  <c r="P1101" i="1"/>
  <c r="K1101" i="1"/>
  <c r="K1113" i="1" s="1"/>
  <c r="L1101" i="1"/>
  <c r="L1113" i="1" s="1"/>
  <c r="AV1084" i="1" l="1"/>
  <c r="AV1085" i="1" s="1"/>
  <c r="AX1082" i="1"/>
  <c r="AY1083" i="1"/>
  <c r="AX1083" i="1"/>
  <c r="BC1083" i="1"/>
  <c r="BA1081" i="1"/>
  <c r="BB1081" i="1"/>
  <c r="AR1085" i="1"/>
  <c r="AT1084" i="1"/>
  <c r="AT1085" i="1" s="1"/>
  <c r="BI1082" i="1"/>
  <c r="BF1081" i="1"/>
  <c r="AY1082" i="1"/>
  <c r="AU1084" i="1"/>
  <c r="L714" i="1"/>
  <c r="L667" i="1" s="1"/>
  <c r="L662" i="1" s="1"/>
  <c r="L712" i="1"/>
  <c r="L643" i="1" s="1"/>
  <c r="L638" i="1" s="1"/>
  <c r="K714" i="1"/>
  <c r="K667" i="1" s="1"/>
  <c r="K662" i="1" s="1"/>
  <c r="K712" i="1"/>
  <c r="K643" i="1" s="1"/>
  <c r="K638" i="1" s="1"/>
  <c r="AD1094" i="1"/>
  <c r="AD1090" i="1"/>
  <c r="AD1091" i="1"/>
  <c r="AI1087" i="1"/>
  <c r="AH1087" i="1"/>
  <c r="AH1089" i="1" s="1"/>
  <c r="AF1089" i="1"/>
  <c r="AJ1087" i="1"/>
  <c r="AG1089" i="1"/>
  <c r="AB1094" i="1"/>
  <c r="AC1094" i="1"/>
  <c r="AC1090" i="1"/>
  <c r="AC1091" i="1"/>
  <c r="AE1090" i="1"/>
  <c r="AE1091" i="1"/>
  <c r="M1113" i="1"/>
  <c r="L651" i="1"/>
  <c r="N1101" i="1"/>
  <c r="N1113" i="1" s="1"/>
  <c r="O1101" i="1"/>
  <c r="O1113" i="1" s="1"/>
  <c r="S1101" i="1"/>
  <c r="V1101" i="1" s="1"/>
  <c r="AY1084" i="1" l="1"/>
  <c r="AY1085" i="1" s="1"/>
  <c r="BL1082" i="1"/>
  <c r="BI1081" i="1"/>
  <c r="BB1082" i="1"/>
  <c r="AE1094" i="1"/>
  <c r="BA1082" i="1"/>
  <c r="AX1084" i="1"/>
  <c r="BA1083" i="1"/>
  <c r="BA1084" i="1" s="1"/>
  <c r="BB1083" i="1"/>
  <c r="BF1083" i="1"/>
  <c r="AU1085" i="1"/>
  <c r="AW1084" i="1"/>
  <c r="AW1085" i="1" s="1"/>
  <c r="BD1081" i="1"/>
  <c r="BE1081" i="1"/>
  <c r="L716" i="1"/>
  <c r="N714" i="1"/>
  <c r="N667" i="1" s="1"/>
  <c r="N662" i="1" s="1"/>
  <c r="N712" i="1"/>
  <c r="N643" i="1" s="1"/>
  <c r="N638" i="1" s="1"/>
  <c r="L672" i="1"/>
  <c r="L671" i="1" s="1"/>
  <c r="O714" i="1"/>
  <c r="O667" i="1" s="1"/>
  <c r="O662" i="1" s="1"/>
  <c r="O712" i="1"/>
  <c r="O643" i="1" s="1"/>
  <c r="O638" i="1" s="1"/>
  <c r="M714" i="1"/>
  <c r="M667" i="1" s="1"/>
  <c r="M662" i="1" s="1"/>
  <c r="M712" i="1"/>
  <c r="AM1087" i="1"/>
  <c r="AJ1089" i="1"/>
  <c r="AL1087" i="1"/>
  <c r="AO1087" i="1" s="1"/>
  <c r="AK1087" i="1"/>
  <c r="AK1089" i="1" s="1"/>
  <c r="AI1089" i="1"/>
  <c r="Y1101" i="1"/>
  <c r="U1101" i="1"/>
  <c r="T1101" i="1"/>
  <c r="AF1090" i="1"/>
  <c r="AG1090" i="1"/>
  <c r="AH1090" i="1"/>
  <c r="K651" i="1"/>
  <c r="K672" i="1" s="1"/>
  <c r="K671" i="1" s="1"/>
  <c r="K716" i="1"/>
  <c r="O651" i="1"/>
  <c r="P1113" i="1"/>
  <c r="M651" i="1"/>
  <c r="R1101" i="1"/>
  <c r="R1113" i="1" s="1"/>
  <c r="Q1101" i="1"/>
  <c r="Q1113" i="1" s="1"/>
  <c r="J1104" i="1"/>
  <c r="AM1089" i="1" l="1"/>
  <c r="AM1090" i="1" s="1"/>
  <c r="AP1087" i="1"/>
  <c r="AQ1087" i="1" s="1"/>
  <c r="AQ1089" i="1" s="1"/>
  <c r="BE1082" i="1"/>
  <c r="BE1083" i="1"/>
  <c r="BE1084" i="1" s="1"/>
  <c r="BE1085" i="1" s="1"/>
  <c r="BD1083" i="1"/>
  <c r="BD1084" i="1" s="1"/>
  <c r="BI1083" i="1"/>
  <c r="BB1084" i="1"/>
  <c r="BB1085" i="1" s="1"/>
  <c r="BD1082" i="1"/>
  <c r="BA1085" i="1"/>
  <c r="BC1084" i="1"/>
  <c r="BC1085" i="1" s="1"/>
  <c r="AR1087" i="1"/>
  <c r="AO1089" i="1"/>
  <c r="BG1081" i="1"/>
  <c r="BH1081" i="1"/>
  <c r="AX1085" i="1"/>
  <c r="AZ1084" i="1"/>
  <c r="AZ1085" i="1" s="1"/>
  <c r="BO1082" i="1"/>
  <c r="BL1081" i="1"/>
  <c r="M716" i="1"/>
  <c r="M643" i="1"/>
  <c r="M638" i="1" s="1"/>
  <c r="Q712" i="1"/>
  <c r="Q643" i="1" s="1"/>
  <c r="Q638" i="1" s="1"/>
  <c r="Q714" i="1"/>
  <c r="Q667" i="1" s="1"/>
  <c r="Q662" i="1" s="1"/>
  <c r="P714" i="1"/>
  <c r="P667" i="1" s="1"/>
  <c r="P662" i="1" s="1"/>
  <c r="P712" i="1"/>
  <c r="R712" i="1"/>
  <c r="R643" i="1" s="1"/>
  <c r="R638" i="1" s="1"/>
  <c r="R714" i="1"/>
  <c r="R667" i="1" s="1"/>
  <c r="R662" i="1" s="1"/>
  <c r="O716" i="1"/>
  <c r="O672" i="1"/>
  <c r="O671" i="1" s="1"/>
  <c r="U1113" i="1"/>
  <c r="AK1090" i="1"/>
  <c r="AB1101" i="1"/>
  <c r="W1101" i="1"/>
  <c r="W1113" i="1" s="1"/>
  <c r="X1101" i="1"/>
  <c r="X1113" i="1" s="1"/>
  <c r="AN1087" i="1"/>
  <c r="AN1089" i="1" s="1"/>
  <c r="AL1089" i="1"/>
  <c r="T1113" i="1"/>
  <c r="AJ1090" i="1"/>
  <c r="AI1090" i="1"/>
  <c r="S1113" i="1"/>
  <c r="N651" i="1"/>
  <c r="N672" i="1" s="1"/>
  <c r="N671" i="1" s="1"/>
  <c r="N716" i="1"/>
  <c r="R651" i="1"/>
  <c r="P651" i="1"/>
  <c r="M1104" i="1"/>
  <c r="K1104" i="1" s="1"/>
  <c r="K1114" i="1" s="1"/>
  <c r="BR1082" i="1" l="1"/>
  <c r="BR1081" i="1" s="1"/>
  <c r="BO1081" i="1"/>
  <c r="BG1082" i="1"/>
  <c r="AO1090" i="1"/>
  <c r="AQ1090" i="1"/>
  <c r="BH1083" i="1"/>
  <c r="BH1084" i="1" s="1"/>
  <c r="BH1085" i="1" s="1"/>
  <c r="BG1083" i="1"/>
  <c r="BL1083" i="1"/>
  <c r="AU1087" i="1"/>
  <c r="AR1089" i="1"/>
  <c r="BD1085" i="1"/>
  <c r="BF1084" i="1"/>
  <c r="BF1085" i="1" s="1"/>
  <c r="AS1087" i="1"/>
  <c r="AT1087" i="1" s="1"/>
  <c r="AT1089" i="1" s="1"/>
  <c r="AP1089" i="1"/>
  <c r="BK1081" i="1"/>
  <c r="BJ1081" i="1"/>
  <c r="BH1082" i="1"/>
  <c r="P716" i="1"/>
  <c r="M672" i="1"/>
  <c r="M671" i="1" s="1"/>
  <c r="X712" i="1"/>
  <c r="X643" i="1" s="1"/>
  <c r="X638" i="1" s="1"/>
  <c r="X714" i="1"/>
  <c r="X667" i="1" s="1"/>
  <c r="X662" i="1" s="1"/>
  <c r="T712" i="1"/>
  <c r="T643" i="1" s="1"/>
  <c r="T638" i="1" s="1"/>
  <c r="T714" i="1"/>
  <c r="T667" i="1" s="1"/>
  <c r="T662" i="1" s="1"/>
  <c r="W712" i="1"/>
  <c r="W643" i="1" s="1"/>
  <c r="W638" i="1" s="1"/>
  <c r="W714" i="1"/>
  <c r="W667" i="1" s="1"/>
  <c r="W662" i="1" s="1"/>
  <c r="U712" i="1"/>
  <c r="U643" i="1" s="1"/>
  <c r="U638" i="1" s="1"/>
  <c r="U714" i="1"/>
  <c r="U667" i="1" s="1"/>
  <c r="U662" i="1" s="1"/>
  <c r="P643" i="1"/>
  <c r="P638" i="1" s="1"/>
  <c r="R716" i="1"/>
  <c r="S712" i="1"/>
  <c r="S643" i="1" s="1"/>
  <c r="S638" i="1" s="1"/>
  <c r="S714" i="1"/>
  <c r="S667" i="1" s="1"/>
  <c r="S662" i="1" s="1"/>
  <c r="R672" i="1"/>
  <c r="R671" i="1" s="1"/>
  <c r="Y1113" i="1"/>
  <c r="AL1090" i="1"/>
  <c r="AN1090" i="1"/>
  <c r="Z1101" i="1"/>
  <c r="Z1113" i="1" s="1"/>
  <c r="AE1101" i="1"/>
  <c r="AA1101" i="1"/>
  <c r="AA1113" i="1" s="1"/>
  <c r="U651" i="1"/>
  <c r="V1113" i="1"/>
  <c r="X651" i="1"/>
  <c r="Q651" i="1"/>
  <c r="Q672" i="1" s="1"/>
  <c r="Q671" i="1" s="1"/>
  <c r="Q716" i="1"/>
  <c r="K717" i="1"/>
  <c r="S651" i="1"/>
  <c r="P1104" i="1"/>
  <c r="S1104" i="1" s="1"/>
  <c r="V1104" i="1" s="1"/>
  <c r="L1104" i="1"/>
  <c r="L1114" i="1" s="1"/>
  <c r="L717" i="1" s="1"/>
  <c r="U672" i="1" l="1"/>
  <c r="U671" i="1" s="1"/>
  <c r="U716" i="1"/>
  <c r="X716" i="1"/>
  <c r="BJ1082" i="1"/>
  <c r="AR1090" i="1"/>
  <c r="BO1083" i="1"/>
  <c r="BJ1083" i="1"/>
  <c r="BK1083" i="1"/>
  <c r="BK1082" i="1"/>
  <c r="AT1090" i="1"/>
  <c r="BG1084" i="1"/>
  <c r="AP1090" i="1"/>
  <c r="AX1087" i="1"/>
  <c r="AU1089" i="1"/>
  <c r="BM1081" i="1"/>
  <c r="BN1081" i="1"/>
  <c r="AV1087" i="1"/>
  <c r="AS1089" i="1"/>
  <c r="BP1081" i="1"/>
  <c r="BQ1081" i="1"/>
  <c r="S716" i="1"/>
  <c r="AA712" i="1"/>
  <c r="AA643" i="1" s="1"/>
  <c r="AA638" i="1" s="1"/>
  <c r="AA714" i="1"/>
  <c r="AA667" i="1" s="1"/>
  <c r="AA662" i="1" s="1"/>
  <c r="Y712" i="1"/>
  <c r="Y643" i="1" s="1"/>
  <c r="Y638" i="1" s="1"/>
  <c r="Y714" i="1"/>
  <c r="Y667" i="1" s="1"/>
  <c r="Y662" i="1" s="1"/>
  <c r="V712" i="1"/>
  <c r="V643" i="1" s="1"/>
  <c r="V638" i="1" s="1"/>
  <c r="V714" i="1"/>
  <c r="V667" i="1" s="1"/>
  <c r="V662" i="1" s="1"/>
  <c r="Z712" i="1"/>
  <c r="Z643" i="1" s="1"/>
  <c r="Z638" i="1" s="1"/>
  <c r="Z714" i="1"/>
  <c r="Z667" i="1" s="1"/>
  <c r="Z662" i="1" s="1"/>
  <c r="P672" i="1"/>
  <c r="P671" i="1" s="1"/>
  <c r="S672" i="1"/>
  <c r="S671" i="1" s="1"/>
  <c r="X581" i="1"/>
  <c r="X582" i="1" s="1"/>
  <c r="X583" i="1" s="1"/>
  <c r="X672" i="1"/>
  <c r="X671" i="1" s="1"/>
  <c r="U1104" i="1"/>
  <c r="T1104" i="1"/>
  <c r="Y1104" i="1"/>
  <c r="T716" i="1"/>
  <c r="T651" i="1"/>
  <c r="T672" i="1" s="1"/>
  <c r="T671" i="1" s="1"/>
  <c r="W651" i="1"/>
  <c r="W716" i="1"/>
  <c r="V651" i="1"/>
  <c r="AC1101" i="1"/>
  <c r="AC1113" i="1" s="1"/>
  <c r="AH1101" i="1"/>
  <c r="AD1101" i="1"/>
  <c r="AD1113" i="1" s="1"/>
  <c r="Y651" i="1"/>
  <c r="AB1113" i="1"/>
  <c r="M1114" i="1"/>
  <c r="M717" i="1" s="1"/>
  <c r="O1104" i="1"/>
  <c r="O1114" i="1" s="1"/>
  <c r="N1104" i="1"/>
  <c r="N1114" i="1" s="1"/>
  <c r="Q1104" i="1"/>
  <c r="R1104" i="1"/>
  <c r="I1103" i="1"/>
  <c r="I1105" i="1"/>
  <c r="J1102" i="1"/>
  <c r="J1103" i="1" s="1"/>
  <c r="M1103" i="1" s="1"/>
  <c r="Y716" i="1" l="1"/>
  <c r="R1114" i="1"/>
  <c r="BP1082" i="1"/>
  <c r="BM1082" i="1"/>
  <c r="AS1090" i="1"/>
  <c r="AW1087" i="1"/>
  <c r="AW1089" i="1" s="1"/>
  <c r="AY1087" i="1"/>
  <c r="AZ1087" i="1" s="1"/>
  <c r="AZ1089" i="1" s="1"/>
  <c r="AV1089" i="1"/>
  <c r="AU1090" i="1"/>
  <c r="BN1083" i="1"/>
  <c r="BM1083" i="1"/>
  <c r="BR1083" i="1"/>
  <c r="BQ1082" i="1"/>
  <c r="BN1082" i="1"/>
  <c r="BA1087" i="1"/>
  <c r="AX1089" i="1"/>
  <c r="BI1084" i="1"/>
  <c r="BI1085" i="1" s="1"/>
  <c r="BG1085" i="1"/>
  <c r="BK1084" i="1"/>
  <c r="BK1085" i="1" s="1"/>
  <c r="BJ1084" i="1"/>
  <c r="V716" i="1"/>
  <c r="V672" i="1"/>
  <c r="V671" i="1" s="1"/>
  <c r="AD712" i="1"/>
  <c r="AD643" i="1" s="1"/>
  <c r="AD638" i="1" s="1"/>
  <c r="AD714" i="1"/>
  <c r="AD667" i="1" s="1"/>
  <c r="AD662" i="1" s="1"/>
  <c r="AB712" i="1"/>
  <c r="AB643" i="1" s="1"/>
  <c r="AB638" i="1" s="1"/>
  <c r="AB714" i="1"/>
  <c r="AB667" i="1" s="1"/>
  <c r="AB662" i="1" s="1"/>
  <c r="AE1113" i="1"/>
  <c r="AC712" i="1"/>
  <c r="AC643" i="1" s="1"/>
  <c r="AC638" i="1" s="1"/>
  <c r="AC714" i="1"/>
  <c r="AC667" i="1" s="1"/>
  <c r="AC662" i="1" s="1"/>
  <c r="W581" i="1"/>
  <c r="W672" i="1"/>
  <c r="W671" i="1" s="1"/>
  <c r="T1114" i="1"/>
  <c r="Y672" i="1"/>
  <c r="Y671" i="1" s="1"/>
  <c r="Y581" i="1"/>
  <c r="Y582" i="1" s="1"/>
  <c r="Y583" i="1" s="1"/>
  <c r="U1114" i="1"/>
  <c r="Q1114" i="1"/>
  <c r="Z651" i="1"/>
  <c r="Z716" i="1"/>
  <c r="AK1101" i="1"/>
  <c r="AF1101" i="1"/>
  <c r="AG1101" i="1"/>
  <c r="AB1104" i="1"/>
  <c r="X1104" i="1"/>
  <c r="X1114" i="1" s="1"/>
  <c r="W1104" i="1"/>
  <c r="W1114" i="1" s="1"/>
  <c r="P1114" i="1"/>
  <c r="I1106" i="1"/>
  <c r="M1102" i="1"/>
  <c r="P1103" i="1"/>
  <c r="J1105" i="1"/>
  <c r="S1114" i="1" l="1"/>
  <c r="AZ1090" i="1"/>
  <c r="BM1084" i="1"/>
  <c r="BD1087" i="1"/>
  <c r="BA1089" i="1"/>
  <c r="AV1090" i="1"/>
  <c r="BN1084" i="1"/>
  <c r="BN1085" i="1" s="1"/>
  <c r="BQ1083" i="1"/>
  <c r="BP1083" i="1"/>
  <c r="BB1087" i="1"/>
  <c r="BC1087" i="1" s="1"/>
  <c r="BC1089" i="1" s="1"/>
  <c r="AY1089" i="1"/>
  <c r="BJ1085" i="1"/>
  <c r="BL1084" i="1"/>
  <c r="BL1085" i="1" s="1"/>
  <c r="AX1090" i="1"/>
  <c r="AW1090" i="1"/>
  <c r="V1114" i="1"/>
  <c r="AE712" i="1"/>
  <c r="AE643" i="1" s="1"/>
  <c r="AE638" i="1" s="1"/>
  <c r="AE714" i="1"/>
  <c r="AE667" i="1" s="1"/>
  <c r="AE662" i="1" s="1"/>
  <c r="Y1114" i="1"/>
  <c r="Z672" i="1"/>
  <c r="Z671" i="1" s="1"/>
  <c r="Z581" i="1"/>
  <c r="Z646" i="1"/>
  <c r="AI1101" i="1"/>
  <c r="AN1101" i="1"/>
  <c r="AQ1101" i="1" s="1"/>
  <c r="AJ1101" i="1"/>
  <c r="AA1104" i="1"/>
  <c r="AA1114" i="1" s="1"/>
  <c r="Z1104" i="1"/>
  <c r="Z1114" i="1" s="1"/>
  <c r="AE1104" i="1"/>
  <c r="W583" i="1"/>
  <c r="W580" i="1"/>
  <c r="K1102" i="1"/>
  <c r="L1102" i="1"/>
  <c r="J1106" i="1"/>
  <c r="J1110" i="1"/>
  <c r="S1103" i="1"/>
  <c r="P1102" i="1"/>
  <c r="BC1090" i="1" l="1"/>
  <c r="BO1084" i="1"/>
  <c r="BO1085" i="1" s="1"/>
  <c r="BM1085" i="1"/>
  <c r="BA1090" i="1"/>
  <c r="AY1090" i="1"/>
  <c r="BP1084" i="1"/>
  <c r="AT1101" i="1"/>
  <c r="AP1101" i="1"/>
  <c r="AO1101" i="1"/>
  <c r="BE1087" i="1"/>
  <c r="BB1089" i="1"/>
  <c r="BQ1084" i="1"/>
  <c r="BQ1085" i="1" s="1"/>
  <c r="BG1087" i="1"/>
  <c r="BD1089" i="1"/>
  <c r="AB1114" i="1"/>
  <c r="AL1101" i="1"/>
  <c r="AM1101" i="1"/>
  <c r="Z580" i="1"/>
  <c r="Z583" i="1"/>
  <c r="S1102" i="1"/>
  <c r="Q1102" i="1" s="1"/>
  <c r="V1103" i="1"/>
  <c r="AH1104" i="1"/>
  <c r="AD1104" i="1"/>
  <c r="AD1114" i="1" s="1"/>
  <c r="AC1104" i="1"/>
  <c r="AC1114" i="1" s="1"/>
  <c r="K1103" i="1"/>
  <c r="K1105" i="1"/>
  <c r="J1112" i="1"/>
  <c r="J1111" i="1"/>
  <c r="O1102" i="1"/>
  <c r="N1102" i="1"/>
  <c r="L1105" i="1"/>
  <c r="L1103" i="1"/>
  <c r="R1102" i="1" l="1"/>
  <c r="R1105" i="1" s="1"/>
  <c r="BJ1087" i="1"/>
  <c r="BG1089" i="1"/>
  <c r="BH1087" i="1"/>
  <c r="BI1087" i="1" s="1"/>
  <c r="BI1089" i="1" s="1"/>
  <c r="BE1089" i="1"/>
  <c r="BR1084" i="1"/>
  <c r="BR1085" i="1" s="1"/>
  <c r="BP1085" i="1"/>
  <c r="BD1090" i="1"/>
  <c r="BF1087" i="1"/>
  <c r="BF1089" i="1" s="1"/>
  <c r="BB1090" i="1"/>
  <c r="AW1101" i="1"/>
  <c r="AS1101" i="1"/>
  <c r="AR1101" i="1"/>
  <c r="Y1103" i="1"/>
  <c r="V1102" i="1"/>
  <c r="AE1114" i="1"/>
  <c r="AG1104" i="1"/>
  <c r="AK1104" i="1"/>
  <c r="AF1104" i="1"/>
  <c r="K1106" i="1"/>
  <c r="K1110" i="1"/>
  <c r="M1105" i="1"/>
  <c r="N1105" i="1"/>
  <c r="N1103" i="1"/>
  <c r="R1103" i="1"/>
  <c r="O1105" i="1"/>
  <c r="O1103" i="1"/>
  <c r="L1106" i="1"/>
  <c r="Q1103" i="1"/>
  <c r="Q1105" i="1"/>
  <c r="BG1090" i="1" l="1"/>
  <c r="BI1090" i="1"/>
  <c r="AV1101" i="1"/>
  <c r="AU1101" i="1"/>
  <c r="AZ1101" i="1"/>
  <c r="BE1090" i="1"/>
  <c r="BM1087" i="1"/>
  <c r="BJ1089" i="1"/>
  <c r="BF1090" i="1"/>
  <c r="BK1087" i="1"/>
  <c r="BH1089" i="1"/>
  <c r="T1102" i="1"/>
  <c r="U1102" i="1"/>
  <c r="AJ1104" i="1"/>
  <c r="AI1104" i="1"/>
  <c r="AN1104" i="1"/>
  <c r="AQ1104" i="1" s="1"/>
  <c r="AB1103" i="1"/>
  <c r="Y1102" i="1"/>
  <c r="K1115" i="1"/>
  <c r="K718" i="1" s="1"/>
  <c r="K684" i="1" s="1"/>
  <c r="K689" i="1" s="1"/>
  <c r="K688" i="1" s="1"/>
  <c r="O1106" i="1"/>
  <c r="N1106" i="1"/>
  <c r="N1110" i="1"/>
  <c r="N1115" i="1" s="1"/>
  <c r="P1105" i="1"/>
  <c r="Q1110" i="1"/>
  <c r="Q1106" i="1"/>
  <c r="S1105" i="1"/>
  <c r="M1106" i="1"/>
  <c r="R1106" i="1"/>
  <c r="K1112" i="1"/>
  <c r="K1111" i="1"/>
  <c r="BH1090" i="1" l="1"/>
  <c r="BP1087" i="1"/>
  <c r="BM1089" i="1"/>
  <c r="BN1087" i="1"/>
  <c r="BK1089" i="1"/>
  <c r="BC1101" i="1"/>
  <c r="AX1101" i="1"/>
  <c r="AY1101" i="1"/>
  <c r="AP1104" i="1"/>
  <c r="AO1104" i="1"/>
  <c r="AT1104" i="1"/>
  <c r="BJ1090" i="1"/>
  <c r="BL1087" i="1"/>
  <c r="BL1089" i="1" s="1"/>
  <c r="X1102" i="1"/>
  <c r="W1102" i="1"/>
  <c r="AE1103" i="1"/>
  <c r="AB1102" i="1"/>
  <c r="U1105" i="1"/>
  <c r="U1106" i="1" s="1"/>
  <c r="U1103" i="1"/>
  <c r="AL1104" i="1"/>
  <c r="AM1104" i="1"/>
  <c r="T1103" i="1"/>
  <c r="T1105" i="1"/>
  <c r="Q1115" i="1"/>
  <c r="P1106" i="1"/>
  <c r="S1106" i="1"/>
  <c r="N1112" i="1"/>
  <c r="N1111" i="1"/>
  <c r="Q1112" i="1"/>
  <c r="Q1111" i="1"/>
  <c r="BK1090" i="1" l="1"/>
  <c r="BP1089" i="1"/>
  <c r="BL1090" i="1"/>
  <c r="BQ1087" i="1"/>
  <c r="BQ1089" i="1" s="1"/>
  <c r="BN1089" i="1"/>
  <c r="AS1104" i="1"/>
  <c r="AR1104" i="1"/>
  <c r="AW1104" i="1"/>
  <c r="BF1101" i="1"/>
  <c r="BA1101" i="1"/>
  <c r="BB1101" i="1"/>
  <c r="BM1090" i="1"/>
  <c r="BO1087" i="1"/>
  <c r="BO1089" i="1" s="1"/>
  <c r="AA1102" i="1"/>
  <c r="Z1102" i="1"/>
  <c r="AH1103" i="1"/>
  <c r="AE1102" i="1"/>
  <c r="V1105" i="1"/>
  <c r="V1106" i="1" s="1"/>
  <c r="T1106" i="1"/>
  <c r="T1110" i="1"/>
  <c r="W1103" i="1"/>
  <c r="W1105" i="1"/>
  <c r="X1105" i="1"/>
  <c r="X1106" i="1" s="1"/>
  <c r="X1103" i="1"/>
  <c r="AB959" i="1"/>
  <c r="AA960" i="1"/>
  <c r="BO1090" i="1" l="1"/>
  <c r="BI1101" i="1"/>
  <c r="BE1101" i="1"/>
  <c r="BD1101" i="1"/>
  <c r="BP1090" i="1"/>
  <c r="BN1090" i="1"/>
  <c r="BR1087" i="1"/>
  <c r="BR1089" i="1" s="1"/>
  <c r="AV1104" i="1"/>
  <c r="AU1104" i="1"/>
  <c r="AZ1104" i="1"/>
  <c r="BQ1090" i="1"/>
  <c r="AC1102" i="1"/>
  <c r="AD1102" i="1"/>
  <c r="AK1103" i="1"/>
  <c r="AH1102" i="1"/>
  <c r="Z1103" i="1"/>
  <c r="Z1105" i="1"/>
  <c r="T1115" i="1"/>
  <c r="T1111" i="1"/>
  <c r="T1112" i="1"/>
  <c r="AB960" i="1"/>
  <c r="AB962" i="1" s="1"/>
  <c r="AB963" i="1" s="1"/>
  <c r="AD960" i="1"/>
  <c r="W1106" i="1"/>
  <c r="Y1105" i="1"/>
  <c r="Y1106" i="1" s="1"/>
  <c r="W1110" i="1"/>
  <c r="AA1103" i="1"/>
  <c r="AA1105" i="1"/>
  <c r="AA1106" i="1" s="1"/>
  <c r="AA962" i="1"/>
  <c r="AA967" i="1" s="1"/>
  <c r="AA876" i="1"/>
  <c r="AB876" i="1" s="1"/>
  <c r="AB878" i="1" s="1"/>
  <c r="AB875" i="1"/>
  <c r="AC876" i="1"/>
  <c r="BL1101" i="1" l="1"/>
  <c r="BH1101" i="1"/>
  <c r="BG1101" i="1"/>
  <c r="AX1104" i="1"/>
  <c r="AY1104" i="1"/>
  <c r="BC1104" i="1"/>
  <c r="BR1090" i="1"/>
  <c r="AF1102" i="1"/>
  <c r="AG1102" i="1"/>
  <c r="AG960" i="1"/>
  <c r="AD962" i="1"/>
  <c r="AE960" i="1"/>
  <c r="AE962" i="1" s="1"/>
  <c r="AN1103" i="1"/>
  <c r="AK1102" i="1"/>
  <c r="W1112" i="1"/>
  <c r="W1115" i="1"/>
  <c r="W1111" i="1"/>
  <c r="Z1106" i="1"/>
  <c r="AB1105" i="1"/>
  <c r="AB1106" i="1" s="1"/>
  <c r="Z1110" i="1"/>
  <c r="AD1103" i="1"/>
  <c r="AD1105" i="1"/>
  <c r="AD1106" i="1" s="1"/>
  <c r="AC1103" i="1"/>
  <c r="AC1105" i="1"/>
  <c r="AB879" i="1"/>
  <c r="AB880" i="1"/>
  <c r="AB967" i="1"/>
  <c r="AA963" i="1"/>
  <c r="AD876" i="1"/>
  <c r="AA878" i="1"/>
  <c r="AC878" i="1"/>
  <c r="AN1102" i="1" l="1"/>
  <c r="AL1102" i="1" s="1"/>
  <c r="AQ1103" i="1"/>
  <c r="BB1104" i="1"/>
  <c r="BA1104" i="1"/>
  <c r="BF1104" i="1"/>
  <c r="BO1101" i="1"/>
  <c r="BK1101" i="1"/>
  <c r="BJ1101" i="1"/>
  <c r="AD967" i="1"/>
  <c r="AE967" i="1" s="1"/>
  <c r="AD963" i="1"/>
  <c r="AD964" i="1"/>
  <c r="AE1105" i="1"/>
  <c r="AE1106" i="1" s="1"/>
  <c r="AC1106" i="1"/>
  <c r="AC1110" i="1"/>
  <c r="AI1102" i="1"/>
  <c r="AJ1102" i="1"/>
  <c r="AJ960" i="1"/>
  <c r="AG962" i="1"/>
  <c r="AH960" i="1"/>
  <c r="AH962" i="1" s="1"/>
  <c r="Z1112" i="1"/>
  <c r="Z1115" i="1"/>
  <c r="Z1111" i="1"/>
  <c r="AG1103" i="1"/>
  <c r="AG1105" i="1"/>
  <c r="AG1106" i="1" s="1"/>
  <c r="AE963" i="1"/>
  <c r="AE964" i="1"/>
  <c r="AF1105" i="1"/>
  <c r="AF1103" i="1"/>
  <c r="AA880" i="1"/>
  <c r="AA883" i="1"/>
  <c r="AB883" i="1" s="1"/>
  <c r="AC883" i="1"/>
  <c r="AC880" i="1"/>
  <c r="AA879" i="1"/>
  <c r="AC879" i="1"/>
  <c r="AD878" i="1"/>
  <c r="AE876" i="1"/>
  <c r="AF875" i="1" s="1"/>
  <c r="AF876" i="1" s="1"/>
  <c r="AF878" i="1" s="1"/>
  <c r="AM1102" i="1" l="1"/>
  <c r="AM1103" i="1" s="1"/>
  <c r="BM1101" i="1"/>
  <c r="BR1101" i="1"/>
  <c r="BN1101" i="1"/>
  <c r="AT1103" i="1"/>
  <c r="AQ1102" i="1"/>
  <c r="BD1104" i="1"/>
  <c r="BE1104" i="1"/>
  <c r="BI1104" i="1"/>
  <c r="AL1103" i="1"/>
  <c r="AL1105" i="1"/>
  <c r="AH963" i="1"/>
  <c r="AI1103" i="1"/>
  <c r="AI1105" i="1"/>
  <c r="AJ1105" i="1"/>
  <c r="AJ1106" i="1" s="1"/>
  <c r="AJ1103" i="1"/>
  <c r="AF1106" i="1"/>
  <c r="AH1105" i="1"/>
  <c r="AH1106" i="1" s="1"/>
  <c r="AF1110" i="1"/>
  <c r="AG963" i="1"/>
  <c r="AC1115" i="1"/>
  <c r="AC1111" i="1"/>
  <c r="AC1112" i="1"/>
  <c r="AM960" i="1"/>
  <c r="AP960" i="1" s="1"/>
  <c r="AJ962" i="1"/>
  <c r="AK960" i="1"/>
  <c r="AK962" i="1" s="1"/>
  <c r="AD883" i="1"/>
  <c r="AD880" i="1"/>
  <c r="AF883" i="1"/>
  <c r="AF880" i="1"/>
  <c r="AF879" i="1"/>
  <c r="AD879" i="1"/>
  <c r="AE878" i="1"/>
  <c r="AM1105" i="1" l="1"/>
  <c r="AM1106" i="1" s="1"/>
  <c r="AS960" i="1"/>
  <c r="AP962" i="1"/>
  <c r="AQ960" i="1"/>
  <c r="AQ962" i="1" s="1"/>
  <c r="AO1102" i="1"/>
  <c r="AP1102" i="1"/>
  <c r="BP1101" i="1"/>
  <c r="BQ1101" i="1"/>
  <c r="AW1103" i="1"/>
  <c r="AT1102" i="1"/>
  <c r="BH1104" i="1"/>
  <c r="BG1104" i="1"/>
  <c r="BL1104" i="1"/>
  <c r="AI1106" i="1"/>
  <c r="AK1105" i="1"/>
  <c r="AK1106" i="1" s="1"/>
  <c r="AI1110" i="1"/>
  <c r="AK963" i="1"/>
  <c r="AJ963" i="1"/>
  <c r="AL1106" i="1"/>
  <c r="AL1110" i="1"/>
  <c r="AM962" i="1"/>
  <c r="AN960" i="1"/>
  <c r="AN962" i="1" s="1"/>
  <c r="AF1111" i="1"/>
  <c r="AF1112" i="1"/>
  <c r="AE883" i="1"/>
  <c r="AE879" i="1"/>
  <c r="AE880" i="1"/>
  <c r="AH875" i="1"/>
  <c r="AG876" i="1"/>
  <c r="AJ876" i="1" s="1"/>
  <c r="AB849" i="1"/>
  <c r="AB850" i="1" s="1"/>
  <c r="AE850" i="1" s="1"/>
  <c r="AN1105" i="1" l="1"/>
  <c r="AN1106" i="1" s="1"/>
  <c r="AW1102" i="1"/>
  <c r="AZ1103" i="1"/>
  <c r="AQ963" i="1"/>
  <c r="AO1103" i="1"/>
  <c r="AO1105" i="1"/>
  <c r="AP963" i="1"/>
  <c r="AP1105" i="1"/>
  <c r="AP1106" i="1" s="1"/>
  <c r="AP1103" i="1"/>
  <c r="BO1104" i="1"/>
  <c r="BJ1104" i="1"/>
  <c r="BK1104" i="1"/>
  <c r="AS1102" i="1"/>
  <c r="AR1102" i="1"/>
  <c r="AT960" i="1"/>
  <c r="AT962" i="1" s="1"/>
  <c r="AV960" i="1"/>
  <c r="AS962" i="1"/>
  <c r="AM963" i="1"/>
  <c r="AL1111" i="1"/>
  <c r="AL1112" i="1"/>
  <c r="AI1111" i="1"/>
  <c r="AI1112" i="1"/>
  <c r="AN963" i="1"/>
  <c r="AM876" i="1"/>
  <c r="AJ878" i="1"/>
  <c r="AB852" i="1"/>
  <c r="AB853" i="1" s="1"/>
  <c r="AH876" i="1"/>
  <c r="AG878" i="1"/>
  <c r="AH850" i="1"/>
  <c r="AY960" i="1" l="1"/>
  <c r="AV962" i="1"/>
  <c r="AW960" i="1"/>
  <c r="AW962" i="1" s="1"/>
  <c r="AS963" i="1"/>
  <c r="BN1104" i="1"/>
  <c r="BM1104" i="1"/>
  <c r="BR1104" i="1"/>
  <c r="AV1102" i="1"/>
  <c r="AU1102" i="1"/>
  <c r="AM878" i="1"/>
  <c r="AM880" i="1" s="1"/>
  <c r="AP876" i="1"/>
  <c r="AT963" i="1"/>
  <c r="AR1103" i="1"/>
  <c r="AR1105" i="1"/>
  <c r="AQ1105" i="1"/>
  <c r="AQ1106" i="1" s="1"/>
  <c r="AO1106" i="1"/>
  <c r="AO1110" i="1"/>
  <c r="AS1103" i="1"/>
  <c r="AS1105" i="1"/>
  <c r="AS1106" i="1" s="1"/>
  <c r="BC1103" i="1"/>
  <c r="AZ1102" i="1"/>
  <c r="AG880" i="1"/>
  <c r="AG883" i="1"/>
  <c r="AH883" i="1" s="1"/>
  <c r="AJ883" i="1"/>
  <c r="AJ880" i="1"/>
  <c r="AJ879" i="1"/>
  <c r="AH878" i="1"/>
  <c r="AG879" i="1"/>
  <c r="AD849" i="1"/>
  <c r="AC849" i="1"/>
  <c r="AH849" i="1"/>
  <c r="AK850" i="1"/>
  <c r="AY1102" i="1" l="1"/>
  <c r="AX1102" i="1"/>
  <c r="AO1111" i="1"/>
  <c r="AO1112" i="1"/>
  <c r="AR1106" i="1"/>
  <c r="AT1105" i="1"/>
  <c r="AT1106" i="1" s="1"/>
  <c r="AR1110" i="1"/>
  <c r="AS876" i="1"/>
  <c r="AP878" i="1"/>
  <c r="BF1103" i="1"/>
  <c r="BC1102" i="1"/>
  <c r="AU1103" i="1"/>
  <c r="AU1105" i="1"/>
  <c r="AM879" i="1"/>
  <c r="AM883" i="1"/>
  <c r="AV1103" i="1"/>
  <c r="AV1105" i="1"/>
  <c r="AV1106" i="1" s="1"/>
  <c r="AV963" i="1"/>
  <c r="AW963" i="1"/>
  <c r="BP1104" i="1"/>
  <c r="BQ1104" i="1"/>
  <c r="AZ960" i="1"/>
  <c r="AZ962" i="1" s="1"/>
  <c r="BB960" i="1"/>
  <c r="AY962" i="1"/>
  <c r="AH879" i="1"/>
  <c r="AH880" i="1"/>
  <c r="AI876" i="1"/>
  <c r="AK875" i="1"/>
  <c r="AK849" i="1"/>
  <c r="AI849" i="1" s="1"/>
  <c r="AN850" i="1"/>
  <c r="AD855" i="1"/>
  <c r="AC855" i="1"/>
  <c r="AF849" i="1"/>
  <c r="AG849" i="1"/>
  <c r="AD852" i="1"/>
  <c r="AD853" i="1" s="1"/>
  <c r="AD850" i="1"/>
  <c r="AJ849" i="1"/>
  <c r="AC852" i="1"/>
  <c r="AC850" i="1"/>
  <c r="AZ963" i="1" l="1"/>
  <c r="BA1102" i="1"/>
  <c r="BB1102" i="1"/>
  <c r="AP880" i="1"/>
  <c r="AP883" i="1"/>
  <c r="AP879" i="1"/>
  <c r="AX1103" i="1"/>
  <c r="AX1105" i="1"/>
  <c r="AY963" i="1"/>
  <c r="BI1103" i="1"/>
  <c r="BF1102" i="1"/>
  <c r="AV876" i="1"/>
  <c r="AS878" i="1"/>
  <c r="AY1103" i="1"/>
  <c r="AY1105" i="1"/>
  <c r="AY1106" i="1" s="1"/>
  <c r="AN849" i="1"/>
  <c r="AL849" i="1" s="1"/>
  <c r="AQ850" i="1"/>
  <c r="BC960" i="1"/>
  <c r="BC962" i="1" s="1"/>
  <c r="BE960" i="1"/>
  <c r="BB962" i="1"/>
  <c r="AU1106" i="1"/>
  <c r="AW1105" i="1"/>
  <c r="AW1106" i="1" s="1"/>
  <c r="AU1110" i="1"/>
  <c r="AR1112" i="1"/>
  <c r="AR1111" i="1"/>
  <c r="AK876" i="1"/>
  <c r="AI878" i="1"/>
  <c r="AI850" i="1"/>
  <c r="AI852" i="1"/>
  <c r="AG850" i="1"/>
  <c r="AG852" i="1"/>
  <c r="AF850" i="1"/>
  <c r="AF852" i="1"/>
  <c r="AG855" i="1"/>
  <c r="AD857" i="1"/>
  <c r="AD862" i="1" s="1"/>
  <c r="AJ850" i="1"/>
  <c r="AJ852" i="1"/>
  <c r="AC853" i="1"/>
  <c r="AE852" i="1"/>
  <c r="AE853" i="1" s="1"/>
  <c r="AE855" i="1"/>
  <c r="AF855" i="1"/>
  <c r="AC857" i="1"/>
  <c r="AC862" i="1" s="1"/>
  <c r="BB963" i="1" l="1"/>
  <c r="AY876" i="1"/>
  <c r="AV878" i="1"/>
  <c r="AT850" i="1"/>
  <c r="AQ849" i="1"/>
  <c r="AS879" i="1"/>
  <c r="AS880" i="1"/>
  <c r="AS883" i="1"/>
  <c r="AX1106" i="1"/>
  <c r="AZ1105" i="1"/>
  <c r="AZ1106" i="1" s="1"/>
  <c r="AX1110" i="1"/>
  <c r="AM849" i="1"/>
  <c r="AM852" i="1" s="1"/>
  <c r="AU1112" i="1"/>
  <c r="AU1111" i="1"/>
  <c r="BF960" i="1"/>
  <c r="BF962" i="1" s="1"/>
  <c r="BH960" i="1"/>
  <c r="BE962" i="1"/>
  <c r="BD1102" i="1"/>
  <c r="BE1102" i="1"/>
  <c r="BB1103" i="1"/>
  <c r="BB1105" i="1"/>
  <c r="BB1106" i="1" s="1"/>
  <c r="BC963" i="1"/>
  <c r="BL1103" i="1"/>
  <c r="BI1102" i="1"/>
  <c r="BA1103" i="1"/>
  <c r="BA1105" i="1"/>
  <c r="AI883" i="1"/>
  <c r="AK883" i="1" s="1"/>
  <c r="AI880" i="1"/>
  <c r="AI879" i="1"/>
  <c r="AK878" i="1"/>
  <c r="AK880" i="1" s="1"/>
  <c r="AE862" i="1"/>
  <c r="AM850" i="1"/>
  <c r="AL850" i="1"/>
  <c r="AL852" i="1"/>
  <c r="AD858" i="1"/>
  <c r="AC858" i="1"/>
  <c r="AE857" i="1"/>
  <c r="AG857" i="1"/>
  <c r="AJ853" i="1"/>
  <c r="AI855" i="1"/>
  <c r="AL855" i="1" s="1"/>
  <c r="AO855" i="1" s="1"/>
  <c r="AJ855" i="1"/>
  <c r="AF857" i="1"/>
  <c r="AH855" i="1"/>
  <c r="AG853" i="1"/>
  <c r="AF853" i="1"/>
  <c r="AH852" i="1"/>
  <c r="AH853" i="1" s="1"/>
  <c r="AI853" i="1"/>
  <c r="AK852" i="1"/>
  <c r="AK853" i="1" s="1"/>
  <c r="BF963" i="1" l="1"/>
  <c r="AP849" i="1"/>
  <c r="AO849" i="1"/>
  <c r="BA1106" i="1"/>
  <c r="BC1105" i="1"/>
  <c r="BC1106" i="1" s="1"/>
  <c r="BA1110" i="1"/>
  <c r="BK960" i="1"/>
  <c r="BH962" i="1"/>
  <c r="BI960" i="1"/>
  <c r="BI962" i="1" s="1"/>
  <c r="BB876" i="1"/>
  <c r="AY878" i="1"/>
  <c r="AR855" i="1"/>
  <c r="BE1105" i="1"/>
  <c r="BE1106" i="1" s="1"/>
  <c r="BE1103" i="1"/>
  <c r="BH1102" i="1"/>
  <c r="BG1102" i="1"/>
  <c r="BD1103" i="1"/>
  <c r="BD1105" i="1"/>
  <c r="AX1111" i="1"/>
  <c r="AX1112" i="1"/>
  <c r="AT849" i="1"/>
  <c r="AW850" i="1"/>
  <c r="BO1103" i="1"/>
  <c r="BL1102" i="1"/>
  <c r="BE963" i="1"/>
  <c r="AV879" i="1"/>
  <c r="AV883" i="1"/>
  <c r="AV880" i="1"/>
  <c r="AK879" i="1"/>
  <c r="AN875" i="1"/>
  <c r="AL876" i="1"/>
  <c r="AO876" i="1" s="1"/>
  <c r="AJ857" i="1"/>
  <c r="AM855" i="1"/>
  <c r="AM857" i="1" s="1"/>
  <c r="AL853" i="1"/>
  <c r="AL857" i="1"/>
  <c r="AN852" i="1"/>
  <c r="AM853" i="1"/>
  <c r="AE858" i="1"/>
  <c r="AG858" i="1"/>
  <c r="AF858" i="1"/>
  <c r="AI857" i="1"/>
  <c r="AK855" i="1"/>
  <c r="AK857" i="1" s="1"/>
  <c r="AH857" i="1"/>
  <c r="BK1102" i="1" l="1"/>
  <c r="BJ1102" i="1"/>
  <c r="AY879" i="1"/>
  <c r="AY880" i="1"/>
  <c r="AY883" i="1"/>
  <c r="BN960" i="1"/>
  <c r="BK962" i="1"/>
  <c r="BL960" i="1"/>
  <c r="BL962" i="1" s="1"/>
  <c r="AO850" i="1"/>
  <c r="AO852" i="1"/>
  <c r="BE876" i="1"/>
  <c r="BB878" i="1"/>
  <c r="AQ876" i="1"/>
  <c r="AQ878" i="1" s="1"/>
  <c r="AR876" i="1"/>
  <c r="AO878" i="1"/>
  <c r="BR1103" i="1"/>
  <c r="BR1102" i="1" s="1"/>
  <c r="BO1102" i="1"/>
  <c r="BG1105" i="1"/>
  <c r="BG1103" i="1"/>
  <c r="BA1111" i="1"/>
  <c r="BA1112" i="1"/>
  <c r="AZ850" i="1"/>
  <c r="AW849" i="1"/>
  <c r="BH1103" i="1"/>
  <c r="BH1105" i="1"/>
  <c r="BH1106" i="1" s="1"/>
  <c r="AU855" i="1"/>
  <c r="BI963" i="1"/>
  <c r="AP850" i="1"/>
  <c r="AP852" i="1"/>
  <c r="AP853" i="1" s="1"/>
  <c r="AN855" i="1"/>
  <c r="AN857" i="1" s="1"/>
  <c r="AP855" i="1"/>
  <c r="AS849" i="1"/>
  <c r="AR849" i="1"/>
  <c r="BF1105" i="1"/>
  <c r="BF1106" i="1" s="1"/>
  <c r="BD1106" i="1"/>
  <c r="BD1110" i="1"/>
  <c r="BH963" i="1"/>
  <c r="AJ858" i="1"/>
  <c r="AN876" i="1"/>
  <c r="AN878" i="1" s="1"/>
  <c r="AN880" i="1" s="1"/>
  <c r="AL878" i="1"/>
  <c r="AN853" i="1"/>
  <c r="AL858" i="1"/>
  <c r="AM858" i="1"/>
  <c r="AH858" i="1"/>
  <c r="AK858" i="1"/>
  <c r="AI858" i="1"/>
  <c r="AS855" i="1" l="1"/>
  <c r="AP857" i="1"/>
  <c r="AQ855" i="1"/>
  <c r="BC850" i="1"/>
  <c r="AZ849" i="1"/>
  <c r="AO880" i="1"/>
  <c r="AO883" i="1"/>
  <c r="AQ883" i="1" s="1"/>
  <c r="AO879" i="1"/>
  <c r="BH876" i="1"/>
  <c r="BE878" i="1"/>
  <c r="BK963" i="1"/>
  <c r="BG1106" i="1"/>
  <c r="BI1105" i="1"/>
  <c r="BI1106" i="1" s="1"/>
  <c r="BG1110" i="1"/>
  <c r="AT876" i="1"/>
  <c r="AT878" i="1" s="1"/>
  <c r="AU876" i="1"/>
  <c r="AR878" i="1"/>
  <c r="AQ852" i="1"/>
  <c r="AQ853" i="1" s="1"/>
  <c r="AO853" i="1"/>
  <c r="AO857" i="1"/>
  <c r="BQ960" i="1"/>
  <c r="BN962" i="1"/>
  <c r="BO960" i="1"/>
  <c r="BO962" i="1" s="1"/>
  <c r="AR850" i="1"/>
  <c r="AR852" i="1"/>
  <c r="BN1102" i="1"/>
  <c r="BM1102" i="1"/>
  <c r="AQ879" i="1"/>
  <c r="AQ880" i="1"/>
  <c r="BJ1105" i="1"/>
  <c r="BJ1103" i="1"/>
  <c r="BD1112" i="1"/>
  <c r="BD1111" i="1"/>
  <c r="AS850" i="1"/>
  <c r="AS852" i="1"/>
  <c r="AS853" i="1" s="1"/>
  <c r="AX855" i="1"/>
  <c r="AV849" i="1"/>
  <c r="AU849" i="1"/>
  <c r="BP1102" i="1"/>
  <c r="BQ1102" i="1"/>
  <c r="BB883" i="1"/>
  <c r="BB879" i="1"/>
  <c r="BB880" i="1"/>
  <c r="BL963" i="1"/>
  <c r="BK1103" i="1"/>
  <c r="BK1105" i="1"/>
  <c r="BK1106" i="1" s="1"/>
  <c r="AL883" i="1"/>
  <c r="AN883" i="1" s="1"/>
  <c r="AL880" i="1"/>
  <c r="AL879" i="1"/>
  <c r="AN879" i="1"/>
  <c r="AN858" i="1"/>
  <c r="N1041" i="1"/>
  <c r="N1051" i="1" s="1"/>
  <c r="O1041" i="1"/>
  <c r="O1051" i="1" s="1"/>
  <c r="O717" i="1" s="1"/>
  <c r="S1041" i="1"/>
  <c r="R1041" i="1" s="1"/>
  <c r="R1051" i="1" l="1"/>
  <c r="R717" i="1" s="1"/>
  <c r="AR853" i="1"/>
  <c r="AT852" i="1"/>
  <c r="AT853" i="1" s="1"/>
  <c r="AR857" i="1"/>
  <c r="BQ962" i="1"/>
  <c r="BR960" i="1"/>
  <c r="BR962" i="1" s="1"/>
  <c r="AR883" i="1"/>
  <c r="AT883" i="1" s="1"/>
  <c r="AR879" i="1"/>
  <c r="AR880" i="1"/>
  <c r="BC849" i="1"/>
  <c r="BF850" i="1"/>
  <c r="AV852" i="1"/>
  <c r="AV850" i="1"/>
  <c r="AO858" i="1"/>
  <c r="AX876" i="1"/>
  <c r="AW876" i="1"/>
  <c r="AW878" i="1" s="1"/>
  <c r="AU878" i="1"/>
  <c r="AQ857" i="1"/>
  <c r="AU850" i="1"/>
  <c r="AU852" i="1"/>
  <c r="BA855" i="1"/>
  <c r="BQ1103" i="1"/>
  <c r="BQ1105" i="1"/>
  <c r="BQ1106" i="1" s="1"/>
  <c r="BM1105" i="1"/>
  <c r="BM1103" i="1"/>
  <c r="BO963" i="1"/>
  <c r="AT879" i="1"/>
  <c r="AT880" i="1"/>
  <c r="BE883" i="1"/>
  <c r="BE879" i="1"/>
  <c r="BE880" i="1"/>
  <c r="AP858" i="1"/>
  <c r="BP1103" i="1"/>
  <c r="BP1105" i="1"/>
  <c r="BL1105" i="1"/>
  <c r="BL1106" i="1" s="1"/>
  <c r="BJ1106" i="1"/>
  <c r="BJ1110" i="1"/>
  <c r="BN1105" i="1"/>
  <c r="BN1106" i="1" s="1"/>
  <c r="BN1103" i="1"/>
  <c r="BN963" i="1"/>
  <c r="BG1111" i="1"/>
  <c r="BG1112" i="1"/>
  <c r="BK876" i="1"/>
  <c r="BH878" i="1"/>
  <c r="AY849" i="1"/>
  <c r="AX849" i="1"/>
  <c r="AV855" i="1"/>
  <c r="AS857" i="1"/>
  <c r="AT855" i="1"/>
  <c r="N1042" i="1"/>
  <c r="N1043" i="1" s="1"/>
  <c r="R1042" i="1"/>
  <c r="R1047" i="1" s="1"/>
  <c r="O1042" i="1"/>
  <c r="Q1041" i="1"/>
  <c r="Q1051" i="1" s="1"/>
  <c r="V1041" i="1"/>
  <c r="Y1041" i="1" s="1"/>
  <c r="N1047" i="1" l="1"/>
  <c r="N1052" i="1" s="1"/>
  <c r="AT857" i="1"/>
  <c r="AX850" i="1"/>
  <c r="AX852" i="1"/>
  <c r="BJ1111" i="1"/>
  <c r="BJ1112" i="1"/>
  <c r="BM1106" i="1"/>
  <c r="BO1105" i="1"/>
  <c r="BO1106" i="1" s="1"/>
  <c r="BM1110" i="1"/>
  <c r="AQ858" i="1"/>
  <c r="AV857" i="1"/>
  <c r="AV853" i="1"/>
  <c r="AR858" i="1"/>
  <c r="AT858" i="1"/>
  <c r="AY850" i="1"/>
  <c r="AY852" i="1"/>
  <c r="AY853" i="1" s="1"/>
  <c r="BD855" i="1"/>
  <c r="AU883" i="1"/>
  <c r="AW883" i="1" s="1"/>
  <c r="AU880" i="1"/>
  <c r="AU879" i="1"/>
  <c r="BI850" i="1"/>
  <c r="BF849" i="1"/>
  <c r="BH879" i="1"/>
  <c r="BH883" i="1"/>
  <c r="BH880" i="1"/>
  <c r="AU853" i="1"/>
  <c r="AW852" i="1"/>
  <c r="AW853" i="1" s="1"/>
  <c r="AU857" i="1"/>
  <c r="AW879" i="1"/>
  <c r="AW880" i="1"/>
  <c r="BB849" i="1"/>
  <c r="BA849" i="1"/>
  <c r="BR963" i="1"/>
  <c r="AS858" i="1"/>
  <c r="AY855" i="1"/>
  <c r="AW855" i="1"/>
  <c r="BN876" i="1"/>
  <c r="BK878" i="1"/>
  <c r="BP1106" i="1"/>
  <c r="BR1105" i="1"/>
  <c r="BR1106" i="1" s="1"/>
  <c r="BP1110" i="1"/>
  <c r="BA876" i="1"/>
  <c r="AZ876" i="1"/>
  <c r="AZ878" i="1" s="1"/>
  <c r="AX878" i="1"/>
  <c r="BQ963" i="1"/>
  <c r="X1041" i="1"/>
  <c r="W1041" i="1"/>
  <c r="AB1041" i="1"/>
  <c r="N1048" i="1"/>
  <c r="R1049" i="1"/>
  <c r="S1051" i="1"/>
  <c r="S717" i="1" s="1"/>
  <c r="Q717" i="1"/>
  <c r="P1051" i="1"/>
  <c r="P717" i="1" s="1"/>
  <c r="N717" i="1"/>
  <c r="R1043" i="1"/>
  <c r="O1043" i="1"/>
  <c r="O1047" i="1"/>
  <c r="R1052" i="1" s="1"/>
  <c r="Q1042" i="1"/>
  <c r="Q1043" i="1" s="1"/>
  <c r="P1042" i="1"/>
  <c r="T1041" i="1"/>
  <c r="T1051" i="1" s="1"/>
  <c r="U1041" i="1"/>
  <c r="U1051" i="1" s="1"/>
  <c r="U717" i="1" s="1"/>
  <c r="R1048" i="1"/>
  <c r="N1049" i="1" l="1"/>
  <c r="AW857" i="1"/>
  <c r="AW858" i="1" s="1"/>
  <c r="BC876" i="1"/>
  <c r="BC878" i="1" s="1"/>
  <c r="BD876" i="1"/>
  <c r="BA878" i="1"/>
  <c r="BK879" i="1"/>
  <c r="BK883" i="1"/>
  <c r="BK880" i="1"/>
  <c r="BM1111" i="1"/>
  <c r="BM1112" i="1"/>
  <c r="BP1111" i="1"/>
  <c r="BP1112" i="1"/>
  <c r="BQ876" i="1"/>
  <c r="BQ878" i="1" s="1"/>
  <c r="BN878" i="1"/>
  <c r="BA850" i="1"/>
  <c r="BA852" i="1"/>
  <c r="BE849" i="1"/>
  <c r="BD849" i="1"/>
  <c r="AV858" i="1"/>
  <c r="AX879" i="1"/>
  <c r="AX880" i="1"/>
  <c r="AX883" i="1"/>
  <c r="AZ883" i="1" s="1"/>
  <c r="BB852" i="1"/>
  <c r="BB853" i="1" s="1"/>
  <c r="BB850" i="1"/>
  <c r="AU858" i="1"/>
  <c r="BI849" i="1"/>
  <c r="BL850" i="1"/>
  <c r="AX853" i="1"/>
  <c r="AZ852" i="1"/>
  <c r="AZ853" i="1" s="1"/>
  <c r="AX857" i="1"/>
  <c r="AZ879" i="1"/>
  <c r="AZ880" i="1"/>
  <c r="BB855" i="1"/>
  <c r="AY857" i="1"/>
  <c r="AZ855" i="1"/>
  <c r="BG855" i="1"/>
  <c r="AA1041" i="1"/>
  <c r="Z1041" i="1"/>
  <c r="AE1041" i="1"/>
  <c r="W1051" i="1"/>
  <c r="W1042" i="1"/>
  <c r="X1051" i="1"/>
  <c r="X717" i="1" s="1"/>
  <c r="X1042" i="1"/>
  <c r="V1051" i="1"/>
  <c r="V717" i="1" s="1"/>
  <c r="T717" i="1"/>
  <c r="N718" i="1"/>
  <c r="N684" i="1" s="1"/>
  <c r="N689" i="1" s="1"/>
  <c r="N688" i="1" s="1"/>
  <c r="O1049" i="1"/>
  <c r="O1052" i="1"/>
  <c r="P1052" i="1" s="1"/>
  <c r="S1042" i="1"/>
  <c r="S1047" i="1" s="1"/>
  <c r="S1049" i="1" s="1"/>
  <c r="T1042" i="1"/>
  <c r="T1043" i="1" s="1"/>
  <c r="P1043" i="1"/>
  <c r="P1047" i="1"/>
  <c r="P1049" i="1" s="1"/>
  <c r="Q1047" i="1"/>
  <c r="U1042" i="1"/>
  <c r="U1047" i="1" s="1"/>
  <c r="O1048" i="1"/>
  <c r="AZ857" i="1" l="1"/>
  <c r="BJ855" i="1"/>
  <c r="BE855" i="1"/>
  <c r="BB857" i="1"/>
  <c r="BC855" i="1"/>
  <c r="BA853" i="1"/>
  <c r="BC852" i="1"/>
  <c r="BC853" i="1" s="1"/>
  <c r="BA857" i="1"/>
  <c r="BA879" i="1"/>
  <c r="BA880" i="1"/>
  <c r="BA883" i="1"/>
  <c r="BC883" i="1" s="1"/>
  <c r="BO850" i="1"/>
  <c r="BL849" i="1"/>
  <c r="BD852" i="1"/>
  <c r="BD850" i="1"/>
  <c r="BN879" i="1"/>
  <c r="BN883" i="1"/>
  <c r="BN880" i="1"/>
  <c r="BG876" i="1"/>
  <c r="BF876" i="1"/>
  <c r="BF878" i="1" s="1"/>
  <c r="BD878" i="1"/>
  <c r="AY858" i="1"/>
  <c r="AX858" i="1"/>
  <c r="BG849" i="1"/>
  <c r="BH849" i="1"/>
  <c r="BE852" i="1"/>
  <c r="BE853" i="1" s="1"/>
  <c r="BE850" i="1"/>
  <c r="BQ879" i="1"/>
  <c r="BQ883" i="1"/>
  <c r="BQ880" i="1"/>
  <c r="BC879" i="1"/>
  <c r="BC880" i="1"/>
  <c r="Y1051" i="1"/>
  <c r="Y717" i="1" s="1"/>
  <c r="W717" i="1"/>
  <c r="X1043" i="1"/>
  <c r="X1047" i="1"/>
  <c r="AD1041" i="1"/>
  <c r="AC1041" i="1"/>
  <c r="AH1041" i="1"/>
  <c r="Z1051" i="1"/>
  <c r="Z1042" i="1"/>
  <c r="W1043" i="1"/>
  <c r="Y1042" i="1"/>
  <c r="W1047" i="1"/>
  <c r="AA1051" i="1"/>
  <c r="AA1042" i="1"/>
  <c r="U1052" i="1"/>
  <c r="U1049" i="1"/>
  <c r="Q1049" i="1"/>
  <c r="Q1052" i="1"/>
  <c r="S1052" i="1" s="1"/>
  <c r="S1043" i="1"/>
  <c r="Q1048" i="1"/>
  <c r="T1047" i="1"/>
  <c r="P1048" i="1"/>
  <c r="V1042" i="1"/>
  <c r="V1047" i="1" s="1"/>
  <c r="V1049" i="1" s="1"/>
  <c r="U1043" i="1"/>
  <c r="S1048" i="1"/>
  <c r="U1048" i="1"/>
  <c r="AZ858" i="1" l="1"/>
  <c r="BJ876" i="1"/>
  <c r="BI876" i="1"/>
  <c r="BI878" i="1" s="1"/>
  <c r="BG878" i="1"/>
  <c r="BH855" i="1"/>
  <c r="BE857" i="1"/>
  <c r="BF855" i="1"/>
  <c r="BD853" i="1"/>
  <c r="BF852" i="1"/>
  <c r="BF853" i="1" s="1"/>
  <c r="BD857" i="1"/>
  <c r="BH850" i="1"/>
  <c r="BH852" i="1"/>
  <c r="BH853" i="1" s="1"/>
  <c r="BD883" i="1"/>
  <c r="BF883" i="1" s="1"/>
  <c r="BD879" i="1"/>
  <c r="BD880" i="1"/>
  <c r="BK849" i="1"/>
  <c r="BJ849" i="1"/>
  <c r="BC857" i="1"/>
  <c r="BG850" i="1"/>
  <c r="BG852" i="1"/>
  <c r="BF879" i="1"/>
  <c r="BF880" i="1"/>
  <c r="BR850" i="1"/>
  <c r="BR849" i="1" s="1"/>
  <c r="BO849" i="1"/>
  <c r="BA858" i="1"/>
  <c r="BB858" i="1"/>
  <c r="BM855" i="1"/>
  <c r="W1048" i="1"/>
  <c r="W1052" i="1"/>
  <c r="W1049" i="1"/>
  <c r="AB1051" i="1"/>
  <c r="Z717" i="1"/>
  <c r="X1048" i="1"/>
  <c r="X1052" i="1"/>
  <c r="X1049" i="1"/>
  <c r="Y1043" i="1"/>
  <c r="Y1047" i="1"/>
  <c r="AK1041" i="1"/>
  <c r="AF1041" i="1"/>
  <c r="AG1041" i="1"/>
  <c r="AA1043" i="1"/>
  <c r="AA1047" i="1"/>
  <c r="AC1051" i="1"/>
  <c r="AC1042" i="1"/>
  <c r="Z1043" i="1"/>
  <c r="AB1042" i="1"/>
  <c r="Z1047" i="1"/>
  <c r="AD1051" i="1"/>
  <c r="AD1042" i="1"/>
  <c r="T1049" i="1"/>
  <c r="T1052" i="1"/>
  <c r="V1052" i="1" s="1"/>
  <c r="T1048" i="1"/>
  <c r="V1043" i="1"/>
  <c r="V1048" i="1"/>
  <c r="BQ849" i="1" l="1"/>
  <c r="BP849" i="1"/>
  <c r="BK855" i="1"/>
  <c r="BH857" i="1"/>
  <c r="BI855" i="1"/>
  <c r="BC858" i="1"/>
  <c r="BG879" i="1"/>
  <c r="BG880" i="1"/>
  <c r="BG883" i="1"/>
  <c r="BI883" i="1" s="1"/>
  <c r="BJ852" i="1"/>
  <c r="BJ850" i="1"/>
  <c r="BF857" i="1"/>
  <c r="BI879" i="1"/>
  <c r="BI880" i="1"/>
  <c r="BP855" i="1"/>
  <c r="BN849" i="1"/>
  <c r="BM849" i="1"/>
  <c r="BG853" i="1"/>
  <c r="BI852" i="1"/>
  <c r="BI853" i="1" s="1"/>
  <c r="BG857" i="1"/>
  <c r="BK852" i="1"/>
  <c r="BK853" i="1" s="1"/>
  <c r="BK850" i="1"/>
  <c r="BD858" i="1"/>
  <c r="BE858" i="1"/>
  <c r="BM876" i="1"/>
  <c r="BL876" i="1"/>
  <c r="BL878" i="1" s="1"/>
  <c r="BJ878" i="1"/>
  <c r="AE1051" i="1"/>
  <c r="AF1051" i="1"/>
  <c r="AF1042" i="1"/>
  <c r="AB1043" i="1"/>
  <c r="AB1047" i="1"/>
  <c r="AA1048" i="1"/>
  <c r="AA1049" i="1"/>
  <c r="AA1052" i="1"/>
  <c r="AJ1041" i="1"/>
  <c r="AI1041" i="1"/>
  <c r="AN1041" i="1"/>
  <c r="AQ1041" i="1" s="1"/>
  <c r="Z1048" i="1"/>
  <c r="Z1052" i="1"/>
  <c r="Z1049" i="1"/>
  <c r="AD1043" i="1"/>
  <c r="AD1047" i="1"/>
  <c r="Y1048" i="1"/>
  <c r="Y1049" i="1"/>
  <c r="Y1052" i="1"/>
  <c r="W718" i="1"/>
  <c r="W684" i="1" s="1"/>
  <c r="W689" i="1" s="1"/>
  <c r="W688" i="1" s="1"/>
  <c r="AE1042" i="1"/>
  <c r="AC1043" i="1"/>
  <c r="AC1047" i="1"/>
  <c r="AG1051" i="1"/>
  <c r="AG1042" i="1"/>
  <c r="Q979" i="1"/>
  <c r="S983" i="1"/>
  <c r="BP876" i="1" l="1"/>
  <c r="BO876" i="1"/>
  <c r="BO878" i="1" s="1"/>
  <c r="BM878" i="1"/>
  <c r="BM850" i="1"/>
  <c r="BM852" i="1"/>
  <c r="BH858" i="1"/>
  <c r="BG858" i="1"/>
  <c r="BN850" i="1"/>
  <c r="BN852" i="1"/>
  <c r="BN853" i="1" s="1"/>
  <c r="BJ853" i="1"/>
  <c r="BL852" i="1"/>
  <c r="BL853" i="1" s="1"/>
  <c r="BJ857" i="1"/>
  <c r="BN855" i="1"/>
  <c r="BK857" i="1"/>
  <c r="BL855" i="1"/>
  <c r="BL857" i="1" s="1"/>
  <c r="BJ879" i="1"/>
  <c r="BJ883" i="1"/>
  <c r="BL883" i="1" s="1"/>
  <c r="BJ880" i="1"/>
  <c r="BP852" i="1"/>
  <c r="BP857" i="1" s="1"/>
  <c r="BP850" i="1"/>
  <c r="AP1041" i="1"/>
  <c r="AO1041" i="1"/>
  <c r="AT1041" i="1"/>
  <c r="BL879" i="1"/>
  <c r="BL880" i="1"/>
  <c r="BF858" i="1"/>
  <c r="BI857" i="1"/>
  <c r="BQ852" i="1"/>
  <c r="BQ853" i="1" s="1"/>
  <c r="BQ850" i="1"/>
  <c r="AM1041" i="1"/>
  <c r="AL1041" i="1"/>
  <c r="AF1043" i="1"/>
  <c r="AH1042" i="1"/>
  <c r="AF1047" i="1"/>
  <c r="AD1048" i="1"/>
  <c r="AD1049" i="1"/>
  <c r="AD1052" i="1"/>
  <c r="AC1048" i="1"/>
  <c r="AC1052" i="1"/>
  <c r="AC1049" i="1"/>
  <c r="AI1051" i="1"/>
  <c r="AI1042" i="1"/>
  <c r="AH1051" i="1"/>
  <c r="AG1043" i="1"/>
  <c r="AG1047" i="1"/>
  <c r="AE1043" i="1"/>
  <c r="AE1047" i="1"/>
  <c r="AB1052" i="1"/>
  <c r="Z718" i="1"/>
  <c r="Z684" i="1" s="1"/>
  <c r="Z689" i="1" s="1"/>
  <c r="Z688" i="1" s="1"/>
  <c r="AJ1051" i="1"/>
  <c r="AJ1042" i="1"/>
  <c r="AB1048" i="1"/>
  <c r="AB1049" i="1"/>
  <c r="S984" i="1"/>
  <c r="S985" i="1"/>
  <c r="S978" i="1"/>
  <c r="S979" i="1" s="1"/>
  <c r="AE725" i="1"/>
  <c r="BP858" i="1" l="1"/>
  <c r="AP1051" i="1"/>
  <c r="AP1042" i="1"/>
  <c r="BK858" i="1"/>
  <c r="BI858" i="1"/>
  <c r="BQ855" i="1"/>
  <c r="BN857" i="1"/>
  <c r="BO855" i="1"/>
  <c r="BM879" i="1"/>
  <c r="BM883" i="1"/>
  <c r="BO883" i="1" s="1"/>
  <c r="BM880" i="1"/>
  <c r="AS1041" i="1"/>
  <c r="AR1041" i="1"/>
  <c r="AW1041" i="1"/>
  <c r="BP853" i="1"/>
  <c r="BR852" i="1"/>
  <c r="BR853" i="1" s="1"/>
  <c r="BJ858" i="1"/>
  <c r="BO879" i="1"/>
  <c r="BO880" i="1"/>
  <c r="AO1051" i="1"/>
  <c r="AO1042" i="1"/>
  <c r="BL858" i="1"/>
  <c r="BM853" i="1"/>
  <c r="BO852" i="1"/>
  <c r="BO853" i="1" s="1"/>
  <c r="BM857" i="1"/>
  <c r="BR876" i="1"/>
  <c r="BR878" i="1" s="1"/>
  <c r="BP878" i="1"/>
  <c r="AK1051" i="1"/>
  <c r="AG1048" i="1"/>
  <c r="AG1049" i="1"/>
  <c r="AG1052" i="1"/>
  <c r="AH1043" i="1"/>
  <c r="AH1047" i="1"/>
  <c r="AJ1043" i="1"/>
  <c r="AJ1047" i="1"/>
  <c r="AE1048" i="1"/>
  <c r="AE1049" i="1"/>
  <c r="AE1052" i="1"/>
  <c r="AL1051" i="1"/>
  <c r="AL1042" i="1"/>
  <c r="AI1043" i="1"/>
  <c r="AK1042" i="1"/>
  <c r="AI1047" i="1"/>
  <c r="AF1048" i="1"/>
  <c r="AF1049" i="1"/>
  <c r="AF1052" i="1"/>
  <c r="AM1051" i="1"/>
  <c r="AM1042" i="1"/>
  <c r="AG725" i="1"/>
  <c r="AK725" i="1"/>
  <c r="AF725" i="1"/>
  <c r="AQ1051" i="1" l="1"/>
  <c r="BP879" i="1"/>
  <c r="BP883" i="1"/>
  <c r="BR883" i="1" s="1"/>
  <c r="BP880" i="1"/>
  <c r="AV1041" i="1"/>
  <c r="AU1041" i="1"/>
  <c r="AZ1041" i="1"/>
  <c r="BN858" i="1"/>
  <c r="BR879" i="1"/>
  <c r="BR880" i="1"/>
  <c r="AR1051" i="1"/>
  <c r="AR1042" i="1"/>
  <c r="BQ857" i="1"/>
  <c r="BR855" i="1"/>
  <c r="BR857" i="1" s="1"/>
  <c r="BM858" i="1"/>
  <c r="AS1051" i="1"/>
  <c r="AS1042" i="1"/>
  <c r="AO1043" i="1"/>
  <c r="AQ1042" i="1"/>
  <c r="AO1047" i="1"/>
  <c r="BO857" i="1"/>
  <c r="AP1043" i="1"/>
  <c r="AP1047" i="1"/>
  <c r="AH1052" i="1"/>
  <c r="AN1051" i="1"/>
  <c r="AM1043" i="1"/>
  <c r="AM1047" i="1"/>
  <c r="AL1043" i="1"/>
  <c r="AN1042" i="1"/>
  <c r="AL1047" i="1"/>
  <c r="AI1049" i="1"/>
  <c r="AI1052" i="1"/>
  <c r="AI1048" i="1"/>
  <c r="AJ1049" i="1"/>
  <c r="AJ1052" i="1"/>
  <c r="AJ1048" i="1"/>
  <c r="AK1043" i="1"/>
  <c r="AK1047" i="1"/>
  <c r="AH1048" i="1"/>
  <c r="AH1049" i="1"/>
  <c r="AI725" i="1"/>
  <c r="AJ725" i="1"/>
  <c r="AN725" i="1"/>
  <c r="AQ725" i="1" s="1"/>
  <c r="BO858" i="1" l="1"/>
  <c r="AS1043" i="1"/>
  <c r="AS1047" i="1"/>
  <c r="AT1051" i="1"/>
  <c r="AV1051" i="1"/>
  <c r="AV1042" i="1"/>
  <c r="AO725" i="1"/>
  <c r="AP725" i="1"/>
  <c r="AT725" i="1"/>
  <c r="AO1048" i="1"/>
  <c r="AO1049" i="1"/>
  <c r="AO1052" i="1"/>
  <c r="BR858" i="1"/>
  <c r="AP1052" i="1"/>
  <c r="AP1048" i="1"/>
  <c r="AP1049" i="1"/>
  <c r="AQ1043" i="1"/>
  <c r="AQ1047" i="1"/>
  <c r="BQ858" i="1"/>
  <c r="AX1041" i="1"/>
  <c r="AY1041" i="1"/>
  <c r="BC1041" i="1"/>
  <c r="AR1043" i="1"/>
  <c r="AT1042" i="1"/>
  <c r="AR1047" i="1"/>
  <c r="AU1051" i="1"/>
  <c r="AU1042" i="1"/>
  <c r="AK1052" i="1"/>
  <c r="AN1043" i="1"/>
  <c r="AN1047" i="1"/>
  <c r="AM1049" i="1"/>
  <c r="AM1052" i="1"/>
  <c r="AM1048" i="1"/>
  <c r="AK1048" i="1"/>
  <c r="AK1049" i="1"/>
  <c r="AL1049" i="1"/>
  <c r="AL1052" i="1"/>
  <c r="AL1048" i="1"/>
  <c r="AM725" i="1"/>
  <c r="AL725" i="1"/>
  <c r="AQ1052" i="1" l="1"/>
  <c r="AU1043" i="1"/>
  <c r="AW1042" i="1"/>
  <c r="AU1047" i="1"/>
  <c r="AS1052" i="1"/>
  <c r="AS1048" i="1"/>
  <c r="AS1049" i="1"/>
  <c r="BA1041" i="1"/>
  <c r="BB1041" i="1"/>
  <c r="BF1041" i="1"/>
  <c r="AV1043" i="1"/>
  <c r="AV1047" i="1"/>
  <c r="AR1048" i="1"/>
  <c r="AR1049" i="1"/>
  <c r="AR1052" i="1"/>
  <c r="AY1051" i="1"/>
  <c r="AY1042" i="1"/>
  <c r="AR725" i="1"/>
  <c r="AW725" i="1"/>
  <c r="AS725" i="1"/>
  <c r="AW1051" i="1"/>
  <c r="AT1043" i="1"/>
  <c r="AT1047" i="1"/>
  <c r="AX1051" i="1"/>
  <c r="AX1042" i="1"/>
  <c r="AQ1048" i="1"/>
  <c r="AQ1049" i="1"/>
  <c r="AN1048" i="1"/>
  <c r="AN1049" i="1"/>
  <c r="AN1052" i="1"/>
  <c r="AT1052" i="1" l="1"/>
  <c r="AZ1051" i="1"/>
  <c r="AV1052" i="1"/>
  <c r="AV1049" i="1"/>
  <c r="AV1048" i="1"/>
  <c r="BA1051" i="1"/>
  <c r="BA1042" i="1"/>
  <c r="AT1049" i="1"/>
  <c r="AT1048" i="1"/>
  <c r="AU725" i="1"/>
  <c r="AZ725" i="1"/>
  <c r="AV725" i="1"/>
  <c r="AU1049" i="1"/>
  <c r="AU1048" i="1"/>
  <c r="AU1052" i="1"/>
  <c r="BD1041" i="1"/>
  <c r="BE1041" i="1"/>
  <c r="BI1041" i="1"/>
  <c r="AW1043" i="1"/>
  <c r="AW1047" i="1"/>
  <c r="AZ1042" i="1"/>
  <c r="AX1043" i="1"/>
  <c r="AX1047" i="1"/>
  <c r="AY1043" i="1"/>
  <c r="AY1047" i="1"/>
  <c r="BB1051" i="1"/>
  <c r="BB1042" i="1"/>
  <c r="AW1052" i="1" l="1"/>
  <c r="BC1051" i="1"/>
  <c r="AY1048" i="1"/>
  <c r="AY1049" i="1"/>
  <c r="AY1052" i="1"/>
  <c r="AZ1043" i="1"/>
  <c r="AZ1047" i="1"/>
  <c r="BE1051" i="1"/>
  <c r="BE1042" i="1"/>
  <c r="BA1043" i="1"/>
  <c r="BC1042" i="1"/>
  <c r="BA1047" i="1"/>
  <c r="AW1049" i="1"/>
  <c r="AW1048" i="1"/>
  <c r="BD1051" i="1"/>
  <c r="BD1042" i="1"/>
  <c r="BB1043" i="1"/>
  <c r="BB1047" i="1"/>
  <c r="AX1049" i="1"/>
  <c r="AX1048" i="1"/>
  <c r="AX1052" i="1"/>
  <c r="BC725" i="1"/>
  <c r="AY725" i="1"/>
  <c r="AX725" i="1"/>
  <c r="BH1041" i="1"/>
  <c r="BG1041" i="1"/>
  <c r="BL1041" i="1"/>
  <c r="BD1043" i="1" l="1"/>
  <c r="BF1042" i="1"/>
  <c r="BD1047" i="1"/>
  <c r="BA1049" i="1"/>
  <c r="BA1052" i="1"/>
  <c r="BA1048" i="1"/>
  <c r="BC1043" i="1"/>
  <c r="BC1047" i="1"/>
  <c r="BE1043" i="1"/>
  <c r="BE1047" i="1"/>
  <c r="BG1051" i="1"/>
  <c r="BG1042" i="1"/>
  <c r="BH1051" i="1"/>
  <c r="BH1042" i="1"/>
  <c r="BF725" i="1"/>
  <c r="BB725" i="1"/>
  <c r="BA725" i="1"/>
  <c r="BB1052" i="1"/>
  <c r="BB1049" i="1"/>
  <c r="BB1048" i="1"/>
  <c r="BF1051" i="1"/>
  <c r="BO1041" i="1"/>
  <c r="BK1041" i="1"/>
  <c r="BJ1041" i="1"/>
  <c r="AZ1052" i="1"/>
  <c r="AZ1048" i="1"/>
  <c r="AZ1049" i="1"/>
  <c r="BI1051" i="1" l="1"/>
  <c r="BJ1051" i="1"/>
  <c r="BJ1042" i="1"/>
  <c r="BH1043" i="1"/>
  <c r="BH1047" i="1"/>
  <c r="BE1048" i="1"/>
  <c r="BE1052" i="1"/>
  <c r="BE1049" i="1"/>
  <c r="BD1048" i="1"/>
  <c r="BD1049" i="1"/>
  <c r="BD1052" i="1"/>
  <c r="BK1051" i="1"/>
  <c r="BK1042" i="1"/>
  <c r="BN1041" i="1"/>
  <c r="BM1041" i="1"/>
  <c r="BR1041" i="1"/>
  <c r="BG1043" i="1"/>
  <c r="BI1042" i="1"/>
  <c r="BG1047" i="1"/>
  <c r="BC1048" i="1"/>
  <c r="BC1049" i="1"/>
  <c r="BF1043" i="1"/>
  <c r="BF1047" i="1"/>
  <c r="BD725" i="1"/>
  <c r="BI725" i="1"/>
  <c r="BE725" i="1"/>
  <c r="BC1052" i="1"/>
  <c r="AB1414" i="1"/>
  <c r="AD1415" i="1"/>
  <c r="AC1415" i="1"/>
  <c r="BL1051" i="1" l="1"/>
  <c r="BK1043" i="1"/>
  <c r="BK1047" i="1"/>
  <c r="BF1048" i="1"/>
  <c r="BF1049" i="1"/>
  <c r="BI1043" i="1"/>
  <c r="BI1047" i="1"/>
  <c r="BP1041" i="1"/>
  <c r="BQ1041" i="1"/>
  <c r="BM1051" i="1"/>
  <c r="BM1042" i="1"/>
  <c r="BF1052" i="1"/>
  <c r="BH1048" i="1"/>
  <c r="BH1052" i="1"/>
  <c r="BH1049" i="1"/>
  <c r="BJ1043" i="1"/>
  <c r="BL1042" i="1"/>
  <c r="BJ1047" i="1"/>
  <c r="BG725" i="1"/>
  <c r="BL725" i="1"/>
  <c r="BH725" i="1"/>
  <c r="BG1052" i="1"/>
  <c r="BG1048" i="1"/>
  <c r="BG1049" i="1"/>
  <c r="BN1051" i="1"/>
  <c r="BN1042" i="1"/>
  <c r="AB1419" i="1"/>
  <c r="AI1414" i="1"/>
  <c r="AI1426" i="1" s="1"/>
  <c r="AI1216" i="1" s="1"/>
  <c r="AJ1414" i="1"/>
  <c r="AJ1426" i="1" s="1"/>
  <c r="BO1051" i="1" l="1"/>
  <c r="BL1043" i="1"/>
  <c r="BL1047" i="1"/>
  <c r="BI1048" i="1"/>
  <c r="BI1049" i="1"/>
  <c r="BK1048" i="1"/>
  <c r="BK1052" i="1"/>
  <c r="BK1049" i="1"/>
  <c r="BJ725" i="1"/>
  <c r="BO725" i="1"/>
  <c r="BK725" i="1"/>
  <c r="BM1043" i="1"/>
  <c r="BO1042" i="1"/>
  <c r="BM1047" i="1"/>
  <c r="BQ1051" i="1"/>
  <c r="BQ1042" i="1"/>
  <c r="BN1043" i="1"/>
  <c r="BN1047" i="1"/>
  <c r="BJ1048" i="1"/>
  <c r="BJ1052" i="1"/>
  <c r="BJ1049" i="1"/>
  <c r="BI1052" i="1"/>
  <c r="BP1051" i="1"/>
  <c r="BP1042" i="1"/>
  <c r="AK1336" i="1"/>
  <c r="AJ1216" i="1"/>
  <c r="AK1216" i="1" s="1"/>
  <c r="AL1414" i="1"/>
  <c r="AI1415" i="1"/>
  <c r="AM1414" i="1"/>
  <c r="AK1414" i="1"/>
  <c r="AJ1415" i="1"/>
  <c r="AM1426" i="1" l="1"/>
  <c r="AM1216" i="1" s="1"/>
  <c r="AP1414" i="1"/>
  <c r="AL1426" i="1"/>
  <c r="AL1216" i="1" s="1"/>
  <c r="AO1414" i="1"/>
  <c r="BR1051" i="1"/>
  <c r="BL1052" i="1"/>
  <c r="BL1048" i="1"/>
  <c r="BL1049" i="1"/>
  <c r="BR1042" i="1"/>
  <c r="BP1043" i="1"/>
  <c r="BP1047" i="1"/>
  <c r="BN1048" i="1"/>
  <c r="BN1052" i="1"/>
  <c r="BN1049" i="1"/>
  <c r="BM1048" i="1"/>
  <c r="BM1052" i="1"/>
  <c r="BM1049" i="1"/>
  <c r="BO1043" i="1"/>
  <c r="BO1047" i="1"/>
  <c r="BQ1043" i="1"/>
  <c r="BQ1047" i="1"/>
  <c r="BM725" i="1"/>
  <c r="BR725" i="1"/>
  <c r="BN725" i="1"/>
  <c r="AK1426" i="1"/>
  <c r="AN1414" i="1"/>
  <c r="AL1416" i="1"/>
  <c r="AL1415" i="1" s="1"/>
  <c r="AM1416" i="1"/>
  <c r="AM1415" i="1" s="1"/>
  <c r="AK1415" i="1"/>
  <c r="AK1416" i="1" s="1"/>
  <c r="AN1216" i="1" l="1"/>
  <c r="BO1052" i="1"/>
  <c r="AQ1414" i="1"/>
  <c r="AR1414" i="1"/>
  <c r="AO1426" i="1"/>
  <c r="AP1426" i="1"/>
  <c r="AS1414" i="1"/>
  <c r="AP1416" i="1"/>
  <c r="AP1415" i="1" s="1"/>
  <c r="AO1416" i="1"/>
  <c r="AO1415" i="1" s="1"/>
  <c r="BP725" i="1"/>
  <c r="BQ725" i="1"/>
  <c r="BO1048" i="1"/>
  <c r="BO1049" i="1"/>
  <c r="BP1048" i="1"/>
  <c r="BP1049" i="1"/>
  <c r="BP1052" i="1"/>
  <c r="BQ1048" i="1"/>
  <c r="BQ1049" i="1"/>
  <c r="BQ1052" i="1"/>
  <c r="BR1043" i="1"/>
  <c r="BR1047" i="1"/>
  <c r="AN1426" i="1"/>
  <c r="AN1415" i="1"/>
  <c r="AN1416" i="1" s="1"/>
  <c r="AP1216" i="1" l="1"/>
  <c r="AS1416" i="1"/>
  <c r="AS1415" i="1" s="1"/>
  <c r="AR1416" i="1"/>
  <c r="AR1415" i="1" s="1"/>
  <c r="AQ1415" i="1"/>
  <c r="AQ1416" i="1" s="1"/>
  <c r="AQ1426" i="1"/>
  <c r="AR1426" i="1"/>
  <c r="AT1414" i="1"/>
  <c r="AU1414" i="1"/>
  <c r="AS1426" i="1"/>
  <c r="AV1414" i="1"/>
  <c r="BR1048" i="1"/>
  <c r="BR1049" i="1"/>
  <c r="BR1052" i="1"/>
  <c r="AB1415" i="1"/>
  <c r="AB1417" i="1"/>
  <c r="AI1417" i="1"/>
  <c r="AI1427" i="1" s="1"/>
  <c r="AI1291" i="1" s="1"/>
  <c r="AA1418" i="1"/>
  <c r="AA1423" i="1" s="1"/>
  <c r="AA1428" i="1" s="1"/>
  <c r="AC1418" i="1"/>
  <c r="AD1418" i="1"/>
  <c r="AV1426" i="1" l="1"/>
  <c r="AY1414" i="1"/>
  <c r="AT1426" i="1"/>
  <c r="AS1216" i="1"/>
  <c r="AU1416" i="1"/>
  <c r="AU1415" i="1" s="1"/>
  <c r="AV1416" i="1"/>
  <c r="AV1415" i="1" s="1"/>
  <c r="AU1426" i="1"/>
  <c r="AX1414" i="1"/>
  <c r="AW1414" i="1"/>
  <c r="AO1216" i="1"/>
  <c r="AQ1216" i="1" s="1"/>
  <c r="AT1415" i="1"/>
  <c r="AT1416" i="1" s="1"/>
  <c r="AB1428" i="1"/>
  <c r="AB1345" i="1" s="1"/>
  <c r="AA1345" i="1"/>
  <c r="AA1300" i="1" s="1"/>
  <c r="AL1417" i="1"/>
  <c r="AD1419" i="1"/>
  <c r="AB1423" i="1"/>
  <c r="AD1423" i="1"/>
  <c r="AD1428" i="1" s="1"/>
  <c r="AD1345" i="1" s="1"/>
  <c r="AD1300" i="1" s="1"/>
  <c r="AC1423" i="1"/>
  <c r="AC1428" i="1" s="1"/>
  <c r="AC1345" i="1" s="1"/>
  <c r="AC1300" i="1" s="1"/>
  <c r="AC1419" i="1"/>
  <c r="AJ1417" i="1"/>
  <c r="AJ1427" i="1" s="1"/>
  <c r="AJ1291" i="1" s="1"/>
  <c r="AI1418" i="1"/>
  <c r="AI1419" i="1" s="1"/>
  <c r="AL1427" i="1" l="1"/>
  <c r="AL1291" i="1" s="1"/>
  <c r="AO1417" i="1"/>
  <c r="AW1426" i="1"/>
  <c r="AY1426" i="1"/>
  <c r="BB1414" i="1"/>
  <c r="AX1416" i="1"/>
  <c r="AX1415" i="1" s="1"/>
  <c r="AY1416" i="1"/>
  <c r="AY1415" i="1" s="1"/>
  <c r="AV1216" i="1"/>
  <c r="BA1414" i="1"/>
  <c r="AX1426" i="1"/>
  <c r="AZ1414" i="1"/>
  <c r="AW1415" i="1"/>
  <c r="AW1416" i="1" s="1"/>
  <c r="AR1216" i="1"/>
  <c r="AT1216" i="1" s="1"/>
  <c r="AC1305" i="1"/>
  <c r="AC1304" i="1"/>
  <c r="AE1300" i="1"/>
  <c r="AD1305" i="1"/>
  <c r="AD1304" i="1"/>
  <c r="AB1300" i="1"/>
  <c r="AA1305" i="1"/>
  <c r="AA1304" i="1"/>
  <c r="AK1291" i="1"/>
  <c r="AE1428" i="1"/>
  <c r="AE1345" i="1" s="1"/>
  <c r="AG1428" i="1"/>
  <c r="AF1428" i="1"/>
  <c r="AL1418" i="1"/>
  <c r="AJ1418" i="1"/>
  <c r="AK1418" i="1" s="1"/>
  <c r="AK1419" i="1" s="1"/>
  <c r="AK1417" i="1"/>
  <c r="AE1423" i="1"/>
  <c r="AC1424" i="1"/>
  <c r="AD1424" i="1"/>
  <c r="AB1424" i="1"/>
  <c r="AM1417" i="1"/>
  <c r="AI1423" i="1"/>
  <c r="AI1428" i="1" s="1"/>
  <c r="AZ1415" i="1" l="1"/>
  <c r="AZ1416" i="1" s="1"/>
  <c r="AZ1426" i="1"/>
  <c r="AU1216" i="1"/>
  <c r="AW1216" i="1" s="1"/>
  <c r="AM1427" i="1"/>
  <c r="AM1291" i="1" s="1"/>
  <c r="AN1291" i="1" s="1"/>
  <c r="AP1417" i="1"/>
  <c r="BA1416" i="1"/>
  <c r="BA1415" i="1" s="1"/>
  <c r="BB1416" i="1"/>
  <c r="BB1415" i="1" s="1"/>
  <c r="BA1426" i="1"/>
  <c r="BD1414" i="1"/>
  <c r="BC1414" i="1"/>
  <c r="BB1426" i="1"/>
  <c r="BE1414" i="1"/>
  <c r="AY1216" i="1"/>
  <c r="AR1417" i="1"/>
  <c r="AO1427" i="1"/>
  <c r="AO1418" i="1"/>
  <c r="AE1305" i="1"/>
  <c r="AE1304" i="1"/>
  <c r="AB1305" i="1"/>
  <c r="AB1304" i="1"/>
  <c r="AJ1423" i="1"/>
  <c r="AK1427" i="1"/>
  <c r="AK1344" i="1" s="1"/>
  <c r="AL1419" i="1"/>
  <c r="AL1423" i="1"/>
  <c r="AL1428" i="1" s="1"/>
  <c r="AJ1419" i="1"/>
  <c r="AH1428" i="1"/>
  <c r="AL1170" i="1"/>
  <c r="AE1424" i="1"/>
  <c r="AN1417" i="1"/>
  <c r="AM1418" i="1"/>
  <c r="AI1424" i="1"/>
  <c r="AR1427" i="1" l="1"/>
  <c r="AU1417" i="1"/>
  <c r="AR1418" i="1"/>
  <c r="BE1426" i="1"/>
  <c r="BH1414" i="1"/>
  <c r="BD1426" i="1"/>
  <c r="BF1414" i="1"/>
  <c r="BG1414" i="1"/>
  <c r="AQ1417" i="1"/>
  <c r="AP1427" i="1"/>
  <c r="AP1291" i="1" s="1"/>
  <c r="AS1417" i="1"/>
  <c r="AP1418" i="1"/>
  <c r="AQ1418" i="1" s="1"/>
  <c r="AQ1419" i="1" s="1"/>
  <c r="BB1216" i="1"/>
  <c r="BC1426" i="1"/>
  <c r="AX1216" i="1"/>
  <c r="AO1419" i="1"/>
  <c r="AO1423" i="1"/>
  <c r="AZ1216" i="1"/>
  <c r="BD1416" i="1"/>
  <c r="BD1415" i="1" s="1"/>
  <c r="BE1416" i="1"/>
  <c r="BE1415" i="1" s="1"/>
  <c r="AN1427" i="1"/>
  <c r="AO1291" i="1"/>
  <c r="BC1415" i="1"/>
  <c r="BC1416" i="1" s="1"/>
  <c r="AJ1424" i="1"/>
  <c r="AJ1428" i="1"/>
  <c r="AL551" i="1"/>
  <c r="AL1180" i="1"/>
  <c r="AK1423" i="1"/>
  <c r="AK1424" i="1" s="1"/>
  <c r="AK1428" i="1"/>
  <c r="AJ1170" i="1"/>
  <c r="AL1424" i="1"/>
  <c r="AG1170" i="1"/>
  <c r="AH1170" i="1"/>
  <c r="AM1423" i="1"/>
  <c r="AM1428" i="1" s="1"/>
  <c r="AM1419" i="1"/>
  <c r="AN1418" i="1"/>
  <c r="AN1419" i="1" s="1"/>
  <c r="AI1170" i="1"/>
  <c r="AS1427" i="1" l="1"/>
  <c r="AS1291" i="1" s="1"/>
  <c r="AV1417" i="1"/>
  <c r="AS1418" i="1"/>
  <c r="AR1419" i="1"/>
  <c r="AR1423" i="1"/>
  <c r="AO1428" i="1"/>
  <c r="AO1424" i="1"/>
  <c r="AP1170" i="1"/>
  <c r="BF1426" i="1"/>
  <c r="AT1417" i="1"/>
  <c r="AQ1291" i="1"/>
  <c r="AQ1170" i="1" s="1"/>
  <c r="AO1170" i="1"/>
  <c r="BF1415" i="1"/>
  <c r="BF1416" i="1" s="1"/>
  <c r="BA1216" i="1"/>
  <c r="BC1216" i="1" s="1"/>
  <c r="BH1426" i="1"/>
  <c r="BK1414" i="1"/>
  <c r="AU1427" i="1"/>
  <c r="AX1417" i="1"/>
  <c r="AU1418" i="1"/>
  <c r="BG1416" i="1"/>
  <c r="BG1415" i="1" s="1"/>
  <c r="BH1416" i="1"/>
  <c r="BH1415" i="1" s="1"/>
  <c r="AQ1427" i="1"/>
  <c r="AP1419" i="1"/>
  <c r="AP1423" i="1"/>
  <c r="AQ1423" i="1" s="1"/>
  <c r="AQ1424" i="1" s="1"/>
  <c r="BG1426" i="1"/>
  <c r="BI1414" i="1"/>
  <c r="BJ1414" i="1"/>
  <c r="BE1216" i="1"/>
  <c r="AT1427" i="1"/>
  <c r="AR1291" i="1"/>
  <c r="AG551" i="1"/>
  <c r="AH551" i="1" s="1"/>
  <c r="AG1180" i="1"/>
  <c r="AI551" i="1"/>
  <c r="AI1180" i="1"/>
  <c r="AJ551" i="1"/>
  <c r="AJ1180" i="1"/>
  <c r="AN1428" i="1"/>
  <c r="AM1424" i="1"/>
  <c r="AN1423" i="1"/>
  <c r="AK1170" i="1"/>
  <c r="AT1291" i="1" l="1"/>
  <c r="AT1170" i="1" s="1"/>
  <c r="AR1170" i="1"/>
  <c r="BI1426" i="1"/>
  <c r="AX1427" i="1"/>
  <c r="BA1417" i="1"/>
  <c r="AX1418" i="1"/>
  <c r="BJ1416" i="1"/>
  <c r="BJ1415" i="1" s="1"/>
  <c r="BK1416" i="1"/>
  <c r="BK1415" i="1" s="1"/>
  <c r="AS1170" i="1"/>
  <c r="AP1428" i="1"/>
  <c r="AQ1428" i="1" s="1"/>
  <c r="AP1424" i="1"/>
  <c r="BI1415" i="1"/>
  <c r="BI1416" i="1" s="1"/>
  <c r="AU1291" i="1"/>
  <c r="AO551" i="1"/>
  <c r="AO1180" i="1"/>
  <c r="BD1216" i="1"/>
  <c r="BF1216" i="1" s="1"/>
  <c r="AS1419" i="1"/>
  <c r="AS1423" i="1"/>
  <c r="BJ1426" i="1"/>
  <c r="BM1414" i="1"/>
  <c r="BL1414" i="1"/>
  <c r="AU1419" i="1"/>
  <c r="AU1423" i="1"/>
  <c r="BK1426" i="1"/>
  <c r="BN1414" i="1"/>
  <c r="AR1428" i="1"/>
  <c r="AR1424" i="1"/>
  <c r="AV1427" i="1"/>
  <c r="AV1291" i="1" s="1"/>
  <c r="AY1417" i="1"/>
  <c r="AV1418" i="1"/>
  <c r="AW1418" i="1" s="1"/>
  <c r="AW1419" i="1" s="1"/>
  <c r="AW1417" i="1"/>
  <c r="BH1216" i="1"/>
  <c r="AP1180" i="1"/>
  <c r="AP1182" i="1" s="1"/>
  <c r="AP153" i="1" s="1"/>
  <c r="AP551" i="1"/>
  <c r="AT1418" i="1"/>
  <c r="AT1419" i="1" s="1"/>
  <c r="AK551" i="1"/>
  <c r="AK1180" i="1"/>
  <c r="AN1424" i="1"/>
  <c r="AM1170" i="1"/>
  <c r="AN1170" i="1"/>
  <c r="AW1427" i="1" l="1"/>
  <c r="AV1170" i="1"/>
  <c r="AY1427" i="1"/>
  <c r="AY1291" i="1" s="1"/>
  <c r="BB1417" i="1"/>
  <c r="BC1417" i="1" s="1"/>
  <c r="AY1418" i="1"/>
  <c r="AZ1418" i="1" s="1"/>
  <c r="AZ1419" i="1" s="1"/>
  <c r="BL1426" i="1"/>
  <c r="BA1427" i="1"/>
  <c r="BD1417" i="1"/>
  <c r="BA1418" i="1"/>
  <c r="BG1216" i="1"/>
  <c r="BI1216" i="1" s="1"/>
  <c r="BO1414" i="1"/>
  <c r="BQ1414" i="1"/>
  <c r="BQ1426" i="1" s="1"/>
  <c r="BN1426" i="1"/>
  <c r="AS1424" i="1"/>
  <c r="AS1428" i="1"/>
  <c r="AT1428" i="1" s="1"/>
  <c r="AQ1180" i="1"/>
  <c r="AO1182" i="1"/>
  <c r="BL1415" i="1"/>
  <c r="BL1416" i="1" s="1"/>
  <c r="AX1291" i="1"/>
  <c r="AR1180" i="1"/>
  <c r="AR551" i="1"/>
  <c r="AT1423" i="1"/>
  <c r="AT1424" i="1" s="1"/>
  <c r="BK1216" i="1"/>
  <c r="AQ551" i="1"/>
  <c r="BM1416" i="1"/>
  <c r="BM1415" i="1" s="1"/>
  <c r="BN1416" i="1"/>
  <c r="BN1415" i="1" s="1"/>
  <c r="AX1419" i="1"/>
  <c r="AX1423" i="1"/>
  <c r="AW1291" i="1"/>
  <c r="AW1170" i="1" s="1"/>
  <c r="AU1170" i="1"/>
  <c r="AV1419" i="1"/>
  <c r="AV1423" i="1"/>
  <c r="AW1423" i="1" s="1"/>
  <c r="AW1424" i="1" s="1"/>
  <c r="AU1428" i="1"/>
  <c r="AU1424" i="1"/>
  <c r="BM1426" i="1"/>
  <c r="BP1414" i="1"/>
  <c r="AS1180" i="1"/>
  <c r="AS1182" i="1" s="1"/>
  <c r="AS153" i="1" s="1"/>
  <c r="AS551" i="1"/>
  <c r="AZ1417" i="1"/>
  <c r="AM551" i="1"/>
  <c r="AM1180" i="1"/>
  <c r="AN1180" i="1" s="1"/>
  <c r="AX1170" i="1" l="1"/>
  <c r="AZ1291" i="1"/>
  <c r="AZ1170" i="1" s="1"/>
  <c r="AY1170" i="1"/>
  <c r="AX1424" i="1"/>
  <c r="AX1428" i="1"/>
  <c r="BO1415" i="1"/>
  <c r="BO1416" i="1" s="1"/>
  <c r="AO153" i="1"/>
  <c r="AQ1182" i="1"/>
  <c r="BN1216" i="1"/>
  <c r="BD1427" i="1"/>
  <c r="BG1417" i="1"/>
  <c r="BD1418" i="1"/>
  <c r="AZ1427" i="1"/>
  <c r="BQ1216" i="1"/>
  <c r="BA1291" i="1"/>
  <c r="BP1426" i="1"/>
  <c r="BR1414" i="1"/>
  <c r="AU1180" i="1"/>
  <c r="AU551" i="1"/>
  <c r="AT551" i="1"/>
  <c r="BA1419" i="1"/>
  <c r="BA1423" i="1"/>
  <c r="AY1419" i="1"/>
  <c r="AY1423" i="1"/>
  <c r="BO1426" i="1"/>
  <c r="AV1424" i="1"/>
  <c r="AV1428" i="1"/>
  <c r="AW1428" i="1" s="1"/>
  <c r="AR1182" i="1"/>
  <c r="AT1180" i="1"/>
  <c r="BP1416" i="1"/>
  <c r="BP1415" i="1" s="1"/>
  <c r="BQ1416" i="1"/>
  <c r="BQ1415" i="1" s="1"/>
  <c r="BJ1216" i="1"/>
  <c r="BL1216" i="1" s="1"/>
  <c r="BB1427" i="1"/>
  <c r="BB1291" i="1" s="1"/>
  <c r="BE1417" i="1"/>
  <c r="BB1418" i="1"/>
  <c r="BC1418" i="1" s="1"/>
  <c r="BC1419" i="1" s="1"/>
  <c r="AV1180" i="1"/>
  <c r="AV1182" i="1" s="1"/>
  <c r="AV153" i="1" s="1"/>
  <c r="AV551" i="1"/>
  <c r="AN551" i="1"/>
  <c r="Q1000" i="1"/>
  <c r="S999" i="1"/>
  <c r="S1000" i="1" s="1"/>
  <c r="Q1004" i="1"/>
  <c r="R1004" i="1"/>
  <c r="AW551" i="1" l="1"/>
  <c r="BB1170" i="1"/>
  <c r="BC1291" i="1"/>
  <c r="BC1170" i="1" s="1"/>
  <c r="BD1291" i="1"/>
  <c r="BA1170" i="1"/>
  <c r="BF1417" i="1"/>
  <c r="BH1417" i="1"/>
  <c r="BE1427" i="1"/>
  <c r="BE1418" i="1"/>
  <c r="BF1418" i="1" s="1"/>
  <c r="BF1419" i="1" s="1"/>
  <c r="BM1216" i="1"/>
  <c r="BO1216" i="1" s="1"/>
  <c r="BA1424" i="1"/>
  <c r="BA1428" i="1"/>
  <c r="BR1426" i="1"/>
  <c r="BG1427" i="1"/>
  <c r="BJ1417" i="1"/>
  <c r="BG1418" i="1"/>
  <c r="AY1180" i="1"/>
  <c r="AY1182" i="1" s="1"/>
  <c r="AY153" i="1" s="1"/>
  <c r="AY551" i="1"/>
  <c r="BR1415" i="1"/>
  <c r="BR1416" i="1" s="1"/>
  <c r="AU1182" i="1"/>
  <c r="AW1180" i="1"/>
  <c r="AQ153" i="1"/>
  <c r="AQ1183" i="1"/>
  <c r="AZ1423" i="1"/>
  <c r="AZ1424" i="1" s="1"/>
  <c r="AY1428" i="1"/>
  <c r="AZ1428" i="1" s="1"/>
  <c r="AY1424" i="1"/>
  <c r="BC1427" i="1"/>
  <c r="AX551" i="1"/>
  <c r="AX1180" i="1"/>
  <c r="BB1419" i="1"/>
  <c r="BB1423" i="1"/>
  <c r="AT1182" i="1"/>
  <c r="AR153" i="1"/>
  <c r="BD1419" i="1"/>
  <c r="BD1423" i="1"/>
  <c r="Q1009" i="1"/>
  <c r="T1009" i="1"/>
  <c r="R1009" i="1"/>
  <c r="U1009" i="1"/>
  <c r="Q1005" i="1"/>
  <c r="R1005" i="1"/>
  <c r="S1004" i="1"/>
  <c r="AZ551" i="1" l="1"/>
  <c r="BB1428" i="1"/>
  <c r="BC1428" i="1" s="1"/>
  <c r="BB1424" i="1"/>
  <c r="AW1182" i="1"/>
  <c r="AU153" i="1"/>
  <c r="BJ1427" i="1"/>
  <c r="BM1417" i="1"/>
  <c r="BJ1418" i="1"/>
  <c r="BF1427" i="1"/>
  <c r="BE1291" i="1"/>
  <c r="BF1291" i="1" s="1"/>
  <c r="BF1170" i="1" s="1"/>
  <c r="BD1170" i="1"/>
  <c r="BG1291" i="1"/>
  <c r="BH1427" i="1"/>
  <c r="BK1417" i="1"/>
  <c r="BL1417" i="1" s="1"/>
  <c r="BH1418" i="1"/>
  <c r="AZ1180" i="1"/>
  <c r="AX1182" i="1"/>
  <c r="BG1419" i="1"/>
  <c r="BG1423" i="1"/>
  <c r="BD1428" i="1"/>
  <c r="BD1424" i="1"/>
  <c r="AT1183" i="1"/>
  <c r="AT153" i="1"/>
  <c r="BI1417" i="1"/>
  <c r="BP1216" i="1"/>
  <c r="BR1216" i="1" s="1"/>
  <c r="BC1423" i="1"/>
  <c r="BC1424" i="1" s="1"/>
  <c r="BE1419" i="1"/>
  <c r="BE1423" i="1"/>
  <c r="BA551" i="1"/>
  <c r="BA1180" i="1"/>
  <c r="BB551" i="1"/>
  <c r="BB1180" i="1"/>
  <c r="BB1182" i="1" s="1"/>
  <c r="BB153" i="1" s="1"/>
  <c r="V1009" i="1"/>
  <c r="T718" i="1"/>
  <c r="T684" i="1" s="1"/>
  <c r="T689" i="1" s="1"/>
  <c r="T688" i="1" s="1"/>
  <c r="S1009" i="1"/>
  <c r="Q718" i="1"/>
  <c r="Q684" i="1" s="1"/>
  <c r="Q689" i="1" s="1"/>
  <c r="Q688" i="1" s="1"/>
  <c r="S1005" i="1"/>
  <c r="R962" i="1"/>
  <c r="S957" i="1"/>
  <c r="S958" i="1" s="1"/>
  <c r="BI1427" i="1" l="1"/>
  <c r="BG1170" i="1"/>
  <c r="BE1428" i="1"/>
  <c r="BF1428" i="1" s="1"/>
  <c r="BE1424" i="1"/>
  <c r="BG1424" i="1"/>
  <c r="BG1428" i="1"/>
  <c r="BJ1419" i="1"/>
  <c r="BJ1423" i="1"/>
  <c r="BH1419" i="1"/>
  <c r="BH1423" i="1"/>
  <c r="BI1423" i="1" s="1"/>
  <c r="BI1424" i="1" s="1"/>
  <c r="BD1180" i="1"/>
  <c r="BD551" i="1"/>
  <c r="AW1183" i="1"/>
  <c r="AW153" i="1"/>
  <c r="BC1180" i="1"/>
  <c r="BA1182" i="1"/>
  <c r="BI1418" i="1"/>
  <c r="BI1419" i="1" s="1"/>
  <c r="BK1427" i="1"/>
  <c r="BN1417" i="1"/>
  <c r="BK1418" i="1"/>
  <c r="BH1291" i="1"/>
  <c r="BI1291" i="1" s="1"/>
  <c r="BI1170" i="1" s="1"/>
  <c r="BE1170" i="1"/>
  <c r="BM1427" i="1"/>
  <c r="BP1417" i="1"/>
  <c r="BM1418" i="1"/>
  <c r="BC551" i="1"/>
  <c r="BF1423" i="1"/>
  <c r="BF1424" i="1" s="1"/>
  <c r="AX153" i="1"/>
  <c r="AZ1182" i="1"/>
  <c r="BL1427" i="1"/>
  <c r="BJ1291" i="1"/>
  <c r="U967" i="1"/>
  <c r="V967" i="1" s="1"/>
  <c r="R967" i="1"/>
  <c r="S967" i="1" s="1"/>
  <c r="S962" i="1"/>
  <c r="R963" i="1"/>
  <c r="BJ1170" i="1" l="1"/>
  <c r="BP1427" i="1"/>
  <c r="BP1418" i="1"/>
  <c r="BK1419" i="1"/>
  <c r="BK1423" i="1"/>
  <c r="BM1291" i="1"/>
  <c r="BN1427" i="1"/>
  <c r="BQ1417" i="1"/>
  <c r="BN1418" i="1"/>
  <c r="BO1418" i="1" s="1"/>
  <c r="BO1419" i="1" s="1"/>
  <c r="BA153" i="1"/>
  <c r="BC1182" i="1"/>
  <c r="BJ1428" i="1"/>
  <c r="BJ1424" i="1"/>
  <c r="AZ153" i="1"/>
  <c r="AZ1183" i="1"/>
  <c r="BM1419" i="1"/>
  <c r="BM1423" i="1"/>
  <c r="BE551" i="1"/>
  <c r="BF551" i="1" s="1"/>
  <c r="BE1180" i="1"/>
  <c r="BE1182" i="1" s="1"/>
  <c r="BE153" i="1" s="1"/>
  <c r="BD1182" i="1"/>
  <c r="BL1418" i="1"/>
  <c r="BL1419" i="1" s="1"/>
  <c r="BG551" i="1"/>
  <c r="BG1180" i="1"/>
  <c r="BO1417" i="1"/>
  <c r="BK1291" i="1"/>
  <c r="BH1170" i="1"/>
  <c r="BH1424" i="1"/>
  <c r="BH1428" i="1"/>
  <c r="BI1428" i="1" s="1"/>
  <c r="S963" i="1"/>
  <c r="BF1180" i="1" l="1"/>
  <c r="BM1170" i="1"/>
  <c r="BF1182" i="1"/>
  <c r="BD153" i="1"/>
  <c r="BM1428" i="1"/>
  <c r="BM1424" i="1"/>
  <c r="BR1417" i="1"/>
  <c r="BQ1427" i="1"/>
  <c r="BQ1418" i="1"/>
  <c r="BP1291" i="1"/>
  <c r="BG1182" i="1"/>
  <c r="BC153" i="1"/>
  <c r="BC1183" i="1"/>
  <c r="BK1428" i="1"/>
  <c r="BL1428" i="1" s="1"/>
  <c r="BK1424" i="1"/>
  <c r="BJ551" i="1"/>
  <c r="BJ1180" i="1"/>
  <c r="BH1180" i="1"/>
  <c r="BH1182" i="1" s="1"/>
  <c r="BH153" i="1" s="1"/>
  <c r="BH551" i="1"/>
  <c r="BI551" i="1" s="1"/>
  <c r="BN1291" i="1"/>
  <c r="BK1170" i="1"/>
  <c r="BL1423" i="1"/>
  <c r="BL1424" i="1" s="1"/>
  <c r="BN1419" i="1"/>
  <c r="BN1423" i="1"/>
  <c r="BO1423" i="1" s="1"/>
  <c r="BO1424" i="1" s="1"/>
  <c r="BO1427" i="1"/>
  <c r="BP1419" i="1"/>
  <c r="BP1423" i="1"/>
  <c r="BL1291" i="1"/>
  <c r="BL1170" i="1" s="1"/>
  <c r="BR1427" i="1" l="1"/>
  <c r="BI1180" i="1"/>
  <c r="BF1183" i="1"/>
  <c r="BF153" i="1"/>
  <c r="BK551" i="1"/>
  <c r="BL551" i="1" s="1"/>
  <c r="BK1180" i="1"/>
  <c r="BK1182" i="1" s="1"/>
  <c r="BK153" i="1" s="1"/>
  <c r="BQ1419" i="1"/>
  <c r="BQ1423" i="1"/>
  <c r="BR1423" i="1" s="1"/>
  <c r="BR1424" i="1" s="1"/>
  <c r="BP1170" i="1"/>
  <c r="BP1428" i="1"/>
  <c r="BP1424" i="1"/>
  <c r="BN1424" i="1"/>
  <c r="BN1428" i="1"/>
  <c r="BO1428" i="1" s="1"/>
  <c r="BQ1291" i="1"/>
  <c r="BQ1170" i="1" s="1"/>
  <c r="BN1170" i="1"/>
  <c r="BI1182" i="1"/>
  <c r="BG153" i="1"/>
  <c r="BO1291" i="1"/>
  <c r="BO1170" i="1" s="1"/>
  <c r="BR1418" i="1"/>
  <c r="BR1419" i="1" s="1"/>
  <c r="BJ1182" i="1"/>
  <c r="BM551" i="1"/>
  <c r="BM1180" i="1"/>
  <c r="R1006" i="1"/>
  <c r="X964" i="1"/>
  <c r="K1091" i="1"/>
  <c r="R964" i="1"/>
  <c r="R1091" i="1"/>
  <c r="X1006" i="1"/>
  <c r="O1091" i="1"/>
  <c r="N1091" i="1"/>
  <c r="G1091" i="1"/>
  <c r="G259" i="1"/>
  <c r="O1471" i="1"/>
  <c r="O1467" i="1"/>
  <c r="O1463" i="1"/>
  <c r="O1462" i="1"/>
  <c r="O1472" i="1"/>
  <c r="N1463" i="1"/>
  <c r="N1471" i="1"/>
  <c r="N1467" i="1"/>
  <c r="N1462" i="1"/>
  <c r="N1472" i="1"/>
  <c r="L1471" i="1"/>
  <c r="L1467" i="1"/>
  <c r="L1462" i="1"/>
  <c r="L1472" i="1"/>
  <c r="L1463" i="1"/>
  <c r="K1467" i="1"/>
  <c r="K1462" i="1"/>
  <c r="K1471" i="1"/>
  <c r="K1463" i="1"/>
  <c r="K1472" i="1"/>
  <c r="I1471" i="1"/>
  <c r="I1463" i="1"/>
  <c r="I1459" i="1" s="1"/>
  <c r="I1467" i="1"/>
  <c r="I1462" i="1"/>
  <c r="I1472" i="1"/>
  <c r="I1108" i="1"/>
  <c r="H1471" i="1"/>
  <c r="H1463" i="1"/>
  <c r="H1467" i="1"/>
  <c r="H1462" i="1"/>
  <c r="H1472" i="1"/>
  <c r="E1107" i="1"/>
  <c r="L1091" i="1"/>
  <c r="BL1180" i="1" l="1"/>
  <c r="BR1291" i="1"/>
  <c r="BR1170" i="1" s="1"/>
  <c r="BN551" i="1"/>
  <c r="BO551" i="1" s="1"/>
  <c r="BN1180" i="1"/>
  <c r="BN1182" i="1" s="1"/>
  <c r="BN153" i="1" s="1"/>
  <c r="BQ1180" i="1"/>
  <c r="BQ1182" i="1" s="1"/>
  <c r="BQ153" i="1" s="1"/>
  <c r="BQ551" i="1"/>
  <c r="BQ1428" i="1"/>
  <c r="BQ1424" i="1"/>
  <c r="BL1182" i="1"/>
  <c r="BJ153" i="1"/>
  <c r="BR1428" i="1"/>
  <c r="BM1182" i="1"/>
  <c r="BI1183" i="1"/>
  <c r="BI153" i="1"/>
  <c r="BP1180" i="1"/>
  <c r="BP551" i="1"/>
  <c r="AD578" i="1"/>
  <c r="AD577" i="1" s="1"/>
  <c r="Z859" i="1"/>
  <c r="H1473" i="1"/>
  <c r="I1473" i="1"/>
  <c r="L1473" i="1"/>
  <c r="N1473" i="1"/>
  <c r="K1473" i="1"/>
  <c r="O1473" i="1"/>
  <c r="K1468" i="1"/>
  <c r="O1468" i="1"/>
  <c r="L1468" i="1"/>
  <c r="N1468" i="1"/>
  <c r="N1464" i="1"/>
  <c r="O1459" i="1"/>
  <c r="O1464" i="1"/>
  <c r="K1464" i="1"/>
  <c r="L1459" i="1"/>
  <c r="L1464" i="1"/>
  <c r="G1472" i="1"/>
  <c r="AD778" i="1"/>
  <c r="AD797" i="1"/>
  <c r="AD798" i="1"/>
  <c r="AD799" i="1"/>
  <c r="AA797" i="1"/>
  <c r="AB797" i="1" s="1"/>
  <c r="AA798" i="1"/>
  <c r="AB798" i="1" s="1"/>
  <c r="AC798" i="1"/>
  <c r="AC797" i="1"/>
  <c r="AC777" i="1"/>
  <c r="AC778" i="1"/>
  <c r="AA777" i="1"/>
  <c r="AA715" i="1" s="1"/>
  <c r="AA778" i="1"/>
  <c r="AB778" i="1" s="1"/>
  <c r="AD777" i="1"/>
  <c r="AD737" i="1"/>
  <c r="AD757" i="1"/>
  <c r="AD758" i="1"/>
  <c r="AA757" i="1"/>
  <c r="AA758" i="1"/>
  <c r="AA756" i="1"/>
  <c r="AA759" i="1" s="1"/>
  <c r="AC757" i="1"/>
  <c r="AC758" i="1"/>
  <c r="M1471" i="1"/>
  <c r="Z1006" i="1"/>
  <c r="R1462" i="1"/>
  <c r="G1463" i="1"/>
  <c r="G1459" i="1" s="1"/>
  <c r="Z964" i="1"/>
  <c r="M1006" i="1"/>
  <c r="N964" i="1"/>
  <c r="AC859" i="1"/>
  <c r="R1471" i="1"/>
  <c r="G1471" i="1"/>
  <c r="Q1006" i="1"/>
  <c r="G1462" i="1"/>
  <c r="AC776" i="1"/>
  <c r="AC779" i="1" s="1"/>
  <c r="AC796" i="1"/>
  <c r="AC799" i="1" s="1"/>
  <c r="R1463" i="1"/>
  <c r="G1467" i="1"/>
  <c r="R1467" i="1"/>
  <c r="T1091" i="1"/>
  <c r="AD859" i="1"/>
  <c r="AD756" i="1"/>
  <c r="R1472" i="1"/>
  <c r="W964" i="1"/>
  <c r="AA1006" i="1"/>
  <c r="U964" i="1"/>
  <c r="AA796" i="1"/>
  <c r="AA799" i="1" s="1"/>
  <c r="AB799" i="1" s="1"/>
  <c r="U1091" i="1"/>
  <c r="T964" i="1"/>
  <c r="T1006" i="1"/>
  <c r="P1462" i="1"/>
  <c r="U1006" i="1"/>
  <c r="AD776" i="1"/>
  <c r="AD796" i="1"/>
  <c r="AC756" i="1"/>
  <c r="P1091" i="1"/>
  <c r="AA964" i="1"/>
  <c r="AA776" i="1"/>
  <c r="AA779" i="1" s="1"/>
  <c r="AB779" i="1" s="1"/>
  <c r="AA859" i="1"/>
  <c r="Q1091" i="1"/>
  <c r="W1006" i="1"/>
  <c r="J1471" i="1"/>
  <c r="M1091" i="1"/>
  <c r="M1472" i="1"/>
  <c r="J1462" i="1"/>
  <c r="P1471" i="1"/>
  <c r="E1108" i="1"/>
  <c r="E1110" i="1"/>
  <c r="E1111" i="1" s="1"/>
  <c r="H1459" i="1"/>
  <c r="J1463" i="1"/>
  <c r="J1472" i="1"/>
  <c r="I1460" i="1"/>
  <c r="I1461" i="1" s="1"/>
  <c r="K1459" i="1"/>
  <c r="M1463" i="1"/>
  <c r="M1462" i="1"/>
  <c r="L1460" i="1"/>
  <c r="N1460" i="1"/>
  <c r="P1467" i="1"/>
  <c r="N1459" i="1"/>
  <c r="P1463" i="1"/>
  <c r="P1472" i="1"/>
  <c r="H1460" i="1"/>
  <c r="J1467" i="1"/>
  <c r="L1108" i="1"/>
  <c r="I1110" i="1"/>
  <c r="I1115" i="1" s="1"/>
  <c r="K1460" i="1"/>
  <c r="M1467" i="1"/>
  <c r="O1460" i="1"/>
  <c r="Q1467" i="1"/>
  <c r="Q1462" i="1"/>
  <c r="Q1471" i="1"/>
  <c r="Q1463" i="1"/>
  <c r="Q1472" i="1"/>
  <c r="AD713" i="1" l="1"/>
  <c r="AD651" i="1" s="1"/>
  <c r="BR551" i="1"/>
  <c r="AA713" i="1"/>
  <c r="AC713" i="1"/>
  <c r="AC651" i="1" s="1"/>
  <c r="AD715" i="1"/>
  <c r="AD659" i="1" s="1"/>
  <c r="BO1180" i="1"/>
  <c r="BM153" i="1"/>
  <c r="BO1182" i="1"/>
  <c r="BL1183" i="1"/>
  <c r="BL153" i="1"/>
  <c r="BP1182" i="1"/>
  <c r="BR1180" i="1"/>
  <c r="AC717" i="1"/>
  <c r="AC715" i="1"/>
  <c r="AC659" i="1" s="1"/>
  <c r="AC654" i="1" s="1"/>
  <c r="AB758" i="1"/>
  <c r="AB717" i="1" s="1"/>
  <c r="AA717" i="1"/>
  <c r="AB757" i="1"/>
  <c r="AB713" i="1" s="1"/>
  <c r="AE737" i="1"/>
  <c r="AB777" i="1"/>
  <c r="AA659" i="1"/>
  <c r="AB759" i="1"/>
  <c r="J1115" i="1"/>
  <c r="J718" i="1" s="1"/>
  <c r="J684" i="1" s="1"/>
  <c r="J689" i="1" s="1"/>
  <c r="J688" i="1" s="1"/>
  <c r="I718" i="1"/>
  <c r="I684" i="1" s="1"/>
  <c r="I689" i="1" s="1"/>
  <c r="I688" i="1" s="1"/>
  <c r="M1468" i="1"/>
  <c r="K1461" i="1"/>
  <c r="H1461" i="1"/>
  <c r="O1461" i="1"/>
  <c r="AE578" i="1"/>
  <c r="AE577" i="1" s="1"/>
  <c r="L1461" i="1"/>
  <c r="R1473" i="1"/>
  <c r="P1473" i="1"/>
  <c r="N1461" i="1"/>
  <c r="J1473" i="1"/>
  <c r="M1473" i="1"/>
  <c r="G1473" i="1"/>
  <c r="J1468" i="1"/>
  <c r="Q1473" i="1"/>
  <c r="P1468" i="1"/>
  <c r="Q1468" i="1"/>
  <c r="T1468" i="1"/>
  <c r="R1468" i="1"/>
  <c r="U1468" i="1"/>
  <c r="M1459" i="1"/>
  <c r="M1464" i="1"/>
  <c r="J1459" i="1"/>
  <c r="J1464" i="1"/>
  <c r="R1459" i="1"/>
  <c r="R1464" i="1"/>
  <c r="U1464" i="1"/>
  <c r="T1464" i="1"/>
  <c r="Q1464" i="1"/>
  <c r="P1459" i="1"/>
  <c r="P1464" i="1"/>
  <c r="AE798" i="1"/>
  <c r="AE797" i="1"/>
  <c r="AE799" i="1"/>
  <c r="AE778" i="1"/>
  <c r="AE777" i="1"/>
  <c r="AD779" i="1"/>
  <c r="AE779" i="1" s="1"/>
  <c r="AE758" i="1"/>
  <c r="AE757" i="1"/>
  <c r="AB756" i="1"/>
  <c r="AC759" i="1"/>
  <c r="AC718" i="1" s="1"/>
  <c r="AC684" i="1" s="1"/>
  <c r="AC689" i="1" s="1"/>
  <c r="AC688" i="1" s="1"/>
  <c r="AD759" i="1"/>
  <c r="R1460" i="1"/>
  <c r="G1460" i="1"/>
  <c r="G1461" i="1" s="1"/>
  <c r="S1462" i="1"/>
  <c r="M1460" i="1"/>
  <c r="S1472" i="1"/>
  <c r="S1471" i="1"/>
  <c r="AB1006" i="1"/>
  <c r="AB796" i="1"/>
  <c r="AB776" i="1"/>
  <c r="S1006" i="1"/>
  <c r="AB964" i="1"/>
  <c r="AB859" i="1"/>
  <c r="S1091" i="1"/>
  <c r="P59" i="4"/>
  <c r="S964" i="1"/>
  <c r="AE859" i="1"/>
  <c r="AE796" i="1"/>
  <c r="Y964" i="1"/>
  <c r="Y1006" i="1"/>
  <c r="J1460" i="1"/>
  <c r="V1006" i="1"/>
  <c r="P1460" i="1"/>
  <c r="Q59" i="4"/>
  <c r="AE776" i="1"/>
  <c r="AE756" i="1"/>
  <c r="V964" i="1"/>
  <c r="V1091" i="1"/>
  <c r="AH158" i="1"/>
  <c r="S1467" i="1"/>
  <c r="Q1460" i="1"/>
  <c r="M1108" i="1"/>
  <c r="M1110" i="1" s="1"/>
  <c r="O1108" i="1"/>
  <c r="L1110" i="1"/>
  <c r="L1115" i="1" s="1"/>
  <c r="Q1459" i="1"/>
  <c r="S1463" i="1"/>
  <c r="I1111" i="1"/>
  <c r="I1112" i="1"/>
  <c r="AG51" i="1" l="1"/>
  <c r="BO1183" i="1"/>
  <c r="BO153" i="1"/>
  <c r="BR1182" i="1"/>
  <c r="BP153" i="1"/>
  <c r="AH402" i="1"/>
  <c r="AF415" i="1"/>
  <c r="AF454" i="1"/>
  <c r="AH376" i="1"/>
  <c r="AC716" i="1"/>
  <c r="AB715" i="1"/>
  <c r="AB659" i="1" s="1"/>
  <c r="AB654" i="1" s="1"/>
  <c r="AC672" i="1"/>
  <c r="AC671" i="1" s="1"/>
  <c r="AE713" i="1"/>
  <c r="AE651" i="1" s="1"/>
  <c r="AE646" i="1" s="1"/>
  <c r="AE715" i="1"/>
  <c r="AA654" i="1"/>
  <c r="AA651" i="1"/>
  <c r="AA672" i="1" s="1"/>
  <c r="AA671" i="1" s="1"/>
  <c r="AA716" i="1"/>
  <c r="AD716" i="1"/>
  <c r="AB651" i="1"/>
  <c r="AD646" i="1"/>
  <c r="AD581" i="1"/>
  <c r="AD654" i="1"/>
  <c r="AD672" i="1"/>
  <c r="AD671" i="1" s="1"/>
  <c r="AC646" i="1"/>
  <c r="AC581" i="1"/>
  <c r="AC580" i="1" s="1"/>
  <c r="L718" i="1"/>
  <c r="L684" i="1" s="1"/>
  <c r="L689" i="1" s="1"/>
  <c r="L688" i="1" s="1"/>
  <c r="M1115" i="1"/>
  <c r="M718" i="1" s="1"/>
  <c r="M684" i="1" s="1"/>
  <c r="M689" i="1" s="1"/>
  <c r="M688" i="1" s="1"/>
  <c r="R1461" i="1"/>
  <c r="P1461" i="1"/>
  <c r="M1461" i="1"/>
  <c r="J1461" i="1"/>
  <c r="Q1461" i="1"/>
  <c r="S1473" i="1"/>
  <c r="S1468" i="1"/>
  <c r="V1468" i="1"/>
  <c r="S1459" i="1"/>
  <c r="S1464" i="1"/>
  <c r="V1464" i="1"/>
  <c r="AE759" i="1"/>
  <c r="S1460" i="1"/>
  <c r="R1108" i="1"/>
  <c r="U1108" i="1" s="1"/>
  <c r="X1108" i="1" s="1"/>
  <c r="AA1108" i="1" s="1"/>
  <c r="AD1108" i="1" s="1"/>
  <c r="AG1108" i="1" s="1"/>
  <c r="AJ1108" i="1" s="1"/>
  <c r="AM1108" i="1" s="1"/>
  <c r="AP1108" i="1" s="1"/>
  <c r="AS1108" i="1" s="1"/>
  <c r="AV1108" i="1" s="1"/>
  <c r="AY1108" i="1" s="1"/>
  <c r="BB1108" i="1" s="1"/>
  <c r="BE1108" i="1" s="1"/>
  <c r="BH1108" i="1" s="1"/>
  <c r="BK1108" i="1" s="1"/>
  <c r="BN1108" i="1" s="1"/>
  <c r="BQ1108" i="1" s="1"/>
  <c r="P1108" i="1"/>
  <c r="P1110" i="1" s="1"/>
  <c r="O1110" i="1"/>
  <c r="O1115" i="1" s="1"/>
  <c r="L1112" i="1"/>
  <c r="L1111" i="1"/>
  <c r="M1111" i="1"/>
  <c r="M1112" i="1"/>
  <c r="AH678" i="1" l="1"/>
  <c r="AH691" i="1"/>
  <c r="AH51" i="1"/>
  <c r="AH395" i="1"/>
  <c r="BR1183" i="1"/>
  <c r="BR153" i="1"/>
  <c r="BQ1110" i="1"/>
  <c r="BR1108" i="1"/>
  <c r="BR1110" i="1" s="1"/>
  <c r="BN1110" i="1"/>
  <c r="BO1108" i="1"/>
  <c r="BO1110" i="1" s="1"/>
  <c r="BK1110" i="1"/>
  <c r="BL1108" i="1"/>
  <c r="BL1110" i="1" s="1"/>
  <c r="BH1110" i="1"/>
  <c r="BI1108" i="1"/>
  <c r="BI1110" i="1" s="1"/>
  <c r="BE1110" i="1"/>
  <c r="BF1108" i="1"/>
  <c r="BF1110" i="1" s="1"/>
  <c r="BB1110" i="1"/>
  <c r="BC1108" i="1"/>
  <c r="BC1110" i="1" s="1"/>
  <c r="AY1110" i="1"/>
  <c r="AZ1108" i="1"/>
  <c r="AZ1110" i="1" s="1"/>
  <c r="AV1110" i="1"/>
  <c r="AW1108" i="1"/>
  <c r="AW1110" i="1" s="1"/>
  <c r="AS1110" i="1"/>
  <c r="AT1108" i="1"/>
  <c r="AT1110" i="1" s="1"/>
  <c r="AP1110" i="1"/>
  <c r="AQ1108" i="1"/>
  <c r="AQ1110" i="1" s="1"/>
  <c r="AH415" i="1"/>
  <c r="AH454" i="1"/>
  <c r="AB716" i="1"/>
  <c r="AM1110" i="1"/>
  <c r="AN1108" i="1"/>
  <c r="AN1110" i="1" s="1"/>
  <c r="AJ1110" i="1"/>
  <c r="AK1108" i="1"/>
  <c r="AK1110" i="1" s="1"/>
  <c r="AG1110" i="1"/>
  <c r="AH1108" i="1"/>
  <c r="AH1110" i="1" s="1"/>
  <c r="AD1110" i="1"/>
  <c r="AE1108" i="1"/>
  <c r="AE1110" i="1" s="1"/>
  <c r="AA1110" i="1"/>
  <c r="AB1108" i="1"/>
  <c r="AB1110" i="1" s="1"/>
  <c r="X1110" i="1"/>
  <c r="Y1108" i="1"/>
  <c r="Y1110" i="1" s="1"/>
  <c r="U1110" i="1"/>
  <c r="V1108" i="1"/>
  <c r="V1110" i="1" s="1"/>
  <c r="AB581" i="1"/>
  <c r="AB582" i="1" s="1"/>
  <c r="AB583" i="1" s="1"/>
  <c r="AB646" i="1"/>
  <c r="AB672" i="1"/>
  <c r="AB671" i="1" s="1"/>
  <c r="AE716" i="1"/>
  <c r="AE659" i="1"/>
  <c r="AA646" i="1"/>
  <c r="AA581" i="1"/>
  <c r="AA582" i="1" s="1"/>
  <c r="AA583" i="1" s="1"/>
  <c r="O718" i="1"/>
  <c r="O684" i="1" s="1"/>
  <c r="O689" i="1" s="1"/>
  <c r="O688" i="1" s="1"/>
  <c r="P1115" i="1"/>
  <c r="P718" i="1" s="1"/>
  <c r="P684" i="1" s="1"/>
  <c r="P689" i="1" s="1"/>
  <c r="P688" i="1" s="1"/>
  <c r="S1461" i="1"/>
  <c r="P1112" i="1"/>
  <c r="P1111" i="1"/>
  <c r="O1111" i="1"/>
  <c r="O1112" i="1"/>
  <c r="S1108" i="1"/>
  <c r="S1110" i="1" s="1"/>
  <c r="R1110" i="1"/>
  <c r="R1115" i="1" s="1"/>
  <c r="E67" i="4" l="1"/>
  <c r="AI51" i="1"/>
  <c r="AH398" i="1"/>
  <c r="BR1111" i="1"/>
  <c r="BR1112" i="1"/>
  <c r="BQ1111" i="1"/>
  <c r="BQ1112" i="1"/>
  <c r="BO1111" i="1"/>
  <c r="BO1112" i="1"/>
  <c r="BN1111" i="1"/>
  <c r="BN1112" i="1"/>
  <c r="BL1111" i="1"/>
  <c r="BL1112" i="1"/>
  <c r="BK1111" i="1"/>
  <c r="BK1112" i="1"/>
  <c r="BI1111" i="1"/>
  <c r="BI1112" i="1"/>
  <c r="BH1111" i="1"/>
  <c r="BH1112" i="1"/>
  <c r="BF1111" i="1"/>
  <c r="BF1112" i="1"/>
  <c r="BE1111" i="1"/>
  <c r="BE1112" i="1"/>
  <c r="BC1111" i="1"/>
  <c r="BC1112" i="1"/>
  <c r="BB1111" i="1"/>
  <c r="BB1112" i="1"/>
  <c r="AZ1111" i="1"/>
  <c r="AZ1112" i="1"/>
  <c r="AY1111" i="1"/>
  <c r="AY1112" i="1"/>
  <c r="AW1111" i="1"/>
  <c r="AW1112" i="1"/>
  <c r="AV1111" i="1"/>
  <c r="AV1112" i="1"/>
  <c r="AT1111" i="1"/>
  <c r="AT1112" i="1"/>
  <c r="AS1111" i="1"/>
  <c r="AS1112" i="1"/>
  <c r="AQ1111" i="1"/>
  <c r="AQ1112" i="1"/>
  <c r="AP1111" i="1"/>
  <c r="AP1112" i="1"/>
  <c r="AH397" i="1"/>
  <c r="AH401" i="1"/>
  <c r="AH405" i="1"/>
  <c r="AH404" i="1"/>
  <c r="AN1111" i="1"/>
  <c r="AN1112" i="1"/>
  <c r="AM1111" i="1"/>
  <c r="AM1112" i="1"/>
  <c r="AK1111" i="1"/>
  <c r="AK1112" i="1"/>
  <c r="AJ1112" i="1"/>
  <c r="AJ1111" i="1"/>
  <c r="AH1111" i="1"/>
  <c r="AH1112" i="1"/>
  <c r="AG1111" i="1"/>
  <c r="AG1112" i="1"/>
  <c r="AE1111" i="1"/>
  <c r="AE1112" i="1"/>
  <c r="AD1115" i="1"/>
  <c r="AE1115" i="1" s="1"/>
  <c r="AD1111" i="1"/>
  <c r="AD1112" i="1"/>
  <c r="AB1111" i="1"/>
  <c r="AB1112" i="1"/>
  <c r="AA1115" i="1"/>
  <c r="AA1111" i="1"/>
  <c r="AA1112" i="1"/>
  <c r="Y1111" i="1"/>
  <c r="Y1112" i="1"/>
  <c r="X1115" i="1"/>
  <c r="X1111" i="1"/>
  <c r="X1112" i="1"/>
  <c r="V1111" i="1"/>
  <c r="V1112" i="1"/>
  <c r="U1115" i="1"/>
  <c r="U1111" i="1"/>
  <c r="U1112" i="1"/>
  <c r="AE672" i="1"/>
  <c r="AE671" i="1" s="1"/>
  <c r="AE654" i="1"/>
  <c r="AE581" i="1"/>
  <c r="R718" i="1"/>
  <c r="R684" i="1" s="1"/>
  <c r="R689" i="1" s="1"/>
  <c r="R688" i="1" s="1"/>
  <c r="S1115" i="1"/>
  <c r="S718" i="1" s="1"/>
  <c r="S684" i="1" s="1"/>
  <c r="S689" i="1" s="1"/>
  <c r="S688" i="1" s="1"/>
  <c r="R1112" i="1"/>
  <c r="R1111" i="1"/>
  <c r="S1112" i="1"/>
  <c r="S1111" i="1"/>
  <c r="AJ51" i="1" l="1"/>
  <c r="Y1115" i="1"/>
  <c r="Y718" i="1" s="1"/>
  <c r="Y684" i="1" s="1"/>
  <c r="Y689" i="1" s="1"/>
  <c r="Y688" i="1" s="1"/>
  <c r="X718" i="1"/>
  <c r="X684" i="1" s="1"/>
  <c r="X689" i="1" s="1"/>
  <c r="X688" i="1" s="1"/>
  <c r="AB1115" i="1"/>
  <c r="AB718" i="1" s="1"/>
  <c r="AB684" i="1" s="1"/>
  <c r="AB689" i="1" s="1"/>
  <c r="AB688" i="1" s="1"/>
  <c r="AA718" i="1"/>
  <c r="AA684" i="1" s="1"/>
  <c r="AA689" i="1" s="1"/>
  <c r="AA688" i="1" s="1"/>
  <c r="V1115" i="1"/>
  <c r="V718" i="1" s="1"/>
  <c r="V684" i="1" s="1"/>
  <c r="V689" i="1" s="1"/>
  <c r="V688" i="1" s="1"/>
  <c r="U718" i="1"/>
  <c r="U684" i="1" s="1"/>
  <c r="U689" i="1" s="1"/>
  <c r="U688" i="1" s="1"/>
  <c r="AK51" i="1" l="1"/>
  <c r="AL51" i="1" l="1"/>
  <c r="F67" i="4"/>
  <c r="AM51" i="1" l="1"/>
  <c r="AN51" i="1" l="1"/>
  <c r="G67" i="4" l="1"/>
  <c r="AO51" i="1"/>
  <c r="AP51" i="1" l="1"/>
  <c r="F16" i="4"/>
  <c r="AQ51" i="1" l="1"/>
  <c r="G16" i="4"/>
  <c r="AR51" i="1" l="1"/>
  <c r="H67" i="4"/>
  <c r="Y112" i="1"/>
  <c r="Y110" i="1" s="1"/>
  <c r="X110" i="1" s="1"/>
  <c r="X112" i="1" s="1"/>
  <c r="Y113" i="1"/>
  <c r="X113" i="1" s="1"/>
  <c r="X115" i="1" s="1"/>
  <c r="AS51" i="1" l="1"/>
  <c r="AG1373" i="1"/>
  <c r="AG1384" i="1" s="1"/>
  <c r="AF1373" i="1"/>
  <c r="AF1384" i="1" s="1"/>
  <c r="AT51" i="1" l="1"/>
  <c r="AF1338" i="1"/>
  <c r="AF1230" i="1" s="1"/>
  <c r="AG1230" i="1"/>
  <c r="AI1373" i="1"/>
  <c r="AI1384" i="1" s="1"/>
  <c r="AJ1373" i="1"/>
  <c r="AJ1384" i="1" s="1"/>
  <c r="AF1374" i="1"/>
  <c r="AF1377" i="1" s="1"/>
  <c r="AG1374" i="1"/>
  <c r="I67" i="4" l="1"/>
  <c r="AU51" i="1"/>
  <c r="AF1343" i="1"/>
  <c r="AH1338" i="1"/>
  <c r="AH1343" i="1" s="1"/>
  <c r="AJ1230" i="1"/>
  <c r="AG1454" i="1"/>
  <c r="AK1338" i="1"/>
  <c r="AK1343" i="1" s="1"/>
  <c r="AI1230" i="1"/>
  <c r="AF1382" i="1"/>
  <c r="AF1386" i="1" s="1"/>
  <c r="AF1378" i="1"/>
  <c r="AG1377" i="1"/>
  <c r="AH1374" i="1"/>
  <c r="AH1375" i="1" s="1"/>
  <c r="AK1384" i="1"/>
  <c r="AM1373" i="1"/>
  <c r="AP1373" i="1" s="1"/>
  <c r="AJ1374" i="1"/>
  <c r="AJ1377" i="1" s="1"/>
  <c r="AK1373" i="1"/>
  <c r="AL1373" i="1"/>
  <c r="AO1373" i="1" s="1"/>
  <c r="AI1374" i="1"/>
  <c r="AH1384" i="1"/>
  <c r="AV51" i="1" l="1"/>
  <c r="AH1230" i="1"/>
  <c r="AH1454" i="1" s="1"/>
  <c r="AF1345" i="1"/>
  <c r="AO1374" i="1"/>
  <c r="AR1373" i="1"/>
  <c r="AO1384" i="1"/>
  <c r="AQ1373" i="1"/>
  <c r="AP1384" i="1"/>
  <c r="AS1373" i="1"/>
  <c r="AP1374" i="1"/>
  <c r="AP1377" i="1" s="1"/>
  <c r="AF1383" i="1"/>
  <c r="AK1230" i="1"/>
  <c r="AM1384" i="1"/>
  <c r="AM1374" i="1"/>
  <c r="AM1377" i="1" s="1"/>
  <c r="AG1382" i="1"/>
  <c r="AG1378" i="1"/>
  <c r="AJ1382" i="1"/>
  <c r="AJ1383" i="1" s="1"/>
  <c r="AJ1378" i="1"/>
  <c r="AL1384" i="1"/>
  <c r="AL1374" i="1"/>
  <c r="AI1377" i="1"/>
  <c r="AI1378" i="1" s="1"/>
  <c r="AK1374" i="1"/>
  <c r="AK1375" i="1" s="1"/>
  <c r="AN1373" i="1"/>
  <c r="AW51" i="1" l="1"/>
  <c r="AF1302" i="1"/>
  <c r="AQ1384" i="1"/>
  <c r="AP1378" i="1"/>
  <c r="AP1382" i="1"/>
  <c r="AS1384" i="1"/>
  <c r="AV1373" i="1"/>
  <c r="AS1374" i="1"/>
  <c r="AS1377" i="1" s="1"/>
  <c r="AR1384" i="1"/>
  <c r="AT1373" i="1"/>
  <c r="AU1373" i="1"/>
  <c r="AR1374" i="1"/>
  <c r="AO1377" i="1"/>
  <c r="AQ1374" i="1"/>
  <c r="AQ1375" i="1" s="1"/>
  <c r="AG1182" i="1"/>
  <c r="AN1374" i="1"/>
  <c r="AN1375" i="1" s="1"/>
  <c r="AN1384" i="1"/>
  <c r="AG1386" i="1"/>
  <c r="AG1383" i="1"/>
  <c r="AH1382" i="1"/>
  <c r="AM1382" i="1"/>
  <c r="AM1386" i="1" s="1"/>
  <c r="AM1378" i="1"/>
  <c r="AJ1386" i="1"/>
  <c r="AK1377" i="1"/>
  <c r="AK1378" i="1" s="1"/>
  <c r="AI1382" i="1"/>
  <c r="AI1386" i="1" s="1"/>
  <c r="AL1377" i="1"/>
  <c r="AL1378" i="1" s="1"/>
  <c r="J67" i="4" l="1"/>
  <c r="AX51" i="1"/>
  <c r="AU1384" i="1"/>
  <c r="AX1373" i="1"/>
  <c r="AW1373" i="1"/>
  <c r="AU1374" i="1"/>
  <c r="AV1374" i="1"/>
  <c r="AV1377" i="1" s="1"/>
  <c r="AY1373" i="1"/>
  <c r="AV1384" i="1"/>
  <c r="AO1382" i="1"/>
  <c r="AO1378" i="1"/>
  <c r="AQ1377" i="1"/>
  <c r="AQ1378" i="1" s="1"/>
  <c r="AT1384" i="1"/>
  <c r="AP1386" i="1"/>
  <c r="AP1345" i="1" s="1"/>
  <c r="AP1383" i="1"/>
  <c r="AR1377" i="1"/>
  <c r="AT1374" i="1"/>
  <c r="AT1375" i="1" s="1"/>
  <c r="AS1378" i="1"/>
  <c r="AS1382" i="1"/>
  <c r="AM1230" i="1"/>
  <c r="AM1383" i="1"/>
  <c r="AL1230" i="1"/>
  <c r="AG153" i="1"/>
  <c r="AK1386" i="1"/>
  <c r="AK1345" i="1" s="1"/>
  <c r="AH1386" i="1"/>
  <c r="AH1383" i="1"/>
  <c r="AL1382" i="1"/>
  <c r="AL1386" i="1" s="1"/>
  <c r="AN1377" i="1"/>
  <c r="AN1378" i="1" s="1"/>
  <c r="AI1383" i="1"/>
  <c r="AK1382" i="1"/>
  <c r="AF1305" i="1"/>
  <c r="AY51" i="1" l="1"/>
  <c r="AH1345" i="1"/>
  <c r="AP1300" i="1"/>
  <c r="AO1386" i="1"/>
  <c r="AO1300" i="1" s="1"/>
  <c r="AO1383" i="1"/>
  <c r="AQ1382" i="1"/>
  <c r="AQ1383" i="1" s="1"/>
  <c r="AU1377" i="1"/>
  <c r="AW1374" i="1"/>
  <c r="AW1375" i="1" s="1"/>
  <c r="AR1378" i="1"/>
  <c r="AT1377" i="1"/>
  <c r="AT1378" i="1" s="1"/>
  <c r="AR1382" i="1"/>
  <c r="AY1384" i="1"/>
  <c r="BB1373" i="1"/>
  <c r="AY1374" i="1"/>
  <c r="AY1377" i="1" s="1"/>
  <c r="AX1374" i="1"/>
  <c r="BA1373" i="1"/>
  <c r="AX1384" i="1"/>
  <c r="AZ1373" i="1"/>
  <c r="AS1386" i="1"/>
  <c r="AS1383" i="1"/>
  <c r="AV1378" i="1"/>
  <c r="AV1382" i="1"/>
  <c r="AW1384" i="1"/>
  <c r="AN1230" i="1"/>
  <c r="AF589" i="1"/>
  <c r="AN1386" i="1"/>
  <c r="AN1345" i="1" s="1"/>
  <c r="AH1180" i="1"/>
  <c r="AK1383" i="1"/>
  <c r="AL1383" i="1"/>
  <c r="AN1382" i="1"/>
  <c r="AS1345" i="1" l="1"/>
  <c r="AS1300" i="1" s="1"/>
  <c r="AZ51" i="1"/>
  <c r="AZ1384" i="1"/>
  <c r="BB1384" i="1"/>
  <c r="BE1373" i="1"/>
  <c r="BB1374" i="1"/>
  <c r="BB1377" i="1" s="1"/>
  <c r="BA1384" i="1"/>
  <c r="BD1373" i="1"/>
  <c r="BC1373" i="1"/>
  <c r="BA1374" i="1"/>
  <c r="AZ1374" i="1"/>
  <c r="AZ1375" i="1" s="1"/>
  <c r="AX1377" i="1"/>
  <c r="AT1382" i="1"/>
  <c r="AT1383" i="1" s="1"/>
  <c r="AR1383" i="1"/>
  <c r="AR1386" i="1"/>
  <c r="AU1378" i="1"/>
  <c r="AW1377" i="1"/>
  <c r="AW1378" i="1" s="1"/>
  <c r="AU1382" i="1"/>
  <c r="AQ1300" i="1"/>
  <c r="AV1386" i="1"/>
  <c r="AV1383" i="1"/>
  <c r="AY1378" i="1"/>
  <c r="AY1382" i="1"/>
  <c r="AQ1386" i="1"/>
  <c r="AQ1345" i="1" s="1"/>
  <c r="AH1182" i="1"/>
  <c r="AN1383" i="1"/>
  <c r="AV1345" i="1" l="1"/>
  <c r="AV1300" i="1" s="1"/>
  <c r="BA51" i="1"/>
  <c r="K67" i="4"/>
  <c r="BC1384" i="1"/>
  <c r="AY1383" i="1"/>
  <c r="AY1386" i="1"/>
  <c r="AY1345" i="1" s="1"/>
  <c r="AT1386" i="1"/>
  <c r="AT1345" i="1" s="1"/>
  <c r="AR1300" i="1"/>
  <c r="AT1300" i="1" s="1"/>
  <c r="AU1386" i="1"/>
  <c r="AW1382" i="1"/>
  <c r="AW1383" i="1" s="1"/>
  <c r="AU1383" i="1"/>
  <c r="BC1374" i="1"/>
  <c r="BC1375" i="1" s="1"/>
  <c r="BA1377" i="1"/>
  <c r="BB1378" i="1"/>
  <c r="BB1382" i="1"/>
  <c r="BF1373" i="1"/>
  <c r="BH1373" i="1"/>
  <c r="BE1384" i="1"/>
  <c r="BE1374" i="1"/>
  <c r="BE1377" i="1" s="1"/>
  <c r="AX1378" i="1"/>
  <c r="AZ1377" i="1"/>
  <c r="AZ1378" i="1" s="1"/>
  <c r="AX1382" i="1"/>
  <c r="BD1384" i="1"/>
  <c r="BG1373" i="1"/>
  <c r="BD1374" i="1"/>
  <c r="AH153" i="1"/>
  <c r="AH1183" i="1"/>
  <c r="BB51" i="1" l="1"/>
  <c r="BF1384" i="1"/>
  <c r="BG1384" i="1"/>
  <c r="BJ1373" i="1"/>
  <c r="BI1373" i="1"/>
  <c r="BG1374" i="1"/>
  <c r="BE1378" i="1"/>
  <c r="BE1382" i="1"/>
  <c r="BB1383" i="1"/>
  <c r="BB1386" i="1"/>
  <c r="AZ1382" i="1"/>
  <c r="AZ1383" i="1" s="1"/>
  <c r="AX1386" i="1"/>
  <c r="AX1300" i="1" s="1"/>
  <c r="AX1383" i="1"/>
  <c r="AY1300" i="1"/>
  <c r="BF1374" i="1"/>
  <c r="BF1375" i="1" s="1"/>
  <c r="BD1377" i="1"/>
  <c r="BH1384" i="1"/>
  <c r="BK1373" i="1"/>
  <c r="BH1374" i="1"/>
  <c r="BH1377" i="1" s="1"/>
  <c r="BC1377" i="1"/>
  <c r="BC1378" i="1" s="1"/>
  <c r="BA1378" i="1"/>
  <c r="BA1382" i="1"/>
  <c r="AW1386" i="1"/>
  <c r="AW1345" i="1" s="1"/>
  <c r="AU1300" i="1"/>
  <c r="AW1300" i="1" s="1"/>
  <c r="AJ1182" i="1"/>
  <c r="AJ153" i="1" s="1"/>
  <c r="AI1182" i="1"/>
  <c r="BB1345" i="1" l="1"/>
  <c r="BB1300" i="1" s="1"/>
  <c r="BC51" i="1"/>
  <c r="AZ1386" i="1"/>
  <c r="AZ1345" i="1" s="1"/>
  <c r="AZ1300" i="1"/>
  <c r="BG1377" i="1"/>
  <c r="BI1374" i="1"/>
  <c r="BI1375" i="1" s="1"/>
  <c r="BF1377" i="1"/>
  <c r="BF1378" i="1" s="1"/>
  <c r="BD1378" i="1"/>
  <c r="BD1382" i="1"/>
  <c r="BH1378" i="1"/>
  <c r="BH1382" i="1"/>
  <c r="BE1386" i="1"/>
  <c r="BE1345" i="1" s="1"/>
  <c r="BE1383" i="1"/>
  <c r="BJ1384" i="1"/>
  <c r="BM1373" i="1"/>
  <c r="BL1373" i="1"/>
  <c r="BJ1374" i="1"/>
  <c r="BA1383" i="1"/>
  <c r="BC1382" i="1"/>
  <c r="BC1383" i="1" s="1"/>
  <c r="BA1386" i="1"/>
  <c r="BK1384" i="1"/>
  <c r="BN1373" i="1"/>
  <c r="BK1374" i="1"/>
  <c r="BK1377" i="1" s="1"/>
  <c r="BI1384" i="1"/>
  <c r="AK1182" i="1"/>
  <c r="AI153" i="1"/>
  <c r="L67" i="4" l="1"/>
  <c r="BD51" i="1"/>
  <c r="BL1384" i="1"/>
  <c r="BC1386" i="1"/>
  <c r="BC1345" i="1" s="1"/>
  <c r="BA1300" i="1"/>
  <c r="BC1300" i="1" s="1"/>
  <c r="BE1300" i="1"/>
  <c r="BK1378" i="1"/>
  <c r="BK1382" i="1"/>
  <c r="BM1384" i="1"/>
  <c r="BO1373" i="1"/>
  <c r="BP1373" i="1"/>
  <c r="BM1374" i="1"/>
  <c r="BH1386" i="1"/>
  <c r="BH1383" i="1"/>
  <c r="BN1384" i="1"/>
  <c r="BQ1373" i="1"/>
  <c r="BN1374" i="1"/>
  <c r="BN1377" i="1" s="1"/>
  <c r="BL1374" i="1"/>
  <c r="BL1375" i="1" s="1"/>
  <c r="BJ1377" i="1"/>
  <c r="BD1386" i="1"/>
  <c r="BD1300" i="1" s="1"/>
  <c r="BF1382" i="1"/>
  <c r="BF1383" i="1" s="1"/>
  <c r="BD1383" i="1"/>
  <c r="BG1378" i="1"/>
  <c r="BI1377" i="1"/>
  <c r="BI1378" i="1" s="1"/>
  <c r="BG1382" i="1"/>
  <c r="AK1183" i="1"/>
  <c r="AK153" i="1"/>
  <c r="BH1345" i="1" l="1"/>
  <c r="BH1300" i="1" s="1"/>
  <c r="BO1384" i="1"/>
  <c r="BE51" i="1"/>
  <c r="BF1386" i="1"/>
  <c r="BF1345" i="1" s="1"/>
  <c r="BG1386" i="1"/>
  <c r="BG1383" i="1"/>
  <c r="BI1382" i="1"/>
  <c r="BI1383" i="1" s="1"/>
  <c r="BN1378" i="1"/>
  <c r="BN1382" i="1"/>
  <c r="BF1300" i="1"/>
  <c r="BQ1384" i="1"/>
  <c r="BQ1374" i="1"/>
  <c r="BQ1377" i="1" s="1"/>
  <c r="BO1374" i="1"/>
  <c r="BO1375" i="1" s="1"/>
  <c r="BM1377" i="1"/>
  <c r="BK1383" i="1"/>
  <c r="BK1386" i="1"/>
  <c r="BL1377" i="1"/>
  <c r="BL1378" i="1" s="1"/>
  <c r="BJ1378" i="1"/>
  <c r="BJ1382" i="1"/>
  <c r="BP1384" i="1"/>
  <c r="BR1373" i="1"/>
  <c r="BP1374" i="1"/>
  <c r="AM1182" i="1"/>
  <c r="AL1182" i="1"/>
  <c r="BK1345" i="1" l="1"/>
  <c r="BK1300" i="1" s="1"/>
  <c r="BF51" i="1"/>
  <c r="BR1384" i="1"/>
  <c r="BQ1378" i="1"/>
  <c r="BQ1382" i="1"/>
  <c r="BL1382" i="1"/>
  <c r="BL1383" i="1" s="1"/>
  <c r="BJ1383" i="1"/>
  <c r="BJ1386" i="1"/>
  <c r="BP1377" i="1"/>
  <c r="BR1374" i="1"/>
  <c r="BR1375" i="1" s="1"/>
  <c r="BO1377" i="1"/>
  <c r="BO1378" i="1" s="1"/>
  <c r="BM1378" i="1"/>
  <c r="BM1382" i="1"/>
  <c r="BN1386" i="1"/>
  <c r="BN1345" i="1" s="1"/>
  <c r="BN1383" i="1"/>
  <c r="BI1386" i="1"/>
  <c r="BI1345" i="1" s="1"/>
  <c r="BG1300" i="1"/>
  <c r="BI1300" i="1" s="1"/>
  <c r="AM153" i="1"/>
  <c r="AL153" i="1"/>
  <c r="AN1182" i="1"/>
  <c r="BG51" i="1" l="1"/>
  <c r="BN1300" i="1"/>
  <c r="BO1382" i="1"/>
  <c r="BO1383" i="1" s="1"/>
  <c r="BM1386" i="1"/>
  <c r="BM1300" i="1" s="1"/>
  <c r="BM1383" i="1"/>
  <c r="BR1377" i="1"/>
  <c r="BR1378" i="1" s="1"/>
  <c r="BP1378" i="1"/>
  <c r="BP1382" i="1"/>
  <c r="BQ1386" i="1"/>
  <c r="BQ1383" i="1"/>
  <c r="BL1386" i="1"/>
  <c r="BL1345" i="1" s="1"/>
  <c r="BJ1300" i="1"/>
  <c r="BL1300" i="1" s="1"/>
  <c r="AN1183" i="1"/>
  <c r="AN153" i="1"/>
  <c r="BQ1345" i="1" l="1"/>
  <c r="BQ1300" i="1" s="1"/>
  <c r="BH51" i="1"/>
  <c r="BO1300" i="1"/>
  <c r="BR1382" i="1"/>
  <c r="BR1383" i="1" s="1"/>
  <c r="BP1386" i="1"/>
  <c r="BP1383" i="1"/>
  <c r="BO1386" i="1"/>
  <c r="BO1345" i="1" s="1"/>
  <c r="BI51" i="1" l="1"/>
  <c r="BR1386" i="1"/>
  <c r="BR1345" i="1" s="1"/>
  <c r="BP1300" i="1"/>
  <c r="BR1300" i="1" s="1"/>
  <c r="BJ51" i="1" l="1"/>
  <c r="BK51" i="1" l="1"/>
  <c r="BL51" i="1" l="1"/>
  <c r="BM51" i="1" l="1"/>
  <c r="BN51" i="1" l="1"/>
  <c r="AB726" i="1"/>
  <c r="AD726" i="1" s="1"/>
  <c r="AD728" i="1"/>
  <c r="AD738" i="1" s="1"/>
  <c r="BO51" i="1" l="1"/>
  <c r="AE738" i="1"/>
  <c r="AE717" i="1" s="1"/>
  <c r="AD717" i="1"/>
  <c r="AB724" i="1"/>
  <c r="AE728" i="1"/>
  <c r="AH728" i="1" s="1"/>
  <c r="AG728" i="1" s="1"/>
  <c r="AB727" i="1"/>
  <c r="AF727" i="1" s="1"/>
  <c r="AI727" i="1" s="1"/>
  <c r="AI726" i="1" s="1"/>
  <c r="AD729" i="1"/>
  <c r="AD734" i="1" s="1"/>
  <c r="AE726" i="1"/>
  <c r="AH726" i="1"/>
  <c r="AH727" i="1" s="1"/>
  <c r="BP51" i="1" l="1"/>
  <c r="AE729" i="1"/>
  <c r="AF728" i="1"/>
  <c r="AK728" i="1"/>
  <c r="AN728" i="1" s="1"/>
  <c r="AQ728" i="1" s="1"/>
  <c r="AG727" i="1"/>
  <c r="AG726" i="1" s="1"/>
  <c r="AG729" i="1" s="1"/>
  <c r="AG734" i="1" s="1"/>
  <c r="AF726" i="1"/>
  <c r="AE734" i="1"/>
  <c r="AD736" i="1"/>
  <c r="AD739" i="1" s="1"/>
  <c r="AD735" i="1"/>
  <c r="AM727" i="1"/>
  <c r="AM726" i="1" s="1"/>
  <c r="AL727" i="1"/>
  <c r="AL726" i="1" s="1"/>
  <c r="BQ51" i="1" l="1"/>
  <c r="AT728" i="1"/>
  <c r="AP728" i="1"/>
  <c r="AO728" i="1"/>
  <c r="AF729" i="1"/>
  <c r="AF734" i="1" s="1"/>
  <c r="AF735" i="1" s="1"/>
  <c r="AE739" i="1"/>
  <c r="AE718" i="1" s="1"/>
  <c r="AE684" i="1" s="1"/>
  <c r="AE689" i="1" s="1"/>
  <c r="AE688" i="1" s="1"/>
  <c r="AD718" i="1"/>
  <c r="AD684" i="1" s="1"/>
  <c r="AD689" i="1" s="1"/>
  <c r="AD688" i="1" s="1"/>
  <c r="AI728" i="1"/>
  <c r="AJ728" i="1"/>
  <c r="AJ727" i="1"/>
  <c r="AJ726" i="1" s="1"/>
  <c r="AK726" i="1" s="1"/>
  <c r="AK727" i="1" s="1"/>
  <c r="AN726" i="1"/>
  <c r="AN727" i="1" s="1"/>
  <c r="AE736" i="1"/>
  <c r="AE735" i="1"/>
  <c r="AG735" i="1"/>
  <c r="AL728" i="1"/>
  <c r="AM728" i="1"/>
  <c r="BR51" i="1" l="1"/>
  <c r="AS727" i="1"/>
  <c r="AS726" i="1" s="1"/>
  <c r="AR727" i="1"/>
  <c r="AR726" i="1" s="1"/>
  <c r="AP727" i="1"/>
  <c r="AP726" i="1" s="1"/>
  <c r="AP729" i="1" s="1"/>
  <c r="AP734" i="1" s="1"/>
  <c r="AO727" i="1"/>
  <c r="AO726" i="1" s="1"/>
  <c r="AS728" i="1"/>
  <c r="AR728" i="1"/>
  <c r="AW728" i="1"/>
  <c r="AH734" i="1"/>
  <c r="AH735" i="1" s="1"/>
  <c r="AJ729" i="1"/>
  <c r="AJ734" i="1" s="1"/>
  <c r="AJ735" i="1" s="1"/>
  <c r="AI729" i="1"/>
  <c r="AI734" i="1" s="1"/>
  <c r="AM729" i="1"/>
  <c r="AM734" i="1" s="1"/>
  <c r="AL729" i="1"/>
  <c r="AP735" i="1" l="1"/>
  <c r="AT726" i="1"/>
  <c r="AT727" i="1" s="1"/>
  <c r="AR729" i="1"/>
  <c r="AK729" i="1"/>
  <c r="AZ728" i="1"/>
  <c r="AU728" i="1"/>
  <c r="AV728" i="1"/>
  <c r="AQ726" i="1"/>
  <c r="AQ727" i="1" s="1"/>
  <c r="AO729" i="1"/>
  <c r="AS729" i="1"/>
  <c r="AS734" i="1" s="1"/>
  <c r="AM735" i="1"/>
  <c r="AN729" i="1"/>
  <c r="AL734" i="1"/>
  <c r="AK734" i="1"/>
  <c r="AI735" i="1"/>
  <c r="AS735" i="1" l="1"/>
  <c r="AQ729" i="1"/>
  <c r="AO734" i="1"/>
  <c r="AY728" i="1"/>
  <c r="BC728" i="1"/>
  <c r="AX728" i="1"/>
  <c r="AV727" i="1"/>
  <c r="AV726" i="1" s="1"/>
  <c r="AV729" i="1" s="1"/>
  <c r="AV734" i="1" s="1"/>
  <c r="AU727" i="1"/>
  <c r="AU726" i="1" s="1"/>
  <c r="AT729" i="1"/>
  <c r="AR734" i="1"/>
  <c r="AY727" i="1"/>
  <c r="AY726" i="1" s="1"/>
  <c r="AX727" i="1"/>
  <c r="AX726" i="1" s="1"/>
  <c r="AK735" i="1"/>
  <c r="AN734" i="1"/>
  <c r="AL735" i="1"/>
  <c r="AY729" i="1" l="1"/>
  <c r="AY734" i="1" s="1"/>
  <c r="AY735" i="1" s="1"/>
  <c r="AV735" i="1"/>
  <c r="AO735" i="1"/>
  <c r="AQ734" i="1"/>
  <c r="AZ726" i="1"/>
  <c r="AZ727" i="1" s="1"/>
  <c r="AX729" i="1"/>
  <c r="AR735" i="1"/>
  <c r="AT734" i="1"/>
  <c r="BB728" i="1"/>
  <c r="BA728" i="1"/>
  <c r="BF728" i="1"/>
  <c r="AU729" i="1"/>
  <c r="AW726" i="1"/>
  <c r="AW727" i="1" s="1"/>
  <c r="AN735" i="1"/>
  <c r="AQ735" i="1" l="1"/>
  <c r="BB727" i="1"/>
  <c r="BB726" i="1" s="1"/>
  <c r="BB729" i="1" s="1"/>
  <c r="BA727" i="1"/>
  <c r="BA726" i="1" s="1"/>
  <c r="BI728" i="1"/>
  <c r="BD728" i="1"/>
  <c r="BE728" i="1"/>
  <c r="AZ729" i="1"/>
  <c r="AX734" i="1"/>
  <c r="AW729" i="1"/>
  <c r="AU734" i="1"/>
  <c r="AT735" i="1"/>
  <c r="BD727" i="1"/>
  <c r="BD726" i="1" s="1"/>
  <c r="BE727" i="1"/>
  <c r="BE726" i="1" s="1"/>
  <c r="AH806" i="1"/>
  <c r="BE729" i="1" l="1"/>
  <c r="BE734" i="1" s="1"/>
  <c r="BE735" i="1" s="1"/>
  <c r="BF726" i="1"/>
  <c r="BF727" i="1" s="1"/>
  <c r="BD729" i="1"/>
  <c r="BA729" i="1"/>
  <c r="BA734" i="1" s="1"/>
  <c r="BC726" i="1"/>
  <c r="BC727" i="1" s="1"/>
  <c r="AZ734" i="1"/>
  <c r="AX735" i="1"/>
  <c r="BB734" i="1"/>
  <c r="AW734" i="1"/>
  <c r="AU735" i="1"/>
  <c r="BL728" i="1"/>
  <c r="BG728" i="1"/>
  <c r="BH728" i="1"/>
  <c r="AH809" i="1"/>
  <c r="AF807" i="1"/>
  <c r="AG807" i="1"/>
  <c r="AG810" i="1" s="1"/>
  <c r="AG811" i="1" s="1"/>
  <c r="BG727" i="1" l="1"/>
  <c r="BG726" i="1" s="1"/>
  <c r="BH727" i="1"/>
  <c r="BH726" i="1" s="1"/>
  <c r="BH729" i="1" s="1"/>
  <c r="BH734" i="1" s="1"/>
  <c r="BB735" i="1"/>
  <c r="BA735" i="1"/>
  <c r="BC734" i="1"/>
  <c r="AW735" i="1"/>
  <c r="BC729" i="1"/>
  <c r="AZ735" i="1"/>
  <c r="BF729" i="1"/>
  <c r="BD734" i="1"/>
  <c r="BO728" i="1"/>
  <c r="BJ728" i="1"/>
  <c r="BK728" i="1"/>
  <c r="BJ727" i="1"/>
  <c r="BJ726" i="1" s="1"/>
  <c r="BK727" i="1"/>
  <c r="BK726" i="1" s="1"/>
  <c r="AH807" i="1"/>
  <c r="AH808" i="1" s="1"/>
  <c r="AF810" i="1"/>
  <c r="AH810" i="1" s="1"/>
  <c r="AH811" i="1" s="1"/>
  <c r="AG815" i="1"/>
  <c r="AG817" i="1" s="1"/>
  <c r="BJ729" i="1" l="1"/>
  <c r="BJ734" i="1" s="1"/>
  <c r="BR728" i="1"/>
  <c r="BN728" i="1"/>
  <c r="BM728" i="1"/>
  <c r="BC735" i="1"/>
  <c r="BF734" i="1"/>
  <c r="BD735" i="1"/>
  <c r="BH735" i="1"/>
  <c r="BL726" i="1"/>
  <c r="BL727" i="1" s="1"/>
  <c r="BK729" i="1"/>
  <c r="BK734" i="1" s="1"/>
  <c r="BG729" i="1"/>
  <c r="BI726" i="1"/>
  <c r="BI727" i="1" s="1"/>
  <c r="AF811" i="1"/>
  <c r="AF815" i="1"/>
  <c r="AH815" i="1" s="1"/>
  <c r="AG816" i="1"/>
  <c r="BM727" i="1" l="1"/>
  <c r="BM726" i="1" s="1"/>
  <c r="BM729" i="1" s="1"/>
  <c r="BN727" i="1"/>
  <c r="BN726" i="1" s="1"/>
  <c r="BK735" i="1"/>
  <c r="BI729" i="1"/>
  <c r="BG734" i="1"/>
  <c r="BP727" i="1"/>
  <c r="BP726" i="1" s="1"/>
  <c r="BQ727" i="1"/>
  <c r="BQ726" i="1" s="1"/>
  <c r="BF735" i="1"/>
  <c r="AH817" i="1"/>
  <c r="AH816" i="1"/>
  <c r="BJ735" i="1"/>
  <c r="BL734" i="1"/>
  <c r="BQ728" i="1"/>
  <c r="BP728" i="1"/>
  <c r="BL729" i="1"/>
  <c r="AF816" i="1"/>
  <c r="AF817" i="1"/>
  <c r="AI820" i="1" s="1"/>
  <c r="AG820" i="1"/>
  <c r="AJ820" i="1"/>
  <c r="BI734" i="1" l="1"/>
  <c r="BG735" i="1"/>
  <c r="BO726" i="1"/>
  <c r="BO727" i="1" s="1"/>
  <c r="BN729" i="1"/>
  <c r="BN734" i="1" s="1"/>
  <c r="BM734" i="1"/>
  <c r="BQ729" i="1"/>
  <c r="BQ734" i="1" s="1"/>
  <c r="BL735" i="1"/>
  <c r="BR726" i="1"/>
  <c r="BR727" i="1" s="1"/>
  <c r="BP729" i="1"/>
  <c r="AF820" i="1"/>
  <c r="AK820" i="1"/>
  <c r="BO729" i="1" l="1"/>
  <c r="AH820" i="1"/>
  <c r="BM735" i="1"/>
  <c r="BO734" i="1"/>
  <c r="BR729" i="1"/>
  <c r="BP734" i="1"/>
  <c r="BQ735" i="1"/>
  <c r="BN735" i="1"/>
  <c r="BI735" i="1"/>
  <c r="BP735" i="1" l="1"/>
  <c r="BR734" i="1"/>
  <c r="BO735" i="1"/>
  <c r="AE575" i="1"/>
  <c r="AE574" i="1" s="1"/>
  <c r="AD575" i="1"/>
  <c r="AD574" i="1" s="1"/>
  <c r="AD580" i="1" s="1"/>
  <c r="AD582" i="1" s="1"/>
  <c r="AD583" i="1" s="1"/>
  <c r="BR735" i="1" l="1"/>
  <c r="AC575" i="1"/>
  <c r="AC574" i="1" s="1"/>
  <c r="AC583" i="1" s="1"/>
  <c r="AE580" i="1"/>
  <c r="AE582" i="1" s="1"/>
  <c r="AE583" i="1" s="1"/>
  <c r="AG1223" i="1" l="1"/>
  <c r="AF1223" i="1"/>
  <c r="AG1243" i="1" l="1"/>
  <c r="AH1223" i="1"/>
  <c r="AG1288" i="1"/>
  <c r="AH1243" i="1" l="1"/>
  <c r="AH1288" i="1"/>
  <c r="AN501" i="1" l="1"/>
  <c r="AK501" i="1"/>
  <c r="AK505" i="1"/>
  <c r="AH505" i="1"/>
  <c r="AG259" i="1"/>
  <c r="AG759" i="1" s="1"/>
  <c r="AL259" i="1"/>
  <c r="AM259" i="1"/>
  <c r="AM860" i="1" s="1"/>
  <c r="AO259" i="1"/>
  <c r="AO796" i="1" s="1"/>
  <c r="AP259" i="1"/>
  <c r="AP1114" i="1" s="1"/>
  <c r="AR259" i="1"/>
  <c r="AR776" i="1" s="1"/>
  <c r="AS259" i="1"/>
  <c r="AS620" i="1" s="1"/>
  <c r="AU259" i="1"/>
  <c r="AU797" i="1" s="1"/>
  <c r="AV259" i="1"/>
  <c r="AV620" i="1" s="1"/>
  <c r="AX259" i="1"/>
  <c r="AX777" i="1" s="1"/>
  <c r="AY259" i="1"/>
  <c r="AY758" i="1" s="1"/>
  <c r="BA259" i="1"/>
  <c r="BA776" i="1" s="1"/>
  <c r="BB259" i="1"/>
  <c r="BB738" i="1" s="1"/>
  <c r="BD259" i="1"/>
  <c r="BD757" i="1" s="1"/>
  <c r="BE259" i="1"/>
  <c r="BE859" i="1" s="1"/>
  <c r="BG259" i="1"/>
  <c r="BG736" i="1" s="1"/>
  <c r="BH259" i="1"/>
  <c r="BH859" i="1" s="1"/>
  <c r="BJ259" i="1"/>
  <c r="BJ777" i="1" s="1"/>
  <c r="BK259" i="1"/>
  <c r="BK778" i="1" s="1"/>
  <c r="BM259" i="1"/>
  <c r="BM736" i="1" s="1"/>
  <c r="BN259" i="1"/>
  <c r="BN796" i="1" s="1"/>
  <c r="BP259" i="1"/>
  <c r="BP1093" i="1" s="1"/>
  <c r="BQ259" i="1"/>
  <c r="BQ776" i="1" s="1"/>
  <c r="AF294" i="1"/>
  <c r="AI294" i="1"/>
  <c r="AJ294" i="1"/>
  <c r="AL294" i="1"/>
  <c r="AM294" i="1"/>
  <c r="AO294" i="1"/>
  <c r="AP294" i="1"/>
  <c r="AR294" i="1"/>
  <c r="AS294" i="1"/>
  <c r="AU294" i="1"/>
  <c r="AV294" i="1"/>
  <c r="AX294" i="1"/>
  <c r="AY294" i="1"/>
  <c r="BA294" i="1"/>
  <c r="BB294" i="1"/>
  <c r="BD294" i="1"/>
  <c r="BE294" i="1"/>
  <c r="BG294" i="1"/>
  <c r="BH294" i="1"/>
  <c r="BJ294" i="1"/>
  <c r="BK294" i="1"/>
  <c r="BM294" i="1"/>
  <c r="BN294" i="1"/>
  <c r="BP294" i="1"/>
  <c r="BQ294" i="1"/>
  <c r="AF296" i="1"/>
  <c r="AG296" i="1"/>
  <c r="AI296" i="1"/>
  <c r="AJ296" i="1"/>
  <c r="AL296" i="1"/>
  <c r="AM296" i="1"/>
  <c r="AO296" i="1"/>
  <c r="AP296" i="1"/>
  <c r="AR296" i="1"/>
  <c r="AS296" i="1"/>
  <c r="AU296" i="1"/>
  <c r="AV296" i="1"/>
  <c r="AX296" i="1"/>
  <c r="AY296" i="1"/>
  <c r="BA296" i="1"/>
  <c r="BB296" i="1"/>
  <c r="BD296" i="1"/>
  <c r="BE296" i="1"/>
  <c r="BG296" i="1"/>
  <c r="BH296" i="1"/>
  <c r="BJ296" i="1"/>
  <c r="BK296" i="1"/>
  <c r="BM296" i="1"/>
  <c r="BN296" i="1"/>
  <c r="BP296" i="1"/>
  <c r="BQ296" i="1"/>
  <c r="AF299" i="1"/>
  <c r="AG299" i="1"/>
  <c r="AI299" i="1"/>
  <c r="AJ299" i="1"/>
  <c r="AL299" i="1"/>
  <c r="AM299" i="1"/>
  <c r="AO299" i="1"/>
  <c r="AP299" i="1"/>
  <c r="AR299" i="1"/>
  <c r="AS299" i="1"/>
  <c r="AU299" i="1"/>
  <c r="AV299" i="1"/>
  <c r="AX299" i="1"/>
  <c r="AY299" i="1"/>
  <c r="BA299" i="1"/>
  <c r="BB299" i="1"/>
  <c r="BD299" i="1"/>
  <c r="BE299" i="1"/>
  <c r="BG299" i="1"/>
  <c r="BH299" i="1"/>
  <c r="BJ299" i="1"/>
  <c r="BK299" i="1"/>
  <c r="BM299" i="1"/>
  <c r="BN299" i="1"/>
  <c r="BP299" i="1"/>
  <c r="BQ299" i="1"/>
  <c r="AF301" i="1"/>
  <c r="AG301" i="1"/>
  <c r="AI301" i="1"/>
  <c r="AJ301" i="1"/>
  <c r="AL301" i="1"/>
  <c r="AM301" i="1"/>
  <c r="AO301" i="1"/>
  <c r="AP301" i="1"/>
  <c r="AR301" i="1"/>
  <c r="AS301" i="1"/>
  <c r="AU301" i="1"/>
  <c r="AV301" i="1"/>
  <c r="AX301" i="1"/>
  <c r="AY301" i="1"/>
  <c r="BA301" i="1"/>
  <c r="BB301" i="1"/>
  <c r="BD301" i="1"/>
  <c r="BE301" i="1"/>
  <c r="BG301" i="1"/>
  <c r="BH301" i="1"/>
  <c r="BJ301" i="1"/>
  <c r="BK301" i="1"/>
  <c r="BM301" i="1"/>
  <c r="BN301" i="1"/>
  <c r="BP301" i="1"/>
  <c r="BQ301" i="1"/>
  <c r="AG304" i="1"/>
  <c r="AI304" i="1"/>
  <c r="AJ304" i="1"/>
  <c r="AL304" i="1"/>
  <c r="AM304" i="1"/>
  <c r="AO304" i="1"/>
  <c r="AP304" i="1"/>
  <c r="AR304" i="1"/>
  <c r="AS304" i="1"/>
  <c r="AU304" i="1"/>
  <c r="AV304" i="1"/>
  <c r="AX304" i="1"/>
  <c r="AY304" i="1"/>
  <c r="BA304" i="1"/>
  <c r="BB304" i="1"/>
  <c r="BD304" i="1"/>
  <c r="BE304" i="1"/>
  <c r="BG304" i="1"/>
  <c r="BH304" i="1"/>
  <c r="BJ304" i="1"/>
  <c r="BK304" i="1"/>
  <c r="BM304" i="1"/>
  <c r="BN304" i="1"/>
  <c r="BP304" i="1"/>
  <c r="BQ304" i="1"/>
  <c r="AF306" i="1"/>
  <c r="AG306" i="1"/>
  <c r="AI306" i="1"/>
  <c r="AJ306" i="1"/>
  <c r="AL306" i="1"/>
  <c r="AM306" i="1"/>
  <c r="AO306" i="1"/>
  <c r="AP306" i="1"/>
  <c r="AR306" i="1"/>
  <c r="AS306" i="1"/>
  <c r="AU306" i="1"/>
  <c r="AV306" i="1"/>
  <c r="AX306" i="1"/>
  <c r="AY306" i="1"/>
  <c r="BA306" i="1"/>
  <c r="BB306" i="1"/>
  <c r="BD306" i="1"/>
  <c r="BE306" i="1"/>
  <c r="BG306" i="1"/>
  <c r="BH306" i="1"/>
  <c r="BJ306" i="1"/>
  <c r="BK306" i="1"/>
  <c r="BM306" i="1"/>
  <c r="BN306" i="1"/>
  <c r="BP306" i="1"/>
  <c r="BQ306" i="1"/>
  <c r="AF308" i="1"/>
  <c r="AG308" i="1"/>
  <c r="AI308" i="1"/>
  <c r="AJ308" i="1"/>
  <c r="AL308" i="1"/>
  <c r="AM308" i="1"/>
  <c r="AO308" i="1"/>
  <c r="AP308" i="1"/>
  <c r="AR308" i="1"/>
  <c r="AS308" i="1"/>
  <c r="AU308" i="1"/>
  <c r="AV308" i="1"/>
  <c r="AX308" i="1"/>
  <c r="AY308" i="1"/>
  <c r="BA308" i="1"/>
  <c r="BB308" i="1"/>
  <c r="BD308" i="1"/>
  <c r="BE308" i="1"/>
  <c r="BG308" i="1"/>
  <c r="BH308" i="1"/>
  <c r="BJ308" i="1"/>
  <c r="BK308" i="1"/>
  <c r="BM308" i="1"/>
  <c r="BN308" i="1"/>
  <c r="BP308" i="1"/>
  <c r="BQ308" i="1"/>
  <c r="AF311" i="1"/>
  <c r="AG311" i="1"/>
  <c r="AI311" i="1"/>
  <c r="AJ311" i="1"/>
  <c r="AL311" i="1"/>
  <c r="AM311" i="1"/>
  <c r="AO311" i="1"/>
  <c r="AP311" i="1"/>
  <c r="AR311" i="1"/>
  <c r="AS311" i="1"/>
  <c r="AU311" i="1"/>
  <c r="AV311" i="1"/>
  <c r="AX311" i="1"/>
  <c r="AY311" i="1"/>
  <c r="BA311" i="1"/>
  <c r="BB311" i="1"/>
  <c r="BD311" i="1"/>
  <c r="BE311" i="1"/>
  <c r="BG311" i="1"/>
  <c r="BH311" i="1"/>
  <c r="BJ311" i="1"/>
  <c r="BK311" i="1"/>
  <c r="BM311" i="1"/>
  <c r="BN311" i="1"/>
  <c r="BP311" i="1"/>
  <c r="BQ311" i="1"/>
  <c r="AF313" i="1"/>
  <c r="AF1465" i="1" s="1"/>
  <c r="AG313" i="1"/>
  <c r="AI313" i="1"/>
  <c r="AI1465" i="1" s="1"/>
  <c r="AJ313" i="1"/>
  <c r="AJ1465" i="1" s="1"/>
  <c r="AJ1464" i="1" s="1"/>
  <c r="AL313" i="1"/>
  <c r="AL1465" i="1" s="1"/>
  <c r="AL1464" i="1" s="1"/>
  <c r="AM313" i="1"/>
  <c r="AM1465" i="1" s="1"/>
  <c r="AM1464" i="1" s="1"/>
  <c r="AO313" i="1"/>
  <c r="AO1465" i="1" s="1"/>
  <c r="AO1464" i="1" s="1"/>
  <c r="AP313" i="1"/>
  <c r="AP1465" i="1" s="1"/>
  <c r="AP1464" i="1" s="1"/>
  <c r="AR313" i="1"/>
  <c r="AS313" i="1"/>
  <c r="AS1465" i="1" s="1"/>
  <c r="AS1464" i="1" s="1"/>
  <c r="AU313" i="1"/>
  <c r="AU1465" i="1" s="1"/>
  <c r="AV313" i="1"/>
  <c r="AV1465" i="1" s="1"/>
  <c r="AV1464" i="1" s="1"/>
  <c r="AX313" i="1"/>
  <c r="AX1465" i="1" s="1"/>
  <c r="AX1464" i="1" s="1"/>
  <c r="AY313" i="1"/>
  <c r="AY1465" i="1" s="1"/>
  <c r="AY1464" i="1" s="1"/>
  <c r="BA313" i="1"/>
  <c r="BA1465" i="1" s="1"/>
  <c r="BA1464" i="1" s="1"/>
  <c r="BB313" i="1"/>
  <c r="BB1465" i="1" s="1"/>
  <c r="BD313" i="1"/>
  <c r="BE313" i="1"/>
  <c r="BE1465" i="1" s="1"/>
  <c r="BE1464" i="1" s="1"/>
  <c r="BG313" i="1"/>
  <c r="BG1465" i="1" s="1"/>
  <c r="BH313" i="1"/>
  <c r="BH1465" i="1" s="1"/>
  <c r="BH1464" i="1" s="1"/>
  <c r="BJ313" i="1"/>
  <c r="BJ1465" i="1" s="1"/>
  <c r="BJ1464" i="1" s="1"/>
  <c r="BK313" i="1"/>
  <c r="BK1465" i="1" s="1"/>
  <c r="BK1464" i="1" s="1"/>
  <c r="BM313" i="1"/>
  <c r="BM1465" i="1" s="1"/>
  <c r="BM1464" i="1" s="1"/>
  <c r="BN313" i="1"/>
  <c r="BN1465" i="1" s="1"/>
  <c r="BN1464" i="1" s="1"/>
  <c r="BP313" i="1"/>
  <c r="BQ313" i="1"/>
  <c r="BQ1465" i="1" s="1"/>
  <c r="BQ1464" i="1" s="1"/>
  <c r="AF322" i="1"/>
  <c r="AG322" i="1"/>
  <c r="AJ322" i="1"/>
  <c r="AL322" i="1"/>
  <c r="AM322" i="1"/>
  <c r="AO322" i="1"/>
  <c r="AP322" i="1"/>
  <c r="AR322" i="1"/>
  <c r="AS322" i="1"/>
  <c r="AU322" i="1"/>
  <c r="AV322" i="1"/>
  <c r="AX322" i="1"/>
  <c r="AY322" i="1"/>
  <c r="BA322" i="1"/>
  <c r="BB322" i="1"/>
  <c r="BD322" i="1"/>
  <c r="BE322" i="1"/>
  <c r="BG322" i="1"/>
  <c r="BH322" i="1"/>
  <c r="BJ322" i="1"/>
  <c r="BK322" i="1"/>
  <c r="BM322" i="1"/>
  <c r="BN322" i="1"/>
  <c r="BP322" i="1"/>
  <c r="BQ322" i="1"/>
  <c r="AF323" i="1"/>
  <c r="AG323" i="1"/>
  <c r="AI323" i="1"/>
  <c r="AJ323" i="1"/>
  <c r="AL323" i="1"/>
  <c r="AM323" i="1"/>
  <c r="AO323" i="1"/>
  <c r="AP323" i="1"/>
  <c r="AR323" i="1"/>
  <c r="AS323" i="1"/>
  <c r="AU323" i="1"/>
  <c r="AV323" i="1"/>
  <c r="AX323" i="1"/>
  <c r="AY323" i="1"/>
  <c r="BA323" i="1"/>
  <c r="BB323" i="1"/>
  <c r="BD323" i="1"/>
  <c r="BE323" i="1"/>
  <c r="BG323" i="1"/>
  <c r="BH323" i="1"/>
  <c r="BJ323" i="1"/>
  <c r="BK323" i="1"/>
  <c r="BM323" i="1"/>
  <c r="BN323" i="1"/>
  <c r="BP323" i="1"/>
  <c r="BQ323" i="1"/>
  <c r="AF325" i="1"/>
  <c r="AG325" i="1"/>
  <c r="AI325" i="1"/>
  <c r="AJ325" i="1"/>
  <c r="AL325" i="1"/>
  <c r="AM325" i="1"/>
  <c r="AO325" i="1"/>
  <c r="AP325" i="1"/>
  <c r="AR325" i="1"/>
  <c r="AS325" i="1"/>
  <c r="AU325" i="1"/>
  <c r="AV325" i="1"/>
  <c r="AX325" i="1"/>
  <c r="AY325" i="1"/>
  <c r="BA325" i="1"/>
  <c r="BB325" i="1"/>
  <c r="BD325" i="1"/>
  <c r="BE325" i="1"/>
  <c r="BG325" i="1"/>
  <c r="BH325" i="1"/>
  <c r="BJ325" i="1"/>
  <c r="BK325" i="1"/>
  <c r="BM325" i="1"/>
  <c r="BN325" i="1"/>
  <c r="BP325" i="1"/>
  <c r="BQ325" i="1"/>
  <c r="AF326" i="1"/>
  <c r="AG326" i="1"/>
  <c r="AI326" i="1"/>
  <c r="AJ326" i="1"/>
  <c r="AL326" i="1"/>
  <c r="AM326" i="1"/>
  <c r="AO326" i="1"/>
  <c r="AP326" i="1"/>
  <c r="AR326" i="1"/>
  <c r="AS326" i="1"/>
  <c r="AU326" i="1"/>
  <c r="AV326" i="1"/>
  <c r="AX326" i="1"/>
  <c r="AY326" i="1"/>
  <c r="BA326" i="1"/>
  <c r="BB326" i="1"/>
  <c r="BD326" i="1"/>
  <c r="BE326" i="1"/>
  <c r="BG326" i="1"/>
  <c r="BH326" i="1"/>
  <c r="BJ326" i="1"/>
  <c r="BK326" i="1"/>
  <c r="BM326" i="1"/>
  <c r="BN326" i="1"/>
  <c r="BP326" i="1"/>
  <c r="BQ326" i="1"/>
  <c r="AF328" i="1"/>
  <c r="AG328" i="1"/>
  <c r="AI328" i="1"/>
  <c r="AJ328" i="1"/>
  <c r="AL328" i="1"/>
  <c r="AM328" i="1"/>
  <c r="AO328" i="1"/>
  <c r="AP328" i="1"/>
  <c r="AR328" i="1"/>
  <c r="AS328" i="1"/>
  <c r="AU328" i="1"/>
  <c r="AV328" i="1"/>
  <c r="AX328" i="1"/>
  <c r="AY328" i="1"/>
  <c r="BA328" i="1"/>
  <c r="BB328" i="1"/>
  <c r="BD328" i="1"/>
  <c r="BE328" i="1"/>
  <c r="BG328" i="1"/>
  <c r="BH328" i="1"/>
  <c r="BJ328" i="1"/>
  <c r="BK328" i="1"/>
  <c r="BM328" i="1"/>
  <c r="BN328" i="1"/>
  <c r="BP328" i="1"/>
  <c r="BQ328" i="1"/>
  <c r="AF329" i="1"/>
  <c r="AG329" i="1"/>
  <c r="AI329" i="1"/>
  <c r="AJ329" i="1"/>
  <c r="AL329" i="1"/>
  <c r="AM329" i="1"/>
  <c r="AO329" i="1"/>
  <c r="AP329" i="1"/>
  <c r="AR329" i="1"/>
  <c r="AS329" i="1"/>
  <c r="AU329" i="1"/>
  <c r="AV329" i="1"/>
  <c r="AX329" i="1"/>
  <c r="AY329" i="1"/>
  <c r="BA329" i="1"/>
  <c r="BB329" i="1"/>
  <c r="BD329" i="1"/>
  <c r="BE329" i="1"/>
  <c r="BG329" i="1"/>
  <c r="BH329" i="1"/>
  <c r="BJ329" i="1"/>
  <c r="BK329" i="1"/>
  <c r="BM329" i="1"/>
  <c r="BN329" i="1"/>
  <c r="BP329" i="1"/>
  <c r="BQ329" i="1"/>
  <c r="AF330" i="1"/>
  <c r="AG330" i="1"/>
  <c r="AI330" i="1"/>
  <c r="AJ330" i="1"/>
  <c r="AL330" i="1"/>
  <c r="AM330" i="1"/>
  <c r="AO330" i="1"/>
  <c r="AP330" i="1"/>
  <c r="AR330" i="1"/>
  <c r="AS330" i="1"/>
  <c r="AU330" i="1"/>
  <c r="AV330" i="1"/>
  <c r="AX330" i="1"/>
  <c r="AY330" i="1"/>
  <c r="BA330" i="1"/>
  <c r="BB330" i="1"/>
  <c r="BD330" i="1"/>
  <c r="BE330" i="1"/>
  <c r="BG330" i="1"/>
  <c r="BH330" i="1"/>
  <c r="BJ330" i="1"/>
  <c r="BK330" i="1"/>
  <c r="BM330" i="1"/>
  <c r="BN330" i="1"/>
  <c r="BP330" i="1"/>
  <c r="BQ330" i="1"/>
  <c r="AF332" i="1"/>
  <c r="AG332" i="1"/>
  <c r="AI332" i="1"/>
  <c r="AJ332" i="1"/>
  <c r="AL332" i="1"/>
  <c r="AM332" i="1"/>
  <c r="AO332" i="1"/>
  <c r="AP332" i="1"/>
  <c r="AR332" i="1"/>
  <c r="AS332" i="1"/>
  <c r="AU332" i="1"/>
  <c r="AV332" i="1"/>
  <c r="AX332" i="1"/>
  <c r="AY332" i="1"/>
  <c r="BA332" i="1"/>
  <c r="BB332" i="1"/>
  <c r="BD332" i="1"/>
  <c r="BE332" i="1"/>
  <c r="BG332" i="1"/>
  <c r="BH332" i="1"/>
  <c r="BJ332" i="1"/>
  <c r="BK332" i="1"/>
  <c r="BM332" i="1"/>
  <c r="BN332" i="1"/>
  <c r="BP332" i="1"/>
  <c r="BQ332" i="1"/>
  <c r="AF333" i="1"/>
  <c r="AG333" i="1"/>
  <c r="AI333" i="1"/>
  <c r="AJ333" i="1"/>
  <c r="AL333" i="1"/>
  <c r="AM333" i="1"/>
  <c r="AO333" i="1"/>
  <c r="AP333" i="1"/>
  <c r="AR333" i="1"/>
  <c r="AS333" i="1"/>
  <c r="AU333" i="1"/>
  <c r="AV333" i="1"/>
  <c r="AX333" i="1"/>
  <c r="AY333" i="1"/>
  <c r="BA333" i="1"/>
  <c r="BB333" i="1"/>
  <c r="BD333" i="1"/>
  <c r="BE333" i="1"/>
  <c r="BG333" i="1"/>
  <c r="BH333" i="1"/>
  <c r="BJ333" i="1"/>
  <c r="BK333" i="1"/>
  <c r="BM333" i="1"/>
  <c r="BN333" i="1"/>
  <c r="BP333" i="1"/>
  <c r="BQ333" i="1"/>
  <c r="AF342" i="1"/>
  <c r="AG342" i="1"/>
  <c r="AI342" i="1"/>
  <c r="AI341" i="1" s="1"/>
  <c r="AI1213" i="1" s="1"/>
  <c r="AI1212" i="1" s="1"/>
  <c r="AJ342" i="1"/>
  <c r="AL342" i="1"/>
  <c r="AL341" i="1" s="1"/>
  <c r="AL1213" i="1" s="1"/>
  <c r="AL1212" i="1" s="1"/>
  <c r="AM342" i="1"/>
  <c r="AM341" i="1" s="1"/>
  <c r="AM1213" i="1" s="1"/>
  <c r="AM1212" i="1" s="1"/>
  <c r="AO342" i="1"/>
  <c r="AO341" i="1" s="1"/>
  <c r="AO1213" i="1" s="1"/>
  <c r="AO1212" i="1" s="1"/>
  <c r="AP342" i="1"/>
  <c r="AP341" i="1" s="1"/>
  <c r="AP1213" i="1" s="1"/>
  <c r="AP1212" i="1" s="1"/>
  <c r="AR342" i="1"/>
  <c r="AS342" i="1"/>
  <c r="AS341" i="1" s="1"/>
  <c r="AS1213" i="1" s="1"/>
  <c r="AS1212" i="1" s="1"/>
  <c r="AU342" i="1"/>
  <c r="AU341" i="1" s="1"/>
  <c r="AU1213" i="1" s="1"/>
  <c r="AU1212" i="1" s="1"/>
  <c r="AV342" i="1"/>
  <c r="AX342" i="1"/>
  <c r="AX341" i="1" s="1"/>
  <c r="AX1213" i="1" s="1"/>
  <c r="AX1212" i="1" s="1"/>
  <c r="AY342" i="1"/>
  <c r="AY341" i="1" s="1"/>
  <c r="AY1213" i="1" s="1"/>
  <c r="AY1212" i="1" s="1"/>
  <c r="BA342" i="1"/>
  <c r="BA341" i="1" s="1"/>
  <c r="BA1213" i="1" s="1"/>
  <c r="BA1212" i="1" s="1"/>
  <c r="BB342" i="1"/>
  <c r="BB341" i="1" s="1"/>
  <c r="BB1213" i="1" s="1"/>
  <c r="BB1212" i="1" s="1"/>
  <c r="BD342" i="1"/>
  <c r="BE342" i="1"/>
  <c r="BE341" i="1" s="1"/>
  <c r="BE1213" i="1" s="1"/>
  <c r="BE1212" i="1" s="1"/>
  <c r="BG342" i="1"/>
  <c r="BG341" i="1" s="1"/>
  <c r="BG1213" i="1" s="1"/>
  <c r="BG1212" i="1" s="1"/>
  <c r="BH342" i="1"/>
  <c r="BJ342" i="1"/>
  <c r="BJ341" i="1" s="1"/>
  <c r="BJ1213" i="1" s="1"/>
  <c r="BJ1212" i="1" s="1"/>
  <c r="BK342" i="1"/>
  <c r="BK341" i="1" s="1"/>
  <c r="BK1213" i="1" s="1"/>
  <c r="BK1212" i="1" s="1"/>
  <c r="BM342" i="1"/>
  <c r="BM341" i="1" s="1"/>
  <c r="BM1213" i="1" s="1"/>
  <c r="BM1212" i="1" s="1"/>
  <c r="BN342" i="1"/>
  <c r="BN341" i="1" s="1"/>
  <c r="BN1213" i="1" s="1"/>
  <c r="BN1212" i="1" s="1"/>
  <c r="BP342" i="1"/>
  <c r="BQ342" i="1"/>
  <c r="BQ341" i="1" s="1"/>
  <c r="BQ1213" i="1" s="1"/>
  <c r="BQ1212" i="1" s="1"/>
  <c r="AF345" i="1"/>
  <c r="AF344" i="1" s="1"/>
  <c r="AF1220" i="1" s="1"/>
  <c r="AG345" i="1"/>
  <c r="AG344" i="1" s="1"/>
  <c r="AG1220" i="1" s="1"/>
  <c r="AG1189" i="1" s="1"/>
  <c r="AI345" i="1"/>
  <c r="AI344" i="1" s="1"/>
  <c r="AI1220" i="1" s="1"/>
  <c r="AI1219" i="1" s="1"/>
  <c r="AJ345" i="1"/>
  <c r="AJ344" i="1" s="1"/>
  <c r="AJ1220" i="1" s="1"/>
  <c r="AJ1219" i="1" s="1"/>
  <c r="AL345" i="1"/>
  <c r="AM345" i="1"/>
  <c r="AM344" i="1" s="1"/>
  <c r="AM1220" i="1" s="1"/>
  <c r="AM1219" i="1" s="1"/>
  <c r="AO345" i="1"/>
  <c r="AO344" i="1" s="1"/>
  <c r="AO1220" i="1" s="1"/>
  <c r="AO1219" i="1" s="1"/>
  <c r="AP345" i="1"/>
  <c r="AR345" i="1"/>
  <c r="AR344" i="1" s="1"/>
  <c r="AR1220" i="1" s="1"/>
  <c r="AR1219" i="1" s="1"/>
  <c r="AS345" i="1"/>
  <c r="AS344" i="1" s="1"/>
  <c r="AS1220" i="1" s="1"/>
  <c r="AS1219" i="1" s="1"/>
  <c r="AU345" i="1"/>
  <c r="AU344" i="1" s="1"/>
  <c r="AU1220" i="1" s="1"/>
  <c r="AU1219" i="1" s="1"/>
  <c r="AV345" i="1"/>
  <c r="AV344" i="1" s="1"/>
  <c r="AV1220" i="1" s="1"/>
  <c r="AV1219" i="1" s="1"/>
  <c r="AX345" i="1"/>
  <c r="AY345" i="1"/>
  <c r="AY344" i="1" s="1"/>
  <c r="AY1220" i="1" s="1"/>
  <c r="AY1219" i="1" s="1"/>
  <c r="BA345" i="1"/>
  <c r="BA344" i="1" s="1"/>
  <c r="BA1220" i="1" s="1"/>
  <c r="BA1219" i="1" s="1"/>
  <c r="BB345" i="1"/>
  <c r="BD345" i="1"/>
  <c r="BD344" i="1" s="1"/>
  <c r="BD1220" i="1" s="1"/>
  <c r="BD1219" i="1" s="1"/>
  <c r="BE345" i="1"/>
  <c r="BE344" i="1" s="1"/>
  <c r="BE1220" i="1" s="1"/>
  <c r="BE1219" i="1" s="1"/>
  <c r="BG345" i="1"/>
  <c r="BG344" i="1" s="1"/>
  <c r="BG1220" i="1" s="1"/>
  <c r="BG1219" i="1" s="1"/>
  <c r="BH345" i="1"/>
  <c r="BH344" i="1" s="1"/>
  <c r="BH1220" i="1" s="1"/>
  <c r="BH1219" i="1" s="1"/>
  <c r="BJ345" i="1"/>
  <c r="BK345" i="1"/>
  <c r="BK344" i="1" s="1"/>
  <c r="BK1220" i="1" s="1"/>
  <c r="BK1219" i="1" s="1"/>
  <c r="BM345" i="1"/>
  <c r="BM344" i="1" s="1"/>
  <c r="BM1220" i="1" s="1"/>
  <c r="BM1219" i="1" s="1"/>
  <c r="BN345" i="1"/>
  <c r="BP345" i="1"/>
  <c r="BP344" i="1" s="1"/>
  <c r="BP1220" i="1" s="1"/>
  <c r="BP1219" i="1" s="1"/>
  <c r="BQ345" i="1"/>
  <c r="BQ344" i="1" s="1"/>
  <c r="BQ1220" i="1" s="1"/>
  <c r="BQ1219" i="1" s="1"/>
  <c r="AF349" i="1"/>
  <c r="AG349" i="1"/>
  <c r="AI349" i="1"/>
  <c r="AI348" i="1" s="1"/>
  <c r="AI1227" i="1" s="1"/>
  <c r="AI1226" i="1" s="1"/>
  <c r="AJ349" i="1"/>
  <c r="AJ348" i="1" s="1"/>
  <c r="AJ1227" i="1" s="1"/>
  <c r="AJ1226" i="1" s="1"/>
  <c r="AL349" i="1"/>
  <c r="AM349" i="1"/>
  <c r="AM348" i="1" s="1"/>
  <c r="AM1227" i="1" s="1"/>
  <c r="AM1226" i="1" s="1"/>
  <c r="AO349" i="1"/>
  <c r="AP349" i="1"/>
  <c r="AP348" i="1" s="1"/>
  <c r="AP1227" i="1" s="1"/>
  <c r="AP1226" i="1" s="1"/>
  <c r="AR349" i="1"/>
  <c r="AR348" i="1" s="1"/>
  <c r="AR1227" i="1" s="1"/>
  <c r="AR1226" i="1" s="1"/>
  <c r="AS349" i="1"/>
  <c r="AS348" i="1" s="1"/>
  <c r="AS1227" i="1" s="1"/>
  <c r="AS1226" i="1" s="1"/>
  <c r="AU349" i="1"/>
  <c r="AU348" i="1" s="1"/>
  <c r="AU1227" i="1" s="1"/>
  <c r="AU1226" i="1" s="1"/>
  <c r="AV349" i="1"/>
  <c r="AV348" i="1" s="1"/>
  <c r="AV1227" i="1" s="1"/>
  <c r="AV1226" i="1" s="1"/>
  <c r="AX349" i="1"/>
  <c r="AY349" i="1"/>
  <c r="AY348" i="1" s="1"/>
  <c r="AY1227" i="1" s="1"/>
  <c r="AY1226" i="1" s="1"/>
  <c r="BA349" i="1"/>
  <c r="BB349" i="1"/>
  <c r="BB348" i="1" s="1"/>
  <c r="BB1227" i="1" s="1"/>
  <c r="BB1226" i="1" s="1"/>
  <c r="BD349" i="1"/>
  <c r="BD348" i="1" s="1"/>
  <c r="BD1227" i="1" s="1"/>
  <c r="BD1226" i="1" s="1"/>
  <c r="BE349" i="1"/>
  <c r="BE348" i="1" s="1"/>
  <c r="BE1227" i="1" s="1"/>
  <c r="BE1226" i="1" s="1"/>
  <c r="BG349" i="1"/>
  <c r="BG348" i="1" s="1"/>
  <c r="BG1227" i="1" s="1"/>
  <c r="BG1226" i="1" s="1"/>
  <c r="BH349" i="1"/>
  <c r="BH348" i="1" s="1"/>
  <c r="BH1227" i="1" s="1"/>
  <c r="BH1226" i="1" s="1"/>
  <c r="BJ349" i="1"/>
  <c r="BK349" i="1"/>
  <c r="BK348" i="1" s="1"/>
  <c r="BK1227" i="1" s="1"/>
  <c r="BK1226" i="1" s="1"/>
  <c r="BM349" i="1"/>
  <c r="BN349" i="1"/>
  <c r="BN348" i="1" s="1"/>
  <c r="BN1227" i="1" s="1"/>
  <c r="BN1226" i="1" s="1"/>
  <c r="BP349" i="1"/>
  <c r="BP348" i="1" s="1"/>
  <c r="BP1227" i="1" s="1"/>
  <c r="BP1226" i="1" s="1"/>
  <c r="BQ349" i="1"/>
  <c r="BQ348" i="1" s="1"/>
  <c r="BQ1227" i="1" s="1"/>
  <c r="BQ1226" i="1" s="1"/>
  <c r="AG352" i="1"/>
  <c r="AG351" i="1" s="1"/>
  <c r="AG1235" i="1" s="1"/>
  <c r="AG1234" i="1" s="1"/>
  <c r="AI352" i="1"/>
  <c r="AJ352" i="1"/>
  <c r="AJ351" i="1" s="1"/>
  <c r="AJ1235" i="1" s="1"/>
  <c r="AJ1234" i="1" s="1"/>
  <c r="AL352" i="1"/>
  <c r="AM352" i="1"/>
  <c r="AM351" i="1" s="1"/>
  <c r="AM1235" i="1" s="1"/>
  <c r="AM1234" i="1" s="1"/>
  <c r="AO352" i="1"/>
  <c r="AO351" i="1" s="1"/>
  <c r="AO1235" i="1" s="1"/>
  <c r="AO1234" i="1" s="1"/>
  <c r="AP352" i="1"/>
  <c r="AR352" i="1"/>
  <c r="AS352" i="1"/>
  <c r="AS351" i="1" s="1"/>
  <c r="AS1235" i="1" s="1"/>
  <c r="AS1234" i="1" s="1"/>
  <c r="AU352" i="1"/>
  <c r="AV352" i="1"/>
  <c r="AV351" i="1" s="1"/>
  <c r="AV1235" i="1" s="1"/>
  <c r="AV1234" i="1" s="1"/>
  <c r="AX352" i="1"/>
  <c r="AX351" i="1" s="1"/>
  <c r="AX1235" i="1" s="1"/>
  <c r="AX1234" i="1" s="1"/>
  <c r="AY352" i="1"/>
  <c r="AY351" i="1" s="1"/>
  <c r="AY1235" i="1" s="1"/>
  <c r="AY1234" i="1" s="1"/>
  <c r="BA352" i="1"/>
  <c r="BB352" i="1"/>
  <c r="BB351" i="1" s="1"/>
  <c r="BB1235" i="1" s="1"/>
  <c r="BB1234" i="1" s="1"/>
  <c r="BD352" i="1"/>
  <c r="BE352" i="1"/>
  <c r="BE351" i="1" s="1"/>
  <c r="BE1235" i="1" s="1"/>
  <c r="BE1234" i="1" s="1"/>
  <c r="BG352" i="1"/>
  <c r="BH352" i="1"/>
  <c r="BH351" i="1" s="1"/>
  <c r="BH1235" i="1" s="1"/>
  <c r="BH1234" i="1" s="1"/>
  <c r="BJ352" i="1"/>
  <c r="BK352" i="1"/>
  <c r="BK351" i="1" s="1"/>
  <c r="BK1235" i="1" s="1"/>
  <c r="BK1234" i="1" s="1"/>
  <c r="BM352" i="1"/>
  <c r="BM351" i="1" s="1"/>
  <c r="BM1235" i="1" s="1"/>
  <c r="BM1234" i="1" s="1"/>
  <c r="BN352" i="1"/>
  <c r="BN351" i="1" s="1"/>
  <c r="BN1235" i="1" s="1"/>
  <c r="BN1234" i="1" s="1"/>
  <c r="BP352" i="1"/>
  <c r="BQ352" i="1"/>
  <c r="BQ351" i="1" s="1"/>
  <c r="BQ1235" i="1" s="1"/>
  <c r="BQ1234" i="1" s="1"/>
  <c r="AF357" i="1"/>
  <c r="AG357" i="1"/>
  <c r="AI357" i="1"/>
  <c r="AI356" i="1" s="1"/>
  <c r="AI1255" i="1" s="1"/>
  <c r="AJ357" i="1"/>
  <c r="AJ356" i="1" s="1"/>
  <c r="AJ1255" i="1" s="1"/>
  <c r="AL357" i="1"/>
  <c r="AM357" i="1"/>
  <c r="AM356" i="1" s="1"/>
  <c r="AM1255" i="1" s="1"/>
  <c r="AO357" i="1"/>
  <c r="AP357" i="1"/>
  <c r="AP356" i="1" s="1"/>
  <c r="AP1255" i="1" s="1"/>
  <c r="AR357" i="1"/>
  <c r="AR356" i="1" s="1"/>
  <c r="AR1255" i="1" s="1"/>
  <c r="AS357" i="1"/>
  <c r="AU357" i="1"/>
  <c r="AV357" i="1"/>
  <c r="AV356" i="1" s="1"/>
  <c r="AV1255" i="1" s="1"/>
  <c r="AX357" i="1"/>
  <c r="AX356" i="1" s="1"/>
  <c r="AX1255" i="1" s="1"/>
  <c r="AY357" i="1"/>
  <c r="AY356" i="1" s="1"/>
  <c r="AY1255" i="1" s="1"/>
  <c r="BA357" i="1"/>
  <c r="BB357" i="1"/>
  <c r="BB356" i="1" s="1"/>
  <c r="BB1255" i="1" s="1"/>
  <c r="BD357" i="1"/>
  <c r="BE357" i="1"/>
  <c r="BE356" i="1" s="1"/>
  <c r="BE1255" i="1" s="1"/>
  <c r="BG357" i="1"/>
  <c r="BG356" i="1" s="1"/>
  <c r="BG1255" i="1" s="1"/>
  <c r="BH357" i="1"/>
  <c r="BH356" i="1" s="1"/>
  <c r="BH1255" i="1" s="1"/>
  <c r="BJ357" i="1"/>
  <c r="BJ356" i="1" s="1"/>
  <c r="BJ1255" i="1" s="1"/>
  <c r="BK357" i="1"/>
  <c r="BK356" i="1" s="1"/>
  <c r="BK1255" i="1" s="1"/>
  <c r="BM357" i="1"/>
  <c r="BM356" i="1" s="1"/>
  <c r="BM1255" i="1" s="1"/>
  <c r="BN357" i="1"/>
  <c r="BN356" i="1" s="1"/>
  <c r="BN1255" i="1" s="1"/>
  <c r="BP357" i="1"/>
  <c r="BQ357" i="1"/>
  <c r="BQ356" i="1" s="1"/>
  <c r="BQ1255" i="1" s="1"/>
  <c r="AF360" i="1"/>
  <c r="AF359" i="1" s="1"/>
  <c r="AF1263" i="1" s="1"/>
  <c r="AG360" i="1"/>
  <c r="AG359" i="1" s="1"/>
  <c r="AG1263" i="1" s="1"/>
  <c r="AI360" i="1"/>
  <c r="AI359" i="1" s="1"/>
  <c r="AI1263" i="1" s="1"/>
  <c r="AJ360" i="1"/>
  <c r="AJ359" i="1" s="1"/>
  <c r="AJ1263" i="1" s="1"/>
  <c r="AL360" i="1"/>
  <c r="AL359" i="1" s="1"/>
  <c r="AL1263" i="1" s="1"/>
  <c r="AM360" i="1"/>
  <c r="AM359" i="1" s="1"/>
  <c r="AM1263" i="1" s="1"/>
  <c r="AO360" i="1"/>
  <c r="AP360" i="1"/>
  <c r="AP359" i="1" s="1"/>
  <c r="AP1263" i="1" s="1"/>
  <c r="AR360" i="1"/>
  <c r="AR359" i="1" s="1"/>
  <c r="AR1263" i="1" s="1"/>
  <c r="AS360" i="1"/>
  <c r="AS359" i="1" s="1"/>
  <c r="AS1263" i="1" s="1"/>
  <c r="AU360" i="1"/>
  <c r="AV360" i="1"/>
  <c r="AV359" i="1" s="1"/>
  <c r="AV1263" i="1" s="1"/>
  <c r="AX360" i="1"/>
  <c r="AY360" i="1"/>
  <c r="AY359" i="1" s="1"/>
  <c r="AY1263" i="1" s="1"/>
  <c r="BA360" i="1"/>
  <c r="BA359" i="1" s="1"/>
  <c r="BA1263" i="1" s="1"/>
  <c r="BB360" i="1"/>
  <c r="BB359" i="1" s="1"/>
  <c r="BB1263" i="1" s="1"/>
  <c r="BD360" i="1"/>
  <c r="BD359" i="1" s="1"/>
  <c r="BD1263" i="1" s="1"/>
  <c r="BE360" i="1"/>
  <c r="BE359" i="1" s="1"/>
  <c r="BE1263" i="1" s="1"/>
  <c r="BG360" i="1"/>
  <c r="BG359" i="1" s="1"/>
  <c r="BG1263" i="1" s="1"/>
  <c r="BH360" i="1"/>
  <c r="BH359" i="1" s="1"/>
  <c r="BH1263" i="1" s="1"/>
  <c r="BJ360" i="1"/>
  <c r="BJ359" i="1" s="1"/>
  <c r="BJ1263" i="1" s="1"/>
  <c r="BK360" i="1"/>
  <c r="BK359" i="1" s="1"/>
  <c r="BK1263" i="1" s="1"/>
  <c r="BM360" i="1"/>
  <c r="BM359" i="1" s="1"/>
  <c r="BM1263" i="1" s="1"/>
  <c r="BN360" i="1"/>
  <c r="BN359" i="1" s="1"/>
  <c r="BN1263" i="1" s="1"/>
  <c r="BP360" i="1"/>
  <c r="BP359" i="1" s="1"/>
  <c r="BP1263" i="1" s="1"/>
  <c r="BQ360" i="1"/>
  <c r="BQ359" i="1" s="1"/>
  <c r="BQ1263" i="1" s="1"/>
  <c r="AF364" i="1"/>
  <c r="AF363" i="1" s="1"/>
  <c r="AF1271" i="1" s="1"/>
  <c r="AG364" i="1"/>
  <c r="AG363" i="1" s="1"/>
  <c r="AG1271" i="1" s="1"/>
  <c r="AI364" i="1"/>
  <c r="AI363" i="1" s="1"/>
  <c r="AI1271" i="1" s="1"/>
  <c r="AJ364" i="1"/>
  <c r="AJ363" i="1" s="1"/>
  <c r="AJ1271" i="1" s="1"/>
  <c r="AL364" i="1"/>
  <c r="AL363" i="1" s="1"/>
  <c r="AL1271" i="1" s="1"/>
  <c r="AM364" i="1"/>
  <c r="AM363" i="1" s="1"/>
  <c r="AM1271" i="1" s="1"/>
  <c r="AO364" i="1"/>
  <c r="AP364" i="1"/>
  <c r="AP363" i="1" s="1"/>
  <c r="AP1271" i="1" s="1"/>
  <c r="AR364" i="1"/>
  <c r="AR363" i="1" s="1"/>
  <c r="AR1271" i="1" s="1"/>
  <c r="AS364" i="1"/>
  <c r="AS363" i="1" s="1"/>
  <c r="AS1271" i="1" s="1"/>
  <c r="AU364" i="1"/>
  <c r="AV364" i="1"/>
  <c r="AV363" i="1" s="1"/>
  <c r="AV1271" i="1" s="1"/>
  <c r="AX364" i="1"/>
  <c r="AY364" i="1"/>
  <c r="AY363" i="1" s="1"/>
  <c r="AY1271" i="1" s="1"/>
  <c r="BA364" i="1"/>
  <c r="BA363" i="1" s="1"/>
  <c r="BA1271" i="1" s="1"/>
  <c r="BB364" i="1"/>
  <c r="BB363" i="1" s="1"/>
  <c r="BB1271" i="1" s="1"/>
  <c r="BD364" i="1"/>
  <c r="BD363" i="1" s="1"/>
  <c r="BD1271" i="1" s="1"/>
  <c r="BE364" i="1"/>
  <c r="BE363" i="1" s="1"/>
  <c r="BE1271" i="1" s="1"/>
  <c r="BG364" i="1"/>
  <c r="BG363" i="1" s="1"/>
  <c r="BG1271" i="1" s="1"/>
  <c r="BH364" i="1"/>
  <c r="BH363" i="1" s="1"/>
  <c r="BH1271" i="1" s="1"/>
  <c r="BJ364" i="1"/>
  <c r="BJ363" i="1" s="1"/>
  <c r="BJ1271" i="1" s="1"/>
  <c r="BK364" i="1"/>
  <c r="BK363" i="1" s="1"/>
  <c r="BK1271" i="1" s="1"/>
  <c r="BM364" i="1"/>
  <c r="BM363" i="1" s="1"/>
  <c r="BM1271" i="1" s="1"/>
  <c r="BN364" i="1"/>
  <c r="BN363" i="1" s="1"/>
  <c r="BN1271" i="1" s="1"/>
  <c r="BP364" i="1"/>
  <c r="BQ364" i="1"/>
  <c r="BQ363" i="1" s="1"/>
  <c r="BQ1271" i="1" s="1"/>
  <c r="AF372" i="1"/>
  <c r="AF1257" i="1" s="1"/>
  <c r="AG372" i="1"/>
  <c r="AG1257" i="1" s="1"/>
  <c r="AI372" i="1"/>
  <c r="AI1257" i="1" s="1"/>
  <c r="AJ372" i="1"/>
  <c r="AJ1273" i="1" s="1"/>
  <c r="AL372" i="1"/>
  <c r="AL1273" i="1" s="1"/>
  <c r="AM372" i="1"/>
  <c r="AM1257" i="1" s="1"/>
  <c r="AO372" i="1"/>
  <c r="AO1273" i="1" s="1"/>
  <c r="AP372" i="1"/>
  <c r="AP1265" i="1" s="1"/>
  <c r="AR372" i="1"/>
  <c r="AR1273" i="1" s="1"/>
  <c r="AS372" i="1"/>
  <c r="AS1257" i="1" s="1"/>
  <c r="AU372" i="1"/>
  <c r="AU1265" i="1" s="1"/>
  <c r="AV372" i="1"/>
  <c r="AV1257" i="1" s="1"/>
  <c r="AX372" i="1"/>
  <c r="AX1265" i="1" s="1"/>
  <c r="AY372" i="1"/>
  <c r="AY1257" i="1" s="1"/>
  <c r="BA372" i="1"/>
  <c r="BA1257" i="1" s="1"/>
  <c r="BB372" i="1"/>
  <c r="BB1265" i="1" s="1"/>
  <c r="BD372" i="1"/>
  <c r="BD1257" i="1" s="1"/>
  <c r="BE372" i="1"/>
  <c r="BE1257" i="1" s="1"/>
  <c r="BG372" i="1"/>
  <c r="BG1265" i="1" s="1"/>
  <c r="BH372" i="1"/>
  <c r="BH1273" i="1" s="1"/>
  <c r="BJ372" i="1"/>
  <c r="BJ1273" i="1" s="1"/>
  <c r="BK372" i="1"/>
  <c r="BK1257" i="1" s="1"/>
  <c r="BM372" i="1"/>
  <c r="BM1257" i="1" s="1"/>
  <c r="BN372" i="1"/>
  <c r="BN1265" i="1" s="1"/>
  <c r="BP372" i="1"/>
  <c r="BP1273" i="1" s="1"/>
  <c r="BQ372" i="1"/>
  <c r="BQ1257" i="1" s="1"/>
  <c r="AI620" i="1"/>
  <c r="AI757" i="1"/>
  <c r="AI778" i="1"/>
  <c r="AI798" i="1"/>
  <c r="AI860" i="1"/>
  <c r="AI862" i="1"/>
  <c r="AI1115" i="1"/>
  <c r="AX1257" i="1" l="1"/>
  <c r="AX1254" i="1" s="1"/>
  <c r="BP1265" i="1"/>
  <c r="BP1262" i="1" s="1"/>
  <c r="AO1093" i="1"/>
  <c r="AF1273" i="1"/>
  <c r="AR1265" i="1"/>
  <c r="AR1262" i="1" s="1"/>
  <c r="BD1273" i="1"/>
  <c r="BD1270" i="1" s="1"/>
  <c r="AX1273" i="1"/>
  <c r="BJ1265" i="1"/>
  <c r="BJ1262" i="1" s="1"/>
  <c r="AL1265" i="1"/>
  <c r="AL1262" i="1" s="1"/>
  <c r="BP1257" i="1"/>
  <c r="AR1257" i="1"/>
  <c r="AR1254" i="1" s="1"/>
  <c r="BA1091" i="1"/>
  <c r="AG737" i="1"/>
  <c r="BD1265" i="1"/>
  <c r="BD1262" i="1" s="1"/>
  <c r="AF1265" i="1"/>
  <c r="BJ1257" i="1"/>
  <c r="AL1257" i="1"/>
  <c r="BM1114" i="1"/>
  <c r="AU1008" i="1"/>
  <c r="BG1094" i="1"/>
  <c r="AO964" i="1"/>
  <c r="AU1094" i="1"/>
  <c r="BG1009" i="1"/>
  <c r="BM859" i="1"/>
  <c r="BG1115" i="1"/>
  <c r="BA1113" i="1"/>
  <c r="BA712" i="1" s="1"/>
  <c r="BM1093" i="1"/>
  <c r="AU1092" i="1"/>
  <c r="AO1009" i="1"/>
  <c r="BG1006" i="1"/>
  <c r="AU862" i="1"/>
  <c r="AO1114" i="1"/>
  <c r="AQ1114" i="1" s="1"/>
  <c r="BG1092" i="1"/>
  <c r="BM1007" i="1"/>
  <c r="BG862" i="1"/>
  <c r="AO1113" i="1"/>
  <c r="AO712" i="1" s="1"/>
  <c r="BA1093" i="1"/>
  <c r="BM1091" i="1"/>
  <c r="BG1008" i="1"/>
  <c r="BG965" i="1"/>
  <c r="AG757" i="1"/>
  <c r="AJ796" i="1"/>
  <c r="AI738" i="1"/>
  <c r="BH1009" i="1"/>
  <c r="AP966" i="1"/>
  <c r="BN859" i="1"/>
  <c r="AV1009" i="1"/>
  <c r="AP965" i="1"/>
  <c r="BB859" i="1"/>
  <c r="BH1115" i="1"/>
  <c r="AV1114" i="1"/>
  <c r="BQ796" i="1"/>
  <c r="AP1115" i="1"/>
  <c r="AP1091" i="1"/>
  <c r="BB799" i="1"/>
  <c r="AY861" i="1"/>
  <c r="BQ757" i="1"/>
  <c r="BB1152" i="1"/>
  <c r="AY1113" i="1"/>
  <c r="AY712" i="1" s="1"/>
  <c r="AY643" i="1" s="1"/>
  <c r="AS1094" i="1"/>
  <c r="AM1007" i="1"/>
  <c r="BQ798" i="1"/>
  <c r="AY776" i="1"/>
  <c r="BE756" i="1"/>
  <c r="AJ1114" i="1"/>
  <c r="AV967" i="1"/>
  <c r="BQ964" i="1"/>
  <c r="BH758" i="1"/>
  <c r="BB737" i="1"/>
  <c r="AS1151" i="1"/>
  <c r="AJ1149" i="1"/>
  <c r="BB1273" i="1"/>
  <c r="BB1270" i="1" s="1"/>
  <c r="BE1114" i="1"/>
  <c r="BQ1093" i="1"/>
  <c r="BR1093" i="1" s="1"/>
  <c r="AM1093" i="1"/>
  <c r="AG1092" i="1"/>
  <c r="AS1091" i="1"/>
  <c r="AM1009" i="1"/>
  <c r="AG1008" i="1"/>
  <c r="AM967" i="1"/>
  <c r="BE965" i="1"/>
  <c r="AY964" i="1"/>
  <c r="AS862" i="1"/>
  <c r="AG861" i="1"/>
  <c r="AS859" i="1"/>
  <c r="AS796" i="1"/>
  <c r="BQ777" i="1"/>
  <c r="BQ758" i="1"/>
  <c r="AY757" i="1"/>
  <c r="AG756" i="1"/>
  <c r="AY736" i="1"/>
  <c r="AG620" i="1"/>
  <c r="BH1265" i="1"/>
  <c r="BH1262" i="1" s="1"/>
  <c r="BN1257" i="1"/>
  <c r="BN1254" i="1" s="1"/>
  <c r="BK1113" i="1"/>
  <c r="BK712" i="1" s="1"/>
  <c r="BK643" i="1" s="1"/>
  <c r="BK1092" i="1"/>
  <c r="AY1009" i="1"/>
  <c r="BK1008" i="1"/>
  <c r="AM1006" i="1"/>
  <c r="BK966" i="1"/>
  <c r="AS965" i="1"/>
  <c r="BE860" i="1"/>
  <c r="AG798" i="1"/>
  <c r="AS777" i="1"/>
  <c r="AG738" i="1"/>
  <c r="BQ620" i="1"/>
  <c r="AP1257" i="1"/>
  <c r="AP1254" i="1" s="1"/>
  <c r="BQ1115" i="1"/>
  <c r="AS1114" i="1"/>
  <c r="BE1091" i="1"/>
  <c r="AG1091" i="1"/>
  <c r="BE1007" i="1"/>
  <c r="BE967" i="1"/>
  <c r="BQ861" i="1"/>
  <c r="AY799" i="1"/>
  <c r="AY797" i="1"/>
  <c r="AS778" i="1"/>
  <c r="AO1155" i="1"/>
  <c r="AX1158" i="1"/>
  <c r="AI1273" i="1"/>
  <c r="AI1270" i="1" s="1"/>
  <c r="AU1273" i="1"/>
  <c r="AU1257" i="1"/>
  <c r="BG1257" i="1"/>
  <c r="BG1254" i="1" s="1"/>
  <c r="AR620" i="1"/>
  <c r="AT620" i="1" s="1"/>
  <c r="BN1115" i="1"/>
  <c r="AV1115" i="1"/>
  <c r="BN1114" i="1"/>
  <c r="BB1114" i="1"/>
  <c r="BH1113" i="1"/>
  <c r="BH712" i="1" s="1"/>
  <c r="AJ1113" i="1"/>
  <c r="AJ712" i="1" s="1"/>
  <c r="AJ1094" i="1"/>
  <c r="BN1009" i="1"/>
  <c r="AJ1009" i="1"/>
  <c r="AJ1008" i="1"/>
  <c r="BB1007" i="1"/>
  <c r="BN861" i="1"/>
  <c r="BN860" i="1"/>
  <c r="BN799" i="1"/>
  <c r="AV798" i="1"/>
  <c r="AJ777" i="1"/>
  <c r="BH757" i="1"/>
  <c r="BN756" i="1"/>
  <c r="AJ1115" i="1"/>
  <c r="AK1115" i="1" s="1"/>
  <c r="BH1114" i="1"/>
  <c r="BN1113" i="1"/>
  <c r="BN712" i="1" s="1"/>
  <c r="BN643" i="1" s="1"/>
  <c r="AJ1093" i="1"/>
  <c r="AJ1092" i="1"/>
  <c r="AJ1091" i="1"/>
  <c r="BN965" i="1"/>
  <c r="BB965" i="1"/>
  <c r="AJ964" i="1"/>
  <c r="AP861" i="1"/>
  <c r="AP860" i="1"/>
  <c r="AV859" i="1"/>
  <c r="BN776" i="1"/>
  <c r="BB1115" i="1"/>
  <c r="AV1091" i="1"/>
  <c r="BB1009" i="1"/>
  <c r="BN966" i="1"/>
  <c r="BH965" i="1"/>
  <c r="AV965" i="1"/>
  <c r="BH964" i="1"/>
  <c r="AV778" i="1"/>
  <c r="BM1154" i="1"/>
  <c r="BG1154" i="1"/>
  <c r="BA1154" i="1"/>
  <c r="AU1154" i="1"/>
  <c r="AO1154" i="1"/>
  <c r="AI1154" i="1"/>
  <c r="BM1158" i="1"/>
  <c r="BG1158" i="1"/>
  <c r="BA1158" i="1"/>
  <c r="AU1158" i="1"/>
  <c r="AO1158" i="1"/>
  <c r="AI1158" i="1"/>
  <c r="AG356" i="1"/>
  <c r="AG1255" i="1" s="1"/>
  <c r="AG1254" i="1" s="1"/>
  <c r="AG1252" i="1" s="1"/>
  <c r="AG1253" i="1" s="1"/>
  <c r="AG348" i="1"/>
  <c r="AG1227" i="1" s="1"/>
  <c r="AG1226" i="1" s="1"/>
  <c r="AG1224" i="1" s="1"/>
  <c r="AG1225" i="1" s="1"/>
  <c r="AG1191" i="1"/>
  <c r="AJ1191" i="1" s="1"/>
  <c r="AM1191" i="1" s="1"/>
  <c r="AP1191" i="1" s="1"/>
  <c r="AS1191" i="1" s="1"/>
  <c r="AV1191" i="1" s="1"/>
  <c r="AY1191" i="1" s="1"/>
  <c r="BB1191" i="1" s="1"/>
  <c r="BE1191" i="1" s="1"/>
  <c r="BH1191" i="1" s="1"/>
  <c r="BK1191" i="1" s="1"/>
  <c r="BN1191" i="1" s="1"/>
  <c r="BQ1191" i="1" s="1"/>
  <c r="AG341" i="1"/>
  <c r="AG1213" i="1" s="1"/>
  <c r="AG1212" i="1" s="1"/>
  <c r="AF356" i="1"/>
  <c r="AF1255" i="1" s="1"/>
  <c r="BH1149" i="1"/>
  <c r="AV1149" i="1"/>
  <c r="BP1155" i="1"/>
  <c r="BJ1155" i="1"/>
  <c r="BD1155" i="1"/>
  <c r="AX1155" i="1"/>
  <c r="AR1155" i="1"/>
  <c r="AL1155" i="1"/>
  <c r="AF1155" i="1"/>
  <c r="BP1154" i="1"/>
  <c r="BJ1154" i="1"/>
  <c r="BD1154" i="1"/>
  <c r="AX1154" i="1"/>
  <c r="AR1154" i="1"/>
  <c r="BM1155" i="1"/>
  <c r="BG1155" i="1"/>
  <c r="BA1155" i="1"/>
  <c r="AU1155" i="1"/>
  <c r="AI1155" i="1"/>
  <c r="BP1158" i="1"/>
  <c r="BJ1158" i="1"/>
  <c r="BD1158" i="1"/>
  <c r="AR1158" i="1"/>
  <c r="AL1158" i="1"/>
  <c r="AF1158" i="1"/>
  <c r="BQ1151" i="1"/>
  <c r="BE1151" i="1"/>
  <c r="AG1151" i="1"/>
  <c r="BN1152" i="1"/>
  <c r="AP1152" i="1"/>
  <c r="BK1148" i="1"/>
  <c r="AY1148" i="1"/>
  <c r="AM1148" i="1"/>
  <c r="BG1273" i="1"/>
  <c r="BG1270" i="1" s="1"/>
  <c r="BA1265" i="1"/>
  <c r="BA1262" i="1" s="1"/>
  <c r="AO1265" i="1"/>
  <c r="AO1257" i="1"/>
  <c r="AL1154" i="1"/>
  <c r="AF1154" i="1"/>
  <c r="BQ862" i="1"/>
  <c r="BQ966" i="1"/>
  <c r="BQ967" i="1"/>
  <c r="BQ1006" i="1"/>
  <c r="BQ1094" i="1"/>
  <c r="BQ1113" i="1"/>
  <c r="BQ712" i="1" s="1"/>
  <c r="BQ643" i="1" s="1"/>
  <c r="BQ736" i="1"/>
  <c r="BQ737" i="1"/>
  <c r="BQ738" i="1"/>
  <c r="BQ756" i="1"/>
  <c r="BQ797" i="1"/>
  <c r="BQ860" i="1"/>
  <c r="BQ1007" i="1"/>
  <c r="BQ1009" i="1"/>
  <c r="BQ1091" i="1"/>
  <c r="BQ778" i="1"/>
  <c r="BQ799" i="1"/>
  <c r="BQ859" i="1"/>
  <c r="BQ965" i="1"/>
  <c r="BQ1008" i="1"/>
  <c r="BQ1092" i="1"/>
  <c r="BQ1114" i="1"/>
  <c r="BK736" i="1"/>
  <c r="BK737" i="1"/>
  <c r="BK738" i="1"/>
  <c r="BK776" i="1"/>
  <c r="BK797" i="1"/>
  <c r="BK859" i="1"/>
  <c r="BK861" i="1"/>
  <c r="BK1093" i="1"/>
  <c r="BK1114" i="1"/>
  <c r="BK1115" i="1"/>
  <c r="BK620" i="1"/>
  <c r="BK757" i="1"/>
  <c r="BK758" i="1"/>
  <c r="BK777" i="1"/>
  <c r="BL777" i="1" s="1"/>
  <c r="BK796" i="1"/>
  <c r="BK798" i="1"/>
  <c r="BK799" i="1"/>
  <c r="BK964" i="1"/>
  <c r="BK965" i="1"/>
  <c r="BK756" i="1"/>
  <c r="BK860" i="1"/>
  <c r="BK862" i="1"/>
  <c r="BK967" i="1"/>
  <c r="BK1006" i="1"/>
  <c r="BK1007" i="1"/>
  <c r="BK1009" i="1"/>
  <c r="BK1091" i="1"/>
  <c r="BK1094" i="1"/>
  <c r="BE620" i="1"/>
  <c r="BE777" i="1"/>
  <c r="BE796" i="1"/>
  <c r="BE798" i="1"/>
  <c r="BE799" i="1"/>
  <c r="BE1008" i="1"/>
  <c r="BE1009" i="1"/>
  <c r="BE1092" i="1"/>
  <c r="BE1113" i="1"/>
  <c r="BE712" i="1" s="1"/>
  <c r="BE643" i="1" s="1"/>
  <c r="BE778" i="1"/>
  <c r="BE862" i="1"/>
  <c r="BE966" i="1"/>
  <c r="BE1006" i="1"/>
  <c r="BE1094" i="1"/>
  <c r="BE1115" i="1"/>
  <c r="BE736" i="1"/>
  <c r="BE737" i="1"/>
  <c r="BE738" i="1"/>
  <c r="BE757" i="1"/>
  <c r="BE758" i="1"/>
  <c r="BE776" i="1"/>
  <c r="BE797" i="1"/>
  <c r="BE861" i="1"/>
  <c r="BE964" i="1"/>
  <c r="BE1093" i="1"/>
  <c r="AY778" i="1"/>
  <c r="AY859" i="1"/>
  <c r="AY862" i="1"/>
  <c r="AY965" i="1"/>
  <c r="AY966" i="1"/>
  <c r="AY1006" i="1"/>
  <c r="AY1007" i="1"/>
  <c r="AY1091" i="1"/>
  <c r="AY1094" i="1"/>
  <c r="AY1114" i="1"/>
  <c r="AY737" i="1"/>
  <c r="AY738" i="1"/>
  <c r="AY756" i="1"/>
  <c r="AY860" i="1"/>
  <c r="AY967" i="1"/>
  <c r="AY1093" i="1"/>
  <c r="AY620" i="1"/>
  <c r="AY777" i="1"/>
  <c r="AZ777" i="1" s="1"/>
  <c r="AY796" i="1"/>
  <c r="AY798" i="1"/>
  <c r="AY1008" i="1"/>
  <c r="AY1092" i="1"/>
  <c r="AY1115" i="1"/>
  <c r="AS737" i="1"/>
  <c r="AS738" i="1"/>
  <c r="AS756" i="1"/>
  <c r="AS860" i="1"/>
  <c r="AS1009" i="1"/>
  <c r="AS1093" i="1"/>
  <c r="AS736" i="1"/>
  <c r="AS757" i="1"/>
  <c r="AS758" i="1"/>
  <c r="AS776" i="1"/>
  <c r="AS797" i="1"/>
  <c r="AS798" i="1"/>
  <c r="AS799" i="1"/>
  <c r="AS861" i="1"/>
  <c r="AS964" i="1"/>
  <c r="AS1008" i="1"/>
  <c r="AS1092" i="1"/>
  <c r="AS1113" i="1"/>
  <c r="AS712" i="1" s="1"/>
  <c r="AS643" i="1" s="1"/>
  <c r="AS1115" i="1"/>
  <c r="AS966" i="1"/>
  <c r="AS967" i="1"/>
  <c r="AS1006" i="1"/>
  <c r="AS1007" i="1"/>
  <c r="AM620" i="1"/>
  <c r="AM736" i="1"/>
  <c r="AM757" i="1"/>
  <c r="AM758" i="1"/>
  <c r="AM776" i="1"/>
  <c r="AM797" i="1"/>
  <c r="AM798" i="1"/>
  <c r="AM799" i="1"/>
  <c r="AM965" i="1"/>
  <c r="AM1008" i="1"/>
  <c r="AM1091" i="1"/>
  <c r="AM1092" i="1"/>
  <c r="AM777" i="1"/>
  <c r="AM778" i="1"/>
  <c r="AM796" i="1"/>
  <c r="AM859" i="1"/>
  <c r="AM862" i="1"/>
  <c r="AM966" i="1"/>
  <c r="AM1094" i="1"/>
  <c r="AM737" i="1"/>
  <c r="AM738" i="1"/>
  <c r="AM756" i="1"/>
  <c r="AM861" i="1"/>
  <c r="AM964" i="1"/>
  <c r="AM1113" i="1"/>
  <c r="AM712" i="1" s="1"/>
  <c r="AM643" i="1" s="1"/>
  <c r="AM1114" i="1"/>
  <c r="AM1115" i="1"/>
  <c r="AG796" i="1"/>
  <c r="AG859" i="1"/>
  <c r="AG860" i="1"/>
  <c r="AG966" i="1"/>
  <c r="AG1009" i="1"/>
  <c r="AG1093" i="1"/>
  <c r="AG1115" i="1"/>
  <c r="AG964" i="1"/>
  <c r="AG967" i="1"/>
  <c r="AG1006" i="1"/>
  <c r="AG1007" i="1"/>
  <c r="AG1113" i="1"/>
  <c r="AG712" i="1" s="1"/>
  <c r="AG643" i="1" s="1"/>
  <c r="AG1114" i="1"/>
  <c r="AG736" i="1"/>
  <c r="AG739" i="1" s="1"/>
  <c r="AG758" i="1"/>
  <c r="AG776" i="1"/>
  <c r="AG779" i="1" s="1"/>
  <c r="AG777" i="1"/>
  <c r="AG778" i="1"/>
  <c r="AG797" i="1"/>
  <c r="AG799" i="1"/>
  <c r="AG862" i="1"/>
  <c r="AG965" i="1"/>
  <c r="AG1094" i="1"/>
  <c r="BP1465" i="1"/>
  <c r="BP1464" i="1" s="1"/>
  <c r="BM1273" i="1"/>
  <c r="BM1270" i="1" s="1"/>
  <c r="AI1265" i="1"/>
  <c r="AI1262" i="1" s="1"/>
  <c r="AF348" i="1"/>
  <c r="AF1227" i="1" s="1"/>
  <c r="AI1224" i="1" s="1"/>
  <c r="BD1465" i="1"/>
  <c r="BD1464" i="1" s="1"/>
  <c r="AR1465" i="1"/>
  <c r="AR1464" i="1" s="1"/>
  <c r="BA1273" i="1"/>
  <c r="BA1270" i="1" s="1"/>
  <c r="BM1265" i="1"/>
  <c r="BM1262" i="1" s="1"/>
  <c r="BK1151" i="1"/>
  <c r="AY1151" i="1"/>
  <c r="AM1151" i="1"/>
  <c r="BH1152" i="1"/>
  <c r="AV1152" i="1"/>
  <c r="AJ1152" i="1"/>
  <c r="BQ1148" i="1"/>
  <c r="BE1148" i="1"/>
  <c r="AS1148" i="1"/>
  <c r="AG1148" i="1"/>
  <c r="BN1149" i="1"/>
  <c r="BB1149" i="1"/>
  <c r="AP1149" i="1"/>
  <c r="AJ1265" i="1"/>
  <c r="AJ1262" i="1" s="1"/>
  <c r="BM1151" i="1"/>
  <c r="BG1151" i="1"/>
  <c r="BA1151" i="1"/>
  <c r="AU1151" i="1"/>
  <c r="AO1151" i="1"/>
  <c r="AI1151" i="1"/>
  <c r="BP1152" i="1"/>
  <c r="BJ1152" i="1"/>
  <c r="BD1152" i="1"/>
  <c r="AX1152" i="1"/>
  <c r="AR1152" i="1"/>
  <c r="AL1152" i="1"/>
  <c r="AF1152" i="1"/>
  <c r="BM1148" i="1"/>
  <c r="BG1148" i="1"/>
  <c r="BA1148" i="1"/>
  <c r="AU1148" i="1"/>
  <c r="AO1148" i="1"/>
  <c r="AI1148" i="1"/>
  <c r="BP1149" i="1"/>
  <c r="BJ1149" i="1"/>
  <c r="BD1149" i="1"/>
  <c r="AX1149" i="1"/>
  <c r="AR1149" i="1"/>
  <c r="AL1149" i="1"/>
  <c r="AF1149" i="1"/>
  <c r="BN1273" i="1"/>
  <c r="BN1270" i="1" s="1"/>
  <c r="AP1273" i="1"/>
  <c r="AP1270" i="1" s="1"/>
  <c r="AV1265" i="1"/>
  <c r="AV1262" i="1" s="1"/>
  <c r="BB1257" i="1"/>
  <c r="BB1254" i="1" s="1"/>
  <c r="AU1115" i="1"/>
  <c r="BA1114" i="1"/>
  <c r="BG1113" i="1"/>
  <c r="BG712" i="1" s="1"/>
  <c r="BG643" i="1" s="1"/>
  <c r="AU1113" i="1"/>
  <c r="AU712" i="1" s="1"/>
  <c r="AU643" i="1" s="1"/>
  <c r="BM1094" i="1"/>
  <c r="BA1094" i="1"/>
  <c r="AO1094" i="1"/>
  <c r="BG1093" i="1"/>
  <c r="AU1093" i="1"/>
  <c r="BM1092" i="1"/>
  <c r="BA1092" i="1"/>
  <c r="AO1092" i="1"/>
  <c r="BG1091" i="1"/>
  <c r="AO1091" i="1"/>
  <c r="AU1009" i="1"/>
  <c r="BM1008" i="1"/>
  <c r="BA1008" i="1"/>
  <c r="AO1008" i="1"/>
  <c r="BM1006" i="1"/>
  <c r="AU965" i="1"/>
  <c r="AU964" i="1"/>
  <c r="BM862" i="1"/>
  <c r="BA862" i="1"/>
  <c r="AO862" i="1"/>
  <c r="AI861" i="1"/>
  <c r="AI859" i="1"/>
  <c r="BA756" i="1"/>
  <c r="AI756" i="1"/>
  <c r="BQ1154" i="1"/>
  <c r="BK1154" i="1"/>
  <c r="BE1154" i="1"/>
  <c r="AY1154" i="1"/>
  <c r="AS1154" i="1"/>
  <c r="AM1154" i="1"/>
  <c r="AG1154" i="1"/>
  <c r="BN1155" i="1"/>
  <c r="BH1155" i="1"/>
  <c r="BB1155" i="1"/>
  <c r="AV1155" i="1"/>
  <c r="AP1155" i="1"/>
  <c r="AJ1155" i="1"/>
  <c r="BQ1158" i="1"/>
  <c r="BK1158" i="1"/>
  <c r="BE1158" i="1"/>
  <c r="AY1158" i="1"/>
  <c r="AS1158" i="1"/>
  <c r="AM1158" i="1"/>
  <c r="AG1158" i="1"/>
  <c r="AG1465" i="1"/>
  <c r="AG1464" i="1" s="1"/>
  <c r="AV1273" i="1"/>
  <c r="AV1270" i="1" s="1"/>
  <c r="BH1257" i="1"/>
  <c r="BH1254" i="1" s="1"/>
  <c r="AJ1257" i="1"/>
  <c r="AJ1254" i="1" s="1"/>
  <c r="BA1115" i="1"/>
  <c r="BG1114" i="1"/>
  <c r="AI1114" i="1"/>
  <c r="BM1113" i="1"/>
  <c r="BM712" i="1" s="1"/>
  <c r="AI1113" i="1"/>
  <c r="AI712" i="1" s="1"/>
  <c r="AI643" i="1" s="1"/>
  <c r="AI1093" i="1"/>
  <c r="AU1091" i="1"/>
  <c r="BA1009" i="1"/>
  <c r="AI1009" i="1"/>
  <c r="AI1007" i="1"/>
  <c r="AI967" i="1"/>
  <c r="BA965" i="1"/>
  <c r="AI965" i="1"/>
  <c r="AI964" i="1"/>
  <c r="BG859" i="1"/>
  <c r="BM797" i="1"/>
  <c r="BA797" i="1"/>
  <c r="AO797" i="1"/>
  <c r="AU796" i="1"/>
  <c r="AI796" i="1"/>
  <c r="AI776" i="1"/>
  <c r="AI737" i="1"/>
  <c r="AI736" i="1"/>
  <c r="BM1115" i="1"/>
  <c r="AO1115" i="1"/>
  <c r="AU1114" i="1"/>
  <c r="AI1094" i="1"/>
  <c r="AI1092" i="1"/>
  <c r="AI1091" i="1"/>
  <c r="BM1009" i="1"/>
  <c r="AI1008" i="1"/>
  <c r="AI1006" i="1"/>
  <c r="AO967" i="1"/>
  <c r="AI966" i="1"/>
  <c r="BM965" i="1"/>
  <c r="AO965" i="1"/>
  <c r="BG797" i="1"/>
  <c r="AI797" i="1"/>
  <c r="AI777" i="1"/>
  <c r="BN1151" i="1"/>
  <c r="BH1151" i="1"/>
  <c r="BB1151" i="1"/>
  <c r="AV1151" i="1"/>
  <c r="AP1151" i="1"/>
  <c r="AJ1151" i="1"/>
  <c r="BQ1152" i="1"/>
  <c r="BK1152" i="1"/>
  <c r="BE1152" i="1"/>
  <c r="AY1152" i="1"/>
  <c r="AS1152" i="1"/>
  <c r="AM1152" i="1"/>
  <c r="AG1152" i="1"/>
  <c r="BN1148" i="1"/>
  <c r="BH1148" i="1"/>
  <c r="BB1148" i="1"/>
  <c r="AV1148" i="1"/>
  <c r="AP1148" i="1"/>
  <c r="AJ1148" i="1"/>
  <c r="BQ1149" i="1"/>
  <c r="BK1149" i="1"/>
  <c r="BE1149" i="1"/>
  <c r="AY1149" i="1"/>
  <c r="AS1149" i="1"/>
  <c r="AM1149" i="1"/>
  <c r="AG1149" i="1"/>
  <c r="AV777" i="1"/>
  <c r="BE1155" i="1"/>
  <c r="AI758" i="1"/>
  <c r="BN1158" i="1"/>
  <c r="AP1158" i="1"/>
  <c r="AL1151" i="1"/>
  <c r="BQ1273" i="1"/>
  <c r="BQ1270" i="1" s="1"/>
  <c r="BK1273" i="1"/>
  <c r="BK1270" i="1" s="1"/>
  <c r="BE1273" i="1"/>
  <c r="BE1270" i="1" s="1"/>
  <c r="AY1273" i="1"/>
  <c r="AY1270" i="1" s="1"/>
  <c r="AS1273" i="1"/>
  <c r="AS1270" i="1" s="1"/>
  <c r="AM1273" i="1"/>
  <c r="AM1270" i="1" s="1"/>
  <c r="AG1273" i="1"/>
  <c r="AG1270" i="1" s="1"/>
  <c r="AG1268" i="1" s="1"/>
  <c r="AG1269" i="1" s="1"/>
  <c r="BN1154" i="1"/>
  <c r="BH1154" i="1"/>
  <c r="BB1154" i="1"/>
  <c r="AV1154" i="1"/>
  <c r="AP1154" i="1"/>
  <c r="AJ1154" i="1"/>
  <c r="BQ1155" i="1"/>
  <c r="BK1155" i="1"/>
  <c r="AY1155" i="1"/>
  <c r="AS1155" i="1"/>
  <c r="AM1155" i="1"/>
  <c r="AG1155" i="1"/>
  <c r="BH1158" i="1"/>
  <c r="BB1158" i="1"/>
  <c r="AV1158" i="1"/>
  <c r="AJ1158" i="1"/>
  <c r="BP1151" i="1"/>
  <c r="BJ1151" i="1"/>
  <c r="BD1151" i="1"/>
  <c r="AX1151" i="1"/>
  <c r="AR1151" i="1"/>
  <c r="AF1151" i="1"/>
  <c r="BM1152" i="1"/>
  <c r="BG1152" i="1"/>
  <c r="BA1152" i="1"/>
  <c r="AU1152" i="1"/>
  <c r="AO1152" i="1"/>
  <c r="AI1152" i="1"/>
  <c r="BP1148" i="1"/>
  <c r="BJ1148" i="1"/>
  <c r="BD1148" i="1"/>
  <c r="AX1148" i="1"/>
  <c r="AR1148" i="1"/>
  <c r="AL1148" i="1"/>
  <c r="AF1148" i="1"/>
  <c r="BM1149" i="1"/>
  <c r="BG1149" i="1"/>
  <c r="BA1149" i="1"/>
  <c r="AU1149" i="1"/>
  <c r="AO1149" i="1"/>
  <c r="AI1149" i="1"/>
  <c r="BD737" i="1"/>
  <c r="BJ738" i="1"/>
  <c r="BQ1265" i="1"/>
  <c r="BQ1262" i="1" s="1"/>
  <c r="BK1265" i="1"/>
  <c r="BK1262" i="1" s="1"/>
  <c r="BE1265" i="1"/>
  <c r="BE1262" i="1" s="1"/>
  <c r="AY1265" i="1"/>
  <c r="AY1262" i="1" s="1"/>
  <c r="AS1265" i="1"/>
  <c r="AS1262" i="1" s="1"/>
  <c r="AM1265" i="1"/>
  <c r="AM1262" i="1" s="1"/>
  <c r="AG1265" i="1"/>
  <c r="AG1262" i="1" s="1"/>
  <c r="BP620" i="1"/>
  <c r="BP736" i="1"/>
  <c r="BP739" i="1" s="1"/>
  <c r="BP757" i="1"/>
  <c r="BP778" i="1"/>
  <c r="BP797" i="1"/>
  <c r="BP859" i="1"/>
  <c r="BP862" i="1"/>
  <c r="BP967" i="1"/>
  <c r="BP1008" i="1"/>
  <c r="BP1092" i="1"/>
  <c r="BP738" i="1"/>
  <c r="BP756" i="1"/>
  <c r="BP777" i="1"/>
  <c r="BP966" i="1"/>
  <c r="BP1006" i="1"/>
  <c r="BP1007" i="1"/>
  <c r="BP1091" i="1"/>
  <c r="BP1114" i="1"/>
  <c r="BP1115" i="1"/>
  <c r="BP758" i="1"/>
  <c r="BP776" i="1"/>
  <c r="BP796" i="1"/>
  <c r="BP798" i="1"/>
  <c r="BP861" i="1"/>
  <c r="BP965" i="1"/>
  <c r="BP1094" i="1"/>
  <c r="AX737" i="1"/>
  <c r="AX756" i="1"/>
  <c r="AX757" i="1"/>
  <c r="AX798" i="1"/>
  <c r="AX859" i="1"/>
  <c r="AX860" i="1"/>
  <c r="AX1006" i="1"/>
  <c r="AX1113" i="1"/>
  <c r="AX712" i="1" s="1"/>
  <c r="AX643" i="1" s="1"/>
  <c r="AX776" i="1"/>
  <c r="BA779" i="1" s="1"/>
  <c r="AX1007" i="1"/>
  <c r="AX1094" i="1"/>
  <c r="AX1114" i="1"/>
  <c r="AX1115" i="1"/>
  <c r="AX620" i="1"/>
  <c r="AX738" i="1"/>
  <c r="AX778" i="1"/>
  <c r="AX796" i="1"/>
  <c r="AX965" i="1"/>
  <c r="AX966" i="1"/>
  <c r="AX967" i="1"/>
  <c r="AX1093" i="1"/>
  <c r="AR738" i="1"/>
  <c r="AR777" i="1"/>
  <c r="AR797" i="1"/>
  <c r="AR862" i="1"/>
  <c r="AR964" i="1"/>
  <c r="AR966" i="1"/>
  <c r="AR1008" i="1"/>
  <c r="AR1092" i="1"/>
  <c r="AR736" i="1"/>
  <c r="AR758" i="1"/>
  <c r="AR798" i="1"/>
  <c r="AR859" i="1"/>
  <c r="AR861" i="1"/>
  <c r="AR1113" i="1"/>
  <c r="AR712" i="1" s="1"/>
  <c r="AR1114" i="1"/>
  <c r="AR1115" i="1"/>
  <c r="AR737" i="1"/>
  <c r="AR756" i="1"/>
  <c r="AR757" i="1"/>
  <c r="AR860" i="1"/>
  <c r="AR965" i="1"/>
  <c r="AR1006" i="1"/>
  <c r="AR1094" i="1"/>
  <c r="BJ1270" i="1"/>
  <c r="AR1093" i="1"/>
  <c r="BP964" i="1"/>
  <c r="AX862" i="1"/>
  <c r="BP860" i="1"/>
  <c r="BJ796" i="1"/>
  <c r="AX758" i="1"/>
  <c r="AZ758" i="1" s="1"/>
  <c r="BP737" i="1"/>
  <c r="AX736" i="1"/>
  <c r="BJ758" i="1"/>
  <c r="BJ798" i="1"/>
  <c r="BJ859" i="1"/>
  <c r="BJ860" i="1"/>
  <c r="BJ1093" i="1"/>
  <c r="BJ736" i="1"/>
  <c r="BM739" i="1" s="1"/>
  <c r="BJ737" i="1"/>
  <c r="BJ797" i="1"/>
  <c r="BJ862" i="1"/>
  <c r="BJ964" i="1"/>
  <c r="BJ1008" i="1"/>
  <c r="BJ1092" i="1"/>
  <c r="BJ1114" i="1"/>
  <c r="BJ1115" i="1"/>
  <c r="BJ620" i="1"/>
  <c r="BJ756" i="1"/>
  <c r="BJ757" i="1"/>
  <c r="BJ778" i="1"/>
  <c r="BL778" i="1" s="1"/>
  <c r="BJ965" i="1"/>
  <c r="BJ966" i="1"/>
  <c r="BJ967" i="1"/>
  <c r="BJ1006" i="1"/>
  <c r="BJ1007" i="1"/>
  <c r="BJ1091" i="1"/>
  <c r="AF1114" i="1"/>
  <c r="AF964" i="1"/>
  <c r="AF1006" i="1"/>
  <c r="BP1113" i="1"/>
  <c r="BP712" i="1" s="1"/>
  <c r="BJ1113" i="1"/>
  <c r="BJ712" i="1" s="1"/>
  <c r="BJ643" i="1" s="1"/>
  <c r="BD1113" i="1"/>
  <c r="BD712" i="1" s="1"/>
  <c r="AX1092" i="1"/>
  <c r="AX1091" i="1"/>
  <c r="AR1091" i="1"/>
  <c r="BP1009" i="1"/>
  <c r="BJ1009" i="1"/>
  <c r="BD1009" i="1"/>
  <c r="AX1009" i="1"/>
  <c r="AR1009" i="1"/>
  <c r="AR1007" i="1"/>
  <c r="AX964" i="1"/>
  <c r="AX861" i="1"/>
  <c r="AR796" i="1"/>
  <c r="AR799" i="1" s="1"/>
  <c r="AR778" i="1"/>
  <c r="AF778" i="1"/>
  <c r="BJ776" i="1"/>
  <c r="BD620" i="1"/>
  <c r="BD756" i="1"/>
  <c r="BD778" i="1"/>
  <c r="BD859" i="1"/>
  <c r="BD966" i="1"/>
  <c r="BD967" i="1"/>
  <c r="BD1007" i="1"/>
  <c r="BD1094" i="1"/>
  <c r="BD738" i="1"/>
  <c r="BD758" i="1"/>
  <c r="BD776" i="1"/>
  <c r="BD779" i="1" s="1"/>
  <c r="BD777" i="1"/>
  <c r="BD796" i="1"/>
  <c r="BD861" i="1"/>
  <c r="BD1093" i="1"/>
  <c r="BD1114" i="1"/>
  <c r="BD1115" i="1"/>
  <c r="BD736" i="1"/>
  <c r="BG739" i="1" s="1"/>
  <c r="BD797" i="1"/>
  <c r="BD798" i="1"/>
  <c r="BD860" i="1"/>
  <c r="BD862" i="1"/>
  <c r="BD964" i="1"/>
  <c r="BD965" i="1"/>
  <c r="BD1008" i="1"/>
  <c r="BD1092" i="1"/>
  <c r="AL737" i="1"/>
  <c r="AL1007" i="1"/>
  <c r="AL1114" i="1"/>
  <c r="BJ1094" i="1"/>
  <c r="BD1091" i="1"/>
  <c r="AX1008" i="1"/>
  <c r="BD1006" i="1"/>
  <c r="AR967" i="1"/>
  <c r="BJ861" i="1"/>
  <c r="AX797" i="1"/>
  <c r="AZ330" i="1"/>
  <c r="AK304" i="1"/>
  <c r="AZ259" i="1"/>
  <c r="X59" i="4" s="1"/>
  <c r="BF306" i="1"/>
  <c r="AT306" i="1"/>
  <c r="AW304" i="1"/>
  <c r="BO372" i="1"/>
  <c r="AQ360" i="1"/>
  <c r="AQ359" i="1" s="1"/>
  <c r="AK328" i="1"/>
  <c r="BL326" i="1"/>
  <c r="AZ326" i="1"/>
  <c r="AN326" i="1"/>
  <c r="AH326" i="1"/>
  <c r="AL758" i="1"/>
  <c r="AL964" i="1"/>
  <c r="AL965" i="1"/>
  <c r="AN259" i="1"/>
  <c r="AL796" i="1"/>
  <c r="AL797" i="1"/>
  <c r="AL859" i="1"/>
  <c r="AL860" i="1"/>
  <c r="AN860" i="1" s="1"/>
  <c r="AL861" i="1"/>
  <c r="AL862" i="1"/>
  <c r="AL966" i="1"/>
  <c r="AL967" i="1"/>
  <c r="AL1008" i="1"/>
  <c r="AL1093" i="1"/>
  <c r="AL1113" i="1"/>
  <c r="AL712" i="1" s="1"/>
  <c r="AL643" i="1" s="1"/>
  <c r="AL620" i="1"/>
  <c r="AL756" i="1"/>
  <c r="AL757" i="1"/>
  <c r="AL776" i="1"/>
  <c r="AL777" i="1"/>
  <c r="AL778" i="1"/>
  <c r="AL798" i="1"/>
  <c r="AL1006" i="1"/>
  <c r="AL738" i="1"/>
  <c r="AL736" i="1"/>
  <c r="BN620" i="1"/>
  <c r="BN777" i="1"/>
  <c r="BN778" i="1"/>
  <c r="BN797" i="1"/>
  <c r="BN798" i="1"/>
  <c r="BN862" i="1"/>
  <c r="BN967" i="1"/>
  <c r="BN1008" i="1"/>
  <c r="BN1091" i="1"/>
  <c r="BN1093" i="1"/>
  <c r="BN736" i="1"/>
  <c r="BN737" i="1"/>
  <c r="BN738" i="1"/>
  <c r="BN1006" i="1"/>
  <c r="BN757" i="1"/>
  <c r="BN758" i="1"/>
  <c r="BN964" i="1"/>
  <c r="BN1007" i="1"/>
  <c r="BN1092" i="1"/>
  <c r="BN1094" i="1"/>
  <c r="BH756" i="1"/>
  <c r="BH776" i="1"/>
  <c r="BH796" i="1"/>
  <c r="BH797" i="1"/>
  <c r="BH860" i="1"/>
  <c r="BH861" i="1"/>
  <c r="BH862" i="1"/>
  <c r="BH966" i="1"/>
  <c r="BH1008" i="1"/>
  <c r="BH1091" i="1"/>
  <c r="BH1093" i="1"/>
  <c r="BH620" i="1"/>
  <c r="BH736" i="1"/>
  <c r="BH777" i="1"/>
  <c r="BH778" i="1"/>
  <c r="BH798" i="1"/>
  <c r="BH799" i="1"/>
  <c r="BH967" i="1"/>
  <c r="BH1006" i="1"/>
  <c r="BH737" i="1"/>
  <c r="BH738" i="1"/>
  <c r="BH1007" i="1"/>
  <c r="BH1092" i="1"/>
  <c r="BH1094" i="1"/>
  <c r="BI1094" i="1" s="1"/>
  <c r="BB757" i="1"/>
  <c r="BB758" i="1"/>
  <c r="BB797" i="1"/>
  <c r="BB862" i="1"/>
  <c r="BB964" i="1"/>
  <c r="BB1008" i="1"/>
  <c r="BB1091" i="1"/>
  <c r="BB1093" i="1"/>
  <c r="BB1113" i="1"/>
  <c r="BB712" i="1" s="1"/>
  <c r="BB643" i="1" s="1"/>
  <c r="BB736" i="1"/>
  <c r="BB756" i="1"/>
  <c r="BB776" i="1"/>
  <c r="BB796" i="1"/>
  <c r="BB860" i="1"/>
  <c r="BB861" i="1"/>
  <c r="BB966" i="1"/>
  <c r="BB1006" i="1"/>
  <c r="BB620" i="1"/>
  <c r="BB777" i="1"/>
  <c r="BB778" i="1"/>
  <c r="BB798" i="1"/>
  <c r="BB967" i="1"/>
  <c r="BB1092" i="1"/>
  <c r="BB1094" i="1"/>
  <c r="AV737" i="1"/>
  <c r="AV738" i="1"/>
  <c r="AV756" i="1"/>
  <c r="AV757" i="1"/>
  <c r="AV776" i="1"/>
  <c r="AV797" i="1"/>
  <c r="AV799" i="1"/>
  <c r="AV862" i="1"/>
  <c r="AV964" i="1"/>
  <c r="AV1007" i="1"/>
  <c r="AV1008" i="1"/>
  <c r="AV1093" i="1"/>
  <c r="AV1113" i="1"/>
  <c r="AV712" i="1" s="1"/>
  <c r="AV736" i="1"/>
  <c r="AV758" i="1"/>
  <c r="AV796" i="1"/>
  <c r="AV1006" i="1"/>
  <c r="AV860" i="1"/>
  <c r="AV861" i="1"/>
  <c r="AV966" i="1"/>
  <c r="AV1092" i="1"/>
  <c r="AV1094" i="1"/>
  <c r="AP620" i="1"/>
  <c r="AP777" i="1"/>
  <c r="AP778" i="1"/>
  <c r="AP797" i="1"/>
  <c r="AP798" i="1"/>
  <c r="AP859" i="1"/>
  <c r="AP862" i="1"/>
  <c r="AP964" i="1"/>
  <c r="AP967" i="1"/>
  <c r="AP1008" i="1"/>
  <c r="AP1093" i="1"/>
  <c r="AP1113" i="1"/>
  <c r="AP712" i="1" s="1"/>
  <c r="AP643" i="1" s="1"/>
  <c r="AP737" i="1"/>
  <c r="AP738" i="1"/>
  <c r="AP756" i="1"/>
  <c r="AP757" i="1"/>
  <c r="AP776" i="1"/>
  <c r="AP796" i="1"/>
  <c r="AP1007" i="1"/>
  <c r="AP736" i="1"/>
  <c r="AP758" i="1"/>
  <c r="AP799" i="1"/>
  <c r="AP1006" i="1"/>
  <c r="AP1009" i="1"/>
  <c r="AP1092" i="1"/>
  <c r="AP1094" i="1"/>
  <c r="AH259" i="1"/>
  <c r="AF737" i="1"/>
  <c r="AF738" i="1"/>
  <c r="AF796" i="1"/>
  <c r="AF799" i="1" s="1"/>
  <c r="AF1007" i="1"/>
  <c r="AF758" i="1"/>
  <c r="AF859" i="1"/>
  <c r="AF965" i="1"/>
  <c r="AF1008" i="1"/>
  <c r="AF1093" i="1"/>
  <c r="AF1113" i="1"/>
  <c r="AF712" i="1" s="1"/>
  <c r="AF756" i="1"/>
  <c r="AF757" i="1"/>
  <c r="AF776" i="1"/>
  <c r="AF777" i="1"/>
  <c r="AF797" i="1"/>
  <c r="AF860" i="1"/>
  <c r="AF861" i="1"/>
  <c r="AF862" i="1"/>
  <c r="AF966" i="1"/>
  <c r="AF967" i="1"/>
  <c r="AF1091" i="1"/>
  <c r="AL1115" i="1"/>
  <c r="AF1115" i="1"/>
  <c r="AL1094" i="1"/>
  <c r="AF1094" i="1"/>
  <c r="AL1092" i="1"/>
  <c r="AF1092" i="1"/>
  <c r="AL1091" i="1"/>
  <c r="AF736" i="1"/>
  <c r="AF739" i="1" s="1"/>
  <c r="AL1009" i="1"/>
  <c r="AF1009" i="1"/>
  <c r="AF798" i="1"/>
  <c r="BR313" i="1"/>
  <c r="BF313" i="1"/>
  <c r="AT313" i="1"/>
  <c r="AN313" i="1"/>
  <c r="BO311" i="1"/>
  <c r="BI311" i="1"/>
  <c r="BC311" i="1"/>
  <c r="AK311" i="1"/>
  <c r="AW306" i="1"/>
  <c r="AZ304" i="1"/>
  <c r="BC301" i="1"/>
  <c r="AW301" i="1"/>
  <c r="AQ301" i="1"/>
  <c r="BR299" i="1"/>
  <c r="BL299" i="1"/>
  <c r="BC296" i="1"/>
  <c r="BR294" i="1"/>
  <c r="AN330" i="1"/>
  <c r="AT328" i="1"/>
  <c r="AH328" i="1"/>
  <c r="AW323" i="1"/>
  <c r="BC333" i="1"/>
  <c r="AK322" i="1"/>
  <c r="AZ311" i="1"/>
  <c r="AN311" i="1"/>
  <c r="BC308" i="1"/>
  <c r="AW308" i="1"/>
  <c r="AQ308" i="1"/>
  <c r="AQ352" i="1"/>
  <c r="AN360" i="1"/>
  <c r="AN359" i="1" s="1"/>
  <c r="AK330" i="1"/>
  <c r="BL329" i="1"/>
  <c r="AQ325" i="1"/>
  <c r="BR323" i="1"/>
  <c r="AZ322" i="1"/>
  <c r="BF294" i="1"/>
  <c r="BM1254" i="1"/>
  <c r="BL372" i="1"/>
  <c r="BF372" i="1"/>
  <c r="BF345" i="1"/>
  <c r="BR306" i="1"/>
  <c r="BC372" i="1"/>
  <c r="BL333" i="1"/>
  <c r="BO332" i="1"/>
  <c r="BC332" i="1"/>
  <c r="AQ329" i="1"/>
  <c r="AW326" i="1"/>
  <c r="AK326" i="1"/>
  <c r="BL325" i="1"/>
  <c r="AN308" i="1"/>
  <c r="AT301" i="1"/>
  <c r="BC1465" i="1"/>
  <c r="AQ1465" i="1"/>
  <c r="BK1254" i="1"/>
  <c r="AM1254" i="1"/>
  <c r="AS356" i="1"/>
  <c r="AS1255" i="1" s="1"/>
  <c r="AS1254" i="1" s="1"/>
  <c r="AT357" i="1"/>
  <c r="AT356" i="1" s="1"/>
  <c r="BM620" i="1"/>
  <c r="BM737" i="1"/>
  <c r="BM796" i="1"/>
  <c r="BM798" i="1"/>
  <c r="BM860" i="1"/>
  <c r="BM964" i="1"/>
  <c r="BM966" i="1"/>
  <c r="BM967" i="1"/>
  <c r="BM757" i="1"/>
  <c r="BM777" i="1"/>
  <c r="BM738" i="1"/>
  <c r="BM756" i="1"/>
  <c r="BM758" i="1"/>
  <c r="BM776" i="1"/>
  <c r="BM778" i="1"/>
  <c r="BM861" i="1"/>
  <c r="BG620" i="1"/>
  <c r="BG737" i="1"/>
  <c r="BG796" i="1"/>
  <c r="BG798" i="1"/>
  <c r="BG860" i="1"/>
  <c r="BG964" i="1"/>
  <c r="BG966" i="1"/>
  <c r="BG967" i="1"/>
  <c r="BG1007" i="1"/>
  <c r="BG757" i="1"/>
  <c r="BG777" i="1"/>
  <c r="BG738" i="1"/>
  <c r="BG756" i="1"/>
  <c r="BG758" i="1"/>
  <c r="BG776" i="1"/>
  <c r="BG778" i="1"/>
  <c r="BG861" i="1"/>
  <c r="BC259" i="1"/>
  <c r="Y59" i="4" s="1"/>
  <c r="BA620" i="1"/>
  <c r="BA737" i="1"/>
  <c r="BA757" i="1"/>
  <c r="BA798" i="1"/>
  <c r="BA860" i="1"/>
  <c r="BA966" i="1"/>
  <c r="BA1007" i="1"/>
  <c r="BA736" i="1"/>
  <c r="BA777" i="1"/>
  <c r="BA859" i="1"/>
  <c r="BA1006" i="1"/>
  <c r="BA738" i="1"/>
  <c r="BC738" i="1" s="1"/>
  <c r="BA758" i="1"/>
  <c r="BA778" i="1"/>
  <c r="BA796" i="1"/>
  <c r="BA861" i="1"/>
  <c r="BA964" i="1"/>
  <c r="BA967" i="1"/>
  <c r="AU620" i="1"/>
  <c r="AW620" i="1" s="1"/>
  <c r="AU736" i="1"/>
  <c r="AU737" i="1"/>
  <c r="AU798" i="1"/>
  <c r="AU859" i="1"/>
  <c r="AU860" i="1"/>
  <c r="AU966" i="1"/>
  <c r="AU1006" i="1"/>
  <c r="AU1007" i="1"/>
  <c r="AU756" i="1"/>
  <c r="AU776" i="1"/>
  <c r="AU777" i="1"/>
  <c r="AU738" i="1"/>
  <c r="AU757" i="1"/>
  <c r="AU758" i="1"/>
  <c r="AU778" i="1"/>
  <c r="AU861" i="1"/>
  <c r="AU967" i="1"/>
  <c r="AO620" i="1"/>
  <c r="AO736" i="1"/>
  <c r="AO737" i="1"/>
  <c r="AO798" i="1"/>
  <c r="AO859" i="1"/>
  <c r="AO860" i="1"/>
  <c r="AO966" i="1"/>
  <c r="AO1006" i="1"/>
  <c r="AO1007" i="1"/>
  <c r="AO756" i="1"/>
  <c r="AO776" i="1"/>
  <c r="AO777" i="1"/>
  <c r="AO738" i="1"/>
  <c r="AO757" i="1"/>
  <c r="AO758" i="1"/>
  <c r="AO778" i="1"/>
  <c r="AO861" i="1"/>
  <c r="AJ736" i="1"/>
  <c r="AJ738" i="1"/>
  <c r="AJ758" i="1"/>
  <c r="AJ778" i="1"/>
  <c r="AK778" i="1" s="1"/>
  <c r="AJ859" i="1"/>
  <c r="AJ861" i="1"/>
  <c r="AJ1006" i="1"/>
  <c r="AJ620" i="1"/>
  <c r="AK620" i="1" s="1"/>
  <c r="AJ737" i="1"/>
  <c r="AJ756" i="1"/>
  <c r="AJ776" i="1"/>
  <c r="AJ798" i="1"/>
  <c r="AK798" i="1" s="1"/>
  <c r="AJ860" i="1"/>
  <c r="AK860" i="1" s="1"/>
  <c r="AJ966" i="1"/>
  <c r="AJ1007" i="1"/>
  <c r="AJ757" i="1"/>
  <c r="AJ797" i="1"/>
  <c r="AJ799" i="1"/>
  <c r="AJ862" i="1"/>
  <c r="AK862" i="1" s="1"/>
  <c r="AJ965" i="1"/>
  <c r="AJ967" i="1"/>
  <c r="AU363" i="1"/>
  <c r="AU1271" i="1" s="1"/>
  <c r="AW364" i="1"/>
  <c r="AW363" i="1" s="1"/>
  <c r="BQ1254" i="1"/>
  <c r="AH330" i="1"/>
  <c r="BO329" i="1"/>
  <c r="BC329" i="1"/>
  <c r="BO325" i="1"/>
  <c r="BC325" i="1"/>
  <c r="AN322" i="1"/>
  <c r="BC313" i="1"/>
  <c r="AQ313" i="1"/>
  <c r="AH311" i="1"/>
  <c r="BO308" i="1"/>
  <c r="AQ306" i="1"/>
  <c r="BR304" i="1"/>
  <c r="BO301" i="1"/>
  <c r="AT299" i="1"/>
  <c r="AW296" i="1"/>
  <c r="AN294" i="1"/>
  <c r="AZ364" i="1"/>
  <c r="AZ363" i="1" s="1"/>
  <c r="AQ333" i="1"/>
  <c r="BR332" i="1"/>
  <c r="BL332" i="1"/>
  <c r="BF332" i="1"/>
  <c r="AZ332" i="1"/>
  <c r="AH332" i="1"/>
  <c r="AH329" i="1"/>
  <c r="BI323" i="1"/>
  <c r="AT372" i="1"/>
  <c r="AW357" i="1"/>
  <c r="AW356" i="1" s="1"/>
  <c r="BL330" i="1"/>
  <c r="BI299" i="1"/>
  <c r="AW299" i="1"/>
  <c r="BL296" i="1"/>
  <c r="BF296" i="1"/>
  <c r="AZ296" i="1"/>
  <c r="AT296" i="1"/>
  <c r="AN296" i="1"/>
  <c r="BC294" i="1"/>
  <c r="BO1465" i="1"/>
  <c r="AP1262" i="1"/>
  <c r="BI1465" i="1"/>
  <c r="AG1219" i="1"/>
  <c r="AG1217" i="1" s="1"/>
  <c r="AK1465" i="1"/>
  <c r="BN1262" i="1"/>
  <c r="BB1262" i="1"/>
  <c r="AY1254" i="1"/>
  <c r="AI1254" i="1"/>
  <c r="AK357" i="1"/>
  <c r="AW349" i="1"/>
  <c r="AZ372" i="1"/>
  <c r="AT333" i="1"/>
  <c r="BC330" i="1"/>
  <c r="BC326" i="1"/>
  <c r="AQ322" i="1"/>
  <c r="BI313" i="1"/>
  <c r="BR311" i="1"/>
  <c r="BR308" i="1"/>
  <c r="BF308" i="1"/>
  <c r="AK306" i="1"/>
  <c r="AN304" i="1"/>
  <c r="BF299" i="1"/>
  <c r="AK299" i="1"/>
  <c r="BO294" i="1"/>
  <c r="AT294" i="1"/>
  <c r="AQ259" i="1"/>
  <c r="U59" i="4" s="1"/>
  <c r="BI372" i="1"/>
  <c r="BF364" i="1"/>
  <c r="BF363" i="1" s="1"/>
  <c r="BO360" i="1"/>
  <c r="BO359" i="1" s="1"/>
  <c r="BC352" i="1"/>
  <c r="AZ342" i="1"/>
  <c r="AH333" i="1"/>
  <c r="AK332" i="1"/>
  <c r="AQ330" i="1"/>
  <c r="BR328" i="1"/>
  <c r="BL328" i="1"/>
  <c r="BF328" i="1"/>
  <c r="AK323" i="1"/>
  <c r="BR322" i="1"/>
  <c r="BL322" i="1"/>
  <c r="AT308" i="1"/>
  <c r="BR372" i="1"/>
  <c r="BR364" i="1"/>
  <c r="BR363" i="1" s="1"/>
  <c r="AQ364" i="1"/>
  <c r="AQ363" i="1" s="1"/>
  <c r="BR360" i="1"/>
  <c r="BR359" i="1" s="1"/>
  <c r="AZ352" i="1"/>
  <c r="BO333" i="1"/>
  <c r="BI333" i="1"/>
  <c r="AT332" i="1"/>
  <c r="BR330" i="1"/>
  <c r="AT329" i="1"/>
  <c r="BO328" i="1"/>
  <c r="BC328" i="1"/>
  <c r="AT325" i="1"/>
  <c r="AN325" i="1"/>
  <c r="AZ323" i="1"/>
  <c r="AT323" i="1"/>
  <c r="AH323" i="1"/>
  <c r="BI322" i="1"/>
  <c r="AW311" i="1"/>
  <c r="BI306" i="1"/>
  <c r="AN306" i="1"/>
  <c r="BO304" i="1"/>
  <c r="BI304" i="1"/>
  <c r="BC304" i="1"/>
  <c r="BR301" i="1"/>
  <c r="AN301" i="1"/>
  <c r="AN299" i="1"/>
  <c r="BO296" i="1"/>
  <c r="AW294" i="1"/>
  <c r="AQ294" i="1"/>
  <c r="AK294" i="1"/>
  <c r="BR259" i="1"/>
  <c r="BL259" i="1"/>
  <c r="BF259" i="1"/>
  <c r="AG1232" i="1"/>
  <c r="AG1233" i="1" s="1"/>
  <c r="AI1189" i="1"/>
  <c r="AI1195" i="1" s="1"/>
  <c r="AF1195" i="1"/>
  <c r="BB1464" i="1"/>
  <c r="AL1270" i="1"/>
  <c r="BE1254" i="1"/>
  <c r="BG1262" i="1"/>
  <c r="BJ1254" i="1"/>
  <c r="AV1254" i="1"/>
  <c r="AW1465" i="1"/>
  <c r="BC364" i="1"/>
  <c r="BC363" i="1" s="1"/>
  <c r="AT364" i="1"/>
  <c r="AT363" i="1" s="1"/>
  <c r="BP363" i="1"/>
  <c r="BP1271" i="1" s="1"/>
  <c r="BP1270" i="1" s="1"/>
  <c r="AO359" i="1"/>
  <c r="AO1263" i="1" s="1"/>
  <c r="AU356" i="1"/>
  <c r="AU1255" i="1" s="1"/>
  <c r="BO351" i="1"/>
  <c r="AP351" i="1"/>
  <c r="AO363" i="1"/>
  <c r="AO1271" i="1" s="1"/>
  <c r="AO1270" i="1" s="1"/>
  <c r="AZ360" i="1"/>
  <c r="AZ359" i="1" s="1"/>
  <c r="BR357" i="1"/>
  <c r="BR356" i="1" s="1"/>
  <c r="AQ357" i="1"/>
  <c r="AQ356" i="1" s="1"/>
  <c r="BO352" i="1"/>
  <c r="BL352" i="1"/>
  <c r="BJ351" i="1"/>
  <c r="BJ1235" i="1" s="1"/>
  <c r="BJ1234" i="1" s="1"/>
  <c r="AN372" i="1"/>
  <c r="AH372" i="1"/>
  <c r="BO364" i="1"/>
  <c r="BO363" i="1" s="1"/>
  <c r="BI357" i="1"/>
  <c r="BI356" i="1" s="1"/>
  <c r="BD356" i="1"/>
  <c r="BD1255" i="1" s="1"/>
  <c r="BD1254" i="1" s="1"/>
  <c r="BF357" i="1"/>
  <c r="BF356" i="1" s="1"/>
  <c r="BA351" i="1"/>
  <c r="BA1235" i="1" s="1"/>
  <c r="BA1234" i="1" s="1"/>
  <c r="AQ372" i="1"/>
  <c r="AK364" i="1"/>
  <c r="AK363" i="1" s="1"/>
  <c r="BF360" i="1"/>
  <c r="BF359" i="1" s="1"/>
  <c r="AL356" i="1"/>
  <c r="AL1255" i="1" s="1"/>
  <c r="AN357" i="1"/>
  <c r="AN352" i="1"/>
  <c r="AL351" i="1"/>
  <c r="AL1235" i="1" s="1"/>
  <c r="AL1234" i="1" s="1"/>
  <c r="BI349" i="1"/>
  <c r="BR345" i="1"/>
  <c r="BL342" i="1"/>
  <c r="AN333" i="1"/>
  <c r="AW330" i="1"/>
  <c r="AN329" i="1"/>
  <c r="AG289" i="1"/>
  <c r="AG1127" i="1" s="1"/>
  <c r="AT311" i="1"/>
  <c r="BL308" i="1"/>
  <c r="BC306" i="1"/>
  <c r="AG285" i="1"/>
  <c r="AT304" i="1"/>
  <c r="BL301" i="1"/>
  <c r="BC299" i="1"/>
  <c r="AG281" i="1"/>
  <c r="BL294" i="1"/>
  <c r="AW259" i="1"/>
  <c r="W59" i="4" s="1"/>
  <c r="BI329" i="1"/>
  <c r="AZ328" i="1"/>
  <c r="BR326" i="1"/>
  <c r="AQ326" i="1"/>
  <c r="BI325" i="1"/>
  <c r="AH325" i="1"/>
  <c r="BO323" i="1"/>
  <c r="AN323" i="1"/>
  <c r="BF322" i="1"/>
  <c r="AW313" i="1"/>
  <c r="AF289" i="1"/>
  <c r="AZ308" i="1"/>
  <c r="AK308" i="1"/>
  <c r="BF301" i="1"/>
  <c r="AZ301" i="1"/>
  <c r="AK301" i="1"/>
  <c r="AQ299" i="1"/>
  <c r="AF281" i="1"/>
  <c r="AF1125" i="1" s="1"/>
  <c r="BI296" i="1"/>
  <c r="AZ294" i="1"/>
  <c r="AK259" i="1"/>
  <c r="AK349" i="1"/>
  <c r="AT345" i="1"/>
  <c r="AN342" i="1"/>
  <c r="BR333" i="1"/>
  <c r="AW333" i="1"/>
  <c r="BI332" i="1"/>
  <c r="AN332" i="1"/>
  <c r="BF330" i="1"/>
  <c r="BR329" i="1"/>
  <c r="AW329" i="1"/>
  <c r="BI328" i="1"/>
  <c r="AN328" i="1"/>
  <c r="BF326" i="1"/>
  <c r="BR325" i="1"/>
  <c r="AW325" i="1"/>
  <c r="BC323" i="1"/>
  <c r="BO322" i="1"/>
  <c r="AT322" i="1"/>
  <c r="BL313" i="1"/>
  <c r="AK313" i="1"/>
  <c r="AF288" i="1"/>
  <c r="AG286" i="1"/>
  <c r="AG1131" i="1" s="1"/>
  <c r="BL306" i="1"/>
  <c r="AF304" i="1"/>
  <c r="AF284" i="1" s="1"/>
  <c r="AG282" i="1"/>
  <c r="AG278" i="1"/>
  <c r="AG1122" i="1" s="1"/>
  <c r="BI352" i="1"/>
  <c r="AK352" i="1"/>
  <c r="AH345" i="1"/>
  <c r="BF333" i="1"/>
  <c r="AZ333" i="1"/>
  <c r="AK333" i="1"/>
  <c r="AW332" i="1"/>
  <c r="AQ332" i="1"/>
  <c r="BO330" i="1"/>
  <c r="BI330" i="1"/>
  <c r="AT330" i="1"/>
  <c r="BF329" i="1"/>
  <c r="AZ329" i="1"/>
  <c r="AK329" i="1"/>
  <c r="AW328" i="1"/>
  <c r="AQ328" i="1"/>
  <c r="BO326" i="1"/>
  <c r="BI326" i="1"/>
  <c r="AT326" i="1"/>
  <c r="BF325" i="1"/>
  <c r="AZ325" i="1"/>
  <c r="AK325" i="1"/>
  <c r="BL323" i="1"/>
  <c r="BF323" i="1"/>
  <c r="AQ323" i="1"/>
  <c r="BC322" i="1"/>
  <c r="AW322" i="1"/>
  <c r="AH322" i="1"/>
  <c r="BO313" i="1"/>
  <c r="AZ313" i="1"/>
  <c r="AH313" i="1"/>
  <c r="BL311" i="1"/>
  <c r="BF311" i="1"/>
  <c r="AQ311" i="1"/>
  <c r="BI308" i="1"/>
  <c r="AH308" i="1"/>
  <c r="BO306" i="1"/>
  <c r="AZ306" i="1"/>
  <c r="AH306" i="1"/>
  <c r="BL304" i="1"/>
  <c r="BF304" i="1"/>
  <c r="AQ304" i="1"/>
  <c r="BI301" i="1"/>
  <c r="AH301" i="1"/>
  <c r="BO299" i="1"/>
  <c r="AZ299" i="1"/>
  <c r="AH299" i="1"/>
  <c r="BR296" i="1"/>
  <c r="AQ296" i="1"/>
  <c r="AK296" i="1"/>
  <c r="BI294" i="1"/>
  <c r="BO259" i="1"/>
  <c r="BI259" i="1"/>
  <c r="AT259" i="1"/>
  <c r="V59" i="4" s="1"/>
  <c r="BL1465" i="1"/>
  <c r="AZ1465" i="1"/>
  <c r="AN1465" i="1"/>
  <c r="BG1464" i="1"/>
  <c r="AU1464" i="1"/>
  <c r="AI1464" i="1"/>
  <c r="BH1270" i="1"/>
  <c r="AJ1270" i="1"/>
  <c r="AR1270" i="1"/>
  <c r="AJ1189" i="1"/>
  <c r="AG1195" i="1"/>
  <c r="AH1189" i="1"/>
  <c r="AW372" i="1"/>
  <c r="AN364" i="1"/>
  <c r="AN363" i="1" s="1"/>
  <c r="AH364" i="1"/>
  <c r="AH363" i="1" s="1"/>
  <c r="BL360" i="1"/>
  <c r="BL359" i="1" s="1"/>
  <c r="BI360" i="1"/>
  <c r="BI359" i="1" s="1"/>
  <c r="BC360" i="1"/>
  <c r="BC359" i="1" s="1"/>
  <c r="AT360" i="1"/>
  <c r="AT359" i="1" s="1"/>
  <c r="BL357" i="1"/>
  <c r="BL356" i="1" s="1"/>
  <c r="AH357" i="1"/>
  <c r="BP356" i="1"/>
  <c r="AO356" i="1"/>
  <c r="BJ348" i="1"/>
  <c r="BJ1227" i="1" s="1"/>
  <c r="BJ1226" i="1" s="1"/>
  <c r="BL349" i="1"/>
  <c r="BF349" i="1"/>
  <c r="BC349" i="1"/>
  <c r="BA348" i="1"/>
  <c r="BA1227" i="1" s="1"/>
  <c r="BA1226" i="1" s="1"/>
  <c r="AL348" i="1"/>
  <c r="AL1227" i="1" s="1"/>
  <c r="AL1226" i="1" s="1"/>
  <c r="AN349" i="1"/>
  <c r="AH349" i="1"/>
  <c r="AH1191" i="1" s="1"/>
  <c r="BB344" i="1"/>
  <c r="BB1220" i="1" s="1"/>
  <c r="BB1219" i="1" s="1"/>
  <c r="BC345" i="1"/>
  <c r="AN345" i="1"/>
  <c r="AL344" i="1"/>
  <c r="AL1220" i="1" s="1"/>
  <c r="AL1219" i="1" s="1"/>
  <c r="BR342" i="1"/>
  <c r="BP341" i="1"/>
  <c r="BP1213" i="1" s="1"/>
  <c r="BP1212" i="1" s="1"/>
  <c r="AJ341" i="1"/>
  <c r="AJ1213" i="1" s="1"/>
  <c r="AJ1212" i="1" s="1"/>
  <c r="AK342" i="1"/>
  <c r="AX359" i="1"/>
  <c r="AX1263" i="1" s="1"/>
  <c r="AX1262" i="1" s="1"/>
  <c r="BP351" i="1"/>
  <c r="BR352" i="1"/>
  <c r="AR351" i="1"/>
  <c r="AT352" i="1"/>
  <c r="AP344" i="1"/>
  <c r="AP1220" i="1" s="1"/>
  <c r="AP1219" i="1" s="1"/>
  <c r="AQ345" i="1"/>
  <c r="BF342" i="1"/>
  <c r="BD341" i="1"/>
  <c r="BD1213" i="1" s="1"/>
  <c r="BD1212" i="1" s="1"/>
  <c r="BL364" i="1"/>
  <c r="BL363" i="1" s="1"/>
  <c r="AX363" i="1"/>
  <c r="AX1271" i="1" s="1"/>
  <c r="AK360" i="1"/>
  <c r="AK359" i="1" s="1"/>
  <c r="BC357" i="1"/>
  <c r="BC356" i="1" s="1"/>
  <c r="AZ351" i="1"/>
  <c r="BR349" i="1"/>
  <c r="BO349" i="1"/>
  <c r="BM348" i="1"/>
  <c r="BM1227" i="1" s="1"/>
  <c r="BM1226" i="1" s="1"/>
  <c r="AX348" i="1"/>
  <c r="AX1227" i="1" s="1"/>
  <c r="AX1226" i="1" s="1"/>
  <c r="AZ349" i="1"/>
  <c r="AT349" i="1"/>
  <c r="AQ349" i="1"/>
  <c r="AO348" i="1"/>
  <c r="AO1227" i="1" s="1"/>
  <c r="AO1226" i="1" s="1"/>
  <c r="BL345" i="1"/>
  <c r="BJ344" i="1"/>
  <c r="BJ1220" i="1" s="1"/>
  <c r="BJ1219" i="1" s="1"/>
  <c r="BH341" i="1"/>
  <c r="BH1213" i="1" s="1"/>
  <c r="BH1212" i="1" s="1"/>
  <c r="BI342" i="1"/>
  <c r="AT342" i="1"/>
  <c r="AR341" i="1"/>
  <c r="AR1213" i="1" s="1"/>
  <c r="AR1212" i="1" s="1"/>
  <c r="AK372" i="1"/>
  <c r="BI364" i="1"/>
  <c r="BI363" i="1" s="1"/>
  <c r="AW360" i="1"/>
  <c r="AW359" i="1" s="1"/>
  <c r="AH360" i="1"/>
  <c r="AH359" i="1" s="1"/>
  <c r="AU359" i="1"/>
  <c r="AU1263" i="1" s="1"/>
  <c r="AU1262" i="1" s="1"/>
  <c r="BO357" i="1"/>
  <c r="BO356" i="1" s="1"/>
  <c r="AZ357" i="1"/>
  <c r="AZ356" i="1" s="1"/>
  <c r="BA356" i="1"/>
  <c r="BD351" i="1"/>
  <c r="BF352" i="1"/>
  <c r="AW352" i="1"/>
  <c r="AF351" i="1"/>
  <c r="AH352" i="1"/>
  <c r="BG351" i="1"/>
  <c r="AU351" i="1"/>
  <c r="AI351" i="1"/>
  <c r="BN344" i="1"/>
  <c r="BN1220" i="1" s="1"/>
  <c r="BN1219" i="1" s="1"/>
  <c r="BO345" i="1"/>
  <c r="AZ345" i="1"/>
  <c r="AX344" i="1"/>
  <c r="AX1220" i="1" s="1"/>
  <c r="AX1219" i="1" s="1"/>
  <c r="AV341" i="1"/>
  <c r="AV1213" i="1" s="1"/>
  <c r="AV1212" i="1" s="1"/>
  <c r="AW342" i="1"/>
  <c r="AH342" i="1"/>
  <c r="AF341" i="1"/>
  <c r="AF1213" i="1" s="1"/>
  <c r="AG279" i="1"/>
  <c r="AF278" i="1"/>
  <c r="AG288" i="1"/>
  <c r="AG284" i="1"/>
  <c r="AF279" i="1"/>
  <c r="AF282" i="1"/>
  <c r="BI345" i="1"/>
  <c r="AW345" i="1"/>
  <c r="AK345" i="1"/>
  <c r="BO342" i="1"/>
  <c r="BC342" i="1"/>
  <c r="AQ342" i="1"/>
  <c r="AH294" i="1"/>
  <c r="AH296" i="1"/>
  <c r="BI1092" i="1" l="1"/>
  <c r="AQ1093" i="1"/>
  <c r="BI1008" i="1"/>
  <c r="AX1270" i="1"/>
  <c r="AW1008" i="1"/>
  <c r="BO1114" i="1"/>
  <c r="BO1007" i="1"/>
  <c r="AL1254" i="1"/>
  <c r="BB779" i="1"/>
  <c r="BC779" i="1" s="1"/>
  <c r="BC1093" i="1"/>
  <c r="AH737" i="1"/>
  <c r="AQ1009" i="1"/>
  <c r="AU713" i="1"/>
  <c r="AU651" i="1" s="1"/>
  <c r="AW1092" i="1"/>
  <c r="BI965" i="1"/>
  <c r="BI1115" i="1"/>
  <c r="BI862" i="1"/>
  <c r="BO1093" i="1"/>
  <c r="AW862" i="1"/>
  <c r="BI1009" i="1"/>
  <c r="AI759" i="1"/>
  <c r="AZ1093" i="1"/>
  <c r="AJ759" i="1"/>
  <c r="BH759" i="1"/>
  <c r="BF1007" i="1"/>
  <c r="BL1092" i="1"/>
  <c r="BR1115" i="1"/>
  <c r="AG718" i="1"/>
  <c r="AG684" i="1" s="1"/>
  <c r="BF965" i="1"/>
  <c r="BF1114" i="1"/>
  <c r="AZ1009" i="1"/>
  <c r="BF860" i="1"/>
  <c r="BR620" i="1"/>
  <c r="AK738" i="1"/>
  <c r="AG713" i="1"/>
  <c r="AG651" i="1" s="1"/>
  <c r="AW1114" i="1"/>
  <c r="AQ966" i="1"/>
  <c r="AW1009" i="1"/>
  <c r="AZ861" i="1"/>
  <c r="AQ965" i="1"/>
  <c r="AQ1115" i="1"/>
  <c r="BO1092" i="1"/>
  <c r="BR1009" i="1"/>
  <c r="BL798" i="1"/>
  <c r="AT966" i="1"/>
  <c r="BR777" i="1"/>
  <c r="AH798" i="1"/>
  <c r="AH739" i="1"/>
  <c r="AH1093" i="1"/>
  <c r="AY739" i="1"/>
  <c r="BB739" i="1"/>
  <c r="AN965" i="1"/>
  <c r="AH1008" i="1"/>
  <c r="AY779" i="1"/>
  <c r="AN1093" i="1"/>
  <c r="AT862" i="1"/>
  <c r="AN1007" i="1"/>
  <c r="AQ862" i="1"/>
  <c r="BF778" i="1"/>
  <c r="AK1114" i="1"/>
  <c r="BC737" i="1"/>
  <c r="BF967" i="1"/>
  <c r="AT778" i="1"/>
  <c r="AT1114" i="1"/>
  <c r="AH738" i="1"/>
  <c r="BI758" i="1"/>
  <c r="AT1094" i="1"/>
  <c r="BC1009" i="1"/>
  <c r="AW967" i="1"/>
  <c r="BR798" i="1"/>
  <c r="AH861" i="1"/>
  <c r="AZ797" i="1"/>
  <c r="BR758" i="1"/>
  <c r="AH1092" i="1"/>
  <c r="AJ1224" i="1"/>
  <c r="AJ1225" i="1" s="1"/>
  <c r="AH620" i="1"/>
  <c r="AN967" i="1"/>
  <c r="AT777" i="1"/>
  <c r="AY713" i="1"/>
  <c r="AY651" i="1" s="1"/>
  <c r="BR861" i="1"/>
  <c r="BL1008" i="1"/>
  <c r="AH1009" i="1"/>
  <c r="AH967" i="1"/>
  <c r="AH1114" i="1"/>
  <c r="BL967" i="1"/>
  <c r="AZ860" i="1"/>
  <c r="BR1007" i="1"/>
  <c r="BC965" i="1"/>
  <c r="AG1246" i="1"/>
  <c r="AN1009" i="1"/>
  <c r="AN737" i="1"/>
  <c r="BI1114" i="1"/>
  <c r="BM759" i="1"/>
  <c r="BQ739" i="1"/>
  <c r="BR739" i="1" s="1"/>
  <c r="AT967" i="1"/>
  <c r="BL1007" i="1"/>
  <c r="AZ798" i="1"/>
  <c r="BO1009" i="1"/>
  <c r="BC1114" i="1"/>
  <c r="AQ861" i="1"/>
  <c r="AN861" i="1"/>
  <c r="BR860" i="1"/>
  <c r="BO1113" i="1"/>
  <c r="BO712" i="1" s="1"/>
  <c r="BO643" i="1" s="1"/>
  <c r="AQ860" i="1"/>
  <c r="AU1270" i="1"/>
  <c r="AG1210" i="1"/>
  <c r="AG1211" i="1" s="1"/>
  <c r="AG1242" i="1"/>
  <c r="BI620" i="1"/>
  <c r="BO758" i="1"/>
  <c r="BO860" i="1"/>
  <c r="BO1115" i="1"/>
  <c r="AW965" i="1"/>
  <c r="AG1197" i="1"/>
  <c r="AS714" i="1"/>
  <c r="AS667" i="1" s="1"/>
  <c r="AN1115" i="1"/>
  <c r="BC1092" i="1"/>
  <c r="BB759" i="1"/>
  <c r="BD759" i="1"/>
  <c r="BL1009" i="1"/>
  <c r="BL737" i="1"/>
  <c r="BR737" i="1"/>
  <c r="AZ778" i="1"/>
  <c r="BA739" i="1"/>
  <c r="AZ966" i="1"/>
  <c r="AZ1094" i="1"/>
  <c r="AK1009" i="1"/>
  <c r="BO797" i="1"/>
  <c r="AT1115" i="1"/>
  <c r="BK714" i="1"/>
  <c r="BK667" i="1" s="1"/>
  <c r="BL861" i="1"/>
  <c r="BR738" i="1"/>
  <c r="BR862" i="1"/>
  <c r="AG1188" i="1"/>
  <c r="AJ1188" i="1" s="1"/>
  <c r="AJ1190" i="1" s="1"/>
  <c r="AJ1192" i="1" s="1"/>
  <c r="AS739" i="1"/>
  <c r="BF1115" i="1"/>
  <c r="BL738" i="1"/>
  <c r="AW1115" i="1"/>
  <c r="BF1465" i="1"/>
  <c r="AK758" i="1"/>
  <c r="BO1008" i="1"/>
  <c r="AL759" i="1"/>
  <c r="AL799" i="1"/>
  <c r="AN799" i="1" s="1"/>
  <c r="AN758" i="1"/>
  <c r="BF1009" i="1"/>
  <c r="AK1008" i="1"/>
  <c r="AU1254" i="1"/>
  <c r="AU714" i="1"/>
  <c r="AU667" i="1" s="1"/>
  <c r="AN1092" i="1"/>
  <c r="AH862" i="1"/>
  <c r="AH777" i="1"/>
  <c r="AV759" i="1"/>
  <c r="BI1093" i="1"/>
  <c r="BF862" i="1"/>
  <c r="BF861" i="1"/>
  <c r="AT1007" i="1"/>
  <c r="AZ1092" i="1"/>
  <c r="BL620" i="1"/>
  <c r="AT797" i="1"/>
  <c r="AZ1114" i="1"/>
  <c r="BR1094" i="1"/>
  <c r="BR1092" i="1"/>
  <c r="AK1093" i="1"/>
  <c r="BN759" i="1"/>
  <c r="BQ759" i="1"/>
  <c r="AI713" i="1"/>
  <c r="AI651" i="1" s="1"/>
  <c r="BQ713" i="1"/>
  <c r="BQ651" i="1" s="1"/>
  <c r="AM713" i="1"/>
  <c r="AM651" i="1" s="1"/>
  <c r="AT1092" i="1"/>
  <c r="AY717" i="1"/>
  <c r="BF1093" i="1"/>
  <c r="BL860" i="1"/>
  <c r="AK1191" i="1"/>
  <c r="AN1191" i="1" s="1"/>
  <c r="AQ1191" i="1" s="1"/>
  <c r="AT1191" i="1" s="1"/>
  <c r="AW1191" i="1" s="1"/>
  <c r="AZ1191" i="1" s="1"/>
  <c r="BC1191" i="1" s="1"/>
  <c r="BF1191" i="1" s="1"/>
  <c r="BI1191" i="1" s="1"/>
  <c r="BL1191" i="1" s="1"/>
  <c r="BO1191" i="1" s="1"/>
  <c r="BR1191" i="1" s="1"/>
  <c r="AK1007" i="1"/>
  <c r="AH1094" i="1"/>
  <c r="AH758" i="1"/>
  <c r="AQ797" i="1"/>
  <c r="BH714" i="1"/>
  <c r="BH667" i="1" s="1"/>
  <c r="BH779" i="1"/>
  <c r="BO862" i="1"/>
  <c r="AN966" i="1"/>
  <c r="AN1114" i="1"/>
  <c r="BF620" i="1"/>
  <c r="AT799" i="1"/>
  <c r="AT1009" i="1"/>
  <c r="AT758" i="1"/>
  <c r="AZ738" i="1"/>
  <c r="BR797" i="1"/>
  <c r="BC1115" i="1"/>
  <c r="AM715" i="1"/>
  <c r="AM659" i="1" s="1"/>
  <c r="AS715" i="1"/>
  <c r="AS659" i="1" s="1"/>
  <c r="BO861" i="1"/>
  <c r="AK777" i="1"/>
  <c r="AG714" i="1"/>
  <c r="AG667" i="1" s="1"/>
  <c r="BK717" i="1"/>
  <c r="BE715" i="1"/>
  <c r="BE659" i="1" s="1"/>
  <c r="BE717" i="1"/>
  <c r="AG717" i="1"/>
  <c r="AG675" i="1" s="1"/>
  <c r="AG625" i="1" s="1"/>
  <c r="AS717" i="1"/>
  <c r="AZ1115" i="1"/>
  <c r="AZ737" i="1"/>
  <c r="BQ717" i="1"/>
  <c r="AK1092" i="1"/>
  <c r="AM714" i="1"/>
  <c r="AM667" i="1" s="1"/>
  <c r="BN779" i="1"/>
  <c r="AJ739" i="1"/>
  <c r="AW778" i="1"/>
  <c r="AW798" i="1"/>
  <c r="BQ779" i="1"/>
  <c r="AT860" i="1"/>
  <c r="BC1007" i="1"/>
  <c r="AP779" i="1"/>
  <c r="AN738" i="1"/>
  <c r="AN777" i="1"/>
  <c r="AN620" i="1"/>
  <c r="BL1094" i="1"/>
  <c r="BF1092" i="1"/>
  <c r="BF758" i="1"/>
  <c r="AZ862" i="1"/>
  <c r="AT798" i="1"/>
  <c r="AT1008" i="1"/>
  <c r="AZ967" i="1"/>
  <c r="BR1114" i="1"/>
  <c r="BR966" i="1"/>
  <c r="AY714" i="1"/>
  <c r="AY667" i="1" s="1"/>
  <c r="BR1113" i="1"/>
  <c r="BR712" i="1" s="1"/>
  <c r="BR643" i="1" s="1"/>
  <c r="AT1465" i="1"/>
  <c r="AY715" i="1"/>
  <c r="AY659" i="1" s="1"/>
  <c r="BH739" i="1"/>
  <c r="AN862" i="1"/>
  <c r="BF798" i="1"/>
  <c r="BL1093" i="1"/>
  <c r="AZ1007" i="1"/>
  <c r="AN1113" i="1"/>
  <c r="AN712" i="1" s="1"/>
  <c r="AN643" i="1" s="1"/>
  <c r="AM779" i="1"/>
  <c r="AW860" i="1"/>
  <c r="AH778" i="1"/>
  <c r="AK1094" i="1"/>
  <c r="BM714" i="1"/>
  <c r="BM667" i="1" s="1"/>
  <c r="BE713" i="1"/>
  <c r="BE651" i="1" s="1"/>
  <c r="AG715" i="1"/>
  <c r="AG659" i="1" s="1"/>
  <c r="AS713" i="1"/>
  <c r="AS651" i="1" s="1"/>
  <c r="BK713" i="1"/>
  <c r="BK651" i="1" s="1"/>
  <c r="AH356" i="1"/>
  <c r="AF1197" i="1"/>
  <c r="AI1191" i="1"/>
  <c r="AN356" i="1"/>
  <c r="AK356" i="1"/>
  <c r="BN715" i="1"/>
  <c r="BN659" i="1" s="1"/>
  <c r="AM717" i="1"/>
  <c r="BK715" i="1"/>
  <c r="BK659" i="1" s="1"/>
  <c r="BQ715" i="1"/>
  <c r="BQ659" i="1" s="1"/>
  <c r="AI715" i="1"/>
  <c r="AI659" i="1" s="1"/>
  <c r="AN778" i="1"/>
  <c r="BE779" i="1"/>
  <c r="BF779" i="1" s="1"/>
  <c r="BQ714" i="1"/>
  <c r="BQ667" i="1" s="1"/>
  <c r="BF1008" i="1"/>
  <c r="BF738" i="1"/>
  <c r="BL1115" i="1"/>
  <c r="AH1224" i="1"/>
  <c r="AH1228" i="1" s="1"/>
  <c r="BK779" i="1"/>
  <c r="AK967" i="1"/>
  <c r="AK797" i="1"/>
  <c r="AK737" i="1"/>
  <c r="AO713" i="1"/>
  <c r="AO651" i="1" s="1"/>
  <c r="AW777" i="1"/>
  <c r="AH1115" i="1"/>
  <c r="AH966" i="1"/>
  <c r="AH797" i="1"/>
  <c r="AH799" i="1"/>
  <c r="AQ1094" i="1"/>
  <c r="AQ1008" i="1"/>
  <c r="BC1094" i="1"/>
  <c r="AN1008" i="1"/>
  <c r="BF797" i="1"/>
  <c r="BL797" i="1"/>
  <c r="AJ1197" i="1"/>
  <c r="AT1113" i="1"/>
  <c r="AT712" i="1" s="1"/>
  <c r="AT643" i="1" s="1"/>
  <c r="BR1008" i="1"/>
  <c r="BO965" i="1"/>
  <c r="BE714" i="1"/>
  <c r="BE667" i="1" s="1"/>
  <c r="BI1113" i="1"/>
  <c r="BI712" i="1" s="1"/>
  <c r="BI643" i="1" s="1"/>
  <c r="BR1465" i="1"/>
  <c r="AO1262" i="1"/>
  <c r="AK966" i="1"/>
  <c r="AM759" i="1"/>
  <c r="AO779" i="1"/>
  <c r="BD799" i="1"/>
  <c r="BF799" i="1" s="1"/>
  <c r="BG714" i="1"/>
  <c r="BG667" i="1" s="1"/>
  <c r="BM713" i="1"/>
  <c r="BM651" i="1" s="1"/>
  <c r="AH1197" i="1"/>
  <c r="AN1094" i="1"/>
  <c r="AH860" i="1"/>
  <c r="AH1007" i="1"/>
  <c r="AP759" i="1"/>
  <c r="AN798" i="1"/>
  <c r="AN797" i="1"/>
  <c r="AZ1008" i="1"/>
  <c r="BF777" i="1"/>
  <c r="BF1094" i="1"/>
  <c r="BL1114" i="1"/>
  <c r="BL862" i="1"/>
  <c r="BL758" i="1"/>
  <c r="AT1093" i="1"/>
  <c r="AT861" i="1"/>
  <c r="AT738" i="1"/>
  <c r="AZ965" i="1"/>
  <c r="AZ620" i="1"/>
  <c r="BA759" i="1"/>
  <c r="BR967" i="1"/>
  <c r="BR778" i="1"/>
  <c r="BF737" i="1"/>
  <c r="AW1093" i="1"/>
  <c r="BG713" i="1"/>
  <c r="BG651" i="1" s="1"/>
  <c r="AI714" i="1"/>
  <c r="AI667" i="1" s="1"/>
  <c r="AI717" i="1"/>
  <c r="AS759" i="1"/>
  <c r="BC862" i="1"/>
  <c r="AL739" i="1"/>
  <c r="AX799" i="1"/>
  <c r="AZ799" i="1" s="1"/>
  <c r="AG1463" i="1"/>
  <c r="AG1459" i="1" s="1"/>
  <c r="AG12" i="1" s="1"/>
  <c r="BK759" i="1"/>
  <c r="AQ967" i="1"/>
  <c r="BC797" i="1"/>
  <c r="BC1008" i="1"/>
  <c r="AL779" i="1"/>
  <c r="R59" i="4"/>
  <c r="AK1113" i="1"/>
  <c r="AK712" i="1" s="1"/>
  <c r="AK643" i="1" s="1"/>
  <c r="AH1465" i="1"/>
  <c r="AK861" i="1"/>
  <c r="BA713" i="1"/>
  <c r="BA651" i="1" s="1"/>
  <c r="BI797" i="1"/>
  <c r="BO1094" i="1"/>
  <c r="AH1113" i="1"/>
  <c r="AH712" i="1" s="1"/>
  <c r="AH643" i="1" s="1"/>
  <c r="BL351" i="1"/>
  <c r="BP759" i="1"/>
  <c r="AF310" i="1"/>
  <c r="AF663" i="1" s="1"/>
  <c r="AX714" i="1"/>
  <c r="AX667" i="1" s="1"/>
  <c r="AQ758" i="1"/>
  <c r="AR717" i="1"/>
  <c r="BI738" i="1"/>
  <c r="BO798" i="1"/>
  <c r="AV714" i="1"/>
  <c r="AV667" i="1" s="1"/>
  <c r="AW1113" i="1"/>
  <c r="AW712" i="1" s="1"/>
  <c r="AW643" i="1" s="1"/>
  <c r="BB714" i="1"/>
  <c r="BB667" i="1" s="1"/>
  <c r="AV779" i="1"/>
  <c r="BI860" i="1"/>
  <c r="BO620" i="1"/>
  <c r="BK739" i="1"/>
  <c r="BO777" i="1"/>
  <c r="BP714" i="1"/>
  <c r="BP667" i="1" s="1"/>
  <c r="BC351" i="1"/>
  <c r="AL714" i="1"/>
  <c r="AL667" i="1" s="1"/>
  <c r="AJ715" i="1"/>
  <c r="AJ659" i="1" s="1"/>
  <c r="AX715" i="1"/>
  <c r="AX659" i="1" s="1"/>
  <c r="BC1113" i="1"/>
  <c r="BC712" i="1" s="1"/>
  <c r="BC643" i="1" s="1"/>
  <c r="AQ778" i="1"/>
  <c r="BC798" i="1"/>
  <c r="BM779" i="1"/>
  <c r="BJ714" i="1"/>
  <c r="BJ667" i="1" s="1"/>
  <c r="AO715" i="1"/>
  <c r="AO659" i="1" s="1"/>
  <c r="AJ286" i="1"/>
  <c r="AJ1131" i="1" s="1"/>
  <c r="AX713" i="1"/>
  <c r="AX651" i="1" s="1"/>
  <c r="AI739" i="1"/>
  <c r="AQ1113" i="1"/>
  <c r="AQ712" i="1" s="1"/>
  <c r="AQ643" i="1" s="1"/>
  <c r="AR759" i="1"/>
  <c r="BL965" i="1"/>
  <c r="BR965" i="1"/>
  <c r="BL1113" i="1"/>
  <c r="BL712" i="1" s="1"/>
  <c r="BL643" i="1" s="1"/>
  <c r="AO759" i="1"/>
  <c r="BJ739" i="1"/>
  <c r="AP739" i="1"/>
  <c r="AQ1007" i="1"/>
  <c r="AQ620" i="1"/>
  <c r="AW737" i="1"/>
  <c r="BC758" i="1"/>
  <c r="BO778" i="1"/>
  <c r="BO738" i="1"/>
  <c r="BM799" i="1"/>
  <c r="BO799" i="1" s="1"/>
  <c r="BE759" i="1"/>
  <c r="AR713" i="1"/>
  <c r="AR651" i="1" s="1"/>
  <c r="AR779" i="1"/>
  <c r="AR715" i="1"/>
  <c r="AR659" i="1" s="1"/>
  <c r="AJ713" i="1"/>
  <c r="AJ651" i="1" s="1"/>
  <c r="BA715" i="1"/>
  <c r="BA659" i="1" s="1"/>
  <c r="AF714" i="1"/>
  <c r="BC778" i="1"/>
  <c r="BI798" i="1"/>
  <c r="BO737" i="1"/>
  <c r="BD715" i="1"/>
  <c r="BD659" i="1" s="1"/>
  <c r="BD717" i="1"/>
  <c r="BD714" i="1"/>
  <c r="BD667" i="1" s="1"/>
  <c r="AR714" i="1"/>
  <c r="AR667" i="1" s="1"/>
  <c r="BM715" i="1"/>
  <c r="BM659" i="1" s="1"/>
  <c r="AV715" i="1"/>
  <c r="AV659" i="1" s="1"/>
  <c r="BJ715" i="1"/>
  <c r="BJ659" i="1" s="1"/>
  <c r="AX717" i="1"/>
  <c r="AH965" i="1"/>
  <c r="BF1113" i="1"/>
  <c r="BF712" i="1" s="1"/>
  <c r="BF643" i="1" s="1"/>
  <c r="AP717" i="1"/>
  <c r="AO739" i="1"/>
  <c r="AF713" i="1"/>
  <c r="AF651" i="1" s="1"/>
  <c r="BP715" i="1"/>
  <c r="BP659" i="1" s="1"/>
  <c r="BF966" i="1"/>
  <c r="BC966" i="1"/>
  <c r="AI799" i="1"/>
  <c r="AK799" i="1" s="1"/>
  <c r="AP713" i="1"/>
  <c r="AP651" i="1" s="1"/>
  <c r="AP715" i="1"/>
  <c r="AP659" i="1" s="1"/>
  <c r="AQ798" i="1"/>
  <c r="AW861" i="1"/>
  <c r="AV717" i="1"/>
  <c r="BN713" i="1"/>
  <c r="BN651" i="1" s="1"/>
  <c r="BO967" i="1"/>
  <c r="AO799" i="1"/>
  <c r="AQ799" i="1" s="1"/>
  <c r="AQ738" i="1"/>
  <c r="AU717" i="1"/>
  <c r="AW966" i="1"/>
  <c r="BI966" i="1"/>
  <c r="BG799" i="1"/>
  <c r="BI799" i="1" s="1"/>
  <c r="AU799" i="1"/>
  <c r="AW799" i="1" s="1"/>
  <c r="BJ717" i="1"/>
  <c r="AR739" i="1"/>
  <c r="BP717" i="1"/>
  <c r="BA714" i="1"/>
  <c r="BA667" i="1" s="1"/>
  <c r="AJ1268" i="1"/>
  <c r="AJ1269" i="1" s="1"/>
  <c r="AI288" i="1"/>
  <c r="AI1128" i="1" s="1"/>
  <c r="BP713" i="1"/>
  <c r="BP651" i="1" s="1"/>
  <c r="BA799" i="1"/>
  <c r="BC799" i="1" s="1"/>
  <c r="AZ1113" i="1"/>
  <c r="AZ712" i="1" s="1"/>
  <c r="AZ643" i="1" s="1"/>
  <c r="AQ777" i="1"/>
  <c r="BI737" i="1"/>
  <c r="AL717" i="1"/>
  <c r="AT737" i="1"/>
  <c r="AL715" i="1"/>
  <c r="AL659" i="1" s="1"/>
  <c r="BD713" i="1"/>
  <c r="BD651" i="1" s="1"/>
  <c r="BB713" i="1"/>
  <c r="BB651" i="1" s="1"/>
  <c r="AU739" i="1"/>
  <c r="BC861" i="1"/>
  <c r="BD739" i="1"/>
  <c r="BN739" i="1"/>
  <c r="BO739" i="1" s="1"/>
  <c r="AV713" i="1"/>
  <c r="AV651" i="1" s="1"/>
  <c r="BB715" i="1"/>
  <c r="BB659" i="1" s="1"/>
  <c r="BH715" i="1"/>
  <c r="BH659" i="1" s="1"/>
  <c r="BH717" i="1"/>
  <c r="AZ796" i="1"/>
  <c r="AZ736" i="1"/>
  <c r="AZ964" i="1"/>
  <c r="AZ1091" i="1"/>
  <c r="AZ756" i="1"/>
  <c r="AZ757" i="1"/>
  <c r="AZ859" i="1"/>
  <c r="AZ1006" i="1"/>
  <c r="AZ776" i="1"/>
  <c r="AQ737" i="1"/>
  <c r="BH713" i="1"/>
  <c r="BH651" i="1" s="1"/>
  <c r="AL713" i="1"/>
  <c r="AL651" i="1" s="1"/>
  <c r="BJ713" i="1"/>
  <c r="BJ651" i="1" s="1"/>
  <c r="BL966" i="1"/>
  <c r="AS779" i="1"/>
  <c r="AQ1092" i="1"/>
  <c r="AT965" i="1"/>
  <c r="AY759" i="1"/>
  <c r="BI778" i="1"/>
  <c r="AJ779" i="1"/>
  <c r="BP779" i="1"/>
  <c r="AX739" i="1"/>
  <c r="BC860" i="1"/>
  <c r="BC620" i="1"/>
  <c r="AJ1252" i="1"/>
  <c r="AM1252" i="1" s="1"/>
  <c r="AJ714" i="1"/>
  <c r="AJ667" i="1" s="1"/>
  <c r="BG715" i="1"/>
  <c r="BM717" i="1"/>
  <c r="AJ281" i="1"/>
  <c r="AJ1125" i="1" s="1"/>
  <c r="AW738" i="1"/>
  <c r="BB717" i="1"/>
  <c r="BI967" i="1"/>
  <c r="T59" i="4"/>
  <c r="AN756" i="1"/>
  <c r="AN757" i="1"/>
  <c r="AN776" i="1"/>
  <c r="AN736" i="1"/>
  <c r="AN1006" i="1"/>
  <c r="AN1091" i="1"/>
  <c r="AN964" i="1"/>
  <c r="AN796" i="1"/>
  <c r="AN859" i="1"/>
  <c r="AF331" i="1"/>
  <c r="AF665" i="1" s="1"/>
  <c r="AN351" i="1"/>
  <c r="AG298" i="1"/>
  <c r="AG647" i="1" s="1"/>
  <c r="BN717" i="1"/>
  <c r="BA717" i="1"/>
  <c r="AF717" i="1"/>
  <c r="BE739" i="1"/>
  <c r="AF715" i="1"/>
  <c r="AF659" i="1" s="1"/>
  <c r="AP714" i="1"/>
  <c r="AP667" i="1" s="1"/>
  <c r="BI1007" i="1"/>
  <c r="BP799" i="1"/>
  <c r="BR799" i="1" s="1"/>
  <c r="AH756" i="1"/>
  <c r="AH757" i="1"/>
  <c r="AH776" i="1"/>
  <c r="AH1091" i="1"/>
  <c r="AH736" i="1"/>
  <c r="AH964" i="1"/>
  <c r="AH1006" i="1"/>
  <c r="AH796" i="1"/>
  <c r="AH859" i="1"/>
  <c r="AF779" i="1"/>
  <c r="AH779" i="1" s="1"/>
  <c r="AI779" i="1"/>
  <c r="AF324" i="1"/>
  <c r="AF649" i="1" s="1"/>
  <c r="AG324" i="1"/>
  <c r="AG649" i="1" s="1"/>
  <c r="BG717" i="1"/>
  <c r="AO717" i="1"/>
  <c r="BN714" i="1"/>
  <c r="AW1094" i="1"/>
  <c r="AV739" i="1"/>
  <c r="BC777" i="1"/>
  <c r="AH1217" i="1"/>
  <c r="AH1218" i="1" s="1"/>
  <c r="AW797" i="1"/>
  <c r="AW1007" i="1"/>
  <c r="BI861" i="1"/>
  <c r="AO714" i="1"/>
  <c r="AO667" i="1" s="1"/>
  <c r="AW758" i="1"/>
  <c r="AK965" i="1"/>
  <c r="BC967" i="1"/>
  <c r="AG1218" i="1"/>
  <c r="AJ717" i="1"/>
  <c r="AU715" i="1"/>
  <c r="AU659" i="1" s="1"/>
  <c r="AJ1232" i="1"/>
  <c r="BI777" i="1"/>
  <c r="BO966" i="1"/>
  <c r="AF286" i="1"/>
  <c r="AF1131" i="1" s="1"/>
  <c r="AJ1217" i="1"/>
  <c r="AJ1218" i="1" s="1"/>
  <c r="AM739" i="1"/>
  <c r="BJ799" i="1"/>
  <c r="BL799" i="1" s="1"/>
  <c r="AU759" i="1"/>
  <c r="AX759" i="1"/>
  <c r="BC756" i="1"/>
  <c r="BC776" i="1"/>
  <c r="BC796" i="1"/>
  <c r="BC964" i="1"/>
  <c r="BC736" i="1"/>
  <c r="BC859" i="1"/>
  <c r="BC1006" i="1"/>
  <c r="BC1091" i="1"/>
  <c r="BC757" i="1"/>
  <c r="BJ759" i="1"/>
  <c r="BG759" i="1"/>
  <c r="AU779" i="1"/>
  <c r="AX779" i="1"/>
  <c r="BJ779" i="1"/>
  <c r="BG779" i="1"/>
  <c r="BF736" i="1"/>
  <c r="BF757" i="1"/>
  <c r="BF776" i="1"/>
  <c r="BF796" i="1"/>
  <c r="BF756" i="1"/>
  <c r="BF859" i="1"/>
  <c r="BF1006" i="1"/>
  <c r="BF1091" i="1"/>
  <c r="BF964" i="1"/>
  <c r="AQ736" i="1"/>
  <c r="AQ757" i="1"/>
  <c r="AQ776" i="1"/>
  <c r="AQ796" i="1"/>
  <c r="AQ756" i="1"/>
  <c r="AQ1006" i="1"/>
  <c r="AQ1091" i="1"/>
  <c r="AQ964" i="1"/>
  <c r="AQ859" i="1"/>
  <c r="BL756" i="1"/>
  <c r="BL736" i="1"/>
  <c r="BL776" i="1"/>
  <c r="BL757" i="1"/>
  <c r="BL859" i="1"/>
  <c r="BL1006" i="1"/>
  <c r="BL1091" i="1"/>
  <c r="BL796" i="1"/>
  <c r="BL964" i="1"/>
  <c r="BR756" i="1"/>
  <c r="BR736" i="1"/>
  <c r="BR757" i="1"/>
  <c r="BR796" i="1"/>
  <c r="BR964" i="1"/>
  <c r="BR776" i="1"/>
  <c r="BR859" i="1"/>
  <c r="BR1006" i="1"/>
  <c r="BR1091" i="1"/>
  <c r="AJ282" i="1"/>
  <c r="AG1124" i="1"/>
  <c r="AF389" i="1"/>
  <c r="AF428" i="1"/>
  <c r="AF467" i="1"/>
  <c r="AF506" i="1"/>
  <c r="AF403" i="1"/>
  <c r="AF442" i="1"/>
  <c r="AF481" i="1"/>
  <c r="AF520" i="1"/>
  <c r="AF1128" i="1"/>
  <c r="AW1006" i="1"/>
  <c r="AW736" i="1"/>
  <c r="AW796" i="1"/>
  <c r="AW964" i="1"/>
  <c r="AW757" i="1"/>
  <c r="AW859" i="1"/>
  <c r="AW756" i="1"/>
  <c r="AW776" i="1"/>
  <c r="AW1091" i="1"/>
  <c r="AQ351" i="1"/>
  <c r="AP1235" i="1"/>
  <c r="AP1234" i="1" s="1"/>
  <c r="AI1217" i="1"/>
  <c r="AI1218" i="1" s="1"/>
  <c r="AT756" i="1"/>
  <c r="AT776" i="1"/>
  <c r="AT1006" i="1"/>
  <c r="AT736" i="1"/>
  <c r="AT796" i="1"/>
  <c r="AT964" i="1"/>
  <c r="AT757" i="1"/>
  <c r="AT859" i="1"/>
  <c r="AT1091" i="1"/>
  <c r="S59" i="4"/>
  <c r="AK1006" i="1"/>
  <c r="AK736" i="1"/>
  <c r="AK796" i="1"/>
  <c r="AK964" i="1"/>
  <c r="AK757" i="1"/>
  <c r="AK859" i="1"/>
  <c r="AK756" i="1"/>
  <c r="AK776" i="1"/>
  <c r="AK1091" i="1"/>
  <c r="AH304" i="1"/>
  <c r="AI289" i="1"/>
  <c r="AI1127" i="1" s="1"/>
  <c r="AF1127" i="1"/>
  <c r="BI1006" i="1"/>
  <c r="BI736" i="1"/>
  <c r="BI796" i="1"/>
  <c r="BI964" i="1"/>
  <c r="BI757" i="1"/>
  <c r="BI859" i="1"/>
  <c r="BI756" i="1"/>
  <c r="BI776" i="1"/>
  <c r="BI1091" i="1"/>
  <c r="AF285" i="1"/>
  <c r="AF1157" i="1" s="1"/>
  <c r="AG382" i="1"/>
  <c r="AG421" i="1"/>
  <c r="AG460" i="1"/>
  <c r="AG499" i="1"/>
  <c r="AG396" i="1"/>
  <c r="AG435" i="1"/>
  <c r="AG474" i="1"/>
  <c r="AG513" i="1"/>
  <c r="AG1125" i="1"/>
  <c r="BO757" i="1"/>
  <c r="BO859" i="1"/>
  <c r="BO756" i="1"/>
  <c r="BO776" i="1"/>
  <c r="BO1006" i="1"/>
  <c r="BO736" i="1"/>
  <c r="BO796" i="1"/>
  <c r="BO964" i="1"/>
  <c r="BO1091" i="1"/>
  <c r="AJ279" i="1"/>
  <c r="AG418" i="1"/>
  <c r="AG379" i="1"/>
  <c r="AG432" i="1"/>
  <c r="AG457" i="1"/>
  <c r="AG471" i="1"/>
  <c r="AG496" i="1"/>
  <c r="AG393" i="1"/>
  <c r="AG510" i="1"/>
  <c r="AG1121" i="1"/>
  <c r="AW351" i="1"/>
  <c r="AU1235" i="1"/>
  <c r="AU1234" i="1" s="1"/>
  <c r="AG293" i="1"/>
  <c r="AG639" i="1" s="1"/>
  <c r="AJ278" i="1"/>
  <c r="AI281" i="1"/>
  <c r="AT351" i="1"/>
  <c r="AR1235" i="1"/>
  <c r="AR1234" i="1" s="1"/>
  <c r="AO1255" i="1"/>
  <c r="AO1254" i="1" s="1"/>
  <c r="BM643" i="1"/>
  <c r="AV643" i="1"/>
  <c r="AI1268" i="1"/>
  <c r="AL1189" i="1"/>
  <c r="AL1224" i="1"/>
  <c r="AI1225" i="1"/>
  <c r="AI279" i="1"/>
  <c r="AF1121" i="1"/>
  <c r="AF298" i="1"/>
  <c r="AF647" i="1" s="1"/>
  <c r="BP1255" i="1"/>
  <c r="BP1254" i="1" s="1"/>
  <c r="BP643" i="1"/>
  <c r="AF643" i="1"/>
  <c r="AM1189" i="1"/>
  <c r="AJ1195" i="1"/>
  <c r="AG1260" i="1"/>
  <c r="AG1279" i="1"/>
  <c r="AK1189" i="1"/>
  <c r="BI351" i="1"/>
  <c r="BG1235" i="1"/>
  <c r="BG1234" i="1" s="1"/>
  <c r="AJ284" i="1"/>
  <c r="AG327" i="1"/>
  <c r="AG657" i="1" s="1"/>
  <c r="AG303" i="1"/>
  <c r="AG655" i="1" s="1"/>
  <c r="AG385" i="1"/>
  <c r="AG438" i="1"/>
  <c r="AG463" i="1"/>
  <c r="AG477" i="1"/>
  <c r="AG502" i="1"/>
  <c r="AG516" i="1"/>
  <c r="AG399" i="1"/>
  <c r="AG424" i="1"/>
  <c r="AG1157" i="1"/>
  <c r="AG1130" i="1"/>
  <c r="BF351" i="1"/>
  <c r="BD1235" i="1"/>
  <c r="BD1234" i="1" s="1"/>
  <c r="AG321" i="1"/>
  <c r="AG641" i="1" s="1"/>
  <c r="BR351" i="1"/>
  <c r="BP1235" i="1"/>
  <c r="BP1234" i="1" s="1"/>
  <c r="AJ285" i="1"/>
  <c r="AO643" i="1"/>
  <c r="BH643" i="1"/>
  <c r="BD643" i="1"/>
  <c r="AJ643" i="1"/>
  <c r="AH1195" i="1"/>
  <c r="AI1463" i="1"/>
  <c r="AF1471" i="1"/>
  <c r="AF1459" i="1"/>
  <c r="AH1268" i="1"/>
  <c r="AH1272" i="1" s="1"/>
  <c r="AG389" i="1"/>
  <c r="AG403" i="1"/>
  <c r="AJ288" i="1"/>
  <c r="AG331" i="1"/>
  <c r="AG665" i="1" s="1"/>
  <c r="AG310" i="1"/>
  <c r="AG663" i="1" s="1"/>
  <c r="AG428" i="1"/>
  <c r="AG442" i="1"/>
  <c r="AG467" i="1"/>
  <c r="AG481" i="1"/>
  <c r="AG506" i="1"/>
  <c r="AG520" i="1"/>
  <c r="AG1128" i="1"/>
  <c r="AI282" i="1"/>
  <c r="AF421" i="1"/>
  <c r="AF435" i="1"/>
  <c r="AF460" i="1"/>
  <c r="AF474" i="1"/>
  <c r="AF499" i="1"/>
  <c r="AF513" i="1"/>
  <c r="AF382" i="1"/>
  <c r="AF396" i="1"/>
  <c r="AF1124" i="1"/>
  <c r="AI278" i="1"/>
  <c r="AF293" i="1"/>
  <c r="AF639" i="1" s="1"/>
  <c r="AF321" i="1"/>
  <c r="AF641" i="1" s="1"/>
  <c r="AF379" i="1"/>
  <c r="AF432" i="1"/>
  <c r="AF457" i="1"/>
  <c r="AF471" i="1"/>
  <c r="AF496" i="1"/>
  <c r="AF510" i="1"/>
  <c r="AF393" i="1"/>
  <c r="AF418" i="1"/>
  <c r="AF1122" i="1"/>
  <c r="AK351" i="1"/>
  <c r="AI1235" i="1"/>
  <c r="AI1234" i="1" s="1"/>
  <c r="AH351" i="1"/>
  <c r="AF1235" i="1"/>
  <c r="AF1234" i="1" s="1"/>
  <c r="AF1242" i="1" s="1"/>
  <c r="AF1452" i="1" s="1"/>
  <c r="AF579" i="1" s="1"/>
  <c r="BA1255" i="1"/>
  <c r="BA1254" i="1" s="1"/>
  <c r="AG290" i="1"/>
  <c r="AJ289" i="1"/>
  <c r="BA643" i="1"/>
  <c r="AR643" i="1"/>
  <c r="AK759" i="1" l="1"/>
  <c r="BB718" i="1"/>
  <c r="BB684" i="1" s="1"/>
  <c r="BH718" i="1"/>
  <c r="BH684" i="1" s="1"/>
  <c r="AG64" i="1"/>
  <c r="AG63" i="1"/>
  <c r="AF638" i="1"/>
  <c r="AF646" i="1"/>
  <c r="AF667" i="1"/>
  <c r="AF662" i="1" s="1"/>
  <c r="AF654" i="1"/>
  <c r="BO759" i="1"/>
  <c r="AF718" i="1"/>
  <c r="AF684" i="1" s="1"/>
  <c r="AF689" i="1" s="1"/>
  <c r="AF688" i="1" s="1"/>
  <c r="AZ739" i="1"/>
  <c r="AY718" i="1"/>
  <c r="AY684" i="1" s="1"/>
  <c r="AZ779" i="1"/>
  <c r="BC739" i="1"/>
  <c r="BO779" i="1"/>
  <c r="AH1463" i="1"/>
  <c r="AH1459" i="1" s="1"/>
  <c r="AH1461" i="1" s="1"/>
  <c r="AM1224" i="1"/>
  <c r="AM1225" i="1" s="1"/>
  <c r="AK739" i="1"/>
  <c r="AK1224" i="1"/>
  <c r="AK348" i="1" s="1"/>
  <c r="BR714" i="1"/>
  <c r="BR667" i="1" s="1"/>
  <c r="BL779" i="1"/>
  <c r="BO714" i="1"/>
  <c r="BO667" i="1" s="1"/>
  <c r="AN715" i="1"/>
  <c r="AN659" i="1" s="1"/>
  <c r="AG586" i="1"/>
  <c r="AG1231" i="1"/>
  <c r="AH715" i="1"/>
  <c r="AH659" i="1" s="1"/>
  <c r="AK715" i="1"/>
  <c r="AK659" i="1" s="1"/>
  <c r="AZ713" i="1"/>
  <c r="AZ651" i="1" s="1"/>
  <c r="BF759" i="1"/>
  <c r="AT713" i="1"/>
  <c r="AT651" i="1" s="1"/>
  <c r="AN739" i="1"/>
  <c r="AJ675" i="1"/>
  <c r="AJ625" i="1" s="1"/>
  <c r="BR759" i="1"/>
  <c r="BR715" i="1"/>
  <c r="BR659" i="1" s="1"/>
  <c r="BC759" i="1"/>
  <c r="AZ717" i="1"/>
  <c r="BQ718" i="1"/>
  <c r="BQ684" i="1" s="1"/>
  <c r="AZ715" i="1"/>
  <c r="AZ659" i="1" s="1"/>
  <c r="AG1194" i="1"/>
  <c r="AG1190" i="1"/>
  <c r="AG1192" i="1" s="1"/>
  <c r="AG1198" i="1" s="1"/>
  <c r="BR713" i="1"/>
  <c r="BR651" i="1" s="1"/>
  <c r="AN759" i="1"/>
  <c r="AJ1210" i="1"/>
  <c r="AM1210" i="1" s="1"/>
  <c r="BL715" i="1"/>
  <c r="BL659" i="1" s="1"/>
  <c r="AM1217" i="1"/>
  <c r="AM1218" i="1" s="1"/>
  <c r="BO713" i="1"/>
  <c r="BO651" i="1" s="1"/>
  <c r="BF715" i="1"/>
  <c r="BF659" i="1" s="1"/>
  <c r="AH348" i="1"/>
  <c r="BD718" i="1"/>
  <c r="BD684" i="1" s="1"/>
  <c r="BQ716" i="1"/>
  <c r="AH1227" i="1"/>
  <c r="AH1229" i="1" s="1"/>
  <c r="AH1226" i="1" s="1"/>
  <c r="AH1225" i="1"/>
  <c r="BL713" i="1"/>
  <c r="BL651" i="1" s="1"/>
  <c r="AN779" i="1"/>
  <c r="BI779" i="1"/>
  <c r="BI739" i="1"/>
  <c r="AN714" i="1"/>
  <c r="AN667" i="1" s="1"/>
  <c r="BE716" i="1"/>
  <c r="AG686" i="1"/>
  <c r="AM716" i="1"/>
  <c r="AG672" i="1"/>
  <c r="AG1161" i="1" s="1"/>
  <c r="AH713" i="1"/>
  <c r="AH651" i="1" s="1"/>
  <c r="AN713" i="1"/>
  <c r="AN651" i="1" s="1"/>
  <c r="AG1461" i="1"/>
  <c r="AG547" i="1" s="1"/>
  <c r="AJ1463" i="1"/>
  <c r="AJ1471" i="1" s="1"/>
  <c r="AJ557" i="1" s="1"/>
  <c r="AG581" i="1"/>
  <c r="AG689" i="1"/>
  <c r="AG716" i="1"/>
  <c r="AQ779" i="1"/>
  <c r="AS716" i="1"/>
  <c r="BR779" i="1"/>
  <c r="AN717" i="1"/>
  <c r="BL717" i="1"/>
  <c r="BR717" i="1"/>
  <c r="AH717" i="1"/>
  <c r="AK713" i="1"/>
  <c r="AK651" i="1" s="1"/>
  <c r="AI716" i="1"/>
  <c r="AP718" i="1"/>
  <c r="AP684" i="1" s="1"/>
  <c r="BK716" i="1"/>
  <c r="AQ759" i="1"/>
  <c r="AZ714" i="1"/>
  <c r="AZ667" i="1" s="1"/>
  <c r="AT717" i="1"/>
  <c r="AT715" i="1"/>
  <c r="AT659" i="1" s="1"/>
  <c r="BF713" i="1"/>
  <c r="BF651" i="1" s="1"/>
  <c r="AT714" i="1"/>
  <c r="AT667" i="1" s="1"/>
  <c r="AW715" i="1"/>
  <c r="AW659" i="1" s="1"/>
  <c r="AW714" i="1"/>
  <c r="AW667" i="1" s="1"/>
  <c r="BI714" i="1"/>
  <c r="BI667" i="1" s="1"/>
  <c r="BG716" i="1"/>
  <c r="AY716" i="1"/>
  <c r="BF717" i="1"/>
  <c r="AF1153" i="1"/>
  <c r="AT759" i="1"/>
  <c r="AG1471" i="1"/>
  <c r="AG557" i="1" s="1"/>
  <c r="AK717" i="1"/>
  <c r="AL1191" i="1"/>
  <c r="AO1191" i="1" s="1"/>
  <c r="AR1191" i="1" s="1"/>
  <c r="AU1191" i="1" s="1"/>
  <c r="AX1191" i="1" s="1"/>
  <c r="BA1191" i="1" s="1"/>
  <c r="BD1191" i="1" s="1"/>
  <c r="BG1191" i="1" s="1"/>
  <c r="BJ1191" i="1" s="1"/>
  <c r="BM1191" i="1" s="1"/>
  <c r="BP1191" i="1" s="1"/>
  <c r="AK1197" i="1"/>
  <c r="AI1197" i="1"/>
  <c r="AM1197" i="1"/>
  <c r="AI675" i="1"/>
  <c r="AI625" i="1" s="1"/>
  <c r="AW779" i="1"/>
  <c r="AG1452" i="1"/>
  <c r="AG579" i="1" s="1"/>
  <c r="AI506" i="1"/>
  <c r="BI713" i="1"/>
  <c r="BI651" i="1" s="1"/>
  <c r="BC713" i="1"/>
  <c r="BC651" i="1" s="1"/>
  <c r="AK714" i="1"/>
  <c r="AK667" i="1" s="1"/>
  <c r="BM716" i="1"/>
  <c r="AW739" i="1"/>
  <c r="AH714" i="1"/>
  <c r="AH667" i="1" s="1"/>
  <c r="AL718" i="1"/>
  <c r="AL684" i="1" s="1"/>
  <c r="BF714" i="1"/>
  <c r="BF667" i="1" s="1"/>
  <c r="AJ1253" i="1"/>
  <c r="BM718" i="1"/>
  <c r="BM684" i="1" s="1"/>
  <c r="BK718" i="1"/>
  <c r="BK684" i="1" s="1"/>
  <c r="BN718" i="1"/>
  <c r="BN684" i="1" s="1"/>
  <c r="AI428" i="1"/>
  <c r="AG1239" i="1"/>
  <c r="BG659" i="1"/>
  <c r="BC714" i="1"/>
  <c r="BC667" i="1" s="1"/>
  <c r="AX716" i="1"/>
  <c r="AI331" i="1"/>
  <c r="AI665" i="1" s="1"/>
  <c r="BO717" i="1"/>
  <c r="AT779" i="1"/>
  <c r="AR716" i="1"/>
  <c r="BL739" i="1"/>
  <c r="AR718" i="1"/>
  <c r="AR684" i="1" s="1"/>
  <c r="BO715" i="1"/>
  <c r="BO659" i="1" s="1"/>
  <c r="AQ715" i="1"/>
  <c r="AQ659" i="1" s="1"/>
  <c r="AS718" i="1"/>
  <c r="AS684" i="1" s="1"/>
  <c r="AH1220" i="1"/>
  <c r="BH716" i="1"/>
  <c r="BP716" i="1"/>
  <c r="AJ435" i="1"/>
  <c r="AT739" i="1"/>
  <c r="AJ718" i="1"/>
  <c r="AJ684" i="1" s="1"/>
  <c r="AQ739" i="1"/>
  <c r="AF385" i="1"/>
  <c r="AF463" i="1"/>
  <c r="BA718" i="1"/>
  <c r="BA684" i="1" s="1"/>
  <c r="AQ714" i="1"/>
  <c r="AQ667" i="1" s="1"/>
  <c r="BL714" i="1"/>
  <c r="BL667" i="1" s="1"/>
  <c r="AF290" i="1"/>
  <c r="AI284" i="1"/>
  <c r="AJ421" i="1"/>
  <c r="AW713" i="1"/>
  <c r="AW651" i="1" s="1"/>
  <c r="AK779" i="1"/>
  <c r="BD716" i="1"/>
  <c r="AV716" i="1"/>
  <c r="AQ713" i="1"/>
  <c r="AQ651" i="1" s="1"/>
  <c r="AL716" i="1"/>
  <c r="BA716" i="1"/>
  <c r="BI715" i="1"/>
  <c r="BI659" i="1" s="1"/>
  <c r="BC715" i="1"/>
  <c r="BC659" i="1" s="1"/>
  <c r="BC717" i="1"/>
  <c r="AF477" i="1"/>
  <c r="AQ717" i="1"/>
  <c r="AF303" i="1"/>
  <c r="AF655" i="1" s="1"/>
  <c r="AF516" i="1"/>
  <c r="AI286" i="1"/>
  <c r="AJ499" i="1"/>
  <c r="AM1268" i="1"/>
  <c r="AP1268" i="1" s="1"/>
  <c r="AW717" i="1"/>
  <c r="AF502" i="1"/>
  <c r="AM281" i="1"/>
  <c r="AM1125" i="1" s="1"/>
  <c r="AK1268" i="1"/>
  <c r="AK1273" i="1" s="1"/>
  <c r="BI717" i="1"/>
  <c r="AO718" i="1"/>
  <c r="AO684" i="1" s="1"/>
  <c r="AF399" i="1"/>
  <c r="BJ716" i="1"/>
  <c r="BB716" i="1"/>
  <c r="AG662" i="1"/>
  <c r="AJ716" i="1"/>
  <c r="AF716" i="1"/>
  <c r="AO716" i="1"/>
  <c r="AI285" i="1"/>
  <c r="AU716" i="1"/>
  <c r="AF438" i="1"/>
  <c r="AH344" i="1"/>
  <c r="AI520" i="1"/>
  <c r="AI442" i="1"/>
  <c r="AI310" i="1"/>
  <c r="AI663" i="1" s="1"/>
  <c r="AH1221" i="1"/>
  <c r="AI481" i="1"/>
  <c r="AI403" i="1"/>
  <c r="AI389" i="1"/>
  <c r="AI467" i="1"/>
  <c r="AL288" i="1"/>
  <c r="AF1150" i="1"/>
  <c r="AP716" i="1"/>
  <c r="AG646" i="1"/>
  <c r="AG1150" i="1" s="1"/>
  <c r="AG654" i="1"/>
  <c r="AG1156" i="1" s="1"/>
  <c r="AJ396" i="1"/>
  <c r="AJ474" i="1"/>
  <c r="AJ298" i="1"/>
  <c r="AJ647" i="1" s="1"/>
  <c r="AI718" i="1"/>
  <c r="AI684" i="1" s="1"/>
  <c r="AH675" i="1"/>
  <c r="AV718" i="1"/>
  <c r="AV684" i="1" s="1"/>
  <c r="BF739" i="1"/>
  <c r="BE718" i="1"/>
  <c r="BE684" i="1" s="1"/>
  <c r="AJ382" i="1"/>
  <c r="AJ460" i="1"/>
  <c r="AJ324" i="1"/>
  <c r="AJ649" i="1" s="1"/>
  <c r="AH759" i="1"/>
  <c r="BP718" i="1"/>
  <c r="BP684" i="1" s="1"/>
  <c r="AJ513" i="1"/>
  <c r="BN667" i="1"/>
  <c r="BN716" i="1"/>
  <c r="AM1232" i="1"/>
  <c r="AJ1233" i="1"/>
  <c r="AK1217" i="1"/>
  <c r="AK1218" i="1" s="1"/>
  <c r="AL289" i="1"/>
  <c r="AL1127" i="1" s="1"/>
  <c r="AM718" i="1"/>
  <c r="AM684" i="1" s="1"/>
  <c r="AU718" i="1"/>
  <c r="AU684" i="1" s="1"/>
  <c r="AW759" i="1"/>
  <c r="BI759" i="1"/>
  <c r="BG718" i="1"/>
  <c r="BG684" i="1" s="1"/>
  <c r="BJ718" i="1"/>
  <c r="BJ684" i="1" s="1"/>
  <c r="BL759" i="1"/>
  <c r="AX718" i="1"/>
  <c r="AX684" i="1" s="1"/>
  <c r="AZ759" i="1"/>
  <c r="AF327" i="1"/>
  <c r="AF657" i="1" s="1"/>
  <c r="AM286" i="1"/>
  <c r="AM1131" i="1" s="1"/>
  <c r="AF1130" i="1"/>
  <c r="AF424" i="1"/>
  <c r="AJ1202" i="1"/>
  <c r="AL1217" i="1"/>
  <c r="AJ1124" i="1"/>
  <c r="AM282" i="1"/>
  <c r="AM1124" i="1" s="1"/>
  <c r="AO1224" i="1"/>
  <c r="AL1225" i="1"/>
  <c r="AH1271" i="1"/>
  <c r="AL282" i="1"/>
  <c r="AI1124" i="1"/>
  <c r="AJ331" i="1"/>
  <c r="AJ665" i="1" s="1"/>
  <c r="AJ310" i="1"/>
  <c r="AJ663" i="1" s="1"/>
  <c r="AM288" i="1"/>
  <c r="AJ389" i="1"/>
  <c r="AJ403" i="1"/>
  <c r="AJ428" i="1"/>
  <c r="AJ442" i="1"/>
  <c r="AJ467" i="1"/>
  <c r="AJ481" i="1"/>
  <c r="AJ506" i="1"/>
  <c r="AJ520" i="1"/>
  <c r="AJ1128" i="1"/>
  <c r="AF1461" i="1"/>
  <c r="AF547" i="1" s="1"/>
  <c r="AM285" i="1"/>
  <c r="AK1195" i="1"/>
  <c r="AL1268" i="1"/>
  <c r="AI1269" i="1"/>
  <c r="AM289" i="1"/>
  <c r="AJ1127" i="1"/>
  <c r="AM1253" i="1"/>
  <c r="AP1252" i="1"/>
  <c r="AH1269" i="1"/>
  <c r="AQ1197" i="1"/>
  <c r="AJ385" i="1"/>
  <c r="AJ399" i="1"/>
  <c r="AJ424" i="1"/>
  <c r="AJ327" i="1"/>
  <c r="AJ657" i="1" s="1"/>
  <c r="AM284" i="1"/>
  <c r="AJ303" i="1"/>
  <c r="AJ655" i="1" s="1"/>
  <c r="AJ438" i="1"/>
  <c r="AJ463" i="1"/>
  <c r="AJ477" i="1"/>
  <c r="AJ502" i="1"/>
  <c r="AJ516" i="1"/>
  <c r="AJ1130" i="1"/>
  <c r="AJ1157" i="1"/>
  <c r="AG1276" i="1"/>
  <c r="AG1451" i="1"/>
  <c r="AG576" i="1" s="1"/>
  <c r="AM1195" i="1"/>
  <c r="AP1189" i="1"/>
  <c r="AL279" i="1"/>
  <c r="AI1121" i="1"/>
  <c r="AN1189" i="1"/>
  <c r="AO1189" i="1"/>
  <c r="AL1195" i="1"/>
  <c r="AM1188" i="1"/>
  <c r="AJ1194" i="1"/>
  <c r="AJ1201" i="1"/>
  <c r="AM278" i="1"/>
  <c r="AJ293" i="1"/>
  <c r="AJ639" i="1" s="1"/>
  <c r="AJ290" i="1"/>
  <c r="AJ321" i="1"/>
  <c r="AJ641" i="1" s="1"/>
  <c r="AJ379" i="1"/>
  <c r="AJ393" i="1"/>
  <c r="AJ432" i="1"/>
  <c r="AJ457" i="1"/>
  <c r="AJ471" i="1"/>
  <c r="AJ496" i="1"/>
  <c r="AJ510" i="1"/>
  <c r="AJ418" i="1"/>
  <c r="AJ1122" i="1"/>
  <c r="AM279" i="1"/>
  <c r="AJ1121" i="1"/>
  <c r="AI1232" i="1"/>
  <c r="AF1233" i="1"/>
  <c r="AH1232" i="1"/>
  <c r="AH1235" i="1" s="1"/>
  <c r="AL278" i="1"/>
  <c r="AI321" i="1"/>
  <c r="AI641" i="1" s="1"/>
  <c r="AI293" i="1"/>
  <c r="AI639" i="1" s="1"/>
  <c r="AI393" i="1"/>
  <c r="AI432" i="1"/>
  <c r="AI457" i="1"/>
  <c r="AI471" i="1"/>
  <c r="AI496" i="1"/>
  <c r="AI510" i="1"/>
  <c r="AI418" i="1"/>
  <c r="AI379" i="1"/>
  <c r="AI1122" i="1"/>
  <c r="AI1471" i="1"/>
  <c r="AI557" i="1" s="1"/>
  <c r="AI1459" i="1"/>
  <c r="AI1461" i="1" s="1"/>
  <c r="AI547" i="1" s="1"/>
  <c r="AL1463" i="1"/>
  <c r="AG1261" i="1"/>
  <c r="AJ1260" i="1"/>
  <c r="AG1277" i="1"/>
  <c r="AJ1279" i="1" s="1"/>
  <c r="AJ1451" i="1" s="1"/>
  <c r="AJ576" i="1" s="1"/>
  <c r="AG606" i="1"/>
  <c r="AG550" i="1" s="1"/>
  <c r="AH1273" i="1"/>
  <c r="AL281" i="1"/>
  <c r="AI298" i="1"/>
  <c r="AI647" i="1" s="1"/>
  <c r="AI382" i="1"/>
  <c r="AI396" i="1"/>
  <c r="AI421" i="1"/>
  <c r="AI324" i="1"/>
  <c r="AI649" i="1" s="1"/>
  <c r="AI435" i="1"/>
  <c r="AI460" i="1"/>
  <c r="AI474" i="1"/>
  <c r="AI499" i="1"/>
  <c r="AI513" i="1"/>
  <c r="AI1125" i="1"/>
  <c r="AG638" i="1"/>
  <c r="AG562" i="1" l="1"/>
  <c r="AF581" i="1"/>
  <c r="AF672" i="1"/>
  <c r="AF1161" i="1" s="1"/>
  <c r="BO718" i="1"/>
  <c r="BO684" i="1" s="1"/>
  <c r="AF557" i="1"/>
  <c r="AI562" i="1" s="1"/>
  <c r="AF548" i="1"/>
  <c r="AF630" i="1"/>
  <c r="AF619" i="1" s="1"/>
  <c r="AG633" i="1"/>
  <c r="AH718" i="1"/>
  <c r="AH684" i="1" s="1"/>
  <c r="AJ1459" i="1"/>
  <c r="AJ1461" i="1" s="1"/>
  <c r="AJ547" i="1" s="1"/>
  <c r="AK547" i="1" s="1"/>
  <c r="AJ1198" i="1"/>
  <c r="BR718" i="1"/>
  <c r="BR684" i="1" s="1"/>
  <c r="AZ718" i="1"/>
  <c r="AZ684" i="1" s="1"/>
  <c r="AH1471" i="1"/>
  <c r="BC718" i="1"/>
  <c r="BC684" i="1" s="1"/>
  <c r="AK1228" i="1"/>
  <c r="AK1227" i="1"/>
  <c r="AK1225" i="1"/>
  <c r="AH1464" i="1"/>
  <c r="AN1224" i="1"/>
  <c r="AN1228" i="1" s="1"/>
  <c r="AG1201" i="1"/>
  <c r="AH547" i="1"/>
  <c r="AP1224" i="1"/>
  <c r="AQ1224" i="1" s="1"/>
  <c r="BF718" i="1"/>
  <c r="BF684" i="1" s="1"/>
  <c r="AM675" i="1"/>
  <c r="AM625" i="1" s="1"/>
  <c r="AG1202" i="1"/>
  <c r="AG1196" i="1"/>
  <c r="AJ1196" i="1"/>
  <c r="AG1240" i="1"/>
  <c r="AJ1243" i="1" s="1"/>
  <c r="BL718" i="1"/>
  <c r="BL684" i="1" s="1"/>
  <c r="AM1463" i="1"/>
  <c r="AM1471" i="1" s="1"/>
  <c r="AM557" i="1" s="1"/>
  <c r="AM562" i="1" s="1"/>
  <c r="AN1217" i="1"/>
  <c r="AN1220" i="1" s="1"/>
  <c r="BR716" i="1"/>
  <c r="AJ1231" i="1"/>
  <c r="AP1217" i="1"/>
  <c r="AS1217" i="1" s="1"/>
  <c r="AJ1211" i="1"/>
  <c r="AK1463" i="1"/>
  <c r="AK1459" i="1" s="1"/>
  <c r="AK1461" i="1" s="1"/>
  <c r="AZ716" i="1"/>
  <c r="AN718" i="1"/>
  <c r="AN684" i="1" s="1"/>
  <c r="AJ562" i="1"/>
  <c r="AH672" i="1"/>
  <c r="AH1161" i="1" s="1"/>
  <c r="BI718" i="1"/>
  <c r="BI684" i="1" s="1"/>
  <c r="AT716" i="1"/>
  <c r="AQ718" i="1"/>
  <c r="AQ684" i="1" s="1"/>
  <c r="BL716" i="1"/>
  <c r="AH716" i="1"/>
  <c r="AH581" i="1"/>
  <c r="AL675" i="1"/>
  <c r="AO675" i="1" s="1"/>
  <c r="AR675" i="1" s="1"/>
  <c r="AK675" i="1"/>
  <c r="AN716" i="1"/>
  <c r="AR1197" i="1"/>
  <c r="BF716" i="1"/>
  <c r="AO1197" i="1"/>
  <c r="BI716" i="1"/>
  <c r="AW718" i="1"/>
  <c r="AW684" i="1" s="1"/>
  <c r="AL1197" i="1"/>
  <c r="AK1271" i="1"/>
  <c r="AI1157" i="1"/>
  <c r="AN1197" i="1"/>
  <c r="AP1197" i="1"/>
  <c r="AJ646" i="1"/>
  <c r="AJ1150" i="1" s="1"/>
  <c r="BO716" i="1"/>
  <c r="AI662" i="1"/>
  <c r="AI1153" i="1" s="1"/>
  <c r="AK716" i="1"/>
  <c r="AK625" i="1"/>
  <c r="AI606" i="1"/>
  <c r="AI550" i="1" s="1"/>
  <c r="AI553" i="1" s="1"/>
  <c r="AI10" i="1" s="1"/>
  <c r="AT718" i="1"/>
  <c r="AT684" i="1" s="1"/>
  <c r="AI1130" i="1"/>
  <c r="AK718" i="1"/>
  <c r="AK684" i="1" s="1"/>
  <c r="AG652" i="1"/>
  <c r="AW716" i="1"/>
  <c r="AH1222" i="1"/>
  <c r="AH1219" i="1" s="1"/>
  <c r="AK1269" i="1"/>
  <c r="AM1269" i="1"/>
  <c r="AK1272" i="1"/>
  <c r="AN1268" i="1"/>
  <c r="AN1269" i="1" s="1"/>
  <c r="BC716" i="1"/>
  <c r="AQ716" i="1"/>
  <c r="AI385" i="1"/>
  <c r="AI399" i="1"/>
  <c r="AI327" i="1"/>
  <c r="AI657" i="1" s="1"/>
  <c r="AI1131" i="1"/>
  <c r="AI290" i="1"/>
  <c r="AL285" i="1"/>
  <c r="AL284" i="1"/>
  <c r="AI477" i="1"/>
  <c r="AI424" i="1"/>
  <c r="AL286" i="1"/>
  <c r="AL1131" i="1" s="1"/>
  <c r="AI516" i="1"/>
  <c r="AI463" i="1"/>
  <c r="AI303" i="1"/>
  <c r="AI655" i="1" s="1"/>
  <c r="AI502" i="1"/>
  <c r="AI438" i="1"/>
  <c r="AL520" i="1"/>
  <c r="AL442" i="1"/>
  <c r="AO288" i="1"/>
  <c r="AK344" i="1"/>
  <c r="AL310" i="1"/>
  <c r="AL663" i="1" s="1"/>
  <c r="AL1128" i="1"/>
  <c r="AL506" i="1"/>
  <c r="AL428" i="1"/>
  <c r="AG644" i="1"/>
  <c r="AL403" i="1"/>
  <c r="AL481" i="1"/>
  <c r="AL331" i="1"/>
  <c r="AL665" i="1" s="1"/>
  <c r="AL389" i="1"/>
  <c r="AL467" i="1"/>
  <c r="AP286" i="1"/>
  <c r="AP1131" i="1" s="1"/>
  <c r="AH625" i="1"/>
  <c r="AM460" i="1"/>
  <c r="AM396" i="1"/>
  <c r="AM513" i="1"/>
  <c r="AM435" i="1"/>
  <c r="AM382" i="1"/>
  <c r="AK1221" i="1"/>
  <c r="AM499" i="1"/>
  <c r="AM324" i="1"/>
  <c r="AM649" i="1" s="1"/>
  <c r="AM298" i="1"/>
  <c r="AM647" i="1" s="1"/>
  <c r="AK1220" i="1"/>
  <c r="AO289" i="1"/>
  <c r="AO1127" i="1" s="1"/>
  <c r="AH1274" i="1"/>
  <c r="AH1270" i="1" s="1"/>
  <c r="AP282" i="1"/>
  <c r="AP1124" i="1" s="1"/>
  <c r="AM474" i="1"/>
  <c r="AM421" i="1"/>
  <c r="AP281" i="1"/>
  <c r="AJ662" i="1"/>
  <c r="AJ1153" i="1" s="1"/>
  <c r="AP1232" i="1"/>
  <c r="AM1233" i="1"/>
  <c r="AI638" i="1"/>
  <c r="AI1147" i="1" s="1"/>
  <c r="AK557" i="1"/>
  <c r="AO1217" i="1"/>
  <c r="AL1218" i="1"/>
  <c r="AP1210" i="1"/>
  <c r="AM1211" i="1"/>
  <c r="AM1231" i="1"/>
  <c r="AG553" i="1"/>
  <c r="AG10" i="1" s="1"/>
  <c r="AI1210" i="1"/>
  <c r="AH1210" i="1"/>
  <c r="AH1214" i="1" s="1"/>
  <c r="AP1269" i="1"/>
  <c r="AS1268" i="1"/>
  <c r="AP278" i="1"/>
  <c r="AM290" i="1"/>
  <c r="AM321" i="1"/>
  <c r="AM641" i="1" s="1"/>
  <c r="AM293" i="1"/>
  <c r="AM639" i="1" s="1"/>
  <c r="AM418" i="1"/>
  <c r="AM432" i="1"/>
  <c r="AM457" i="1"/>
  <c r="AM471" i="1"/>
  <c r="AM496" i="1"/>
  <c r="AM510" i="1"/>
  <c r="AM379" i="1"/>
  <c r="AM393" i="1"/>
  <c r="AM1122" i="1"/>
  <c r="AQ1189" i="1"/>
  <c r="AR1189" i="1"/>
  <c r="AO1195" i="1"/>
  <c r="AS1252" i="1"/>
  <c r="AP1253" i="1"/>
  <c r="AG636" i="1"/>
  <c r="AG671" i="1"/>
  <c r="AG1147" i="1"/>
  <c r="AM1260" i="1"/>
  <c r="AJ1261" i="1"/>
  <c r="AJ1277" i="1"/>
  <c r="AG660" i="1"/>
  <c r="AG1153" i="1"/>
  <c r="AF1239" i="1"/>
  <c r="AH1239" i="1" s="1"/>
  <c r="AP1188" i="1"/>
  <c r="AP1190" i="1" s="1"/>
  <c r="AM1194" i="1"/>
  <c r="AR1224" i="1"/>
  <c r="AO1225" i="1"/>
  <c r="AF362" i="1"/>
  <c r="AH1233" i="1"/>
  <c r="AJ638" i="1"/>
  <c r="AN1195" i="1"/>
  <c r="AO279" i="1"/>
  <c r="AL1121" i="1"/>
  <c r="AM1190" i="1"/>
  <c r="AJ1276" i="1"/>
  <c r="AT1197" i="1"/>
  <c r="AU1197" i="1"/>
  <c r="AP289" i="1"/>
  <c r="AM1127" i="1"/>
  <c r="AO281" i="1"/>
  <c r="AL324" i="1"/>
  <c r="AL649" i="1" s="1"/>
  <c r="AL298" i="1"/>
  <c r="AL647" i="1" s="1"/>
  <c r="AL396" i="1"/>
  <c r="AL421" i="1"/>
  <c r="AL435" i="1"/>
  <c r="AL460" i="1"/>
  <c r="AL474" i="1"/>
  <c r="AL499" i="1"/>
  <c r="AL382" i="1"/>
  <c r="AL513" i="1"/>
  <c r="AL1125" i="1"/>
  <c r="AL379" i="1"/>
  <c r="AL393" i="1"/>
  <c r="AL418" i="1"/>
  <c r="AL321" i="1"/>
  <c r="AL641" i="1" s="1"/>
  <c r="AL293" i="1"/>
  <c r="AL639" i="1" s="1"/>
  <c r="AO278" i="1"/>
  <c r="AL432" i="1"/>
  <c r="AL457" i="1"/>
  <c r="AL471" i="1"/>
  <c r="AL496" i="1"/>
  <c r="AL510" i="1"/>
  <c r="AL1122" i="1"/>
  <c r="AP279" i="1"/>
  <c r="AM1121" i="1"/>
  <c r="AP284" i="1"/>
  <c r="AM327" i="1"/>
  <c r="AM657" i="1" s="1"/>
  <c r="AM303" i="1"/>
  <c r="AM655" i="1" s="1"/>
  <c r="AM385" i="1"/>
  <c r="AM399" i="1"/>
  <c r="AM438" i="1"/>
  <c r="AM463" i="1"/>
  <c r="AM477" i="1"/>
  <c r="AM424" i="1"/>
  <c r="AM502" i="1"/>
  <c r="AM516" i="1"/>
  <c r="AM1130" i="1"/>
  <c r="AM1157" i="1"/>
  <c r="AF1147" i="1"/>
  <c r="AI646" i="1"/>
  <c r="AI1150" i="1" s="1"/>
  <c r="AJ1280" i="1"/>
  <c r="AG1278" i="1"/>
  <c r="AG1283" i="1"/>
  <c r="AG1248" i="1"/>
  <c r="AG1250" i="1"/>
  <c r="AG1249" i="1"/>
  <c r="AL1471" i="1"/>
  <c r="AL557" i="1" s="1"/>
  <c r="AL562" i="1" s="1"/>
  <c r="AL1459" i="1"/>
  <c r="AL1461" i="1" s="1"/>
  <c r="AL547" i="1" s="1"/>
  <c r="AO1463" i="1"/>
  <c r="AH1236" i="1"/>
  <c r="AH1237" i="1" s="1"/>
  <c r="AL1232" i="1"/>
  <c r="AI1233" i="1"/>
  <c r="AK1232" i="1"/>
  <c r="AK1235" i="1" s="1"/>
  <c r="AJ606" i="1"/>
  <c r="AJ550" i="1" s="1"/>
  <c r="AS1189" i="1"/>
  <c r="AP1195" i="1"/>
  <c r="AJ654" i="1"/>
  <c r="AJ1156" i="1" s="1"/>
  <c r="AO1268" i="1"/>
  <c r="AL1269" i="1"/>
  <c r="AP285" i="1"/>
  <c r="AH12" i="1"/>
  <c r="AI12" i="1"/>
  <c r="AF63" i="1"/>
  <c r="AM331" i="1"/>
  <c r="AM665" i="1" s="1"/>
  <c r="AP288" i="1"/>
  <c r="AM310" i="1"/>
  <c r="AM663" i="1" s="1"/>
  <c r="AM428" i="1"/>
  <c r="AM442" i="1"/>
  <c r="AM467" i="1"/>
  <c r="AM481" i="1"/>
  <c r="AM506" i="1"/>
  <c r="AM520" i="1"/>
  <c r="AM389" i="1"/>
  <c r="AM403" i="1"/>
  <c r="AM1128" i="1"/>
  <c r="AO282" i="1"/>
  <c r="AL1124" i="1"/>
  <c r="AH557" i="1" l="1"/>
  <c r="AH562" i="1" s="1"/>
  <c r="AH586" i="1"/>
  <c r="AF562" i="1"/>
  <c r="AF558" i="1"/>
  <c r="S55" i="4"/>
  <c r="AI633" i="1"/>
  <c r="AG630" i="1"/>
  <c r="AH689" i="1"/>
  <c r="AP467" i="1"/>
  <c r="AP463" i="1"/>
  <c r="AP460" i="1"/>
  <c r="AO418" i="1"/>
  <c r="AO457" i="1"/>
  <c r="AO467" i="1"/>
  <c r="AO460" i="1"/>
  <c r="AP457" i="1"/>
  <c r="AP424" i="1"/>
  <c r="AP421" i="1"/>
  <c r="AP428" i="1"/>
  <c r="AO1128" i="1"/>
  <c r="AO428" i="1"/>
  <c r="AO421" i="1"/>
  <c r="AP418" i="1"/>
  <c r="AJ12" i="1"/>
  <c r="AF592" i="1"/>
  <c r="AG1208" i="1"/>
  <c r="AG1207" i="1"/>
  <c r="AN1227" i="1"/>
  <c r="AN1229" i="1" s="1"/>
  <c r="AK1229" i="1"/>
  <c r="AK1226" i="1" s="1"/>
  <c r="AN1225" i="1"/>
  <c r="AP675" i="1"/>
  <c r="AP625" i="1" s="1"/>
  <c r="AJ1242" i="1"/>
  <c r="AJ1452" i="1" s="1"/>
  <c r="AJ579" i="1" s="1"/>
  <c r="AN348" i="1"/>
  <c r="AP1225" i="1"/>
  <c r="AS1224" i="1"/>
  <c r="AT1224" i="1" s="1"/>
  <c r="AT1227" i="1" s="1"/>
  <c r="AG1241" i="1"/>
  <c r="AG1205" i="1"/>
  <c r="AG1206" i="1"/>
  <c r="AN344" i="1"/>
  <c r="AG1282" i="1"/>
  <c r="AG1285" i="1" s="1"/>
  <c r="AG338" i="1" s="1"/>
  <c r="AP1218" i="1"/>
  <c r="AN1463" i="1"/>
  <c r="AN1471" i="1" s="1"/>
  <c r="AP1463" i="1"/>
  <c r="AS1463" i="1" s="1"/>
  <c r="AS1459" i="1" s="1"/>
  <c r="AS1461" i="1" s="1"/>
  <c r="AS547" i="1" s="1"/>
  <c r="AM1459" i="1"/>
  <c r="AM1461" i="1" s="1"/>
  <c r="AM547" i="1" s="1"/>
  <c r="AN547" i="1" s="1"/>
  <c r="AQ1217" i="1"/>
  <c r="AQ344" i="1" s="1"/>
  <c r="AN1218" i="1"/>
  <c r="AN1221" i="1"/>
  <c r="AN1222" i="1" s="1"/>
  <c r="AN1219" i="1" s="1"/>
  <c r="AK1471" i="1"/>
  <c r="AK1464" i="1"/>
  <c r="AO625" i="1"/>
  <c r="AL625" i="1"/>
  <c r="AH644" i="1"/>
  <c r="AF686" i="1"/>
  <c r="AH686" i="1" s="1"/>
  <c r="AN675" i="1"/>
  <c r="AF586" i="1"/>
  <c r="AJ644" i="1"/>
  <c r="AJ645" i="1" s="1"/>
  <c r="AK1274" i="1"/>
  <c r="AK1270" i="1" s="1"/>
  <c r="AM1201" i="1"/>
  <c r="AM1192" i="1"/>
  <c r="AM1198" i="1" s="1"/>
  <c r="AP1202" i="1"/>
  <c r="AP1192" i="1"/>
  <c r="AI137" i="1"/>
  <c r="AG137" i="1"/>
  <c r="AG653" i="1"/>
  <c r="AS1197" i="1"/>
  <c r="AI660" i="1"/>
  <c r="AI661" i="1" s="1"/>
  <c r="AL303" i="1"/>
  <c r="AL655" i="1" s="1"/>
  <c r="AG645" i="1"/>
  <c r="AN1271" i="1"/>
  <c r="AK1222" i="1"/>
  <c r="AK1219" i="1" s="1"/>
  <c r="AJ679" i="1"/>
  <c r="AI679" i="1"/>
  <c r="AN1272" i="1"/>
  <c r="AF1156" i="1"/>
  <c r="AN1273" i="1"/>
  <c r="AH550" i="1"/>
  <c r="AH553" i="1" s="1"/>
  <c r="AH10" i="1" s="1"/>
  <c r="AO286" i="1"/>
  <c r="AO1131" i="1" s="1"/>
  <c r="AL516" i="1"/>
  <c r="AL438" i="1"/>
  <c r="AI654" i="1"/>
  <c r="AI1156" i="1" s="1"/>
  <c r="AO285" i="1"/>
  <c r="AL1157" i="1"/>
  <c r="AL477" i="1"/>
  <c r="AL385" i="1"/>
  <c r="AL424" i="1"/>
  <c r="AL463" i="1"/>
  <c r="AL327" i="1"/>
  <c r="AL657" i="1" s="1"/>
  <c r="AL290" i="1"/>
  <c r="AL1130" i="1"/>
  <c r="AL502" i="1"/>
  <c r="AL399" i="1"/>
  <c r="AO284" i="1"/>
  <c r="AO442" i="1"/>
  <c r="AL662" i="1"/>
  <c r="AL1153" i="1" s="1"/>
  <c r="AH606" i="1"/>
  <c r="AO310" i="1"/>
  <c r="AO663" i="1" s="1"/>
  <c r="AO520" i="1"/>
  <c r="AO331" i="1"/>
  <c r="AO665" i="1" s="1"/>
  <c r="AS281" i="1"/>
  <c r="AO481" i="1"/>
  <c r="AO389" i="1"/>
  <c r="AP499" i="1"/>
  <c r="AR288" i="1"/>
  <c r="AS282" i="1"/>
  <c r="AM646" i="1"/>
  <c r="AM1150" i="1" s="1"/>
  <c r="AR289" i="1"/>
  <c r="AR1127" i="1" s="1"/>
  <c r="AP435" i="1"/>
  <c r="AO506" i="1"/>
  <c r="AO403" i="1"/>
  <c r="AH652" i="1"/>
  <c r="AP396" i="1"/>
  <c r="AP382" i="1"/>
  <c r="AP324" i="1"/>
  <c r="AP649" i="1" s="1"/>
  <c r="AP1125" i="1"/>
  <c r="AP474" i="1"/>
  <c r="AP1233" i="1"/>
  <c r="AS1232" i="1"/>
  <c r="AP513" i="1"/>
  <c r="AP298" i="1"/>
  <c r="AP647" i="1" s="1"/>
  <c r="AL638" i="1"/>
  <c r="AL1147" i="1" s="1"/>
  <c r="AM662" i="1"/>
  <c r="AM1153" i="1" s="1"/>
  <c r="AO1218" i="1"/>
  <c r="AR1217" i="1"/>
  <c r="AT1217" i="1" s="1"/>
  <c r="AI1246" i="1"/>
  <c r="AM638" i="1"/>
  <c r="AM1147" i="1" s="1"/>
  <c r="AH1234" i="1"/>
  <c r="AK1210" i="1"/>
  <c r="AK1214" i="1" s="1"/>
  <c r="AL1210" i="1"/>
  <c r="AI1211" i="1"/>
  <c r="AI1231" i="1"/>
  <c r="AU675" i="1"/>
  <c r="AR625" i="1"/>
  <c r="AS288" i="1"/>
  <c r="AP310" i="1"/>
  <c r="AP663" i="1" s="1"/>
  <c r="AP331" i="1"/>
  <c r="AP665" i="1" s="1"/>
  <c r="AP389" i="1"/>
  <c r="AP442" i="1"/>
  <c r="AP481" i="1"/>
  <c r="AP506" i="1"/>
  <c r="AP520" i="1"/>
  <c r="AP403" i="1"/>
  <c r="AP1128" i="1"/>
  <c r="AL12" i="1"/>
  <c r="AI63" i="1"/>
  <c r="AI644" i="1"/>
  <c r="AM654" i="1"/>
  <c r="AM1156" i="1" s="1"/>
  <c r="AO324" i="1"/>
  <c r="AO649" i="1" s="1"/>
  <c r="AR281" i="1"/>
  <c r="AO298" i="1"/>
  <c r="AO647" i="1" s="1"/>
  <c r="AO382" i="1"/>
  <c r="AO435" i="1"/>
  <c r="AO474" i="1"/>
  <c r="AO499" i="1"/>
  <c r="AO513" i="1"/>
  <c r="AO396" i="1"/>
  <c r="AO1125" i="1"/>
  <c r="AJ652" i="1"/>
  <c r="AK606" i="1"/>
  <c r="AW1197" i="1"/>
  <c r="AX1197" i="1"/>
  <c r="AM606" i="1"/>
  <c r="AM550" i="1" s="1"/>
  <c r="AU1224" i="1"/>
  <c r="AR1225" i="1"/>
  <c r="AM1280" i="1"/>
  <c r="AJ1283" i="1"/>
  <c r="AJ1278" i="1"/>
  <c r="AJ1250" i="1"/>
  <c r="AJ1248" i="1"/>
  <c r="AJ636" i="1"/>
  <c r="AH636" i="1"/>
  <c r="AG637" i="1"/>
  <c r="AP290" i="1"/>
  <c r="AP379" i="1"/>
  <c r="AP393" i="1"/>
  <c r="AS278" i="1"/>
  <c r="AP321" i="1"/>
  <c r="AP641" i="1" s="1"/>
  <c r="AP293" i="1"/>
  <c r="AP639" i="1" s="1"/>
  <c r="AP432" i="1"/>
  <c r="AP471" i="1"/>
  <c r="AP496" i="1"/>
  <c r="AP510" i="1"/>
  <c r="AP1122" i="1"/>
  <c r="AH341" i="1"/>
  <c r="AH347" i="1" s="1"/>
  <c r="AH1211" i="1"/>
  <c r="AI64" i="1"/>
  <c r="AH64" i="1"/>
  <c r="AO1459" i="1"/>
  <c r="AO1461" i="1" s="1"/>
  <c r="AO547" i="1" s="1"/>
  <c r="AR1463" i="1"/>
  <c r="AO1471" i="1"/>
  <c r="AO557" i="1" s="1"/>
  <c r="AO562" i="1" s="1"/>
  <c r="AM1196" i="1"/>
  <c r="AM1202" i="1"/>
  <c r="AG1146" i="1"/>
  <c r="AG1162" i="1" s="1"/>
  <c r="AG668" i="1"/>
  <c r="AG676" i="1"/>
  <c r="AV1252" i="1"/>
  <c r="AS1253" i="1"/>
  <c r="AS1269" i="1"/>
  <c r="AV1268" i="1"/>
  <c r="AH63" i="1"/>
  <c r="C119" i="7"/>
  <c r="D119" i="7" s="1"/>
  <c r="AO1269" i="1"/>
  <c r="AR1268" i="1"/>
  <c r="AP1196" i="1"/>
  <c r="AK550" i="1"/>
  <c r="AK553" i="1" s="1"/>
  <c r="AK10" i="1" s="1"/>
  <c r="AJ553" i="1"/>
  <c r="AJ10" i="1" s="1"/>
  <c r="AK1233" i="1"/>
  <c r="AJ1246" i="1"/>
  <c r="AG362" i="1"/>
  <c r="AI636" i="1"/>
  <c r="AS279" i="1"/>
  <c r="AP1121" i="1"/>
  <c r="AQ348" i="1"/>
  <c r="AQ1225" i="1"/>
  <c r="AR279" i="1"/>
  <c r="AO1121" i="1"/>
  <c r="AJ1147" i="1"/>
  <c r="AQ1228" i="1"/>
  <c r="AM1279" i="1"/>
  <c r="AM1451" i="1" s="1"/>
  <c r="AM576" i="1" s="1"/>
  <c r="AP1260" i="1"/>
  <c r="AM1261" i="1"/>
  <c r="AM1277" i="1"/>
  <c r="AP1279" i="1" s="1"/>
  <c r="AP1451" i="1" s="1"/>
  <c r="AP576" i="1" s="1"/>
  <c r="AV1217" i="1"/>
  <c r="AS1218" i="1"/>
  <c r="AU1189" i="1"/>
  <c r="AR1195" i="1"/>
  <c r="AT1189" i="1"/>
  <c r="AQ1268" i="1"/>
  <c r="AQ1273" i="1" s="1"/>
  <c r="AH1213" i="1"/>
  <c r="AH1215" i="1" s="1"/>
  <c r="AP1231" i="1"/>
  <c r="AS1210" i="1"/>
  <c r="AP1211" i="1"/>
  <c r="AN557" i="1"/>
  <c r="AS285" i="1"/>
  <c r="AJ660" i="1"/>
  <c r="AG661" i="1"/>
  <c r="AH660" i="1"/>
  <c r="AR282" i="1"/>
  <c r="AO1124" i="1"/>
  <c r="AV1189" i="1"/>
  <c r="AS1195" i="1"/>
  <c r="AK1236" i="1"/>
  <c r="AO1232" i="1"/>
  <c r="AL1233" i="1"/>
  <c r="AN1232" i="1"/>
  <c r="AN1235" i="1" s="1"/>
  <c r="AS284" i="1"/>
  <c r="AP303" i="1"/>
  <c r="AP655" i="1" s="1"/>
  <c r="AP327" i="1"/>
  <c r="AP657" i="1" s="1"/>
  <c r="AP399" i="1"/>
  <c r="AP438" i="1"/>
  <c r="AP477" i="1"/>
  <c r="AP502" i="1"/>
  <c r="AP516" i="1"/>
  <c r="AP385" i="1"/>
  <c r="AP1157" i="1"/>
  <c r="AP1130" i="1"/>
  <c r="AR278" i="1"/>
  <c r="AO321" i="1"/>
  <c r="AO641" i="1" s="1"/>
  <c r="AO293" i="1"/>
  <c r="AO639" i="1" s="1"/>
  <c r="AO379" i="1"/>
  <c r="AO393" i="1"/>
  <c r="AO432" i="1"/>
  <c r="AO471" i="1"/>
  <c r="AO496" i="1"/>
  <c r="AO510" i="1"/>
  <c r="AO1122" i="1"/>
  <c r="AL646" i="1"/>
  <c r="AL1150" i="1" s="1"/>
  <c r="AS289" i="1"/>
  <c r="AP1127" i="1"/>
  <c r="AQ1227" i="1"/>
  <c r="AP1194" i="1"/>
  <c r="AP1201" i="1"/>
  <c r="AS1188" i="1"/>
  <c r="AJ1249" i="1"/>
  <c r="AQ1195" i="1"/>
  <c r="AH1231" i="1"/>
  <c r="AF1240" i="1"/>
  <c r="AS286" i="1"/>
  <c r="AK562" i="1" l="1"/>
  <c r="R55" i="4"/>
  <c r="AK12" i="1"/>
  <c r="AF1241" i="1"/>
  <c r="AF1282" i="1"/>
  <c r="AF1285" i="1" s="1"/>
  <c r="AF563" i="1"/>
  <c r="AL64" i="1"/>
  <c r="AL63" i="1"/>
  <c r="AH630" i="1"/>
  <c r="AG632" i="1"/>
  <c r="AH632" i="1" s="1"/>
  <c r="AG619" i="1"/>
  <c r="AH619" i="1" s="1"/>
  <c r="AJ633" i="1"/>
  <c r="AI630" i="1"/>
  <c r="AS460" i="1"/>
  <c r="AS463" i="1"/>
  <c r="AS457" i="1"/>
  <c r="AS467" i="1"/>
  <c r="AR467" i="1"/>
  <c r="AR460" i="1"/>
  <c r="AR418" i="1"/>
  <c r="AR457" i="1"/>
  <c r="AO463" i="1"/>
  <c r="AO424" i="1"/>
  <c r="AS421" i="1"/>
  <c r="AS424" i="1"/>
  <c r="AS418" i="1"/>
  <c r="AS428" i="1"/>
  <c r="AR421" i="1"/>
  <c r="AR428" i="1"/>
  <c r="AJ64" i="1"/>
  <c r="AJ63" i="1"/>
  <c r="AN1226" i="1"/>
  <c r="AJ1239" i="1"/>
  <c r="AJ1240" i="1" s="1"/>
  <c r="AJ1208" i="1" s="1"/>
  <c r="AS1225" i="1"/>
  <c r="AV1224" i="1"/>
  <c r="AV1225" i="1" s="1"/>
  <c r="AS675" i="1"/>
  <c r="AT675" i="1" s="1"/>
  <c r="AQ675" i="1"/>
  <c r="AP1471" i="1"/>
  <c r="AP557" i="1" s="1"/>
  <c r="AP562" i="1" s="1"/>
  <c r="AP1459" i="1"/>
  <c r="AP1461" i="1" s="1"/>
  <c r="AP547" i="1" s="1"/>
  <c r="AQ547" i="1" s="1"/>
  <c r="AG347" i="1"/>
  <c r="AS1471" i="1"/>
  <c r="AS557" i="1" s="1"/>
  <c r="AQ1463" i="1"/>
  <c r="AQ1464" i="1" s="1"/>
  <c r="AV1463" i="1"/>
  <c r="AY1463" i="1" s="1"/>
  <c r="AL606" i="1"/>
  <c r="AL550" i="1" s="1"/>
  <c r="AL553" i="1" s="1"/>
  <c r="AL10" i="1" s="1"/>
  <c r="AN1464" i="1"/>
  <c r="AQ1220" i="1"/>
  <c r="AQ1221" i="1"/>
  <c r="AQ1218" i="1"/>
  <c r="AN1459" i="1"/>
  <c r="AN1461" i="1" s="1"/>
  <c r="AM12" i="1"/>
  <c r="AR284" i="1"/>
  <c r="AH645" i="1"/>
  <c r="R63" i="4" s="1"/>
  <c r="AO606" i="1"/>
  <c r="AO550" i="1" s="1"/>
  <c r="AO553" i="1" s="1"/>
  <c r="AO10" i="1" s="1"/>
  <c r="AQ625" i="1"/>
  <c r="AO502" i="1"/>
  <c r="AN625" i="1"/>
  <c r="AM644" i="1"/>
  <c r="AM645" i="1" s="1"/>
  <c r="AP1198" i="1"/>
  <c r="AK644" i="1"/>
  <c r="AH137" i="1"/>
  <c r="AI652" i="1"/>
  <c r="AL679" i="1" s="1"/>
  <c r="E27" i="4"/>
  <c r="E28" i="4"/>
  <c r="AJ137" i="1"/>
  <c r="D102" i="7"/>
  <c r="AV1197" i="1"/>
  <c r="E8" i="4"/>
  <c r="AL654" i="1"/>
  <c r="AL1156" i="1" s="1"/>
  <c r="AN1274" i="1"/>
  <c r="AN1270" i="1" s="1"/>
  <c r="AK679" i="1"/>
  <c r="AS298" i="1"/>
  <c r="AS647" i="1" s="1"/>
  <c r="AO1157" i="1"/>
  <c r="AR285" i="1"/>
  <c r="AO290" i="1"/>
  <c r="AO399" i="1"/>
  <c r="AO477" i="1"/>
  <c r="AO303" i="1"/>
  <c r="AO655" i="1" s="1"/>
  <c r="AO385" i="1"/>
  <c r="AO327" i="1"/>
  <c r="AO657" i="1" s="1"/>
  <c r="AF669" i="1"/>
  <c r="AR286" i="1"/>
  <c r="AO1130" i="1"/>
  <c r="AO516" i="1"/>
  <c r="AO438" i="1"/>
  <c r="AV281" i="1"/>
  <c r="AS1125" i="1"/>
  <c r="AS396" i="1"/>
  <c r="AV282" i="1"/>
  <c r="AV1124" i="1" s="1"/>
  <c r="AS499" i="1"/>
  <c r="AH653" i="1"/>
  <c r="R64" i="4" s="1"/>
  <c r="AL660" i="1"/>
  <c r="AL661" i="1" s="1"/>
  <c r="AS382" i="1"/>
  <c r="AR389" i="1"/>
  <c r="AO662" i="1"/>
  <c r="AO1153" i="1" s="1"/>
  <c r="AH668" i="1"/>
  <c r="AK1213" i="1"/>
  <c r="AK1215" i="1" s="1"/>
  <c r="AK1212" i="1" s="1"/>
  <c r="AT1228" i="1"/>
  <c r="AT1229" i="1" s="1"/>
  <c r="AT1226" i="1" s="1"/>
  <c r="AR520" i="1"/>
  <c r="AR310" i="1"/>
  <c r="AR663" i="1" s="1"/>
  <c r="AU289" i="1"/>
  <c r="AR403" i="1"/>
  <c r="AU288" i="1"/>
  <c r="AS513" i="1"/>
  <c r="AS435" i="1"/>
  <c r="AS324" i="1"/>
  <c r="AS649" i="1" s="1"/>
  <c r="AS1124" i="1"/>
  <c r="AR506" i="1"/>
  <c r="AR442" i="1"/>
  <c r="AR331" i="1"/>
  <c r="AR665" i="1" s="1"/>
  <c r="AP646" i="1"/>
  <c r="AP1150" i="1" s="1"/>
  <c r="AS474" i="1"/>
  <c r="AM1276" i="1"/>
  <c r="AP1276" i="1" s="1"/>
  <c r="AR1128" i="1"/>
  <c r="AR481" i="1"/>
  <c r="AV1232" i="1"/>
  <c r="AS1233" i="1"/>
  <c r="AP662" i="1"/>
  <c r="AP1153" i="1" s="1"/>
  <c r="AQ1229" i="1"/>
  <c r="AQ1226" i="1" s="1"/>
  <c r="AU1217" i="1"/>
  <c r="AW1217" i="1" s="1"/>
  <c r="AR1218" i="1"/>
  <c r="AV1188" i="1"/>
  <c r="AV1190" i="1" s="1"/>
  <c r="AV1192" i="1" s="1"/>
  <c r="AS1194" i="1"/>
  <c r="AP606" i="1"/>
  <c r="AP550" i="1" s="1"/>
  <c r="AI637" i="1"/>
  <c r="AL636" i="1"/>
  <c r="AX1224" i="1"/>
  <c r="AU1225" i="1"/>
  <c r="AV289" i="1"/>
  <c r="AS1127" i="1"/>
  <c r="AN1233" i="1"/>
  <c r="AN1236" i="1"/>
  <c r="AN1237" i="1" s="1"/>
  <c r="AN1234" i="1" s="1"/>
  <c r="AV285" i="1"/>
  <c r="AT1195" i="1"/>
  <c r="AU1195" i="1"/>
  <c r="AW1189" i="1"/>
  <c r="AX1189" i="1"/>
  <c r="AK1237" i="1"/>
  <c r="AK1234" i="1" s="1"/>
  <c r="AV1253" i="1"/>
  <c r="AY1252" i="1"/>
  <c r="AU1463" i="1"/>
  <c r="AR1471" i="1"/>
  <c r="AR557" i="1" s="1"/>
  <c r="AR562" i="1" s="1"/>
  <c r="AR1459" i="1"/>
  <c r="AR1461" i="1" s="1"/>
  <c r="AR547" i="1" s="1"/>
  <c r="AT547" i="1" s="1"/>
  <c r="AT1463" i="1"/>
  <c r="AP638" i="1"/>
  <c r="AK636" i="1"/>
  <c r="AJ637" i="1"/>
  <c r="AM636" i="1"/>
  <c r="AO12" i="1"/>
  <c r="AS389" i="1"/>
  <c r="AS403" i="1"/>
  <c r="AV288" i="1"/>
  <c r="AS331" i="1"/>
  <c r="AS665" i="1" s="1"/>
  <c r="AS310" i="1"/>
  <c r="AS663" i="1" s="1"/>
  <c r="AS442" i="1"/>
  <c r="AS481" i="1"/>
  <c r="AS506" i="1"/>
  <c r="AS520" i="1"/>
  <c r="AS1128" i="1"/>
  <c r="AN1210" i="1"/>
  <c r="AN1214" i="1" s="1"/>
  <c r="AL1231" i="1"/>
  <c r="AO1210" i="1"/>
  <c r="AL1211" i="1"/>
  <c r="AV286" i="1"/>
  <c r="AS1131" i="1"/>
  <c r="AG27" i="1"/>
  <c r="AH1212" i="1"/>
  <c r="AS1190" i="1"/>
  <c r="AS1192" i="1" s="1"/>
  <c r="AS1198" i="1" s="1"/>
  <c r="AU282" i="1"/>
  <c r="AR1124" i="1"/>
  <c r="AM660" i="1"/>
  <c r="AJ661" i="1"/>
  <c r="AK660" i="1"/>
  <c r="AM679" i="1"/>
  <c r="T55" i="4"/>
  <c r="AN562" i="1"/>
  <c r="AS1231" i="1"/>
  <c r="AV1210" i="1"/>
  <c r="AS1211" i="1"/>
  <c r="AQ1269" i="1"/>
  <c r="AU279" i="1"/>
  <c r="AR1121" i="1"/>
  <c r="AV279" i="1"/>
  <c r="AS1121" i="1"/>
  <c r="AQ1272" i="1"/>
  <c r="AV1269" i="1"/>
  <c r="AY1268" i="1"/>
  <c r="AH637" i="1"/>
  <c r="R62" i="4" s="1"/>
  <c r="AM553" i="1"/>
  <c r="AM10" i="1" s="1"/>
  <c r="AO646" i="1"/>
  <c r="AO1150" i="1" s="1"/>
  <c r="AK1231" i="1"/>
  <c r="AV284" i="1"/>
  <c r="AS327" i="1"/>
  <c r="AS657" i="1" s="1"/>
  <c r="AS303" i="1"/>
  <c r="AS655" i="1" s="1"/>
  <c r="AS438" i="1"/>
  <c r="AS477" i="1"/>
  <c r="AS502" i="1"/>
  <c r="AS516" i="1"/>
  <c r="AS385" i="1"/>
  <c r="AS399" i="1"/>
  <c r="AS1130" i="1"/>
  <c r="AS1157" i="1"/>
  <c r="AR1232" i="1"/>
  <c r="AO1233" i="1"/>
  <c r="AQ1232" i="1"/>
  <c r="AH661" i="1"/>
  <c r="AH649" i="1"/>
  <c r="AH648" i="1"/>
  <c r="AH640" i="1"/>
  <c r="AH655" i="1"/>
  <c r="AH663" i="1"/>
  <c r="AH656" i="1"/>
  <c r="AH639" i="1"/>
  <c r="AH657" i="1"/>
  <c r="AH665" i="1"/>
  <c r="AH664" i="1"/>
  <c r="AH647" i="1"/>
  <c r="AH641" i="1"/>
  <c r="AT344" i="1"/>
  <c r="AT1218" i="1"/>
  <c r="AT1220" i="1"/>
  <c r="AT1221" i="1"/>
  <c r="AP1261" i="1"/>
  <c r="AS1260" i="1"/>
  <c r="AP1277" i="1"/>
  <c r="AP1249" i="1" s="1"/>
  <c r="AU1268" i="1"/>
  <c r="AW1268" i="1" s="1"/>
  <c r="AR1269" i="1"/>
  <c r="AT1268" i="1"/>
  <c r="AT1273" i="1" s="1"/>
  <c r="AM652" i="1"/>
  <c r="AJ653" i="1"/>
  <c r="AU625" i="1"/>
  <c r="AX675" i="1"/>
  <c r="AU278" i="1"/>
  <c r="AR293" i="1"/>
  <c r="AR639" i="1" s="1"/>
  <c r="AR321" i="1"/>
  <c r="AR641" i="1" s="1"/>
  <c r="AR432" i="1"/>
  <c r="AR471" i="1"/>
  <c r="AR496" i="1"/>
  <c r="AR510" i="1"/>
  <c r="AR379" i="1"/>
  <c r="AR393" i="1"/>
  <c r="AR1122" i="1"/>
  <c r="AG1167" i="1"/>
  <c r="AJ1288" i="1"/>
  <c r="AJ1295" i="1"/>
  <c r="AJ1296" i="1"/>
  <c r="AG1286" i="1"/>
  <c r="AL1297" i="1"/>
  <c r="AJ1454" i="1"/>
  <c r="AG337" i="1"/>
  <c r="AI1243" i="1"/>
  <c r="AH1240" i="1"/>
  <c r="AI1242" i="1"/>
  <c r="AO638" i="1"/>
  <c r="AP654" i="1"/>
  <c r="AP1156" i="1" s="1"/>
  <c r="AY1189" i="1"/>
  <c r="AV1195" i="1"/>
  <c r="AY1217" i="1"/>
  <c r="AV1218" i="1"/>
  <c r="AM1278" i="1"/>
  <c r="AP1280" i="1"/>
  <c r="AM1283" i="1"/>
  <c r="AM1248" i="1"/>
  <c r="AM1250" i="1"/>
  <c r="AM1249" i="1"/>
  <c r="F8" i="4"/>
  <c r="AK137" i="1"/>
  <c r="E102" i="7"/>
  <c r="AQ1271" i="1"/>
  <c r="AG688" i="1"/>
  <c r="AG673" i="1"/>
  <c r="AG687" i="1"/>
  <c r="AG626" i="1"/>
  <c r="AJ689" i="1"/>
  <c r="AV278" i="1"/>
  <c r="AS321" i="1"/>
  <c r="AS641" i="1" s="1"/>
  <c r="AS293" i="1"/>
  <c r="AS639" i="1" s="1"/>
  <c r="AS290" i="1"/>
  <c r="AS393" i="1"/>
  <c r="AS432" i="1"/>
  <c r="AS471" i="1"/>
  <c r="AS496" i="1"/>
  <c r="AS379" i="1"/>
  <c r="AS510" i="1"/>
  <c r="AS1122" i="1"/>
  <c r="AG669" i="1"/>
  <c r="AJ680" i="1" s="1"/>
  <c r="AM1246" i="1"/>
  <c r="AJ362" i="1"/>
  <c r="BA1197" i="1"/>
  <c r="AZ1197" i="1"/>
  <c r="AU281" i="1"/>
  <c r="AR324" i="1"/>
  <c r="AR649" i="1" s="1"/>
  <c r="AR298" i="1"/>
  <c r="AR647" i="1" s="1"/>
  <c r="AR396" i="1"/>
  <c r="AR435" i="1"/>
  <c r="AR474" i="1"/>
  <c r="AR499" i="1"/>
  <c r="AR513" i="1"/>
  <c r="AR382" i="1"/>
  <c r="AR1125" i="1"/>
  <c r="AL644" i="1"/>
  <c r="AI645" i="1"/>
  <c r="AR606" i="1"/>
  <c r="AK341" i="1"/>
  <c r="AK1211" i="1"/>
  <c r="AT348" i="1"/>
  <c r="AT1225" i="1"/>
  <c r="AK63" i="1" l="1"/>
  <c r="AV457" i="1"/>
  <c r="AM63" i="1"/>
  <c r="AM64" i="1"/>
  <c r="AN64" i="1" s="1"/>
  <c r="AF1126" i="1"/>
  <c r="AF670" i="1"/>
  <c r="AF671" i="1" s="1"/>
  <c r="AF623" i="1"/>
  <c r="AF634" i="1" s="1"/>
  <c r="AF1290" i="1"/>
  <c r="AF1286" i="1"/>
  <c r="AF1287" i="1" s="1"/>
  <c r="AF1453" i="1" s="1"/>
  <c r="AF1455" i="1" s="1"/>
  <c r="AF1456" i="1" s="1"/>
  <c r="AF1293" i="1"/>
  <c r="AO63" i="1"/>
  <c r="AO64" i="1"/>
  <c r="AG621" i="1"/>
  <c r="AG151" i="1"/>
  <c r="AI632" i="1"/>
  <c r="AI619" i="1"/>
  <c r="AL633" i="1"/>
  <c r="AJ630" i="1"/>
  <c r="AJ1282" i="1"/>
  <c r="AJ1285" i="1" s="1"/>
  <c r="AJ338" i="1" s="1"/>
  <c r="AM1243" i="1"/>
  <c r="R65" i="4"/>
  <c r="AV467" i="1"/>
  <c r="AK64" i="1"/>
  <c r="AU457" i="1"/>
  <c r="AV460" i="1"/>
  <c r="AV463" i="1"/>
  <c r="AU467" i="1"/>
  <c r="AU421" i="1"/>
  <c r="AU460" i="1"/>
  <c r="AR463" i="1"/>
  <c r="AV421" i="1"/>
  <c r="AU418" i="1"/>
  <c r="AV424" i="1"/>
  <c r="AV418" i="1"/>
  <c r="AV428" i="1"/>
  <c r="AU428" i="1"/>
  <c r="AR424" i="1"/>
  <c r="AQ1471" i="1"/>
  <c r="AJ1207" i="1"/>
  <c r="AM1242" i="1"/>
  <c r="AM1239" i="1" s="1"/>
  <c r="AM1240" i="1" s="1"/>
  <c r="AM1282" i="1" s="1"/>
  <c r="AM1285" i="1" s="1"/>
  <c r="AM337" i="1" s="1"/>
  <c r="AJ1206" i="1"/>
  <c r="AJ1205" i="1"/>
  <c r="AJ1241" i="1"/>
  <c r="AQ557" i="1"/>
  <c r="AW1224" i="1"/>
  <c r="AW348" i="1" s="1"/>
  <c r="AY1224" i="1"/>
  <c r="AZ1224" i="1" s="1"/>
  <c r="AZ1227" i="1" s="1"/>
  <c r="AV675" i="1"/>
  <c r="AW675" i="1" s="1"/>
  <c r="AS625" i="1"/>
  <c r="AS606" i="1" s="1"/>
  <c r="AS550" i="1" s="1"/>
  <c r="AS562" i="1"/>
  <c r="AQ1459" i="1"/>
  <c r="AQ1461" i="1" s="1"/>
  <c r="AV1459" i="1"/>
  <c r="AV1461" i="1" s="1"/>
  <c r="AV547" i="1" s="1"/>
  <c r="AV1471" i="1"/>
  <c r="AV557" i="1" s="1"/>
  <c r="AV562" i="1" s="1"/>
  <c r="AL137" i="1"/>
  <c r="AS646" i="1"/>
  <c r="AS1150" i="1" s="1"/>
  <c r="AN550" i="1"/>
  <c r="AN553" i="1" s="1"/>
  <c r="AN10" i="1" s="1"/>
  <c r="AN606" i="1"/>
  <c r="AQ1222" i="1"/>
  <c r="AQ1219" i="1" s="1"/>
  <c r="AR1157" i="1"/>
  <c r="AN12" i="1"/>
  <c r="AP12" i="1"/>
  <c r="AN644" i="1"/>
  <c r="AK652" i="1"/>
  <c r="AK645" i="1"/>
  <c r="S63" i="4" s="1"/>
  <c r="AV1198" i="1"/>
  <c r="AF1120" i="1"/>
  <c r="AV382" i="1"/>
  <c r="AO137" i="1"/>
  <c r="AI653" i="1"/>
  <c r="AV298" i="1"/>
  <c r="AV647" i="1" s="1"/>
  <c r="AI689" i="1"/>
  <c r="AL652" i="1"/>
  <c r="AL653" i="1" s="1"/>
  <c r="AM137" i="1"/>
  <c r="AH676" i="1"/>
  <c r="AY1197" i="1"/>
  <c r="AR1130" i="1"/>
  <c r="AV396" i="1"/>
  <c r="AY281" i="1"/>
  <c r="AV474" i="1"/>
  <c r="AI671" i="1"/>
  <c r="AI668" i="1" s="1"/>
  <c r="AI669" i="1" s="1"/>
  <c r="AL671" i="1" s="1"/>
  <c r="AL668" i="1" s="1"/>
  <c r="AI680" i="1"/>
  <c r="AJ681" i="1"/>
  <c r="AR385" i="1"/>
  <c r="AR303" i="1"/>
  <c r="AR655" i="1" s="1"/>
  <c r="AU284" i="1"/>
  <c r="AF1129" i="1"/>
  <c r="AI672" i="1"/>
  <c r="AI1161" i="1" s="1"/>
  <c r="AF677" i="1"/>
  <c r="AF280" i="1"/>
  <c r="AF277" i="1"/>
  <c r="AF1123" i="1"/>
  <c r="AF283" i="1"/>
  <c r="AF287" i="1"/>
  <c r="AU1128" i="1"/>
  <c r="AR502" i="1"/>
  <c r="AR1131" i="1"/>
  <c r="AU285" i="1"/>
  <c r="AU310" i="1"/>
  <c r="AU663" i="1" s="1"/>
  <c r="AQ606" i="1"/>
  <c r="AU506" i="1"/>
  <c r="AO654" i="1"/>
  <c r="AO1156" i="1" s="1"/>
  <c r="AU286" i="1"/>
  <c r="AU1131" i="1" s="1"/>
  <c r="AR290" i="1"/>
  <c r="AR516" i="1"/>
  <c r="AR438" i="1"/>
  <c r="AR399" i="1"/>
  <c r="AP644" i="1"/>
  <c r="AR477" i="1"/>
  <c r="AR327" i="1"/>
  <c r="AR657" i="1" s="1"/>
  <c r="AV513" i="1"/>
  <c r="AV435" i="1"/>
  <c r="AV324" i="1"/>
  <c r="AV649" i="1" s="1"/>
  <c r="AY282" i="1"/>
  <c r="AY1124" i="1" s="1"/>
  <c r="AV1125" i="1"/>
  <c r="AV499" i="1"/>
  <c r="AO660" i="1"/>
  <c r="AO661" i="1" s="1"/>
  <c r="AX288" i="1"/>
  <c r="AU1127" i="1"/>
  <c r="AU481" i="1"/>
  <c r="AU403" i="1"/>
  <c r="AU331" i="1"/>
  <c r="AU665" i="1" s="1"/>
  <c r="AX289" i="1"/>
  <c r="AU389" i="1"/>
  <c r="AU520" i="1"/>
  <c r="AU442" i="1"/>
  <c r="AR662" i="1"/>
  <c r="AR1153" i="1" s="1"/>
  <c r="AN1213" i="1"/>
  <c r="AN1215" i="1" s="1"/>
  <c r="AN1212" i="1" s="1"/>
  <c r="AF622" i="1"/>
  <c r="AH151" i="1"/>
  <c r="AH633" i="1"/>
  <c r="AY1232" i="1"/>
  <c r="AV1233" i="1"/>
  <c r="AT1222" i="1"/>
  <c r="AT1219" i="1" s="1"/>
  <c r="AH642" i="1"/>
  <c r="AH279" i="1" s="1"/>
  <c r="AR646" i="1"/>
  <c r="AR1150" i="1" s="1"/>
  <c r="AF347" i="1"/>
  <c r="AX1217" i="1"/>
  <c r="AZ1217" i="1" s="1"/>
  <c r="AU1218" i="1"/>
  <c r="AT1271" i="1"/>
  <c r="AS654" i="1"/>
  <c r="AS1156" i="1" s="1"/>
  <c r="AQ1274" i="1"/>
  <c r="AQ1270" i="1" s="1"/>
  <c r="AH1282" i="1"/>
  <c r="AG536" i="1"/>
  <c r="AG1184" i="1"/>
  <c r="AQ1233" i="1"/>
  <c r="AK661" i="1"/>
  <c r="AK640" i="1"/>
  <c r="AK656" i="1"/>
  <c r="AK647" i="1"/>
  <c r="AK648" i="1"/>
  <c r="AK641" i="1"/>
  <c r="AK639" i="1"/>
  <c r="AK664" i="1"/>
  <c r="AK649" i="1"/>
  <c r="AK665" i="1"/>
  <c r="AK655" i="1"/>
  <c r="AK663" i="1"/>
  <c r="AK657" i="1"/>
  <c r="AS1196" i="1"/>
  <c r="AS1202" i="1"/>
  <c r="AZ1189" i="1"/>
  <c r="BA1189" i="1"/>
  <c r="AX1195" i="1"/>
  <c r="BB1217" i="1"/>
  <c r="AY1218" i="1"/>
  <c r="AV1196" i="1"/>
  <c r="AH1241" i="1"/>
  <c r="AK1243" i="1"/>
  <c r="AH1206" i="1"/>
  <c r="AH1207" i="1"/>
  <c r="AH1208" i="1"/>
  <c r="AH1205" i="1"/>
  <c r="AR638" i="1"/>
  <c r="AT1269" i="1"/>
  <c r="AT1272" i="1"/>
  <c r="AV1260" i="1"/>
  <c r="AS1261" i="1"/>
  <c r="AS1277" i="1"/>
  <c r="AS1249" i="1" s="1"/>
  <c r="AH650" i="1"/>
  <c r="AH646" i="1" s="1"/>
  <c r="AH1150" i="1" s="1"/>
  <c r="AQ1235" i="1"/>
  <c r="AQ1236" i="1"/>
  <c r="AX279" i="1"/>
  <c r="AU1121" i="1"/>
  <c r="AX282" i="1"/>
  <c r="AU1124" i="1"/>
  <c r="AQ1210" i="1"/>
  <c r="AQ1214" i="1" s="1"/>
  <c r="AO1231" i="1"/>
  <c r="AR1210" i="1"/>
  <c r="AO1211" i="1"/>
  <c r="AY288" i="1"/>
  <c r="AV331" i="1"/>
  <c r="AV665" i="1" s="1"/>
  <c r="AV310" i="1"/>
  <c r="AV663" i="1" s="1"/>
  <c r="AV389" i="1"/>
  <c r="AV403" i="1"/>
  <c r="AV442" i="1"/>
  <c r="AV481" i="1"/>
  <c r="AV506" i="1"/>
  <c r="AV520" i="1"/>
  <c r="AV1128" i="1"/>
  <c r="AR12" i="1"/>
  <c r="AP636" i="1"/>
  <c r="AN636" i="1"/>
  <c r="AM637" i="1"/>
  <c r="AT1471" i="1"/>
  <c r="AT1459" i="1"/>
  <c r="AT1461" i="1" s="1"/>
  <c r="AT1464" i="1"/>
  <c r="AY1253" i="1"/>
  <c r="BB1252" i="1"/>
  <c r="AW1195" i="1"/>
  <c r="AY285" i="1"/>
  <c r="AY289" i="1"/>
  <c r="AV1127" i="1"/>
  <c r="AO636" i="1"/>
  <c r="AL637" i="1"/>
  <c r="AP553" i="1"/>
  <c r="AP10" i="1" s="1"/>
  <c r="AQ550" i="1"/>
  <c r="AQ553" i="1" s="1"/>
  <c r="AQ10" i="1" s="1"/>
  <c r="AP1246" i="1"/>
  <c r="AM362" i="1"/>
  <c r="AW1269" i="1"/>
  <c r="AU1471" i="1"/>
  <c r="AU557" i="1" s="1"/>
  <c r="AU562" i="1" s="1"/>
  <c r="AW1463" i="1"/>
  <c r="AU1459" i="1"/>
  <c r="AU1461" i="1" s="1"/>
  <c r="AU547" i="1" s="1"/>
  <c r="AX1463" i="1"/>
  <c r="BA1224" i="1"/>
  <c r="AX1225" i="1"/>
  <c r="AW344" i="1"/>
  <c r="AW1218" i="1"/>
  <c r="AW1221" i="1"/>
  <c r="AW1220" i="1"/>
  <c r="AY1195" i="1"/>
  <c r="BB1189" i="1"/>
  <c r="AX625" i="1"/>
  <c r="BA675" i="1"/>
  <c r="AX1268" i="1"/>
  <c r="AZ1268" i="1" s="1"/>
  <c r="AU1269" i="1"/>
  <c r="AW1271" i="1"/>
  <c r="AW1273" i="1"/>
  <c r="AW1272" i="1"/>
  <c r="AH666" i="1"/>
  <c r="AV385" i="1"/>
  <c r="AV399" i="1"/>
  <c r="AV327" i="1"/>
  <c r="AV657" i="1" s="1"/>
  <c r="AV303" i="1"/>
  <c r="AV655" i="1" s="1"/>
  <c r="AY284" i="1"/>
  <c r="AV438" i="1"/>
  <c r="AV477" i="1"/>
  <c r="AV502" i="1"/>
  <c r="AV516" i="1"/>
  <c r="AV1130" i="1"/>
  <c r="AV1157" i="1"/>
  <c r="BB1268" i="1"/>
  <c r="AY1269" i="1"/>
  <c r="AY1210" i="1"/>
  <c r="AV1211" i="1"/>
  <c r="AV1231" i="1"/>
  <c r="AN660" i="1"/>
  <c r="AP679" i="1"/>
  <c r="AP660" i="1"/>
  <c r="AM661" i="1"/>
  <c r="AN1231" i="1"/>
  <c r="AY1471" i="1"/>
  <c r="AY557" i="1" s="1"/>
  <c r="AY1459" i="1"/>
  <c r="AY1461" i="1" s="1"/>
  <c r="AY547" i="1" s="1"/>
  <c r="BB1463" i="1"/>
  <c r="AP1147" i="1"/>
  <c r="AG670" i="1"/>
  <c r="AG1163" i="1" s="1"/>
  <c r="AL681" i="1"/>
  <c r="AH669" i="1"/>
  <c r="AG623" i="1"/>
  <c r="AJ672" i="1"/>
  <c r="AJ1161" i="1" s="1"/>
  <c r="AG1123" i="1"/>
  <c r="AG283" i="1"/>
  <c r="AG1129" i="1"/>
  <c r="AG280" i="1"/>
  <c r="AG1126" i="1"/>
  <c r="AG1120" i="1"/>
  <c r="AG277" i="1"/>
  <c r="AJ671" i="1"/>
  <c r="AG287" i="1"/>
  <c r="AP1283" i="1"/>
  <c r="AS1280" i="1"/>
  <c r="AP1278" i="1"/>
  <c r="AP1250" i="1"/>
  <c r="AP1248" i="1"/>
  <c r="AH658" i="1"/>
  <c r="AH654" i="1" s="1"/>
  <c r="AH1156" i="1" s="1"/>
  <c r="AK637" i="1"/>
  <c r="S62" i="4" s="1"/>
  <c r="AS1201" i="1"/>
  <c r="AO644" i="1"/>
  <c r="AL645" i="1"/>
  <c r="AG677" i="1"/>
  <c r="AR550" i="1"/>
  <c r="AR553" i="1" s="1"/>
  <c r="AR10" i="1" s="1"/>
  <c r="AX281" i="1"/>
  <c r="AU298" i="1"/>
  <c r="AU647" i="1" s="1"/>
  <c r="AU382" i="1"/>
  <c r="AU396" i="1"/>
  <c r="AU324" i="1"/>
  <c r="AU649" i="1" s="1"/>
  <c r="AU435" i="1"/>
  <c r="AU474" i="1"/>
  <c r="AU499" i="1"/>
  <c r="AU513" i="1"/>
  <c r="AU1125" i="1"/>
  <c r="BC1197" i="1"/>
  <c r="BD1197" i="1"/>
  <c r="AS638" i="1"/>
  <c r="AY278" i="1"/>
  <c r="AV293" i="1"/>
  <c r="AV639" i="1" s="1"/>
  <c r="AV290" i="1"/>
  <c r="AV321" i="1"/>
  <c r="AV641" i="1" s="1"/>
  <c r="AV379" i="1"/>
  <c r="AV432" i="1"/>
  <c r="AV471" i="1"/>
  <c r="AV496" i="1"/>
  <c r="AV510" i="1"/>
  <c r="AV393" i="1"/>
  <c r="AV1122" i="1"/>
  <c r="AG624" i="1"/>
  <c r="AG605" i="1" s="1"/>
  <c r="AG674" i="1"/>
  <c r="AV1202" i="1"/>
  <c r="AO1147" i="1"/>
  <c r="AI1239" i="1"/>
  <c r="AI1452" i="1"/>
  <c r="AI579" i="1" s="1"/>
  <c r="AG1287" i="1"/>
  <c r="AX278" i="1"/>
  <c r="AU321" i="1"/>
  <c r="AU641" i="1" s="1"/>
  <c r="AU293" i="1"/>
  <c r="AU639" i="1" s="1"/>
  <c r="AU379" i="1"/>
  <c r="AU432" i="1"/>
  <c r="AU471" i="1"/>
  <c r="AU496" i="1"/>
  <c r="AU510" i="1"/>
  <c r="AU393" i="1"/>
  <c r="AU1122" i="1"/>
  <c r="AU606" i="1"/>
  <c r="AP652" i="1"/>
  <c r="AM653" i="1"/>
  <c r="AS1279" i="1"/>
  <c r="AS1451" i="1" s="1"/>
  <c r="AS576" i="1" s="1"/>
  <c r="AU1232" i="1"/>
  <c r="AR1233" i="1"/>
  <c r="AT1232" i="1"/>
  <c r="AT1235" i="1" s="1"/>
  <c r="AY279" i="1"/>
  <c r="AV1121" i="1"/>
  <c r="AH27" i="1"/>
  <c r="AY286" i="1"/>
  <c r="AV1131" i="1"/>
  <c r="AN341" i="1"/>
  <c r="AN1211" i="1"/>
  <c r="AS662" i="1"/>
  <c r="AS1153" i="1" s="1"/>
  <c r="AH626" i="1"/>
  <c r="R52" i="4" s="1"/>
  <c r="AN679" i="1"/>
  <c r="AT557" i="1"/>
  <c r="V55" i="4" s="1"/>
  <c r="AY1188" i="1"/>
  <c r="AY1190" i="1" s="1"/>
  <c r="AY1192" i="1" s="1"/>
  <c r="AY1198" i="1" s="1"/>
  <c r="AV1194" i="1"/>
  <c r="AV1201" i="1"/>
  <c r="AK681" i="1" l="1"/>
  <c r="AV625" i="1"/>
  <c r="AV606" i="1" s="1"/>
  <c r="AV550" i="1" s="1"/>
  <c r="AH673" i="1"/>
  <c r="AH674" i="1" s="1"/>
  <c r="F27" i="4"/>
  <c r="AO1297" i="1"/>
  <c r="AJ1167" i="1"/>
  <c r="AJ536" i="1" s="1"/>
  <c r="AP1243" i="1"/>
  <c r="AM1454" i="1"/>
  <c r="AM1295" i="1"/>
  <c r="AM1288" i="1"/>
  <c r="AJ1286" i="1"/>
  <c r="AJ1287" i="1" s="1"/>
  <c r="AJ1453" i="1" s="1"/>
  <c r="AJ1455" i="1" s="1"/>
  <c r="AJ1456" i="1" s="1"/>
  <c r="AJ337" i="1"/>
  <c r="AP63" i="1"/>
  <c r="AM1296" i="1"/>
  <c r="AP64" i="1"/>
  <c r="AF1146" i="1"/>
  <c r="AF1162" i="1" s="1"/>
  <c r="AF1163" i="1" s="1"/>
  <c r="AR64" i="1"/>
  <c r="AN63" i="1"/>
  <c r="AR63" i="1"/>
  <c r="AI621" i="1"/>
  <c r="AI151" i="1"/>
  <c r="AK630" i="1"/>
  <c r="AJ632" i="1"/>
  <c r="AJ619" i="1"/>
  <c r="AK619" i="1" s="1"/>
  <c r="AM633" i="1"/>
  <c r="AL630" i="1"/>
  <c r="AH621" i="1"/>
  <c r="AG152" i="1"/>
  <c r="AG155" i="1" s="1"/>
  <c r="AG134" i="1" s="1"/>
  <c r="AG72" i="1" s="1"/>
  <c r="AG76" i="1" s="1"/>
  <c r="AG622" i="1"/>
  <c r="AM1207" i="1"/>
  <c r="AM1205" i="1"/>
  <c r="F28" i="4"/>
  <c r="AY1225" i="1"/>
  <c r="AM1452" i="1"/>
  <c r="AM579" i="1" s="1"/>
  <c r="AH1242" i="1"/>
  <c r="R67" i="4"/>
  <c r="S65" i="4"/>
  <c r="AX467" i="1"/>
  <c r="AX418" i="1"/>
  <c r="AX457" i="1"/>
  <c r="AY457" i="1"/>
  <c r="AY463" i="1"/>
  <c r="AY467" i="1"/>
  <c r="AX421" i="1"/>
  <c r="AX460" i="1"/>
  <c r="AY460" i="1"/>
  <c r="AU463" i="1"/>
  <c r="AY428" i="1"/>
  <c r="AU424" i="1"/>
  <c r="AY424" i="1"/>
  <c r="AY1125" i="1"/>
  <c r="AY421" i="1"/>
  <c r="AX1128" i="1"/>
  <c r="AX428" i="1"/>
  <c r="AY418" i="1"/>
  <c r="AR654" i="1"/>
  <c r="AR1156" i="1" s="1"/>
  <c r="AM1208" i="1"/>
  <c r="AM1241" i="1"/>
  <c r="AM1206" i="1"/>
  <c r="AK680" i="1"/>
  <c r="AQ562" i="1"/>
  <c r="U55" i="4"/>
  <c r="AJ347" i="1"/>
  <c r="AP1242" i="1"/>
  <c r="AP1452" i="1" s="1"/>
  <c r="AP579" i="1" s="1"/>
  <c r="AY675" i="1"/>
  <c r="AZ675" i="1" s="1"/>
  <c r="AW1225" i="1"/>
  <c r="AW547" i="1"/>
  <c r="BB1224" i="1"/>
  <c r="BE1224" i="1" s="1"/>
  <c r="AN137" i="1"/>
  <c r="AW1227" i="1"/>
  <c r="AW1228" i="1"/>
  <c r="AT625" i="1"/>
  <c r="AQ12" i="1"/>
  <c r="AQ63" i="1" s="1"/>
  <c r="AS644" i="1"/>
  <c r="AS645" i="1" s="1"/>
  <c r="G8" i="4"/>
  <c r="AN652" i="1"/>
  <c r="F102" i="7"/>
  <c r="AO679" i="1"/>
  <c r="AQ679" i="1" s="1"/>
  <c r="AN645" i="1"/>
  <c r="T63" i="4" s="1"/>
  <c r="AF674" i="1"/>
  <c r="AS12" i="1"/>
  <c r="AK653" i="1"/>
  <c r="S64" i="4" s="1"/>
  <c r="AH688" i="1"/>
  <c r="AM681" i="1"/>
  <c r="AN681" i="1" s="1"/>
  <c r="AO652" i="1"/>
  <c r="AR679" i="1" s="1"/>
  <c r="AP645" i="1"/>
  <c r="BB281" i="1"/>
  <c r="AY474" i="1"/>
  <c r="AU303" i="1"/>
  <c r="AU655" i="1" s="1"/>
  <c r="AU502" i="1"/>
  <c r="AK689" i="1"/>
  <c r="AI280" i="1"/>
  <c r="AL680" i="1"/>
  <c r="AI1120" i="1"/>
  <c r="AI287" i="1"/>
  <c r="AI670" i="1"/>
  <c r="AH677" i="1"/>
  <c r="AH687" i="1"/>
  <c r="AI277" i="1"/>
  <c r="AI1126" i="1"/>
  <c r="AI283" i="1"/>
  <c r="AL672" i="1"/>
  <c r="AL1161" i="1" s="1"/>
  <c r="AI623" i="1"/>
  <c r="AV646" i="1"/>
  <c r="AV1150" i="1" s="1"/>
  <c r="AU438" i="1"/>
  <c r="AU290" i="1"/>
  <c r="AL669" i="1"/>
  <c r="AL277" i="1" s="1"/>
  <c r="AU399" i="1"/>
  <c r="AU516" i="1"/>
  <c r="AX284" i="1"/>
  <c r="AU1157" i="1"/>
  <c r="AR137" i="1"/>
  <c r="AX286" i="1"/>
  <c r="AX1131" i="1" s="1"/>
  <c r="AP137" i="1"/>
  <c r="AX285" i="1"/>
  <c r="AU385" i="1"/>
  <c r="AU327" i="1"/>
  <c r="AU657" i="1" s="1"/>
  <c r="AU1130" i="1"/>
  <c r="AU477" i="1"/>
  <c r="BB1197" i="1"/>
  <c r="AY298" i="1"/>
  <c r="AY647" i="1" s="1"/>
  <c r="AF291" i="1"/>
  <c r="AI1129" i="1"/>
  <c r="AI686" i="1"/>
  <c r="AI676" i="1" s="1"/>
  <c r="AJ686" i="1"/>
  <c r="AJ676" i="1" s="1"/>
  <c r="AU662" i="1"/>
  <c r="AU1153" i="1" s="1"/>
  <c r="BA288" i="1"/>
  <c r="AI1123" i="1"/>
  <c r="AF1133" i="1"/>
  <c r="AF1145" i="1" s="1"/>
  <c r="AI1146" i="1"/>
  <c r="AI1162" i="1" s="1"/>
  <c r="AF1132" i="1"/>
  <c r="AF1138" i="1" s="1"/>
  <c r="AQ644" i="1"/>
  <c r="AQ645" i="1" s="1"/>
  <c r="AX520" i="1"/>
  <c r="AX506" i="1"/>
  <c r="AH1149" i="1"/>
  <c r="BA289" i="1"/>
  <c r="AH1152" i="1"/>
  <c r="AX442" i="1"/>
  <c r="AX1127" i="1"/>
  <c r="AH1154" i="1"/>
  <c r="AX310" i="1"/>
  <c r="AX663" i="1" s="1"/>
  <c r="AY396" i="1"/>
  <c r="AX403" i="1"/>
  <c r="AX481" i="1"/>
  <c r="AX331" i="1"/>
  <c r="AX665" i="1" s="1"/>
  <c r="BB282" i="1"/>
  <c r="AH638" i="1"/>
  <c r="AH1147" i="1" s="1"/>
  <c r="AY513" i="1"/>
  <c r="AY435" i="1"/>
  <c r="AY382" i="1"/>
  <c r="AX389" i="1"/>
  <c r="AY499" i="1"/>
  <c r="AY324" i="1"/>
  <c r="AY649" i="1" s="1"/>
  <c r="AH1151" i="1"/>
  <c r="AH1148" i="1"/>
  <c r="AR660" i="1"/>
  <c r="AR661" i="1" s="1"/>
  <c r="AT606" i="1"/>
  <c r="AH662" i="1"/>
  <c r="AH1153" i="1" s="1"/>
  <c r="AK642" i="1"/>
  <c r="AK638" i="1" s="1"/>
  <c r="AK1147" i="1" s="1"/>
  <c r="AQ1237" i="1"/>
  <c r="AQ1234" i="1" s="1"/>
  <c r="AT1236" i="1"/>
  <c r="AT1237" i="1" s="1"/>
  <c r="AT1234" i="1" s="1"/>
  <c r="AM338" i="1"/>
  <c r="AH278" i="1"/>
  <c r="AH418" i="1" s="1"/>
  <c r="BB1232" i="1"/>
  <c r="AY1233" i="1"/>
  <c r="AV654" i="1"/>
  <c r="AV1156" i="1" s="1"/>
  <c r="AW1222" i="1"/>
  <c r="AW1219" i="1" s="1"/>
  <c r="AV638" i="1"/>
  <c r="AV1147" i="1" s="1"/>
  <c r="AW1274" i="1"/>
  <c r="AW1270" i="1" s="1"/>
  <c r="AQ1213" i="1"/>
  <c r="AQ1215" i="1" s="1"/>
  <c r="AQ1212" i="1" s="1"/>
  <c r="AV1279" i="1"/>
  <c r="AV1451" i="1" s="1"/>
  <c r="AV576" i="1" s="1"/>
  <c r="AT1274" i="1"/>
  <c r="AT1270" i="1" s="1"/>
  <c r="AK658" i="1"/>
  <c r="AK654" i="1" s="1"/>
  <c r="AK1156" i="1" s="1"/>
  <c r="AL1146" i="1"/>
  <c r="AH1155" i="1"/>
  <c r="AZ1228" i="1"/>
  <c r="AZ1229" i="1" s="1"/>
  <c r="AZ1226" i="1" s="1"/>
  <c r="AX1218" i="1"/>
  <c r="BA1217" i="1"/>
  <c r="BC1217" i="1" s="1"/>
  <c r="AY1196" i="1"/>
  <c r="AY1202" i="1"/>
  <c r="BF1197" i="1"/>
  <c r="BG1197" i="1"/>
  <c r="BB279" i="1"/>
  <c r="AY1121" i="1"/>
  <c r="AT1233" i="1"/>
  <c r="AU550" i="1"/>
  <c r="AU553" i="1" s="1"/>
  <c r="AU10" i="1" s="1"/>
  <c r="AK1239" i="1"/>
  <c r="AI1240" i="1"/>
  <c r="BA281" i="1"/>
  <c r="AX324" i="1"/>
  <c r="AX649" i="1" s="1"/>
  <c r="AX298" i="1"/>
  <c r="AX647" i="1" s="1"/>
  <c r="AX382" i="1"/>
  <c r="AX396" i="1"/>
  <c r="AX435" i="1"/>
  <c r="AX474" i="1"/>
  <c r="AX499" i="1"/>
  <c r="AX513" i="1"/>
  <c r="AX1125" i="1"/>
  <c r="AR644" i="1"/>
  <c r="AO645" i="1"/>
  <c r="AH284" i="1"/>
  <c r="AH285" i="1"/>
  <c r="AH286" i="1"/>
  <c r="AJ668" i="1"/>
  <c r="AJ1146" i="1"/>
  <c r="AJ1162" i="1" s="1"/>
  <c r="AY562" i="1"/>
  <c r="AQ660" i="1"/>
  <c r="AS679" i="1"/>
  <c r="AS660" i="1"/>
  <c r="AP661" i="1"/>
  <c r="AW1459" i="1"/>
  <c r="AW1461" i="1" s="1"/>
  <c r="AW1464" i="1"/>
  <c r="AW1471" i="1"/>
  <c r="AO637" i="1"/>
  <c r="AR636" i="1"/>
  <c r="BB289" i="1"/>
  <c r="AY1127" i="1"/>
  <c r="AN637" i="1"/>
  <c r="T62" i="4" s="1"/>
  <c r="AW557" i="1"/>
  <c r="W55" i="4" s="1"/>
  <c r="AY331" i="1"/>
  <c r="AY665" i="1" s="1"/>
  <c r="AY310" i="1"/>
  <c r="AY663" i="1" s="1"/>
  <c r="BB288" i="1"/>
  <c r="AY403" i="1"/>
  <c r="AY442" i="1"/>
  <c r="AY481" i="1"/>
  <c r="AY506" i="1"/>
  <c r="AY520" i="1"/>
  <c r="AY389" i="1"/>
  <c r="AY1128" i="1"/>
  <c r="AQ341" i="1"/>
  <c r="AQ1211" i="1"/>
  <c r="AV1280" i="1"/>
  <c r="AS1283" i="1"/>
  <c r="AS1278" i="1"/>
  <c r="AS1248" i="1"/>
  <c r="AS1250" i="1"/>
  <c r="AY1260" i="1"/>
  <c r="AV1261" i="1"/>
  <c r="AV1277" i="1"/>
  <c r="AY1279" i="1" s="1"/>
  <c r="AY1451" i="1" s="1"/>
  <c r="AY576" i="1" s="1"/>
  <c r="BE1217" i="1"/>
  <c r="BB1218" i="1"/>
  <c r="AT562" i="1"/>
  <c r="AU646" i="1"/>
  <c r="AU1150" i="1" s="1"/>
  <c r="BE1268" i="1"/>
  <c r="BB1269" i="1"/>
  <c r="BA625" i="1"/>
  <c r="BD675" i="1"/>
  <c r="H8" i="4"/>
  <c r="AQ137" i="1"/>
  <c r="G102" i="7"/>
  <c r="AU12" i="1"/>
  <c r="AK650" i="1"/>
  <c r="AK646" i="1" s="1"/>
  <c r="AK1150" i="1" s="1"/>
  <c r="AZ348" i="1"/>
  <c r="AZ1225" i="1"/>
  <c r="E54" i="4"/>
  <c r="AI27" i="1"/>
  <c r="AX1232" i="1"/>
  <c r="AU1233" i="1"/>
  <c r="AW1232" i="1"/>
  <c r="AW1235" i="1" s="1"/>
  <c r="AS652" i="1"/>
  <c r="AP653" i="1"/>
  <c r="AX379" i="1"/>
  <c r="AX393" i="1"/>
  <c r="BA278" i="1"/>
  <c r="AX321" i="1"/>
  <c r="AX641" i="1" s="1"/>
  <c r="AX293" i="1"/>
  <c r="AX639" i="1" s="1"/>
  <c r="AX432" i="1"/>
  <c r="AX471" i="1"/>
  <c r="AX496" i="1"/>
  <c r="AX510" i="1"/>
  <c r="AX1122" i="1"/>
  <c r="AG1453" i="1"/>
  <c r="AG1455" i="1" s="1"/>
  <c r="AG1456" i="1" s="1"/>
  <c r="AY290" i="1"/>
  <c r="BB278" i="1"/>
  <c r="AY321" i="1"/>
  <c r="AY641" i="1" s="1"/>
  <c r="AY293" i="1"/>
  <c r="AY639" i="1" s="1"/>
  <c r="AY393" i="1"/>
  <c r="AY432" i="1"/>
  <c r="AY471" i="1"/>
  <c r="AY496" i="1"/>
  <c r="AY510" i="1"/>
  <c r="AY379" i="1"/>
  <c r="AY1122" i="1"/>
  <c r="AG291" i="1"/>
  <c r="AG604" i="1"/>
  <c r="AG634" i="1"/>
  <c r="BB1210" i="1"/>
  <c r="AY1211" i="1"/>
  <c r="AY1231" i="1"/>
  <c r="AH623" i="1"/>
  <c r="AZ1269" i="1"/>
  <c r="AX606" i="1"/>
  <c r="BE1189" i="1"/>
  <c r="BB1195" i="1"/>
  <c r="AS1276" i="1"/>
  <c r="BB285" i="1"/>
  <c r="BB1253" i="1"/>
  <c r="BE1252" i="1"/>
  <c r="AS636" i="1"/>
  <c r="AP637" i="1"/>
  <c r="AQ636" i="1"/>
  <c r="AU1210" i="1"/>
  <c r="AR1211" i="1"/>
  <c r="AT1210" i="1"/>
  <c r="AT1213" i="1" s="1"/>
  <c r="AR1231" i="1"/>
  <c r="AH282" i="1"/>
  <c r="AH281" i="1"/>
  <c r="AZ344" i="1"/>
  <c r="AZ1218" i="1"/>
  <c r="AZ1220" i="1"/>
  <c r="AZ1221" i="1"/>
  <c r="AG541" i="1"/>
  <c r="BB286" i="1"/>
  <c r="AY1131" i="1"/>
  <c r="AR1147" i="1"/>
  <c r="AZ1195" i="1"/>
  <c r="AK666" i="1"/>
  <c r="BB1188" i="1"/>
  <c r="AY1194" i="1"/>
  <c r="AY1201" i="1"/>
  <c r="AU638" i="1"/>
  <c r="AG545" i="1"/>
  <c r="AG607" i="1"/>
  <c r="AS1147" i="1"/>
  <c r="AS1246" i="1"/>
  <c r="AP362" i="1"/>
  <c r="AG1133" i="1"/>
  <c r="AG1142" i="1" s="1"/>
  <c r="AG1132" i="1"/>
  <c r="AG1138" i="1" s="1"/>
  <c r="AH670" i="1"/>
  <c r="AH671" i="1" s="1"/>
  <c r="AK672" i="1"/>
  <c r="AK1161" i="1" s="1"/>
  <c r="AH280" i="1"/>
  <c r="AH283" i="1"/>
  <c r="AH1123" i="1"/>
  <c r="AH1129" i="1"/>
  <c r="AH1120" i="1"/>
  <c r="AH287" i="1"/>
  <c r="AH277" i="1"/>
  <c r="AH1126" i="1"/>
  <c r="BB1471" i="1"/>
  <c r="BB557" i="1" s="1"/>
  <c r="BB1459" i="1"/>
  <c r="BB1461" i="1" s="1"/>
  <c r="BB547" i="1" s="1"/>
  <c r="BE1463" i="1"/>
  <c r="AH624" i="1"/>
  <c r="AN661" i="1"/>
  <c r="AN641" i="1"/>
  <c r="AN655" i="1"/>
  <c r="AN663" i="1"/>
  <c r="AN656" i="1"/>
  <c r="AN657" i="1"/>
  <c r="AN664" i="1"/>
  <c r="AN649" i="1"/>
  <c r="AN665" i="1"/>
  <c r="AN639" i="1"/>
  <c r="AN647" i="1"/>
  <c r="AN640" i="1"/>
  <c r="AN648" i="1"/>
  <c r="AY327" i="1"/>
  <c r="AY657" i="1" s="1"/>
  <c r="BB284" i="1"/>
  <c r="AY303" i="1"/>
  <c r="AY655" i="1" s="1"/>
  <c r="AY385" i="1"/>
  <c r="AY438" i="1"/>
  <c r="AY477" i="1"/>
  <c r="AY399" i="1"/>
  <c r="AY502" i="1"/>
  <c r="AY516" i="1"/>
  <c r="AY1130" i="1"/>
  <c r="AY1157" i="1"/>
  <c r="AH289" i="1"/>
  <c r="AH288" i="1"/>
  <c r="AH1158" i="1"/>
  <c r="AZ1272" i="1"/>
  <c r="AX1269" i="1"/>
  <c r="BA1268" i="1"/>
  <c r="AZ1273" i="1"/>
  <c r="AZ1271" i="1"/>
  <c r="BD1224" i="1"/>
  <c r="BA1225" i="1"/>
  <c r="AX1471" i="1"/>
  <c r="AX557" i="1" s="1"/>
  <c r="AX562" i="1" s="1"/>
  <c r="AX1459" i="1"/>
  <c r="AX1461" i="1" s="1"/>
  <c r="AX547" i="1" s="1"/>
  <c r="AZ547" i="1" s="1"/>
  <c r="AZ1463" i="1"/>
  <c r="BA1463" i="1"/>
  <c r="AV662" i="1"/>
  <c r="AV1153" i="1" s="1"/>
  <c r="AQ1231" i="1"/>
  <c r="BA282" i="1"/>
  <c r="AX1124" i="1"/>
  <c r="BA279" i="1"/>
  <c r="AX1121" i="1"/>
  <c r="BC1189" i="1"/>
  <c r="BD1189" i="1"/>
  <c r="BA1195" i="1"/>
  <c r="AM1167" i="1"/>
  <c r="AP1288" i="1"/>
  <c r="AP1454" i="1"/>
  <c r="AM1286" i="1"/>
  <c r="AP1295" i="1"/>
  <c r="AP1296" i="1"/>
  <c r="AR1297" i="1"/>
  <c r="AS553" i="1"/>
  <c r="AS10" i="1" s="1"/>
  <c r="AT550" i="1"/>
  <c r="AT553" i="1" s="1"/>
  <c r="AT10" i="1" s="1"/>
  <c r="AH1121" i="1"/>
  <c r="AQ64" i="1" l="1"/>
  <c r="AJ1184" i="1"/>
  <c r="AW625" i="1"/>
  <c r="AL686" i="1"/>
  <c r="AJ541" i="1"/>
  <c r="AH634" i="1"/>
  <c r="AI604" i="1"/>
  <c r="AI535" i="1" s="1"/>
  <c r="BB457" i="1"/>
  <c r="AT12" i="1"/>
  <c r="AT63" i="1" s="1"/>
  <c r="AS63" i="1"/>
  <c r="AS64" i="1"/>
  <c r="AU63" i="1"/>
  <c r="AU64" i="1"/>
  <c r="AH622" i="1"/>
  <c r="AH152" i="1"/>
  <c r="AH155" i="1" s="1"/>
  <c r="AH134" i="1" s="1"/>
  <c r="AK632" i="1"/>
  <c r="AJ621" i="1"/>
  <c r="AJ151" i="1"/>
  <c r="AL619" i="1"/>
  <c r="AL632" i="1"/>
  <c r="AO633" i="1"/>
  <c r="AM630" i="1"/>
  <c r="AN630" i="1" s="1"/>
  <c r="AH72" i="1"/>
  <c r="AG136" i="1"/>
  <c r="AI152" i="1"/>
  <c r="AI155" i="1" s="1"/>
  <c r="AI134" i="1" s="1"/>
  <c r="AI622" i="1"/>
  <c r="AY625" i="1"/>
  <c r="AZ625" i="1" s="1"/>
  <c r="AM347" i="1"/>
  <c r="AH1452" i="1"/>
  <c r="AH579" i="1" s="1"/>
  <c r="T65" i="4"/>
  <c r="BA460" i="1"/>
  <c r="BB460" i="1"/>
  <c r="BA457" i="1"/>
  <c r="BB467" i="1"/>
  <c r="BA467" i="1"/>
  <c r="BB424" i="1"/>
  <c r="BB463" i="1"/>
  <c r="AX463" i="1"/>
  <c r="BB418" i="1"/>
  <c r="BA418" i="1"/>
  <c r="BA428" i="1"/>
  <c r="BB1125" i="1"/>
  <c r="BB421" i="1"/>
  <c r="BB428" i="1"/>
  <c r="BA421" i="1"/>
  <c r="AX424" i="1"/>
  <c r="BB675" i="1"/>
  <c r="BC675" i="1" s="1"/>
  <c r="AP1239" i="1"/>
  <c r="AP1240" i="1" s="1"/>
  <c r="AP1208" i="1" s="1"/>
  <c r="BC1224" i="1"/>
  <c r="BC1227" i="1" s="1"/>
  <c r="BB1225" i="1"/>
  <c r="AW1229" i="1"/>
  <c r="AW1226" i="1" s="1"/>
  <c r="AT644" i="1"/>
  <c r="AT645" i="1" s="1"/>
  <c r="AY646" i="1"/>
  <c r="AY1150" i="1" s="1"/>
  <c r="AN653" i="1"/>
  <c r="T64" i="4" s="1"/>
  <c r="AI1163" i="1"/>
  <c r="G27" i="4"/>
  <c r="G28" i="4"/>
  <c r="H28" i="4"/>
  <c r="AU654" i="1"/>
  <c r="AU1156" i="1" s="1"/>
  <c r="AV12" i="1"/>
  <c r="AR652" i="1"/>
  <c r="AR653" i="1" s="1"/>
  <c r="AO653" i="1"/>
  <c r="AQ652" i="1"/>
  <c r="AQ653" i="1" s="1"/>
  <c r="AI634" i="1"/>
  <c r="AG535" i="1"/>
  <c r="BB396" i="1"/>
  <c r="AL1162" i="1"/>
  <c r="AV644" i="1"/>
  <c r="AX290" i="1"/>
  <c r="AI291" i="1"/>
  <c r="AP681" i="1"/>
  <c r="AO671" i="1"/>
  <c r="AO668" i="1" s="1"/>
  <c r="AO669" i="1" s="1"/>
  <c r="AR680" i="1" s="1"/>
  <c r="AL1126" i="1"/>
  <c r="AL280" i="1"/>
  <c r="AX1130" i="1"/>
  <c r="AL287" i="1"/>
  <c r="AO680" i="1"/>
  <c r="AL1129" i="1"/>
  <c r="AL283" i="1"/>
  <c r="AI1133" i="1"/>
  <c r="AI1160" i="1" s="1"/>
  <c r="AI578" i="1" s="1"/>
  <c r="AO672" i="1"/>
  <c r="AO1161" i="1" s="1"/>
  <c r="AL670" i="1"/>
  <c r="AL1120" i="1"/>
  <c r="AL1123" i="1"/>
  <c r="AL623" i="1"/>
  <c r="AL604" i="1" s="1"/>
  <c r="AX399" i="1"/>
  <c r="AX1157" i="1"/>
  <c r="AX303" i="1"/>
  <c r="AX655" i="1" s="1"/>
  <c r="AX385" i="1"/>
  <c r="AX477" i="1"/>
  <c r="AX327" i="1"/>
  <c r="AX657" i="1" s="1"/>
  <c r="BA442" i="1"/>
  <c r="AI1132" i="1"/>
  <c r="AI1159" i="1" s="1"/>
  <c r="AS137" i="1"/>
  <c r="H27" i="4"/>
  <c r="AF1159" i="1"/>
  <c r="AF575" i="1" s="1"/>
  <c r="AX516" i="1"/>
  <c r="AX438" i="1"/>
  <c r="BA284" i="1"/>
  <c r="BA286" i="1"/>
  <c r="AU137" i="1"/>
  <c r="BA285" i="1"/>
  <c r="AX502" i="1"/>
  <c r="AH393" i="1"/>
  <c r="BA1127" i="1"/>
  <c r="BA520" i="1"/>
  <c r="BA403" i="1"/>
  <c r="AU660" i="1"/>
  <c r="AU661" i="1" s="1"/>
  <c r="BE1197" i="1"/>
  <c r="BD288" i="1"/>
  <c r="AF1137" i="1"/>
  <c r="BD289" i="1"/>
  <c r="BA1128" i="1"/>
  <c r="BA331" i="1"/>
  <c r="BA665" i="1" s="1"/>
  <c r="AF1135" i="1"/>
  <c r="AF1140" i="1"/>
  <c r="BA506" i="1"/>
  <c r="BA389" i="1"/>
  <c r="BA481" i="1"/>
  <c r="BA310" i="1"/>
  <c r="BA663" i="1" s="1"/>
  <c r="AK1151" i="1"/>
  <c r="AI688" i="1"/>
  <c r="AL689" i="1"/>
  <c r="AI677" i="1"/>
  <c r="AI626" i="1"/>
  <c r="AI673" i="1"/>
  <c r="AI624" i="1" s="1"/>
  <c r="AI605" i="1" s="1"/>
  <c r="AK686" i="1"/>
  <c r="AF1160" i="1"/>
  <c r="AF578" i="1" s="1"/>
  <c r="AF1139" i="1"/>
  <c r="AI687" i="1"/>
  <c r="BB298" i="1"/>
  <c r="BB647" i="1" s="1"/>
  <c r="AF1143" i="1"/>
  <c r="BB513" i="1"/>
  <c r="BB1124" i="1"/>
  <c r="AF1144" i="1"/>
  <c r="AF1142" i="1"/>
  <c r="AG608" i="1"/>
  <c r="AF1136" i="1"/>
  <c r="BB499" i="1"/>
  <c r="BB435" i="1"/>
  <c r="BB324" i="1"/>
  <c r="BB649" i="1" s="1"/>
  <c r="BE282" i="1"/>
  <c r="BB382" i="1"/>
  <c r="BE281" i="1"/>
  <c r="BB474" i="1"/>
  <c r="AX662" i="1"/>
  <c r="AX1153" i="1" s="1"/>
  <c r="AK1155" i="1"/>
  <c r="AK1148" i="1"/>
  <c r="AH496" i="1"/>
  <c r="AH293" i="1"/>
  <c r="AK1152" i="1"/>
  <c r="AT679" i="1"/>
  <c r="AK1149" i="1"/>
  <c r="AF76" i="1"/>
  <c r="AH471" i="1"/>
  <c r="AH321" i="1"/>
  <c r="AH379" i="1"/>
  <c r="AK1158" i="1"/>
  <c r="AK279" i="1"/>
  <c r="AH1122" i="1"/>
  <c r="AH457" i="1"/>
  <c r="AK278" i="1"/>
  <c r="AK1122" i="1" s="1"/>
  <c r="BB1233" i="1"/>
  <c r="BE1232" i="1"/>
  <c r="AH510" i="1"/>
  <c r="AH432" i="1"/>
  <c r="AG1135" i="1"/>
  <c r="AV1249" i="1"/>
  <c r="AY662" i="1"/>
  <c r="AY1153" i="1" s="1"/>
  <c r="AG1159" i="1"/>
  <c r="AZ1222" i="1"/>
  <c r="AZ1219" i="1" s="1"/>
  <c r="AW1236" i="1"/>
  <c r="AW1237" i="1" s="1"/>
  <c r="AW1234" i="1" s="1"/>
  <c r="AH604" i="1"/>
  <c r="AG1139" i="1"/>
  <c r="AZ1274" i="1"/>
  <c r="AZ1270" i="1" s="1"/>
  <c r="AK662" i="1"/>
  <c r="AK1153" i="1" s="1"/>
  <c r="AY638" i="1"/>
  <c r="AY1147" i="1" s="1"/>
  <c r="BA1218" i="1"/>
  <c r="BD1217" i="1"/>
  <c r="BF1217" i="1" s="1"/>
  <c r="BC1195" i="1"/>
  <c r="AG1144" i="1"/>
  <c r="AG1143" i="1"/>
  <c r="BH1224" i="1"/>
  <c r="BE1225" i="1"/>
  <c r="BF1224" i="1"/>
  <c r="BF1228" i="1" s="1"/>
  <c r="BA1459" i="1"/>
  <c r="BA1461" i="1" s="1"/>
  <c r="BA547" i="1" s="1"/>
  <c r="BC547" i="1" s="1"/>
  <c r="BC1463" i="1"/>
  <c r="BD1463" i="1"/>
  <c r="BA1471" i="1"/>
  <c r="BA557" i="1" s="1"/>
  <c r="BA562" i="1" s="1"/>
  <c r="AN650" i="1"/>
  <c r="AN646" i="1" s="1"/>
  <c r="AN1150" i="1" s="1"/>
  <c r="AH545" i="1"/>
  <c r="AH605" i="1"/>
  <c r="AF607" i="1"/>
  <c r="AG1160" i="1"/>
  <c r="BE286" i="1"/>
  <c r="BB1131" i="1"/>
  <c r="AT1231" i="1"/>
  <c r="AS637" i="1"/>
  <c r="AV636" i="1"/>
  <c r="AT636" i="1"/>
  <c r="BH1252" i="1"/>
  <c r="BE1253" i="1"/>
  <c r="BE285" i="1"/>
  <c r="AV1276" i="1"/>
  <c r="AG1145" i="1"/>
  <c r="BD278" i="1"/>
  <c r="BA321" i="1"/>
  <c r="BA641" i="1" s="1"/>
  <c r="BA293" i="1"/>
  <c r="BA639" i="1" s="1"/>
  <c r="BA379" i="1"/>
  <c r="BA393" i="1"/>
  <c r="BA432" i="1"/>
  <c r="BA471" i="1"/>
  <c r="BA496" i="1"/>
  <c r="BA510" i="1"/>
  <c r="BA1122" i="1"/>
  <c r="BA606" i="1"/>
  <c r="BE1269" i="1"/>
  <c r="BH1268" i="1"/>
  <c r="AG1137" i="1"/>
  <c r="AU636" i="1"/>
  <c r="AR637" i="1"/>
  <c r="AZ557" i="1"/>
  <c r="X55" i="4" s="1"/>
  <c r="AK286" i="1"/>
  <c r="AH1131" i="1"/>
  <c r="BA324" i="1"/>
  <c r="BA649" i="1" s="1"/>
  <c r="BA298" i="1"/>
  <c r="BA647" i="1" s="1"/>
  <c r="BD281" i="1"/>
  <c r="BA435" i="1"/>
  <c r="BA474" i="1"/>
  <c r="BA499" i="1"/>
  <c r="BA513" i="1"/>
  <c r="BA382" i="1"/>
  <c r="BA396" i="1"/>
  <c r="BA1125" i="1"/>
  <c r="BE279" i="1"/>
  <c r="BB1121" i="1"/>
  <c r="AK1154" i="1"/>
  <c r="AG1136" i="1"/>
  <c r="BE284" i="1"/>
  <c r="BB303" i="1"/>
  <c r="BB655" i="1" s="1"/>
  <c r="BB327" i="1"/>
  <c r="BB657" i="1" s="1"/>
  <c r="BB385" i="1"/>
  <c r="BB399" i="1"/>
  <c r="BB438" i="1"/>
  <c r="BB477" i="1"/>
  <c r="BB502" i="1"/>
  <c r="BB516" i="1"/>
  <c r="BB1157" i="1"/>
  <c r="BB1130" i="1"/>
  <c r="AG555" i="1"/>
  <c r="AK282" i="1"/>
  <c r="AH1124" i="1"/>
  <c r="BH1189" i="1"/>
  <c r="BE1195" i="1"/>
  <c r="BA1232" i="1"/>
  <c r="AX1233" i="1"/>
  <c r="AZ1232" i="1"/>
  <c r="AZ1235" i="1" s="1"/>
  <c r="AX12" i="1"/>
  <c r="BE289" i="1"/>
  <c r="BB1127" i="1"/>
  <c r="I8" i="4"/>
  <c r="AT137" i="1"/>
  <c r="H102" i="7"/>
  <c r="BD282" i="1"/>
  <c r="BA1124" i="1"/>
  <c r="BA1269" i="1"/>
  <c r="BD1268" i="1"/>
  <c r="AN658" i="1"/>
  <c r="AN654" i="1" s="1"/>
  <c r="AN1156" i="1" s="1"/>
  <c r="BB1194" i="1"/>
  <c r="BE1188" i="1"/>
  <c r="BE1190" i="1" s="1"/>
  <c r="BE1192" i="1" s="1"/>
  <c r="AW550" i="1"/>
  <c r="AW553" i="1" s="1"/>
  <c r="AW10" i="1" s="1"/>
  <c r="AV553" i="1"/>
  <c r="AV10" i="1" s="1"/>
  <c r="AH290" i="1"/>
  <c r="AT341" i="1"/>
  <c r="AT1211" i="1"/>
  <c r="AX550" i="1"/>
  <c r="AX553" i="1" s="1"/>
  <c r="AX10" i="1" s="1"/>
  <c r="AG1140" i="1"/>
  <c r="AJ27" i="1"/>
  <c r="BH1217" i="1"/>
  <c r="BE1218" i="1"/>
  <c r="AS362" i="1"/>
  <c r="AV1246" i="1"/>
  <c r="AW562" i="1"/>
  <c r="AQ661" i="1"/>
  <c r="AQ641" i="1"/>
  <c r="AQ655" i="1"/>
  <c r="AQ663" i="1"/>
  <c r="AQ640" i="1"/>
  <c r="AQ649" i="1"/>
  <c r="AQ648" i="1"/>
  <c r="AQ639" i="1"/>
  <c r="AQ657" i="1"/>
  <c r="AQ665" i="1"/>
  <c r="AQ664" i="1"/>
  <c r="AQ656" i="1"/>
  <c r="AQ647" i="1"/>
  <c r="AK668" i="1"/>
  <c r="AJ669" i="1"/>
  <c r="AJ677" i="1" s="1"/>
  <c r="AK285" i="1"/>
  <c r="BI1197" i="1"/>
  <c r="BJ1197" i="1"/>
  <c r="AN666" i="1"/>
  <c r="BB562" i="1"/>
  <c r="BB1231" i="1"/>
  <c r="BE1210" i="1"/>
  <c r="BB1211" i="1"/>
  <c r="AY1261" i="1"/>
  <c r="BB1260" i="1"/>
  <c r="AY1277" i="1"/>
  <c r="BB1279" i="1" s="1"/>
  <c r="BB1451" i="1" s="1"/>
  <c r="BB576" i="1" s="1"/>
  <c r="AN642" i="1"/>
  <c r="AN638" i="1" s="1"/>
  <c r="AN1147" i="1" s="1"/>
  <c r="AV679" i="1"/>
  <c r="AV660" i="1"/>
  <c r="AS661" i="1"/>
  <c r="AT660" i="1"/>
  <c r="BD279" i="1"/>
  <c r="BA1121" i="1"/>
  <c r="AZ1464" i="1"/>
  <c r="AZ1471" i="1"/>
  <c r="AZ1459" i="1"/>
  <c r="AZ1461" i="1" s="1"/>
  <c r="AK288" i="1"/>
  <c r="AH310" i="1"/>
  <c r="AH331" i="1"/>
  <c r="AH428" i="1"/>
  <c r="AH442" i="1"/>
  <c r="AH467" i="1"/>
  <c r="AH481" i="1"/>
  <c r="AH506" i="1"/>
  <c r="AH520" i="1"/>
  <c r="AH389" i="1"/>
  <c r="AH403" i="1"/>
  <c r="AH1128" i="1"/>
  <c r="BE1459" i="1"/>
  <c r="BE1461" i="1" s="1"/>
  <c r="BE547" i="1" s="1"/>
  <c r="BH1463" i="1"/>
  <c r="BE1471" i="1"/>
  <c r="BE557" i="1" s="1"/>
  <c r="AM1287" i="1"/>
  <c r="AM536" i="1"/>
  <c r="AM1184" i="1"/>
  <c r="BG1189" i="1"/>
  <c r="BD1195" i="1"/>
  <c r="BF1189" i="1"/>
  <c r="BG1224" i="1"/>
  <c r="BD1225" i="1"/>
  <c r="AK289" i="1"/>
  <c r="AH1127" i="1"/>
  <c r="AY654" i="1"/>
  <c r="AY1156" i="1" s="1"/>
  <c r="AH291" i="1"/>
  <c r="AH1146" i="1"/>
  <c r="AH1162" i="1" s="1"/>
  <c r="AH1163" i="1" s="1"/>
  <c r="AU1147" i="1"/>
  <c r="AK281" i="1"/>
  <c r="AH324" i="1"/>
  <c r="AH298" i="1"/>
  <c r="AH382" i="1"/>
  <c r="AH396" i="1"/>
  <c r="AH421" i="1"/>
  <c r="AH435" i="1"/>
  <c r="AH460" i="1"/>
  <c r="AH474" i="1"/>
  <c r="AH499" i="1"/>
  <c r="AH513" i="1"/>
  <c r="AH1125" i="1"/>
  <c r="AT1214" i="1"/>
  <c r="AT1215" i="1" s="1"/>
  <c r="AW1210" i="1"/>
  <c r="AW1214" i="1" s="1"/>
  <c r="AX1210" i="1"/>
  <c r="AU1211" i="1"/>
  <c r="AU1231" i="1"/>
  <c r="AQ637" i="1"/>
  <c r="BB1190" i="1"/>
  <c r="BB290" i="1"/>
  <c r="BB379" i="1"/>
  <c r="BB393" i="1"/>
  <c r="BB321" i="1"/>
  <c r="BB641" i="1" s="1"/>
  <c r="BB293" i="1"/>
  <c r="BB639" i="1" s="1"/>
  <c r="BE278" i="1"/>
  <c r="BB432" i="1"/>
  <c r="BB471" i="1"/>
  <c r="BB496" i="1"/>
  <c r="BB510" i="1"/>
  <c r="BB1122" i="1"/>
  <c r="AX638" i="1"/>
  <c r="AV652" i="1"/>
  <c r="AS653" i="1"/>
  <c r="AW1233" i="1"/>
  <c r="BG675" i="1"/>
  <c r="BD625" i="1"/>
  <c r="BC1268" i="1"/>
  <c r="BC344" i="1"/>
  <c r="BC1218" i="1"/>
  <c r="BC1220" i="1"/>
  <c r="BC1221" i="1"/>
  <c r="AY1280" i="1"/>
  <c r="AV1283" i="1"/>
  <c r="AV1278" i="1"/>
  <c r="AV1248" i="1"/>
  <c r="AV1250" i="1"/>
  <c r="BE288" i="1"/>
  <c r="BB310" i="1"/>
  <c r="BB663" i="1" s="1"/>
  <c r="BB331" i="1"/>
  <c r="BB665" i="1" s="1"/>
  <c r="BB442" i="1"/>
  <c r="BB481" i="1"/>
  <c r="BB506" i="1"/>
  <c r="BB520" i="1"/>
  <c r="BB389" i="1"/>
  <c r="BB403" i="1"/>
  <c r="BB1128" i="1"/>
  <c r="AJ673" i="1"/>
  <c r="AJ687" i="1"/>
  <c r="AJ626" i="1"/>
  <c r="AJ688" i="1"/>
  <c r="AM689" i="1"/>
  <c r="AK676" i="1"/>
  <c r="AK284" i="1"/>
  <c r="AH303" i="1"/>
  <c r="AH327" i="1"/>
  <c r="AH385" i="1"/>
  <c r="AH438" i="1"/>
  <c r="AH463" i="1"/>
  <c r="AH477" i="1"/>
  <c r="AH502" i="1"/>
  <c r="AH516" i="1"/>
  <c r="AH399" i="1"/>
  <c r="AH424" i="1"/>
  <c r="AH1130" i="1"/>
  <c r="AH1157" i="1"/>
  <c r="AU644" i="1"/>
  <c r="AR645" i="1"/>
  <c r="AX646" i="1"/>
  <c r="AX1150" i="1" s="1"/>
  <c r="AI1241" i="1"/>
  <c r="AL1243" i="1"/>
  <c r="AI1282" i="1"/>
  <c r="AI1206" i="1"/>
  <c r="AI1207" i="1"/>
  <c r="AI1208" i="1"/>
  <c r="AK1240" i="1"/>
  <c r="AI1205" i="1"/>
  <c r="AL1242" i="1"/>
  <c r="AW606" i="1"/>
  <c r="AL676" i="1" l="1"/>
  <c r="AL677" i="1" s="1"/>
  <c r="AG538" i="1"/>
  <c r="AG276" i="1" s="1"/>
  <c r="AT64" i="1"/>
  <c r="AY606" i="1"/>
  <c r="AY550" i="1" s="1"/>
  <c r="AZ550" i="1" s="1"/>
  <c r="AZ553" i="1" s="1"/>
  <c r="AZ10" i="1" s="1"/>
  <c r="AV64" i="1"/>
  <c r="AW64" i="1" s="1"/>
  <c r="AW12" i="1"/>
  <c r="AW63" i="1" s="1"/>
  <c r="AV63" i="1"/>
  <c r="AX63" i="1"/>
  <c r="AX64" i="1"/>
  <c r="AK621" i="1"/>
  <c r="AJ622" i="1"/>
  <c r="AJ152" i="1"/>
  <c r="AJ155" i="1" s="1"/>
  <c r="AJ134" i="1" s="1"/>
  <c r="AG240" i="1"/>
  <c r="AL621" i="1"/>
  <c r="AL151" i="1"/>
  <c r="AK151" i="1"/>
  <c r="AK633" i="1"/>
  <c r="AM632" i="1"/>
  <c r="AM619" i="1"/>
  <c r="AN619" i="1" s="1"/>
  <c r="AH136" i="1"/>
  <c r="D106" i="7"/>
  <c r="AI72" i="1"/>
  <c r="AI136" i="1"/>
  <c r="AP633" i="1"/>
  <c r="AO630" i="1"/>
  <c r="BE675" i="1"/>
  <c r="BF675" i="1" s="1"/>
  <c r="BC1228" i="1"/>
  <c r="BC1229" i="1" s="1"/>
  <c r="BC1226" i="1" s="1"/>
  <c r="AY644" i="1"/>
  <c r="AY645" i="1" s="1"/>
  <c r="BE428" i="1"/>
  <c r="BA463" i="1"/>
  <c r="BE424" i="1"/>
  <c r="BE418" i="1"/>
  <c r="BD1128" i="1"/>
  <c r="BD428" i="1"/>
  <c r="BD421" i="1"/>
  <c r="BE1125" i="1"/>
  <c r="BE421" i="1"/>
  <c r="BD418" i="1"/>
  <c r="BA424" i="1"/>
  <c r="AP1207" i="1"/>
  <c r="AP1282" i="1"/>
  <c r="AP1285" i="1" s="1"/>
  <c r="BB625" i="1"/>
  <c r="BB606" i="1" s="1"/>
  <c r="BB550" i="1" s="1"/>
  <c r="BC1225" i="1"/>
  <c r="AS1242" i="1"/>
  <c r="AS1239" i="1" s="1"/>
  <c r="AS1243" i="1"/>
  <c r="AP1206" i="1"/>
  <c r="AP1241" i="1"/>
  <c r="AP1205" i="1"/>
  <c r="BC348" i="1"/>
  <c r="AH535" i="1"/>
  <c r="AG540" i="1"/>
  <c r="AY12" i="1"/>
  <c r="AT652" i="1"/>
  <c r="AT653" i="1" s="1"/>
  <c r="AU652" i="1"/>
  <c r="AX679" i="1" s="1"/>
  <c r="AV645" i="1"/>
  <c r="AU679" i="1"/>
  <c r="AW679" i="1" s="1"/>
  <c r="AI347" i="1"/>
  <c r="AW644" i="1"/>
  <c r="AW645" i="1" s="1"/>
  <c r="AX654" i="1"/>
  <c r="AX1156" i="1" s="1"/>
  <c r="AO283" i="1"/>
  <c r="AL1163" i="1"/>
  <c r="BA290" i="1"/>
  <c r="BA516" i="1"/>
  <c r="BA438" i="1"/>
  <c r="BA327" i="1"/>
  <c r="BA657" i="1" s="1"/>
  <c r="BA1130" i="1"/>
  <c r="AO1129" i="1"/>
  <c r="AI1145" i="1"/>
  <c r="AI1136" i="1"/>
  <c r="AO623" i="1"/>
  <c r="AO604" i="1" s="1"/>
  <c r="AI1143" i="1"/>
  <c r="AI1142" i="1"/>
  <c r="AI1144" i="1"/>
  <c r="AO280" i="1"/>
  <c r="AR671" i="1"/>
  <c r="AR668" i="1" s="1"/>
  <c r="AR669" i="1" s="1"/>
  <c r="AR672" i="1"/>
  <c r="AR1161" i="1" s="1"/>
  <c r="AO670" i="1"/>
  <c r="AO277" i="1"/>
  <c r="AO1126" i="1"/>
  <c r="AS681" i="1"/>
  <c r="AO1146" i="1"/>
  <c r="AO1162" i="1" s="1"/>
  <c r="AO1120" i="1"/>
  <c r="AO1123" i="1"/>
  <c r="AO287" i="1"/>
  <c r="AL1133" i="1"/>
  <c r="AL1160" i="1" s="1"/>
  <c r="AL578" i="1" s="1"/>
  <c r="AL634" i="1"/>
  <c r="AL1132" i="1"/>
  <c r="AL1137" i="1" s="1"/>
  <c r="AL291" i="1"/>
  <c r="BB646" i="1"/>
  <c r="BB1150" i="1" s="1"/>
  <c r="BA303" i="1"/>
  <c r="BA655" i="1" s="1"/>
  <c r="BD286" i="1"/>
  <c r="BD1131" i="1" s="1"/>
  <c r="E32" i="4"/>
  <c r="BD284" i="1"/>
  <c r="BA1131" i="1"/>
  <c r="BD285" i="1"/>
  <c r="BA1157" i="1"/>
  <c r="BA502" i="1"/>
  <c r="BA399" i="1"/>
  <c r="AH240" i="1"/>
  <c r="BA385" i="1"/>
  <c r="BA477" i="1"/>
  <c r="AH76" i="1"/>
  <c r="E37" i="4" s="1"/>
  <c r="AI575" i="1"/>
  <c r="AG578" i="1"/>
  <c r="AG575" i="1"/>
  <c r="BD310" i="1"/>
  <c r="BD663" i="1" s="1"/>
  <c r="AV137" i="1"/>
  <c r="AI1138" i="1"/>
  <c r="I27" i="4"/>
  <c r="AX137" i="1"/>
  <c r="AI1139" i="1"/>
  <c r="AI1137" i="1"/>
  <c r="AI1135" i="1"/>
  <c r="AI1140" i="1"/>
  <c r="BB1201" i="1"/>
  <c r="BB1192" i="1"/>
  <c r="BB1198" i="1" s="1"/>
  <c r="AX660" i="1"/>
  <c r="AX661" i="1" s="1"/>
  <c r="BA662" i="1"/>
  <c r="BA1153" i="1" s="1"/>
  <c r="BD467" i="1"/>
  <c r="AK626" i="1"/>
  <c r="BD520" i="1"/>
  <c r="BE460" i="1"/>
  <c r="BD331" i="1"/>
  <c r="BD665" i="1" s="1"/>
  <c r="BH1197" i="1"/>
  <c r="BG289" i="1"/>
  <c r="BD481" i="1"/>
  <c r="BD403" i="1"/>
  <c r="BH281" i="1"/>
  <c r="BD506" i="1"/>
  <c r="BD442" i="1"/>
  <c r="BG288" i="1"/>
  <c r="BE396" i="1"/>
  <c r="BF1227" i="1"/>
  <c r="BF1229" i="1" s="1"/>
  <c r="BF1226" i="1" s="1"/>
  <c r="BD1127" i="1"/>
  <c r="BD389" i="1"/>
  <c r="BE382" i="1"/>
  <c r="AK418" i="1"/>
  <c r="AL688" i="1"/>
  <c r="AI674" i="1"/>
  <c r="BH282" i="1"/>
  <c r="BE474" i="1"/>
  <c r="BE298" i="1"/>
  <c r="BE647" i="1" s="1"/>
  <c r="BE513" i="1"/>
  <c r="BE435" i="1"/>
  <c r="BE324" i="1"/>
  <c r="BE649" i="1" s="1"/>
  <c r="BE1124" i="1"/>
  <c r="BE499" i="1"/>
  <c r="AK321" i="1"/>
  <c r="BC557" i="1"/>
  <c r="AN1158" i="1"/>
  <c r="AK432" i="1"/>
  <c r="AN1155" i="1"/>
  <c r="AN1151" i="1"/>
  <c r="AK293" i="1"/>
  <c r="AK496" i="1"/>
  <c r="AK393" i="1"/>
  <c r="AK1121" i="1"/>
  <c r="AK471" i="1"/>
  <c r="AK379" i="1"/>
  <c r="AN279" i="1"/>
  <c r="AN1121" i="1" s="1"/>
  <c r="AK510" i="1"/>
  <c r="AK457" i="1"/>
  <c r="BC1222" i="1"/>
  <c r="BC1219" i="1" s="1"/>
  <c r="AN1152" i="1"/>
  <c r="AN1149" i="1"/>
  <c r="BH1232" i="1"/>
  <c r="BE1233" i="1"/>
  <c r="BB638" i="1"/>
  <c r="BB1147" i="1" s="1"/>
  <c r="AH1133" i="1"/>
  <c r="AH1142" i="1" s="1"/>
  <c r="AW1213" i="1"/>
  <c r="AW1215" i="1" s="1"/>
  <c r="AW1212" i="1" s="1"/>
  <c r="AH1132" i="1"/>
  <c r="AH1159" i="1" s="1"/>
  <c r="AN1148" i="1"/>
  <c r="AQ642" i="1"/>
  <c r="AQ1148" i="1" s="1"/>
  <c r="BG1217" i="1"/>
  <c r="BI1217" i="1" s="1"/>
  <c r="BD1218" i="1"/>
  <c r="BE1196" i="1"/>
  <c r="BE1202" i="1"/>
  <c r="AK1282" i="1"/>
  <c r="AK688" i="1"/>
  <c r="AK673" i="1"/>
  <c r="AK687" i="1"/>
  <c r="AN689" i="1"/>
  <c r="AY660" i="1"/>
  <c r="AV661" i="1"/>
  <c r="AW660" i="1"/>
  <c r="AY679" i="1"/>
  <c r="AI540" i="1"/>
  <c r="BA12" i="1"/>
  <c r="BB662" i="1"/>
  <c r="BB1153" i="1" s="1"/>
  <c r="BC1269" i="1"/>
  <c r="AW1231" i="1"/>
  <c r="BF1195" i="1"/>
  <c r="BG1195" i="1"/>
  <c r="BI1189" i="1"/>
  <c r="BJ1189" i="1"/>
  <c r="AM1453" i="1"/>
  <c r="AM1455" i="1" s="1"/>
  <c r="AM1456" i="1" s="1"/>
  <c r="BK1463" i="1"/>
  <c r="BH1471" i="1"/>
  <c r="BH557" i="1" s="1"/>
  <c r="BH1459" i="1"/>
  <c r="BH1461" i="1" s="1"/>
  <c r="BH547" i="1" s="1"/>
  <c r="AY1278" i="1"/>
  <c r="BB1280" i="1"/>
  <c r="AY1283" i="1"/>
  <c r="AY1248" i="1"/>
  <c r="AY1250" i="1"/>
  <c r="BE1231" i="1"/>
  <c r="BH1210" i="1"/>
  <c r="BE1211" i="1"/>
  <c r="AQ666" i="1"/>
  <c r="AQ662" i="1" s="1"/>
  <c r="AQ1153" i="1" s="1"/>
  <c r="BK1217" i="1"/>
  <c r="BH1218" i="1"/>
  <c r="AK27" i="1"/>
  <c r="AN278" i="1"/>
  <c r="BC1272" i="1"/>
  <c r="BC1273" i="1"/>
  <c r="AZ562" i="1"/>
  <c r="AU637" i="1"/>
  <c r="AX636" i="1"/>
  <c r="BA550" i="1"/>
  <c r="BA553" i="1" s="1"/>
  <c r="BA10" i="1" s="1"/>
  <c r="AQ658" i="1"/>
  <c r="AQ654" i="1" s="1"/>
  <c r="AQ1156" i="1" s="1"/>
  <c r="BH285" i="1"/>
  <c r="BH1253" i="1"/>
  <c r="BK1252" i="1"/>
  <c r="AW636" i="1"/>
  <c r="AV637" i="1"/>
  <c r="AY636" i="1"/>
  <c r="AT1212" i="1"/>
  <c r="AH607" i="1"/>
  <c r="AN1154" i="1"/>
  <c r="BK1224" i="1"/>
  <c r="BH1225" i="1"/>
  <c r="BI1224" i="1"/>
  <c r="BI1227" i="1" s="1"/>
  <c r="AK1241" i="1"/>
  <c r="AN1243" i="1"/>
  <c r="AK1206" i="1"/>
  <c r="AK1207" i="1"/>
  <c r="AK1208" i="1"/>
  <c r="AK1205" i="1"/>
  <c r="AK324" i="1"/>
  <c r="AK298" i="1"/>
  <c r="AN281" i="1"/>
  <c r="AK421" i="1"/>
  <c r="AK435" i="1"/>
  <c r="AK460" i="1"/>
  <c r="AK474" i="1"/>
  <c r="AK499" i="1"/>
  <c r="AK513" i="1"/>
  <c r="AK382" i="1"/>
  <c r="AK396" i="1"/>
  <c r="AK1125" i="1"/>
  <c r="BE562" i="1"/>
  <c r="AK290" i="1"/>
  <c r="BE1201" i="1"/>
  <c r="BH1188" i="1"/>
  <c r="BH1190" i="1" s="1"/>
  <c r="BE1194" i="1"/>
  <c r="BD1269" i="1"/>
  <c r="BG1268" i="1"/>
  <c r="AG560" i="1"/>
  <c r="AG565" i="1"/>
  <c r="AG566" i="1" s="1"/>
  <c r="AJ586" i="1"/>
  <c r="BH286" i="1"/>
  <c r="BE1131" i="1"/>
  <c r="AK327" i="1"/>
  <c r="AN284" i="1"/>
  <c r="AK303" i="1"/>
  <c r="AK399" i="1"/>
  <c r="AK438" i="1"/>
  <c r="AK463" i="1"/>
  <c r="AK477" i="1"/>
  <c r="AK502" i="1"/>
  <c r="AK516" i="1"/>
  <c r="AK424" i="1"/>
  <c r="AK385" i="1"/>
  <c r="AK1157" i="1"/>
  <c r="AK1130" i="1"/>
  <c r="AJ624" i="1"/>
  <c r="AJ674" i="1"/>
  <c r="BE389" i="1"/>
  <c r="BE403" i="1"/>
  <c r="BE331" i="1"/>
  <c r="BE665" i="1" s="1"/>
  <c r="BH288" i="1"/>
  <c r="BE310" i="1"/>
  <c r="BE663" i="1" s="1"/>
  <c r="BE442" i="1"/>
  <c r="BE467" i="1"/>
  <c r="BE481" i="1"/>
  <c r="BE506" i="1"/>
  <c r="BE520" i="1"/>
  <c r="BE1128" i="1"/>
  <c r="AY1246" i="1"/>
  <c r="AV362" i="1"/>
  <c r="BD606" i="1"/>
  <c r="AY652" i="1"/>
  <c r="AV653" i="1"/>
  <c r="AW341" i="1"/>
  <c r="AW1211" i="1"/>
  <c r="BJ1224" i="1"/>
  <c r="BG1225" i="1"/>
  <c r="AT661" i="1"/>
  <c r="AT649" i="1"/>
  <c r="AT648" i="1"/>
  <c r="AT639" i="1"/>
  <c r="AT647" i="1"/>
  <c r="AT640" i="1"/>
  <c r="AT655" i="1"/>
  <c r="AT663" i="1"/>
  <c r="AT656" i="1"/>
  <c r="AT657" i="1"/>
  <c r="AT665" i="1"/>
  <c r="AT664" i="1"/>
  <c r="AT641" i="1"/>
  <c r="AN285" i="1"/>
  <c r="BF344" i="1"/>
  <c r="BF1218" i="1"/>
  <c r="BF1221" i="1"/>
  <c r="BF1220" i="1"/>
  <c r="J8" i="4"/>
  <c r="AW137" i="1"/>
  <c r="I102" i="7"/>
  <c r="BC1271" i="1"/>
  <c r="BD1232" i="1"/>
  <c r="BA1233" i="1"/>
  <c r="BC1232" i="1"/>
  <c r="BK1189" i="1"/>
  <c r="BH1195" i="1"/>
  <c r="AN662" i="1"/>
  <c r="AN1153" i="1" s="1"/>
  <c r="BH279" i="1"/>
  <c r="BE1121" i="1"/>
  <c r="BD324" i="1"/>
  <c r="BD649" i="1" s="1"/>
  <c r="BG281" i="1"/>
  <c r="BD298" i="1"/>
  <c r="BD647" i="1" s="1"/>
  <c r="BD382" i="1"/>
  <c r="BD435" i="1"/>
  <c r="BD460" i="1"/>
  <c r="BD474" i="1"/>
  <c r="BD499" i="1"/>
  <c r="BD513" i="1"/>
  <c r="BD396" i="1"/>
  <c r="BD1125" i="1"/>
  <c r="AN286" i="1"/>
  <c r="AK1131" i="1"/>
  <c r="BF1268" i="1"/>
  <c r="BF1273" i="1" s="1"/>
  <c r="BG278" i="1"/>
  <c r="BD293" i="1"/>
  <c r="BD639" i="1" s="1"/>
  <c r="BD321" i="1"/>
  <c r="BD641" i="1" s="1"/>
  <c r="BD393" i="1"/>
  <c r="BD432" i="1"/>
  <c r="BD457" i="1"/>
  <c r="BD471" i="1"/>
  <c r="BD496" i="1"/>
  <c r="BD510" i="1"/>
  <c r="BD379" i="1"/>
  <c r="BD1122" i="1"/>
  <c r="AY1276" i="1"/>
  <c r="BG1463" i="1"/>
  <c r="BD1471" i="1"/>
  <c r="BD557" i="1" s="1"/>
  <c r="BD562" i="1" s="1"/>
  <c r="BD1459" i="1"/>
  <c r="BD1461" i="1" s="1"/>
  <c r="BD547" i="1" s="1"/>
  <c r="BF547" i="1" s="1"/>
  <c r="BF1463" i="1"/>
  <c r="AX1147" i="1"/>
  <c r="AZ1210" i="1"/>
  <c r="AZ1213" i="1" s="1"/>
  <c r="AX1231" i="1"/>
  <c r="BA1210" i="1"/>
  <c r="AX1211" i="1"/>
  <c r="AN289" i="1"/>
  <c r="AK1127" i="1"/>
  <c r="BB1261" i="1"/>
  <c r="BE1260" i="1"/>
  <c r="BB1277" i="1"/>
  <c r="BE1279" i="1" s="1"/>
  <c r="BE1451" i="1" s="1"/>
  <c r="BE576" i="1" s="1"/>
  <c r="AN282" i="1"/>
  <c r="AK1124" i="1"/>
  <c r="BH284" i="1"/>
  <c r="BE327" i="1"/>
  <c r="BE657" i="1" s="1"/>
  <c r="BE303" i="1"/>
  <c r="BE655" i="1" s="1"/>
  <c r="BE438" i="1"/>
  <c r="BE463" i="1"/>
  <c r="BE477" i="1"/>
  <c r="BE502" i="1"/>
  <c r="BE516" i="1"/>
  <c r="BE385" i="1"/>
  <c r="BE399" i="1"/>
  <c r="BE1157" i="1"/>
  <c r="BE1130" i="1"/>
  <c r="AL1239" i="1"/>
  <c r="AL1452" i="1"/>
  <c r="AL579" i="1" s="1"/>
  <c r="AX644" i="1"/>
  <c r="AU645" i="1"/>
  <c r="BJ675" i="1"/>
  <c r="BG625" i="1"/>
  <c r="BH278" i="1"/>
  <c r="BE321" i="1"/>
  <c r="BE641" i="1" s="1"/>
  <c r="BE293" i="1"/>
  <c r="BE639" i="1" s="1"/>
  <c r="BE290" i="1"/>
  <c r="BE379" i="1"/>
  <c r="BE393" i="1"/>
  <c r="BE432" i="1"/>
  <c r="BE457" i="1"/>
  <c r="BE471" i="1"/>
  <c r="BE496" i="1"/>
  <c r="BE510" i="1"/>
  <c r="BE1122" i="1"/>
  <c r="BB1196" i="1"/>
  <c r="BB1202" i="1"/>
  <c r="AM541" i="1"/>
  <c r="AN288" i="1"/>
  <c r="AK389" i="1"/>
  <c r="AK403" i="1"/>
  <c r="AK331" i="1"/>
  <c r="AK310" i="1"/>
  <c r="AK428" i="1"/>
  <c r="AK442" i="1"/>
  <c r="AK467" i="1"/>
  <c r="AK481" i="1"/>
  <c r="AK506" i="1"/>
  <c r="AK520" i="1"/>
  <c r="AK1128" i="1"/>
  <c r="BG279" i="1"/>
  <c r="BD1121" i="1"/>
  <c r="AY1249" i="1"/>
  <c r="BM1197" i="1"/>
  <c r="BL1197" i="1"/>
  <c r="AO681" i="1"/>
  <c r="AJ623" i="1"/>
  <c r="AK669" i="1"/>
  <c r="AJ670" i="1"/>
  <c r="AJ1163" i="1" s="1"/>
  <c r="AM680" i="1"/>
  <c r="AM672" i="1"/>
  <c r="AM1161" i="1" s="1"/>
  <c r="AM671" i="1"/>
  <c r="AJ1123" i="1"/>
  <c r="AJ280" i="1"/>
  <c r="AJ287" i="1"/>
  <c r="AJ283" i="1"/>
  <c r="AJ1126" i="1"/>
  <c r="AJ1120" i="1"/>
  <c r="AJ1129" i="1"/>
  <c r="AJ277" i="1"/>
  <c r="AQ650" i="1"/>
  <c r="AQ1149" i="1" s="1"/>
  <c r="AI545" i="1"/>
  <c r="AI607" i="1"/>
  <c r="BG282" i="1"/>
  <c r="BD1124" i="1"/>
  <c r="BH289" i="1"/>
  <c r="BE1127" i="1"/>
  <c r="AZ1233" i="1"/>
  <c r="AZ1236" i="1"/>
  <c r="AZ1237" i="1" s="1"/>
  <c r="BB654" i="1"/>
  <c r="BB1156" i="1" s="1"/>
  <c r="AL535" i="1"/>
  <c r="BA646" i="1"/>
  <c r="BA1150" i="1" s="1"/>
  <c r="BK1268" i="1"/>
  <c r="BH1269" i="1"/>
  <c r="BA638" i="1"/>
  <c r="AT637" i="1"/>
  <c r="BC1471" i="1"/>
  <c r="BC1459" i="1"/>
  <c r="BC1461" i="1" s="1"/>
  <c r="BC1464" i="1"/>
  <c r="BF348" i="1"/>
  <c r="BF1225" i="1"/>
  <c r="AY553" i="1" l="1"/>
  <c r="AY10" i="1" s="1"/>
  <c r="AG8" i="1"/>
  <c r="AZ606" i="1"/>
  <c r="R45" i="4"/>
  <c r="AL673" i="1"/>
  <c r="AL624" i="1" s="1"/>
  <c r="AL605" i="1" s="1"/>
  <c r="AO689" i="1"/>
  <c r="AL687" i="1"/>
  <c r="AL626" i="1"/>
  <c r="AJ581" i="1"/>
  <c r="S52" i="4"/>
  <c r="AG543" i="1"/>
  <c r="AG582" i="1" s="1"/>
  <c r="AG580" i="1" s="1"/>
  <c r="AG336" i="1"/>
  <c r="AG272" i="1" s="1"/>
  <c r="BE625" i="1"/>
  <c r="BF625" i="1" s="1"/>
  <c r="AZ12" i="1"/>
  <c r="AZ63" i="1" s="1"/>
  <c r="AY63" i="1"/>
  <c r="AY64" i="1"/>
  <c r="BA64" i="1"/>
  <c r="BA63" i="1"/>
  <c r="AI76" i="1"/>
  <c r="AI240" i="1"/>
  <c r="AM151" i="1"/>
  <c r="AM621" i="1"/>
  <c r="AN632" i="1"/>
  <c r="AO632" i="1"/>
  <c r="AO634" i="1" s="1"/>
  <c r="AO619" i="1"/>
  <c r="AL152" i="1"/>
  <c r="AL155" i="1" s="1"/>
  <c r="AL134" i="1" s="1"/>
  <c r="AL622" i="1"/>
  <c r="AJ72" i="1"/>
  <c r="AK72" i="1" s="1"/>
  <c r="AJ136" i="1"/>
  <c r="AR633" i="1"/>
  <c r="AP630" i="1"/>
  <c r="AK152" i="1"/>
  <c r="AK155" i="1" s="1"/>
  <c r="AK134" i="1" s="1"/>
  <c r="AK622" i="1"/>
  <c r="BH675" i="1"/>
  <c r="BH625" i="1" s="1"/>
  <c r="BI625" i="1" s="1"/>
  <c r="AS1452" i="1"/>
  <c r="AS579" i="1" s="1"/>
  <c r="AZ644" i="1"/>
  <c r="AZ645" i="1" s="1"/>
  <c r="AO1163" i="1"/>
  <c r="AP347" i="1"/>
  <c r="AK1242" i="1"/>
  <c r="S67" i="4"/>
  <c r="BD424" i="1"/>
  <c r="BH424" i="1"/>
  <c r="BH418" i="1"/>
  <c r="BG418" i="1"/>
  <c r="BG1128" i="1"/>
  <c r="BG428" i="1"/>
  <c r="BG421" i="1"/>
  <c r="BH428" i="1"/>
  <c r="BH1125" i="1"/>
  <c r="BH421" i="1"/>
  <c r="BC625" i="1"/>
  <c r="BC562" i="1"/>
  <c r="Y55" i="4"/>
  <c r="AH540" i="1"/>
  <c r="I28" i="4"/>
  <c r="AW652" i="1"/>
  <c r="AW653" i="1" s="1"/>
  <c r="BB12" i="1"/>
  <c r="AU653" i="1"/>
  <c r="BB644" i="1"/>
  <c r="BB645" i="1" s="1"/>
  <c r="AL1159" i="1"/>
  <c r="AL575" i="1" s="1"/>
  <c r="AR1146" i="1"/>
  <c r="AR1162" i="1" s="1"/>
  <c r="AL1140" i="1"/>
  <c r="AL1135" i="1"/>
  <c r="AX652" i="1"/>
  <c r="AX653" i="1" s="1"/>
  <c r="AL1138" i="1"/>
  <c r="E36" i="4"/>
  <c r="AO1132" i="1"/>
  <c r="AO1135" i="1" s="1"/>
  <c r="AO1133" i="1"/>
  <c r="AO1144" i="1" s="1"/>
  <c r="AO291" i="1"/>
  <c r="AL1139" i="1"/>
  <c r="AL1136" i="1"/>
  <c r="BD516" i="1"/>
  <c r="BA654" i="1"/>
  <c r="BA1156" i="1" s="1"/>
  <c r="BD438" i="1"/>
  <c r="AL1145" i="1"/>
  <c r="AL1142" i="1"/>
  <c r="AL1143" i="1"/>
  <c r="AL1144" i="1"/>
  <c r="BD662" i="1"/>
  <c r="BD1153" i="1" s="1"/>
  <c r="BD385" i="1"/>
  <c r="BD290" i="1"/>
  <c r="BD1130" i="1"/>
  <c r="BD463" i="1"/>
  <c r="BG284" i="1"/>
  <c r="AH1143" i="1"/>
  <c r="BD502" i="1"/>
  <c r="BD303" i="1"/>
  <c r="BD655" i="1" s="1"/>
  <c r="BD399" i="1"/>
  <c r="BG285" i="1"/>
  <c r="BG286" i="1"/>
  <c r="BG1131" i="1" s="1"/>
  <c r="BD1157" i="1"/>
  <c r="BD477" i="1"/>
  <c r="BD327" i="1"/>
  <c r="BD657" i="1" s="1"/>
  <c r="AH575" i="1"/>
  <c r="BH298" i="1"/>
  <c r="BH647" i="1" s="1"/>
  <c r="BG442" i="1"/>
  <c r="BK281" i="1"/>
  <c r="BE1198" i="1"/>
  <c r="AY137" i="1"/>
  <c r="BH513" i="1"/>
  <c r="BA137" i="1"/>
  <c r="BH1124" i="1"/>
  <c r="BH435" i="1"/>
  <c r="J28" i="4"/>
  <c r="J27" i="4"/>
  <c r="AH1135" i="1"/>
  <c r="BA660" i="1"/>
  <c r="BA661" i="1" s="1"/>
  <c r="BG520" i="1"/>
  <c r="BH1196" i="1"/>
  <c r="BH1192" i="1"/>
  <c r="BH1198" i="1" s="1"/>
  <c r="BG331" i="1"/>
  <c r="BG665" i="1" s="1"/>
  <c r="BJ289" i="1"/>
  <c r="BJ1127" i="1" s="1"/>
  <c r="BH460" i="1"/>
  <c r="BH324" i="1"/>
  <c r="BH649" i="1" s="1"/>
  <c r="BG403" i="1"/>
  <c r="BG467" i="1"/>
  <c r="BG310" i="1"/>
  <c r="BG663" i="1" s="1"/>
  <c r="BK282" i="1"/>
  <c r="BH499" i="1"/>
  <c r="BH396" i="1"/>
  <c r="BG506" i="1"/>
  <c r="BJ288" i="1"/>
  <c r="BG1127" i="1"/>
  <c r="BH382" i="1"/>
  <c r="BH474" i="1"/>
  <c r="BG481" i="1"/>
  <c r="BG389" i="1"/>
  <c r="BK1197" i="1"/>
  <c r="AQ638" i="1"/>
  <c r="AQ1147" i="1" s="1"/>
  <c r="AL674" i="1"/>
  <c r="BE646" i="1"/>
  <c r="BE1150" i="1" s="1"/>
  <c r="AH1138" i="1"/>
  <c r="AQ279" i="1"/>
  <c r="AQ1121" i="1" s="1"/>
  <c r="BE654" i="1"/>
  <c r="BE1156" i="1" s="1"/>
  <c r="AH1145" i="1"/>
  <c r="AH1144" i="1"/>
  <c r="AZ679" i="1"/>
  <c r="BE638" i="1"/>
  <c r="BE1147" i="1" s="1"/>
  <c r="AT642" i="1"/>
  <c r="AT1148" i="1" s="1"/>
  <c r="AH1137" i="1"/>
  <c r="BI1228" i="1"/>
  <c r="BI1229" i="1" s="1"/>
  <c r="BI1226" i="1" s="1"/>
  <c r="AT658" i="1"/>
  <c r="AT654" i="1" s="1"/>
  <c r="AT1156" i="1" s="1"/>
  <c r="AH1136" i="1"/>
  <c r="AH1139" i="1"/>
  <c r="AH1140" i="1"/>
  <c r="BK1232" i="1"/>
  <c r="BH1233" i="1"/>
  <c r="BF1222" i="1"/>
  <c r="BF1219" i="1" s="1"/>
  <c r="AH1160" i="1"/>
  <c r="BD646" i="1"/>
  <c r="BD1150" i="1" s="1"/>
  <c r="BE662" i="1"/>
  <c r="BE1153" i="1" s="1"/>
  <c r="AQ1154" i="1"/>
  <c r="AZ1234" i="1"/>
  <c r="AQ646" i="1"/>
  <c r="AQ1150" i="1" s="1"/>
  <c r="BC1274" i="1"/>
  <c r="BC1270" i="1" s="1"/>
  <c r="AQ1155" i="1"/>
  <c r="BG1218" i="1"/>
  <c r="BJ1217" i="1"/>
  <c r="BL1217" i="1" s="1"/>
  <c r="AL540" i="1"/>
  <c r="BC1233" i="1"/>
  <c r="AL545" i="1"/>
  <c r="AL607" i="1"/>
  <c r="AQ1158" i="1"/>
  <c r="K8" i="4"/>
  <c r="AZ137" i="1"/>
  <c r="J102" i="7"/>
  <c r="BN1268" i="1"/>
  <c r="BK1269" i="1"/>
  <c r="BJ282" i="1"/>
  <c r="BG1124" i="1"/>
  <c r="AI555" i="1"/>
  <c r="AJ291" i="1"/>
  <c r="AM668" i="1"/>
  <c r="AM1146" i="1"/>
  <c r="AM1162" i="1" s="1"/>
  <c r="AK670" i="1"/>
  <c r="AK671" i="1" s="1"/>
  <c r="AN672" i="1"/>
  <c r="AN1161" i="1" s="1"/>
  <c r="AK1123" i="1"/>
  <c r="AK280" i="1"/>
  <c r="AK1126" i="1"/>
  <c r="AK283" i="1"/>
  <c r="AK1120" i="1"/>
  <c r="AK287" i="1"/>
  <c r="AK277" i="1"/>
  <c r="AK1129" i="1"/>
  <c r="AN331" i="1"/>
  <c r="AQ288" i="1"/>
  <c r="AN310" i="1"/>
  <c r="AN403" i="1"/>
  <c r="AN428" i="1"/>
  <c r="AN442" i="1"/>
  <c r="AN467" i="1"/>
  <c r="AN481" i="1"/>
  <c r="AN389" i="1"/>
  <c r="AN506" i="1"/>
  <c r="AN520" i="1"/>
  <c r="AN1128" i="1"/>
  <c r="BK278" i="1"/>
  <c r="BH293" i="1"/>
  <c r="BH639" i="1" s="1"/>
  <c r="BH290" i="1"/>
  <c r="BH321" i="1"/>
  <c r="BH641" i="1" s="1"/>
  <c r="BH432" i="1"/>
  <c r="BH457" i="1"/>
  <c r="BH471" i="1"/>
  <c r="BH496" i="1"/>
  <c r="BH510" i="1"/>
  <c r="BH379" i="1"/>
  <c r="BH393" i="1"/>
  <c r="BH1122" i="1"/>
  <c r="BB553" i="1"/>
  <c r="BB10" i="1" s="1"/>
  <c r="BC550" i="1"/>
  <c r="BC553" i="1" s="1"/>
  <c r="BC10" i="1" s="1"/>
  <c r="AQ289" i="1"/>
  <c r="AN1127" i="1"/>
  <c r="AZ341" i="1"/>
  <c r="AZ1211" i="1"/>
  <c r="BF1471" i="1"/>
  <c r="BF1464" i="1"/>
  <c r="BF1459" i="1"/>
  <c r="BF1461" i="1" s="1"/>
  <c r="BD638" i="1"/>
  <c r="BJ281" i="1"/>
  <c r="BG298" i="1"/>
  <c r="BG647" i="1" s="1"/>
  <c r="BG382" i="1"/>
  <c r="BG396" i="1"/>
  <c r="BG324" i="1"/>
  <c r="BG649" i="1" s="1"/>
  <c r="BG435" i="1"/>
  <c r="BG460" i="1"/>
  <c r="BG474" i="1"/>
  <c r="BG499" i="1"/>
  <c r="BG513" i="1"/>
  <c r="BG1125" i="1"/>
  <c r="BK1195" i="1"/>
  <c r="BN1189" i="1"/>
  <c r="BC1236" i="1"/>
  <c r="AT666" i="1"/>
  <c r="AT1154" i="1" s="1"/>
  <c r="BD550" i="1"/>
  <c r="BD553" i="1" s="1"/>
  <c r="BD10" i="1" s="1"/>
  <c r="AG587" i="1"/>
  <c r="AG585" i="1" s="1"/>
  <c r="AG594" i="1"/>
  <c r="BF1272" i="1"/>
  <c r="AG23" i="1"/>
  <c r="AG22" i="1"/>
  <c r="AG36" i="1"/>
  <c r="AG241" i="1"/>
  <c r="BF557" i="1"/>
  <c r="AK347" i="1"/>
  <c r="AR623" i="1"/>
  <c r="AR670" i="1"/>
  <c r="AU680" i="1"/>
  <c r="AV681" i="1"/>
  <c r="AU672" i="1"/>
  <c r="AU1161" i="1" s="1"/>
  <c r="AR287" i="1"/>
  <c r="AR1126" i="1"/>
  <c r="AU671" i="1"/>
  <c r="AR283" i="1"/>
  <c r="AR277" i="1"/>
  <c r="AR1120" i="1"/>
  <c r="AR1129" i="1"/>
  <c r="AR280" i="1"/>
  <c r="AR1123" i="1"/>
  <c r="BC606" i="1"/>
  <c r="BA636" i="1"/>
  <c r="AX637" i="1"/>
  <c r="BI344" i="1"/>
  <c r="BI1218" i="1"/>
  <c r="BI1220" i="1"/>
  <c r="BI1221" i="1"/>
  <c r="AQ1152" i="1"/>
  <c r="BI1195" i="1"/>
  <c r="BD12" i="1"/>
  <c r="AZ660" i="1"/>
  <c r="BB679" i="1"/>
  <c r="BB660" i="1"/>
  <c r="AY661" i="1"/>
  <c r="AI608" i="1"/>
  <c r="AS1288" i="1"/>
  <c r="AP1167" i="1"/>
  <c r="AP1286" i="1"/>
  <c r="AS1295" i="1"/>
  <c r="AS1296" i="1"/>
  <c r="AU1297" i="1"/>
  <c r="AS1454" i="1"/>
  <c r="AP338" i="1"/>
  <c r="BG1471" i="1"/>
  <c r="BG557" i="1" s="1"/>
  <c r="BG562" i="1" s="1"/>
  <c r="BG1459" i="1"/>
  <c r="BG1461" i="1" s="1"/>
  <c r="BG547" i="1" s="1"/>
  <c r="BI547" i="1" s="1"/>
  <c r="BI1463" i="1"/>
  <c r="BJ1463" i="1"/>
  <c r="AN385" i="1"/>
  <c r="AN399" i="1"/>
  <c r="AN424" i="1"/>
  <c r="AQ284" i="1"/>
  <c r="AN327" i="1"/>
  <c r="AN303" i="1"/>
  <c r="AN438" i="1"/>
  <c r="AN463" i="1"/>
  <c r="AN477" i="1"/>
  <c r="AN502" i="1"/>
  <c r="AN516" i="1"/>
  <c r="AN1130" i="1"/>
  <c r="AN1157" i="1"/>
  <c r="BN1217" i="1"/>
  <c r="BK1218" i="1"/>
  <c r="AS1240" i="1"/>
  <c r="BK1471" i="1"/>
  <c r="BK557" i="1" s="1"/>
  <c r="BK1459" i="1"/>
  <c r="BK1461" i="1" s="1"/>
  <c r="BK547" i="1" s="1"/>
  <c r="BN1463" i="1"/>
  <c r="AI586" i="1"/>
  <c r="AJ604" i="1"/>
  <c r="AJ634" i="1"/>
  <c r="AK623" i="1"/>
  <c r="AP337" i="1"/>
  <c r="BA644" i="1"/>
  <c r="AX645" i="1"/>
  <c r="AN1239" i="1"/>
  <c r="AL1240" i="1"/>
  <c r="AQ282" i="1"/>
  <c r="AN1124" i="1"/>
  <c r="AQ286" i="1"/>
  <c r="AN1131" i="1"/>
  <c r="BK279" i="1"/>
  <c r="BH1121" i="1"/>
  <c r="BH1202" i="1"/>
  <c r="BG1232" i="1"/>
  <c r="BD1233" i="1"/>
  <c r="BF1232" i="1"/>
  <c r="BK288" i="1"/>
  <c r="BH331" i="1"/>
  <c r="BH665" i="1" s="1"/>
  <c r="BH310" i="1"/>
  <c r="BH663" i="1" s="1"/>
  <c r="BH389" i="1"/>
  <c r="BH442" i="1"/>
  <c r="BH467" i="1"/>
  <c r="BH481" i="1"/>
  <c r="BH403" i="1"/>
  <c r="BH506" i="1"/>
  <c r="BH520" i="1"/>
  <c r="BH1128" i="1"/>
  <c r="BK286" i="1"/>
  <c r="BH1131" i="1"/>
  <c r="AH555" i="1"/>
  <c r="AN324" i="1"/>
  <c r="AQ281" i="1"/>
  <c r="AN298" i="1"/>
  <c r="AN382" i="1"/>
  <c r="AN435" i="1"/>
  <c r="AN460" i="1"/>
  <c r="AN474" i="1"/>
  <c r="AN499" i="1"/>
  <c r="AN513" i="1"/>
  <c r="AN396" i="1"/>
  <c r="AN421" i="1"/>
  <c r="AN1125" i="1"/>
  <c r="AH608" i="1"/>
  <c r="BN1252" i="1"/>
  <c r="BK1253" i="1"/>
  <c r="AQ278" i="1"/>
  <c r="AN293" i="1"/>
  <c r="AN290" i="1"/>
  <c r="AN321" i="1"/>
  <c r="AN393" i="1"/>
  <c r="AN418" i="1"/>
  <c r="AN432" i="1"/>
  <c r="AN457" i="1"/>
  <c r="AN471" i="1"/>
  <c r="AN496" i="1"/>
  <c r="AN510" i="1"/>
  <c r="AN379" i="1"/>
  <c r="AN1122" i="1"/>
  <c r="AQ1151" i="1"/>
  <c r="AK677" i="1"/>
  <c r="BJ625" i="1"/>
  <c r="BM675" i="1"/>
  <c r="BK284" i="1"/>
  <c r="BH385" i="1"/>
  <c r="BH399" i="1"/>
  <c r="BH327" i="1"/>
  <c r="BH657" i="1" s="1"/>
  <c r="BH303" i="1"/>
  <c r="BH655" i="1" s="1"/>
  <c r="BH438" i="1"/>
  <c r="BH463" i="1"/>
  <c r="BH477" i="1"/>
  <c r="BH502" i="1"/>
  <c r="BH516" i="1"/>
  <c r="BH1130" i="1"/>
  <c r="BH1157" i="1"/>
  <c r="BE1261" i="1"/>
  <c r="BH1260" i="1"/>
  <c r="BE1277" i="1"/>
  <c r="BH1279" i="1" s="1"/>
  <c r="BH1451" i="1" s="1"/>
  <c r="BH576" i="1" s="1"/>
  <c r="AZ1231" i="1"/>
  <c r="BF1269" i="1"/>
  <c r="BJ1268" i="1"/>
  <c r="BG1269" i="1"/>
  <c r="BI348" i="1"/>
  <c r="BI1225" i="1"/>
  <c r="AZ636" i="1"/>
  <c r="AY637" i="1"/>
  <c r="BB636" i="1"/>
  <c r="F54" i="4"/>
  <c r="AL27" i="1"/>
  <c r="BK1210" i="1"/>
  <c r="BH1211" i="1"/>
  <c r="BH1231" i="1"/>
  <c r="BL1189" i="1"/>
  <c r="BM1189" i="1"/>
  <c r="BJ1195" i="1"/>
  <c r="AO535" i="1"/>
  <c r="BA1147" i="1"/>
  <c r="BI1268" i="1"/>
  <c r="BI1271" i="1" s="1"/>
  <c r="BK289" i="1"/>
  <c r="BH1127" i="1"/>
  <c r="AJ1132" i="1"/>
  <c r="AJ1140" i="1" s="1"/>
  <c r="AJ1133" i="1"/>
  <c r="AJ1160" i="1" s="1"/>
  <c r="AM686" i="1"/>
  <c r="AN680" i="1"/>
  <c r="AQ681" i="1"/>
  <c r="AO686" i="1"/>
  <c r="AO676" i="1" s="1"/>
  <c r="BO1197" i="1"/>
  <c r="BJ279" i="1"/>
  <c r="BG1121" i="1"/>
  <c r="BG606" i="1"/>
  <c r="BB1283" i="1"/>
  <c r="BB1278" i="1"/>
  <c r="BE1280" i="1"/>
  <c r="BB1250" i="1"/>
  <c r="BB1248" i="1"/>
  <c r="BB1249" i="1"/>
  <c r="AZ1214" i="1"/>
  <c r="BC1210" i="1"/>
  <c r="BC1214" i="1" s="1"/>
  <c r="BA1231" i="1"/>
  <c r="BD1210" i="1"/>
  <c r="BA1211" i="1"/>
  <c r="BB1276" i="1"/>
  <c r="BJ278" i="1"/>
  <c r="BG321" i="1"/>
  <c r="BG641" i="1" s="1"/>
  <c r="BG293" i="1"/>
  <c r="BG639" i="1" s="1"/>
  <c r="BG432" i="1"/>
  <c r="BG457" i="1"/>
  <c r="BG471" i="1"/>
  <c r="BG496" i="1"/>
  <c r="BG510" i="1"/>
  <c r="BG379" i="1"/>
  <c r="BG393" i="1"/>
  <c r="BG1122" i="1"/>
  <c r="BC1235" i="1"/>
  <c r="AQ285" i="1"/>
  <c r="AT650" i="1"/>
  <c r="AT1151" i="1" s="1"/>
  <c r="BJ1225" i="1"/>
  <c r="BM1224" i="1"/>
  <c r="BB652" i="1"/>
  <c r="AY653" i="1"/>
  <c r="AJ605" i="1"/>
  <c r="AK624" i="1"/>
  <c r="BF1271" i="1"/>
  <c r="BK1188" i="1"/>
  <c r="BH1194" i="1"/>
  <c r="BH1201" i="1"/>
  <c r="BL1224" i="1"/>
  <c r="BL1228" i="1" s="1"/>
  <c r="BN1224" i="1"/>
  <c r="BK1225" i="1"/>
  <c r="AW637" i="1"/>
  <c r="BK285" i="1"/>
  <c r="AY362" i="1"/>
  <c r="BB1246" i="1"/>
  <c r="BH562" i="1"/>
  <c r="AW661" i="1"/>
  <c r="AW640" i="1"/>
  <c r="AW648" i="1"/>
  <c r="AW647" i="1"/>
  <c r="AW641" i="1"/>
  <c r="AW656" i="1"/>
  <c r="AW649" i="1"/>
  <c r="AW657" i="1"/>
  <c r="AW664" i="1"/>
  <c r="AW655" i="1"/>
  <c r="AW663" i="1"/>
  <c r="AW639" i="1"/>
  <c r="AW665" i="1"/>
  <c r="AK674" i="1"/>
  <c r="AG268" i="1" l="1"/>
  <c r="AG270" i="1"/>
  <c r="AK634" i="1"/>
  <c r="AG271" i="1"/>
  <c r="AG273" i="1"/>
  <c r="AG577" i="1" s="1"/>
  <c r="AG269" i="1"/>
  <c r="BE606" i="1"/>
  <c r="BE550" i="1" s="1"/>
  <c r="BE553" i="1" s="1"/>
  <c r="BE10" i="1" s="1"/>
  <c r="BK675" i="1"/>
  <c r="BL675" i="1" s="1"/>
  <c r="BI675" i="1"/>
  <c r="BB64" i="1"/>
  <c r="BC64" i="1" s="1"/>
  <c r="AZ64" i="1"/>
  <c r="BC12" i="1"/>
  <c r="BC63" i="1" s="1"/>
  <c r="BB63" i="1"/>
  <c r="BD63" i="1"/>
  <c r="BD64" i="1"/>
  <c r="F32" i="4"/>
  <c r="AK76" i="1"/>
  <c r="F37" i="4" s="1"/>
  <c r="AK240" i="1"/>
  <c r="AK136" i="1"/>
  <c r="E106" i="7"/>
  <c r="AP619" i="1"/>
  <c r="AQ619" i="1" s="1"/>
  <c r="AP632" i="1"/>
  <c r="AO151" i="1"/>
  <c r="AO621" i="1"/>
  <c r="AS633" i="1"/>
  <c r="AR630" i="1"/>
  <c r="AL72" i="1"/>
  <c r="AL136" i="1"/>
  <c r="AN151" i="1"/>
  <c r="AN633" i="1"/>
  <c r="AQ630" i="1"/>
  <c r="AN621" i="1"/>
  <c r="AM152" i="1"/>
  <c r="AM155" i="1" s="1"/>
  <c r="AM134" i="1" s="1"/>
  <c r="AM622" i="1"/>
  <c r="AJ240" i="1"/>
  <c r="AJ76" i="1"/>
  <c r="AK1452" i="1"/>
  <c r="AK579" i="1" s="1"/>
  <c r="BJ421" i="1"/>
  <c r="BJ418" i="1"/>
  <c r="BK418" i="1"/>
  <c r="BJ428" i="1"/>
  <c r="BK428" i="1"/>
  <c r="BK421" i="1"/>
  <c r="BK424" i="1"/>
  <c r="BG424" i="1"/>
  <c r="BE12" i="1"/>
  <c r="AO1160" i="1"/>
  <c r="AO578" i="1" s="1"/>
  <c r="AO1143" i="1"/>
  <c r="BC644" i="1"/>
  <c r="BC645" i="1" s="1"/>
  <c r="AO1142" i="1"/>
  <c r="AO1145" i="1"/>
  <c r="AR1163" i="1"/>
  <c r="AZ652" i="1"/>
  <c r="AZ653" i="1" s="1"/>
  <c r="BA679" i="1"/>
  <c r="BC679" i="1" s="1"/>
  <c r="BH646" i="1"/>
  <c r="BH1150" i="1" s="1"/>
  <c r="BA652" i="1"/>
  <c r="BC652" i="1" s="1"/>
  <c r="AO1136" i="1"/>
  <c r="AO1159" i="1"/>
  <c r="AO575" i="1" s="1"/>
  <c r="AO1140" i="1"/>
  <c r="AO1138" i="1"/>
  <c r="AO1137" i="1"/>
  <c r="AO1139" i="1"/>
  <c r="BG327" i="1"/>
  <c r="BG657" i="1" s="1"/>
  <c r="BG1157" i="1"/>
  <c r="BG477" i="1"/>
  <c r="BG399" i="1"/>
  <c r="BD654" i="1"/>
  <c r="BD1156" i="1" s="1"/>
  <c r="BJ286" i="1"/>
  <c r="BJ285" i="1"/>
  <c r="BG502" i="1"/>
  <c r="BG303" i="1"/>
  <c r="BG655" i="1" s="1"/>
  <c r="BG290" i="1"/>
  <c r="BG1130" i="1"/>
  <c r="BG463" i="1"/>
  <c r="BG385" i="1"/>
  <c r="BG516" i="1"/>
  <c r="BG438" i="1"/>
  <c r="BJ284" i="1"/>
  <c r="BD660" i="1"/>
  <c r="BD661" i="1" s="1"/>
  <c r="AJ578" i="1"/>
  <c r="AH578" i="1"/>
  <c r="BK324" i="1"/>
  <c r="BK649" i="1" s="1"/>
  <c r="BB137" i="1"/>
  <c r="BK1125" i="1"/>
  <c r="BD137" i="1"/>
  <c r="BK382" i="1"/>
  <c r="BG662" i="1"/>
  <c r="BG1153" i="1" s="1"/>
  <c r="K27" i="4"/>
  <c r="BE644" i="1"/>
  <c r="BE645" i="1" s="1"/>
  <c r="BJ389" i="1"/>
  <c r="BK499" i="1"/>
  <c r="BK298" i="1"/>
  <c r="BK647" i="1" s="1"/>
  <c r="BK1124" i="1"/>
  <c r="BK474" i="1"/>
  <c r="BN281" i="1"/>
  <c r="BN282" i="1"/>
  <c r="BJ331" i="1"/>
  <c r="BJ665" i="1" s="1"/>
  <c r="AT638" i="1"/>
  <c r="AT1147" i="1" s="1"/>
  <c r="BJ403" i="1"/>
  <c r="BJ520" i="1"/>
  <c r="BJ310" i="1"/>
  <c r="BJ663" i="1" s="1"/>
  <c r="BM289" i="1"/>
  <c r="BJ467" i="1"/>
  <c r="BJ442" i="1"/>
  <c r="BJ506" i="1"/>
  <c r="BM288" i="1"/>
  <c r="BM428" i="1" s="1"/>
  <c r="BK460" i="1"/>
  <c r="BK396" i="1"/>
  <c r="BQ1197" i="1"/>
  <c r="BN1197" i="1"/>
  <c r="BP1197" i="1"/>
  <c r="BJ1128" i="1"/>
  <c r="BJ481" i="1"/>
  <c r="BK513" i="1"/>
  <c r="BK435" i="1"/>
  <c r="BI557" i="1"/>
  <c r="AT279" i="1"/>
  <c r="AT1121" i="1" s="1"/>
  <c r="AT1158" i="1"/>
  <c r="BI1222" i="1"/>
  <c r="BI1219" i="1" s="1"/>
  <c r="BC1213" i="1"/>
  <c r="BC1215" i="1" s="1"/>
  <c r="BC1212" i="1" s="1"/>
  <c r="BH654" i="1"/>
  <c r="BH1156" i="1" s="1"/>
  <c r="BN1232" i="1"/>
  <c r="BK1233" i="1"/>
  <c r="AT646" i="1"/>
  <c r="AT1150" i="1" s="1"/>
  <c r="BH638" i="1"/>
  <c r="BH1147" i="1" s="1"/>
  <c r="AW658" i="1"/>
  <c r="AW654" i="1" s="1"/>
  <c r="AW1156" i="1" s="1"/>
  <c r="AT1149" i="1"/>
  <c r="BM1217" i="1"/>
  <c r="BO1217" i="1" s="1"/>
  <c r="BJ1218" i="1"/>
  <c r="BI1272" i="1"/>
  <c r="BH662" i="1"/>
  <c r="BH1153" i="1" s="1"/>
  <c r="BC1237" i="1"/>
  <c r="BC1234" i="1" s="1"/>
  <c r="AZ1215" i="1"/>
  <c r="AZ1212" i="1" s="1"/>
  <c r="BE636" i="1"/>
  <c r="BB637" i="1"/>
  <c r="BC636" i="1"/>
  <c r="BN286" i="1"/>
  <c r="BK1131" i="1"/>
  <c r="BF1233" i="1"/>
  <c r="BJ1471" i="1"/>
  <c r="BJ557" i="1" s="1"/>
  <c r="BJ562" i="1" s="1"/>
  <c r="BJ1459" i="1"/>
  <c r="BJ1461" i="1" s="1"/>
  <c r="BJ547" i="1" s="1"/>
  <c r="BL547" i="1" s="1"/>
  <c r="BL1463" i="1"/>
  <c r="BM1463" i="1"/>
  <c r="AH23" i="1"/>
  <c r="BN1269" i="1"/>
  <c r="BQ1268" i="1"/>
  <c r="AL555" i="1"/>
  <c r="BJ379" i="1"/>
  <c r="BJ393" i="1"/>
  <c r="BJ321" i="1"/>
  <c r="BJ641" i="1" s="1"/>
  <c r="BJ293" i="1"/>
  <c r="BJ639" i="1" s="1"/>
  <c r="BM278" i="1"/>
  <c r="BJ432" i="1"/>
  <c r="BJ457" i="1"/>
  <c r="BJ471" i="1"/>
  <c r="BJ496" i="1"/>
  <c r="BJ510" i="1"/>
  <c r="BJ1122" i="1"/>
  <c r="BC341" i="1"/>
  <c r="BC1211" i="1"/>
  <c r="BG550" i="1"/>
  <c r="BG553" i="1" s="1"/>
  <c r="BG10" i="1" s="1"/>
  <c r="BM279" i="1"/>
  <c r="BJ1121" i="1"/>
  <c r="AN686" i="1"/>
  <c r="AM676" i="1"/>
  <c r="AJ1138" i="1"/>
  <c r="BO1189" i="1"/>
  <c r="BP1189" i="1"/>
  <c r="BM1195" i="1"/>
  <c r="BF1274" i="1"/>
  <c r="BF1270" i="1" s="1"/>
  <c r="BM625" i="1"/>
  <c r="BP675" i="1"/>
  <c r="BF1236" i="1"/>
  <c r="BJ1232" i="1"/>
  <c r="BG1233" i="1"/>
  <c r="BI1232" i="1"/>
  <c r="BI1235" i="1" s="1"/>
  <c r="AL1241" i="1"/>
  <c r="AL1282" i="1"/>
  <c r="AO1243" i="1"/>
  <c r="AL1206" i="1"/>
  <c r="AL1207" i="1"/>
  <c r="AL1208" i="1"/>
  <c r="AL1205" i="1"/>
  <c r="AN1240" i="1"/>
  <c r="AO1242" i="1"/>
  <c r="BD644" i="1"/>
  <c r="BA645" i="1"/>
  <c r="BH606" i="1"/>
  <c r="BH550" i="1" s="1"/>
  <c r="BL344" i="1"/>
  <c r="BL1218" i="1"/>
  <c r="BL1221" i="1"/>
  <c r="BL1220" i="1"/>
  <c r="BI1459" i="1"/>
  <c r="BI1461" i="1" s="1"/>
  <c r="BI1464" i="1"/>
  <c r="BI1471" i="1"/>
  <c r="AP1287" i="1"/>
  <c r="AJ1143" i="1"/>
  <c r="BC660" i="1"/>
  <c r="BE679" i="1"/>
  <c r="BE660" i="1"/>
  <c r="BB661" i="1"/>
  <c r="AR1132" i="1"/>
  <c r="AR1137" i="1" s="1"/>
  <c r="AR1133" i="1"/>
  <c r="AR1142" i="1" s="1"/>
  <c r="AT1152" i="1"/>
  <c r="BD1147" i="1"/>
  <c r="AT289" i="1"/>
  <c r="AQ1127" i="1"/>
  <c r="AK1132" i="1"/>
  <c r="AK1135" i="1" s="1"/>
  <c r="AK1133" i="1"/>
  <c r="AK1142" i="1" s="1"/>
  <c r="AN668" i="1"/>
  <c r="AM669" i="1"/>
  <c r="AT662" i="1"/>
  <c r="AT1153" i="1" s="1"/>
  <c r="AJ1137" i="1"/>
  <c r="AT285" i="1"/>
  <c r="AM27" i="1"/>
  <c r="BN1253" i="1"/>
  <c r="BQ1252" i="1"/>
  <c r="AT282" i="1"/>
  <c r="AQ1124" i="1"/>
  <c r="AF587" i="1"/>
  <c r="AF585" i="1" s="1"/>
  <c r="AF594" i="1"/>
  <c r="AU668" i="1"/>
  <c r="AU669" i="1" s="1"/>
  <c r="AU1146" i="1"/>
  <c r="AU1162" i="1" s="1"/>
  <c r="BO1224" i="1"/>
  <c r="BO1227" i="1" s="1"/>
  <c r="BQ1224" i="1"/>
  <c r="BN1225" i="1"/>
  <c r="BE652" i="1"/>
  <c r="BB653" i="1"/>
  <c r="AO688" i="1"/>
  <c r="AO626" i="1"/>
  <c r="AO673" i="1"/>
  <c r="AO677" i="1"/>
  <c r="AO687" i="1"/>
  <c r="AR689" i="1"/>
  <c r="AJ1142" i="1"/>
  <c r="AJ1135" i="1"/>
  <c r="BN289" i="1"/>
  <c r="BK1127" i="1"/>
  <c r="AJ1139" i="1"/>
  <c r="BL1195" i="1"/>
  <c r="BN1210" i="1"/>
  <c r="BK1211" i="1"/>
  <c r="BK1231" i="1"/>
  <c r="AZ637" i="1"/>
  <c r="BJ1269" i="1"/>
  <c r="BM1268" i="1"/>
  <c r="BH1280" i="1"/>
  <c r="BE1283" i="1"/>
  <c r="BE1278" i="1"/>
  <c r="BE1248" i="1"/>
  <c r="BE1250" i="1"/>
  <c r="BJ606" i="1"/>
  <c r="AT281" i="1"/>
  <c r="AQ298" i="1"/>
  <c r="AQ382" i="1"/>
  <c r="AQ396" i="1"/>
  <c r="AQ421" i="1"/>
  <c r="AQ324" i="1"/>
  <c r="AQ435" i="1"/>
  <c r="AQ460" i="1"/>
  <c r="AQ474" i="1"/>
  <c r="AQ499" i="1"/>
  <c r="AQ513" i="1"/>
  <c r="AQ1125" i="1"/>
  <c r="R53" i="4"/>
  <c r="AH560" i="1"/>
  <c r="AH565" i="1"/>
  <c r="AH566" i="1" s="1"/>
  <c r="AK586" i="1"/>
  <c r="BN279" i="1"/>
  <c r="BK1121" i="1"/>
  <c r="AT286" i="1"/>
  <c r="AQ1131" i="1"/>
  <c r="BN675" i="1"/>
  <c r="BK562" i="1"/>
  <c r="AP536" i="1"/>
  <c r="AP1184" i="1"/>
  <c r="AJ1136" i="1"/>
  <c r="AR291" i="1"/>
  <c r="AG41" i="1"/>
  <c r="AH36" i="1"/>
  <c r="AG130" i="1"/>
  <c r="BG646" i="1"/>
  <c r="BG1150" i="1" s="1"/>
  <c r="BM282" i="1"/>
  <c r="BJ1124" i="1"/>
  <c r="BL1268" i="1"/>
  <c r="BL1273" i="1" s="1"/>
  <c r="AL608" i="1"/>
  <c r="AT1155" i="1"/>
  <c r="AJ1144" i="1"/>
  <c r="AJ1145" i="1"/>
  <c r="BK1260" i="1"/>
  <c r="BH1261" i="1"/>
  <c r="BH1277" i="1"/>
  <c r="BH1249" i="1" s="1"/>
  <c r="BK327" i="1"/>
  <c r="BK657" i="1" s="1"/>
  <c r="BK303" i="1"/>
  <c r="BK655" i="1" s="1"/>
  <c r="BN284" i="1"/>
  <c r="BK399" i="1"/>
  <c r="BK438" i="1"/>
  <c r="BK463" i="1"/>
  <c r="BK477" i="1"/>
  <c r="BK385" i="1"/>
  <c r="BK502" i="1"/>
  <c r="BK516" i="1"/>
  <c r="BK1130" i="1"/>
  <c r="BK1157" i="1"/>
  <c r="BN1471" i="1"/>
  <c r="BN557" i="1" s="1"/>
  <c r="BN1459" i="1"/>
  <c r="BN1461" i="1" s="1"/>
  <c r="BN547" i="1" s="1"/>
  <c r="BQ1463" i="1"/>
  <c r="BQ1217" i="1"/>
  <c r="BN1218" i="1"/>
  <c r="BQ1189" i="1"/>
  <c r="BN1195" i="1"/>
  <c r="BN278" i="1"/>
  <c r="BK290" i="1"/>
  <c r="BK321" i="1"/>
  <c r="BK641" i="1" s="1"/>
  <c r="BK293" i="1"/>
  <c r="BK639" i="1" s="1"/>
  <c r="BK379" i="1"/>
  <c r="BK432" i="1"/>
  <c r="BK457" i="1"/>
  <c r="BK471" i="1"/>
  <c r="BK496" i="1"/>
  <c r="BK510" i="1"/>
  <c r="BK393" i="1"/>
  <c r="BK1122" i="1"/>
  <c r="AI560" i="1"/>
  <c r="AI587" i="1" s="1"/>
  <c r="AI585" i="1" s="1"/>
  <c r="AI565" i="1"/>
  <c r="AI566" i="1" s="1"/>
  <c r="AL586" i="1"/>
  <c r="AW642" i="1"/>
  <c r="AW638" i="1" s="1"/>
  <c r="AW1147" i="1" s="1"/>
  <c r="BE1276" i="1"/>
  <c r="BN285" i="1"/>
  <c r="BP1224" i="1"/>
  <c r="BM1225" i="1"/>
  <c r="BG1210" i="1"/>
  <c r="BD1211" i="1"/>
  <c r="BF1210" i="1"/>
  <c r="BF1213" i="1" s="1"/>
  <c r="BD1231" i="1"/>
  <c r="AW650" i="1"/>
  <c r="AW1152" i="1" s="1"/>
  <c r="AW666" i="1"/>
  <c r="AW1155" i="1" s="1"/>
  <c r="BL348" i="1"/>
  <c r="BL1225" i="1"/>
  <c r="BN1188" i="1"/>
  <c r="BN1190" i="1" s="1"/>
  <c r="BN1192" i="1" s="1"/>
  <c r="BK1194" i="1"/>
  <c r="AJ545" i="1"/>
  <c r="AJ607" i="1"/>
  <c r="AK605" i="1"/>
  <c r="BL1227" i="1"/>
  <c r="BL1229" i="1" s="1"/>
  <c r="BG638" i="1"/>
  <c r="BC1231" i="1"/>
  <c r="BE1246" i="1"/>
  <c r="BB362" i="1"/>
  <c r="AJ1159" i="1"/>
  <c r="BI1269" i="1"/>
  <c r="AO540" i="1"/>
  <c r="BI1273" i="1"/>
  <c r="BE1249" i="1"/>
  <c r="AQ290" i="1"/>
  <c r="AT278" i="1"/>
  <c r="AQ321" i="1"/>
  <c r="AQ293" i="1"/>
  <c r="AQ432" i="1"/>
  <c r="AQ457" i="1"/>
  <c r="AQ471" i="1"/>
  <c r="AQ496" i="1"/>
  <c r="AQ510" i="1"/>
  <c r="AQ379" i="1"/>
  <c r="AQ393" i="1"/>
  <c r="AQ418" i="1"/>
  <c r="AQ1122" i="1"/>
  <c r="BK331" i="1"/>
  <c r="BK665" i="1" s="1"/>
  <c r="BK310" i="1"/>
  <c r="BK663" i="1" s="1"/>
  <c r="BN288" i="1"/>
  <c r="BK389" i="1"/>
  <c r="BK403" i="1"/>
  <c r="BK442" i="1"/>
  <c r="BK467" i="1"/>
  <c r="BK481" i="1"/>
  <c r="BK506" i="1"/>
  <c r="BK520" i="1"/>
  <c r="BK1128" i="1"/>
  <c r="BF1235" i="1"/>
  <c r="AJ535" i="1"/>
  <c r="AK604" i="1"/>
  <c r="AS1282" i="1"/>
  <c r="AS1241" i="1"/>
  <c r="AV1243" i="1"/>
  <c r="AS1208" i="1"/>
  <c r="AS1207" i="1"/>
  <c r="AS1206" i="1"/>
  <c r="AV1242" i="1"/>
  <c r="AS1205" i="1"/>
  <c r="AQ327" i="1"/>
  <c r="AQ303" i="1"/>
  <c r="AT284" i="1"/>
  <c r="AQ385" i="1"/>
  <c r="AQ399" i="1"/>
  <c r="AQ424" i="1"/>
  <c r="AQ438" i="1"/>
  <c r="AQ463" i="1"/>
  <c r="AQ477" i="1"/>
  <c r="AQ502" i="1"/>
  <c r="AQ516" i="1"/>
  <c r="AQ1130" i="1"/>
  <c r="AQ1157" i="1"/>
  <c r="AZ661" i="1"/>
  <c r="AZ655" i="1"/>
  <c r="AZ663" i="1"/>
  <c r="AZ664" i="1"/>
  <c r="AZ649" i="1"/>
  <c r="AZ640" i="1"/>
  <c r="AZ657" i="1"/>
  <c r="AZ665" i="1"/>
  <c r="AZ641" i="1"/>
  <c r="AZ656" i="1"/>
  <c r="AZ639" i="1"/>
  <c r="AZ647" i="1"/>
  <c r="AZ648" i="1"/>
  <c r="BG12" i="1"/>
  <c r="BA637" i="1"/>
  <c r="BD636" i="1"/>
  <c r="AR604" i="1"/>
  <c r="BF562" i="1"/>
  <c r="AH22" i="1"/>
  <c r="AG125" i="1"/>
  <c r="AG126" i="1" s="1"/>
  <c r="AG129" i="1"/>
  <c r="BK1190" i="1"/>
  <c r="BM281" i="1"/>
  <c r="BJ324" i="1"/>
  <c r="BJ649" i="1" s="1"/>
  <c r="BJ298" i="1"/>
  <c r="BJ647" i="1" s="1"/>
  <c r="BJ382" i="1"/>
  <c r="BJ396" i="1"/>
  <c r="BJ435" i="1"/>
  <c r="BJ460" i="1"/>
  <c r="BJ474" i="1"/>
  <c r="BJ499" i="1"/>
  <c r="BJ513" i="1"/>
  <c r="BJ1125" i="1"/>
  <c r="L8" i="4"/>
  <c r="BC137" i="1"/>
  <c r="K102" i="7"/>
  <c r="AT288" i="1"/>
  <c r="AQ331" i="1"/>
  <c r="AQ310" i="1"/>
  <c r="AQ389" i="1"/>
  <c r="AQ428" i="1"/>
  <c r="AQ442" i="1"/>
  <c r="AQ467" i="1"/>
  <c r="AQ481" i="1"/>
  <c r="AQ506" i="1"/>
  <c r="AQ520" i="1"/>
  <c r="AQ403" i="1"/>
  <c r="AQ1128" i="1"/>
  <c r="AK291" i="1"/>
  <c r="AK1146" i="1"/>
  <c r="AK1162" i="1" s="1"/>
  <c r="AK1163" i="1" s="1"/>
  <c r="S45" i="4" l="1"/>
  <c r="BF550" i="1"/>
  <c r="BF553" i="1" s="1"/>
  <c r="BF10" i="1" s="1"/>
  <c r="AG574" i="1"/>
  <c r="BF606" i="1"/>
  <c r="K28" i="4"/>
  <c r="BK625" i="1"/>
  <c r="BL625" i="1" s="1"/>
  <c r="BF12" i="1"/>
  <c r="BF63" i="1" s="1"/>
  <c r="BE63" i="1"/>
  <c r="BE64" i="1"/>
  <c r="BF64" i="1" s="1"/>
  <c r="BG63" i="1"/>
  <c r="BG64" i="1"/>
  <c r="AU633" i="1"/>
  <c r="AS630" i="1"/>
  <c r="AQ632" i="1"/>
  <c r="AP151" i="1"/>
  <c r="AP621" i="1"/>
  <c r="AM72" i="1"/>
  <c r="AN72" i="1" s="1"/>
  <c r="AM136" i="1"/>
  <c r="AL76" i="1"/>
  <c r="AL240" i="1"/>
  <c r="AO152" i="1"/>
  <c r="AO155" i="1" s="1"/>
  <c r="AO134" i="1" s="1"/>
  <c r="AO622" i="1"/>
  <c r="F36" i="4"/>
  <c r="AN152" i="1"/>
  <c r="AN155" i="1" s="1"/>
  <c r="AN134" i="1" s="1"/>
  <c r="AN622" i="1"/>
  <c r="AR619" i="1"/>
  <c r="AR632" i="1"/>
  <c r="BM421" i="1"/>
  <c r="BN421" i="1"/>
  <c r="BN428" i="1"/>
  <c r="BJ424" i="1"/>
  <c r="BN418" i="1"/>
  <c r="BN424" i="1"/>
  <c r="BM418" i="1"/>
  <c r="BH12" i="1"/>
  <c r="BD679" i="1"/>
  <c r="BF679" i="1" s="1"/>
  <c r="BA653" i="1"/>
  <c r="BN513" i="1"/>
  <c r="BD652" i="1"/>
  <c r="BG679" i="1" s="1"/>
  <c r="BJ385" i="1"/>
  <c r="BG660" i="1"/>
  <c r="BG661" i="1" s="1"/>
  <c r="BJ1157" i="1"/>
  <c r="BJ1130" i="1"/>
  <c r="BM285" i="1"/>
  <c r="BJ303" i="1"/>
  <c r="BJ655" i="1" s="1"/>
  <c r="BJ1131" i="1"/>
  <c r="BJ463" i="1"/>
  <c r="BG654" i="1"/>
  <c r="BG1156" i="1" s="1"/>
  <c r="BJ290" i="1"/>
  <c r="BM284" i="1"/>
  <c r="BJ502" i="1"/>
  <c r="BJ399" i="1"/>
  <c r="BJ477" i="1"/>
  <c r="BJ327" i="1"/>
  <c r="BJ657" i="1" s="1"/>
  <c r="BM286" i="1"/>
  <c r="BJ516" i="1"/>
  <c r="BJ438" i="1"/>
  <c r="BK646" i="1"/>
  <c r="BK1150" i="1" s="1"/>
  <c r="BN298" i="1"/>
  <c r="BN647" i="1" s="1"/>
  <c r="BF644" i="1"/>
  <c r="BF645" i="1" s="1"/>
  <c r="BQ282" i="1"/>
  <c r="BQ1124" i="1" s="1"/>
  <c r="BH644" i="1"/>
  <c r="BN435" i="1"/>
  <c r="BN1124" i="1"/>
  <c r="AJ575" i="1"/>
  <c r="BP289" i="1"/>
  <c r="BP1127" i="1" s="1"/>
  <c r="BL557" i="1"/>
  <c r="BG137" i="1"/>
  <c r="L27" i="4"/>
  <c r="BE137" i="1"/>
  <c r="L28" i="4"/>
  <c r="BN382" i="1"/>
  <c r="BJ662" i="1"/>
  <c r="BJ1153" i="1" s="1"/>
  <c r="BN499" i="1"/>
  <c r="BN324" i="1"/>
  <c r="BN649" i="1" s="1"/>
  <c r="BI562" i="1"/>
  <c r="BN474" i="1"/>
  <c r="BN396" i="1"/>
  <c r="BQ281" i="1"/>
  <c r="BM403" i="1"/>
  <c r="BN1125" i="1"/>
  <c r="BN460" i="1"/>
  <c r="BK1201" i="1"/>
  <c r="BK1192" i="1"/>
  <c r="BK1198" i="1" s="1"/>
  <c r="AW1158" i="1"/>
  <c r="BM506" i="1"/>
  <c r="BM1127" i="1"/>
  <c r="BM331" i="1"/>
  <c r="BM665" i="1" s="1"/>
  <c r="BM520" i="1"/>
  <c r="BM442" i="1"/>
  <c r="BP288" i="1"/>
  <c r="BR1197" i="1"/>
  <c r="BM481" i="1"/>
  <c r="BM310" i="1"/>
  <c r="BM663" i="1" s="1"/>
  <c r="BM389" i="1"/>
  <c r="BM1128" i="1"/>
  <c r="BM467" i="1"/>
  <c r="BO1228" i="1"/>
  <c r="BO1229" i="1" s="1"/>
  <c r="BO1226" i="1" s="1"/>
  <c r="AR1138" i="1"/>
  <c r="AR1145" i="1"/>
  <c r="AR1143" i="1"/>
  <c r="AR1136" i="1"/>
  <c r="AR1139" i="1"/>
  <c r="AK1139" i="1"/>
  <c r="AI594" i="1"/>
  <c r="AR1140" i="1"/>
  <c r="AK1140" i="1"/>
  <c r="BK638" i="1"/>
  <c r="BK1147" i="1" s="1"/>
  <c r="BN1233" i="1"/>
  <c r="BQ1232" i="1"/>
  <c r="BQ1233" i="1" s="1"/>
  <c r="AR1135" i="1"/>
  <c r="BJ638" i="1"/>
  <c r="BJ1147" i="1" s="1"/>
  <c r="BN1196" i="1"/>
  <c r="AR1159" i="1"/>
  <c r="AR575" i="1" s="1"/>
  <c r="BL1222" i="1"/>
  <c r="BL1219" i="1" s="1"/>
  <c r="BK654" i="1"/>
  <c r="BK1156" i="1" s="1"/>
  <c r="BF1237" i="1"/>
  <c r="BF1234" i="1" s="1"/>
  <c r="AK1159" i="1"/>
  <c r="AK575" i="1" s="1"/>
  <c r="AR1144" i="1"/>
  <c r="AZ658" i="1"/>
  <c r="AZ1158" i="1" s="1"/>
  <c r="BI1274" i="1"/>
  <c r="BI1270" i="1" s="1"/>
  <c r="AR1160" i="1"/>
  <c r="AR578" i="1" s="1"/>
  <c r="BP1217" i="1"/>
  <c r="BP1218" i="1" s="1"/>
  <c r="BM1218" i="1"/>
  <c r="BK662" i="1"/>
  <c r="BK1153" i="1" s="1"/>
  <c r="BQ288" i="1"/>
  <c r="BN310" i="1"/>
  <c r="BN663" i="1" s="1"/>
  <c r="BN331" i="1"/>
  <c r="BN665" i="1" s="1"/>
  <c r="BN442" i="1"/>
  <c r="BN467" i="1"/>
  <c r="BN481" i="1"/>
  <c r="BN506" i="1"/>
  <c r="BN520" i="1"/>
  <c r="BN389" i="1"/>
  <c r="BN403" i="1"/>
  <c r="BN1128" i="1"/>
  <c r="BF1231" i="1"/>
  <c r="BN625" i="1"/>
  <c r="BO625" i="1" s="1"/>
  <c r="BQ675" i="1"/>
  <c r="BQ625" i="1" s="1"/>
  <c r="BH652" i="1"/>
  <c r="BE653" i="1"/>
  <c r="AN27" i="1"/>
  <c r="AW285" i="1"/>
  <c r="AO1239" i="1"/>
  <c r="AO1452" i="1"/>
  <c r="AO579" i="1" s="1"/>
  <c r="BP1195" i="1"/>
  <c r="BR1189" i="1"/>
  <c r="AM688" i="1"/>
  <c r="AM626" i="1"/>
  <c r="AN626" i="1" s="1"/>
  <c r="T52" i="4" s="1"/>
  <c r="AM673" i="1"/>
  <c r="AM677" i="1"/>
  <c r="AM687" i="1"/>
  <c r="AP689" i="1"/>
  <c r="AN676" i="1"/>
  <c r="AW1148" i="1"/>
  <c r="BF636" i="1"/>
  <c r="BE637" i="1"/>
  <c r="BH636" i="1"/>
  <c r="AW662" i="1"/>
  <c r="AW1153" i="1" s="1"/>
  <c r="BP282" i="1"/>
  <c r="BP1124" i="1" s="1"/>
  <c r="BM1124" i="1"/>
  <c r="BQ279" i="1"/>
  <c r="BN1121" i="1"/>
  <c r="BP281" i="1"/>
  <c r="BM324" i="1"/>
  <c r="BM649" i="1" s="1"/>
  <c r="BM298" i="1"/>
  <c r="BM647" i="1" s="1"/>
  <c r="BM396" i="1"/>
  <c r="BM435" i="1"/>
  <c r="BM460" i="1"/>
  <c r="BM474" i="1"/>
  <c r="BM499" i="1"/>
  <c r="BM513" i="1"/>
  <c r="BM382" i="1"/>
  <c r="BM1125" i="1"/>
  <c r="AZ650" i="1"/>
  <c r="AZ646" i="1" s="1"/>
  <c r="AZ1150" i="1" s="1"/>
  <c r="AZ666" i="1"/>
  <c r="AZ1155" i="1" s="1"/>
  <c r="AJ538" i="1"/>
  <c r="AJ540" i="1"/>
  <c r="AK535" i="1"/>
  <c r="AW646" i="1"/>
  <c r="AW1150" i="1" s="1"/>
  <c r="BF341" i="1"/>
  <c r="BF1211" i="1"/>
  <c r="BP1225" i="1"/>
  <c r="BQ285" i="1"/>
  <c r="BH1276" i="1"/>
  <c r="BQ1195" i="1"/>
  <c r="BN562" i="1"/>
  <c r="AH587" i="1"/>
  <c r="AH585" i="1" s="1"/>
  <c r="AH594" i="1"/>
  <c r="AW281" i="1"/>
  <c r="AT324" i="1"/>
  <c r="AT298" i="1"/>
  <c r="AT382" i="1"/>
  <c r="AT396" i="1"/>
  <c r="AT435" i="1"/>
  <c r="AT460" i="1"/>
  <c r="AT474" i="1"/>
  <c r="AT421" i="1"/>
  <c r="AT499" i="1"/>
  <c r="AT513" i="1"/>
  <c r="AT1125" i="1"/>
  <c r="BJ550" i="1"/>
  <c r="BJ553" i="1" s="1"/>
  <c r="BJ10" i="1" s="1"/>
  <c r="BN1231" i="1"/>
  <c r="BQ1210" i="1"/>
  <c r="BN1211" i="1"/>
  <c r="AO674" i="1"/>
  <c r="AO624" i="1"/>
  <c r="BQ1225" i="1"/>
  <c r="BR1224" i="1"/>
  <c r="BR1228" i="1" s="1"/>
  <c r="AW282" i="1"/>
  <c r="AT1124" i="1"/>
  <c r="AW1151" i="1"/>
  <c r="AM623" i="1"/>
  <c r="AN669" i="1"/>
  <c r="AM670" i="1"/>
  <c r="AM1163" i="1" s="1"/>
  <c r="AP680" i="1"/>
  <c r="AR681" i="1"/>
  <c r="AP672" i="1"/>
  <c r="AP1161" i="1" s="1"/>
  <c r="AM280" i="1"/>
  <c r="AM1123" i="1"/>
  <c r="AM277" i="1"/>
  <c r="AM1120" i="1"/>
  <c r="AP671" i="1"/>
  <c r="AM1126" i="1"/>
  <c r="AM283" i="1"/>
  <c r="AM287" i="1"/>
  <c r="AM1129" i="1"/>
  <c r="AK1143" i="1"/>
  <c r="AK1144" i="1"/>
  <c r="AK1145" i="1"/>
  <c r="BC661" i="1"/>
  <c r="BC655" i="1"/>
  <c r="BC663" i="1"/>
  <c r="BC664" i="1"/>
  <c r="BC649" i="1"/>
  <c r="BC648" i="1"/>
  <c r="BC641" i="1"/>
  <c r="BC657" i="1"/>
  <c r="BC665" i="1"/>
  <c r="BC656" i="1"/>
  <c r="BC647" i="1"/>
  <c r="BC639" i="1"/>
  <c r="BC640" i="1"/>
  <c r="AP1453" i="1"/>
  <c r="AP1455" i="1" s="1"/>
  <c r="AP1456" i="1" s="1"/>
  <c r="AQ1243" i="1"/>
  <c r="AN1241" i="1"/>
  <c r="AN1207" i="1"/>
  <c r="AN1206" i="1"/>
  <c r="AN1208" i="1"/>
  <c r="AN1205" i="1"/>
  <c r="BP625" i="1"/>
  <c r="BO1195" i="1"/>
  <c r="BP279" i="1"/>
  <c r="BM1121" i="1"/>
  <c r="AW279" i="1"/>
  <c r="BQ1269" i="1"/>
  <c r="E49" i="4"/>
  <c r="AH122" i="1"/>
  <c r="BQ286" i="1"/>
  <c r="BQ1131" i="1" s="1"/>
  <c r="BN1131" i="1"/>
  <c r="AR535" i="1"/>
  <c r="BJ12" i="1"/>
  <c r="AW284" i="1"/>
  <c r="AT303" i="1"/>
  <c r="AT327" i="1"/>
  <c r="AT424" i="1"/>
  <c r="AT438" i="1"/>
  <c r="AT463" i="1"/>
  <c r="AT477" i="1"/>
  <c r="AT502" i="1"/>
  <c r="AT516" i="1"/>
  <c r="AT385" i="1"/>
  <c r="AT399" i="1"/>
  <c r="AT1130" i="1"/>
  <c r="AT1157" i="1"/>
  <c r="AS347" i="1"/>
  <c r="AS1285" i="1"/>
  <c r="AJ608" i="1"/>
  <c r="AK607" i="1"/>
  <c r="BN1194" i="1"/>
  <c r="BN1201" i="1"/>
  <c r="BQ1188" i="1"/>
  <c r="BF1214" i="1"/>
  <c r="BF1215" i="1" s="1"/>
  <c r="BF1212" i="1" s="1"/>
  <c r="BI1210" i="1"/>
  <c r="BI1214" i="1" s="1"/>
  <c r="BJ1210" i="1"/>
  <c r="BG1211" i="1"/>
  <c r="BG1231" i="1"/>
  <c r="AW1154" i="1"/>
  <c r="BN1202" i="1"/>
  <c r="BQ1218" i="1"/>
  <c r="BH1278" i="1"/>
  <c r="BK1280" i="1"/>
  <c r="BH1283" i="1"/>
  <c r="BH1250" i="1"/>
  <c r="BH1248" i="1"/>
  <c r="BF137" i="1"/>
  <c r="L102" i="7"/>
  <c r="BL1269" i="1"/>
  <c r="AP541" i="1"/>
  <c r="AW286" i="1"/>
  <c r="AT1131" i="1"/>
  <c r="BH1246" i="1"/>
  <c r="BE362" i="1"/>
  <c r="BL1271" i="1"/>
  <c r="BQ289" i="1"/>
  <c r="BQ1127" i="1" s="1"/>
  <c r="BN1127" i="1"/>
  <c r="BC653" i="1"/>
  <c r="AW1149" i="1"/>
  <c r="BG644" i="1"/>
  <c r="BD645" i="1"/>
  <c r="AL347" i="1"/>
  <c r="BI1233" i="1"/>
  <c r="BO675" i="1"/>
  <c r="BI606" i="1"/>
  <c r="AL560" i="1"/>
  <c r="AL587" i="1" s="1"/>
  <c r="AL585" i="1" s="1"/>
  <c r="AL565" i="1"/>
  <c r="AL566" i="1" s="1"/>
  <c r="AO586" i="1"/>
  <c r="BM1459" i="1"/>
  <c r="BM1461" i="1" s="1"/>
  <c r="BM547" i="1" s="1"/>
  <c r="BO547" i="1" s="1"/>
  <c r="BO1463" i="1"/>
  <c r="BP1463" i="1"/>
  <c r="BM1471" i="1"/>
  <c r="BM557" i="1" s="1"/>
  <c r="BM562" i="1" s="1"/>
  <c r="BC637" i="1"/>
  <c r="AW288" i="1"/>
  <c r="AT310" i="1"/>
  <c r="AT331" i="1"/>
  <c r="AT403" i="1"/>
  <c r="AT428" i="1"/>
  <c r="AT442" i="1"/>
  <c r="AT467" i="1"/>
  <c r="AT481" i="1"/>
  <c r="AT506" i="1"/>
  <c r="AT520" i="1"/>
  <c r="AT389" i="1"/>
  <c r="AT1128" i="1"/>
  <c r="BL1226" i="1"/>
  <c r="BK1196" i="1"/>
  <c r="BK1202" i="1"/>
  <c r="BJ646" i="1"/>
  <c r="BJ1150" i="1" s="1"/>
  <c r="E48" i="4"/>
  <c r="AH121" i="1"/>
  <c r="AH125" i="1"/>
  <c r="BD637" i="1"/>
  <c r="BG636" i="1"/>
  <c r="AV1239" i="1"/>
  <c r="AV1452" i="1"/>
  <c r="AV579" i="1" s="1"/>
  <c r="AT290" i="1"/>
  <c r="AT379" i="1"/>
  <c r="AT393" i="1"/>
  <c r="AT418" i="1"/>
  <c r="AT321" i="1"/>
  <c r="AT293" i="1"/>
  <c r="AW278" i="1"/>
  <c r="AT432" i="1"/>
  <c r="AT457" i="1"/>
  <c r="AT471" i="1"/>
  <c r="AT496" i="1"/>
  <c r="AT510" i="1"/>
  <c r="AT1122" i="1"/>
  <c r="BG1147" i="1"/>
  <c r="AK545" i="1"/>
  <c r="AJ555" i="1"/>
  <c r="BN290" i="1"/>
  <c r="BN379" i="1"/>
  <c r="BN393" i="1"/>
  <c r="BQ278" i="1"/>
  <c r="BN321" i="1"/>
  <c r="BN641" i="1" s="1"/>
  <c r="BN293" i="1"/>
  <c r="BN639" i="1" s="1"/>
  <c r="BN432" i="1"/>
  <c r="BN457" i="1"/>
  <c r="BN471" i="1"/>
  <c r="BN496" i="1"/>
  <c r="BN510" i="1"/>
  <c r="BN1122" i="1"/>
  <c r="BO344" i="1"/>
  <c r="BO1218" i="1"/>
  <c r="BO1220" i="1"/>
  <c r="BO1221" i="1"/>
  <c r="BQ1459" i="1"/>
  <c r="BQ1461" i="1" s="1"/>
  <c r="BQ547" i="1" s="1"/>
  <c r="BQ1471" i="1"/>
  <c r="BQ557" i="1" s="1"/>
  <c r="BQ284" i="1"/>
  <c r="BN303" i="1"/>
  <c r="BN655" i="1" s="1"/>
  <c r="BN327" i="1"/>
  <c r="BN657" i="1" s="1"/>
  <c r="BN385" i="1"/>
  <c r="BN438" i="1"/>
  <c r="BN463" i="1"/>
  <c r="BN477" i="1"/>
  <c r="BN502" i="1"/>
  <c r="BN516" i="1"/>
  <c r="BN399" i="1"/>
  <c r="BN1130" i="1"/>
  <c r="BN1157" i="1"/>
  <c r="BK1279" i="1"/>
  <c r="BK1451" i="1" s="1"/>
  <c r="BK576" i="1" s="1"/>
  <c r="BK1261" i="1"/>
  <c r="BN1260" i="1"/>
  <c r="BK1277" i="1"/>
  <c r="BN1279" i="1" s="1"/>
  <c r="BN1451" i="1" s="1"/>
  <c r="BN576" i="1" s="1"/>
  <c r="E58" i="4"/>
  <c r="AH41" i="1"/>
  <c r="AH123" i="1"/>
  <c r="BP1268" i="1"/>
  <c r="BM1269" i="1"/>
  <c r="BL1272" i="1"/>
  <c r="AZ642" i="1"/>
  <c r="AZ638" i="1" s="1"/>
  <c r="AZ1147" i="1" s="1"/>
  <c r="BO348" i="1"/>
  <c r="BO1225" i="1"/>
  <c r="AU623" i="1"/>
  <c r="AU670" i="1"/>
  <c r="AU1163" i="1" s="1"/>
  <c r="AX680" i="1"/>
  <c r="AY681" i="1"/>
  <c r="AX672" i="1"/>
  <c r="AX1161" i="1" s="1"/>
  <c r="AU287" i="1"/>
  <c r="AU1126" i="1"/>
  <c r="AU277" i="1"/>
  <c r="AU1120" i="1"/>
  <c r="AX671" i="1"/>
  <c r="AU280" i="1"/>
  <c r="AU1129" i="1"/>
  <c r="AU283" i="1"/>
  <c r="AU1123" i="1"/>
  <c r="BQ1253" i="1"/>
  <c r="AK1160" i="1"/>
  <c r="AK578" i="1" s="1"/>
  <c r="AK1136" i="1"/>
  <c r="AK1137" i="1"/>
  <c r="AK1138" i="1"/>
  <c r="AW289" i="1"/>
  <c r="AT1127" i="1"/>
  <c r="BH679" i="1"/>
  <c r="BH660" i="1"/>
  <c r="BE661" i="1"/>
  <c r="BF660" i="1"/>
  <c r="BI550" i="1"/>
  <c r="BI553" i="1" s="1"/>
  <c r="BI10" i="1" s="1"/>
  <c r="BH553" i="1"/>
  <c r="BH10" i="1" s="1"/>
  <c r="AN1282" i="1"/>
  <c r="BI1236" i="1"/>
  <c r="BM1232" i="1"/>
  <c r="BJ1233" i="1"/>
  <c r="BL1232" i="1"/>
  <c r="BL1235" i="1" s="1"/>
  <c r="BM606" i="1"/>
  <c r="BP278" i="1"/>
  <c r="BM321" i="1"/>
  <c r="BM641" i="1" s="1"/>
  <c r="BM293" i="1"/>
  <c r="BM639" i="1" s="1"/>
  <c r="BM379" i="1"/>
  <c r="BM432" i="1"/>
  <c r="BM457" i="1"/>
  <c r="BM471" i="1"/>
  <c r="BM496" i="1"/>
  <c r="BM393" i="1"/>
  <c r="BM510" i="1"/>
  <c r="BM1122" i="1"/>
  <c r="BO1268" i="1"/>
  <c r="BO1271" i="1" s="1"/>
  <c r="BL1464" i="1"/>
  <c r="BL1471" i="1"/>
  <c r="BL1459" i="1"/>
  <c r="BL1461" i="1" s="1"/>
  <c r="BK644" i="1" l="1"/>
  <c r="AG583" i="1"/>
  <c r="BK606" i="1"/>
  <c r="BK550" i="1" s="1"/>
  <c r="BK553" i="1" s="1"/>
  <c r="BK10" i="1" s="1"/>
  <c r="BH64" i="1"/>
  <c r="BI64" i="1" s="1"/>
  <c r="BI12" i="1"/>
  <c r="BI63" i="1" s="1"/>
  <c r="BH63" i="1"/>
  <c r="BJ63" i="1"/>
  <c r="BJ64" i="1"/>
  <c r="F106" i="7"/>
  <c r="AN136" i="1"/>
  <c r="AQ621" i="1"/>
  <c r="AP622" i="1"/>
  <c r="AP152" i="1"/>
  <c r="AP155" i="1" s="1"/>
  <c r="AP134" i="1" s="1"/>
  <c r="AV633" i="1"/>
  <c r="AU630" i="1"/>
  <c r="AN76" i="1"/>
  <c r="G37" i="4" s="1"/>
  <c r="G32" i="4"/>
  <c r="AN240" i="1"/>
  <c r="AQ633" i="1"/>
  <c r="AQ151" i="1"/>
  <c r="AR151" i="1"/>
  <c r="AR621" i="1"/>
  <c r="AR634" i="1"/>
  <c r="AO72" i="1"/>
  <c r="AO136" i="1"/>
  <c r="AM76" i="1"/>
  <c r="AM240" i="1"/>
  <c r="AT630" i="1"/>
  <c r="AS619" i="1"/>
  <c r="AT619" i="1" s="1"/>
  <c r="AS632" i="1"/>
  <c r="AN1242" i="1"/>
  <c r="T67" i="4"/>
  <c r="BP421" i="1"/>
  <c r="BP418" i="1"/>
  <c r="BQ424" i="1"/>
  <c r="BQ418" i="1"/>
  <c r="BP428" i="1"/>
  <c r="BQ324" i="1"/>
  <c r="BQ649" i="1" s="1"/>
  <c r="BQ421" i="1"/>
  <c r="BQ428" i="1"/>
  <c r="BM424" i="1"/>
  <c r="BK12" i="1"/>
  <c r="AK608" i="1"/>
  <c r="BQ499" i="1"/>
  <c r="BD653" i="1"/>
  <c r="BQ1125" i="1"/>
  <c r="BF652" i="1"/>
  <c r="BF653" i="1" s="1"/>
  <c r="BL562" i="1"/>
  <c r="BJ660" i="1"/>
  <c r="BJ661" i="1" s="1"/>
  <c r="BH645" i="1"/>
  <c r="BG652" i="1"/>
  <c r="BJ679" i="1" s="1"/>
  <c r="BP285" i="1"/>
  <c r="BM1157" i="1"/>
  <c r="BM1130" i="1"/>
  <c r="BJ654" i="1"/>
  <c r="BJ1156" i="1" s="1"/>
  <c r="BM477" i="1"/>
  <c r="BM385" i="1"/>
  <c r="BM303" i="1"/>
  <c r="BM655" i="1" s="1"/>
  <c r="BM290" i="1"/>
  <c r="BP286" i="1"/>
  <c r="BP1131" i="1" s="1"/>
  <c r="BM516" i="1"/>
  <c r="BM438" i="1"/>
  <c r="BM327" i="1"/>
  <c r="BM657" i="1" s="1"/>
  <c r="BM1131" i="1"/>
  <c r="BM502" i="1"/>
  <c r="BP284" i="1"/>
  <c r="BM399" i="1"/>
  <c r="BM463" i="1"/>
  <c r="BN646" i="1"/>
  <c r="BN1150" i="1" s="1"/>
  <c r="BI644" i="1"/>
  <c r="BI645" i="1" s="1"/>
  <c r="BP442" i="1"/>
  <c r="BP520" i="1"/>
  <c r="BP310" i="1"/>
  <c r="BP663" i="1" s="1"/>
  <c r="BP403" i="1"/>
  <c r="BP506" i="1"/>
  <c r="BP331" i="1"/>
  <c r="BP665" i="1" s="1"/>
  <c r="BQ513" i="1"/>
  <c r="BQ435" i="1"/>
  <c r="BQ396" i="1"/>
  <c r="BQ474" i="1"/>
  <c r="BQ298" i="1"/>
  <c r="BQ647" i="1" s="1"/>
  <c r="BN1198" i="1"/>
  <c r="BQ382" i="1"/>
  <c r="BQ460" i="1"/>
  <c r="BH137" i="1"/>
  <c r="BJ137" i="1"/>
  <c r="BM662" i="1"/>
  <c r="BM1153" i="1" s="1"/>
  <c r="BP1128" i="1"/>
  <c r="BP467" i="1"/>
  <c r="BP389" i="1"/>
  <c r="BP481" i="1"/>
  <c r="BR1217" i="1"/>
  <c r="BR1220" i="1" s="1"/>
  <c r="AZ1151" i="1"/>
  <c r="AZ1152" i="1"/>
  <c r="AZ1149" i="1"/>
  <c r="BC642" i="1"/>
  <c r="BC638" i="1" s="1"/>
  <c r="BC1147" i="1" s="1"/>
  <c r="BL1274" i="1"/>
  <c r="BL1270" i="1" s="1"/>
  <c r="BR675" i="1"/>
  <c r="BC658" i="1"/>
  <c r="BC654" i="1" s="1"/>
  <c r="BC1156" i="1" s="1"/>
  <c r="AZ662" i="1"/>
  <c r="AZ1153" i="1" s="1"/>
  <c r="AZ654" i="1"/>
  <c r="AZ1156" i="1" s="1"/>
  <c r="BI1213" i="1"/>
  <c r="BI1215" i="1" s="1"/>
  <c r="BI1212" i="1" s="1"/>
  <c r="AH124" i="1"/>
  <c r="AH62" i="1" s="1"/>
  <c r="AL594" i="1"/>
  <c r="BN638" i="1"/>
  <c r="BN1147" i="1" s="1"/>
  <c r="BK1249" i="1"/>
  <c r="AZ1154" i="1"/>
  <c r="BM646" i="1"/>
  <c r="BM1150" i="1" s="1"/>
  <c r="BO1222" i="1"/>
  <c r="BO1219" i="1" s="1"/>
  <c r="BO1272" i="1"/>
  <c r="E61" i="4"/>
  <c r="E60" i="4" s="1"/>
  <c r="BI1237" i="1"/>
  <c r="BI1234" i="1" s="1"/>
  <c r="AZ286" i="1"/>
  <c r="AW1131" i="1"/>
  <c r="BK1246" i="1"/>
  <c r="BH362" i="1"/>
  <c r="BQ1194" i="1"/>
  <c r="BP606" i="1"/>
  <c r="BR625" i="1"/>
  <c r="AM1133" i="1"/>
  <c r="AM1142" i="1" s="1"/>
  <c r="AM1132" i="1"/>
  <c r="AM1159" i="1" s="1"/>
  <c r="AM575" i="1" s="1"/>
  <c r="AO605" i="1"/>
  <c r="AZ281" i="1"/>
  <c r="AW324" i="1"/>
  <c r="AW298" i="1"/>
  <c r="AW396" i="1"/>
  <c r="AW421" i="1"/>
  <c r="AW435" i="1"/>
  <c r="AW460" i="1"/>
  <c r="AW474" i="1"/>
  <c r="AW499" i="1"/>
  <c r="AW513" i="1"/>
  <c r="AW382" i="1"/>
  <c r="AW1125" i="1"/>
  <c r="BP324" i="1"/>
  <c r="BP649" i="1" s="1"/>
  <c r="BP298" i="1"/>
  <c r="BP647" i="1" s="1"/>
  <c r="BP435" i="1"/>
  <c r="BP460" i="1"/>
  <c r="BP474" i="1"/>
  <c r="BP499" i="1"/>
  <c r="BP513" i="1"/>
  <c r="BP382" i="1"/>
  <c r="BP396" i="1"/>
  <c r="BP1125" i="1"/>
  <c r="AQ1239" i="1"/>
  <c r="AO1240" i="1"/>
  <c r="G54" i="4"/>
  <c r="AO27" i="1"/>
  <c r="BN606" i="1"/>
  <c r="BN550" i="1" s="1"/>
  <c r="BP1232" i="1"/>
  <c r="BM1233" i="1"/>
  <c r="BO1232" i="1"/>
  <c r="BO1236" i="1" s="1"/>
  <c r="AU1133" i="1"/>
  <c r="AU1142" i="1" s="1"/>
  <c r="AU1132" i="1"/>
  <c r="AU1135" i="1" s="1"/>
  <c r="BL1233" i="1"/>
  <c r="BL1236" i="1"/>
  <c r="BL1237" i="1" s="1"/>
  <c r="BL1234" i="1" s="1"/>
  <c r="BF661" i="1"/>
  <c r="BF649" i="1"/>
  <c r="BF656" i="1"/>
  <c r="BF639" i="1"/>
  <c r="BF655" i="1"/>
  <c r="BF663" i="1"/>
  <c r="BF664" i="1"/>
  <c r="BF640" i="1"/>
  <c r="BF657" i="1"/>
  <c r="BF665" i="1"/>
  <c r="BF641" i="1"/>
  <c r="BF647" i="1"/>
  <c r="BF648" i="1"/>
  <c r="AU291" i="1"/>
  <c r="AU604" i="1"/>
  <c r="BO1273" i="1"/>
  <c r="BQ1260" i="1"/>
  <c r="BN1261" i="1"/>
  <c r="BN1277" i="1"/>
  <c r="BQ1279" i="1" s="1"/>
  <c r="BQ1451" i="1" s="1"/>
  <c r="BQ576" i="1" s="1"/>
  <c r="BN654" i="1"/>
  <c r="BN1156" i="1" s="1"/>
  <c r="AZ278" i="1"/>
  <c r="AW321" i="1"/>
  <c r="AW293" i="1"/>
  <c r="AW290" i="1"/>
  <c r="AW418" i="1"/>
  <c r="AW379" i="1"/>
  <c r="AW432" i="1"/>
  <c r="AW457" i="1"/>
  <c r="AW471" i="1"/>
  <c r="AW496" i="1"/>
  <c r="AW393" i="1"/>
  <c r="AW510" i="1"/>
  <c r="AW1122" i="1"/>
  <c r="AV1240" i="1"/>
  <c r="BI341" i="1"/>
  <c r="BI1211" i="1"/>
  <c r="AS1167" i="1"/>
  <c r="AV1295" i="1"/>
  <c r="AV1296" i="1"/>
  <c r="AV1288" i="1"/>
  <c r="AX1297" i="1"/>
  <c r="AS1286" i="1"/>
  <c r="AV1454" i="1"/>
  <c r="AS338" i="1"/>
  <c r="AZ284" i="1"/>
  <c r="AW327" i="1"/>
  <c r="AW303" i="1"/>
  <c r="AW385" i="1"/>
  <c r="AW438" i="1"/>
  <c r="AW463" i="1"/>
  <c r="AW477" i="1"/>
  <c r="AW502" i="1"/>
  <c r="AW516" i="1"/>
  <c r="AW399" i="1"/>
  <c r="AW424" i="1"/>
  <c r="AW1157" i="1"/>
  <c r="AW1130" i="1"/>
  <c r="AR540" i="1"/>
  <c r="BC650" i="1"/>
  <c r="BC646" i="1" s="1"/>
  <c r="BC1150" i="1" s="1"/>
  <c r="BC666" i="1"/>
  <c r="BC1154" i="1" s="1"/>
  <c r="AM291" i="1"/>
  <c r="AT681" i="1"/>
  <c r="AR686" i="1"/>
  <c r="AR676" i="1" s="1"/>
  <c r="AN670" i="1"/>
  <c r="AN671" i="1" s="1"/>
  <c r="AQ672" i="1"/>
  <c r="AQ1161" i="1" s="1"/>
  <c r="AN280" i="1"/>
  <c r="AN1123" i="1"/>
  <c r="AN1120" i="1"/>
  <c r="AN1126" i="1"/>
  <c r="AN277" i="1"/>
  <c r="AN287" i="1"/>
  <c r="AN1129" i="1"/>
  <c r="AN283" i="1"/>
  <c r="AZ282" i="1"/>
  <c r="AW1124" i="1"/>
  <c r="BR348" i="1"/>
  <c r="BR1225" i="1"/>
  <c r="BO557" i="1"/>
  <c r="BR1227" i="1"/>
  <c r="BR1229" i="1" s="1"/>
  <c r="AJ8" i="1"/>
  <c r="AJ543" i="1"/>
  <c r="AJ582" i="1" s="1"/>
  <c r="AJ580" i="1" s="1"/>
  <c r="AM581" i="1"/>
  <c r="AJ336" i="1"/>
  <c r="BQ1121" i="1"/>
  <c r="BK652" i="1"/>
  <c r="BH653" i="1"/>
  <c r="BO1269" i="1"/>
  <c r="BM638" i="1"/>
  <c r="BK645" i="1"/>
  <c r="BI137" i="1"/>
  <c r="M102" i="7"/>
  <c r="AZ289" i="1"/>
  <c r="AW1127" i="1"/>
  <c r="BP1269" i="1"/>
  <c r="BQ327" i="1"/>
  <c r="BQ657" i="1" s="1"/>
  <c r="BQ303" i="1"/>
  <c r="BQ655" i="1" s="1"/>
  <c r="BQ399" i="1"/>
  <c r="BQ438" i="1"/>
  <c r="BQ463" i="1"/>
  <c r="BQ477" i="1"/>
  <c r="BQ502" i="1"/>
  <c r="BQ516" i="1"/>
  <c r="BQ385" i="1"/>
  <c r="BQ1157" i="1"/>
  <c r="BQ1130" i="1"/>
  <c r="BQ562" i="1"/>
  <c r="BQ321" i="1"/>
  <c r="BQ641" i="1" s="1"/>
  <c r="BQ293" i="1"/>
  <c r="BQ639" i="1" s="1"/>
  <c r="BQ290" i="1"/>
  <c r="BQ379" i="1"/>
  <c r="BQ393" i="1"/>
  <c r="BQ432" i="1"/>
  <c r="BQ457" i="1"/>
  <c r="BQ471" i="1"/>
  <c r="BQ496" i="1"/>
  <c r="BQ510" i="1"/>
  <c r="BQ1122" i="1"/>
  <c r="AK555" i="1"/>
  <c r="AJ560" i="1"/>
  <c r="AJ565" i="1"/>
  <c r="AJ566" i="1" s="1"/>
  <c r="AM586" i="1"/>
  <c r="BG637" i="1"/>
  <c r="BJ636" i="1"/>
  <c r="AW389" i="1"/>
  <c r="AW403" i="1"/>
  <c r="AZ288" i="1"/>
  <c r="AW331" i="1"/>
  <c r="AW310" i="1"/>
  <c r="AW428" i="1"/>
  <c r="AW442" i="1"/>
  <c r="AW467" i="1"/>
  <c r="AW481" i="1"/>
  <c r="AW506" i="1"/>
  <c r="AW520" i="1"/>
  <c r="AW1128" i="1"/>
  <c r="BP1471" i="1"/>
  <c r="BP557" i="1" s="1"/>
  <c r="BP562" i="1" s="1"/>
  <c r="BP1459" i="1"/>
  <c r="BP1461" i="1" s="1"/>
  <c r="BP547" i="1" s="1"/>
  <c r="BR547" i="1" s="1"/>
  <c r="BR1463" i="1"/>
  <c r="AS337" i="1"/>
  <c r="BM12" i="1"/>
  <c r="AM604" i="1"/>
  <c r="AM634" i="1"/>
  <c r="AN623" i="1"/>
  <c r="AN634" i="1" s="1"/>
  <c r="BQ1231" i="1"/>
  <c r="BQ1211" i="1"/>
  <c r="BQ1190" i="1"/>
  <c r="BQ1192" i="1" s="1"/>
  <c r="BQ1198" i="1" s="1"/>
  <c r="AJ276" i="1"/>
  <c r="BI636" i="1"/>
  <c r="BK636" i="1"/>
  <c r="BH637" i="1"/>
  <c r="BF637" i="1"/>
  <c r="BR1195" i="1"/>
  <c r="BI679" i="1"/>
  <c r="AZ285" i="1"/>
  <c r="BN662" i="1"/>
  <c r="BN1153" i="1" s="1"/>
  <c r="BP293" i="1"/>
  <c r="BP639" i="1" s="1"/>
  <c r="BP321" i="1"/>
  <c r="BP641" i="1" s="1"/>
  <c r="BP379" i="1"/>
  <c r="BP393" i="1"/>
  <c r="BP432" i="1"/>
  <c r="BP457" i="1"/>
  <c r="BP471" i="1"/>
  <c r="BP496" i="1"/>
  <c r="BP510" i="1"/>
  <c r="BP1122" i="1"/>
  <c r="BM550" i="1"/>
  <c r="BM553" i="1" s="1"/>
  <c r="BM10" i="1" s="1"/>
  <c r="BK660" i="1"/>
  <c r="BH661" i="1"/>
  <c r="BI660" i="1"/>
  <c r="BK679" i="1"/>
  <c r="AX668" i="1"/>
  <c r="AX669" i="1" s="1"/>
  <c r="AX1146" i="1"/>
  <c r="AX1162" i="1" s="1"/>
  <c r="BK1278" i="1"/>
  <c r="BN1280" i="1"/>
  <c r="BK1283" i="1"/>
  <c r="BK1248" i="1"/>
  <c r="BK1250" i="1"/>
  <c r="AZ1148" i="1"/>
  <c r="BO1471" i="1"/>
  <c r="BO1459" i="1"/>
  <c r="BO1461" i="1" s="1"/>
  <c r="BO1464" i="1"/>
  <c r="BJ644" i="1"/>
  <c r="BL644" i="1" s="1"/>
  <c r="BG645" i="1"/>
  <c r="BI1231" i="1"/>
  <c r="BL1210" i="1"/>
  <c r="BL1214" i="1" s="1"/>
  <c r="BJ1231" i="1"/>
  <c r="BM1210" i="1"/>
  <c r="BJ1211" i="1"/>
  <c r="BR1268" i="1"/>
  <c r="BR1272" i="1" s="1"/>
  <c r="AZ279" i="1"/>
  <c r="AW1121" i="1"/>
  <c r="BP1121" i="1"/>
  <c r="AN347" i="1"/>
  <c r="AP668" i="1"/>
  <c r="AP1146" i="1"/>
  <c r="AP1162" i="1" s="1"/>
  <c r="AP686" i="1"/>
  <c r="AQ680" i="1"/>
  <c r="BK1276" i="1"/>
  <c r="AK540" i="1"/>
  <c r="AN673" i="1"/>
  <c r="AN674" i="1" s="1"/>
  <c r="AN677" i="1"/>
  <c r="AN687" i="1"/>
  <c r="AN688" i="1"/>
  <c r="AQ689" i="1"/>
  <c r="AM624" i="1"/>
  <c r="AM674" i="1"/>
  <c r="BQ606" i="1"/>
  <c r="BQ550" i="1" s="1"/>
  <c r="BQ389" i="1"/>
  <c r="BQ403" i="1"/>
  <c r="BQ331" i="1"/>
  <c r="BQ665" i="1" s="1"/>
  <c r="BQ310" i="1"/>
  <c r="BQ663" i="1" s="1"/>
  <c r="BQ442" i="1"/>
  <c r="BQ467" i="1"/>
  <c r="BQ481" i="1"/>
  <c r="BQ506" i="1"/>
  <c r="BQ520" i="1"/>
  <c r="BQ1128" i="1"/>
  <c r="T45" i="4" l="1"/>
  <c r="BL550" i="1"/>
  <c r="BL553" i="1" s="1"/>
  <c r="BL10" i="1" s="1"/>
  <c r="BL606" i="1"/>
  <c r="BL12" i="1"/>
  <c r="BL63" i="1" s="1"/>
  <c r="BK63" i="1"/>
  <c r="BK64" i="1"/>
  <c r="BL64" i="1" s="1"/>
  <c r="BM63" i="1"/>
  <c r="BM64" i="1"/>
  <c r="AU619" i="1"/>
  <c r="AU632" i="1"/>
  <c r="AQ152" i="1"/>
  <c r="AQ155" i="1" s="1"/>
  <c r="AQ134" i="1" s="1"/>
  <c r="AQ622" i="1"/>
  <c r="AR152" i="1"/>
  <c r="AR155" i="1" s="1"/>
  <c r="AR134" i="1" s="1"/>
  <c r="AR622" i="1"/>
  <c r="AX633" i="1"/>
  <c r="AV630" i="1"/>
  <c r="AO76" i="1"/>
  <c r="AO240" i="1"/>
  <c r="AP72" i="1"/>
  <c r="AQ72" i="1" s="1"/>
  <c r="AP136" i="1"/>
  <c r="AT632" i="1"/>
  <c r="AS151" i="1"/>
  <c r="AS621" i="1"/>
  <c r="AT621" i="1" s="1"/>
  <c r="G36" i="4"/>
  <c r="AN1452" i="1"/>
  <c r="AN579" i="1" s="1"/>
  <c r="BQ646" i="1"/>
  <c r="BQ1150" i="1" s="1"/>
  <c r="BP424" i="1"/>
  <c r="BN12" i="1"/>
  <c r="BN644" i="1"/>
  <c r="BN645" i="1" s="1"/>
  <c r="BJ652" i="1"/>
  <c r="BM679" i="1" s="1"/>
  <c r="BP502" i="1"/>
  <c r="BG653" i="1"/>
  <c r="BI652" i="1"/>
  <c r="BI653" i="1" s="1"/>
  <c r="BP1130" i="1"/>
  <c r="BP1157" i="1"/>
  <c r="BP385" i="1"/>
  <c r="BP516" i="1"/>
  <c r="BP438" i="1"/>
  <c r="BP399" i="1"/>
  <c r="BP477" i="1"/>
  <c r="BP303" i="1"/>
  <c r="BP655" i="1" s="1"/>
  <c r="BP463" i="1"/>
  <c r="BP327" i="1"/>
  <c r="BP657" i="1" s="1"/>
  <c r="BP290" i="1"/>
  <c r="BM654" i="1"/>
  <c r="BM1156" i="1" s="1"/>
  <c r="BP662" i="1"/>
  <c r="BP1153" i="1" s="1"/>
  <c r="BM660" i="1"/>
  <c r="BM661" i="1" s="1"/>
  <c r="BR344" i="1"/>
  <c r="BK137" i="1"/>
  <c r="BM137" i="1"/>
  <c r="AM1140" i="1"/>
  <c r="AU1136" i="1"/>
  <c r="BR1221" i="1"/>
  <c r="BR1222" i="1" s="1"/>
  <c r="BR1219" i="1" s="1"/>
  <c r="BR1218" i="1"/>
  <c r="AU1143" i="1"/>
  <c r="AM1143" i="1"/>
  <c r="AM1144" i="1"/>
  <c r="AM1145" i="1"/>
  <c r="AU1138" i="1"/>
  <c r="AU1137" i="1"/>
  <c r="AU1139" i="1"/>
  <c r="AM1137" i="1"/>
  <c r="BF658" i="1"/>
  <c r="BF654" i="1" s="1"/>
  <c r="BF1156" i="1" s="1"/>
  <c r="BC1148" i="1"/>
  <c r="D107" i="7"/>
  <c r="D108" i="7" s="1"/>
  <c r="BC1151" i="1"/>
  <c r="BQ654" i="1"/>
  <c r="BQ1156" i="1" s="1"/>
  <c r="BF642" i="1"/>
  <c r="BF1148" i="1" s="1"/>
  <c r="BC1158" i="1"/>
  <c r="AU1140" i="1"/>
  <c r="BL1213" i="1"/>
  <c r="BL1215" i="1" s="1"/>
  <c r="BL1212" i="1" s="1"/>
  <c r="BO1274" i="1"/>
  <c r="BO1270" i="1" s="1"/>
  <c r="BQ662" i="1"/>
  <c r="BQ1153" i="1" s="1"/>
  <c r="AM1139" i="1"/>
  <c r="AM1138" i="1"/>
  <c r="AM1136" i="1"/>
  <c r="BC1152" i="1"/>
  <c r="AU1144" i="1"/>
  <c r="BO606" i="1"/>
  <c r="BC1149" i="1"/>
  <c r="AM1160" i="1"/>
  <c r="AM578" i="1" s="1"/>
  <c r="AU1160" i="1"/>
  <c r="AU578" i="1" s="1"/>
  <c r="BO1235" i="1"/>
  <c r="BO1237" i="1" s="1"/>
  <c r="BO1234" i="1" s="1"/>
  <c r="BP638" i="1"/>
  <c r="BP1147" i="1" s="1"/>
  <c r="AM1135" i="1"/>
  <c r="BC662" i="1"/>
  <c r="BC1153" i="1" s="1"/>
  <c r="BF666" i="1"/>
  <c r="BF1154" i="1" s="1"/>
  <c r="BL645" i="1"/>
  <c r="BI661" i="1"/>
  <c r="BI656" i="1"/>
  <c r="BI649" i="1"/>
  <c r="BI641" i="1"/>
  <c r="BI664" i="1"/>
  <c r="BI655" i="1"/>
  <c r="BI663" i="1"/>
  <c r="BI639" i="1"/>
  <c r="BI657" i="1"/>
  <c r="BI665" i="1"/>
  <c r="BI640" i="1"/>
  <c r="BI648" i="1"/>
  <c r="BI647" i="1"/>
  <c r="BI637" i="1"/>
  <c r="AQ686" i="1"/>
  <c r="AP676" i="1"/>
  <c r="BO1210" i="1"/>
  <c r="BO1214" i="1" s="1"/>
  <c r="BM1231" i="1"/>
  <c r="BP1210" i="1"/>
  <c r="BM1211" i="1"/>
  <c r="BK362" i="1"/>
  <c r="BN1246" i="1"/>
  <c r="BQ1196" i="1"/>
  <c r="BQ1202" i="1"/>
  <c r="AJ587" i="1"/>
  <c r="AJ585" i="1" s="1"/>
  <c r="AJ594" i="1"/>
  <c r="BR557" i="1"/>
  <c r="E26" i="4"/>
  <c r="BR1271" i="1"/>
  <c r="AJ22" i="1"/>
  <c r="AJ36" i="1"/>
  <c r="AJ23" i="1"/>
  <c r="AJ241" i="1"/>
  <c r="BC282" i="1"/>
  <c r="AZ1124" i="1"/>
  <c r="AN291" i="1"/>
  <c r="AS1287" i="1"/>
  <c r="AU1145" i="1"/>
  <c r="AU1159" i="1"/>
  <c r="AU575" i="1" s="1"/>
  <c r="AP27" i="1"/>
  <c r="AO545" i="1"/>
  <c r="AO607" i="1"/>
  <c r="BC1155" i="1"/>
  <c r="BP550" i="1"/>
  <c r="BP553" i="1" s="1"/>
  <c r="BP10" i="1" s="1"/>
  <c r="BR606" i="1"/>
  <c r="BQ553" i="1"/>
  <c r="BQ10" i="1" s="1"/>
  <c r="AM605" i="1"/>
  <c r="AN624" i="1"/>
  <c r="BN1276" i="1"/>
  <c r="BL1231" i="1"/>
  <c r="AX623" i="1"/>
  <c r="AX670" i="1"/>
  <c r="AX1163" i="1" s="1"/>
  <c r="BA680" i="1"/>
  <c r="BB681" i="1"/>
  <c r="BA672" i="1"/>
  <c r="BA1161" i="1" s="1"/>
  <c r="AX287" i="1"/>
  <c r="AX1126" i="1"/>
  <c r="AX1123" i="1"/>
  <c r="AX283" i="1"/>
  <c r="AX277" i="1"/>
  <c r="AX1129" i="1"/>
  <c r="AX280" i="1"/>
  <c r="BA671" i="1"/>
  <c r="AX1120" i="1"/>
  <c r="BL660" i="1"/>
  <c r="BN679" i="1"/>
  <c r="BN660" i="1"/>
  <c r="BK661" i="1"/>
  <c r="AM535" i="1"/>
  <c r="AN604" i="1"/>
  <c r="BR1471" i="1"/>
  <c r="BR1464" i="1"/>
  <c r="BR1459" i="1"/>
  <c r="BR1461" i="1" s="1"/>
  <c r="AZ331" i="1"/>
  <c r="AZ310" i="1"/>
  <c r="BC288" i="1"/>
  <c r="AZ389" i="1"/>
  <c r="AZ403" i="1"/>
  <c r="AZ428" i="1"/>
  <c r="AZ442" i="1"/>
  <c r="AZ467" i="1"/>
  <c r="AZ481" i="1"/>
  <c r="AZ506" i="1"/>
  <c r="AZ520" i="1"/>
  <c r="AZ1128" i="1"/>
  <c r="S53" i="4"/>
  <c r="AK565" i="1"/>
  <c r="AK566" i="1" s="1"/>
  <c r="AK560" i="1"/>
  <c r="AN586" i="1"/>
  <c r="BR1273" i="1"/>
  <c r="BN652" i="1"/>
  <c r="BK653" i="1"/>
  <c r="AJ270" i="1"/>
  <c r="AJ273" i="1"/>
  <c r="BO562" i="1"/>
  <c r="AZ385" i="1"/>
  <c r="AZ399" i="1"/>
  <c r="AZ424" i="1"/>
  <c r="AZ327" i="1"/>
  <c r="BC284" i="1"/>
  <c r="AZ303" i="1"/>
  <c r="AZ438" i="1"/>
  <c r="AZ463" i="1"/>
  <c r="AZ477" i="1"/>
  <c r="AZ502" i="1"/>
  <c r="AZ516" i="1"/>
  <c r="AZ1130" i="1"/>
  <c r="AZ1157" i="1"/>
  <c r="AY1243" i="1"/>
  <c r="AV1241" i="1"/>
  <c r="AV1282" i="1"/>
  <c r="AV1208" i="1"/>
  <c r="AV1206" i="1"/>
  <c r="AV1207" i="1"/>
  <c r="AY1242" i="1"/>
  <c r="AV1205" i="1"/>
  <c r="BC278" i="1"/>
  <c r="AZ293" i="1"/>
  <c r="AZ290" i="1"/>
  <c r="AZ321" i="1"/>
  <c r="AZ379" i="1"/>
  <c r="AZ393" i="1"/>
  <c r="AZ432" i="1"/>
  <c r="AZ457" i="1"/>
  <c r="AZ471" i="1"/>
  <c r="AZ496" i="1"/>
  <c r="AZ510" i="1"/>
  <c r="AZ418" i="1"/>
  <c r="AZ1122" i="1"/>
  <c r="BN1283" i="1"/>
  <c r="BN1278" i="1"/>
  <c r="BQ1280" i="1"/>
  <c r="BN1248" i="1"/>
  <c r="BN1250" i="1"/>
  <c r="BN1249" i="1"/>
  <c r="AU535" i="1"/>
  <c r="BF650" i="1"/>
  <c r="BF1149" i="1" s="1"/>
  <c r="BP1233" i="1"/>
  <c r="BR1232" i="1"/>
  <c r="BR1235" i="1" s="1"/>
  <c r="BN553" i="1"/>
  <c r="BN10" i="1" s="1"/>
  <c r="BO550" i="1"/>
  <c r="BO553" i="1" s="1"/>
  <c r="BO10" i="1" s="1"/>
  <c r="AO1282" i="1"/>
  <c r="AR1243" i="1"/>
  <c r="AO1241" i="1"/>
  <c r="AO1206" i="1"/>
  <c r="AO1207" i="1"/>
  <c r="AO1208" i="1"/>
  <c r="AO1205" i="1"/>
  <c r="AR1242" i="1"/>
  <c r="AQ1240" i="1"/>
  <c r="AQ668" i="1"/>
  <c r="AP669" i="1"/>
  <c r="BC279" i="1"/>
  <c r="AZ1121" i="1"/>
  <c r="BL341" i="1"/>
  <c r="BL1211" i="1"/>
  <c r="BM644" i="1"/>
  <c r="BJ645" i="1"/>
  <c r="BC285" i="1"/>
  <c r="BL636" i="1"/>
  <c r="BK637" i="1"/>
  <c r="BN636" i="1"/>
  <c r="BP12" i="1"/>
  <c r="BQ638" i="1"/>
  <c r="BC289" i="1"/>
  <c r="AZ1127" i="1"/>
  <c r="AN1132" i="1"/>
  <c r="AN1138" i="1" s="1"/>
  <c r="AN1133" i="1"/>
  <c r="AN1142" i="1" s="1"/>
  <c r="AN1146" i="1"/>
  <c r="AN1162" i="1" s="1"/>
  <c r="AN1163" i="1" s="1"/>
  <c r="BO1233" i="1"/>
  <c r="BP646" i="1"/>
  <c r="BP1150" i="1" s="1"/>
  <c r="BQ1201" i="1"/>
  <c r="BC286" i="1"/>
  <c r="AZ1131" i="1"/>
  <c r="BL679" i="1"/>
  <c r="BR1269" i="1"/>
  <c r="AJ272" i="1"/>
  <c r="AJ268" i="1"/>
  <c r="AJ271" i="1"/>
  <c r="AJ269" i="1"/>
  <c r="BM636" i="1"/>
  <c r="BJ637" i="1"/>
  <c r="BM1147" i="1"/>
  <c r="BR1226" i="1"/>
  <c r="AR673" i="1"/>
  <c r="AR677" i="1"/>
  <c r="AR687" i="1"/>
  <c r="AR626" i="1"/>
  <c r="AR688" i="1"/>
  <c r="AU689" i="1"/>
  <c r="AS536" i="1"/>
  <c r="AS1184" i="1"/>
  <c r="BQ1261" i="1"/>
  <c r="BQ1277" i="1"/>
  <c r="BQ1249" i="1" s="1"/>
  <c r="BL137" i="1"/>
  <c r="N102" i="7"/>
  <c r="AZ324" i="1"/>
  <c r="AZ298" i="1"/>
  <c r="BC281" i="1"/>
  <c r="AZ435" i="1"/>
  <c r="AZ460" i="1"/>
  <c r="AZ474" i="1"/>
  <c r="AZ499" i="1"/>
  <c r="AZ513" i="1"/>
  <c r="AZ382" i="1"/>
  <c r="AZ396" i="1"/>
  <c r="AZ421" i="1"/>
  <c r="AZ1125" i="1"/>
  <c r="BO12" i="1" l="1"/>
  <c r="BO63" i="1" s="1"/>
  <c r="BN63" i="1"/>
  <c r="BN64" i="1"/>
  <c r="BP64" i="1"/>
  <c r="BP63" i="1"/>
  <c r="AQ76" i="1"/>
  <c r="H37" i="4" s="1"/>
  <c r="AQ240" i="1"/>
  <c r="U45" i="4" s="1"/>
  <c r="H32" i="4"/>
  <c r="AS622" i="1"/>
  <c r="AS152" i="1"/>
  <c r="AS155" i="1" s="1"/>
  <c r="AS134" i="1" s="1"/>
  <c r="AW630" i="1"/>
  <c r="AV619" i="1"/>
  <c r="AW619" i="1" s="1"/>
  <c r="AV632" i="1"/>
  <c r="AR72" i="1"/>
  <c r="AR136" i="1"/>
  <c r="AQ136" i="1"/>
  <c r="G106" i="7"/>
  <c r="AP76" i="1"/>
  <c r="AP240" i="1"/>
  <c r="AY633" i="1"/>
  <c r="AX630" i="1"/>
  <c r="AU151" i="1"/>
  <c r="AU621" i="1"/>
  <c r="AU634" i="1"/>
  <c r="AT151" i="1"/>
  <c r="AT633" i="1"/>
  <c r="AT152" i="1"/>
  <c r="AT155" i="1" s="1"/>
  <c r="AT134" i="1" s="1"/>
  <c r="AT622" i="1"/>
  <c r="BQ644" i="1"/>
  <c r="BQ645" i="1" s="1"/>
  <c r="BQ12" i="1"/>
  <c r="BL652" i="1"/>
  <c r="BL653" i="1" s="1"/>
  <c r="BJ653" i="1"/>
  <c r="BM652" i="1"/>
  <c r="BP679" i="1" s="1"/>
  <c r="BP654" i="1"/>
  <c r="BP1156" i="1" s="1"/>
  <c r="BP660" i="1"/>
  <c r="BP661" i="1" s="1"/>
  <c r="BN137" i="1"/>
  <c r="BP137" i="1"/>
  <c r="BQ137" i="1"/>
  <c r="BF1158" i="1"/>
  <c r="BF638" i="1"/>
  <c r="BF1147" i="1" s="1"/>
  <c r="AJ574" i="1"/>
  <c r="AN1136" i="1"/>
  <c r="AJ577" i="1"/>
  <c r="BI658" i="1"/>
  <c r="BI1158" i="1" s="1"/>
  <c r="BF1155" i="1"/>
  <c r="BF662" i="1"/>
  <c r="BF1153" i="1" s="1"/>
  <c r="BR1274" i="1"/>
  <c r="BR1270" i="1" s="1"/>
  <c r="AN1143" i="1"/>
  <c r="AN1145" i="1"/>
  <c r="BO1213" i="1"/>
  <c r="BO1215" i="1" s="1"/>
  <c r="BO1212" i="1" s="1"/>
  <c r="BF646" i="1"/>
  <c r="BF1150" i="1" s="1"/>
  <c r="BR550" i="1"/>
  <c r="BR553" i="1" s="1"/>
  <c r="BR10" i="1" s="1"/>
  <c r="BI642" i="1"/>
  <c r="BI1148" i="1" s="1"/>
  <c r="BR1236" i="1"/>
  <c r="BR1237" i="1" s="1"/>
  <c r="BR1234" i="1" s="1"/>
  <c r="BI666" i="1"/>
  <c r="BI1155" i="1" s="1"/>
  <c r="AV347" i="1"/>
  <c r="BF281" i="1"/>
  <c r="BC298" i="1"/>
  <c r="BC382" i="1"/>
  <c r="BC396" i="1"/>
  <c r="BC421" i="1"/>
  <c r="BC324" i="1"/>
  <c r="BC435" i="1"/>
  <c r="BC460" i="1"/>
  <c r="BC474" i="1"/>
  <c r="BC499" i="1"/>
  <c r="BC513" i="1"/>
  <c r="BC1125" i="1"/>
  <c r="BP636" i="1"/>
  <c r="BM637" i="1"/>
  <c r="BQ1147" i="1"/>
  <c r="BF285" i="1"/>
  <c r="BP644" i="1"/>
  <c r="BM645" i="1"/>
  <c r="AR1239" i="1"/>
  <c r="AR1452" i="1"/>
  <c r="AR579" i="1" s="1"/>
  <c r="AN1144" i="1"/>
  <c r="AK587" i="1"/>
  <c r="AK585" i="1" s="1"/>
  <c r="AK594" i="1"/>
  <c r="BL661" i="1"/>
  <c r="BL640" i="1"/>
  <c r="BL655" i="1"/>
  <c r="BL663" i="1"/>
  <c r="BL664" i="1"/>
  <c r="BL657" i="1"/>
  <c r="BL665" i="1"/>
  <c r="BL639" i="1"/>
  <c r="BL647" i="1"/>
  <c r="BL648" i="1"/>
  <c r="BL641" i="1"/>
  <c r="BL649" i="1"/>
  <c r="BL656" i="1"/>
  <c r="BA1146" i="1"/>
  <c r="BA1162" i="1" s="1"/>
  <c r="BA668" i="1"/>
  <c r="BA669" i="1" s="1"/>
  <c r="BQ1276" i="1"/>
  <c r="AO555" i="1"/>
  <c r="BR562" i="1"/>
  <c r="BP1211" i="1"/>
  <c r="BR1210" i="1"/>
  <c r="BR1213" i="1" s="1"/>
  <c r="BP1231" i="1"/>
  <c r="AN1160" i="1"/>
  <c r="AN578" i="1" s="1"/>
  <c r="AN1159" i="1"/>
  <c r="AN575" i="1" s="1"/>
  <c r="AN1139" i="1"/>
  <c r="BL637" i="1"/>
  <c r="AP670" i="1"/>
  <c r="AP1163" i="1" s="1"/>
  <c r="AS680" i="1"/>
  <c r="AP623" i="1"/>
  <c r="AU681" i="1"/>
  <c r="AQ669" i="1"/>
  <c r="AS672" i="1"/>
  <c r="AS1161" i="1" s="1"/>
  <c r="AP280" i="1"/>
  <c r="AP1123" i="1"/>
  <c r="AP287" i="1"/>
  <c r="AP1126" i="1"/>
  <c r="AP283" i="1"/>
  <c r="AP277" i="1"/>
  <c r="AS671" i="1"/>
  <c r="AP1120" i="1"/>
  <c r="AP1129" i="1"/>
  <c r="AO347" i="1"/>
  <c r="BO137" i="1"/>
  <c r="O102" i="7"/>
  <c r="AY1239" i="1"/>
  <c r="AY1452" i="1"/>
  <c r="AY579" i="1" s="1"/>
  <c r="AV1285" i="1"/>
  <c r="AV337" i="1" s="1"/>
  <c r="AN1137" i="1"/>
  <c r="AN535" i="1"/>
  <c r="AM540" i="1"/>
  <c r="AM538" i="1"/>
  <c r="AM276" i="1" s="1"/>
  <c r="AX604" i="1"/>
  <c r="AM545" i="1"/>
  <c r="AM607" i="1"/>
  <c r="AN605" i="1"/>
  <c r="BF1151" i="1"/>
  <c r="AK23" i="1"/>
  <c r="BO1231" i="1"/>
  <c r="BI650" i="1"/>
  <c r="BI646" i="1" s="1"/>
  <c r="BI1150" i="1" s="1"/>
  <c r="BF286" i="1"/>
  <c r="BC1131" i="1"/>
  <c r="BO679" i="1"/>
  <c r="AN1135" i="1"/>
  <c r="AN1140" i="1"/>
  <c r="BF289" i="1"/>
  <c r="BC1127" i="1"/>
  <c r="BF279" i="1"/>
  <c r="BC1121" i="1"/>
  <c r="AU540" i="1"/>
  <c r="BQ1246" i="1"/>
  <c r="BN362" i="1"/>
  <c r="BF284" i="1"/>
  <c r="BC327" i="1"/>
  <c r="BC303" i="1"/>
  <c r="BC385" i="1"/>
  <c r="BC399" i="1"/>
  <c r="BC438" i="1"/>
  <c r="BC463" i="1"/>
  <c r="BC477" i="1"/>
  <c r="BC424" i="1"/>
  <c r="BC502" i="1"/>
  <c r="BC516" i="1"/>
  <c r="BC1130" i="1"/>
  <c r="BC1157" i="1"/>
  <c r="BQ652" i="1"/>
  <c r="BN653" i="1"/>
  <c r="BC331" i="1"/>
  <c r="BF288" i="1"/>
  <c r="BC310" i="1"/>
  <c r="BC428" i="1"/>
  <c r="BC442" i="1"/>
  <c r="BC467" i="1"/>
  <c r="BC481" i="1"/>
  <c r="BC506" i="1"/>
  <c r="BC520" i="1"/>
  <c r="BC389" i="1"/>
  <c r="BC403" i="1"/>
  <c r="BC1128" i="1"/>
  <c r="BO660" i="1"/>
  <c r="BQ679" i="1"/>
  <c r="BQ660" i="1"/>
  <c r="BN661" i="1"/>
  <c r="AO608" i="1"/>
  <c r="AQ27" i="1"/>
  <c r="BF1152" i="1"/>
  <c r="AS1453" i="1"/>
  <c r="AS1455" i="1" s="1"/>
  <c r="AS1456" i="1" s="1"/>
  <c r="BF282" i="1"/>
  <c r="BC1124" i="1"/>
  <c r="AK36" i="1"/>
  <c r="AJ41" i="1"/>
  <c r="AJ130" i="1"/>
  <c r="BQ1283" i="1"/>
  <c r="BQ1278" i="1"/>
  <c r="BQ1250" i="1"/>
  <c r="BQ1248" i="1"/>
  <c r="BQ362" i="1" s="1"/>
  <c r="AS541" i="1"/>
  <c r="AR624" i="1"/>
  <c r="AR674" i="1"/>
  <c r="BQ636" i="1"/>
  <c r="BN637" i="1"/>
  <c r="BO636" i="1"/>
  <c r="AQ1241" i="1"/>
  <c r="AQ1242" i="1" s="1"/>
  <c r="AQ1452" i="1" s="1"/>
  <c r="AQ579" i="1" s="1"/>
  <c r="AT1243" i="1"/>
  <c r="AQ1207" i="1"/>
  <c r="AQ1206" i="1"/>
  <c r="AQ1208" i="1"/>
  <c r="AQ1205" i="1"/>
  <c r="AQ1282" i="1"/>
  <c r="BR1233" i="1"/>
  <c r="BF278" i="1"/>
  <c r="BC290" i="1"/>
  <c r="BC321" i="1"/>
  <c r="BC293" i="1"/>
  <c r="BC418" i="1"/>
  <c r="BC432" i="1"/>
  <c r="BC457" i="1"/>
  <c r="BC471" i="1"/>
  <c r="BC496" i="1"/>
  <c r="BC510" i="1"/>
  <c r="BC379" i="1"/>
  <c r="BC393" i="1"/>
  <c r="BC1122" i="1"/>
  <c r="AX1133" i="1"/>
  <c r="AX1145" i="1" s="1"/>
  <c r="AX1132" i="1"/>
  <c r="AX1136" i="1" s="1"/>
  <c r="AX291" i="1"/>
  <c r="AK22" i="1"/>
  <c r="AJ125" i="1"/>
  <c r="AJ126" i="1" s="1"/>
  <c r="AJ129" i="1"/>
  <c r="BO644" i="1"/>
  <c r="BO341" i="1"/>
  <c r="BO1211" i="1"/>
  <c r="AP626" i="1"/>
  <c r="AQ626" i="1" s="1"/>
  <c r="U52" i="4" s="1"/>
  <c r="AP688" i="1"/>
  <c r="AP673" i="1"/>
  <c r="AP677" i="1"/>
  <c r="AP687" i="1"/>
  <c r="AS689" i="1"/>
  <c r="AQ676" i="1"/>
  <c r="BR12" i="1" l="1"/>
  <c r="BR63" i="1" s="1"/>
  <c r="BQ63" i="1"/>
  <c r="BQ64" i="1"/>
  <c r="BR64" i="1" s="1"/>
  <c r="BO64" i="1"/>
  <c r="H36" i="4"/>
  <c r="H106" i="7"/>
  <c r="AT136" i="1"/>
  <c r="AX619" i="1"/>
  <c r="AX632" i="1"/>
  <c r="BA633" i="1"/>
  <c r="AY630" i="1"/>
  <c r="AR76" i="1"/>
  <c r="AR240" i="1"/>
  <c r="AS136" i="1"/>
  <c r="AS72" i="1"/>
  <c r="AT72" i="1" s="1"/>
  <c r="AU152" i="1"/>
  <c r="AU155" i="1" s="1"/>
  <c r="AU134" i="1" s="1"/>
  <c r="AU622" i="1"/>
  <c r="AW632" i="1"/>
  <c r="AV621" i="1"/>
  <c r="AV151" i="1"/>
  <c r="BR644" i="1"/>
  <c r="BR645" i="1" s="1"/>
  <c r="BM653" i="1"/>
  <c r="BO652" i="1"/>
  <c r="BO653" i="1" s="1"/>
  <c r="BP652" i="1"/>
  <c r="BR652" i="1" s="1"/>
  <c r="BI654" i="1"/>
  <c r="BI1156" i="1" s="1"/>
  <c r="BI638" i="1"/>
  <c r="BI1147" i="1" s="1"/>
  <c r="AJ583" i="1"/>
  <c r="P102" i="7"/>
  <c r="Q102" i="7" s="1"/>
  <c r="BI662" i="1"/>
  <c r="BI1153" i="1" s="1"/>
  <c r="BI1151" i="1"/>
  <c r="BR137" i="1"/>
  <c r="BI1152" i="1"/>
  <c r="BI1154" i="1"/>
  <c r="BI1149" i="1"/>
  <c r="BL658" i="1"/>
  <c r="BL654" i="1" s="1"/>
  <c r="BL1156" i="1" s="1"/>
  <c r="BL642" i="1"/>
  <c r="BL638" i="1" s="1"/>
  <c r="BL1147" i="1" s="1"/>
  <c r="AX1160" i="1"/>
  <c r="AX578" i="1" s="1"/>
  <c r="BR1214" i="1"/>
  <c r="BR1215" i="1" s="1"/>
  <c r="BR1212" i="1" s="1"/>
  <c r="AX1142" i="1"/>
  <c r="AQ347" i="1"/>
  <c r="AX1135" i="1"/>
  <c r="BI282" i="1"/>
  <c r="BF1124" i="1"/>
  <c r="AX1138" i="1"/>
  <c r="BI288" i="1"/>
  <c r="BF310" i="1"/>
  <c r="BF331" i="1"/>
  <c r="BF389" i="1"/>
  <c r="BF428" i="1"/>
  <c r="BF442" i="1"/>
  <c r="BF467" i="1"/>
  <c r="BF481" i="1"/>
  <c r="BF506" i="1"/>
  <c r="BF520" i="1"/>
  <c r="BF403" i="1"/>
  <c r="BF1128" i="1"/>
  <c r="BI284" i="1"/>
  <c r="BF303" i="1"/>
  <c r="BF327" i="1"/>
  <c r="BF399" i="1"/>
  <c r="BF424" i="1"/>
  <c r="BF438" i="1"/>
  <c r="BF463" i="1"/>
  <c r="BF477" i="1"/>
  <c r="BF502" i="1"/>
  <c r="BF516" i="1"/>
  <c r="BF385" i="1"/>
  <c r="BF1157" i="1"/>
  <c r="BF1130" i="1"/>
  <c r="BI286" i="1"/>
  <c r="BF1131" i="1"/>
  <c r="AM555" i="1"/>
  <c r="AN545" i="1"/>
  <c r="AS1146" i="1"/>
  <c r="AS1162" i="1" s="1"/>
  <c r="AS668" i="1"/>
  <c r="AQ670" i="1"/>
  <c r="AQ671" i="1" s="1"/>
  <c r="AQ1146" i="1" s="1"/>
  <c r="AQ1162" i="1" s="1"/>
  <c r="AQ1163" i="1" s="1"/>
  <c r="AT672" i="1"/>
  <c r="AT1161" i="1" s="1"/>
  <c r="AQ280" i="1"/>
  <c r="AQ1123" i="1"/>
  <c r="AQ1129" i="1"/>
  <c r="AQ277" i="1"/>
  <c r="AQ283" i="1"/>
  <c r="AQ287" i="1"/>
  <c r="AQ1126" i="1"/>
  <c r="AQ1120" i="1"/>
  <c r="AS686" i="1"/>
  <c r="AT686" i="1" s="1"/>
  <c r="AT680" i="1"/>
  <c r="BR1231" i="1"/>
  <c r="BL666" i="1"/>
  <c r="BL662" i="1" s="1"/>
  <c r="BL1153" i="1" s="1"/>
  <c r="BP645" i="1"/>
  <c r="BP637" i="1"/>
  <c r="AQ688" i="1"/>
  <c r="AQ673" i="1"/>
  <c r="AQ674" i="1" s="1"/>
  <c r="AQ677" i="1"/>
  <c r="AQ687" i="1"/>
  <c r="AT689" i="1"/>
  <c r="AX1159" i="1"/>
  <c r="AX575" i="1" s="1"/>
  <c r="BR636" i="1"/>
  <c r="BQ637" i="1"/>
  <c r="AR605" i="1"/>
  <c r="H54" i="4"/>
  <c r="AR27" i="1"/>
  <c r="AX1137" i="1"/>
  <c r="AX1140" i="1"/>
  <c r="BQ661" i="1"/>
  <c r="BR660" i="1"/>
  <c r="BI279" i="1"/>
  <c r="BF1121" i="1"/>
  <c r="AX1143" i="1"/>
  <c r="AN540" i="1"/>
  <c r="AP291" i="1"/>
  <c r="AW681" i="1"/>
  <c r="AU686" i="1"/>
  <c r="AU676" i="1" s="1"/>
  <c r="BR341" i="1"/>
  <c r="BR1211" i="1"/>
  <c r="AO560" i="1"/>
  <c r="AO565" i="1"/>
  <c r="AO566" i="1" s="1"/>
  <c r="AR586" i="1"/>
  <c r="BA670" i="1"/>
  <c r="BA1163" i="1" s="1"/>
  <c r="BD680" i="1"/>
  <c r="BE681" i="1"/>
  <c r="BA623" i="1"/>
  <c r="BD672" i="1"/>
  <c r="BD1161" i="1" s="1"/>
  <c r="BA287" i="1"/>
  <c r="BA1126" i="1"/>
  <c r="BA280" i="1"/>
  <c r="BA277" i="1"/>
  <c r="BD671" i="1"/>
  <c r="BA1120" i="1"/>
  <c r="BA1129" i="1"/>
  <c r="BA1123" i="1"/>
  <c r="BA283" i="1"/>
  <c r="AR1240" i="1"/>
  <c r="AT1239" i="1"/>
  <c r="BF324" i="1"/>
  <c r="BI281" i="1"/>
  <c r="BF298" i="1"/>
  <c r="BF421" i="1"/>
  <c r="BF382" i="1"/>
  <c r="BF435" i="1"/>
  <c r="BF460" i="1"/>
  <c r="BF474" i="1"/>
  <c r="BF396" i="1"/>
  <c r="BF499" i="1"/>
  <c r="BF513" i="1"/>
  <c r="BF1125" i="1"/>
  <c r="BO645" i="1"/>
  <c r="F48" i="4"/>
  <c r="AK121" i="1"/>
  <c r="AK125" i="1"/>
  <c r="BO637" i="1"/>
  <c r="AX1144" i="1"/>
  <c r="AX1139" i="1"/>
  <c r="BI289" i="1"/>
  <c r="BF1127" i="1"/>
  <c r="F49" i="4"/>
  <c r="AK122" i="1"/>
  <c r="AV1167" i="1"/>
  <c r="AV1286" i="1"/>
  <c r="BA1297" i="1"/>
  <c r="AY1454" i="1"/>
  <c r="AY1288" i="1"/>
  <c r="AY1295" i="1"/>
  <c r="AY1296" i="1"/>
  <c r="AV338" i="1"/>
  <c r="AY1240" i="1"/>
  <c r="AP674" i="1"/>
  <c r="AP624" i="1"/>
  <c r="BF290" i="1"/>
  <c r="BF379" i="1"/>
  <c r="BF393" i="1"/>
  <c r="BF418" i="1"/>
  <c r="BI278" i="1"/>
  <c r="BF321" i="1"/>
  <c r="BF293" i="1"/>
  <c r="BF432" i="1"/>
  <c r="BF457" i="1"/>
  <c r="BF471" i="1"/>
  <c r="BF496" i="1"/>
  <c r="BF510" i="1"/>
  <c r="BF1122" i="1"/>
  <c r="F58" i="4"/>
  <c r="AK41" i="1"/>
  <c r="AK123" i="1"/>
  <c r="BO661" i="1"/>
  <c r="BO648" i="1"/>
  <c r="BO647" i="1"/>
  <c r="BO640" i="1"/>
  <c r="BO656" i="1"/>
  <c r="BO649" i="1"/>
  <c r="BO641" i="1"/>
  <c r="BO664" i="1"/>
  <c r="BO655" i="1"/>
  <c r="BO663" i="1"/>
  <c r="BO639" i="1"/>
  <c r="BO657" i="1"/>
  <c r="BO665" i="1"/>
  <c r="BQ653" i="1"/>
  <c r="AM608" i="1"/>
  <c r="AN607" i="1"/>
  <c r="AX535" i="1"/>
  <c r="AM8" i="1"/>
  <c r="AM543" i="1"/>
  <c r="AM582" i="1" s="1"/>
  <c r="AM580" i="1" s="1"/>
  <c r="AP581" i="1"/>
  <c r="AM336" i="1"/>
  <c r="AP1133" i="1"/>
  <c r="AP1160" i="1" s="1"/>
  <c r="AP578" i="1" s="1"/>
  <c r="AP1132" i="1"/>
  <c r="AP1139" i="1" s="1"/>
  <c r="AP604" i="1"/>
  <c r="AP634" i="1"/>
  <c r="AQ623" i="1"/>
  <c r="AQ634" i="1" s="1"/>
  <c r="BL650" i="1"/>
  <c r="BL1151" i="1" s="1"/>
  <c r="BR679" i="1"/>
  <c r="BI285" i="1"/>
  <c r="AT240" i="1" l="1"/>
  <c r="V45" i="4" s="1"/>
  <c r="I32" i="4"/>
  <c r="AT76" i="1"/>
  <c r="I37" i="4" s="1"/>
  <c r="AZ630" i="1"/>
  <c r="AY619" i="1"/>
  <c r="AZ619" i="1" s="1"/>
  <c r="AY632" i="1"/>
  <c r="AV622" i="1"/>
  <c r="AV152" i="1"/>
  <c r="AV155" i="1" s="1"/>
  <c r="AV134" i="1" s="1"/>
  <c r="AU72" i="1"/>
  <c r="AU136" i="1"/>
  <c r="AW151" i="1"/>
  <c r="AW633" i="1"/>
  <c r="AS240" i="1"/>
  <c r="AS76" i="1"/>
  <c r="BB633" i="1"/>
  <c r="BA630" i="1"/>
  <c r="AW621" i="1"/>
  <c r="AX151" i="1"/>
  <c r="AX621" i="1"/>
  <c r="AX634" i="1"/>
  <c r="BP653" i="1"/>
  <c r="AN608" i="1"/>
  <c r="BL1158" i="1"/>
  <c r="AS676" i="1"/>
  <c r="AS687" i="1" s="1"/>
  <c r="BL1148" i="1"/>
  <c r="BO642" i="1"/>
  <c r="BO1148" i="1" s="1"/>
  <c r="BL1155" i="1"/>
  <c r="AK124" i="1"/>
  <c r="E107" i="7" s="1"/>
  <c r="E108" i="7" s="1"/>
  <c r="BL646" i="1"/>
  <c r="BL1150" i="1" s="1"/>
  <c r="AP1137" i="1"/>
  <c r="AM273" i="1"/>
  <c r="AM270" i="1"/>
  <c r="AP1138" i="1"/>
  <c r="AV536" i="1"/>
  <c r="AV1184" i="1"/>
  <c r="AU1243" i="1"/>
  <c r="AR1282" i="1"/>
  <c r="AR1241" i="1"/>
  <c r="AR1206" i="1"/>
  <c r="AR1207" i="1"/>
  <c r="AR1208" i="1"/>
  <c r="AR1205" i="1"/>
  <c r="AU1242" i="1"/>
  <c r="AT1240" i="1"/>
  <c r="BA604" i="1"/>
  <c r="BL278" i="1"/>
  <c r="BI321" i="1"/>
  <c r="BI293" i="1"/>
  <c r="BI290" i="1"/>
  <c r="BI393" i="1"/>
  <c r="BI418" i="1"/>
  <c r="BI432" i="1"/>
  <c r="BI457" i="1"/>
  <c r="BI471" i="1"/>
  <c r="BI496" i="1"/>
  <c r="BI379" i="1"/>
  <c r="BI510" i="1"/>
  <c r="BI1122" i="1"/>
  <c r="BL1152" i="1"/>
  <c r="AP1140" i="1"/>
  <c r="BL289" i="1"/>
  <c r="BI1127" i="1"/>
  <c r="BD668" i="1"/>
  <c r="BD669" i="1" s="1"/>
  <c r="BD1146" i="1"/>
  <c r="BD1162" i="1" s="1"/>
  <c r="AP1136" i="1"/>
  <c r="BR637" i="1"/>
  <c r="AQ1132" i="1"/>
  <c r="AQ1136" i="1" s="1"/>
  <c r="AQ1133" i="1"/>
  <c r="AQ1142" i="1" s="1"/>
  <c r="AQ291" i="1"/>
  <c r="AM272" i="1"/>
  <c r="AK62" i="1"/>
  <c r="BL281" i="1"/>
  <c r="BI324" i="1"/>
  <c r="BI298" i="1"/>
  <c r="BI382" i="1"/>
  <c r="BI396" i="1"/>
  <c r="BI435" i="1"/>
  <c r="BI460" i="1"/>
  <c r="BI474" i="1"/>
  <c r="BI499" i="1"/>
  <c r="BI513" i="1"/>
  <c r="BI421" i="1"/>
  <c r="BI1125" i="1"/>
  <c r="AT668" i="1"/>
  <c r="AS669" i="1"/>
  <c r="AP535" i="1"/>
  <c r="AQ604" i="1"/>
  <c r="AP1135" i="1"/>
  <c r="BL1154" i="1"/>
  <c r="AP1142" i="1"/>
  <c r="AP1159" i="1"/>
  <c r="AP575" i="1" s="1"/>
  <c r="AM23" i="1"/>
  <c r="AM22" i="1"/>
  <c r="AM36" i="1"/>
  <c r="AM241" i="1"/>
  <c r="AP605" i="1"/>
  <c r="AQ624" i="1"/>
  <c r="BL1149" i="1"/>
  <c r="AP1145" i="1"/>
  <c r="AV1287" i="1"/>
  <c r="BA291" i="1"/>
  <c r="AO587" i="1"/>
  <c r="AO585" i="1" s="1"/>
  <c r="AO594" i="1"/>
  <c r="AP1143" i="1"/>
  <c r="AR545" i="1"/>
  <c r="AR607" i="1"/>
  <c r="BL282" i="1"/>
  <c r="BI1124" i="1"/>
  <c r="AM268" i="1"/>
  <c r="BL285" i="1"/>
  <c r="BR653" i="1"/>
  <c r="AU626" i="1"/>
  <c r="AU688" i="1"/>
  <c r="AU673" i="1"/>
  <c r="AU677" i="1"/>
  <c r="AU687" i="1"/>
  <c r="AX689" i="1"/>
  <c r="BL279" i="1"/>
  <c r="BI1121" i="1"/>
  <c r="BR661" i="1"/>
  <c r="BR655" i="1"/>
  <c r="BR665" i="1"/>
  <c r="BR664" i="1"/>
  <c r="BR641" i="1"/>
  <c r="BR657" i="1"/>
  <c r="BR639" i="1"/>
  <c r="BR640" i="1"/>
  <c r="BR647" i="1"/>
  <c r="BR648" i="1"/>
  <c r="BR649" i="1"/>
  <c r="BR663" i="1"/>
  <c r="BR656" i="1"/>
  <c r="BL286" i="1"/>
  <c r="BI1131" i="1"/>
  <c r="BL284" i="1"/>
  <c r="BI327" i="1"/>
  <c r="BI303" i="1"/>
  <c r="BI424" i="1"/>
  <c r="BI438" i="1"/>
  <c r="BI463" i="1"/>
  <c r="BI477" i="1"/>
  <c r="BI502" i="1"/>
  <c r="BI516" i="1"/>
  <c r="BI385" i="1"/>
  <c r="BI399" i="1"/>
  <c r="BI1130" i="1"/>
  <c r="BI1157" i="1"/>
  <c r="BI389" i="1"/>
  <c r="BI403" i="1"/>
  <c r="BL288" i="1"/>
  <c r="BI331" i="1"/>
  <c r="BI310" i="1"/>
  <c r="BI428" i="1"/>
  <c r="BI442" i="1"/>
  <c r="BI467" i="1"/>
  <c r="BI481" i="1"/>
  <c r="BI506" i="1"/>
  <c r="BI520" i="1"/>
  <c r="BI1128" i="1"/>
  <c r="AM271" i="1"/>
  <c r="AP1144" i="1"/>
  <c r="AX540" i="1"/>
  <c r="BO666" i="1"/>
  <c r="BO662" i="1" s="1"/>
  <c r="BO1153" i="1" s="1"/>
  <c r="F61" i="4"/>
  <c r="F60" i="4" s="1"/>
  <c r="AY1241" i="1"/>
  <c r="BB1243" i="1"/>
  <c r="AY1282" i="1"/>
  <c r="AY1208" i="1"/>
  <c r="AY1206" i="1"/>
  <c r="AY1207" i="1"/>
  <c r="AY1205" i="1"/>
  <c r="BB1242" i="1"/>
  <c r="BO650" i="1"/>
  <c r="BO1151" i="1" s="1"/>
  <c r="BA1133" i="1"/>
  <c r="BA1145" i="1" s="1"/>
  <c r="BA1132" i="1"/>
  <c r="BA1138" i="1" s="1"/>
  <c r="BO658" i="1"/>
  <c r="BO654" i="1" s="1"/>
  <c r="BO1156" i="1" s="1"/>
  <c r="AS27" i="1"/>
  <c r="AM560" i="1"/>
  <c r="AM565" i="1"/>
  <c r="AM566" i="1" s="1"/>
  <c r="AN555" i="1"/>
  <c r="AP586" i="1"/>
  <c r="AM269" i="1"/>
  <c r="I36" i="4" l="1"/>
  <c r="AW152" i="1"/>
  <c r="AW155" i="1" s="1"/>
  <c r="AW134" i="1" s="1"/>
  <c r="AW622" i="1"/>
  <c r="AZ632" i="1"/>
  <c r="AY151" i="1"/>
  <c r="AY621" i="1"/>
  <c r="BA619" i="1"/>
  <c r="BA632" i="1"/>
  <c r="AU76" i="1"/>
  <c r="AU240" i="1"/>
  <c r="AX152" i="1"/>
  <c r="AX155" i="1" s="1"/>
  <c r="AX134" i="1" s="1"/>
  <c r="AX622" i="1"/>
  <c r="BD633" i="1"/>
  <c r="BB630" i="1"/>
  <c r="AV72" i="1"/>
  <c r="AW72" i="1" s="1"/>
  <c r="AV136" i="1"/>
  <c r="BO638" i="1"/>
  <c r="BO1147" i="1" s="1"/>
  <c r="F26" i="4"/>
  <c r="AT676" i="1"/>
  <c r="AW689" i="1" s="1"/>
  <c r="AS673" i="1"/>
  <c r="AS674" i="1" s="1"/>
  <c r="AS688" i="1"/>
  <c r="AV689" i="1"/>
  <c r="AS626" i="1"/>
  <c r="AT626" i="1" s="1"/>
  <c r="V52" i="4" s="1"/>
  <c r="AS677" i="1"/>
  <c r="AQ1137" i="1"/>
  <c r="AM574" i="1"/>
  <c r="AQ1138" i="1"/>
  <c r="AQ1139" i="1"/>
  <c r="AQ1140" i="1"/>
  <c r="BA1137" i="1"/>
  <c r="BA1135" i="1"/>
  <c r="BA1144" i="1"/>
  <c r="BA1160" i="1"/>
  <c r="BA578" i="1" s="1"/>
  <c r="BR642" i="1"/>
  <c r="BR1148" i="1" s="1"/>
  <c r="AQ1145" i="1"/>
  <c r="BA1142" i="1"/>
  <c r="BA1159" i="1"/>
  <c r="BA575" i="1" s="1"/>
  <c r="AQ1144" i="1"/>
  <c r="AR347" i="1"/>
  <c r="BR658" i="1"/>
  <c r="BR1158" i="1" s="1"/>
  <c r="BO1158" i="1"/>
  <c r="BA1140" i="1"/>
  <c r="AQ1160" i="1"/>
  <c r="AQ578" i="1" s="1"/>
  <c r="BO1152" i="1"/>
  <c r="BO646" i="1"/>
  <c r="BO1150" i="1" s="1"/>
  <c r="AQ1159" i="1"/>
  <c r="AQ575" i="1" s="1"/>
  <c r="AQ1143" i="1"/>
  <c r="BO279" i="1"/>
  <c r="BL1121" i="1"/>
  <c r="BO282" i="1"/>
  <c r="BL1124" i="1"/>
  <c r="AT1282" i="1"/>
  <c r="AT27" i="1"/>
  <c r="BR650" i="1"/>
  <c r="BR1151" i="1" s="1"/>
  <c r="BO285" i="1"/>
  <c r="AN22" i="1"/>
  <c r="AM125" i="1"/>
  <c r="AM126" i="1" s="1"/>
  <c r="AM129" i="1"/>
  <c r="AQ535" i="1"/>
  <c r="AP540" i="1"/>
  <c r="AP538" i="1"/>
  <c r="AP276" i="1" s="1"/>
  <c r="BA1139" i="1"/>
  <c r="BL324" i="1"/>
  <c r="BL298" i="1"/>
  <c r="BO281" i="1"/>
  <c r="BL421" i="1"/>
  <c r="BL435" i="1"/>
  <c r="BL460" i="1"/>
  <c r="BL474" i="1"/>
  <c r="BL499" i="1"/>
  <c r="BL513" i="1"/>
  <c r="BL382" i="1"/>
  <c r="BL396" i="1"/>
  <c r="BL1125" i="1"/>
  <c r="BO278" i="1"/>
  <c r="BL293" i="1"/>
  <c r="BL290" i="1"/>
  <c r="BL321" i="1"/>
  <c r="BL379" i="1"/>
  <c r="BL432" i="1"/>
  <c r="BL457" i="1"/>
  <c r="BL471" i="1"/>
  <c r="BL496" i="1"/>
  <c r="BL510" i="1"/>
  <c r="BL393" i="1"/>
  <c r="BL418" i="1"/>
  <c r="BL1122" i="1"/>
  <c r="BO1149" i="1"/>
  <c r="AT1241" i="1"/>
  <c r="AT1242" i="1" s="1"/>
  <c r="AT1452" i="1" s="1"/>
  <c r="AT579" i="1" s="1"/>
  <c r="AW1243" i="1"/>
  <c r="AT1206" i="1"/>
  <c r="AT1207" i="1"/>
  <c r="AT1208" i="1"/>
  <c r="AT1205" i="1"/>
  <c r="T53" i="4"/>
  <c r="AN560" i="1"/>
  <c r="AN565" i="1"/>
  <c r="AN566" i="1" s="1"/>
  <c r="AQ586" i="1"/>
  <c r="AN36" i="1"/>
  <c r="AM41" i="1"/>
  <c r="AM130" i="1"/>
  <c r="BB1239" i="1"/>
  <c r="BB1452" i="1"/>
  <c r="BB579" i="1" s="1"/>
  <c r="BO288" i="1"/>
  <c r="BL331" i="1"/>
  <c r="BL310" i="1"/>
  <c r="BL389" i="1"/>
  <c r="BL403" i="1"/>
  <c r="BL428" i="1"/>
  <c r="BL442" i="1"/>
  <c r="BL467" i="1"/>
  <c r="BL481" i="1"/>
  <c r="BL506" i="1"/>
  <c r="BL520" i="1"/>
  <c r="BL1128" i="1"/>
  <c r="BL385" i="1"/>
  <c r="BL399" i="1"/>
  <c r="BL327" i="1"/>
  <c r="BL303" i="1"/>
  <c r="BO284" i="1"/>
  <c r="BL424" i="1"/>
  <c r="BL438" i="1"/>
  <c r="BL463" i="1"/>
  <c r="BL477" i="1"/>
  <c r="BL502" i="1"/>
  <c r="BL516" i="1"/>
  <c r="BL1130" i="1"/>
  <c r="BL1157" i="1"/>
  <c r="BO1154" i="1"/>
  <c r="AR555" i="1"/>
  <c r="BA1136" i="1"/>
  <c r="AV1453" i="1"/>
  <c r="AV1455" i="1" s="1"/>
  <c r="AV1456" i="1" s="1"/>
  <c r="AN23" i="1"/>
  <c r="AM577" i="1"/>
  <c r="AQ1135" i="1"/>
  <c r="BD623" i="1"/>
  <c r="BD670" i="1"/>
  <c r="BD1163" i="1" s="1"/>
  <c r="BG680" i="1"/>
  <c r="BH681" i="1"/>
  <c r="BG672" i="1"/>
  <c r="BG1161" i="1" s="1"/>
  <c r="BD287" i="1"/>
  <c r="BD1126" i="1"/>
  <c r="BG671" i="1"/>
  <c r="BD1123" i="1"/>
  <c r="BD277" i="1"/>
  <c r="BD1120" i="1"/>
  <c r="BD1129" i="1"/>
  <c r="BD280" i="1"/>
  <c r="BD283" i="1"/>
  <c r="AU1239" i="1"/>
  <c r="AU1452" i="1"/>
  <c r="AU579" i="1" s="1"/>
  <c r="BO286" i="1"/>
  <c r="BL1131" i="1"/>
  <c r="AU674" i="1"/>
  <c r="AU624" i="1"/>
  <c r="AR608" i="1"/>
  <c r="AM587" i="1"/>
  <c r="AM585" i="1" s="1"/>
  <c r="AM594" i="1"/>
  <c r="AY347" i="1"/>
  <c r="AY1285" i="1"/>
  <c r="BR666" i="1"/>
  <c r="BR1155" i="1" s="1"/>
  <c r="BO1155" i="1"/>
  <c r="BA1143" i="1"/>
  <c r="AP545" i="1"/>
  <c r="AP607" i="1"/>
  <c r="AQ605" i="1"/>
  <c r="AS623" i="1"/>
  <c r="AS670" i="1"/>
  <c r="AS1163" i="1" s="1"/>
  <c r="AV680" i="1"/>
  <c r="AX681" i="1"/>
  <c r="AT669" i="1"/>
  <c r="AV672" i="1"/>
  <c r="AV1161" i="1" s="1"/>
  <c r="AS280" i="1"/>
  <c r="AS1123" i="1"/>
  <c r="AV671" i="1"/>
  <c r="AS283" i="1"/>
  <c r="AS1129" i="1"/>
  <c r="AS1120" i="1"/>
  <c r="AS287" i="1"/>
  <c r="AS1126" i="1"/>
  <c r="AS277" i="1"/>
  <c r="BO289" i="1"/>
  <c r="BL1127" i="1"/>
  <c r="BA535" i="1"/>
  <c r="AV541" i="1"/>
  <c r="BB632" i="1" l="1"/>
  <c r="BB619" i="1"/>
  <c r="BC619" i="1" s="1"/>
  <c r="AX72" i="1"/>
  <c r="AX136" i="1"/>
  <c r="AY152" i="1"/>
  <c r="AY155" i="1" s="1"/>
  <c r="AY134" i="1" s="1"/>
  <c r="AY622" i="1"/>
  <c r="I106" i="7"/>
  <c r="AW136" i="1"/>
  <c r="BE633" i="1"/>
  <c r="BD630" i="1"/>
  <c r="BC630" i="1"/>
  <c r="AZ621" i="1"/>
  <c r="AW76" i="1"/>
  <c r="J37" i="4" s="1"/>
  <c r="J32" i="4"/>
  <c r="AW240" i="1"/>
  <c r="W45" i="4" s="1"/>
  <c r="BA621" i="1"/>
  <c r="BA151" i="1"/>
  <c r="BA634" i="1"/>
  <c r="AZ633" i="1"/>
  <c r="AZ151" i="1"/>
  <c r="AV76" i="1"/>
  <c r="AV240" i="1"/>
  <c r="BR638" i="1"/>
  <c r="BR1147" i="1" s="1"/>
  <c r="AS624" i="1"/>
  <c r="AT624" i="1" s="1"/>
  <c r="AT687" i="1"/>
  <c r="AM583" i="1"/>
  <c r="AT673" i="1"/>
  <c r="AT674" i="1" s="1"/>
  <c r="AT677" i="1"/>
  <c r="AT688" i="1"/>
  <c r="BR654" i="1"/>
  <c r="BR1156" i="1" s="1"/>
  <c r="BR662" i="1"/>
  <c r="BR1153" i="1" s="1"/>
  <c r="BR279" i="1"/>
  <c r="BO1121" i="1"/>
  <c r="AS1133" i="1"/>
  <c r="AS1142" i="1" s="1"/>
  <c r="AS1132" i="1"/>
  <c r="AS1135" i="1" s="1"/>
  <c r="AZ681" i="1"/>
  <c r="AX686" i="1"/>
  <c r="AX676" i="1" s="1"/>
  <c r="AS604" i="1"/>
  <c r="AS634" i="1"/>
  <c r="AT623" i="1"/>
  <c r="AT634" i="1" s="1"/>
  <c r="AU605" i="1"/>
  <c r="G58" i="4"/>
  <c r="AN41" i="1"/>
  <c r="AN123" i="1"/>
  <c r="I54" i="4"/>
  <c r="AU27" i="1"/>
  <c r="BA540" i="1"/>
  <c r="AS291" i="1"/>
  <c r="AY1167" i="1"/>
  <c r="BB1454" i="1"/>
  <c r="BB1288" i="1"/>
  <c r="BB1295" i="1"/>
  <c r="BB1296" i="1"/>
  <c r="AY1286" i="1"/>
  <c r="BD1297" i="1"/>
  <c r="AY338" i="1"/>
  <c r="AU1240" i="1"/>
  <c r="AW1239" i="1"/>
  <c r="BD291" i="1"/>
  <c r="BR1154" i="1"/>
  <c r="BO327" i="1"/>
  <c r="BR284" i="1"/>
  <c r="BO303" i="1"/>
  <c r="BO385" i="1"/>
  <c r="BO424" i="1"/>
  <c r="BO438" i="1"/>
  <c r="BO463" i="1"/>
  <c r="BO477" i="1"/>
  <c r="BO399" i="1"/>
  <c r="BO502" i="1"/>
  <c r="BO516" i="1"/>
  <c r="BO1130" i="1"/>
  <c r="BO1157" i="1"/>
  <c r="BO331" i="1"/>
  <c r="BO310" i="1"/>
  <c r="BR288" i="1"/>
  <c r="BO403" i="1"/>
  <c r="BO428" i="1"/>
  <c r="BO442" i="1"/>
  <c r="BO467" i="1"/>
  <c r="BO481" i="1"/>
  <c r="BO506" i="1"/>
  <c r="BO520" i="1"/>
  <c r="BO389" i="1"/>
  <c r="BO1128" i="1"/>
  <c r="BO290" i="1"/>
  <c r="BR278" i="1"/>
  <c r="BO321" i="1"/>
  <c r="BO293" i="1"/>
  <c r="BO393" i="1"/>
  <c r="BO432" i="1"/>
  <c r="BO457" i="1"/>
  <c r="BO471" i="1"/>
  <c r="BO496" i="1"/>
  <c r="BO510" i="1"/>
  <c r="BO418" i="1"/>
  <c r="BO379" i="1"/>
  <c r="BO1122" i="1"/>
  <c r="BR281" i="1"/>
  <c r="BO298" i="1"/>
  <c r="BO382" i="1"/>
  <c r="BO396" i="1"/>
  <c r="BO421" i="1"/>
  <c r="BO324" i="1"/>
  <c r="BO435" i="1"/>
  <c r="BO460" i="1"/>
  <c r="BO474" i="1"/>
  <c r="BO499" i="1"/>
  <c r="BO513" i="1"/>
  <c r="BO1125" i="1"/>
  <c r="G48" i="4"/>
  <c r="AN121" i="1"/>
  <c r="AN125" i="1"/>
  <c r="BR285" i="1"/>
  <c r="BR282" i="1"/>
  <c r="BR1124" i="1" s="1"/>
  <c r="BO1124" i="1"/>
  <c r="BR1152" i="1"/>
  <c r="AT670" i="1"/>
  <c r="AT671" i="1" s="1"/>
  <c r="AT1146" i="1" s="1"/>
  <c r="AT1162" i="1" s="1"/>
  <c r="AT1163" i="1" s="1"/>
  <c r="AW672" i="1"/>
  <c r="AW1161" i="1" s="1"/>
  <c r="AT1123" i="1"/>
  <c r="AT280" i="1"/>
  <c r="AT1126" i="1"/>
  <c r="AT283" i="1"/>
  <c r="AT1120" i="1"/>
  <c r="AT277" i="1"/>
  <c r="AT287" i="1"/>
  <c r="AT1129" i="1"/>
  <c r="AP608" i="1"/>
  <c r="AQ607" i="1"/>
  <c r="AQ608" i="1" s="1"/>
  <c r="BG668" i="1"/>
  <c r="BG669" i="1" s="1"/>
  <c r="BG1146" i="1"/>
  <c r="BG1162" i="1" s="1"/>
  <c r="BD604" i="1"/>
  <c r="AP555" i="1"/>
  <c r="AQ545" i="1"/>
  <c r="BR286" i="1"/>
  <c r="BR1131" i="1" s="1"/>
  <c r="BO1131" i="1"/>
  <c r="BD1133" i="1"/>
  <c r="BD1145" i="1" s="1"/>
  <c r="BD1132" i="1"/>
  <c r="BD1159" i="1" s="1"/>
  <c r="BD575" i="1" s="1"/>
  <c r="G49" i="4"/>
  <c r="AN122" i="1"/>
  <c r="AQ540" i="1"/>
  <c r="BR289" i="1"/>
  <c r="BR1127" i="1" s="1"/>
  <c r="BO1127" i="1"/>
  <c r="AV686" i="1"/>
  <c r="AW686" i="1" s="1"/>
  <c r="AW680" i="1"/>
  <c r="AY337" i="1"/>
  <c r="AR560" i="1"/>
  <c r="AR565" i="1"/>
  <c r="AR566" i="1" s="1"/>
  <c r="AU586" i="1"/>
  <c r="BB1240" i="1"/>
  <c r="AN587" i="1"/>
  <c r="AN585" i="1" s="1"/>
  <c r="AN594" i="1"/>
  <c r="AT347" i="1"/>
  <c r="AP8" i="1"/>
  <c r="AP543" i="1"/>
  <c r="AP582" i="1" s="1"/>
  <c r="AP580" i="1" s="1"/>
  <c r="AS581" i="1"/>
  <c r="AP336" i="1"/>
  <c r="BR646" i="1"/>
  <c r="BR1150" i="1" s="1"/>
  <c r="BR1149" i="1"/>
  <c r="AV668" i="1"/>
  <c r="AV1146" i="1"/>
  <c r="AV1162" i="1" s="1"/>
  <c r="J36" i="4" l="1"/>
  <c r="BA152" i="1"/>
  <c r="BA155" i="1" s="1"/>
  <c r="BA134" i="1" s="1"/>
  <c r="BA622" i="1"/>
  <c r="AZ622" i="1"/>
  <c r="AZ152" i="1"/>
  <c r="AZ155" i="1" s="1"/>
  <c r="AZ134" i="1" s="1"/>
  <c r="BD632" i="1"/>
  <c r="BD619" i="1"/>
  <c r="AX76" i="1"/>
  <c r="AX240" i="1"/>
  <c r="BG633" i="1"/>
  <c r="BE630" i="1"/>
  <c r="AY72" i="1"/>
  <c r="AZ72" i="1" s="1"/>
  <c r="AY136" i="1"/>
  <c r="BC632" i="1"/>
  <c r="BB151" i="1"/>
  <c r="BB621" i="1"/>
  <c r="BC621" i="1" s="1"/>
  <c r="AS1144" i="1"/>
  <c r="AS605" i="1"/>
  <c r="AT605" i="1" s="1"/>
  <c r="AS1143" i="1"/>
  <c r="AS1140" i="1"/>
  <c r="BD1143" i="1"/>
  <c r="AS1137" i="1"/>
  <c r="BD1144" i="1"/>
  <c r="BD1136" i="1"/>
  <c r="AS1145" i="1"/>
  <c r="BD1142" i="1"/>
  <c r="AS1160" i="1"/>
  <c r="AS578" i="1" s="1"/>
  <c r="BD1135" i="1"/>
  <c r="BD1138" i="1"/>
  <c r="AP273" i="1"/>
  <c r="AP270" i="1"/>
  <c r="BR303" i="1"/>
  <c r="BR327" i="1"/>
  <c r="BR385" i="1"/>
  <c r="BR399" i="1"/>
  <c r="BR424" i="1"/>
  <c r="BR438" i="1"/>
  <c r="BR463" i="1"/>
  <c r="BR477" i="1"/>
  <c r="BR502" i="1"/>
  <c r="BR516" i="1"/>
  <c r="BR1157" i="1"/>
  <c r="BR1130" i="1"/>
  <c r="AS535" i="1"/>
  <c r="AT604" i="1"/>
  <c r="AS1159" i="1"/>
  <c r="AS575" i="1" s="1"/>
  <c r="AR587" i="1"/>
  <c r="AR585" i="1" s="1"/>
  <c r="AR594" i="1"/>
  <c r="AQ555" i="1"/>
  <c r="U53" i="4" s="1"/>
  <c r="AP565" i="1"/>
  <c r="AP566" i="1" s="1"/>
  <c r="AP560" i="1"/>
  <c r="AS586" i="1"/>
  <c r="BG623" i="1"/>
  <c r="BG670" i="1"/>
  <c r="BG1163" i="1" s="1"/>
  <c r="BJ680" i="1"/>
  <c r="BK681" i="1"/>
  <c r="BJ672" i="1"/>
  <c r="BJ1161" i="1" s="1"/>
  <c r="BG1126" i="1"/>
  <c r="BG287" i="1"/>
  <c r="BG277" i="1"/>
  <c r="BG1120" i="1"/>
  <c r="BG1129" i="1"/>
  <c r="BJ671" i="1"/>
  <c r="BG283" i="1"/>
  <c r="BG1123" i="1"/>
  <c r="BG280" i="1"/>
  <c r="AP269" i="1"/>
  <c r="BR290" i="1"/>
  <c r="BR379" i="1"/>
  <c r="BR393" i="1"/>
  <c r="BR418" i="1"/>
  <c r="BR321" i="1"/>
  <c r="BR293" i="1"/>
  <c r="BR432" i="1"/>
  <c r="BR457" i="1"/>
  <c r="BR471" i="1"/>
  <c r="BR496" i="1"/>
  <c r="BR510" i="1"/>
  <c r="BR1122" i="1"/>
  <c r="BR310" i="1"/>
  <c r="BR331" i="1"/>
  <c r="BR428" i="1"/>
  <c r="BR442" i="1"/>
  <c r="BR467" i="1"/>
  <c r="BR481" i="1"/>
  <c r="BR506" i="1"/>
  <c r="BR520" i="1"/>
  <c r="BR389" i="1"/>
  <c r="BR403" i="1"/>
  <c r="BR1128" i="1"/>
  <c r="AU1241" i="1"/>
  <c r="AU1282" i="1"/>
  <c r="AX1243" i="1"/>
  <c r="AU1206" i="1"/>
  <c r="AU1207" i="1"/>
  <c r="AU1208" i="1"/>
  <c r="AU1205" i="1"/>
  <c r="AX1242" i="1"/>
  <c r="AW1240" i="1"/>
  <c r="AS1138" i="1"/>
  <c r="AN124" i="1"/>
  <c r="AN62" i="1" s="1"/>
  <c r="AU545" i="1"/>
  <c r="AU607" i="1"/>
  <c r="AX626" i="1"/>
  <c r="AX688" i="1"/>
  <c r="AX673" i="1"/>
  <c r="AX677" i="1"/>
  <c r="AX687" i="1"/>
  <c r="BA689" i="1"/>
  <c r="BR1121" i="1"/>
  <c r="BD1140" i="1"/>
  <c r="AT1132" i="1"/>
  <c r="AT1140" i="1" s="1"/>
  <c r="AT1133" i="1"/>
  <c r="AT1144" i="1" s="1"/>
  <c r="AP272" i="1"/>
  <c r="AY536" i="1"/>
  <c r="AY1184" i="1"/>
  <c r="BD1160" i="1"/>
  <c r="BD578" i="1" s="1"/>
  <c r="AP271" i="1"/>
  <c r="BR324" i="1"/>
  <c r="BR298" i="1"/>
  <c r="BR396" i="1"/>
  <c r="BR421" i="1"/>
  <c r="BR435" i="1"/>
  <c r="BR460" i="1"/>
  <c r="BR474" i="1"/>
  <c r="BR382" i="1"/>
  <c r="BR499" i="1"/>
  <c r="BR513" i="1"/>
  <c r="BR1125" i="1"/>
  <c r="AY1287" i="1"/>
  <c r="AV27" i="1"/>
  <c r="BD1139" i="1"/>
  <c r="AW668" i="1"/>
  <c r="AV669" i="1"/>
  <c r="AP23" i="1"/>
  <c r="AP22" i="1"/>
  <c r="AP36" i="1"/>
  <c r="AP241" i="1"/>
  <c r="BB1241" i="1"/>
  <c r="BB1282" i="1"/>
  <c r="BE1243" i="1"/>
  <c r="BB1208" i="1"/>
  <c r="BB1207" i="1"/>
  <c r="BB1206" i="1"/>
  <c r="BB1205" i="1"/>
  <c r="BE1242" i="1"/>
  <c r="BD1137" i="1"/>
  <c r="AS1136" i="1"/>
  <c r="BD535" i="1"/>
  <c r="AT291" i="1"/>
  <c r="AP268" i="1"/>
  <c r="AS1139" i="1"/>
  <c r="G61" i="4"/>
  <c r="G60" i="4" s="1"/>
  <c r="AV676" i="1"/>
  <c r="BC152" i="1" l="1"/>
  <c r="BC155" i="1" s="1"/>
  <c r="BC134" i="1" s="1"/>
  <c r="BC622" i="1"/>
  <c r="BC633" i="1"/>
  <c r="BC151" i="1"/>
  <c r="AZ76" i="1"/>
  <c r="K37" i="4" s="1"/>
  <c r="K32" i="4"/>
  <c r="AZ240" i="1"/>
  <c r="X45" i="4" s="1"/>
  <c r="BB622" i="1"/>
  <c r="BB152" i="1"/>
  <c r="BB155" i="1" s="1"/>
  <c r="BB134" i="1" s="1"/>
  <c r="AY76" i="1"/>
  <c r="AY240" i="1"/>
  <c r="BF630" i="1"/>
  <c r="BE619" i="1"/>
  <c r="BF619" i="1" s="1"/>
  <c r="BE632" i="1"/>
  <c r="BD621" i="1"/>
  <c r="BD151" i="1"/>
  <c r="BD634" i="1"/>
  <c r="BH633" i="1"/>
  <c r="BG630" i="1"/>
  <c r="J106" i="7"/>
  <c r="AZ136" i="1"/>
  <c r="BA72" i="1"/>
  <c r="BA136" i="1"/>
  <c r="AS607" i="1"/>
  <c r="AS608" i="1" s="1"/>
  <c r="AS545" i="1"/>
  <c r="AS555" i="1" s="1"/>
  <c r="AP577" i="1"/>
  <c r="AT1137" i="1"/>
  <c r="BB347" i="1"/>
  <c r="AX1452" i="1"/>
  <c r="AX579" i="1" s="1"/>
  <c r="AX1239" i="1"/>
  <c r="AT1138" i="1"/>
  <c r="BE1239" i="1"/>
  <c r="BE1452" i="1"/>
  <c r="BE579" i="1" s="1"/>
  <c r="AP41" i="1"/>
  <c r="AQ36" i="1"/>
  <c r="AP130" i="1"/>
  <c r="AT1143" i="1"/>
  <c r="AY1453" i="1"/>
  <c r="AY1455" i="1" s="1"/>
  <c r="AY1456" i="1" s="1"/>
  <c r="AY541" i="1"/>
  <c r="AT1160" i="1"/>
  <c r="AT578" i="1" s="1"/>
  <c r="AT1135" i="1"/>
  <c r="AX624" i="1"/>
  <c r="AX674" i="1"/>
  <c r="AU608" i="1"/>
  <c r="AU347" i="1"/>
  <c r="AT1145" i="1"/>
  <c r="AQ560" i="1"/>
  <c r="AQ565" i="1"/>
  <c r="AQ566" i="1" s="1"/>
  <c r="AT586" i="1"/>
  <c r="BA681" i="1"/>
  <c r="AW669" i="1"/>
  <c r="AV623" i="1"/>
  <c r="AV670" i="1"/>
  <c r="AV1163" i="1" s="1"/>
  <c r="AY680" i="1"/>
  <c r="AY672" i="1"/>
  <c r="AY1161" i="1" s="1"/>
  <c r="AV1123" i="1"/>
  <c r="AV280" i="1"/>
  <c r="AV1120" i="1"/>
  <c r="AV283" i="1"/>
  <c r="AV287" i="1"/>
  <c r="AV1129" i="1"/>
  <c r="AV1126" i="1"/>
  <c r="AY671" i="1"/>
  <c r="AV277" i="1"/>
  <c r="AW27" i="1"/>
  <c r="BJ668" i="1"/>
  <c r="BJ669" i="1" s="1"/>
  <c r="BJ1146" i="1"/>
  <c r="BJ1162" i="1" s="1"/>
  <c r="AQ22" i="1"/>
  <c r="AP125" i="1"/>
  <c r="AP126" i="1" s="1"/>
  <c r="AP129" i="1"/>
  <c r="AT1136" i="1"/>
  <c r="AT1142" i="1"/>
  <c r="AU555" i="1"/>
  <c r="AW1282" i="1"/>
  <c r="AT1139" i="1"/>
  <c r="BG1132" i="1"/>
  <c r="BG1139" i="1" s="1"/>
  <c r="BG1133" i="1"/>
  <c r="BG1142" i="1" s="1"/>
  <c r="AP587" i="1"/>
  <c r="AP585" i="1" s="1"/>
  <c r="AP594" i="1"/>
  <c r="AS538" i="1"/>
  <c r="AS276" i="1" s="1"/>
  <c r="AT535" i="1"/>
  <c r="AS540" i="1"/>
  <c r="AV673" i="1"/>
  <c r="AV677" i="1"/>
  <c r="AV687" i="1"/>
  <c r="AV626" i="1"/>
  <c r="AW626" i="1" s="1"/>
  <c r="W52" i="4" s="1"/>
  <c r="AV688" i="1"/>
  <c r="AY689" i="1"/>
  <c r="AW676" i="1"/>
  <c r="BD540" i="1"/>
  <c r="BB1285" i="1"/>
  <c r="BB337" i="1" s="1"/>
  <c r="AQ23" i="1"/>
  <c r="AT1159" i="1"/>
  <c r="AT575" i="1" s="1"/>
  <c r="F107" i="7"/>
  <c r="F108" i="7" s="1"/>
  <c r="AW1241" i="1"/>
  <c r="AW1242" i="1" s="1"/>
  <c r="AW1452" i="1" s="1"/>
  <c r="AW579" i="1" s="1"/>
  <c r="AZ1243" i="1"/>
  <c r="AW1206" i="1"/>
  <c r="AW1207" i="1"/>
  <c r="AW1208" i="1"/>
  <c r="AW1205" i="1"/>
  <c r="AP574" i="1"/>
  <c r="BG291" i="1"/>
  <c r="BG604" i="1"/>
  <c r="K36" i="4" l="1"/>
  <c r="BD622" i="1"/>
  <c r="BD152" i="1"/>
  <c r="BD155" i="1" s="1"/>
  <c r="BD134" i="1" s="1"/>
  <c r="BF632" i="1"/>
  <c r="BE621" i="1"/>
  <c r="BE151" i="1"/>
  <c r="BG619" i="1"/>
  <c r="BG632" i="1"/>
  <c r="BA76" i="1"/>
  <c r="BA240" i="1"/>
  <c r="BJ633" i="1"/>
  <c r="BH630" i="1"/>
  <c r="BB72" i="1"/>
  <c r="BB136" i="1"/>
  <c r="BC136" i="1"/>
  <c r="K106" i="7"/>
  <c r="AT607" i="1"/>
  <c r="AT608" i="1" s="1"/>
  <c r="AP583" i="1"/>
  <c r="AT545" i="1"/>
  <c r="G26" i="4"/>
  <c r="BG1159" i="1"/>
  <c r="BG575" i="1" s="1"/>
  <c r="BG1136" i="1"/>
  <c r="BG1144" i="1"/>
  <c r="BG1135" i="1"/>
  <c r="BG1143" i="1"/>
  <c r="BG1140" i="1"/>
  <c r="H49" i="4"/>
  <c r="AQ122" i="1"/>
  <c r="AV291" i="1"/>
  <c r="AT540" i="1"/>
  <c r="AY668" i="1"/>
  <c r="AY1146" i="1"/>
  <c r="AY1162" i="1" s="1"/>
  <c r="AW670" i="1"/>
  <c r="AW671" i="1" s="1"/>
  <c r="AW1146" i="1" s="1"/>
  <c r="AW1162" i="1" s="1"/>
  <c r="AW1163" i="1" s="1"/>
  <c r="AZ672" i="1"/>
  <c r="AZ1161" i="1" s="1"/>
  <c r="AW1123" i="1"/>
  <c r="AW280" i="1"/>
  <c r="AW1129" i="1"/>
  <c r="AW277" i="1"/>
  <c r="AW1126" i="1"/>
  <c r="AW1120" i="1"/>
  <c r="AW283" i="1"/>
  <c r="AW287" i="1"/>
  <c r="BG1145" i="1"/>
  <c r="AX605" i="1"/>
  <c r="BE1240" i="1"/>
  <c r="AX1240" i="1"/>
  <c r="AZ1239" i="1"/>
  <c r="AV604" i="1"/>
  <c r="AV634" i="1"/>
  <c r="AW623" i="1"/>
  <c r="AW634" i="1" s="1"/>
  <c r="BG535" i="1"/>
  <c r="AW347" i="1"/>
  <c r="AT555" i="1"/>
  <c r="V53" i="4" s="1"/>
  <c r="AS560" i="1"/>
  <c r="AS565" i="1"/>
  <c r="AS566" i="1" s="1"/>
  <c r="AV586" i="1"/>
  <c r="BE1288" i="1"/>
  <c r="BB1167" i="1"/>
  <c r="BB1286" i="1"/>
  <c r="BE1295" i="1"/>
  <c r="BE1296" i="1"/>
  <c r="BG1297" i="1"/>
  <c r="BE1454" i="1"/>
  <c r="BB338" i="1"/>
  <c r="AW688" i="1"/>
  <c r="AW673" i="1"/>
  <c r="AW674" i="1" s="1"/>
  <c r="AW677" i="1"/>
  <c r="AW687" i="1"/>
  <c r="AZ689" i="1"/>
  <c r="AS8" i="1"/>
  <c r="AS543" i="1"/>
  <c r="AS582" i="1" s="1"/>
  <c r="AS580" i="1" s="1"/>
  <c r="AV581" i="1"/>
  <c r="AS336" i="1"/>
  <c r="AS269" i="1" s="1"/>
  <c r="BG1160" i="1"/>
  <c r="BG578" i="1" s="1"/>
  <c r="J54" i="4"/>
  <c r="AX27" i="1"/>
  <c r="AV1132" i="1"/>
  <c r="AV1135" i="1" s="1"/>
  <c r="AV1133" i="1"/>
  <c r="AV1142" i="1" s="1"/>
  <c r="AY686" i="1"/>
  <c r="AZ686" i="1" s="1"/>
  <c r="AZ680" i="1"/>
  <c r="BC681" i="1"/>
  <c r="BA686" i="1"/>
  <c r="BA676" i="1" s="1"/>
  <c r="AQ587" i="1"/>
  <c r="AQ585" i="1" s="1"/>
  <c r="AQ594" i="1"/>
  <c r="BG1138" i="1"/>
  <c r="AV624" i="1"/>
  <c r="AV674" i="1"/>
  <c r="AU560" i="1"/>
  <c r="AU565" i="1"/>
  <c r="AU566" i="1" s="1"/>
  <c r="AX586" i="1"/>
  <c r="H48" i="4"/>
  <c r="AQ121" i="1"/>
  <c r="AQ125" i="1"/>
  <c r="BJ623" i="1"/>
  <c r="BJ670" i="1"/>
  <c r="BJ1163" i="1" s="1"/>
  <c r="BM680" i="1"/>
  <c r="BN681" i="1"/>
  <c r="BM672" i="1"/>
  <c r="BM1161" i="1" s="1"/>
  <c r="BJ287" i="1"/>
  <c r="BJ1126" i="1"/>
  <c r="BJ1129" i="1"/>
  <c r="BJ1123" i="1"/>
  <c r="BJ280" i="1"/>
  <c r="BJ277" i="1"/>
  <c r="BJ1120" i="1"/>
  <c r="BM671" i="1"/>
  <c r="BJ283" i="1"/>
  <c r="BG1137" i="1"/>
  <c r="H58" i="4"/>
  <c r="AQ41" i="1"/>
  <c r="AQ123" i="1"/>
  <c r="BK633" i="1" l="1"/>
  <c r="BJ630" i="1"/>
  <c r="BF621" i="1"/>
  <c r="BE622" i="1"/>
  <c r="BE152" i="1"/>
  <c r="BE155" i="1" s="1"/>
  <c r="BE134" i="1" s="1"/>
  <c r="BG151" i="1"/>
  <c r="BG621" i="1"/>
  <c r="BG634" i="1"/>
  <c r="BF151" i="1"/>
  <c r="BF633" i="1"/>
  <c r="BB76" i="1"/>
  <c r="BB240" i="1"/>
  <c r="BC72" i="1"/>
  <c r="BD72" i="1"/>
  <c r="BD136" i="1"/>
  <c r="BI630" i="1"/>
  <c r="BH632" i="1"/>
  <c r="BH619" i="1"/>
  <c r="BI619" i="1" s="1"/>
  <c r="AS271" i="1"/>
  <c r="AY676" i="1"/>
  <c r="AY687" i="1" s="1"/>
  <c r="AS272" i="1"/>
  <c r="AS268" i="1"/>
  <c r="AV1138" i="1"/>
  <c r="AV1136" i="1"/>
  <c r="AY27" i="1"/>
  <c r="AS587" i="1"/>
  <c r="AS585" i="1" s="1"/>
  <c r="AS594" i="1"/>
  <c r="AV1139" i="1"/>
  <c r="BJ1133" i="1"/>
  <c r="BJ1160" i="1" s="1"/>
  <c r="BJ578" i="1" s="1"/>
  <c r="BJ1132" i="1"/>
  <c r="BJ1136" i="1" s="1"/>
  <c r="AV1159" i="1"/>
  <c r="AV575" i="1" s="1"/>
  <c r="AV1137" i="1"/>
  <c r="AS23" i="1"/>
  <c r="AS22" i="1"/>
  <c r="AS36" i="1"/>
  <c r="AS241" i="1"/>
  <c r="BB1287" i="1"/>
  <c r="BE1282" i="1"/>
  <c r="BH1243" i="1"/>
  <c r="BE1241" i="1"/>
  <c r="BE1208" i="1"/>
  <c r="BE1206" i="1"/>
  <c r="BE1207" i="1"/>
  <c r="BE1205" i="1"/>
  <c r="BH1242" i="1"/>
  <c r="AX545" i="1"/>
  <c r="AX607" i="1"/>
  <c r="AW1132" i="1"/>
  <c r="AW1135" i="1" s="1"/>
  <c r="AW1133" i="1"/>
  <c r="AW1142" i="1" s="1"/>
  <c r="BM1146" i="1"/>
  <c r="BM1162" i="1" s="1"/>
  <c r="BM668" i="1"/>
  <c r="BM669" i="1" s="1"/>
  <c r="AV535" i="1"/>
  <c r="AW604" i="1"/>
  <c r="AX1241" i="1"/>
  <c r="BA1243" i="1"/>
  <c r="AX1282" i="1"/>
  <c r="AX1206" i="1"/>
  <c r="AX1207" i="1"/>
  <c r="AX1208" i="1"/>
  <c r="BA1242" i="1"/>
  <c r="AX1205" i="1"/>
  <c r="AZ1240" i="1"/>
  <c r="BJ604" i="1"/>
  <c r="H61" i="4"/>
  <c r="H60" i="4" s="1"/>
  <c r="AV1140" i="1"/>
  <c r="BJ291" i="1"/>
  <c r="AU587" i="1"/>
  <c r="AU585" i="1" s="1"/>
  <c r="AU594" i="1"/>
  <c r="AV1160" i="1"/>
  <c r="AV578" i="1" s="1"/>
  <c r="AV1144" i="1"/>
  <c r="AS273" i="1"/>
  <c r="AS270" i="1"/>
  <c r="AS574" i="1" s="1"/>
  <c r="BB536" i="1"/>
  <c r="BB1184" i="1"/>
  <c r="AT560" i="1"/>
  <c r="AT565" i="1"/>
  <c r="AT566" i="1" s="1"/>
  <c r="AW586" i="1"/>
  <c r="AQ124" i="1"/>
  <c r="AQ62" i="1" s="1"/>
  <c r="AV1145" i="1"/>
  <c r="AV1143" i="1"/>
  <c r="AV605" i="1"/>
  <c r="AW624" i="1"/>
  <c r="BA688" i="1"/>
  <c r="BA673" i="1"/>
  <c r="BA677" i="1"/>
  <c r="BA687" i="1"/>
  <c r="BA626" i="1"/>
  <c r="BD689" i="1"/>
  <c r="BG540" i="1"/>
  <c r="AW291" i="1"/>
  <c r="AZ668" i="1"/>
  <c r="AY669" i="1"/>
  <c r="BJ632" i="1" l="1"/>
  <c r="BJ619" i="1"/>
  <c r="BD76" i="1"/>
  <c r="BD240" i="1"/>
  <c r="BE72" i="1"/>
  <c r="BF72" i="1" s="1"/>
  <c r="BE136" i="1"/>
  <c r="BM633" i="1"/>
  <c r="BK630" i="1"/>
  <c r="BC76" i="1"/>
  <c r="L37" i="4" s="1"/>
  <c r="BC240" i="1"/>
  <c r="Y45" i="4" s="1"/>
  <c r="L32" i="4"/>
  <c r="BI632" i="1"/>
  <c r="BH621" i="1"/>
  <c r="BH151" i="1"/>
  <c r="BG152" i="1"/>
  <c r="BG155" i="1" s="1"/>
  <c r="BG134" i="1" s="1"/>
  <c r="BG622" i="1"/>
  <c r="BF622" i="1"/>
  <c r="BF152" i="1"/>
  <c r="BF155" i="1" s="1"/>
  <c r="BF134" i="1" s="1"/>
  <c r="AX347" i="1"/>
  <c r="AY673" i="1"/>
  <c r="AY624" i="1" s="1"/>
  <c r="AZ676" i="1"/>
  <c r="BC689" i="1" s="1"/>
  <c r="AY688" i="1"/>
  <c r="BB689" i="1"/>
  <c r="AY626" i="1"/>
  <c r="AZ626" i="1" s="1"/>
  <c r="X52" i="4" s="1"/>
  <c r="AS577" i="1"/>
  <c r="AS583" i="1" s="1"/>
  <c r="BJ1139" i="1"/>
  <c r="AW1139" i="1"/>
  <c r="BJ1144" i="1"/>
  <c r="AW1137" i="1"/>
  <c r="BJ1140" i="1"/>
  <c r="AW1144" i="1"/>
  <c r="AW1136" i="1"/>
  <c r="BJ1137" i="1"/>
  <c r="BJ1138" i="1"/>
  <c r="AW1160" i="1"/>
  <c r="AW578" i="1" s="1"/>
  <c r="BJ1159" i="1"/>
  <c r="BJ575" i="1" s="1"/>
  <c r="BE347" i="1"/>
  <c r="BJ1135" i="1"/>
  <c r="AY623" i="1"/>
  <c r="AZ669" i="1"/>
  <c r="AY670" i="1"/>
  <c r="AY1163" i="1" s="1"/>
  <c r="BB680" i="1"/>
  <c r="BD681" i="1"/>
  <c r="BB672" i="1"/>
  <c r="BB1161" i="1" s="1"/>
  <c r="AY280" i="1"/>
  <c r="AY1123" i="1"/>
  <c r="BB671" i="1"/>
  <c r="AY277" i="1"/>
  <c r="AY283" i="1"/>
  <c r="AY1129" i="1"/>
  <c r="AY1126" i="1"/>
  <c r="AY1120" i="1"/>
  <c r="AY287" i="1"/>
  <c r="BH1239" i="1"/>
  <c r="BH1452" i="1"/>
  <c r="BH579" i="1" s="1"/>
  <c r="BE1285" i="1"/>
  <c r="BE337" i="1" s="1"/>
  <c r="BA674" i="1"/>
  <c r="BA624" i="1"/>
  <c r="G107" i="7"/>
  <c r="G108" i="7" s="1"/>
  <c r="AW1143" i="1"/>
  <c r="BB541" i="1"/>
  <c r="AW1145" i="1"/>
  <c r="BA1239" i="1"/>
  <c r="BA1452" i="1"/>
  <c r="BA579" i="1" s="1"/>
  <c r="AZ1282" i="1"/>
  <c r="AV538" i="1"/>
  <c r="AV276" i="1" s="1"/>
  <c r="AW535" i="1"/>
  <c r="AV540" i="1"/>
  <c r="BM670" i="1"/>
  <c r="BM1163" i="1" s="1"/>
  <c r="BP680" i="1"/>
  <c r="BQ681" i="1"/>
  <c r="BM623" i="1"/>
  <c r="BP672" i="1"/>
  <c r="BP1161" i="1" s="1"/>
  <c r="BM287" i="1"/>
  <c r="BM1126" i="1"/>
  <c r="BM1120" i="1"/>
  <c r="BM1123" i="1"/>
  <c r="BM277" i="1"/>
  <c r="BM280" i="1"/>
  <c r="BM1129" i="1"/>
  <c r="BP671" i="1"/>
  <c r="BM283" i="1"/>
  <c r="BB1453" i="1"/>
  <c r="BB1455" i="1" s="1"/>
  <c r="BB1456" i="1" s="1"/>
  <c r="AT587" i="1"/>
  <c r="AT585" i="1" s="1"/>
  <c r="AT594" i="1"/>
  <c r="BJ535" i="1"/>
  <c r="AT23" i="1"/>
  <c r="AV545" i="1"/>
  <c r="AV607" i="1"/>
  <c r="AW605" i="1"/>
  <c r="BJ1145" i="1"/>
  <c r="AW1138" i="1"/>
  <c r="AW1159" i="1"/>
  <c r="AW575" i="1" s="1"/>
  <c r="AX608" i="1"/>
  <c r="AS41" i="1"/>
  <c r="AT36" i="1"/>
  <c r="AS130" i="1"/>
  <c r="BJ1142" i="1"/>
  <c r="BJ1143" i="1"/>
  <c r="AX555" i="1"/>
  <c r="AY677" i="1"/>
  <c r="AW1140" i="1"/>
  <c r="BC1243" i="1"/>
  <c r="AZ1241" i="1"/>
  <c r="AZ1242" i="1" s="1"/>
  <c r="AZ1452" i="1" s="1"/>
  <c r="AZ579" i="1" s="1"/>
  <c r="AZ1206" i="1"/>
  <c r="AZ1207" i="1"/>
  <c r="AZ1208" i="1"/>
  <c r="AZ1205" i="1"/>
  <c r="AT22" i="1"/>
  <c r="AS125" i="1"/>
  <c r="AS126" i="1" s="1"/>
  <c r="AS129" i="1"/>
  <c r="AZ27" i="1"/>
  <c r="L36" i="4" l="1"/>
  <c r="BE76" i="1"/>
  <c r="BE240" i="1"/>
  <c r="BL630" i="1"/>
  <c r="BK632" i="1"/>
  <c r="BK619" i="1"/>
  <c r="BL619" i="1" s="1"/>
  <c r="BG72" i="1"/>
  <c r="BG136" i="1"/>
  <c r="BI621" i="1"/>
  <c r="BH152" i="1"/>
  <c r="BH155" i="1" s="1"/>
  <c r="BH134" i="1" s="1"/>
  <c r="BH622" i="1"/>
  <c r="BN633" i="1"/>
  <c r="BM630" i="1"/>
  <c r="BF136" i="1"/>
  <c r="L106" i="7"/>
  <c r="BI151" i="1"/>
  <c r="BI633" i="1"/>
  <c r="BF76" i="1"/>
  <c r="BF240" i="1"/>
  <c r="BJ151" i="1"/>
  <c r="BJ621" i="1"/>
  <c r="BJ634" i="1"/>
  <c r="AY674" i="1"/>
  <c r="AZ687" i="1"/>
  <c r="H26" i="4"/>
  <c r="AZ688" i="1"/>
  <c r="AZ673" i="1"/>
  <c r="AZ674" i="1" s="1"/>
  <c r="AZ677" i="1"/>
  <c r="AZ347" i="1"/>
  <c r="BP668" i="1"/>
  <c r="BP669" i="1" s="1"/>
  <c r="BP1146" i="1"/>
  <c r="BP1162" i="1" s="1"/>
  <c r="BA1240" i="1"/>
  <c r="BC1239" i="1"/>
  <c r="BF681" i="1"/>
  <c r="BD686" i="1"/>
  <c r="BD676" i="1" s="1"/>
  <c r="AY605" i="1"/>
  <c r="AZ624" i="1"/>
  <c r="BJ540" i="1"/>
  <c r="BM1132" i="1"/>
  <c r="BM1139" i="1" s="1"/>
  <c r="BM1133" i="1"/>
  <c r="BM1142" i="1" s="1"/>
  <c r="BM604" i="1"/>
  <c r="AW540" i="1"/>
  <c r="AY604" i="1"/>
  <c r="AY634" i="1"/>
  <c r="AZ623" i="1"/>
  <c r="AZ634" i="1" s="1"/>
  <c r="BA605" i="1"/>
  <c r="AZ670" i="1"/>
  <c r="AZ671" i="1" s="1"/>
  <c r="AZ1146" i="1" s="1"/>
  <c r="AZ1162" i="1" s="1"/>
  <c r="AZ1163" i="1" s="1"/>
  <c r="BC672" i="1"/>
  <c r="BC1161" i="1" s="1"/>
  <c r="AZ280" i="1"/>
  <c r="AZ1123" i="1"/>
  <c r="AZ283" i="1"/>
  <c r="AZ287" i="1"/>
  <c r="AZ1120" i="1"/>
  <c r="AZ277" i="1"/>
  <c r="AZ1126" i="1"/>
  <c r="AZ1129" i="1"/>
  <c r="K54" i="4"/>
  <c r="BA27" i="1"/>
  <c r="I48" i="4"/>
  <c r="AT121" i="1"/>
  <c r="AT125" i="1"/>
  <c r="AX560" i="1"/>
  <c r="AX565" i="1"/>
  <c r="AX566" i="1" s="1"/>
  <c r="BA586" i="1"/>
  <c r="I49" i="4"/>
  <c r="AT122" i="1"/>
  <c r="AV8" i="1"/>
  <c r="AV543" i="1"/>
  <c r="AV582" i="1" s="1"/>
  <c r="AV580" i="1" s="1"/>
  <c r="AY581" i="1"/>
  <c r="AV336" i="1"/>
  <c r="AV271" i="1" s="1"/>
  <c r="BB686" i="1"/>
  <c r="BC686" i="1" s="1"/>
  <c r="BC680" i="1"/>
  <c r="AW545" i="1"/>
  <c r="AV555" i="1"/>
  <c r="BB668" i="1"/>
  <c r="BB1146" i="1"/>
  <c r="BB1162" i="1" s="1"/>
  <c r="I58" i="4"/>
  <c r="AT41" i="1"/>
  <c r="AT123" i="1"/>
  <c r="AV608" i="1"/>
  <c r="AW607" i="1"/>
  <c r="AW608" i="1" s="1"/>
  <c r="BM291" i="1"/>
  <c r="BE1167" i="1"/>
  <c r="BH1295" i="1"/>
  <c r="BH1296" i="1"/>
  <c r="BJ1297" i="1"/>
  <c r="BH1288" i="1"/>
  <c r="BH1454" i="1"/>
  <c r="BE1286" i="1"/>
  <c r="BE338" i="1"/>
  <c r="BH1240" i="1"/>
  <c r="AY1133" i="1"/>
  <c r="AY1143" i="1" s="1"/>
  <c r="AY1132" i="1"/>
  <c r="AY1138" i="1" s="1"/>
  <c r="AY291" i="1"/>
  <c r="BJ152" i="1" l="1"/>
  <c r="BJ155" i="1" s="1"/>
  <c r="BJ134" i="1" s="1"/>
  <c r="BJ622" i="1"/>
  <c r="BH72" i="1"/>
  <c r="BI72" i="1" s="1"/>
  <c r="BH136" i="1"/>
  <c r="BM619" i="1"/>
  <c r="BM632" i="1"/>
  <c r="BI622" i="1"/>
  <c r="BI152" i="1"/>
  <c r="BI155" i="1" s="1"/>
  <c r="BI134" i="1" s="1"/>
  <c r="BP633" i="1"/>
  <c r="BN630" i="1"/>
  <c r="BG76" i="1"/>
  <c r="BG240" i="1"/>
  <c r="BL632" i="1"/>
  <c r="BK621" i="1"/>
  <c r="BK151" i="1"/>
  <c r="AV268" i="1"/>
  <c r="BM1137" i="1"/>
  <c r="BM1136" i="1"/>
  <c r="BM1144" i="1"/>
  <c r="BM1143" i="1"/>
  <c r="BM1145" i="1"/>
  <c r="BM1160" i="1"/>
  <c r="BM578" i="1" s="1"/>
  <c r="AY1160" i="1"/>
  <c r="AY578" i="1" s="1"/>
  <c r="AY1145" i="1"/>
  <c r="BM1159" i="1"/>
  <c r="BM575" i="1" s="1"/>
  <c r="AY1159" i="1"/>
  <c r="AY575" i="1" s="1"/>
  <c r="BM1135" i="1"/>
  <c r="BM1138" i="1"/>
  <c r="AY1144" i="1"/>
  <c r="AY535" i="1"/>
  <c r="AZ604" i="1"/>
  <c r="BM535" i="1"/>
  <c r="BD626" i="1"/>
  <c r="BD673" i="1"/>
  <c r="BD677" i="1"/>
  <c r="BD687" i="1"/>
  <c r="BD688" i="1"/>
  <c r="BG689" i="1"/>
  <c r="BA1282" i="1"/>
  <c r="BA1241" i="1"/>
  <c r="BD1243" i="1"/>
  <c r="BA1206" i="1"/>
  <c r="BA1207" i="1"/>
  <c r="BA1208" i="1"/>
  <c r="BA1205" i="1"/>
  <c r="BD1242" i="1"/>
  <c r="BC1240" i="1"/>
  <c r="AY1142" i="1"/>
  <c r="AV272" i="1"/>
  <c r="AW555" i="1"/>
  <c r="W53" i="4" s="1"/>
  <c r="AV565" i="1"/>
  <c r="AV566" i="1" s="1"/>
  <c r="AV560" i="1"/>
  <c r="AY586" i="1"/>
  <c r="AX587" i="1"/>
  <c r="AX585" i="1" s="1"/>
  <c r="AX594" i="1"/>
  <c r="AZ1132" i="1"/>
  <c r="AZ1136" i="1" s="1"/>
  <c r="AZ1133" i="1"/>
  <c r="AZ1142" i="1" s="1"/>
  <c r="AY1137" i="1"/>
  <c r="AY1140" i="1"/>
  <c r="AY545" i="1"/>
  <c r="AY607" i="1"/>
  <c r="AZ605" i="1"/>
  <c r="AY1135" i="1"/>
  <c r="BE1287" i="1"/>
  <c r="BE536" i="1"/>
  <c r="BE1184" i="1"/>
  <c r="AT124" i="1"/>
  <c r="AT62" i="1" s="1"/>
  <c r="BA545" i="1"/>
  <c r="BA607" i="1"/>
  <c r="AY1136" i="1"/>
  <c r="AY1139" i="1"/>
  <c r="BM1140" i="1"/>
  <c r="BB676" i="1"/>
  <c r="I61" i="4"/>
  <c r="I60" i="4" s="1"/>
  <c r="AV273" i="1"/>
  <c r="AV270" i="1"/>
  <c r="AZ291" i="1"/>
  <c r="BP623" i="1"/>
  <c r="BP670" i="1"/>
  <c r="BP1163" i="1" s="1"/>
  <c r="BP287" i="1"/>
  <c r="BP1126" i="1"/>
  <c r="BP1123" i="1"/>
  <c r="BP280" i="1"/>
  <c r="BP1120" i="1"/>
  <c r="BP283" i="1"/>
  <c r="BP277" i="1"/>
  <c r="BP1129" i="1"/>
  <c r="BK1243" i="1"/>
  <c r="BH1241" i="1"/>
  <c r="BH1282" i="1"/>
  <c r="BH1208" i="1"/>
  <c r="BH1206" i="1"/>
  <c r="BH1207" i="1"/>
  <c r="BH1205" i="1"/>
  <c r="BK1242" i="1"/>
  <c r="AV269" i="1"/>
  <c r="BC668" i="1"/>
  <c r="BB669" i="1"/>
  <c r="AV22" i="1"/>
  <c r="AV23" i="1"/>
  <c r="AV36" i="1"/>
  <c r="AV241" i="1"/>
  <c r="BB27" i="1"/>
  <c r="BI76" i="1" l="1"/>
  <c r="BI240" i="1"/>
  <c r="BQ633" i="1"/>
  <c r="BQ630" i="1" s="1"/>
  <c r="BP630" i="1"/>
  <c r="BL621" i="1"/>
  <c r="BK622" i="1"/>
  <c r="BK152" i="1"/>
  <c r="BK155" i="1" s="1"/>
  <c r="BK134" i="1" s="1"/>
  <c r="BI136" i="1"/>
  <c r="M106" i="7"/>
  <c r="BL151" i="1"/>
  <c r="BL633" i="1"/>
  <c r="BH76" i="1"/>
  <c r="BH240" i="1"/>
  <c r="BO630" i="1"/>
  <c r="BN619" i="1"/>
  <c r="BO619" i="1" s="1"/>
  <c r="BN632" i="1"/>
  <c r="BM621" i="1"/>
  <c r="BM151" i="1"/>
  <c r="BM634" i="1"/>
  <c r="BJ72" i="1"/>
  <c r="BJ136" i="1"/>
  <c r="AZ1138" i="1"/>
  <c r="AZ1145" i="1"/>
  <c r="AZ1144" i="1"/>
  <c r="BA347" i="1"/>
  <c r="BH347" i="1"/>
  <c r="AZ1160" i="1"/>
  <c r="AZ578" i="1" s="1"/>
  <c r="AZ1143" i="1"/>
  <c r="AV574" i="1"/>
  <c r="BA608" i="1"/>
  <c r="BB626" i="1"/>
  <c r="BC626" i="1" s="1"/>
  <c r="Y52" i="4" s="1"/>
  <c r="BB688" i="1"/>
  <c r="BB673" i="1"/>
  <c r="BB677" i="1"/>
  <c r="BB687" i="1"/>
  <c r="BE689" i="1"/>
  <c r="BC676" i="1"/>
  <c r="AV577" i="1"/>
  <c r="BF1243" i="1"/>
  <c r="BC1241" i="1"/>
  <c r="BC1242" i="1" s="1"/>
  <c r="BC1452" i="1" s="1"/>
  <c r="BC579" i="1" s="1"/>
  <c r="BC1207" i="1"/>
  <c r="BC1206" i="1"/>
  <c r="BC1208" i="1"/>
  <c r="BC1205" i="1"/>
  <c r="BC1282" i="1"/>
  <c r="BM540" i="1"/>
  <c r="AW22" i="1"/>
  <c r="AV125" i="1"/>
  <c r="AV126" i="1" s="1"/>
  <c r="AV129" i="1"/>
  <c r="BK1239" i="1"/>
  <c r="BK1452" i="1"/>
  <c r="BK579" i="1" s="1"/>
  <c r="BE541" i="1"/>
  <c r="AY555" i="1"/>
  <c r="AZ545" i="1"/>
  <c r="AZ1159" i="1"/>
  <c r="AZ575" i="1" s="1"/>
  <c r="BH1285" i="1"/>
  <c r="BH337" i="1" s="1"/>
  <c r="BP1132" i="1"/>
  <c r="BP1137" i="1" s="1"/>
  <c r="BP1133" i="1"/>
  <c r="BP1160" i="1" s="1"/>
  <c r="BP578" i="1" s="1"/>
  <c r="AZ1137" i="1"/>
  <c r="AW36" i="1"/>
  <c r="AV41" i="1"/>
  <c r="AV130" i="1"/>
  <c r="BA555" i="1"/>
  <c r="AZ1139" i="1"/>
  <c r="H107" i="7"/>
  <c r="H108" i="7" s="1"/>
  <c r="AZ1135" i="1"/>
  <c r="AW560" i="1"/>
  <c r="AW565" i="1"/>
  <c r="AW566" i="1" s="1"/>
  <c r="AZ586" i="1"/>
  <c r="BD1239" i="1"/>
  <c r="BD1452" i="1"/>
  <c r="BD579" i="1" s="1"/>
  <c r="AZ535" i="1"/>
  <c r="AY540" i="1"/>
  <c r="AY538" i="1"/>
  <c r="AY276" i="1" s="1"/>
  <c r="BC27" i="1"/>
  <c r="AW23" i="1"/>
  <c r="BB670" i="1"/>
  <c r="BB1163" i="1" s="1"/>
  <c r="BE680" i="1"/>
  <c r="BG681" i="1"/>
  <c r="BB623" i="1"/>
  <c r="BC669" i="1"/>
  <c r="BE672" i="1"/>
  <c r="BE1161" i="1" s="1"/>
  <c r="BB280" i="1"/>
  <c r="BB1123" i="1"/>
  <c r="BB283" i="1"/>
  <c r="BB287" i="1"/>
  <c r="BE671" i="1"/>
  <c r="BB277" i="1"/>
  <c r="BB1126" i="1"/>
  <c r="BB1129" i="1"/>
  <c r="BB1120" i="1"/>
  <c r="BP291" i="1"/>
  <c r="BP604" i="1"/>
  <c r="AZ1140" i="1"/>
  <c r="BE1453" i="1"/>
  <c r="BE1455" i="1" s="1"/>
  <c r="BE1456" i="1" s="1"/>
  <c r="AY608" i="1"/>
  <c r="AZ607" i="1"/>
  <c r="AZ608" i="1" s="1"/>
  <c r="AV587" i="1"/>
  <c r="AV585" i="1" s="1"/>
  <c r="AV594" i="1"/>
  <c r="BD624" i="1"/>
  <c r="BD674" i="1"/>
  <c r="BO632" i="1" l="1"/>
  <c r="BN151" i="1"/>
  <c r="BN621" i="1"/>
  <c r="BO621" i="1" s="1"/>
  <c r="BL152" i="1"/>
  <c r="BL155" i="1" s="1"/>
  <c r="BL134" i="1" s="1"/>
  <c r="BL622" i="1"/>
  <c r="BQ632" i="1"/>
  <c r="BQ619" i="1"/>
  <c r="BK72" i="1"/>
  <c r="BL72" i="1" s="1"/>
  <c r="BK136" i="1"/>
  <c r="BJ76" i="1"/>
  <c r="BJ240" i="1"/>
  <c r="BM622" i="1"/>
  <c r="BM152" i="1"/>
  <c r="BM155" i="1" s="1"/>
  <c r="BM134" i="1" s="1"/>
  <c r="BP619" i="1"/>
  <c r="BP632" i="1"/>
  <c r="BR630" i="1"/>
  <c r="I26" i="4"/>
  <c r="BP1140" i="1"/>
  <c r="BP1136" i="1"/>
  <c r="BP1143" i="1"/>
  <c r="AV583" i="1"/>
  <c r="BP1139" i="1"/>
  <c r="BP1159" i="1"/>
  <c r="BP575" i="1" s="1"/>
  <c r="BE686" i="1"/>
  <c r="BF680" i="1"/>
  <c r="BA565" i="1"/>
  <c r="BA566" i="1" s="1"/>
  <c r="BA560" i="1"/>
  <c r="BD586" i="1"/>
  <c r="AY560" i="1"/>
  <c r="AY565" i="1"/>
  <c r="AY566" i="1" s="1"/>
  <c r="AZ555" i="1"/>
  <c r="X53" i="4" s="1"/>
  <c r="BB586" i="1"/>
  <c r="BB291" i="1"/>
  <c r="J49" i="4"/>
  <c r="AW122" i="1"/>
  <c r="L54" i="4"/>
  <c r="BD27" i="1"/>
  <c r="AY8" i="1"/>
  <c r="AY543" i="1"/>
  <c r="AY582" i="1" s="1"/>
  <c r="AY580" i="1" s="1"/>
  <c r="BB581" i="1"/>
  <c r="AY336" i="1"/>
  <c r="AY272" i="1" s="1"/>
  <c r="BB624" i="1"/>
  <c r="BB674" i="1"/>
  <c r="BB604" i="1"/>
  <c r="BB634" i="1"/>
  <c r="BC623" i="1"/>
  <c r="BC634" i="1" s="1"/>
  <c r="BD605" i="1"/>
  <c r="BP535" i="1"/>
  <c r="BB1133" i="1"/>
  <c r="BB1144" i="1" s="1"/>
  <c r="BB1132" i="1"/>
  <c r="BB1136" i="1" s="1"/>
  <c r="BE1146" i="1"/>
  <c r="BE1162" i="1" s="1"/>
  <c r="BE668" i="1"/>
  <c r="BI681" i="1"/>
  <c r="BG686" i="1"/>
  <c r="BG676" i="1" s="1"/>
  <c r="BP1145" i="1"/>
  <c r="J58" i="4"/>
  <c r="AW41" i="1"/>
  <c r="AW123" i="1"/>
  <c r="BP1135" i="1"/>
  <c r="BP1142" i="1"/>
  <c r="BP1144" i="1"/>
  <c r="BC670" i="1"/>
  <c r="BC671" i="1" s="1"/>
  <c r="BC1146" i="1" s="1"/>
  <c r="BC1162" i="1" s="1"/>
  <c r="BC1163" i="1" s="1"/>
  <c r="BF672" i="1"/>
  <c r="BF1161" i="1" s="1"/>
  <c r="BC1123" i="1"/>
  <c r="BC280" i="1"/>
  <c r="BC287" i="1"/>
  <c r="BC1129" i="1"/>
  <c r="BC283" i="1"/>
  <c r="BC1120" i="1"/>
  <c r="BC1126" i="1"/>
  <c r="BC277" i="1"/>
  <c r="BC688" i="1"/>
  <c r="BC673" i="1"/>
  <c r="BC674" i="1" s="1"/>
  <c r="BC677" i="1"/>
  <c r="BC687" i="1"/>
  <c r="BF689" i="1"/>
  <c r="AZ540" i="1"/>
  <c r="BD1240" i="1"/>
  <c r="BF1239" i="1"/>
  <c r="AW587" i="1"/>
  <c r="AW585" i="1" s="1"/>
  <c r="AW594" i="1"/>
  <c r="BP1138" i="1"/>
  <c r="BH1167" i="1"/>
  <c r="BH1286" i="1"/>
  <c r="BK1288" i="1"/>
  <c r="BM1297" i="1"/>
  <c r="BK1454" i="1"/>
  <c r="BK1295" i="1"/>
  <c r="BK1296" i="1"/>
  <c r="BH338" i="1"/>
  <c r="BK1240" i="1"/>
  <c r="J48" i="4"/>
  <c r="AW121" i="1"/>
  <c r="AW125" i="1"/>
  <c r="BC347" i="1"/>
  <c r="BR619" i="1" l="1"/>
  <c r="BO151" i="1"/>
  <c r="BO633" i="1"/>
  <c r="BO152" i="1"/>
  <c r="BO155" i="1" s="1"/>
  <c r="BO134" i="1" s="1"/>
  <c r="BO622" i="1"/>
  <c r="BL76" i="1"/>
  <c r="BL240" i="1"/>
  <c r="BK76" i="1"/>
  <c r="BK240" i="1"/>
  <c r="BL136" i="1"/>
  <c r="N106" i="7"/>
  <c r="BM72" i="1"/>
  <c r="BM136" i="1"/>
  <c r="BN152" i="1"/>
  <c r="BN155" i="1" s="1"/>
  <c r="BN134" i="1" s="1"/>
  <c r="BN622" i="1"/>
  <c r="BP151" i="1"/>
  <c r="BR632" i="1"/>
  <c r="BP621" i="1"/>
  <c r="BP634" i="1"/>
  <c r="BQ151" i="1"/>
  <c r="BQ621" i="1"/>
  <c r="BB1140" i="1"/>
  <c r="BB1139" i="1"/>
  <c r="BB1138" i="1"/>
  <c r="BB1159" i="1"/>
  <c r="BB575" i="1" s="1"/>
  <c r="BB1137" i="1"/>
  <c r="AY269" i="1"/>
  <c r="BB1143" i="1"/>
  <c r="AZ560" i="1"/>
  <c r="AZ565" i="1"/>
  <c r="AZ566" i="1" s="1"/>
  <c r="BC586" i="1"/>
  <c r="BK1282" i="1"/>
  <c r="BN1243" i="1"/>
  <c r="BK1241" i="1"/>
  <c r="BK1208" i="1"/>
  <c r="BK1207" i="1"/>
  <c r="BK1206" i="1"/>
  <c r="BK1205" i="1"/>
  <c r="BN1242" i="1"/>
  <c r="AW124" i="1"/>
  <c r="AW62" i="1" s="1"/>
  <c r="BB1142" i="1"/>
  <c r="BB535" i="1"/>
  <c r="BC604" i="1"/>
  <c r="AY271" i="1"/>
  <c r="BG1243" i="1"/>
  <c r="BD1241" i="1"/>
  <c r="BD1282" i="1"/>
  <c r="BD1206" i="1"/>
  <c r="BD1207" i="1"/>
  <c r="BD1208" i="1"/>
  <c r="BD1205" i="1"/>
  <c r="BG1242" i="1"/>
  <c r="BF1240" i="1"/>
  <c r="BB1145" i="1"/>
  <c r="BC1133" i="1"/>
  <c r="BC1142" i="1" s="1"/>
  <c r="BC1132" i="1"/>
  <c r="BC1139" i="1" s="1"/>
  <c r="J61" i="4"/>
  <c r="J60" i="4" s="1"/>
  <c r="BF668" i="1"/>
  <c r="BE669" i="1"/>
  <c r="BB1160" i="1"/>
  <c r="BB578" i="1" s="1"/>
  <c r="AY22" i="1"/>
  <c r="AY23" i="1"/>
  <c r="AY36" i="1"/>
  <c r="AY241" i="1"/>
  <c r="BE27" i="1"/>
  <c r="BA587" i="1"/>
  <c r="BA585" i="1" s="1"/>
  <c r="BA594" i="1"/>
  <c r="BF686" i="1"/>
  <c r="BE676" i="1"/>
  <c r="BH536" i="1"/>
  <c r="BH1184" i="1"/>
  <c r="BC291" i="1"/>
  <c r="BG626" i="1"/>
  <c r="BG688" i="1"/>
  <c r="BG673" i="1"/>
  <c r="BG677" i="1"/>
  <c r="BG687" i="1"/>
  <c r="BJ689" i="1"/>
  <c r="BB605" i="1"/>
  <c r="BC624" i="1"/>
  <c r="BH1287" i="1"/>
  <c r="BB1135" i="1"/>
  <c r="BP540" i="1"/>
  <c r="BD545" i="1"/>
  <c r="BD607" i="1"/>
  <c r="AY273" i="1"/>
  <c r="AY577" i="1" s="1"/>
  <c r="AY270" i="1"/>
  <c r="AY587" i="1"/>
  <c r="AY585" i="1" s="1"/>
  <c r="AY594" i="1"/>
  <c r="AY268" i="1"/>
  <c r="BQ152" i="1" l="1"/>
  <c r="BQ155" i="1" s="1"/>
  <c r="BQ134" i="1" s="1"/>
  <c r="BQ622" i="1"/>
  <c r="BR151" i="1"/>
  <c r="BR633" i="1"/>
  <c r="BM76" i="1"/>
  <c r="BM240" i="1"/>
  <c r="BO136" i="1"/>
  <c r="O106" i="7"/>
  <c r="BR621" i="1"/>
  <c r="BP622" i="1"/>
  <c r="BP152" i="1"/>
  <c r="BP155" i="1" s="1"/>
  <c r="BP134" i="1" s="1"/>
  <c r="BN72" i="1"/>
  <c r="BO72" i="1" s="1"/>
  <c r="BN136" i="1"/>
  <c r="BC1143" i="1"/>
  <c r="BC1159" i="1"/>
  <c r="BC575" i="1" s="1"/>
  <c r="AY574" i="1"/>
  <c r="AY583" i="1" s="1"/>
  <c r="BC1136" i="1"/>
  <c r="BC1135" i="1"/>
  <c r="BC1140" i="1"/>
  <c r="BK347" i="1"/>
  <c r="BD608" i="1"/>
  <c r="BH1453" i="1"/>
  <c r="BH1455" i="1" s="1"/>
  <c r="BH1456" i="1" s="1"/>
  <c r="BF27" i="1"/>
  <c r="AZ23" i="1"/>
  <c r="BD347" i="1"/>
  <c r="BF1282" i="1"/>
  <c r="BC1145" i="1"/>
  <c r="BC1144" i="1"/>
  <c r="BN1452" i="1"/>
  <c r="BN579" i="1" s="1"/>
  <c r="BN1239" i="1"/>
  <c r="BK1285" i="1"/>
  <c r="AZ587" i="1"/>
  <c r="AZ585" i="1" s="1"/>
  <c r="AZ594" i="1"/>
  <c r="AZ36" i="1"/>
  <c r="AY41" i="1"/>
  <c r="AY130" i="1"/>
  <c r="BH541" i="1"/>
  <c r="AZ22" i="1"/>
  <c r="AY125" i="1"/>
  <c r="AY126" i="1" s="1"/>
  <c r="AY129" i="1"/>
  <c r="BC1138" i="1"/>
  <c r="BC535" i="1"/>
  <c r="BB540" i="1"/>
  <c r="BB538" i="1"/>
  <c r="BC1137" i="1"/>
  <c r="BD555" i="1"/>
  <c r="BG624" i="1"/>
  <c r="BG674" i="1"/>
  <c r="BE670" i="1"/>
  <c r="BE1163" i="1" s="1"/>
  <c r="BH680" i="1"/>
  <c r="BE623" i="1"/>
  <c r="BJ681" i="1"/>
  <c r="BF669" i="1"/>
  <c r="BH672" i="1"/>
  <c r="BH1161" i="1" s="1"/>
  <c r="BE280" i="1"/>
  <c r="BE1123" i="1"/>
  <c r="BE277" i="1"/>
  <c r="BE1126" i="1"/>
  <c r="BE283" i="1"/>
  <c r="BE1129" i="1"/>
  <c r="BH671" i="1"/>
  <c r="BE1120" i="1"/>
  <c r="BE287" i="1"/>
  <c r="BC1160" i="1"/>
  <c r="BC578" i="1" s="1"/>
  <c r="BF1241" i="1"/>
  <c r="BF1242" i="1" s="1"/>
  <c r="BF1452" i="1" s="1"/>
  <c r="BF579" i="1" s="1"/>
  <c r="BI1243" i="1"/>
  <c r="BF1207" i="1"/>
  <c r="BF1206" i="1"/>
  <c r="BF1208" i="1"/>
  <c r="BF1205" i="1"/>
  <c r="BB545" i="1"/>
  <c r="BB607" i="1"/>
  <c r="BC605" i="1"/>
  <c r="BE688" i="1"/>
  <c r="BE626" i="1"/>
  <c r="BF626" i="1" s="1"/>
  <c r="BE673" i="1"/>
  <c r="BE677" i="1"/>
  <c r="BE687" i="1"/>
  <c r="BH689" i="1"/>
  <c r="BF676" i="1"/>
  <c r="BG1239" i="1"/>
  <c r="BG1452" i="1"/>
  <c r="BG579" i="1" s="1"/>
  <c r="I107" i="7"/>
  <c r="I108" i="7" s="1"/>
  <c r="BO76" i="1" l="1"/>
  <c r="BO240" i="1"/>
  <c r="BP72" i="1"/>
  <c r="BP136" i="1"/>
  <c r="BR152" i="1"/>
  <c r="BR155" i="1" s="1"/>
  <c r="BR134" i="1" s="1"/>
  <c r="BR622" i="1"/>
  <c r="BN76" i="1"/>
  <c r="BN240" i="1"/>
  <c r="BQ72" i="1"/>
  <c r="BQ136" i="1"/>
  <c r="J26" i="4"/>
  <c r="BF347" i="1"/>
  <c r="BF688" i="1"/>
  <c r="BF673" i="1"/>
  <c r="BF674" i="1" s="1"/>
  <c r="BF677" i="1"/>
  <c r="BF687" i="1"/>
  <c r="BI689" i="1"/>
  <c r="BE674" i="1"/>
  <c r="BE624" i="1"/>
  <c r="BB608" i="1"/>
  <c r="BC607" i="1"/>
  <c r="BC608" i="1" s="1"/>
  <c r="BG605" i="1"/>
  <c r="BB8" i="1"/>
  <c r="BB543" i="1"/>
  <c r="BB582" i="1" s="1"/>
  <c r="BB580" i="1" s="1"/>
  <c r="BE581" i="1"/>
  <c r="BB336" i="1"/>
  <c r="BN1240" i="1"/>
  <c r="K49" i="4"/>
  <c r="AZ122" i="1"/>
  <c r="BB555" i="1"/>
  <c r="BC545" i="1"/>
  <c r="BE1132" i="1"/>
  <c r="BE1135" i="1" s="1"/>
  <c r="BE1133" i="1"/>
  <c r="BE1142" i="1" s="1"/>
  <c r="BE604" i="1"/>
  <c r="BE634" i="1"/>
  <c r="BF623" i="1"/>
  <c r="BF634" i="1" s="1"/>
  <c r="BG1240" i="1"/>
  <c r="BI1239" i="1"/>
  <c r="BH668" i="1"/>
  <c r="BH1146" i="1"/>
  <c r="BH1162" i="1" s="1"/>
  <c r="BE291" i="1"/>
  <c r="BF670" i="1"/>
  <c r="BF671" i="1" s="1"/>
  <c r="BF1146" i="1" s="1"/>
  <c r="BF1162" i="1" s="1"/>
  <c r="BF1163" i="1" s="1"/>
  <c r="BI672" i="1"/>
  <c r="BI1161" i="1" s="1"/>
  <c r="BF1123" i="1"/>
  <c r="BF280" i="1"/>
  <c r="BF287" i="1"/>
  <c r="BF283" i="1"/>
  <c r="BF277" i="1"/>
  <c r="BF1129" i="1"/>
  <c r="BF1126" i="1"/>
  <c r="BF1120" i="1"/>
  <c r="BH686" i="1"/>
  <c r="BI686" i="1" s="1"/>
  <c r="BI680" i="1"/>
  <c r="BC540" i="1"/>
  <c r="K48" i="4"/>
  <c r="AZ121" i="1"/>
  <c r="AZ125" i="1"/>
  <c r="K58" i="4"/>
  <c r="AZ41" i="1"/>
  <c r="AZ123" i="1"/>
  <c r="BK1167" i="1"/>
  <c r="BK1286" i="1"/>
  <c r="BN1454" i="1"/>
  <c r="BN1288" i="1"/>
  <c r="BN1295" i="1"/>
  <c r="BN1296" i="1"/>
  <c r="BP1297" i="1"/>
  <c r="BK338" i="1"/>
  <c r="BG27" i="1"/>
  <c r="BL681" i="1"/>
  <c r="BJ686" i="1"/>
  <c r="BJ676" i="1" s="1"/>
  <c r="BD560" i="1"/>
  <c r="BD565" i="1"/>
  <c r="BD566" i="1" s="1"/>
  <c r="BG586" i="1"/>
  <c r="BB276" i="1"/>
  <c r="BK337" i="1"/>
  <c r="BQ76" i="1" l="1"/>
  <c r="BQ240" i="1"/>
  <c r="BR136" i="1"/>
  <c r="P106" i="7"/>
  <c r="Q106" i="7" s="1"/>
  <c r="BP76" i="1"/>
  <c r="BR72" i="1"/>
  <c r="BP240" i="1"/>
  <c r="BE1143" i="1"/>
  <c r="BE1145" i="1"/>
  <c r="AZ124" i="1"/>
  <c r="AZ62" i="1" s="1"/>
  <c r="BE1139" i="1"/>
  <c r="BE1136" i="1"/>
  <c r="BE1138" i="1"/>
  <c r="BE1137" i="1"/>
  <c r="BE1140" i="1"/>
  <c r="BG545" i="1"/>
  <c r="BG607" i="1"/>
  <c r="BD587" i="1"/>
  <c r="BD585" i="1" s="1"/>
  <c r="BD594" i="1"/>
  <c r="BG1241" i="1"/>
  <c r="BG1282" i="1"/>
  <c r="BJ1243" i="1"/>
  <c r="BG1206" i="1"/>
  <c r="BG1207" i="1"/>
  <c r="BG1208" i="1"/>
  <c r="BG1205" i="1"/>
  <c r="BJ1242" i="1"/>
  <c r="BI1240" i="1"/>
  <c r="BE535" i="1"/>
  <c r="BF604" i="1"/>
  <c r="BE1160" i="1"/>
  <c r="BE578" i="1" s="1"/>
  <c r="BE1159" i="1"/>
  <c r="BE575" i="1" s="1"/>
  <c r="BC555" i="1"/>
  <c r="Y53" i="4" s="1"/>
  <c r="BB560" i="1"/>
  <c r="BB565" i="1"/>
  <c r="BB566" i="1" s="1"/>
  <c r="BE586" i="1"/>
  <c r="BB23" i="1"/>
  <c r="BB22" i="1"/>
  <c r="BB36" i="1"/>
  <c r="BB241" i="1"/>
  <c r="BK1287" i="1"/>
  <c r="BF291" i="1"/>
  <c r="BN1241" i="1"/>
  <c r="BQ1243" i="1"/>
  <c r="BN1282" i="1"/>
  <c r="BN1208" i="1"/>
  <c r="BN1207" i="1"/>
  <c r="BN1206" i="1"/>
  <c r="BQ1242" i="1"/>
  <c r="BN1205" i="1"/>
  <c r="BB273" i="1"/>
  <c r="BB270" i="1"/>
  <c r="BE605" i="1"/>
  <c r="BF624" i="1"/>
  <c r="BH676" i="1"/>
  <c r="BB271" i="1"/>
  <c r="BB272" i="1"/>
  <c r="BB268" i="1"/>
  <c r="BB269" i="1"/>
  <c r="BJ626" i="1"/>
  <c r="BJ688" i="1"/>
  <c r="BJ673" i="1"/>
  <c r="BJ677" i="1"/>
  <c r="BJ687" i="1"/>
  <c r="BM689" i="1"/>
  <c r="BH27" i="1"/>
  <c r="BK536" i="1"/>
  <c r="BK1184" i="1"/>
  <c r="K61" i="4"/>
  <c r="K60" i="4" s="1"/>
  <c r="BF1132" i="1"/>
  <c r="BF1137" i="1" s="1"/>
  <c r="BF1133" i="1"/>
  <c r="BF1144" i="1" s="1"/>
  <c r="BI668" i="1"/>
  <c r="BH669" i="1"/>
  <c r="BE1144" i="1"/>
  <c r="BR76" i="1" l="1"/>
  <c r="BR240" i="1"/>
  <c r="K26" i="4"/>
  <c r="J107" i="7"/>
  <c r="J108" i="7" s="1"/>
  <c r="BF1135" i="1"/>
  <c r="BB574" i="1"/>
  <c r="BN347" i="1"/>
  <c r="BF1136" i="1"/>
  <c r="BG347" i="1"/>
  <c r="BF1160" i="1"/>
  <c r="BF578" i="1" s="1"/>
  <c r="BH673" i="1"/>
  <c r="BH677" i="1"/>
  <c r="BH687" i="1"/>
  <c r="BH626" i="1"/>
  <c r="BI626" i="1" s="1"/>
  <c r="BH688" i="1"/>
  <c r="BK689" i="1"/>
  <c r="BI676" i="1"/>
  <c r="BQ1239" i="1"/>
  <c r="BQ1452" i="1"/>
  <c r="BQ579" i="1" s="1"/>
  <c r="BF1143" i="1"/>
  <c r="BC22" i="1"/>
  <c r="BB125" i="1"/>
  <c r="BB126" i="1" s="1"/>
  <c r="BB129" i="1"/>
  <c r="BB587" i="1"/>
  <c r="BB585" i="1" s="1"/>
  <c r="BB594" i="1"/>
  <c r="BL1243" i="1"/>
  <c r="BI1241" i="1"/>
  <c r="BI1242" i="1" s="1"/>
  <c r="BI1452" i="1" s="1"/>
  <c r="BI579" i="1" s="1"/>
  <c r="BI1207" i="1"/>
  <c r="BI1206" i="1"/>
  <c r="BI1208" i="1"/>
  <c r="BI1205" i="1"/>
  <c r="BF1139" i="1"/>
  <c r="BG608" i="1"/>
  <c r="BF1159" i="1"/>
  <c r="BF575" i="1" s="1"/>
  <c r="BK541" i="1"/>
  <c r="BI27" i="1"/>
  <c r="BB577" i="1"/>
  <c r="BN1285" i="1"/>
  <c r="BC23" i="1"/>
  <c r="BJ1239" i="1"/>
  <c r="BJ1452" i="1"/>
  <c r="BJ579" i="1" s="1"/>
  <c r="BF1138" i="1"/>
  <c r="BM681" i="1"/>
  <c r="BI669" i="1"/>
  <c r="BH623" i="1"/>
  <c r="BH670" i="1"/>
  <c r="BH1163" i="1" s="1"/>
  <c r="BK680" i="1"/>
  <c r="BK672" i="1"/>
  <c r="BK1161" i="1" s="1"/>
  <c r="BH280" i="1"/>
  <c r="BH1123" i="1"/>
  <c r="BK671" i="1"/>
  <c r="BH1120" i="1"/>
  <c r="BH283" i="1"/>
  <c r="BH1129" i="1"/>
  <c r="BH287" i="1"/>
  <c r="BH1126" i="1"/>
  <c r="BH277" i="1"/>
  <c r="BF1142" i="1"/>
  <c r="BJ674" i="1"/>
  <c r="BJ624" i="1"/>
  <c r="BE545" i="1"/>
  <c r="BE607" i="1"/>
  <c r="BF605" i="1"/>
  <c r="BC560" i="1"/>
  <c r="BC565" i="1"/>
  <c r="BC566" i="1" s="1"/>
  <c r="BF586" i="1"/>
  <c r="BE538" i="1"/>
  <c r="BE276" i="1" s="1"/>
  <c r="BF535" i="1"/>
  <c r="BE540" i="1"/>
  <c r="BF1145" i="1"/>
  <c r="BG555" i="1"/>
  <c r="BK1453" i="1"/>
  <c r="BK1455" i="1" s="1"/>
  <c r="BK1456" i="1" s="1"/>
  <c r="BB41" i="1"/>
  <c r="BC36" i="1"/>
  <c r="BB130" i="1"/>
  <c r="BI1282" i="1"/>
  <c r="BF1140" i="1"/>
  <c r="BB583" i="1" l="1"/>
  <c r="L58" i="4"/>
  <c r="BC41" i="1"/>
  <c r="BC123" i="1"/>
  <c r="BJ605" i="1"/>
  <c r="BH1132" i="1"/>
  <c r="BH1159" i="1" s="1"/>
  <c r="BH575" i="1" s="1"/>
  <c r="BH1133" i="1"/>
  <c r="BH1142" i="1" s="1"/>
  <c r="BE8" i="1"/>
  <c r="BE543" i="1"/>
  <c r="BE582" i="1" s="1"/>
  <c r="BE580" i="1" s="1"/>
  <c r="BH581" i="1"/>
  <c r="BE336" i="1"/>
  <c r="BE272" i="1" s="1"/>
  <c r="BK668" i="1"/>
  <c r="BK1146" i="1"/>
  <c r="BK1162" i="1" s="1"/>
  <c r="BK686" i="1"/>
  <c r="BL686" i="1" s="1"/>
  <c r="BL680" i="1"/>
  <c r="BO681" i="1"/>
  <c r="BM686" i="1"/>
  <c r="BM676" i="1" s="1"/>
  <c r="BQ1288" i="1"/>
  <c r="BN1167" i="1"/>
  <c r="BQ1295" i="1"/>
  <c r="BQ1296" i="1"/>
  <c r="BN1286" i="1"/>
  <c r="BQ1454" i="1"/>
  <c r="BN338" i="1"/>
  <c r="L48" i="4"/>
  <c r="BC121" i="1"/>
  <c r="BC125" i="1"/>
  <c r="BI688" i="1"/>
  <c r="BI673" i="1"/>
  <c r="BI674" i="1" s="1"/>
  <c r="BI677" i="1"/>
  <c r="BI687" i="1"/>
  <c r="BL689" i="1"/>
  <c r="BC587" i="1"/>
  <c r="BC585" i="1" s="1"/>
  <c r="BC594" i="1"/>
  <c r="BE608" i="1"/>
  <c r="BF607" i="1"/>
  <c r="BF608" i="1" s="1"/>
  <c r="BJ1240" i="1"/>
  <c r="BL1239" i="1"/>
  <c r="BN337" i="1"/>
  <c r="BI347" i="1"/>
  <c r="BG560" i="1"/>
  <c r="BG565" i="1"/>
  <c r="BG566" i="1" s="1"/>
  <c r="BJ586" i="1"/>
  <c r="BF545" i="1"/>
  <c r="BE555" i="1"/>
  <c r="BH291" i="1"/>
  <c r="BH604" i="1"/>
  <c r="BH634" i="1"/>
  <c r="BI623" i="1"/>
  <c r="BI634" i="1" s="1"/>
  <c r="BJ27" i="1"/>
  <c r="BH624" i="1"/>
  <c r="BH674" i="1"/>
  <c r="BF540" i="1"/>
  <c r="BI670" i="1"/>
  <c r="BI671" i="1" s="1"/>
  <c r="BI1146" i="1" s="1"/>
  <c r="BI1162" i="1" s="1"/>
  <c r="BI1163" i="1" s="1"/>
  <c r="BL672" i="1"/>
  <c r="BL1161" i="1" s="1"/>
  <c r="BI1123" i="1"/>
  <c r="BI280" i="1"/>
  <c r="BI283" i="1"/>
  <c r="BI1126" i="1"/>
  <c r="BI1120" i="1"/>
  <c r="BI287" i="1"/>
  <c r="BI277" i="1"/>
  <c r="BI1129" i="1"/>
  <c r="L49" i="4"/>
  <c r="BC122" i="1"/>
  <c r="BQ1240" i="1"/>
  <c r="BH1144" i="1" l="1"/>
  <c r="BH1143" i="1"/>
  <c r="BH1145" i="1"/>
  <c r="BH1138" i="1"/>
  <c r="BH1139" i="1"/>
  <c r="BH1136" i="1"/>
  <c r="BH1140" i="1"/>
  <c r="BH1160" i="1"/>
  <c r="BH578" i="1" s="1"/>
  <c r="BK676" i="1"/>
  <c r="BK688" i="1" s="1"/>
  <c r="BE269" i="1"/>
  <c r="BE268" i="1"/>
  <c r="BL668" i="1"/>
  <c r="BK669" i="1"/>
  <c r="BJ545" i="1"/>
  <c r="BJ607" i="1"/>
  <c r="BI291" i="1"/>
  <c r="BI1133" i="1"/>
  <c r="BI1160" i="1" s="1"/>
  <c r="BI578" i="1" s="1"/>
  <c r="BI1132" i="1"/>
  <c r="BI1135" i="1" s="1"/>
  <c r="BF555" i="1"/>
  <c r="BE560" i="1"/>
  <c r="BE565" i="1"/>
  <c r="BE566" i="1" s="1"/>
  <c r="BH586" i="1"/>
  <c r="BE271" i="1"/>
  <c r="BH1135" i="1"/>
  <c r="L61" i="4"/>
  <c r="L60" i="4" s="1"/>
  <c r="BK27" i="1"/>
  <c r="BQ1282" i="1"/>
  <c r="BQ1241" i="1"/>
  <c r="BQ1208" i="1"/>
  <c r="BQ1207" i="1"/>
  <c r="BQ1206" i="1"/>
  <c r="BQ1205" i="1"/>
  <c r="BH605" i="1"/>
  <c r="BI624" i="1"/>
  <c r="BH535" i="1"/>
  <c r="BI604" i="1"/>
  <c r="BG587" i="1"/>
  <c r="BG585" i="1" s="1"/>
  <c r="BG594" i="1"/>
  <c r="BJ1241" i="1"/>
  <c r="BM1243" i="1"/>
  <c r="BJ1282" i="1"/>
  <c r="BJ1206" i="1"/>
  <c r="BJ1207" i="1"/>
  <c r="BJ1208" i="1"/>
  <c r="BJ1205" i="1"/>
  <c r="BM1242" i="1"/>
  <c r="BL1240" i="1"/>
  <c r="BH1137" i="1"/>
  <c r="BN536" i="1"/>
  <c r="BN1184" i="1"/>
  <c r="BE23" i="1"/>
  <c r="BE22" i="1"/>
  <c r="BE36" i="1"/>
  <c r="BE241" i="1"/>
  <c r="BC124" i="1"/>
  <c r="BC62" i="1" s="1"/>
  <c r="BN1287" i="1"/>
  <c r="BM688" i="1"/>
  <c r="BM673" i="1"/>
  <c r="BM677" i="1"/>
  <c r="BM687" i="1"/>
  <c r="BM626" i="1"/>
  <c r="BP689" i="1"/>
  <c r="BE273" i="1"/>
  <c r="BE577" i="1" s="1"/>
  <c r="BE270" i="1"/>
  <c r="BI1139" i="1" l="1"/>
  <c r="BK626" i="1"/>
  <c r="BL626" i="1" s="1"/>
  <c r="BI1137" i="1"/>
  <c r="BI1138" i="1"/>
  <c r="BN689" i="1"/>
  <c r="BE574" i="1"/>
  <c r="BE583" i="1" s="1"/>
  <c r="BK687" i="1"/>
  <c r="BK673" i="1"/>
  <c r="BK674" i="1" s="1"/>
  <c r="BQ347" i="1"/>
  <c r="BK677" i="1"/>
  <c r="BL676" i="1"/>
  <c r="BL673" i="1" s="1"/>
  <c r="BI1145" i="1"/>
  <c r="BI1144" i="1"/>
  <c r="BI1140" i="1"/>
  <c r="BJ347" i="1"/>
  <c r="BL1282" i="1"/>
  <c r="BI1159" i="1"/>
  <c r="BI575" i="1" s="1"/>
  <c r="BF23" i="1"/>
  <c r="BL27" i="1"/>
  <c r="BE587" i="1"/>
  <c r="BE585" i="1" s="1"/>
  <c r="BE594" i="1"/>
  <c r="BI1136" i="1"/>
  <c r="BJ555" i="1"/>
  <c r="BN1453" i="1"/>
  <c r="BN1455" i="1" s="1"/>
  <c r="BN1456" i="1" s="1"/>
  <c r="BE41" i="1"/>
  <c r="BF36" i="1"/>
  <c r="BE130" i="1"/>
  <c r="BO1243" i="1"/>
  <c r="BL1241" i="1"/>
  <c r="BL1242" i="1" s="1"/>
  <c r="BL1452" i="1" s="1"/>
  <c r="BL579" i="1" s="1"/>
  <c r="BL1206" i="1"/>
  <c r="BL1207" i="1"/>
  <c r="BL1208" i="1"/>
  <c r="BL1205" i="1"/>
  <c r="BH538" i="1"/>
  <c r="BH276" i="1" s="1"/>
  <c r="BI535" i="1"/>
  <c r="BH540" i="1"/>
  <c r="BQ1285" i="1"/>
  <c r="BQ337" i="1" s="1"/>
  <c r="BI1143" i="1"/>
  <c r="BK623" i="1"/>
  <c r="BL669" i="1"/>
  <c r="BK670" i="1"/>
  <c r="BK1163" i="1" s="1"/>
  <c r="BN680" i="1"/>
  <c r="BP681" i="1"/>
  <c r="BN672" i="1"/>
  <c r="BN1161" i="1" s="1"/>
  <c r="BK280" i="1"/>
  <c r="BK1123" i="1"/>
  <c r="BK287" i="1"/>
  <c r="BK277" i="1"/>
  <c r="BK1126" i="1"/>
  <c r="BK1120" i="1"/>
  <c r="BN671" i="1"/>
  <c r="BK283" i="1"/>
  <c r="BK1129" i="1"/>
  <c r="BM624" i="1"/>
  <c r="BM674" i="1"/>
  <c r="K107" i="7"/>
  <c r="K108" i="7" s="1"/>
  <c r="BF22" i="1"/>
  <c r="BE125" i="1"/>
  <c r="BE126" i="1" s="1"/>
  <c r="BE129" i="1"/>
  <c r="BN541" i="1"/>
  <c r="BM1239" i="1"/>
  <c r="BM1452" i="1"/>
  <c r="BM579" i="1" s="1"/>
  <c r="BH545" i="1"/>
  <c r="BH607" i="1"/>
  <c r="BI605" i="1"/>
  <c r="BF565" i="1"/>
  <c r="BF566" i="1" s="1"/>
  <c r="BF560" i="1"/>
  <c r="BI586" i="1"/>
  <c r="BI1142" i="1"/>
  <c r="BJ608" i="1"/>
  <c r="L26" i="4" l="1"/>
  <c r="BL687" i="1"/>
  <c r="BL677" i="1"/>
  <c r="BK624" i="1"/>
  <c r="BK605" i="1" s="1"/>
  <c r="BL688" i="1"/>
  <c r="BO689" i="1"/>
  <c r="BL674" i="1"/>
  <c r="BM1240" i="1"/>
  <c r="BO1239" i="1"/>
  <c r="BN686" i="1"/>
  <c r="BO686" i="1" s="1"/>
  <c r="BO680" i="1"/>
  <c r="BK291" i="1"/>
  <c r="BJ560" i="1"/>
  <c r="BJ565" i="1"/>
  <c r="BJ566" i="1" s="1"/>
  <c r="BM586" i="1"/>
  <c r="BI545" i="1"/>
  <c r="BH555" i="1"/>
  <c r="BN668" i="1"/>
  <c r="BN1146" i="1"/>
  <c r="BN1162" i="1" s="1"/>
  <c r="BR681" i="1"/>
  <c r="BP686" i="1"/>
  <c r="BP676" i="1" s="1"/>
  <c r="BL670" i="1"/>
  <c r="BL671" i="1" s="1"/>
  <c r="BL1146" i="1" s="1"/>
  <c r="BL1162" i="1" s="1"/>
  <c r="BL1163" i="1" s="1"/>
  <c r="BO672" i="1"/>
  <c r="BO1161" i="1" s="1"/>
  <c r="BL1123" i="1"/>
  <c r="BL280" i="1"/>
  <c r="BL1126" i="1"/>
  <c r="BL287" i="1"/>
  <c r="BL1129" i="1"/>
  <c r="BL1120" i="1"/>
  <c r="BL283" i="1"/>
  <c r="BL277" i="1"/>
  <c r="BM27" i="1"/>
  <c r="BF587" i="1"/>
  <c r="BF585" i="1" s="1"/>
  <c r="BF594" i="1"/>
  <c r="BH608" i="1"/>
  <c r="BI607" i="1"/>
  <c r="BI608" i="1" s="1"/>
  <c r="BF121" i="1"/>
  <c r="BF125" i="1"/>
  <c r="BM605" i="1"/>
  <c r="BK1133" i="1"/>
  <c r="BK1142" i="1" s="1"/>
  <c r="BK1132" i="1"/>
  <c r="BK1137" i="1" s="1"/>
  <c r="BK604" i="1"/>
  <c r="BK634" i="1"/>
  <c r="BL623" i="1"/>
  <c r="BL634" i="1" s="1"/>
  <c r="BI540" i="1"/>
  <c r="BL347" i="1"/>
  <c r="BF41" i="1"/>
  <c r="BF123" i="1"/>
  <c r="BQ1167" i="1"/>
  <c r="BQ1286" i="1"/>
  <c r="BQ338" i="1"/>
  <c r="BH8" i="1"/>
  <c r="BH543" i="1"/>
  <c r="BH582" i="1" s="1"/>
  <c r="BH580" i="1" s="1"/>
  <c r="BK581" i="1"/>
  <c r="BH336" i="1"/>
  <c r="BH268" i="1" s="1"/>
  <c r="BF122" i="1"/>
  <c r="BL624" i="1" l="1"/>
  <c r="BK1145" i="1"/>
  <c r="BK1140" i="1"/>
  <c r="BK1139" i="1"/>
  <c r="BK1138" i="1"/>
  <c r="BK1160" i="1"/>
  <c r="BK578" i="1" s="1"/>
  <c r="BN676" i="1"/>
  <c r="BN673" i="1" s="1"/>
  <c r="BK1136" i="1"/>
  <c r="BQ1287" i="1"/>
  <c r="BK1143" i="1"/>
  <c r="BK1135" i="1"/>
  <c r="BM545" i="1"/>
  <c r="BM607" i="1"/>
  <c r="BN27" i="1"/>
  <c r="BO668" i="1"/>
  <c r="BN669" i="1"/>
  <c r="BJ587" i="1"/>
  <c r="BJ585" i="1" s="1"/>
  <c r="BJ594" i="1"/>
  <c r="BK1144" i="1"/>
  <c r="BH269" i="1"/>
  <c r="BK535" i="1"/>
  <c r="BL604" i="1"/>
  <c r="BK1159" i="1"/>
  <c r="BK575" i="1" s="1"/>
  <c r="BL1132" i="1"/>
  <c r="BL1137" i="1" s="1"/>
  <c r="BL1133" i="1"/>
  <c r="BL1144" i="1" s="1"/>
  <c r="BP673" i="1"/>
  <c r="BP677" i="1"/>
  <c r="BP687" i="1"/>
  <c r="BP626" i="1"/>
  <c r="BP688" i="1"/>
  <c r="BH560" i="1"/>
  <c r="BH565" i="1"/>
  <c r="BH566" i="1" s="1"/>
  <c r="BI555" i="1"/>
  <c r="BK586" i="1"/>
  <c r="BH273" i="1"/>
  <c r="BH270" i="1"/>
  <c r="BH22" i="1"/>
  <c r="BH36" i="1"/>
  <c r="BH23" i="1"/>
  <c r="BH241" i="1"/>
  <c r="BQ536" i="1"/>
  <c r="BQ1184" i="1"/>
  <c r="BF124" i="1"/>
  <c r="BF62" i="1" s="1"/>
  <c r="BK545" i="1"/>
  <c r="BK607" i="1"/>
  <c r="BL605" i="1"/>
  <c r="BM1282" i="1"/>
  <c r="BM1241" i="1"/>
  <c r="BP1243" i="1"/>
  <c r="BM1206" i="1"/>
  <c r="BM1207" i="1"/>
  <c r="BM1208" i="1"/>
  <c r="BM1205" i="1"/>
  <c r="BP1242" i="1"/>
  <c r="BO1240" i="1"/>
  <c r="BH272" i="1"/>
  <c r="BL291" i="1"/>
  <c r="BH271" i="1"/>
  <c r="BN677" i="1" l="1"/>
  <c r="BH577" i="1"/>
  <c r="BL1136" i="1"/>
  <c r="BL1145" i="1"/>
  <c r="BL1143" i="1"/>
  <c r="BQ689" i="1"/>
  <c r="BN688" i="1"/>
  <c r="BN687" i="1"/>
  <c r="BN626" i="1"/>
  <c r="BO626" i="1" s="1"/>
  <c r="BO676" i="1"/>
  <c r="BO687" i="1" s="1"/>
  <c r="BL1140" i="1"/>
  <c r="BL1160" i="1"/>
  <c r="BL578" i="1" s="1"/>
  <c r="BQ541" i="1"/>
  <c r="BR1243" i="1"/>
  <c r="BO1241" i="1"/>
  <c r="BO1242" i="1" s="1"/>
  <c r="BO1452" i="1" s="1"/>
  <c r="BO579" i="1" s="1"/>
  <c r="BO1206" i="1"/>
  <c r="BO1207" i="1"/>
  <c r="BO1208" i="1"/>
  <c r="BO1205" i="1"/>
  <c r="BO1282" i="1"/>
  <c r="BK555" i="1"/>
  <c r="BL545" i="1"/>
  <c r="BL1139" i="1"/>
  <c r="BN624" i="1"/>
  <c r="BN674" i="1"/>
  <c r="BI22" i="1"/>
  <c r="BH125" i="1"/>
  <c r="BH126" i="1" s="1"/>
  <c r="BH129" i="1"/>
  <c r="BH587" i="1"/>
  <c r="BH585" i="1" s="1"/>
  <c r="BH594" i="1"/>
  <c r="BL1159" i="1"/>
  <c r="BL575" i="1" s="1"/>
  <c r="BL1142" i="1"/>
  <c r="BH574" i="1"/>
  <c r="BM608" i="1"/>
  <c r="BK608" i="1"/>
  <c r="BL607" i="1"/>
  <c r="BL608" i="1" s="1"/>
  <c r="BP1239" i="1"/>
  <c r="BP1452" i="1"/>
  <c r="BP579" i="1" s="1"/>
  <c r="BL535" i="1"/>
  <c r="BK540" i="1"/>
  <c r="BK538" i="1"/>
  <c r="BK276" i="1" s="1"/>
  <c r="BN623" i="1"/>
  <c r="BN670" i="1"/>
  <c r="BN1163" i="1" s="1"/>
  <c r="BQ680" i="1"/>
  <c r="BO669" i="1"/>
  <c r="BQ672" i="1"/>
  <c r="BQ1161" i="1" s="1"/>
  <c r="BN280" i="1"/>
  <c r="BN1123" i="1"/>
  <c r="BN1126" i="1"/>
  <c r="BQ671" i="1"/>
  <c r="BN283" i="1"/>
  <c r="BN277" i="1"/>
  <c r="BN1120" i="1"/>
  <c r="BN1129" i="1"/>
  <c r="BN287" i="1"/>
  <c r="L107" i="7"/>
  <c r="L108" i="7" s="1"/>
  <c r="BM347" i="1"/>
  <c r="BL1138" i="1"/>
  <c r="BI23" i="1"/>
  <c r="BI560" i="1"/>
  <c r="BI565" i="1"/>
  <c r="BI566" i="1" s="1"/>
  <c r="BL586" i="1"/>
  <c r="BP624" i="1"/>
  <c r="BP674" i="1"/>
  <c r="BL1135" i="1"/>
  <c r="BM555" i="1"/>
  <c r="BQ1453" i="1"/>
  <c r="BQ1455" i="1" s="1"/>
  <c r="BQ1456" i="1" s="1"/>
  <c r="BI36" i="1"/>
  <c r="BH41" i="1"/>
  <c r="BH130" i="1"/>
  <c r="BO27" i="1"/>
  <c r="BO673" i="1" l="1"/>
  <c r="BO674" i="1" s="1"/>
  <c r="BO688" i="1"/>
  <c r="BH583" i="1"/>
  <c r="BR689" i="1"/>
  <c r="BO347" i="1"/>
  <c r="BN1133" i="1"/>
  <c r="BN1142" i="1" s="1"/>
  <c r="BN1132" i="1"/>
  <c r="BN1135" i="1" s="1"/>
  <c r="BN604" i="1"/>
  <c r="BN634" i="1"/>
  <c r="BO623" i="1"/>
  <c r="BO634" i="1" s="1"/>
  <c r="BI122" i="1"/>
  <c r="BN291" i="1"/>
  <c r="BN605" i="1"/>
  <c r="BO624" i="1"/>
  <c r="BP27" i="1"/>
  <c r="BI41" i="1"/>
  <c r="BI123" i="1"/>
  <c r="BI587" i="1"/>
  <c r="BI585" i="1" s="1"/>
  <c r="BI594" i="1"/>
  <c r="BQ686" i="1"/>
  <c r="BR686" i="1" s="1"/>
  <c r="BR680" i="1"/>
  <c r="BK8" i="1"/>
  <c r="BK543" i="1"/>
  <c r="BK582" i="1" s="1"/>
  <c r="BK580" i="1" s="1"/>
  <c r="BN581" i="1"/>
  <c r="BK336" i="1"/>
  <c r="BK271" i="1" s="1"/>
  <c r="BK560" i="1"/>
  <c r="BK565" i="1"/>
  <c r="BK566" i="1" s="1"/>
  <c r="BL555" i="1"/>
  <c r="BN586" i="1"/>
  <c r="BM560" i="1"/>
  <c r="BM565" i="1"/>
  <c r="BM566" i="1" s="1"/>
  <c r="BP586" i="1"/>
  <c r="BP605" i="1"/>
  <c r="BQ1146" i="1"/>
  <c r="BQ1162" i="1" s="1"/>
  <c r="BQ668" i="1"/>
  <c r="BI121" i="1"/>
  <c r="BI125" i="1"/>
  <c r="BO670" i="1"/>
  <c r="BO671" i="1" s="1"/>
  <c r="BO1146" i="1" s="1"/>
  <c r="BO1162" i="1" s="1"/>
  <c r="BO1163" i="1" s="1"/>
  <c r="BR672" i="1"/>
  <c r="BR1161" i="1" s="1"/>
  <c r="BO1120" i="1"/>
  <c r="BO1129" i="1"/>
  <c r="BO1123" i="1"/>
  <c r="BO277" i="1"/>
  <c r="BO283" i="1"/>
  <c r="BO280" i="1"/>
  <c r="BO287" i="1"/>
  <c r="BO1126" i="1"/>
  <c r="BL540" i="1"/>
  <c r="BP1240" i="1"/>
  <c r="BR1239" i="1"/>
  <c r="BO677" i="1"/>
  <c r="BN1138" i="1" l="1"/>
  <c r="BN1137" i="1"/>
  <c r="BN1139" i="1"/>
  <c r="BN1136" i="1"/>
  <c r="BN1140" i="1"/>
  <c r="BN1145" i="1"/>
  <c r="BN1144" i="1"/>
  <c r="BN1160" i="1"/>
  <c r="BN578" i="1" s="1"/>
  <c r="BN1143" i="1"/>
  <c r="BM587" i="1"/>
  <c r="BM585" i="1" s="1"/>
  <c r="BM594" i="1"/>
  <c r="BL565" i="1"/>
  <c r="BL566" i="1" s="1"/>
  <c r="BL560" i="1"/>
  <c r="BO586" i="1"/>
  <c r="BI124" i="1"/>
  <c r="BI62" i="1" s="1"/>
  <c r="BQ27" i="1"/>
  <c r="BQ676" i="1"/>
  <c r="BK269" i="1"/>
  <c r="BO291" i="1"/>
  <c r="BN545" i="1"/>
  <c r="BN607" i="1"/>
  <c r="BO605" i="1"/>
  <c r="BN535" i="1"/>
  <c r="BO604" i="1"/>
  <c r="BK268" i="1"/>
  <c r="BO1132" i="1"/>
  <c r="BO1137" i="1" s="1"/>
  <c r="BO1133" i="1"/>
  <c r="BO1144" i="1" s="1"/>
  <c r="BP545" i="1"/>
  <c r="BP607" i="1"/>
  <c r="BK22" i="1"/>
  <c r="BK23" i="1"/>
  <c r="BK36" i="1"/>
  <c r="BK241" i="1"/>
  <c r="BN1159" i="1"/>
  <c r="BN575" i="1" s="1"/>
  <c r="BP1282" i="1"/>
  <c r="BP1241" i="1"/>
  <c r="BP1206" i="1"/>
  <c r="BP1207" i="1"/>
  <c r="BP1208" i="1"/>
  <c r="BP1205" i="1"/>
  <c r="BR1240" i="1"/>
  <c r="BR668" i="1"/>
  <c r="BQ669" i="1"/>
  <c r="BK587" i="1"/>
  <c r="BK585" i="1" s="1"/>
  <c r="BK594" i="1"/>
  <c r="BK270" i="1"/>
  <c r="BK273" i="1"/>
  <c r="BK272" i="1"/>
  <c r="BO1143" i="1" l="1"/>
  <c r="BO1140" i="1"/>
  <c r="BO1139" i="1"/>
  <c r="BO1138" i="1"/>
  <c r="BO1145" i="1"/>
  <c r="BO1136" i="1"/>
  <c r="BO1142" i="1"/>
  <c r="BQ670" i="1"/>
  <c r="BQ1163" i="1" s="1"/>
  <c r="BQ623" i="1"/>
  <c r="BR669" i="1"/>
  <c r="BQ280" i="1"/>
  <c r="BQ1123" i="1"/>
  <c r="BQ277" i="1"/>
  <c r="BQ1120" i="1"/>
  <c r="BQ1126" i="1"/>
  <c r="BQ1129" i="1"/>
  <c r="BQ287" i="1"/>
  <c r="BQ283" i="1"/>
  <c r="BL23" i="1"/>
  <c r="BP555" i="1"/>
  <c r="BO1135" i="1"/>
  <c r="BN555" i="1"/>
  <c r="BO545" i="1"/>
  <c r="BQ688" i="1"/>
  <c r="BQ673" i="1"/>
  <c r="BQ677" i="1"/>
  <c r="BQ687" i="1"/>
  <c r="BQ626" i="1"/>
  <c r="BR626" i="1" s="1"/>
  <c r="BR676" i="1"/>
  <c r="M107" i="7"/>
  <c r="M108" i="7" s="1"/>
  <c r="BR1241" i="1"/>
  <c r="BR1242" i="1" s="1"/>
  <c r="BR1452" i="1" s="1"/>
  <c r="BR579" i="1" s="1"/>
  <c r="BR1206" i="1"/>
  <c r="BR1207" i="1"/>
  <c r="BR1208" i="1"/>
  <c r="BR1205" i="1"/>
  <c r="BL22" i="1"/>
  <c r="BK125" i="1"/>
  <c r="BK126" i="1" s="1"/>
  <c r="BK129" i="1"/>
  <c r="BO535" i="1"/>
  <c r="BN540" i="1"/>
  <c r="BN538" i="1"/>
  <c r="BN276" i="1" s="1"/>
  <c r="BP347" i="1"/>
  <c r="BP608" i="1"/>
  <c r="BO1159" i="1"/>
  <c r="BO575" i="1" s="1"/>
  <c r="BL587" i="1"/>
  <c r="BL585" i="1" s="1"/>
  <c r="BL594" i="1"/>
  <c r="BK577" i="1"/>
  <c r="BR1282" i="1"/>
  <c r="BL36" i="1"/>
  <c r="BK41" i="1"/>
  <c r="BK130" i="1"/>
  <c r="BO1160" i="1"/>
  <c r="BO578" i="1" s="1"/>
  <c r="BN608" i="1"/>
  <c r="BO607" i="1"/>
  <c r="BO608" i="1" s="1"/>
  <c r="BK574" i="1"/>
  <c r="BR27" i="1"/>
  <c r="BO540" i="1" l="1"/>
  <c r="BR688" i="1"/>
  <c r="BR673" i="1"/>
  <c r="BR674" i="1" s="1"/>
  <c r="BR677" i="1"/>
  <c r="BR687" i="1"/>
  <c r="BQ674" i="1"/>
  <c r="BQ624" i="1"/>
  <c r="BL41" i="1"/>
  <c r="BL123" i="1"/>
  <c r="BK583" i="1"/>
  <c r="BL121" i="1"/>
  <c r="BL125" i="1"/>
  <c r="BO555" i="1"/>
  <c r="BN560" i="1"/>
  <c r="BN565" i="1"/>
  <c r="BN566" i="1" s="1"/>
  <c r="BQ586" i="1"/>
  <c r="BP560" i="1"/>
  <c r="BP565" i="1"/>
  <c r="BP566" i="1" s="1"/>
  <c r="BQ1132" i="1"/>
  <c r="BQ1137" i="1" s="1"/>
  <c r="BQ1133" i="1"/>
  <c r="BQ1144" i="1" s="1"/>
  <c r="BR670" i="1"/>
  <c r="BR671" i="1" s="1"/>
  <c r="BR1146" i="1" s="1"/>
  <c r="BR1162" i="1" s="1"/>
  <c r="BR1163" i="1" s="1"/>
  <c r="BR280" i="1"/>
  <c r="BR1123" i="1"/>
  <c r="BR1120" i="1"/>
  <c r="BR283" i="1"/>
  <c r="BR277" i="1"/>
  <c r="BR1129" i="1"/>
  <c r="BR1126" i="1"/>
  <c r="BR287" i="1"/>
  <c r="BN8" i="1"/>
  <c r="BN543" i="1"/>
  <c r="BN582" i="1" s="1"/>
  <c r="BN580" i="1" s="1"/>
  <c r="BQ581" i="1"/>
  <c r="BN336" i="1"/>
  <c r="BN269" i="1" s="1"/>
  <c r="BR347" i="1"/>
  <c r="BQ291" i="1"/>
  <c r="BQ604" i="1"/>
  <c r="BQ634" i="1"/>
  <c r="BR623" i="1"/>
  <c r="BR634" i="1" s="1"/>
  <c r="BL122" i="1"/>
  <c r="BQ1139" i="1" l="1"/>
  <c r="BQ1136" i="1"/>
  <c r="BQ1140" i="1"/>
  <c r="BQ1145" i="1"/>
  <c r="BQ1143" i="1"/>
  <c r="BQ1135" i="1"/>
  <c r="BQ1138" i="1"/>
  <c r="BR1133" i="1"/>
  <c r="BR1142" i="1" s="1"/>
  <c r="BR1132" i="1"/>
  <c r="BR1159" i="1" s="1"/>
  <c r="BR575" i="1" s="1"/>
  <c r="BQ1142" i="1"/>
  <c r="BQ1160" i="1"/>
  <c r="BQ578" i="1" s="1"/>
  <c r="BN268" i="1"/>
  <c r="BO560" i="1"/>
  <c r="BO565" i="1"/>
  <c r="BO566" i="1" s="1"/>
  <c r="BR586" i="1"/>
  <c r="BL124" i="1"/>
  <c r="BL62" i="1" s="1"/>
  <c r="BQ605" i="1"/>
  <c r="BR624" i="1"/>
  <c r="BN271" i="1"/>
  <c r="BN22" i="1"/>
  <c r="BN23" i="1"/>
  <c r="BN36" i="1"/>
  <c r="BN241" i="1"/>
  <c r="BR291" i="1"/>
  <c r="BQ535" i="1"/>
  <c r="BR604" i="1"/>
  <c r="BN273" i="1"/>
  <c r="BN270" i="1"/>
  <c r="BN574" i="1" s="1"/>
  <c r="BQ1159" i="1"/>
  <c r="BQ575" i="1" s="1"/>
  <c r="BP587" i="1"/>
  <c r="BP585" i="1" s="1"/>
  <c r="BP594" i="1"/>
  <c r="BN587" i="1"/>
  <c r="BN585" i="1" s="1"/>
  <c r="BN594" i="1"/>
  <c r="BN272" i="1"/>
  <c r="BN577" i="1" l="1"/>
  <c r="BN583" i="1" s="1"/>
  <c r="BR1136" i="1"/>
  <c r="BR1140" i="1"/>
  <c r="BR1145" i="1"/>
  <c r="BR1143" i="1"/>
  <c r="BR1139" i="1"/>
  <c r="BR1138" i="1"/>
  <c r="BO23" i="1"/>
  <c r="BR1160" i="1"/>
  <c r="BR578" i="1" s="1"/>
  <c r="BQ538" i="1"/>
  <c r="BR535" i="1"/>
  <c r="BQ540" i="1"/>
  <c r="BO22" i="1"/>
  <c r="BN125" i="1"/>
  <c r="BN126" i="1" s="1"/>
  <c r="BN129" i="1"/>
  <c r="BQ545" i="1"/>
  <c r="BQ607" i="1"/>
  <c r="BR605" i="1"/>
  <c r="BR1144" i="1"/>
  <c r="N107" i="7"/>
  <c r="N108" i="7" s="1"/>
  <c r="BR1137" i="1"/>
  <c r="BN41" i="1"/>
  <c r="BO36" i="1"/>
  <c r="BN130" i="1"/>
  <c r="BO587" i="1"/>
  <c r="BO585" i="1" s="1"/>
  <c r="BO594" i="1"/>
  <c r="BR1135" i="1"/>
  <c r="BQ608" i="1" l="1"/>
  <c r="BR607" i="1"/>
  <c r="BR608" i="1" s="1"/>
  <c r="BO121" i="1"/>
  <c r="BO125" i="1"/>
  <c r="BQ8" i="1"/>
  <c r="BQ543" i="1"/>
  <c r="BQ582" i="1" s="1"/>
  <c r="BQ580" i="1" s="1"/>
  <c r="BQ336" i="1"/>
  <c r="BR545" i="1"/>
  <c r="BQ555" i="1"/>
  <c r="BQ276" i="1"/>
  <c r="BO41" i="1"/>
  <c r="BO123" i="1"/>
  <c r="BR540" i="1"/>
  <c r="BO122" i="1"/>
  <c r="BO124" i="1" l="1"/>
  <c r="BQ23" i="1"/>
  <c r="BQ22" i="1"/>
  <c r="BQ36" i="1"/>
  <c r="BQ241" i="1"/>
  <c r="BR555" i="1"/>
  <c r="BQ565" i="1"/>
  <c r="BQ566" i="1" s="1"/>
  <c r="BQ560" i="1"/>
  <c r="BQ273" i="1"/>
  <c r="BQ270" i="1"/>
  <c r="BQ269" i="1"/>
  <c r="BQ268" i="1"/>
  <c r="BQ272" i="1"/>
  <c r="BQ271" i="1"/>
  <c r="BO62" i="1" l="1"/>
  <c r="BQ574" i="1"/>
  <c r="O107" i="7"/>
  <c r="O108" i="7" s="1"/>
  <c r="BQ577" i="1"/>
  <c r="BR560" i="1"/>
  <c r="BR565" i="1"/>
  <c r="BR566" i="1" s="1"/>
  <c r="BQ587" i="1"/>
  <c r="BQ585" i="1" s="1"/>
  <c r="BQ594" i="1"/>
  <c r="BQ41" i="1"/>
  <c r="BR36" i="1"/>
  <c r="BQ130" i="1"/>
  <c r="BR22" i="1"/>
  <c r="BQ125" i="1"/>
  <c r="BQ126" i="1" s="1"/>
  <c r="BQ129" i="1"/>
  <c r="BR23" i="1"/>
  <c r="BQ583" i="1" l="1"/>
  <c r="BR41" i="1"/>
  <c r="BR123" i="1"/>
  <c r="BR122" i="1"/>
  <c r="BR121" i="1"/>
  <c r="BR125" i="1"/>
  <c r="BR587" i="1"/>
  <c r="BR585" i="1" s="1"/>
  <c r="BR594" i="1"/>
  <c r="BR124" i="1" l="1"/>
  <c r="BR62" i="1" s="1"/>
  <c r="P107" i="7" l="1"/>
  <c r="P108" i="7" l="1"/>
  <c r="Q107" i="7"/>
  <c r="Q108" i="7" s="1"/>
  <c r="AP159" i="1" l="1"/>
  <c r="AI159" i="1"/>
  <c r="AI161" i="1" s="1"/>
  <c r="AJ159" i="1"/>
  <c r="AM165" i="1"/>
  <c r="AG165" i="1"/>
  <c r="AM159" i="1" l="1"/>
  <c r="AM161" i="1" s="1"/>
  <c r="AH260" i="1"/>
  <c r="AF165" i="1"/>
  <c r="AF167" i="1" s="1"/>
  <c r="AR159" i="1"/>
  <c r="AR161" i="1" s="1"/>
  <c r="AR165" i="1"/>
  <c r="AR167" i="1" s="1"/>
  <c r="AL159" i="1"/>
  <c r="AL161" i="1" s="1"/>
  <c r="AG167" i="1"/>
  <c r="AL165" i="1"/>
  <c r="AL167" i="1" s="1"/>
  <c r="AO165" i="1"/>
  <c r="AO167" i="1" s="1"/>
  <c r="AO159" i="1"/>
  <c r="AO161" i="1" s="1"/>
  <c r="AG159" i="1"/>
  <c r="AM167" i="1"/>
  <c r="AJ161" i="1"/>
  <c r="AK159" i="1"/>
  <c r="AJ165" i="1"/>
  <c r="AI165" i="1"/>
  <c r="AI167" i="1" s="1"/>
  <c r="AI171" i="1" s="1"/>
  <c r="AP161" i="1"/>
  <c r="AP165" i="1"/>
  <c r="AH165" i="1" l="1"/>
  <c r="AQ159" i="1"/>
  <c r="AM171" i="1"/>
  <c r="AO171" i="1"/>
  <c r="AQ161" i="1"/>
  <c r="AJ167" i="1"/>
  <c r="AJ171" i="1" s="1"/>
  <c r="AK165" i="1"/>
  <c r="AN165" i="1"/>
  <c r="AG161" i="1"/>
  <c r="AH159" i="1"/>
  <c r="AK161" i="1"/>
  <c r="AN159" i="1"/>
  <c r="AU165" i="1"/>
  <c r="AU167" i="1" s="1"/>
  <c r="AU159" i="1"/>
  <c r="AU161" i="1" s="1"/>
  <c r="AR171" i="1"/>
  <c r="AH167" i="1"/>
  <c r="AP167" i="1"/>
  <c r="AP171" i="1" s="1"/>
  <c r="AQ165" i="1"/>
  <c r="AN167" i="1"/>
  <c r="AL171" i="1"/>
  <c r="AN161" i="1"/>
  <c r="AS159" i="1"/>
  <c r="AS165" i="1"/>
  <c r="AG170" i="1"/>
  <c r="AN171" i="1" l="1"/>
  <c r="AK167" i="1"/>
  <c r="AK171" i="1" s="1"/>
  <c r="AH166" i="1"/>
  <c r="AN166" i="1"/>
  <c r="AV165" i="1"/>
  <c r="AV159" i="1"/>
  <c r="AS167" i="1"/>
  <c r="AT167" i="1" s="1"/>
  <c r="AT165" i="1"/>
  <c r="AX159" i="1"/>
  <c r="AX161" i="1" s="1"/>
  <c r="AX165" i="1"/>
  <c r="AX167" i="1" s="1"/>
  <c r="AN160" i="1"/>
  <c r="AQ167" i="1"/>
  <c r="AQ166" i="1" s="1"/>
  <c r="AG171" i="1"/>
  <c r="AG172" i="1" s="1"/>
  <c r="AH161" i="1"/>
  <c r="AH171" i="1" s="1"/>
  <c r="AH172" i="1" s="1"/>
  <c r="AK160" i="1"/>
  <c r="AT159" i="1"/>
  <c r="AS161" i="1"/>
  <c r="AU171" i="1"/>
  <c r="AQ160" i="1"/>
  <c r="AK166" i="1" l="1"/>
  <c r="AQ171" i="1"/>
  <c r="AG193" i="1"/>
  <c r="AG173" i="1"/>
  <c r="AS171" i="1"/>
  <c r="AT161" i="1"/>
  <c r="AT171" i="1" s="1"/>
  <c r="BA165" i="1"/>
  <c r="BA167" i="1" s="1"/>
  <c r="BA159" i="1"/>
  <c r="BA161" i="1" s="1"/>
  <c r="AT166" i="1"/>
  <c r="AH160" i="1"/>
  <c r="AV161" i="1"/>
  <c r="AW159" i="1"/>
  <c r="AH193" i="1"/>
  <c r="AH173" i="1"/>
  <c r="AI170" i="1"/>
  <c r="AI172" i="1" s="1"/>
  <c r="AK170" i="1"/>
  <c r="AK172" i="1" s="1"/>
  <c r="AX171" i="1"/>
  <c r="AY165" i="1"/>
  <c r="AY159" i="1"/>
  <c r="AV167" i="1"/>
  <c r="AW167" i="1" s="1"/>
  <c r="AW165" i="1"/>
  <c r="AI173" i="1" l="1"/>
  <c r="AY161" i="1"/>
  <c r="AZ159" i="1"/>
  <c r="AH174" i="1"/>
  <c r="AH190" i="1"/>
  <c r="AH185" i="1"/>
  <c r="AH197" i="1"/>
  <c r="AW166" i="1"/>
  <c r="BB159" i="1"/>
  <c r="BB165" i="1"/>
  <c r="AY167" i="1"/>
  <c r="AZ167" i="1" s="1"/>
  <c r="AZ165" i="1"/>
  <c r="AK193" i="1"/>
  <c r="AL170" i="1"/>
  <c r="AL172" i="1" s="1"/>
  <c r="AN170" i="1"/>
  <c r="AN172" i="1" s="1"/>
  <c r="AK173" i="1"/>
  <c r="BA171" i="1"/>
  <c r="AG190" i="1"/>
  <c r="AG174" i="1"/>
  <c r="AG185" i="1"/>
  <c r="AI193" i="1"/>
  <c r="AJ170" i="1"/>
  <c r="AJ172" i="1" s="1"/>
  <c r="AV171" i="1"/>
  <c r="AW161" i="1"/>
  <c r="AW171" i="1" s="1"/>
  <c r="BD159" i="1"/>
  <c r="BD161" i="1" s="1"/>
  <c r="BD165" i="1"/>
  <c r="BD167" i="1" s="1"/>
  <c r="AT160" i="1"/>
  <c r="AI190" i="1" l="1"/>
  <c r="AI174" i="1"/>
  <c r="AI185" i="1"/>
  <c r="AJ193" i="1"/>
  <c r="AN173" i="1"/>
  <c r="AN197" i="1" s="1"/>
  <c r="AZ166" i="1"/>
  <c r="AK190" i="1"/>
  <c r="AK174" i="1"/>
  <c r="AK185" i="1"/>
  <c r="AK197" i="1"/>
  <c r="AL193" i="1"/>
  <c r="AM170" i="1"/>
  <c r="AM172" i="1" s="1"/>
  <c r="BG159" i="1"/>
  <c r="BG161" i="1" s="1"/>
  <c r="BG165" i="1"/>
  <c r="BG167" i="1" s="1"/>
  <c r="BD171" i="1"/>
  <c r="AJ173" i="1"/>
  <c r="AW160" i="1"/>
  <c r="AN193" i="1"/>
  <c r="AO170" i="1"/>
  <c r="AO172" i="1" s="1"/>
  <c r="AQ170" i="1"/>
  <c r="AQ172" i="1" s="1"/>
  <c r="AL173" i="1"/>
  <c r="BB167" i="1"/>
  <c r="BC167" i="1" s="1"/>
  <c r="BC165" i="1"/>
  <c r="AY171" i="1"/>
  <c r="AZ161" i="1"/>
  <c r="AZ171" i="1" s="1"/>
  <c r="BE165" i="1"/>
  <c r="BE159" i="1"/>
  <c r="BC159" i="1"/>
  <c r="BB161" i="1"/>
  <c r="AH199" i="1"/>
  <c r="AN174" i="1" l="1"/>
  <c r="AN190" i="1"/>
  <c r="AN185" i="1"/>
  <c r="AM193" i="1"/>
  <c r="AQ173" i="1"/>
  <c r="AO173" i="1"/>
  <c r="AZ160" i="1"/>
  <c r="BC166" i="1"/>
  <c r="BH159" i="1"/>
  <c r="BH165" i="1"/>
  <c r="BF159" i="1"/>
  <c r="BE161" i="1"/>
  <c r="AQ193" i="1"/>
  <c r="AR170" i="1"/>
  <c r="AR172" i="1" s="1"/>
  <c r="AT170" i="1"/>
  <c r="AT172" i="1" s="1"/>
  <c r="AO193" i="1"/>
  <c r="AP170" i="1"/>
  <c r="AP172" i="1" s="1"/>
  <c r="BJ159" i="1"/>
  <c r="BJ161" i="1" s="1"/>
  <c r="BJ165" i="1"/>
  <c r="BJ167" i="1" s="1"/>
  <c r="BG171" i="1"/>
  <c r="AM173" i="1"/>
  <c r="BB171" i="1"/>
  <c r="BC161" i="1"/>
  <c r="BC171" i="1" s="1"/>
  <c r="BE167" i="1"/>
  <c r="BF167" i="1" s="1"/>
  <c r="BF165" i="1"/>
  <c r="AL190" i="1"/>
  <c r="AL174" i="1"/>
  <c r="AL185" i="1"/>
  <c r="AJ190" i="1"/>
  <c r="AJ174" i="1"/>
  <c r="AJ185" i="1"/>
  <c r="AN199" i="1"/>
  <c r="AK199" i="1"/>
  <c r="AQ197" i="1" l="1"/>
  <c r="AQ174" i="1"/>
  <c r="AQ190" i="1"/>
  <c r="AQ185" i="1"/>
  <c r="AO190" i="1"/>
  <c r="AO185" i="1"/>
  <c r="AO174" i="1"/>
  <c r="AT173" i="1"/>
  <c r="AR173" i="1"/>
  <c r="AP193" i="1"/>
  <c r="BF166" i="1"/>
  <c r="AM190" i="1"/>
  <c r="AM174" i="1"/>
  <c r="AM185" i="1"/>
  <c r="BM165" i="1"/>
  <c r="BM167" i="1" s="1"/>
  <c r="BM159" i="1"/>
  <c r="BM161" i="1" s="1"/>
  <c r="BJ171" i="1"/>
  <c r="AP173" i="1"/>
  <c r="AR193" i="1"/>
  <c r="AS170" i="1"/>
  <c r="AS172" i="1" s="1"/>
  <c r="BK165" i="1"/>
  <c r="BK159" i="1"/>
  <c r="BH161" i="1"/>
  <c r="BI159" i="1"/>
  <c r="AT193" i="1"/>
  <c r="AU170" i="1"/>
  <c r="AU172" i="1" s="1"/>
  <c r="AW170" i="1"/>
  <c r="AW172" i="1" s="1"/>
  <c r="BE171" i="1"/>
  <c r="BF161" i="1"/>
  <c r="BF171" i="1" s="1"/>
  <c r="BC160" i="1"/>
  <c r="BH167" i="1"/>
  <c r="BI167" i="1" s="1"/>
  <c r="BI165" i="1"/>
  <c r="AT174" i="1" l="1"/>
  <c r="AQ199" i="1"/>
  <c r="AR185" i="1"/>
  <c r="AR190" i="1"/>
  <c r="AT190" i="1"/>
  <c r="AT197" i="1"/>
  <c r="AT199" i="1" s="1"/>
  <c r="AT185" i="1"/>
  <c r="AR174" i="1"/>
  <c r="AS193" i="1"/>
  <c r="AS173" i="1"/>
  <c r="BI166" i="1"/>
  <c r="AW193" i="1"/>
  <c r="AX170" i="1"/>
  <c r="AX172" i="1" s="1"/>
  <c r="AZ170" i="1"/>
  <c r="AZ172" i="1" s="1"/>
  <c r="AU193" i="1"/>
  <c r="AV170" i="1"/>
  <c r="AV172" i="1" s="1"/>
  <c r="AU173" i="1"/>
  <c r="AW173" i="1"/>
  <c r="BK161" i="1"/>
  <c r="BL159" i="1"/>
  <c r="BK167" i="1"/>
  <c r="BL167" i="1" s="1"/>
  <c r="BL165" i="1"/>
  <c r="BF160" i="1"/>
  <c r="AP174" i="1"/>
  <c r="AP190" i="1"/>
  <c r="AP185" i="1"/>
  <c r="BM171" i="1"/>
  <c r="BH171" i="1"/>
  <c r="BI161" i="1"/>
  <c r="BI171" i="1" s="1"/>
  <c r="BN159" i="1"/>
  <c r="BN165" i="1"/>
  <c r="BP159" i="1"/>
  <c r="BP161" i="1" s="1"/>
  <c r="BP165" i="1"/>
  <c r="BP167" i="1" s="1"/>
  <c r="AZ173" i="1" l="1"/>
  <c r="AX173" i="1"/>
  <c r="AV193" i="1"/>
  <c r="AS174" i="1"/>
  <c r="AS190" i="1"/>
  <c r="AS185" i="1"/>
  <c r="AV173" i="1"/>
  <c r="BP171" i="1"/>
  <c r="BO165" i="1"/>
  <c r="BN167" i="1"/>
  <c r="BO167" i="1" s="1"/>
  <c r="BL166" i="1"/>
  <c r="BI160" i="1"/>
  <c r="AW190" i="1"/>
  <c r="AW174" i="1"/>
  <c r="AW197" i="1"/>
  <c r="AW185" i="1"/>
  <c r="AZ193" i="1"/>
  <c r="BA170" i="1"/>
  <c r="BA172" i="1" s="1"/>
  <c r="BC170" i="1"/>
  <c r="BC172" i="1" s="1"/>
  <c r="AX193" i="1"/>
  <c r="AY170" i="1"/>
  <c r="AY172" i="1" s="1"/>
  <c r="BQ165" i="1"/>
  <c r="BQ159" i="1"/>
  <c r="BN161" i="1"/>
  <c r="BO159" i="1"/>
  <c r="BK171" i="1"/>
  <c r="BL161" i="1"/>
  <c r="BL171" i="1" s="1"/>
  <c r="AU190" i="1"/>
  <c r="AU174" i="1"/>
  <c r="AU185" i="1"/>
  <c r="AV190" i="1"/>
  <c r="AZ197" i="1" l="1"/>
  <c r="AZ199" i="1" s="1"/>
  <c r="AZ174" i="1"/>
  <c r="AZ190" i="1"/>
  <c r="AZ185" i="1"/>
  <c r="AX174" i="1"/>
  <c r="BA173" i="1"/>
  <c r="AV174" i="1"/>
  <c r="AX185" i="1"/>
  <c r="AX190" i="1"/>
  <c r="AY193" i="1"/>
  <c r="AV185" i="1"/>
  <c r="BO166" i="1"/>
  <c r="BQ167" i="1"/>
  <c r="BR167" i="1" s="1"/>
  <c r="BR165" i="1"/>
  <c r="BC193" i="1"/>
  <c r="BD170" i="1"/>
  <c r="BD172" i="1" s="1"/>
  <c r="BF170" i="1"/>
  <c r="BF172" i="1" s="1"/>
  <c r="BR159" i="1"/>
  <c r="BQ161" i="1"/>
  <c r="AY173" i="1"/>
  <c r="BC173" i="1"/>
  <c r="AW199" i="1"/>
  <c r="BL160" i="1"/>
  <c r="BN171" i="1"/>
  <c r="BO161" i="1"/>
  <c r="BO171" i="1" s="1"/>
  <c r="BA193" i="1"/>
  <c r="BB170" i="1"/>
  <c r="BB172" i="1" s="1"/>
  <c r="BA174" i="1" l="1"/>
  <c r="BA185" i="1"/>
  <c r="BA190" i="1"/>
  <c r="BB193" i="1"/>
  <c r="BF173" i="1"/>
  <c r="BD173" i="1"/>
  <c r="BR166" i="1"/>
  <c r="BB173" i="1"/>
  <c r="AY174" i="1"/>
  <c r="AY190" i="1"/>
  <c r="AY185" i="1"/>
  <c r="BF193" i="1"/>
  <c r="BI170" i="1"/>
  <c r="BI172" i="1" s="1"/>
  <c r="BG170" i="1"/>
  <c r="BG172" i="1" s="1"/>
  <c r="BC174" i="1"/>
  <c r="BC190" i="1"/>
  <c r="BC197" i="1"/>
  <c r="BC185" i="1"/>
  <c r="BQ171" i="1"/>
  <c r="BR161" i="1"/>
  <c r="BR171" i="1" s="1"/>
  <c r="BO160" i="1"/>
  <c r="BD193" i="1"/>
  <c r="BE170" i="1"/>
  <c r="BE172" i="1" s="1"/>
  <c r="BF190" i="1" l="1"/>
  <c r="BF174" i="1"/>
  <c r="BD174" i="1"/>
  <c r="BD185" i="1"/>
  <c r="BD190" i="1"/>
  <c r="BF185" i="1"/>
  <c r="BE193" i="1"/>
  <c r="BF197" i="1"/>
  <c r="BB174" i="1"/>
  <c r="BB185" i="1"/>
  <c r="BB190" i="1"/>
  <c r="BC199" i="1"/>
  <c r="BE173" i="1"/>
  <c r="BI193" i="1"/>
  <c r="BJ170" i="1"/>
  <c r="BJ172" i="1" s="1"/>
  <c r="BL170" i="1"/>
  <c r="BL172" i="1" s="1"/>
  <c r="BI173" i="1"/>
  <c r="BG193" i="1"/>
  <c r="BH170" i="1"/>
  <c r="BH172" i="1" s="1"/>
  <c r="BG173" i="1"/>
  <c r="BR160" i="1"/>
  <c r="BF199" i="1" l="1"/>
  <c r="BL173" i="1"/>
  <c r="BH193" i="1"/>
  <c r="BJ173" i="1"/>
  <c r="BH173" i="1"/>
  <c r="BG190" i="1"/>
  <c r="BG174" i="1"/>
  <c r="BG185" i="1"/>
  <c r="BL193" i="1"/>
  <c r="BM170" i="1"/>
  <c r="BM172" i="1" s="1"/>
  <c r="BO170" i="1"/>
  <c r="BO172" i="1" s="1"/>
  <c r="BI174" i="1"/>
  <c r="BI190" i="1"/>
  <c r="BI197" i="1"/>
  <c r="BI185" i="1"/>
  <c r="BJ193" i="1"/>
  <c r="BK170" i="1"/>
  <c r="BK172" i="1" s="1"/>
  <c r="BE190" i="1"/>
  <c r="BE174" i="1"/>
  <c r="BE185" i="1"/>
  <c r="BL197" i="1" l="1"/>
  <c r="BL174" i="1"/>
  <c r="BL190" i="1"/>
  <c r="BJ190" i="1"/>
  <c r="BL185" i="1"/>
  <c r="BK193" i="1"/>
  <c r="BJ185" i="1"/>
  <c r="BJ174" i="1"/>
  <c r="BM173" i="1"/>
  <c r="BH174" i="1"/>
  <c r="BH185" i="1"/>
  <c r="BH190" i="1"/>
  <c r="BK173" i="1"/>
  <c r="BO173" i="1"/>
  <c r="BO193" i="1"/>
  <c r="BR170" i="1"/>
  <c r="BR172" i="1" s="1"/>
  <c r="BP170" i="1"/>
  <c r="BP172" i="1" s="1"/>
  <c r="BN170" i="1"/>
  <c r="BN172" i="1" s="1"/>
  <c r="BM193" i="1"/>
  <c r="BI199" i="1"/>
  <c r="BM185" i="1" l="1"/>
  <c r="BM190" i="1"/>
  <c r="BL199" i="1"/>
  <c r="BM174" i="1"/>
  <c r="BO197" i="1"/>
  <c r="BP173" i="1"/>
  <c r="BN193" i="1"/>
  <c r="BR173" i="1"/>
  <c r="BO185" i="1"/>
  <c r="BK190" i="1"/>
  <c r="BO190" i="1"/>
  <c r="BO174" i="1"/>
  <c r="BK185" i="1"/>
  <c r="BK174" i="1"/>
  <c r="BN173" i="1"/>
  <c r="BP193" i="1"/>
  <c r="BQ170" i="1"/>
  <c r="BQ172" i="1" s="1"/>
  <c r="BR193" i="1"/>
  <c r="BP190" i="1" l="1"/>
  <c r="BR197" i="1"/>
  <c r="BP185" i="1"/>
  <c r="BR190" i="1"/>
  <c r="BR174" i="1"/>
  <c r="BO199" i="1"/>
  <c r="BP174" i="1"/>
  <c r="BR185" i="1"/>
  <c r="BQ193" i="1"/>
  <c r="BN190" i="1"/>
  <c r="BN174" i="1"/>
  <c r="BN185" i="1"/>
  <c r="BQ173" i="1"/>
  <c r="BR199" i="1" l="1"/>
  <c r="BQ190" i="1"/>
  <c r="BQ174" i="1"/>
  <c r="BQ185" i="1"/>
  <c r="AI1280" i="1" l="1"/>
  <c r="AH1283" i="1"/>
  <c r="AF1167" i="1" l="1"/>
  <c r="AF536" i="1" s="1"/>
  <c r="AF337" i="1"/>
  <c r="AI1454" i="1"/>
  <c r="AH1285" i="1"/>
  <c r="AI1295" i="1"/>
  <c r="AI1296" i="1"/>
  <c r="AK1296" i="1" s="1"/>
  <c r="AJ1297" i="1"/>
  <c r="AI1288" i="1"/>
  <c r="AF338" i="1"/>
  <c r="AF538" i="1" l="1"/>
  <c r="AF567" i="1"/>
  <c r="AF568" i="1" s="1"/>
  <c r="AF541" i="1"/>
  <c r="AK1297" i="1"/>
  <c r="AK1295" i="1"/>
  <c r="AH337" i="1"/>
  <c r="AH1167" i="1"/>
  <c r="AH1184" i="1" s="1"/>
  <c r="AK1454" i="1"/>
  <c r="AH1286" i="1"/>
  <c r="AK1288" i="1"/>
  <c r="AH338" i="1"/>
  <c r="AF1184" i="1"/>
  <c r="AF543" i="1" l="1"/>
  <c r="AF582" i="1" s="1"/>
  <c r="AF580" i="1" s="1"/>
  <c r="AF8" i="1"/>
  <c r="AF570" i="1"/>
  <c r="AF571" i="1" s="1"/>
  <c r="AH1287" i="1"/>
  <c r="AH536" i="1"/>
  <c r="AF225" i="1" l="1"/>
  <c r="AF237" i="1"/>
  <c r="AF241" i="1"/>
  <c r="AF236" i="1"/>
  <c r="AF227" i="1"/>
  <c r="AF226" i="1"/>
  <c r="AI581" i="1"/>
  <c r="AF276" i="1"/>
  <c r="AF336" i="1"/>
  <c r="AH538" i="1"/>
  <c r="AH336" i="1" s="1"/>
  <c r="AH541" i="1"/>
  <c r="AH1453" i="1"/>
  <c r="AH1455" i="1" s="1"/>
  <c r="AH1456" i="1" s="1"/>
  <c r="AF1303" i="1"/>
  <c r="AF1304" i="1"/>
  <c r="AF239" i="1" l="1"/>
  <c r="AF1168" i="1"/>
  <c r="AF269" i="1"/>
  <c r="AF271" i="1"/>
  <c r="AF268" i="1"/>
  <c r="AF272" i="1"/>
  <c r="AF588" i="1"/>
  <c r="AF590" i="1" s="1"/>
  <c r="AH8" i="1"/>
  <c r="AH276" i="1"/>
  <c r="AH543" i="1"/>
  <c r="AH582" i="1" s="1"/>
  <c r="AH580" i="1" s="1"/>
  <c r="AK581" i="1"/>
  <c r="AF273" i="1"/>
  <c r="AF270" i="1"/>
  <c r="AF574" i="1" l="1"/>
  <c r="AF577" i="1"/>
  <c r="AH268" i="1"/>
  <c r="AH272" i="1"/>
  <c r="AH269" i="1"/>
  <c r="AH271" i="1"/>
  <c r="AH273" i="1"/>
  <c r="AF1169" i="1"/>
  <c r="AF1171" i="1"/>
  <c r="E4" i="4"/>
  <c r="AH130" i="1"/>
  <c r="AH118" i="1"/>
  <c r="AH119" i="1"/>
  <c r="AH126" i="1"/>
  <c r="R46" i="4" s="1"/>
  <c r="AH120" i="1"/>
  <c r="AH129" i="1"/>
  <c r="AH241" i="1"/>
  <c r="R43" i="4" s="1"/>
  <c r="AH270" i="1"/>
  <c r="AF583" i="1" l="1"/>
  <c r="E5" i="4"/>
  <c r="AF1172" i="1"/>
  <c r="AH577" i="1"/>
  <c r="AF595" i="1" l="1"/>
  <c r="AF59" i="1"/>
  <c r="AF68" i="1" s="1"/>
  <c r="AH68" i="1" l="1"/>
  <c r="AF593" i="1"/>
  <c r="AF591" i="1" l="1"/>
  <c r="AG187" i="1" l="1"/>
  <c r="AH187" i="1" l="1"/>
  <c r="AH85" i="1" l="1"/>
  <c r="E41" i="4" l="1"/>
  <c r="AI1260" i="1" l="1"/>
  <c r="AL1260" i="1" s="1"/>
  <c r="AN1260" i="1" l="1"/>
  <c r="AN1264" i="1" s="1"/>
  <c r="AL1261" i="1"/>
  <c r="AO1260" i="1"/>
  <c r="AI1261" i="1"/>
  <c r="AK1260" i="1"/>
  <c r="AK1265" i="1" s="1"/>
  <c r="AH1260" i="1"/>
  <c r="AK1263" i="1" l="1"/>
  <c r="AR1260" i="1"/>
  <c r="AQ1260" i="1"/>
  <c r="AQ1264" i="1" s="1"/>
  <c r="AO1261" i="1"/>
  <c r="AH1263" i="1"/>
  <c r="AH1264" i="1"/>
  <c r="AH1261" i="1"/>
  <c r="AH1265" i="1"/>
  <c r="AN1261" i="1"/>
  <c r="AK1261" i="1"/>
  <c r="AK1264" i="1"/>
  <c r="AN1263" i="1"/>
  <c r="AN1265" i="1"/>
  <c r="AN1266" i="1" l="1"/>
  <c r="AN1262" i="1" s="1"/>
  <c r="AQ1265" i="1"/>
  <c r="AH1266" i="1"/>
  <c r="AH1262" i="1" s="1"/>
  <c r="AQ1263" i="1"/>
  <c r="AK1266" i="1"/>
  <c r="AK1262" i="1" s="1"/>
  <c r="AQ1261" i="1"/>
  <c r="AT1260" i="1"/>
  <c r="AT1265" i="1" s="1"/>
  <c r="AR1261" i="1"/>
  <c r="AU1260" i="1"/>
  <c r="AQ1266" i="1" l="1"/>
  <c r="AQ1262" i="1" s="1"/>
  <c r="AT1261" i="1"/>
  <c r="AX1260" i="1"/>
  <c r="AW1260" i="1"/>
  <c r="AW1265" i="1" s="1"/>
  <c r="AU1261" i="1"/>
  <c r="AT1263" i="1"/>
  <c r="AT1264" i="1"/>
  <c r="AT1266" i="1" l="1"/>
  <c r="AT1262" i="1" s="1"/>
  <c r="AZ1260" i="1"/>
  <c r="AZ1264" i="1" s="1"/>
  <c r="AX1261" i="1"/>
  <c r="BA1260" i="1"/>
  <c r="AW1264" i="1"/>
  <c r="AW1261" i="1"/>
  <c r="AW1263" i="1"/>
  <c r="AW1266" i="1" l="1"/>
  <c r="AW1262" i="1" s="1"/>
  <c r="AZ1261" i="1"/>
  <c r="AZ1263" i="1"/>
  <c r="AZ1265" i="1"/>
  <c r="BD1260" i="1"/>
  <c r="BC1260" i="1"/>
  <c r="BC1264" i="1" s="1"/>
  <c r="BA1261" i="1"/>
  <c r="AZ1266" i="1" l="1"/>
  <c r="AZ1262" i="1" s="1"/>
  <c r="BC1261" i="1"/>
  <c r="BF1260" i="1"/>
  <c r="BF1264" i="1" s="1"/>
  <c r="BD1261" i="1"/>
  <c r="BG1260" i="1"/>
  <c r="BC1265" i="1"/>
  <c r="BC1263" i="1"/>
  <c r="BC1266" i="1" l="1"/>
  <c r="BC1262" i="1" s="1"/>
  <c r="BF1265" i="1"/>
  <c r="BF1263" i="1"/>
  <c r="BJ1260" i="1"/>
  <c r="BI1260" i="1"/>
  <c r="BI1265" i="1" s="1"/>
  <c r="BG1261" i="1"/>
  <c r="BF1261" i="1"/>
  <c r="BF1266" i="1" l="1"/>
  <c r="BF1262" i="1" s="1"/>
  <c r="BI1263" i="1"/>
  <c r="BI1261" i="1"/>
  <c r="BL1260" i="1"/>
  <c r="BL1264" i="1" s="1"/>
  <c r="BJ1261" i="1"/>
  <c r="BM1260" i="1"/>
  <c r="BI1264" i="1"/>
  <c r="BI1266" i="1" l="1"/>
  <c r="BI1262" i="1" s="1"/>
  <c r="BL1261" i="1"/>
  <c r="BP1260" i="1"/>
  <c r="BO1260" i="1"/>
  <c r="BO1264" i="1" s="1"/>
  <c r="BM1261" i="1"/>
  <c r="BL1263" i="1"/>
  <c r="BL1265" i="1"/>
  <c r="BL1266" i="1" l="1"/>
  <c r="BL1262" i="1" s="1"/>
  <c r="BO1263" i="1"/>
  <c r="BO1261" i="1"/>
  <c r="BR1260" i="1"/>
  <c r="BR1265" i="1" s="1"/>
  <c r="BP1261" i="1"/>
  <c r="BO1265" i="1"/>
  <c r="BR1264" i="1" l="1"/>
  <c r="BO1266" i="1"/>
  <c r="BO1262" i="1" s="1"/>
  <c r="BR1261" i="1"/>
  <c r="BR1263" i="1"/>
  <c r="BR1266" i="1" l="1"/>
  <c r="BR1262" i="1" s="1"/>
  <c r="AI1279" i="1"/>
  <c r="AI1451" i="1" s="1"/>
  <c r="AI576" i="1" s="1"/>
  <c r="AF1276" i="1" l="1"/>
  <c r="AI1252" i="1"/>
  <c r="AH1252" i="1"/>
  <c r="AH1256" i="1" l="1"/>
  <c r="AH1253" i="1"/>
  <c r="AH1257" i="1"/>
  <c r="AH1277" i="1"/>
  <c r="AH1255" i="1"/>
  <c r="AK1252" i="1"/>
  <c r="AK1255" i="1" s="1"/>
  <c r="AI1253" i="1"/>
  <c r="AI1277" i="1"/>
  <c r="AL1279" i="1" s="1"/>
  <c r="AL1451" i="1" s="1"/>
  <c r="AL576" i="1" s="1"/>
  <c r="AL1252" i="1"/>
  <c r="AH1276" i="1"/>
  <c r="AI1276" i="1"/>
  <c r="AH1258" i="1" l="1"/>
  <c r="AH1246" i="1" s="1"/>
  <c r="AN1252" i="1"/>
  <c r="AN1256" i="1" s="1"/>
  <c r="AL1253" i="1"/>
  <c r="AL1277" i="1"/>
  <c r="AO1279" i="1" s="1"/>
  <c r="AO1451" i="1" s="1"/>
  <c r="AO576" i="1" s="1"/>
  <c r="AO1252" i="1"/>
  <c r="AK1253" i="1"/>
  <c r="AK1277" i="1"/>
  <c r="AK1248" i="1" s="1"/>
  <c r="AK1256" i="1"/>
  <c r="AK1276" i="1"/>
  <c r="AL1276" i="1"/>
  <c r="AI1283" i="1"/>
  <c r="AI1249" i="1"/>
  <c r="AL1280" i="1"/>
  <c r="AI1250" i="1"/>
  <c r="AI1278" i="1"/>
  <c r="AK1257" i="1"/>
  <c r="AI1248" i="1"/>
  <c r="AH1249" i="1"/>
  <c r="AK1280" i="1"/>
  <c r="AH1250" i="1"/>
  <c r="AH1278" i="1"/>
  <c r="AH1248" i="1"/>
  <c r="AN1255" i="1" l="1"/>
  <c r="AH1254" i="1"/>
  <c r="AN1257" i="1"/>
  <c r="AK1258" i="1"/>
  <c r="AK1246" i="1" s="1"/>
  <c r="AH362" i="1"/>
  <c r="AI1285" i="1"/>
  <c r="AI338" i="1" s="1"/>
  <c r="AK1283" i="1"/>
  <c r="AL1249" i="1"/>
  <c r="AO1280" i="1"/>
  <c r="AL1250" i="1"/>
  <c r="AL1278" i="1"/>
  <c r="AL1283" i="1"/>
  <c r="AN1276" i="1"/>
  <c r="AO1276" i="1"/>
  <c r="AI362" i="1"/>
  <c r="AL1246" i="1"/>
  <c r="AK1250" i="1"/>
  <c r="AK1278" i="1"/>
  <c r="AK1249" i="1"/>
  <c r="AK362" i="1" s="1"/>
  <c r="AN1280" i="1"/>
  <c r="AN1253" i="1"/>
  <c r="AN1277" i="1"/>
  <c r="AN1248" i="1" s="1"/>
  <c r="R68" i="4"/>
  <c r="AH1279" i="1"/>
  <c r="AL1248" i="1"/>
  <c r="AQ1252" i="1"/>
  <c r="AQ1255" i="1" s="1"/>
  <c r="AO1253" i="1"/>
  <c r="AO1277" i="1"/>
  <c r="AR1279" i="1" s="1"/>
  <c r="AR1451" i="1" s="1"/>
  <c r="AR576" i="1" s="1"/>
  <c r="AR1252" i="1"/>
  <c r="AN1258" i="1" l="1"/>
  <c r="AN1254" i="1" s="1"/>
  <c r="AK1254" i="1"/>
  <c r="AQ1256" i="1"/>
  <c r="AQ1257" i="1"/>
  <c r="AH1451" i="1"/>
  <c r="AH576" i="1" s="1"/>
  <c r="AH574" i="1" s="1"/>
  <c r="S68" i="4"/>
  <c r="AK1279" i="1"/>
  <c r="AT1252" i="1"/>
  <c r="AT1255" i="1" s="1"/>
  <c r="AR1253" i="1"/>
  <c r="AR1277" i="1"/>
  <c r="AR1248" i="1" s="1"/>
  <c r="AU1252" i="1"/>
  <c r="AN1249" i="1"/>
  <c r="AN362" i="1" s="1"/>
  <c r="AQ1280" i="1"/>
  <c r="AN1250" i="1"/>
  <c r="AN1278" i="1"/>
  <c r="AL362" i="1"/>
  <c r="AO1246" i="1"/>
  <c r="AQ1276" i="1"/>
  <c r="AR1276" i="1"/>
  <c r="AQ1253" i="1"/>
  <c r="AQ1277" i="1"/>
  <c r="AQ1248" i="1" s="1"/>
  <c r="AO1283" i="1"/>
  <c r="AO1249" i="1"/>
  <c r="AR1280" i="1"/>
  <c r="AO1250" i="1"/>
  <c r="AO1278" i="1"/>
  <c r="AO1248" i="1"/>
  <c r="AN1283" i="1"/>
  <c r="AL1285" i="1"/>
  <c r="AL338" i="1" s="1"/>
  <c r="AI337" i="1"/>
  <c r="AI1286" i="1"/>
  <c r="AI1167" i="1"/>
  <c r="AL1288" i="1"/>
  <c r="AL1296" i="1"/>
  <c r="AN1296" i="1" s="1"/>
  <c r="AL1454" i="1"/>
  <c r="AK1285" i="1"/>
  <c r="AK338" i="1" s="1"/>
  <c r="AL1295" i="1"/>
  <c r="AM1297" i="1"/>
  <c r="AN1246" i="1" l="1"/>
  <c r="AQ1258" i="1"/>
  <c r="AQ1254" i="1" s="1"/>
  <c r="AT1256" i="1"/>
  <c r="AN1297" i="1"/>
  <c r="AI1287" i="1"/>
  <c r="AQ1250" i="1"/>
  <c r="AQ1278" i="1"/>
  <c r="AQ1279" i="1" s="1"/>
  <c r="AQ1451" i="1" s="1"/>
  <c r="AQ576" i="1" s="1"/>
  <c r="AQ1249" i="1"/>
  <c r="AQ362" i="1" s="1"/>
  <c r="AT1280" i="1"/>
  <c r="AT1276" i="1"/>
  <c r="AW1252" i="1"/>
  <c r="AW1255" i="1" s="1"/>
  <c r="AU1253" i="1"/>
  <c r="AU1277" i="1"/>
  <c r="AU1248" i="1" s="1"/>
  <c r="AX1252" i="1"/>
  <c r="AT1253" i="1"/>
  <c r="AT1277" i="1"/>
  <c r="AT1248" i="1" s="1"/>
  <c r="AH583" i="1"/>
  <c r="AR1249" i="1"/>
  <c r="AR362" i="1" s="1"/>
  <c r="AU1280" i="1"/>
  <c r="AR1250" i="1"/>
  <c r="AR1278" i="1"/>
  <c r="AR1283" i="1"/>
  <c r="AL337" i="1"/>
  <c r="AL1167" i="1"/>
  <c r="AN1285" i="1"/>
  <c r="AN338" i="1" s="1"/>
  <c r="AO1295" i="1"/>
  <c r="AP1297" i="1"/>
  <c r="AL1286" i="1"/>
  <c r="AO1288" i="1"/>
  <c r="AO1296" i="1"/>
  <c r="AQ1296" i="1" s="1"/>
  <c r="AO1454" i="1"/>
  <c r="AU1279" i="1"/>
  <c r="AU1451" i="1" s="1"/>
  <c r="AU576" i="1" s="1"/>
  <c r="AK1451" i="1"/>
  <c r="AK576" i="1" s="1"/>
  <c r="AN1295" i="1"/>
  <c r="AO362" i="1"/>
  <c r="AR1246" i="1"/>
  <c r="AK337" i="1"/>
  <c r="AK1167" i="1"/>
  <c r="AK1184" i="1" s="1"/>
  <c r="AK1286" i="1"/>
  <c r="AN1288" i="1"/>
  <c r="AN1454" i="1"/>
  <c r="AI536" i="1"/>
  <c r="AI1184" i="1"/>
  <c r="AO1285" i="1"/>
  <c r="AO338" i="1" s="1"/>
  <c r="AQ1283" i="1"/>
  <c r="T68" i="4"/>
  <c r="AN1279" i="1"/>
  <c r="AT1257" i="1"/>
  <c r="AQ1246" i="1" l="1"/>
  <c r="AT1258" i="1"/>
  <c r="AT1246" i="1" s="1"/>
  <c r="AW1257" i="1"/>
  <c r="AU1246" i="1"/>
  <c r="AX1279" i="1"/>
  <c r="AX1451" i="1" s="1"/>
  <c r="AX576" i="1" s="1"/>
  <c r="AT1283" i="1"/>
  <c r="AR1285" i="1"/>
  <c r="AN1451" i="1"/>
  <c r="AN576" i="1" s="1"/>
  <c r="AP1302" i="1"/>
  <c r="AQ1297" i="1"/>
  <c r="AK1287" i="1"/>
  <c r="AN337" i="1"/>
  <c r="AN1167" i="1"/>
  <c r="AN1184" i="1" s="1"/>
  <c r="AQ1454" i="1"/>
  <c r="AN1286" i="1"/>
  <c r="AQ1288" i="1"/>
  <c r="AT1249" i="1"/>
  <c r="AT362" i="1" s="1"/>
  <c r="AW1280" i="1"/>
  <c r="AT1250" i="1"/>
  <c r="AT1278" i="1"/>
  <c r="AT1279" i="1" s="1"/>
  <c r="AT1451" i="1" s="1"/>
  <c r="AT576" i="1" s="1"/>
  <c r="AZ1252" i="1"/>
  <c r="AZ1256" i="1" s="1"/>
  <c r="AX1253" i="1"/>
  <c r="AX1277" i="1"/>
  <c r="BA1279" i="1" s="1"/>
  <c r="BA1451" i="1" s="1"/>
  <c r="BA576" i="1" s="1"/>
  <c r="BA1252" i="1"/>
  <c r="AW1253" i="1"/>
  <c r="AW1277" i="1"/>
  <c r="AW1248" i="1" s="1"/>
  <c r="AI1453" i="1"/>
  <c r="AI1455" i="1" s="1"/>
  <c r="AI1456" i="1" s="1"/>
  <c r="AQ1295" i="1"/>
  <c r="AO1302" i="1"/>
  <c r="AO337" i="1"/>
  <c r="AO1286" i="1"/>
  <c r="AO1167" i="1"/>
  <c r="AR1288" i="1"/>
  <c r="AR1296" i="1"/>
  <c r="AT1296" i="1" s="1"/>
  <c r="AQ1285" i="1"/>
  <c r="AQ338" i="1" s="1"/>
  <c r="AR1454" i="1"/>
  <c r="AR1295" i="1"/>
  <c r="AS1297" i="1"/>
  <c r="AI538" i="1"/>
  <c r="AI541" i="1"/>
  <c r="AK536" i="1"/>
  <c r="AL1287" i="1"/>
  <c r="AL536" i="1"/>
  <c r="AL1184" i="1"/>
  <c r="AU1283" i="1"/>
  <c r="AU1249" i="1"/>
  <c r="AU362" i="1" s="1"/>
  <c r="AX1280" i="1"/>
  <c r="AU1250" i="1"/>
  <c r="AU1278" i="1"/>
  <c r="AW1256" i="1"/>
  <c r="AU1276" i="1"/>
  <c r="AT1254" i="1" l="1"/>
  <c r="AZ1255" i="1"/>
  <c r="AQ1302" i="1"/>
  <c r="AX1248" i="1"/>
  <c r="AZ1257" i="1"/>
  <c r="AX1246" i="1"/>
  <c r="AL1453" i="1"/>
  <c r="AL1455" i="1" s="1"/>
  <c r="AL1456" i="1" s="1"/>
  <c r="AR1302" i="1"/>
  <c r="AT1295" i="1"/>
  <c r="AW1258" i="1"/>
  <c r="AW1246" i="1" s="1"/>
  <c r="BC1252" i="1"/>
  <c r="BC1256" i="1" s="1"/>
  <c r="BA1253" i="1"/>
  <c r="BA1277" i="1"/>
  <c r="BD1252" i="1"/>
  <c r="AR337" i="1"/>
  <c r="AR1167" i="1"/>
  <c r="AR1286" i="1"/>
  <c r="AU1295" i="1"/>
  <c r="AV1297" i="1"/>
  <c r="AU1288" i="1"/>
  <c r="AU1296" i="1"/>
  <c r="AW1296" i="1" s="1"/>
  <c r="AT1285" i="1"/>
  <c r="AT338" i="1" s="1"/>
  <c r="AU1454" i="1"/>
  <c r="AN536" i="1"/>
  <c r="AL541" i="1"/>
  <c r="AL538" i="1"/>
  <c r="AU1285" i="1"/>
  <c r="AW1283" i="1"/>
  <c r="AI8" i="1"/>
  <c r="AI276" i="1"/>
  <c r="AI543" i="1"/>
  <c r="AI582" i="1" s="1"/>
  <c r="AI580" i="1" s="1"/>
  <c r="AL581" i="1"/>
  <c r="AX1249" i="1"/>
  <c r="BA1280" i="1"/>
  <c r="AX1250" i="1"/>
  <c r="AX1278" i="1"/>
  <c r="AX1283" i="1"/>
  <c r="AN1287" i="1"/>
  <c r="AW1276" i="1"/>
  <c r="AX1276" i="1"/>
  <c r="AK538" i="1"/>
  <c r="AK541" i="1"/>
  <c r="AO1287" i="1"/>
  <c r="AZ1253" i="1"/>
  <c r="AZ1277" i="1"/>
  <c r="AZ1248" i="1" s="1"/>
  <c r="AI336" i="1"/>
  <c r="AQ337" i="1"/>
  <c r="AQ1167" i="1"/>
  <c r="AQ1184" i="1" s="1"/>
  <c r="AT1288" i="1"/>
  <c r="AT1454" i="1"/>
  <c r="AQ1286" i="1"/>
  <c r="AO536" i="1"/>
  <c r="AO1184" i="1"/>
  <c r="AR338" i="1"/>
  <c r="AT1297" i="1"/>
  <c r="AS1302" i="1"/>
  <c r="AW1250" i="1"/>
  <c r="AW1278" i="1"/>
  <c r="AW1279" i="1" s="1"/>
  <c r="AW1451" i="1" s="1"/>
  <c r="AW576" i="1" s="1"/>
  <c r="AW1249" i="1"/>
  <c r="AW362" i="1" s="1"/>
  <c r="AZ1280" i="1"/>
  <c r="AK1453" i="1"/>
  <c r="AK1455" i="1" s="1"/>
  <c r="AK1456" i="1" s="1"/>
  <c r="AZ1258" i="1" l="1"/>
  <c r="AZ1254" i="1" s="1"/>
  <c r="AX362" i="1"/>
  <c r="BA1246" i="1"/>
  <c r="AI241" i="1"/>
  <c r="AI270" i="1"/>
  <c r="AI273" i="1"/>
  <c r="AK8" i="1"/>
  <c r="AN581" i="1"/>
  <c r="AK276" i="1"/>
  <c r="AK543" i="1"/>
  <c r="AK582" i="1" s="1"/>
  <c r="AK580" i="1" s="1"/>
  <c r="AZ1276" i="1"/>
  <c r="BA1276" i="1"/>
  <c r="AW1297" i="1"/>
  <c r="AV1302" i="1"/>
  <c r="BF1252" i="1"/>
  <c r="BF1255" i="1" s="1"/>
  <c r="BD1253" i="1"/>
  <c r="BD1277" i="1"/>
  <c r="BD1248" i="1" s="1"/>
  <c r="BG1252" i="1"/>
  <c r="BC1253" i="1"/>
  <c r="BC1277" i="1"/>
  <c r="AQ1287" i="1"/>
  <c r="AQ1453" i="1" s="1"/>
  <c r="AQ1455" i="1" s="1"/>
  <c r="AQ1456" i="1" s="1"/>
  <c r="AN1453" i="1"/>
  <c r="AN1455" i="1" s="1"/>
  <c r="AN1456" i="1" s="1"/>
  <c r="AL8" i="1"/>
  <c r="AO581" i="1"/>
  <c r="AL276" i="1"/>
  <c r="AL543" i="1"/>
  <c r="AL582" i="1" s="1"/>
  <c r="AL580" i="1" s="1"/>
  <c r="AZ1249" i="1"/>
  <c r="AZ362" i="1" s="1"/>
  <c r="BC1280" i="1"/>
  <c r="AZ1250" i="1"/>
  <c r="AZ1278" i="1"/>
  <c r="AZ1279" i="1" s="1"/>
  <c r="AZ1451" i="1" s="1"/>
  <c r="AZ576" i="1" s="1"/>
  <c r="AK336" i="1"/>
  <c r="AZ1283" i="1"/>
  <c r="AX1285" i="1"/>
  <c r="AU337" i="1"/>
  <c r="AU1167" i="1"/>
  <c r="AU1286" i="1"/>
  <c r="AW1285" i="1"/>
  <c r="AW338" i="1" s="1"/>
  <c r="AX1288" i="1"/>
  <c r="AX1296" i="1"/>
  <c r="AZ1296" i="1" s="1"/>
  <c r="AX1454" i="1"/>
  <c r="AX1295" i="1"/>
  <c r="AY1297" i="1"/>
  <c r="AL336" i="1"/>
  <c r="AT337" i="1"/>
  <c r="AT1167" i="1"/>
  <c r="AT1184" i="1" s="1"/>
  <c r="AW1454" i="1"/>
  <c r="AT1286" i="1"/>
  <c r="AW1288" i="1"/>
  <c r="AW1295" i="1"/>
  <c r="AU1302" i="1"/>
  <c r="BA1283" i="1"/>
  <c r="BA1249" i="1"/>
  <c r="BD1280" i="1"/>
  <c r="BA1250" i="1"/>
  <c r="BA1278" i="1"/>
  <c r="BA1248" i="1"/>
  <c r="AT1302" i="1"/>
  <c r="AO538" i="1"/>
  <c r="AO336" i="1" s="1"/>
  <c r="AO541" i="1"/>
  <c r="AQ536" i="1"/>
  <c r="AO1453" i="1"/>
  <c r="AO1455" i="1" s="1"/>
  <c r="AO1456" i="1" s="1"/>
  <c r="AI268" i="1"/>
  <c r="AI269" i="1"/>
  <c r="AI271" i="1"/>
  <c r="AI272" i="1"/>
  <c r="AU338" i="1"/>
  <c r="AN538" i="1"/>
  <c r="AN541" i="1"/>
  <c r="AR1287" i="1"/>
  <c r="BD1279" i="1"/>
  <c r="BD1451" i="1" s="1"/>
  <c r="BD576" i="1" s="1"/>
  <c r="BC1255" i="1"/>
  <c r="BC1257" i="1"/>
  <c r="AW1254" i="1"/>
  <c r="AR536" i="1"/>
  <c r="AR1184" i="1"/>
  <c r="AI577" i="1" l="1"/>
  <c r="AZ1246" i="1"/>
  <c r="AW1302" i="1"/>
  <c r="AI574" i="1"/>
  <c r="BC1258" i="1"/>
  <c r="BC1246" i="1" s="1"/>
  <c r="BG1279" i="1"/>
  <c r="BG1451" i="1" s="1"/>
  <c r="BG576" i="1" s="1"/>
  <c r="BA362" i="1"/>
  <c r="BD1246" i="1"/>
  <c r="BI1252" i="1"/>
  <c r="BI1255" i="1" s="1"/>
  <c r="BG1253" i="1"/>
  <c r="BG1277" i="1"/>
  <c r="BJ1279" i="1" s="1"/>
  <c r="BJ1451" i="1" s="1"/>
  <c r="BJ576" i="1" s="1"/>
  <c r="BJ1252" i="1"/>
  <c r="AN8" i="1"/>
  <c r="AN543" i="1"/>
  <c r="AN582" i="1" s="1"/>
  <c r="AN580" i="1" s="1"/>
  <c r="AQ581" i="1"/>
  <c r="AN276" i="1"/>
  <c r="BA1285" i="1"/>
  <c r="BA338" i="1" s="1"/>
  <c r="BC1283" i="1"/>
  <c r="AT1287" i="1"/>
  <c r="AT1453" i="1" s="1"/>
  <c r="AT1455" i="1" s="1"/>
  <c r="AT1456" i="1" s="1"/>
  <c r="AL270" i="1"/>
  <c r="AL273" i="1"/>
  <c r="AU1287" i="1"/>
  <c r="BD1249" i="1"/>
  <c r="BD362" i="1" s="1"/>
  <c r="BG1280" i="1"/>
  <c r="BD1250" i="1"/>
  <c r="BD1278" i="1"/>
  <c r="BD1283" i="1"/>
  <c r="AK268" i="1"/>
  <c r="AK269" i="1"/>
  <c r="AK271" i="1"/>
  <c r="AK272" i="1"/>
  <c r="AO8" i="1"/>
  <c r="AO276" i="1"/>
  <c r="AO270" i="1" s="1"/>
  <c r="AO543" i="1"/>
  <c r="AO582" i="1" s="1"/>
  <c r="AO580" i="1" s="1"/>
  <c r="AR581" i="1"/>
  <c r="AX337" i="1"/>
  <c r="AX1167" i="1"/>
  <c r="BA1295" i="1"/>
  <c r="BB1297" i="1"/>
  <c r="AZ1285" i="1"/>
  <c r="AZ338" i="1" s="1"/>
  <c r="BA1288" i="1"/>
  <c r="BA1296" i="1"/>
  <c r="BC1296" i="1" s="1"/>
  <c r="AX1286" i="1"/>
  <c r="BA1454" i="1"/>
  <c r="BC1250" i="1"/>
  <c r="BC1278" i="1"/>
  <c r="BC1279" i="1" s="1"/>
  <c r="BC1451" i="1" s="1"/>
  <c r="BC576" i="1" s="1"/>
  <c r="BC1249" i="1"/>
  <c r="BF1280" i="1"/>
  <c r="BF1253" i="1"/>
  <c r="BF1277" i="1"/>
  <c r="BF1248" i="1" s="1"/>
  <c r="AR1453" i="1"/>
  <c r="AR1455" i="1" s="1"/>
  <c r="AR1456" i="1" s="1"/>
  <c r="AQ538" i="1"/>
  <c r="AQ336" i="1" s="1"/>
  <c r="AQ541" i="1"/>
  <c r="AY1302" i="1"/>
  <c r="AZ1297" i="1"/>
  <c r="AU536" i="1"/>
  <c r="AU1184" i="1"/>
  <c r="AX338" i="1"/>
  <c r="AL241" i="1"/>
  <c r="BC1248" i="1"/>
  <c r="BF1256" i="1"/>
  <c r="BC1276" i="1"/>
  <c r="BD1276" i="1"/>
  <c r="AT536" i="1"/>
  <c r="AR541" i="1"/>
  <c r="AR538" i="1"/>
  <c r="AN336" i="1"/>
  <c r="AX1302" i="1"/>
  <c r="AZ1295" i="1"/>
  <c r="AK270" i="1"/>
  <c r="AK273" i="1"/>
  <c r="BF1257" i="1"/>
  <c r="F4" i="4"/>
  <c r="F5" i="4" s="1"/>
  <c r="AK126" i="1"/>
  <c r="S46" i="4" s="1"/>
  <c r="AK129" i="1"/>
  <c r="AK130" i="1"/>
  <c r="AK120" i="1"/>
  <c r="AK241" i="1"/>
  <c r="S43" i="4" s="1"/>
  <c r="AK119" i="1"/>
  <c r="AK118" i="1"/>
  <c r="AW337" i="1"/>
  <c r="AW1167" i="1"/>
  <c r="AW1184" i="1" s="1"/>
  <c r="AZ1288" i="1"/>
  <c r="AW1286" i="1"/>
  <c r="AZ1454" i="1"/>
  <c r="AL269" i="1"/>
  <c r="AL272" i="1"/>
  <c r="AL271" i="1"/>
  <c r="AL268" i="1"/>
  <c r="AI583" i="1" l="1"/>
  <c r="AL574" i="1"/>
  <c r="BF1258" i="1"/>
  <c r="BF1254" i="1" s="1"/>
  <c r="BC1254" i="1"/>
  <c r="BG1246" i="1"/>
  <c r="AL577" i="1"/>
  <c r="BG1248" i="1"/>
  <c r="BI1257" i="1"/>
  <c r="AW1287" i="1"/>
  <c r="AW1453" i="1" s="1"/>
  <c r="AW1455" i="1" s="1"/>
  <c r="AW1456" i="1" s="1"/>
  <c r="AT538" i="1"/>
  <c r="AT336" i="1" s="1"/>
  <c r="AT541" i="1"/>
  <c r="AZ1302" i="1"/>
  <c r="AR8" i="1"/>
  <c r="AU581" i="1"/>
  <c r="AR276" i="1"/>
  <c r="AR543" i="1"/>
  <c r="AR582" i="1" s="1"/>
  <c r="AR580" i="1" s="1"/>
  <c r="BC1295" i="1"/>
  <c r="BA1302" i="1"/>
  <c r="AK574" i="1"/>
  <c r="AN268" i="1"/>
  <c r="AN269" i="1"/>
  <c r="AN271" i="1"/>
  <c r="AN272" i="1"/>
  <c r="BC362" i="1"/>
  <c r="AZ337" i="1"/>
  <c r="AZ1167" i="1"/>
  <c r="AZ1184" i="1" s="1"/>
  <c r="AZ1286" i="1"/>
  <c r="BC1454" i="1"/>
  <c r="BC1288" i="1"/>
  <c r="AX536" i="1"/>
  <c r="AX1184" i="1"/>
  <c r="AO268" i="1"/>
  <c r="AO269" i="1"/>
  <c r="AO574" i="1" s="1"/>
  <c r="AO271" i="1"/>
  <c r="AO272" i="1"/>
  <c r="BA337" i="1"/>
  <c r="BA1286" i="1"/>
  <c r="BA1167" i="1"/>
  <c r="BD1288" i="1"/>
  <c r="BD1296" i="1"/>
  <c r="BF1296" i="1" s="1"/>
  <c r="BD1454" i="1"/>
  <c r="BD1295" i="1"/>
  <c r="BE1297" i="1"/>
  <c r="BC1285" i="1"/>
  <c r="BC338" i="1" s="1"/>
  <c r="BL1252" i="1"/>
  <c r="BL1257" i="1" s="1"/>
  <c r="BJ1253" i="1"/>
  <c r="BJ1277" i="1"/>
  <c r="BM1279" i="1" s="1"/>
  <c r="BM1451" i="1" s="1"/>
  <c r="BM576" i="1" s="1"/>
  <c r="BM1252" i="1"/>
  <c r="BI1253" i="1"/>
  <c r="BI1277" i="1"/>
  <c r="BI1248" i="1" s="1"/>
  <c r="AN270" i="1"/>
  <c r="AN273" i="1"/>
  <c r="AR336" i="1"/>
  <c r="BF1276" i="1"/>
  <c r="BG1276" i="1"/>
  <c r="AU538" i="1"/>
  <c r="AU336" i="1" s="1"/>
  <c r="AU541" i="1"/>
  <c r="AW536" i="1"/>
  <c r="BF1249" i="1"/>
  <c r="BF362" i="1" s="1"/>
  <c r="BI1280" i="1"/>
  <c r="BF1250" i="1"/>
  <c r="BF1278" i="1"/>
  <c r="BF1279" i="1" s="1"/>
  <c r="BF1451" i="1" s="1"/>
  <c r="BF576" i="1" s="1"/>
  <c r="AX1287" i="1"/>
  <c r="AO241" i="1"/>
  <c r="AK577" i="1"/>
  <c r="BD1285" i="1"/>
  <c r="BF1283" i="1"/>
  <c r="AU1453" i="1"/>
  <c r="AU1455" i="1" s="1"/>
  <c r="AU1456" i="1" s="1"/>
  <c r="BG1283" i="1"/>
  <c r="BG1249" i="1"/>
  <c r="BJ1280" i="1"/>
  <c r="BG1250" i="1"/>
  <c r="BG1278" i="1"/>
  <c r="BI1256" i="1"/>
  <c r="AO273" i="1"/>
  <c r="AQ8" i="1"/>
  <c r="AT581" i="1"/>
  <c r="AQ276" i="1"/>
  <c r="AQ543" i="1"/>
  <c r="AQ582" i="1" s="1"/>
  <c r="AQ580" i="1" s="1"/>
  <c r="BB1302" i="1"/>
  <c r="BC1297" i="1"/>
  <c r="G4" i="4"/>
  <c r="G5" i="4" s="1"/>
  <c r="AN118" i="1"/>
  <c r="AN119" i="1"/>
  <c r="AN120" i="1"/>
  <c r="AN126" i="1"/>
  <c r="T46" i="4" s="1"/>
  <c r="AN129" i="1"/>
  <c r="AN130" i="1"/>
  <c r="AN241" i="1"/>
  <c r="T43" i="4" s="1"/>
  <c r="BF1246" i="1" l="1"/>
  <c r="AL583" i="1"/>
  <c r="BL1255" i="1"/>
  <c r="BG362" i="1"/>
  <c r="BJ1246" i="1"/>
  <c r="BJ1248" i="1"/>
  <c r="AR270" i="1"/>
  <c r="AR273" i="1"/>
  <c r="BD337" i="1"/>
  <c r="BD1167" i="1"/>
  <c r="BG1295" i="1"/>
  <c r="BH1297" i="1"/>
  <c r="BF1285" i="1"/>
  <c r="BF338" i="1" s="1"/>
  <c r="BD1286" i="1"/>
  <c r="BG1288" i="1"/>
  <c r="BG1296" i="1"/>
  <c r="BI1296" i="1" s="1"/>
  <c r="BG1454" i="1"/>
  <c r="AW538" i="1"/>
  <c r="AW541" i="1"/>
  <c r="BI1276" i="1"/>
  <c r="BJ1276" i="1"/>
  <c r="BI1250" i="1"/>
  <c r="BI1278" i="1"/>
  <c r="BI1279" i="1" s="1"/>
  <c r="BI1451" i="1" s="1"/>
  <c r="BI576" i="1" s="1"/>
  <c r="BI1249" i="1"/>
  <c r="BI362" i="1" s="1"/>
  <c r="BL1280" i="1"/>
  <c r="BL1253" i="1"/>
  <c r="BL1277" i="1"/>
  <c r="BL1248" i="1" s="1"/>
  <c r="BA536" i="1"/>
  <c r="BA1184" i="1"/>
  <c r="AQ268" i="1"/>
  <c r="AQ269" i="1"/>
  <c r="AQ271" i="1"/>
  <c r="AQ272" i="1"/>
  <c r="BD338" i="1"/>
  <c r="BI1258" i="1"/>
  <c r="BI1246" i="1" s="1"/>
  <c r="BO1252" i="1"/>
  <c r="BO1257" i="1" s="1"/>
  <c r="BM1253" i="1"/>
  <c r="BM1277" i="1"/>
  <c r="BP1252" i="1"/>
  <c r="BC337" i="1"/>
  <c r="BC1167" i="1"/>
  <c r="BC1184" i="1" s="1"/>
  <c r="BC1286" i="1"/>
  <c r="BF1288" i="1"/>
  <c r="BF1454" i="1"/>
  <c r="BA1287" i="1"/>
  <c r="AO577" i="1"/>
  <c r="AO583" i="1" s="1"/>
  <c r="AZ1287" i="1"/>
  <c r="AZ1453" i="1" s="1"/>
  <c r="AZ1455" i="1" s="1"/>
  <c r="AZ1456" i="1" s="1"/>
  <c r="AN574" i="1"/>
  <c r="AR268" i="1"/>
  <c r="AR271" i="1"/>
  <c r="AR272" i="1"/>
  <c r="AR269" i="1"/>
  <c r="AQ273" i="1"/>
  <c r="H4" i="4"/>
  <c r="H5" i="4" s="1"/>
  <c r="AQ126" i="1"/>
  <c r="U46" i="4" s="1"/>
  <c r="AQ129" i="1"/>
  <c r="AQ130" i="1"/>
  <c r="AQ118" i="1"/>
  <c r="AQ119" i="1"/>
  <c r="AQ120" i="1"/>
  <c r="AQ241" i="1"/>
  <c r="U43" i="4" s="1"/>
  <c r="BG1285" i="1"/>
  <c r="BG338" i="1" s="1"/>
  <c r="BI1283" i="1"/>
  <c r="AK583" i="1"/>
  <c r="AX1453" i="1"/>
  <c r="AX1455" i="1" s="1"/>
  <c r="AX1456" i="1" s="1"/>
  <c r="AU8" i="1"/>
  <c r="AU276" i="1"/>
  <c r="AU270" i="1" s="1"/>
  <c r="AU543" i="1"/>
  <c r="AU582" i="1" s="1"/>
  <c r="AU580" i="1" s="1"/>
  <c r="AX581" i="1"/>
  <c r="BL1256" i="1"/>
  <c r="BJ1249" i="1"/>
  <c r="BM1280" i="1"/>
  <c r="BJ1250" i="1"/>
  <c r="BJ1278" i="1"/>
  <c r="BJ1283" i="1"/>
  <c r="BE1302" i="1"/>
  <c r="BF1297" i="1"/>
  <c r="AZ536" i="1"/>
  <c r="AX538" i="1"/>
  <c r="AX336" i="1" s="1"/>
  <c r="AX541" i="1"/>
  <c r="BC1302" i="1"/>
  <c r="AT8" i="1"/>
  <c r="AT543" i="1"/>
  <c r="AT582" i="1" s="1"/>
  <c r="AT580" i="1" s="1"/>
  <c r="AW581" i="1"/>
  <c r="AT276" i="1"/>
  <c r="AT273" i="1" s="1"/>
  <c r="AQ270" i="1"/>
  <c r="BD1302" i="1"/>
  <c r="BF1295" i="1"/>
  <c r="AN577" i="1"/>
  <c r="AR241" i="1"/>
  <c r="BL1258" i="1" l="1"/>
  <c r="BL1254" i="1" s="1"/>
  <c r="BO1256" i="1"/>
  <c r="BF1302" i="1"/>
  <c r="BJ362" i="1"/>
  <c r="AR574" i="1"/>
  <c r="AR577" i="1"/>
  <c r="BM1283" i="1"/>
  <c r="BM1249" i="1"/>
  <c r="BP1280" i="1"/>
  <c r="BM1250" i="1"/>
  <c r="BM1278" i="1"/>
  <c r="BM1248" i="1"/>
  <c r="AQ577" i="1"/>
  <c r="BI1297" i="1"/>
  <c r="BH1302" i="1"/>
  <c r="AU273" i="1"/>
  <c r="AX8" i="1"/>
  <c r="BA581" i="1"/>
  <c r="AX276" i="1"/>
  <c r="AX270" i="1" s="1"/>
  <c r="AX543" i="1"/>
  <c r="AX582" i="1" s="1"/>
  <c r="AX580" i="1" s="1"/>
  <c r="BP1279" i="1"/>
  <c r="BP1451" i="1" s="1"/>
  <c r="BP576" i="1" s="1"/>
  <c r="BO1255" i="1"/>
  <c r="BL1249" i="1"/>
  <c r="BL362" i="1" s="1"/>
  <c r="BO1280" i="1"/>
  <c r="BL1250" i="1"/>
  <c r="BL1278" i="1"/>
  <c r="BL1279" i="1" s="1"/>
  <c r="BL1451" i="1" s="1"/>
  <c r="BL576" i="1" s="1"/>
  <c r="BI1295" i="1"/>
  <c r="BG1302" i="1"/>
  <c r="I4" i="4"/>
  <c r="I5" i="4" s="1"/>
  <c r="AT118" i="1"/>
  <c r="AT119" i="1"/>
  <c r="AT120" i="1"/>
  <c r="AT126" i="1"/>
  <c r="V46" i="4" s="1"/>
  <c r="AT129" i="1"/>
  <c r="AT130" i="1"/>
  <c r="AT241" i="1"/>
  <c r="V43" i="4" s="1"/>
  <c r="AU268" i="1"/>
  <c r="AU269" i="1"/>
  <c r="AU574" i="1" s="1"/>
  <c r="AU271" i="1"/>
  <c r="AU272" i="1"/>
  <c r="BC1287" i="1"/>
  <c r="BC1453" i="1" s="1"/>
  <c r="BC1455" i="1" s="1"/>
  <c r="BC1456" i="1" s="1"/>
  <c r="BM1246" i="1"/>
  <c r="AQ574" i="1"/>
  <c r="AW8" i="1"/>
  <c r="AZ581" i="1"/>
  <c r="AW276" i="1"/>
  <c r="AW543" i="1"/>
  <c r="AW582" i="1" s="1"/>
  <c r="AW580" i="1" s="1"/>
  <c r="BD1287" i="1"/>
  <c r="BD536" i="1"/>
  <c r="BD1184" i="1"/>
  <c r="AN583" i="1"/>
  <c r="AT268" i="1"/>
  <c r="AT269" i="1"/>
  <c r="AT271" i="1"/>
  <c r="AT272" i="1"/>
  <c r="AT577" i="1" s="1"/>
  <c r="AZ538" i="1"/>
  <c r="AZ541" i="1"/>
  <c r="BL1283" i="1"/>
  <c r="BJ1285" i="1"/>
  <c r="BJ338" i="1" s="1"/>
  <c r="AU241" i="1"/>
  <c r="BG337" i="1"/>
  <c r="BG1167" i="1"/>
  <c r="BG1286" i="1"/>
  <c r="BJ1288" i="1"/>
  <c r="BJ1296" i="1"/>
  <c r="BL1296" i="1" s="1"/>
  <c r="BJ1454" i="1"/>
  <c r="BI1285" i="1"/>
  <c r="BI338" i="1" s="1"/>
  <c r="BJ1295" i="1"/>
  <c r="BK1297" i="1"/>
  <c r="BA1453" i="1"/>
  <c r="BA1455" i="1" s="1"/>
  <c r="BA1456" i="1" s="1"/>
  <c r="BR1252" i="1"/>
  <c r="BR1256" i="1" s="1"/>
  <c r="BP1253" i="1"/>
  <c r="BP1277" i="1"/>
  <c r="BP1248" i="1" s="1"/>
  <c r="BO1253" i="1"/>
  <c r="BO1277" i="1"/>
  <c r="BO1248" i="1" s="1"/>
  <c r="AT270" i="1"/>
  <c r="BA538" i="1"/>
  <c r="BA336" i="1" s="1"/>
  <c r="BA541" i="1"/>
  <c r="BC536" i="1"/>
  <c r="BL1276" i="1"/>
  <c r="BM1276" i="1"/>
  <c r="AW336" i="1"/>
  <c r="BF337" i="1"/>
  <c r="BF1167" i="1"/>
  <c r="BF1184" i="1" s="1"/>
  <c r="BI1454" i="1"/>
  <c r="BF1286" i="1"/>
  <c r="BI1288" i="1"/>
  <c r="BI1254" i="1"/>
  <c r="BL1246" i="1" l="1"/>
  <c r="AU577" i="1"/>
  <c r="AU583" i="1" s="1"/>
  <c r="AR583" i="1"/>
  <c r="BO1258" i="1"/>
  <c r="BO1254" i="1" s="1"/>
  <c r="AX273" i="1"/>
  <c r="BR1255" i="1"/>
  <c r="BR1257" i="1"/>
  <c r="BI1302" i="1"/>
  <c r="AZ8" i="1"/>
  <c r="AZ543" i="1"/>
  <c r="AZ582" i="1" s="1"/>
  <c r="AZ580" i="1" s="1"/>
  <c r="BC581" i="1"/>
  <c r="AZ276" i="1"/>
  <c r="BF536" i="1"/>
  <c r="BD538" i="1"/>
  <c r="BD336" i="1" s="1"/>
  <c r="BD541" i="1"/>
  <c r="AW268" i="1"/>
  <c r="AW269" i="1"/>
  <c r="AW271" i="1"/>
  <c r="AW272" i="1"/>
  <c r="AX272" i="1"/>
  <c r="AX268" i="1"/>
  <c r="AX269" i="1"/>
  <c r="AX574" i="1" s="1"/>
  <c r="AX271" i="1"/>
  <c r="BM362" i="1"/>
  <c r="BP1246" i="1"/>
  <c r="BF1287" i="1"/>
  <c r="BF1453" i="1" s="1"/>
  <c r="BF1455" i="1" s="1"/>
  <c r="BF1456" i="1" s="1"/>
  <c r="BC538" i="1"/>
  <c r="BC541" i="1"/>
  <c r="BR1253" i="1"/>
  <c r="BR1277" i="1"/>
  <c r="BR1248" i="1" s="1"/>
  <c r="BI337" i="1"/>
  <c r="BI1167" i="1"/>
  <c r="BI1184" i="1" s="1"/>
  <c r="BI1286" i="1"/>
  <c r="BL1288" i="1"/>
  <c r="BL1454" i="1"/>
  <c r="BG1287" i="1"/>
  <c r="BD1453" i="1"/>
  <c r="BD1455" i="1" s="1"/>
  <c r="BD1456" i="1" s="1"/>
  <c r="BM1285" i="1"/>
  <c r="BM338" i="1" s="1"/>
  <c r="BO1283" i="1"/>
  <c r="BA8" i="1"/>
  <c r="BA276" i="1"/>
  <c r="BA543" i="1"/>
  <c r="BA582" i="1" s="1"/>
  <c r="BA580" i="1" s="1"/>
  <c r="BD581" i="1"/>
  <c r="AW270" i="1"/>
  <c r="AW273" i="1"/>
  <c r="BP1249" i="1"/>
  <c r="BP362" i="1" s="1"/>
  <c r="BP1250" i="1"/>
  <c r="BP1278" i="1"/>
  <c r="BP1283" i="1"/>
  <c r="BK1302" i="1"/>
  <c r="BL1297" i="1"/>
  <c r="BG536" i="1"/>
  <c r="BG1184" i="1"/>
  <c r="AZ336" i="1"/>
  <c r="AT574" i="1"/>
  <c r="AT583" i="1" s="1"/>
  <c r="J4" i="4"/>
  <c r="J5" i="4" s="1"/>
  <c r="AW126" i="1"/>
  <c r="W46" i="4" s="1"/>
  <c r="AW129" i="1"/>
  <c r="AW130" i="1"/>
  <c r="AW241" i="1"/>
  <c r="W43" i="4" s="1"/>
  <c r="AW120" i="1"/>
  <c r="AW119" i="1"/>
  <c r="AW118" i="1"/>
  <c r="AX241" i="1"/>
  <c r="BO1276" i="1"/>
  <c r="BP1276" i="1"/>
  <c r="BR1276" i="1" s="1"/>
  <c r="BO1250" i="1"/>
  <c r="BO1278" i="1"/>
  <c r="BO1279" i="1" s="1"/>
  <c r="BO1451" i="1" s="1"/>
  <c r="BO576" i="1" s="1"/>
  <c r="BO1249" i="1"/>
  <c r="BO362" i="1" s="1"/>
  <c r="BR1280" i="1"/>
  <c r="BJ1302" i="1"/>
  <c r="BL1295" i="1"/>
  <c r="BJ337" i="1"/>
  <c r="BJ1167" i="1"/>
  <c r="BL1285" i="1"/>
  <c r="BL338" i="1" s="1"/>
  <c r="BM1295" i="1"/>
  <c r="BN1297" i="1"/>
  <c r="BJ1286" i="1"/>
  <c r="BM1288" i="1"/>
  <c r="BM1296" i="1"/>
  <c r="BO1296" i="1" s="1"/>
  <c r="BM1454" i="1"/>
  <c r="AQ583" i="1"/>
  <c r="AX577" i="1" l="1"/>
  <c r="AX583" i="1" s="1"/>
  <c r="BO1246" i="1"/>
  <c r="BR1258" i="1"/>
  <c r="BR1246" i="1" s="1"/>
  <c r="BL1302" i="1"/>
  <c r="BN1302" i="1"/>
  <c r="BO1297" i="1"/>
  <c r="AZ270" i="1"/>
  <c r="AZ273" i="1"/>
  <c r="BA268" i="1"/>
  <c r="BA269" i="1"/>
  <c r="BA271" i="1"/>
  <c r="BA272" i="1"/>
  <c r="BR1249" i="1"/>
  <c r="BR362" i="1" s="1"/>
  <c r="BR1250" i="1"/>
  <c r="BR1278" i="1"/>
  <c r="BR1279" i="1" s="1"/>
  <c r="BR1451" i="1" s="1"/>
  <c r="BR576" i="1" s="1"/>
  <c r="BC8" i="1"/>
  <c r="BF581" i="1"/>
  <c r="BC276" i="1"/>
  <c r="BC543" i="1"/>
  <c r="BC582" i="1" s="1"/>
  <c r="BC580" i="1" s="1"/>
  <c r="AW574" i="1"/>
  <c r="AZ268" i="1"/>
  <c r="AZ269" i="1"/>
  <c r="AZ271" i="1"/>
  <c r="AZ272" i="1"/>
  <c r="BJ536" i="1"/>
  <c r="BJ1184" i="1"/>
  <c r="BO1295" i="1"/>
  <c r="BM1302" i="1"/>
  <c r="BA241" i="1"/>
  <c r="BC336" i="1"/>
  <c r="BF538" i="1"/>
  <c r="BF336" i="1" s="1"/>
  <c r="BF541" i="1"/>
  <c r="BA273" i="1"/>
  <c r="BJ1287" i="1"/>
  <c r="BL337" i="1"/>
  <c r="BL1167" i="1"/>
  <c r="BL1184" i="1" s="1"/>
  <c r="BO1454" i="1"/>
  <c r="BL1286" i="1"/>
  <c r="BO1288" i="1"/>
  <c r="BR1283" i="1"/>
  <c r="BP1285" i="1"/>
  <c r="BP338" i="1" s="1"/>
  <c r="BI1287" i="1"/>
  <c r="BI1453" i="1" s="1"/>
  <c r="BI1455" i="1" s="1"/>
  <c r="BI1456" i="1" s="1"/>
  <c r="AW577" i="1"/>
  <c r="BA270" i="1"/>
  <c r="BG538" i="1"/>
  <c r="BG336" i="1" s="1"/>
  <c r="BG541" i="1"/>
  <c r="BI536" i="1"/>
  <c r="BM337" i="1"/>
  <c r="BM1167" i="1"/>
  <c r="BM1286" i="1"/>
  <c r="BP1288" i="1"/>
  <c r="BP1296" i="1"/>
  <c r="BR1296" i="1" s="1"/>
  <c r="BO1285" i="1"/>
  <c r="BO338" i="1" s="1"/>
  <c r="BP1454" i="1"/>
  <c r="BP1295" i="1"/>
  <c r="BQ1297" i="1"/>
  <c r="BG1453" i="1"/>
  <c r="BG1455" i="1" s="1"/>
  <c r="BG1456" i="1" s="1"/>
  <c r="BD8" i="1"/>
  <c r="BG581" i="1"/>
  <c r="BD276" i="1"/>
  <c r="BD270" i="1" s="1"/>
  <c r="BD543" i="1"/>
  <c r="BD582" i="1" s="1"/>
  <c r="BD580" i="1" s="1"/>
  <c r="K4" i="4"/>
  <c r="K5" i="4" s="1"/>
  <c r="AZ118" i="1"/>
  <c r="AZ119" i="1"/>
  <c r="AZ120" i="1"/>
  <c r="AZ126" i="1"/>
  <c r="X46" i="4" s="1"/>
  <c r="AZ129" i="1"/>
  <c r="AZ130" i="1"/>
  <c r="AZ241" i="1"/>
  <c r="X43" i="4" s="1"/>
  <c r="BR1254" i="1" l="1"/>
  <c r="BO1302" i="1"/>
  <c r="AW583" i="1"/>
  <c r="AZ577" i="1"/>
  <c r="BD241" i="1"/>
  <c r="BO337" i="1"/>
  <c r="BO1167" i="1"/>
  <c r="BO1184" i="1" s="1"/>
  <c r="BO1286" i="1"/>
  <c r="BR1288" i="1"/>
  <c r="BR1454" i="1"/>
  <c r="BM1287" i="1"/>
  <c r="BI538" i="1"/>
  <c r="BI336" i="1" s="1"/>
  <c r="BI541" i="1"/>
  <c r="AZ574" i="1"/>
  <c r="BC268" i="1"/>
  <c r="BC269" i="1"/>
  <c r="BC271" i="1"/>
  <c r="BC272" i="1"/>
  <c r="BR1297" i="1"/>
  <c r="BQ1302" i="1"/>
  <c r="BM536" i="1"/>
  <c r="BM1184" i="1"/>
  <c r="BL1287" i="1"/>
  <c r="BL1453" i="1" s="1"/>
  <c r="BL1455" i="1" s="1"/>
  <c r="BL1456" i="1" s="1"/>
  <c r="BJ1453" i="1"/>
  <c r="BJ1455" i="1" s="1"/>
  <c r="BJ1456" i="1" s="1"/>
  <c r="BC270" i="1"/>
  <c r="BC273" i="1"/>
  <c r="BL536" i="1"/>
  <c r="BJ541" i="1"/>
  <c r="BJ538" i="1"/>
  <c r="BJ336" i="1" s="1"/>
  <c r="BA574" i="1"/>
  <c r="BD269" i="1"/>
  <c r="BD574" i="1" s="1"/>
  <c r="BD271" i="1"/>
  <c r="BD268" i="1"/>
  <c r="BD272" i="1"/>
  <c r="BP1302" i="1"/>
  <c r="BR1295" i="1"/>
  <c r="BG8" i="1"/>
  <c r="BG276" i="1"/>
  <c r="BG273" i="1" s="1"/>
  <c r="BG543" i="1"/>
  <c r="BG582" i="1" s="1"/>
  <c r="BG580" i="1" s="1"/>
  <c r="BJ581" i="1"/>
  <c r="L4" i="4"/>
  <c r="L5" i="4" s="1"/>
  <c r="BC126" i="1"/>
  <c r="Y46" i="4" s="1"/>
  <c r="BC129" i="1"/>
  <c r="BC130" i="1"/>
  <c r="BC118" i="1"/>
  <c r="BC119" i="1"/>
  <c r="BC120" i="1"/>
  <c r="BC241" i="1"/>
  <c r="Y43" i="4" s="1"/>
  <c r="BD273" i="1"/>
  <c r="BP337" i="1"/>
  <c r="BP1167" i="1"/>
  <c r="BP1286" i="1"/>
  <c r="BR1285" i="1"/>
  <c r="BF8" i="1"/>
  <c r="BF543" i="1"/>
  <c r="BF582" i="1" s="1"/>
  <c r="BF580" i="1" s="1"/>
  <c r="BI581" i="1"/>
  <c r="BF276" i="1"/>
  <c r="BF270" i="1" s="1"/>
  <c r="BA577" i="1"/>
  <c r="BA583" i="1" l="1"/>
  <c r="AZ583" i="1"/>
  <c r="BG270" i="1"/>
  <c r="BR1302" i="1"/>
  <c r="BC574" i="1"/>
  <c r="BF118" i="1"/>
  <c r="BF119" i="1"/>
  <c r="BF120" i="1"/>
  <c r="BF126" i="1"/>
  <c r="BF129" i="1"/>
  <c r="BF130" i="1"/>
  <c r="BF241" i="1"/>
  <c r="BP1287" i="1"/>
  <c r="BG241" i="1"/>
  <c r="BM538" i="1"/>
  <c r="BM336" i="1" s="1"/>
  <c r="BM541" i="1"/>
  <c r="BO536" i="1"/>
  <c r="BF268" i="1"/>
  <c r="BF269" i="1"/>
  <c r="BF574" i="1" s="1"/>
  <c r="BF271" i="1"/>
  <c r="BF272" i="1"/>
  <c r="BP536" i="1"/>
  <c r="BP1184" i="1"/>
  <c r="BD577" i="1"/>
  <c r="BD583" i="1" s="1"/>
  <c r="BL538" i="1"/>
  <c r="BL336" i="1" s="1"/>
  <c r="BL541" i="1"/>
  <c r="BC577" i="1"/>
  <c r="BO1287" i="1"/>
  <c r="BO1453" i="1" s="1"/>
  <c r="BO1455" i="1" s="1"/>
  <c r="BO1456" i="1" s="1"/>
  <c r="BR337" i="1"/>
  <c r="BR1167" i="1"/>
  <c r="BR1184" i="1" s="1"/>
  <c r="BR1286" i="1"/>
  <c r="BJ8" i="1"/>
  <c r="BM581" i="1"/>
  <c r="BJ276" i="1"/>
  <c r="BJ543" i="1"/>
  <c r="BJ582" i="1" s="1"/>
  <c r="BJ580" i="1" s="1"/>
  <c r="BI8" i="1"/>
  <c r="BL581" i="1"/>
  <c r="BI276" i="1"/>
  <c r="BI270" i="1" s="1"/>
  <c r="BI543" i="1"/>
  <c r="BI582" i="1" s="1"/>
  <c r="BI580" i="1" s="1"/>
  <c r="BM1453" i="1"/>
  <c r="BM1455" i="1" s="1"/>
  <c r="BM1456" i="1" s="1"/>
  <c r="BG268" i="1"/>
  <c r="BG272" i="1"/>
  <c r="BG577" i="1" s="1"/>
  <c r="BG269" i="1"/>
  <c r="BG271" i="1"/>
  <c r="BR338" i="1"/>
  <c r="BF273" i="1"/>
  <c r="BG574" i="1" l="1"/>
  <c r="BG583" i="1" s="1"/>
  <c r="BC583" i="1"/>
  <c r="BI273" i="1"/>
  <c r="BJ272" i="1"/>
  <c r="BJ268" i="1"/>
  <c r="BJ271" i="1"/>
  <c r="BJ269" i="1"/>
  <c r="BI126" i="1"/>
  <c r="BI129" i="1"/>
  <c r="BI130" i="1"/>
  <c r="BI118" i="1"/>
  <c r="BI241" i="1"/>
  <c r="BI120" i="1"/>
  <c r="BI119" i="1"/>
  <c r="BI268" i="1"/>
  <c r="BI269" i="1"/>
  <c r="BI574" i="1" s="1"/>
  <c r="BI271" i="1"/>
  <c r="BI272" i="1"/>
  <c r="BR1287" i="1"/>
  <c r="BR1453" i="1" s="1"/>
  <c r="BR1455" i="1" s="1"/>
  <c r="BR1456" i="1" s="1"/>
  <c r="BR536" i="1"/>
  <c r="BP541" i="1"/>
  <c r="BP538" i="1"/>
  <c r="BP336" i="1" s="1"/>
  <c r="BO538" i="1"/>
  <c r="BO336" i="1" s="1"/>
  <c r="BO541" i="1"/>
  <c r="BJ273" i="1"/>
  <c r="BP1453" i="1"/>
  <c r="BP1455" i="1" s="1"/>
  <c r="BP1456" i="1" s="1"/>
  <c r="BJ241" i="1"/>
  <c r="BL8" i="1"/>
  <c r="BL543" i="1"/>
  <c r="BL582" i="1" s="1"/>
  <c r="BL580" i="1" s="1"/>
  <c r="BO581" i="1"/>
  <c r="BL276" i="1"/>
  <c r="BL270" i="1" s="1"/>
  <c r="BJ270" i="1"/>
  <c r="BF577" i="1"/>
  <c r="BF583" i="1" s="1"/>
  <c r="BM8" i="1"/>
  <c r="BM276" i="1"/>
  <c r="BM543" i="1"/>
  <c r="BM582" i="1" s="1"/>
  <c r="BM580" i="1" s="1"/>
  <c r="BP581" i="1"/>
  <c r="BI577" i="1" l="1"/>
  <c r="BI583" i="1" s="1"/>
  <c r="BM268" i="1"/>
  <c r="BM269" i="1"/>
  <c r="BM271" i="1"/>
  <c r="BM272" i="1"/>
  <c r="BR538" i="1"/>
  <c r="BR336" i="1" s="1"/>
  <c r="BR541" i="1"/>
  <c r="BL273" i="1"/>
  <c r="BM241" i="1"/>
  <c r="BL118" i="1"/>
  <c r="BL119" i="1"/>
  <c r="BL120" i="1"/>
  <c r="BL126" i="1"/>
  <c r="BL129" i="1"/>
  <c r="BL130" i="1"/>
  <c r="BL241" i="1"/>
  <c r="BP8" i="1"/>
  <c r="BP276" i="1"/>
  <c r="BP273" i="1" s="1"/>
  <c r="BP543" i="1"/>
  <c r="BP582" i="1" s="1"/>
  <c r="BP580" i="1" s="1"/>
  <c r="BJ577" i="1"/>
  <c r="BL268" i="1"/>
  <c r="BL269" i="1"/>
  <c r="BL574" i="1" s="1"/>
  <c r="BL271" i="1"/>
  <c r="BL272" i="1"/>
  <c r="BJ574" i="1"/>
  <c r="BM273" i="1"/>
  <c r="BO8" i="1"/>
  <c r="BR581" i="1"/>
  <c r="BO276" i="1"/>
  <c r="BO270" i="1" s="1"/>
  <c r="BO543" i="1"/>
  <c r="BO582" i="1" s="1"/>
  <c r="BO580" i="1" s="1"/>
  <c r="BM270" i="1"/>
  <c r="BL577" i="1" l="1"/>
  <c r="BL583" i="1" s="1"/>
  <c r="BP270" i="1"/>
  <c r="BO126" i="1"/>
  <c r="BO129" i="1"/>
  <c r="BO130" i="1"/>
  <c r="BO118" i="1"/>
  <c r="BO119" i="1"/>
  <c r="BO120" i="1"/>
  <c r="BO241" i="1"/>
  <c r="BR8" i="1"/>
  <c r="BR543" i="1"/>
  <c r="BR582" i="1" s="1"/>
  <c r="BR580" i="1" s="1"/>
  <c r="BR276" i="1"/>
  <c r="BR270" i="1" s="1"/>
  <c r="BM577" i="1"/>
  <c r="BO268" i="1"/>
  <c r="BO269" i="1"/>
  <c r="BO574" i="1" s="1"/>
  <c r="BO271" i="1"/>
  <c r="BO272" i="1"/>
  <c r="BP268" i="1"/>
  <c r="BP269" i="1"/>
  <c r="BP271" i="1"/>
  <c r="BP272" i="1"/>
  <c r="BP577" i="1" s="1"/>
  <c r="BJ583" i="1"/>
  <c r="BP241" i="1"/>
  <c r="BM574" i="1"/>
  <c r="BO273" i="1"/>
  <c r="BR273" i="1" l="1"/>
  <c r="BP574" i="1"/>
  <c r="BP583" i="1" s="1"/>
  <c r="BO577" i="1"/>
  <c r="BO583" i="1" s="1"/>
  <c r="BR118" i="1"/>
  <c r="BR119" i="1"/>
  <c r="BR120" i="1"/>
  <c r="BR126" i="1"/>
  <c r="BR129" i="1"/>
  <c r="BR130" i="1"/>
  <c r="BR241" i="1"/>
  <c r="BM583" i="1"/>
  <c r="BR268" i="1"/>
  <c r="BR269" i="1"/>
  <c r="BR574" i="1" s="1"/>
  <c r="BR271" i="1"/>
  <c r="BR272" i="1"/>
  <c r="BR577" i="1" l="1"/>
  <c r="BR583" i="1" s="1"/>
  <c r="AF118" i="1" l="1"/>
  <c r="AI118" i="1" s="1"/>
  <c r="AI22" i="1" s="1"/>
  <c r="AJ121" i="1" s="1"/>
  <c r="AF121" i="1"/>
  <c r="AG121" i="1"/>
  <c r="AF129" i="1"/>
  <c r="AL118" i="1" l="1"/>
  <c r="AO118" i="1" s="1"/>
  <c r="AI129" i="1"/>
  <c r="AI121" i="1"/>
  <c r="AL22" i="1" l="1"/>
  <c r="AL121" i="1" s="1"/>
  <c r="AO22" i="1"/>
  <c r="AR118" i="1"/>
  <c r="AL129" i="1" l="1"/>
  <c r="AM121" i="1"/>
  <c r="AR22" i="1"/>
  <c r="AU118" i="1"/>
  <c r="AO121" i="1"/>
  <c r="AP121" i="1"/>
  <c r="AO129" i="1"/>
  <c r="AS121" i="1" l="1"/>
  <c r="AR121" i="1"/>
  <c r="AR129" i="1"/>
  <c r="AU22" i="1"/>
  <c r="AX118" i="1"/>
  <c r="AX22" i="1" l="1"/>
  <c r="BA118" i="1"/>
  <c r="AU129" i="1"/>
  <c r="AU121" i="1"/>
  <c r="AV121" i="1"/>
  <c r="AY121" i="1" l="1"/>
  <c r="AX129" i="1"/>
  <c r="AX121" i="1"/>
  <c r="BA22" i="1"/>
  <c r="BD118" i="1"/>
  <c r="BD22" i="1" l="1"/>
  <c r="BG118" i="1"/>
  <c r="BA121" i="1"/>
  <c r="BA129" i="1"/>
  <c r="BB121" i="1"/>
  <c r="BE121" i="1" l="1"/>
  <c r="BD121" i="1"/>
  <c r="BD129" i="1"/>
  <c r="BG22" i="1"/>
  <c r="BJ118" i="1"/>
  <c r="BJ22" i="1" l="1"/>
  <c r="BM118" i="1"/>
  <c r="BG129" i="1"/>
  <c r="BG121" i="1"/>
  <c r="BH121" i="1"/>
  <c r="BK121" i="1" l="1"/>
  <c r="BJ129" i="1"/>
  <c r="BJ121" i="1"/>
  <c r="BM22" i="1"/>
  <c r="BP118" i="1"/>
  <c r="BP22" i="1" s="1"/>
  <c r="BQ121" i="1" l="1"/>
  <c r="BP121" i="1"/>
  <c r="BP129" i="1"/>
  <c r="BM121" i="1"/>
  <c r="BM129" i="1"/>
  <c r="BN121" i="1"/>
  <c r="AF26" i="1"/>
  <c r="AF119" i="1"/>
  <c r="AI119" i="1" s="1"/>
  <c r="AI23" i="1" s="1"/>
  <c r="AI122" i="1" s="1"/>
  <c r="AF122" i="1"/>
  <c r="AG122" i="1"/>
  <c r="AJ122" i="1" l="1"/>
  <c r="AL119" i="1"/>
  <c r="AL23" i="1" s="1"/>
  <c r="AM122" i="1" l="1"/>
  <c r="AL122" i="1"/>
  <c r="AO119" i="1"/>
  <c r="AR119" i="1" s="1"/>
  <c r="AO23" i="1" l="1"/>
  <c r="AO122" i="1" s="1"/>
  <c r="AR23" i="1"/>
  <c r="AU119" i="1"/>
  <c r="AP122" i="1" l="1"/>
  <c r="AR122" i="1"/>
  <c r="AS122" i="1"/>
  <c r="AU23" i="1"/>
  <c r="AX119" i="1"/>
  <c r="AU122" i="1" l="1"/>
  <c r="AV122" i="1"/>
  <c r="AX23" i="1"/>
  <c r="BA119" i="1"/>
  <c r="AX122" i="1" l="1"/>
  <c r="AY122" i="1"/>
  <c r="BA23" i="1"/>
  <c r="BD119" i="1"/>
  <c r="BA122" i="1" l="1"/>
  <c r="BB122" i="1"/>
  <c r="BD23" i="1"/>
  <c r="BG119" i="1"/>
  <c r="BD122" i="1" l="1"/>
  <c r="BE122" i="1"/>
  <c r="BG23" i="1"/>
  <c r="BJ119" i="1"/>
  <c r="BG122" i="1" l="1"/>
  <c r="BH122" i="1"/>
  <c r="BJ23" i="1"/>
  <c r="BM119" i="1"/>
  <c r="BJ122" i="1" l="1"/>
  <c r="BK122" i="1"/>
  <c r="BM23" i="1"/>
  <c r="BP119" i="1"/>
  <c r="BP23" i="1" s="1"/>
  <c r="BM122" i="1" l="1"/>
  <c r="BN122" i="1"/>
  <c r="BP122" i="1"/>
  <c r="BQ122" i="1"/>
  <c r="AF34" i="1"/>
  <c r="AF35" i="1" s="1"/>
  <c r="AF139" i="1"/>
  <c r="AG133" i="1" s="1"/>
  <c r="AG139" i="1" s="1"/>
  <c r="AG29" i="1" s="1"/>
  <c r="AG34" i="1" s="1"/>
  <c r="AF138" i="1" l="1"/>
  <c r="AH138" i="1" s="1"/>
  <c r="AH139" i="1" s="1"/>
  <c r="AH29" i="1" l="1"/>
  <c r="AI133" i="1"/>
  <c r="AI139" i="1" s="1"/>
  <c r="AK133" i="1"/>
  <c r="AK139" i="1" s="1"/>
  <c r="AK29" i="1" l="1"/>
  <c r="AL133" i="1"/>
  <c r="AL139" i="1" s="1"/>
  <c r="AN133" i="1"/>
  <c r="AN139" i="1" s="1"/>
  <c r="E52" i="4"/>
  <c r="AH34" i="1"/>
  <c r="E56" i="4" s="1"/>
  <c r="AI29" i="1"/>
  <c r="AJ133" i="1"/>
  <c r="AJ139" i="1" s="1"/>
  <c r="AJ29" i="1" s="1"/>
  <c r="E55" i="4" l="1"/>
  <c r="AJ34" i="1"/>
  <c r="AI34" i="1"/>
  <c r="AN29" i="1"/>
  <c r="AQ133" i="1"/>
  <c r="AQ139" i="1" s="1"/>
  <c r="AO133" i="1"/>
  <c r="AO139" i="1" s="1"/>
  <c r="F52" i="4"/>
  <c r="AK34" i="1"/>
  <c r="F56" i="4" s="1"/>
  <c r="AL29" i="1"/>
  <c r="AM133" i="1"/>
  <c r="AM139" i="1" s="1"/>
  <c r="AM29" i="1" s="1"/>
  <c r="F55" i="4" l="1"/>
  <c r="AM34" i="1"/>
  <c r="AO29" i="1"/>
  <c r="AP133" i="1"/>
  <c r="AP139" i="1" s="1"/>
  <c r="AP29" i="1" s="1"/>
  <c r="G52" i="4"/>
  <c r="AN34" i="1"/>
  <c r="G56" i="4" s="1"/>
  <c r="AL34" i="1"/>
  <c r="AQ29" i="1"/>
  <c r="AT133" i="1"/>
  <c r="AT139" i="1" s="1"/>
  <c r="AR133" i="1"/>
  <c r="AR139" i="1" s="1"/>
  <c r="G55" i="4" l="1"/>
  <c r="AT29" i="1"/>
  <c r="AU133" i="1"/>
  <c r="AU139" i="1" s="1"/>
  <c r="AW133" i="1"/>
  <c r="AW139" i="1" s="1"/>
  <c r="AO34" i="1"/>
  <c r="H52" i="4"/>
  <c r="AQ34" i="1"/>
  <c r="H56" i="4" s="1"/>
  <c r="AP34" i="1"/>
  <c r="AR29" i="1"/>
  <c r="AS133" i="1"/>
  <c r="AS139" i="1" s="1"/>
  <c r="AS29" i="1" s="1"/>
  <c r="H55" i="4" l="1"/>
  <c r="AR34" i="1"/>
  <c r="I52" i="4"/>
  <c r="AT34" i="1"/>
  <c r="I56" i="4" s="1"/>
  <c r="AW29" i="1"/>
  <c r="AX133" i="1"/>
  <c r="AX139" i="1" s="1"/>
  <c r="AZ133" i="1"/>
  <c r="AZ139" i="1" s="1"/>
  <c r="AS34" i="1"/>
  <c r="AU29" i="1"/>
  <c r="AV133" i="1"/>
  <c r="AV139" i="1" s="1"/>
  <c r="AV29" i="1" s="1"/>
  <c r="I55" i="4" l="1"/>
  <c r="AV34" i="1"/>
  <c r="AX29" i="1"/>
  <c r="AY133" i="1"/>
  <c r="AY139" i="1" s="1"/>
  <c r="AY29" i="1" s="1"/>
  <c r="AZ29" i="1"/>
  <c r="BC133" i="1"/>
  <c r="BC139" i="1" s="1"/>
  <c r="BA133" i="1"/>
  <c r="BA139" i="1" s="1"/>
  <c r="AU34" i="1"/>
  <c r="J52" i="4"/>
  <c r="AW34" i="1"/>
  <c r="J56" i="4" s="1"/>
  <c r="J55" i="4" l="1"/>
  <c r="AX34" i="1"/>
  <c r="K52" i="4"/>
  <c r="AZ34" i="1"/>
  <c r="K56" i="4" s="1"/>
  <c r="BA29" i="1"/>
  <c r="BB133" i="1"/>
  <c r="BB139" i="1" s="1"/>
  <c r="BB29" i="1" s="1"/>
  <c r="BC29" i="1"/>
  <c r="BF133" i="1"/>
  <c r="BF139" i="1" s="1"/>
  <c r="BD133" i="1"/>
  <c r="BD139" i="1" s="1"/>
  <c r="AY34" i="1"/>
  <c r="K55" i="4" l="1"/>
  <c r="BA34" i="1"/>
  <c r="BD29" i="1"/>
  <c r="BE133" i="1"/>
  <c r="BE139" i="1" s="1"/>
  <c r="BE29" i="1" s="1"/>
  <c r="BF29" i="1"/>
  <c r="BG133" i="1"/>
  <c r="BG139" i="1" s="1"/>
  <c r="BI133" i="1"/>
  <c r="BI139" i="1" s="1"/>
  <c r="L52" i="4"/>
  <c r="BC34" i="1"/>
  <c r="L56" i="4" s="1"/>
  <c r="BB34" i="1"/>
  <c r="L55" i="4" l="1"/>
  <c r="BI29" i="1"/>
  <c r="BJ133" i="1"/>
  <c r="BJ139" i="1" s="1"/>
  <c r="BL133" i="1"/>
  <c r="BL139" i="1" s="1"/>
  <c r="BD34" i="1"/>
  <c r="BG29" i="1"/>
  <c r="BH133" i="1"/>
  <c r="BH139" i="1" s="1"/>
  <c r="BH29" i="1" s="1"/>
  <c r="BF34" i="1"/>
  <c r="BE34" i="1"/>
  <c r="BL29" i="1" l="1"/>
  <c r="BO133" i="1"/>
  <c r="BO139" i="1" s="1"/>
  <c r="BM133" i="1"/>
  <c r="BM139" i="1" s="1"/>
  <c r="BG34" i="1"/>
  <c r="BJ29" i="1"/>
  <c r="BK133" i="1"/>
  <c r="BK139" i="1" s="1"/>
  <c r="BK29" i="1" s="1"/>
  <c r="BH34" i="1"/>
  <c r="BI34" i="1"/>
  <c r="BJ34" i="1" l="1"/>
  <c r="BM29" i="1"/>
  <c r="BN133" i="1"/>
  <c r="BN139" i="1" s="1"/>
  <c r="BN29" i="1" s="1"/>
  <c r="BK34" i="1"/>
  <c r="BO29" i="1"/>
  <c r="BR133" i="1"/>
  <c r="BR139" i="1" s="1"/>
  <c r="BR29" i="1" s="1"/>
  <c r="BP133" i="1"/>
  <c r="BP139" i="1" s="1"/>
  <c r="BL34" i="1"/>
  <c r="BN34" i="1" l="1"/>
  <c r="BO34" i="1"/>
  <c r="BM34" i="1"/>
  <c r="BP29" i="1"/>
  <c r="BQ133" i="1"/>
  <c r="BQ139" i="1" s="1"/>
  <c r="BQ29" i="1" s="1"/>
  <c r="BR34" i="1"/>
  <c r="BP34" i="1" l="1"/>
  <c r="BQ34" i="1"/>
  <c r="AF41" i="1"/>
  <c r="AF128" i="1" s="1"/>
  <c r="AF120" i="1"/>
  <c r="AI120" i="1" s="1"/>
  <c r="AF123" i="1"/>
  <c r="AG123" i="1"/>
  <c r="AG124" i="1" s="1"/>
  <c r="AF124" i="1"/>
  <c r="AF62" i="1" s="1"/>
  <c r="AF125" i="1"/>
  <c r="AF126" i="1"/>
  <c r="AF130" i="1"/>
  <c r="AG62" i="1" l="1"/>
  <c r="AF127" i="1"/>
  <c r="AI36" i="1"/>
  <c r="AL120" i="1"/>
  <c r="AL36" i="1" l="1"/>
  <c r="AO120" i="1"/>
  <c r="AI41" i="1"/>
  <c r="AI125" i="1"/>
  <c r="AI126" i="1" s="1"/>
  <c r="AI130" i="1"/>
  <c r="AI123" i="1"/>
  <c r="AI124" i="1" s="1"/>
  <c r="AI62" i="1" s="1"/>
  <c r="AJ123" i="1"/>
  <c r="AJ124" i="1" s="1"/>
  <c r="AJ62" i="1" s="1"/>
  <c r="AO36" i="1" l="1"/>
  <c r="AR120" i="1"/>
  <c r="AL41" i="1"/>
  <c r="AM123" i="1"/>
  <c r="AM124" i="1" s="1"/>
  <c r="AM62" i="1" s="1"/>
  <c r="AL125" i="1"/>
  <c r="AL126" i="1" s="1"/>
  <c r="AL130" i="1"/>
  <c r="AL123" i="1"/>
  <c r="AL124" i="1" s="1"/>
  <c r="AL62" i="1" s="1"/>
  <c r="AO41" i="1" l="1"/>
  <c r="AO123" i="1"/>
  <c r="AO124" i="1" s="1"/>
  <c r="AO62" i="1" s="1"/>
  <c r="AP123" i="1"/>
  <c r="AP124" i="1" s="1"/>
  <c r="AP62" i="1" s="1"/>
  <c r="AO125" i="1"/>
  <c r="AO126" i="1" s="1"/>
  <c r="AO130" i="1"/>
  <c r="AR36" i="1"/>
  <c r="AU120" i="1"/>
  <c r="AU36" i="1" l="1"/>
  <c r="AX120" i="1"/>
  <c r="AR41" i="1"/>
  <c r="AS123" i="1"/>
  <c r="AS124" i="1" s="1"/>
  <c r="AS62" i="1" s="1"/>
  <c r="AR123" i="1"/>
  <c r="AR124" i="1" s="1"/>
  <c r="AR62" i="1" s="1"/>
  <c r="AR125" i="1"/>
  <c r="AR126" i="1" s="1"/>
  <c r="AR130" i="1"/>
  <c r="AX36" i="1" l="1"/>
  <c r="BA120" i="1"/>
  <c r="AU41" i="1"/>
  <c r="AU125" i="1"/>
  <c r="AU126" i="1" s="1"/>
  <c r="AU130" i="1"/>
  <c r="AU123" i="1"/>
  <c r="AU124" i="1" s="1"/>
  <c r="AU62" i="1" s="1"/>
  <c r="AV123" i="1"/>
  <c r="AV124" i="1" s="1"/>
  <c r="AV62" i="1" s="1"/>
  <c r="AX41" i="1" l="1"/>
  <c r="AY123" i="1"/>
  <c r="AY124" i="1" s="1"/>
  <c r="AY62" i="1" s="1"/>
  <c r="AX125" i="1"/>
  <c r="AX126" i="1" s="1"/>
  <c r="AX130" i="1"/>
  <c r="AX123" i="1"/>
  <c r="AX124" i="1" s="1"/>
  <c r="AX62" i="1" s="1"/>
  <c r="BA36" i="1"/>
  <c r="BD120" i="1"/>
  <c r="BD36" i="1" l="1"/>
  <c r="BG120" i="1"/>
  <c r="BA41" i="1"/>
  <c r="BA123" i="1"/>
  <c r="BA124" i="1" s="1"/>
  <c r="BA62" i="1" s="1"/>
  <c r="BB123" i="1"/>
  <c r="BB124" i="1" s="1"/>
  <c r="BB62" i="1" s="1"/>
  <c r="BA125" i="1"/>
  <c r="BA126" i="1" s="1"/>
  <c r="BA130" i="1"/>
  <c r="BD41" i="1" l="1"/>
  <c r="BE123" i="1"/>
  <c r="BE124" i="1" s="1"/>
  <c r="BE62" i="1" s="1"/>
  <c r="BD123" i="1"/>
  <c r="BD124" i="1" s="1"/>
  <c r="BD62" i="1" s="1"/>
  <c r="BD125" i="1"/>
  <c r="BD126" i="1" s="1"/>
  <c r="BD130" i="1"/>
  <c r="BG36" i="1"/>
  <c r="BJ120" i="1"/>
  <c r="BG41" i="1" l="1"/>
  <c r="BG125" i="1"/>
  <c r="BG126" i="1" s="1"/>
  <c r="BG130" i="1"/>
  <c r="BG123" i="1"/>
  <c r="BG124" i="1" s="1"/>
  <c r="BG62" i="1" s="1"/>
  <c r="BH123" i="1"/>
  <c r="BH124" i="1" s="1"/>
  <c r="BH62" i="1" s="1"/>
  <c r="BJ36" i="1"/>
  <c r="BM120" i="1"/>
  <c r="BM36" i="1" l="1"/>
  <c r="BP120" i="1"/>
  <c r="BP36" i="1" s="1"/>
  <c r="BJ41" i="1"/>
  <c r="BK123" i="1"/>
  <c r="BK124" i="1" s="1"/>
  <c r="BK62" i="1" s="1"/>
  <c r="BJ125" i="1"/>
  <c r="BJ126" i="1" s="1"/>
  <c r="BJ130" i="1"/>
  <c r="BJ123" i="1"/>
  <c r="BJ124" i="1" s="1"/>
  <c r="BJ62" i="1" s="1"/>
  <c r="BP41" i="1" l="1"/>
  <c r="BQ123" i="1"/>
  <c r="BQ124" i="1" s="1"/>
  <c r="BQ62" i="1" s="1"/>
  <c r="BP123" i="1"/>
  <c r="BP124" i="1" s="1"/>
  <c r="BP62" i="1" s="1"/>
  <c r="BP125" i="1"/>
  <c r="BP126" i="1" s="1"/>
  <c r="BP130" i="1"/>
  <c r="BM41" i="1"/>
  <c r="BM123" i="1"/>
  <c r="BM124" i="1" s="1"/>
  <c r="BM62" i="1" s="1"/>
  <c r="BN123" i="1"/>
  <c r="BN124" i="1" s="1"/>
  <c r="BN62" i="1" s="1"/>
  <c r="BM125" i="1"/>
  <c r="BM126" i="1" s="1"/>
  <c r="BM130" i="1"/>
  <c r="AF99" i="1" l="1"/>
  <c r="AF142" i="1"/>
  <c r="AF144" i="1"/>
  <c r="AF145" i="1"/>
  <c r="AF147" i="1"/>
  <c r="AG146" i="1" l="1"/>
  <c r="AF148" i="1"/>
  <c r="AF48" i="1" l="1"/>
  <c r="AF49" i="1" s="1"/>
  <c r="AF50" i="1" s="1"/>
  <c r="AF192" i="1" s="1"/>
  <c r="AF191" i="1" s="1"/>
  <c r="AF54" i="1" l="1"/>
  <c r="AF56" i="1"/>
  <c r="AF57" i="1"/>
  <c r="AF93" i="1" l="1"/>
  <c r="AF86" i="1" l="1"/>
  <c r="AF87" i="1" s="1"/>
  <c r="AF77" i="1"/>
  <c r="AF91" i="1" l="1"/>
  <c r="AF92" i="1" s="1"/>
  <c r="AF17" i="1" l="1"/>
  <c r="AF179" i="1"/>
  <c r="AF599" i="1"/>
  <c r="AF111" i="1" l="1"/>
  <c r="AF598" i="1"/>
  <c r="AF600" i="1" s="1"/>
  <c r="AF112" i="1" l="1"/>
  <c r="AF113" i="1"/>
  <c r="AL105" i="1"/>
  <c r="AI598" i="1"/>
  <c r="AI110" i="1"/>
  <c r="AF114" i="1"/>
  <c r="AF18" i="1" l="1"/>
  <c r="AF115" i="1"/>
  <c r="AO105" i="1"/>
  <c r="AL110" i="1"/>
  <c r="AI113" i="1"/>
  <c r="AI112" i="1"/>
  <c r="AI115" i="1" l="1"/>
  <c r="AI66" i="1" s="1"/>
  <c r="AL112" i="1"/>
  <c r="AL113" i="1"/>
  <c r="AR105" i="1"/>
  <c r="AO110" i="1"/>
  <c r="AF19" i="1"/>
  <c r="AF242" i="1" s="1"/>
  <c r="AF181" i="1" l="1"/>
  <c r="AU105" i="1"/>
  <c r="AR110" i="1"/>
  <c r="AL115" i="1"/>
  <c r="AL66" i="1" s="1"/>
  <c r="AO113" i="1"/>
  <c r="AO112" i="1"/>
  <c r="AO115" i="1" l="1"/>
  <c r="AO66" i="1" s="1"/>
  <c r="AR112" i="1"/>
  <c r="AR113" i="1"/>
  <c r="AU110" i="1"/>
  <c r="AX105" i="1"/>
  <c r="BA105" i="1" l="1"/>
  <c r="AX110" i="1"/>
  <c r="AU113" i="1"/>
  <c r="AU112" i="1"/>
  <c r="AR115" i="1"/>
  <c r="AR66" i="1" s="1"/>
  <c r="BA110" i="1" l="1"/>
  <c r="BD105" i="1"/>
  <c r="AX112" i="1"/>
  <c r="AX113" i="1"/>
  <c r="AU115" i="1"/>
  <c r="AU66" i="1" s="1"/>
  <c r="BA113" i="1" l="1"/>
  <c r="BA112" i="1"/>
  <c r="AX115" i="1"/>
  <c r="AX66" i="1" s="1"/>
  <c r="BG105" i="1"/>
  <c r="BD110" i="1"/>
  <c r="D24" i="7"/>
  <c r="BD112" i="1" l="1"/>
  <c r="BD113" i="1"/>
  <c r="BJ105" i="1"/>
  <c r="BG110" i="1"/>
  <c r="BA115" i="1"/>
  <c r="BA66" i="1" s="1"/>
  <c r="BD115" i="1" l="1"/>
  <c r="BD66" i="1" s="1"/>
  <c r="F24" i="7"/>
  <c r="BM105" i="1"/>
  <c r="BJ110" i="1"/>
  <c r="BG113" i="1"/>
  <c r="BG112" i="1"/>
  <c r="BJ112" i="1" l="1"/>
  <c r="BJ113" i="1"/>
  <c r="BG115" i="1"/>
  <c r="BG66" i="1" s="1"/>
  <c r="BP105" i="1"/>
  <c r="BM110" i="1"/>
  <c r="BM113" i="1" l="1"/>
  <c r="BM112" i="1"/>
  <c r="BJ115" i="1"/>
  <c r="BJ66" i="1" s="1"/>
  <c r="BP110" i="1"/>
  <c r="BP112" i="1" l="1"/>
  <c r="BP113" i="1"/>
  <c r="BM115" i="1"/>
  <c r="BM66" i="1" s="1"/>
  <c r="BP115" i="1" l="1"/>
  <c r="BP66" i="1" s="1"/>
  <c r="AJ98" i="1" l="1"/>
  <c r="AM98" i="1" s="1"/>
  <c r="AP98" i="1" l="1"/>
  <c r="AS98" i="1" l="1"/>
  <c r="AV98" i="1" l="1"/>
  <c r="AY98" i="1" l="1"/>
  <c r="BB98" i="1" l="1"/>
  <c r="BE98" i="1" l="1"/>
  <c r="BH98" i="1" l="1"/>
  <c r="BK98" i="1" l="1"/>
  <c r="BN98" i="1" l="1"/>
  <c r="BQ98" i="1" l="1"/>
  <c r="AH21" i="1"/>
  <c r="E47" i="4" s="1"/>
  <c r="AG26" i="1"/>
  <c r="AG35" i="1" s="1"/>
  <c r="AH26" i="1"/>
  <c r="E51" i="4" s="1"/>
  <c r="E50" i="4" s="1"/>
  <c r="AH91" i="1"/>
  <c r="AG100" i="1"/>
  <c r="AH100" i="1" s="1"/>
  <c r="AH98" i="1" s="1"/>
  <c r="AG143" i="1"/>
  <c r="AH143" i="1"/>
  <c r="AG128" i="1" l="1"/>
  <c r="AG127" i="1"/>
  <c r="AH127" i="1"/>
  <c r="AH128" i="1"/>
  <c r="AG237" i="1"/>
  <c r="AH92" i="1"/>
  <c r="AI88" i="1"/>
  <c r="AK88" i="1"/>
  <c r="AH35" i="1"/>
  <c r="E57" i="4" l="1"/>
  <c r="AH237" i="1"/>
  <c r="R44" i="4" s="1"/>
  <c r="AG113" i="1" l="1"/>
  <c r="AH113" i="1" s="1"/>
  <c r="AG598" i="1"/>
  <c r="AG111" i="1"/>
  <c r="AH111" i="1" s="1"/>
  <c r="AJ110" i="1" l="1"/>
  <c r="AM105" i="1"/>
  <c r="AG114" i="1"/>
  <c r="AG112" i="1"/>
  <c r="AH110" i="1"/>
  <c r="AH112" i="1" s="1"/>
  <c r="AM110" i="1" l="1"/>
  <c r="AP105" i="1"/>
  <c r="AH114" i="1"/>
  <c r="AG18" i="1"/>
  <c r="AG115" i="1"/>
  <c r="AJ112" i="1"/>
  <c r="AK110" i="1"/>
  <c r="AK112" i="1" s="1"/>
  <c r="AJ113" i="1"/>
  <c r="AK113" i="1" l="1"/>
  <c r="AK115" i="1" s="1"/>
  <c r="AK66" i="1" s="1"/>
  <c r="AJ115" i="1"/>
  <c r="AJ66" i="1" s="1"/>
  <c r="AH18" i="1"/>
  <c r="AH115" i="1"/>
  <c r="AH66" i="1" s="1"/>
  <c r="AN110" i="1"/>
  <c r="AN112" i="1" s="1"/>
  <c r="AM112" i="1"/>
  <c r="AM113" i="1"/>
  <c r="AP110" i="1"/>
  <c r="AS105" i="1"/>
  <c r="E16" i="4" l="1"/>
  <c r="AS110" i="1"/>
  <c r="AV105" i="1"/>
  <c r="AM115" i="1"/>
  <c r="AM66" i="1" s="1"/>
  <c r="AN113" i="1"/>
  <c r="AN115" i="1" s="1"/>
  <c r="AN66" i="1" s="1"/>
  <c r="AP112" i="1"/>
  <c r="AQ110" i="1"/>
  <c r="AQ112" i="1" s="1"/>
  <c r="AP113" i="1"/>
  <c r="AP115" i="1" l="1"/>
  <c r="AP66" i="1" s="1"/>
  <c r="AQ113" i="1"/>
  <c r="AQ115" i="1" s="1"/>
  <c r="AQ66" i="1" s="1"/>
  <c r="AS112" i="1"/>
  <c r="AT110" i="1"/>
  <c r="AT112" i="1" s="1"/>
  <c r="AS113" i="1"/>
  <c r="AV110" i="1"/>
  <c r="AY105" i="1"/>
  <c r="AW110" i="1" l="1"/>
  <c r="AW112" i="1" s="1"/>
  <c r="AV112" i="1"/>
  <c r="AV113" i="1"/>
  <c r="AY110" i="1"/>
  <c r="BB105" i="1"/>
  <c r="AT113" i="1"/>
  <c r="AT115" i="1" s="1"/>
  <c r="AT66" i="1" s="1"/>
  <c r="AS115" i="1"/>
  <c r="AS66" i="1" s="1"/>
  <c r="AW113" i="1" l="1"/>
  <c r="AW115" i="1" s="1"/>
  <c r="AW66" i="1" s="1"/>
  <c r="AV115" i="1"/>
  <c r="AV66" i="1" s="1"/>
  <c r="AY112" i="1"/>
  <c r="AZ110" i="1"/>
  <c r="AZ112" i="1" s="1"/>
  <c r="AY113" i="1"/>
  <c r="BE105" i="1"/>
  <c r="BB110" i="1"/>
  <c r="BC110" i="1" l="1"/>
  <c r="BC112" i="1" s="1"/>
  <c r="BB112" i="1"/>
  <c r="BB113" i="1"/>
  <c r="AZ113" i="1"/>
  <c r="AZ115" i="1" s="1"/>
  <c r="AZ66" i="1" s="1"/>
  <c r="AY115" i="1"/>
  <c r="AY66" i="1" s="1"/>
  <c r="BE110" i="1"/>
  <c r="BH105" i="1"/>
  <c r="BH110" i="1" l="1"/>
  <c r="BK105" i="1"/>
  <c r="BF110" i="1"/>
  <c r="BF112" i="1" s="1"/>
  <c r="BE112" i="1"/>
  <c r="BE113" i="1"/>
  <c r="BC113" i="1"/>
  <c r="BC115" i="1" s="1"/>
  <c r="BC66" i="1" s="1"/>
  <c r="BB115" i="1"/>
  <c r="BB66" i="1" s="1"/>
  <c r="BH112" i="1" l="1"/>
  <c r="BI110" i="1"/>
  <c r="BI112" i="1" s="1"/>
  <c r="BH113" i="1"/>
  <c r="BF113" i="1"/>
  <c r="BF115" i="1" s="1"/>
  <c r="BF66" i="1" s="1"/>
  <c r="BE115" i="1"/>
  <c r="BE66" i="1" s="1"/>
  <c r="BK110" i="1"/>
  <c r="BN105" i="1"/>
  <c r="BH115" i="1" l="1"/>
  <c r="BH66" i="1" s="1"/>
  <c r="BI113" i="1"/>
  <c r="BI115" i="1" s="1"/>
  <c r="BI66" i="1" s="1"/>
  <c r="BK112" i="1"/>
  <c r="BL110" i="1"/>
  <c r="BL112" i="1" s="1"/>
  <c r="BK113" i="1"/>
  <c r="BN110" i="1"/>
  <c r="BQ105" i="1"/>
  <c r="BQ110" i="1" l="1"/>
  <c r="BK115" i="1"/>
  <c r="BK66" i="1" s="1"/>
  <c r="BL113" i="1"/>
  <c r="BL115" i="1" s="1"/>
  <c r="BL66" i="1" s="1"/>
  <c r="BN112" i="1"/>
  <c r="BO110" i="1"/>
  <c r="BO112" i="1" s="1"/>
  <c r="BN113" i="1"/>
  <c r="BN115" i="1" l="1"/>
  <c r="BN66" i="1" s="1"/>
  <c r="BO113" i="1"/>
  <c r="BO115" i="1" s="1"/>
  <c r="BO66" i="1" s="1"/>
  <c r="BQ112" i="1"/>
  <c r="BR110" i="1"/>
  <c r="BR112" i="1" s="1"/>
  <c r="BQ113" i="1"/>
  <c r="BR113" i="1" l="1"/>
  <c r="BR115" i="1" s="1"/>
  <c r="BR66" i="1" s="1"/>
  <c r="BQ115" i="1"/>
  <c r="BQ66" i="1" s="1"/>
  <c r="AF1194" i="1" l="1"/>
  <c r="AH1188" i="1"/>
  <c r="AH1190" i="1" s="1"/>
  <c r="AH1192" i="1" s="1"/>
  <c r="AH1198" i="1" s="1"/>
  <c r="AI1188" i="1"/>
  <c r="AH1196" i="1" l="1"/>
  <c r="AH1202" i="1"/>
  <c r="AF1192" i="1"/>
  <c r="AF1198" i="1" s="1"/>
  <c r="AK1188" i="1"/>
  <c r="AH1194" i="1"/>
  <c r="AH1201" i="1"/>
  <c r="AL1188" i="1"/>
  <c r="AI1190" i="1"/>
  <c r="AI1194" i="1"/>
  <c r="AI1196" i="1" l="1"/>
  <c r="AI1202" i="1"/>
  <c r="AI1192" i="1"/>
  <c r="AI1198" i="1" s="1"/>
  <c r="AK1190" i="1"/>
  <c r="AK1201" i="1" s="1"/>
  <c r="AK1194" i="1"/>
  <c r="AI1201" i="1"/>
  <c r="AN1188" i="1"/>
  <c r="AL1194" i="1"/>
  <c r="AL1190" i="1"/>
  <c r="AL1201" i="1" s="1"/>
  <c r="AO1188" i="1"/>
  <c r="AN1190" i="1" l="1"/>
  <c r="AN1194" i="1"/>
  <c r="AO1190" i="1"/>
  <c r="AO1194" i="1"/>
  <c r="AQ1188" i="1"/>
  <c r="AR1188" i="1"/>
  <c r="AK1196" i="1"/>
  <c r="AK1202" i="1"/>
  <c r="AK1192" i="1"/>
  <c r="AK1198" i="1" s="1"/>
  <c r="AL1192" i="1"/>
  <c r="AL1198" i="1" s="1"/>
  <c r="AL1196" i="1"/>
  <c r="AL1202" i="1"/>
  <c r="AO1202" i="1" l="1"/>
  <c r="AO1196" i="1"/>
  <c r="AO1192" i="1"/>
  <c r="AO1198" i="1" s="1"/>
  <c r="AR1194" i="1"/>
  <c r="AR1190" i="1"/>
  <c r="AR1201" i="1" s="1"/>
  <c r="AT1188" i="1"/>
  <c r="AU1188" i="1"/>
  <c r="AO1201" i="1"/>
  <c r="AN1202" i="1"/>
  <c r="AN1196" i="1"/>
  <c r="AN1192" i="1"/>
  <c r="AN1198" i="1" s="1"/>
  <c r="AQ1190" i="1"/>
  <c r="AQ1194" i="1"/>
  <c r="AN1201" i="1"/>
  <c r="AW1188" i="1" l="1"/>
  <c r="AU1194" i="1"/>
  <c r="AU1190" i="1"/>
  <c r="AX1188" i="1"/>
  <c r="AT1190" i="1"/>
  <c r="AT1201" i="1" s="1"/>
  <c r="AT1194" i="1"/>
  <c r="AR1192" i="1"/>
  <c r="AR1198" i="1" s="1"/>
  <c r="AR1196" i="1"/>
  <c r="AR1202" i="1"/>
  <c r="AQ1196" i="1"/>
  <c r="AQ1202" i="1"/>
  <c r="AQ1192" i="1"/>
  <c r="AQ1198" i="1" s="1"/>
  <c r="AQ1201" i="1"/>
  <c r="AZ1188" i="1" l="1"/>
  <c r="AX1190" i="1"/>
  <c r="AX1201" i="1" s="1"/>
  <c r="AX1194" i="1"/>
  <c r="BA1188" i="1"/>
  <c r="AU1196" i="1"/>
  <c r="AU1202" i="1"/>
  <c r="AU1192" i="1"/>
  <c r="AU1198" i="1" s="1"/>
  <c r="AT1202" i="1"/>
  <c r="AT1196" i="1"/>
  <c r="AT1192" i="1"/>
  <c r="AT1198" i="1" s="1"/>
  <c r="AU1201" i="1"/>
  <c r="AW1194" i="1"/>
  <c r="AW1190" i="1"/>
  <c r="AW1202" i="1" l="1"/>
  <c r="AW1196" i="1"/>
  <c r="AW1192" i="1"/>
  <c r="AW1198" i="1" s="1"/>
  <c r="AX1202" i="1"/>
  <c r="AX1192" i="1"/>
  <c r="AX1198" i="1" s="1"/>
  <c r="AX1196" i="1"/>
  <c r="AW1201" i="1"/>
  <c r="BC1188" i="1"/>
  <c r="BD1188" i="1"/>
  <c r="BA1194" i="1"/>
  <c r="BA1190" i="1"/>
  <c r="BA1201" i="1" s="1"/>
  <c r="AZ1190" i="1"/>
  <c r="AZ1194" i="1"/>
  <c r="BC1190" i="1" l="1"/>
  <c r="BC1201" i="1" s="1"/>
  <c r="BC1194" i="1"/>
  <c r="AZ1196" i="1"/>
  <c r="AZ1192" i="1"/>
  <c r="AZ1198" i="1" s="1"/>
  <c r="AZ1202" i="1"/>
  <c r="BA1196" i="1"/>
  <c r="BA1202" i="1"/>
  <c r="BA1192" i="1"/>
  <c r="BA1198" i="1" s="1"/>
  <c r="AZ1201" i="1"/>
  <c r="BD1194" i="1"/>
  <c r="BD1190" i="1"/>
  <c r="BF1188" i="1"/>
  <c r="BG1188" i="1"/>
  <c r="BG1194" i="1" l="1"/>
  <c r="BJ1188" i="1"/>
  <c r="BG1190" i="1"/>
  <c r="BG1201" i="1" s="1"/>
  <c r="BI1188" i="1"/>
  <c r="BD1202" i="1"/>
  <c r="BD1192" i="1"/>
  <c r="BD1198" i="1" s="1"/>
  <c r="BD1196" i="1"/>
  <c r="BD1201" i="1"/>
  <c r="BF1190" i="1"/>
  <c r="BF1201" i="1" s="1"/>
  <c r="BF1194" i="1"/>
  <c r="BC1202" i="1"/>
  <c r="BC1196" i="1"/>
  <c r="BC1192" i="1"/>
  <c r="BC1198" i="1" s="1"/>
  <c r="BI1194" i="1" l="1"/>
  <c r="BI1190" i="1"/>
  <c r="BG1196" i="1"/>
  <c r="BG1202" i="1"/>
  <c r="BG1192" i="1"/>
  <c r="BG1198" i="1" s="1"/>
  <c r="BF1196" i="1"/>
  <c r="BF1202" i="1"/>
  <c r="BF1192" i="1"/>
  <c r="BF1198" i="1" s="1"/>
  <c r="BM1188" i="1"/>
  <c r="BJ1190" i="1"/>
  <c r="BJ1201" i="1" s="1"/>
  <c r="BJ1194" i="1"/>
  <c r="BL1188" i="1"/>
  <c r="BI1202" i="1" l="1"/>
  <c r="BI1192" i="1"/>
  <c r="BI1198" i="1" s="1"/>
  <c r="BI1196" i="1"/>
  <c r="BJ1202" i="1"/>
  <c r="BJ1196" i="1"/>
  <c r="BJ1192" i="1"/>
  <c r="BJ1198" i="1" s="1"/>
  <c r="BL1194" i="1"/>
  <c r="BL1190" i="1"/>
  <c r="BM1194" i="1"/>
  <c r="BP1188" i="1"/>
  <c r="BO1188" i="1"/>
  <c r="BM1190" i="1"/>
  <c r="BI1201" i="1"/>
  <c r="BO1194" i="1" l="1"/>
  <c r="BO1190" i="1"/>
  <c r="BO1201" i="1" s="1"/>
  <c r="BP1194" i="1"/>
  <c r="BR1188" i="1"/>
  <c r="BP1190" i="1"/>
  <c r="BP1201" i="1" s="1"/>
  <c r="BL1192" i="1"/>
  <c r="BL1198" i="1" s="1"/>
  <c r="BL1202" i="1"/>
  <c r="BL1196" i="1"/>
  <c r="BL1201" i="1"/>
  <c r="BM1202" i="1"/>
  <c r="BM1196" i="1"/>
  <c r="BM1192" i="1"/>
  <c r="BM1198" i="1" s="1"/>
  <c r="BM1201" i="1"/>
  <c r="BO1202" i="1" l="1"/>
  <c r="BO1196" i="1"/>
  <c r="BO1192" i="1"/>
  <c r="BO1198" i="1" s="1"/>
  <c r="BP1196" i="1"/>
  <c r="BP1202" i="1"/>
  <c r="BP1192" i="1"/>
  <c r="BP1198" i="1" s="1"/>
  <c r="BR1194" i="1"/>
  <c r="BR1190" i="1"/>
  <c r="BR1202" i="1" l="1"/>
  <c r="BR1192" i="1"/>
  <c r="BR1198" i="1" s="1"/>
  <c r="BR1196" i="1"/>
  <c r="BR1201" i="1"/>
  <c r="AE1356" i="1"/>
  <c r="AH1356" i="1"/>
  <c r="AF1356" i="1" s="1"/>
  <c r="AD1365" i="1"/>
  <c r="AE1365" i="1" s="1"/>
  <c r="AI1356" i="1" l="1"/>
  <c r="AF1365" i="1"/>
  <c r="Y1355" i="1"/>
  <c r="AG1356" i="1"/>
  <c r="AE1354" i="1"/>
  <c r="AE1355" i="1" s="1"/>
  <c r="AI1365" i="1" l="1"/>
  <c r="AD1355" i="1"/>
  <c r="AD1357" i="1"/>
  <c r="AJ1356" i="1"/>
  <c r="AG1365" i="1"/>
  <c r="AH1365" i="1" s="1"/>
  <c r="AG1355" i="1"/>
  <c r="AF1355" i="1"/>
  <c r="AD1358" i="1" l="1"/>
  <c r="AD1362" i="1"/>
  <c r="AE1362" i="1" s="1"/>
  <c r="AE1357" i="1"/>
  <c r="AE1358" i="1" s="1"/>
  <c r="AF1354" i="1"/>
  <c r="AF1357" i="1" s="1"/>
  <c r="AI1355" i="1"/>
  <c r="AG1354" i="1"/>
  <c r="AJ1355" i="1"/>
  <c r="AN1356" i="1"/>
  <c r="AJ1365" i="1"/>
  <c r="AK1365" i="1" s="1"/>
  <c r="AK1356" i="1"/>
  <c r="AJ1354" i="1" l="1"/>
  <c r="AJ1357" i="1" s="1"/>
  <c r="AG1357" i="1"/>
  <c r="AH1354" i="1"/>
  <c r="AH1355" i="1" s="1"/>
  <c r="AI1354" i="1"/>
  <c r="AN1365" i="1"/>
  <c r="AQ1356" i="1"/>
  <c r="AF1358" i="1"/>
  <c r="AF1362" i="1"/>
  <c r="AF1363" i="1" s="1"/>
  <c r="AD1366" i="1"/>
  <c r="AE1366" i="1" s="1"/>
  <c r="AF1366" i="1" l="1"/>
  <c r="AK1354" i="1"/>
  <c r="AK1355" i="1" s="1"/>
  <c r="AI1357" i="1"/>
  <c r="AJ1362" i="1"/>
  <c r="AJ1358" i="1"/>
  <c r="AT1356" i="1"/>
  <c r="AQ1365" i="1"/>
  <c r="AG1358" i="1"/>
  <c r="AG1362" i="1"/>
  <c r="AH1362" i="1" l="1"/>
  <c r="AH1363" i="1" s="1"/>
  <c r="AG1363" i="1"/>
  <c r="AJ1363" i="1"/>
  <c r="AM1366" i="1"/>
  <c r="AM1345" i="1" s="1"/>
  <c r="AM1300" i="1" s="1"/>
  <c r="AT1365" i="1"/>
  <c r="AN1354" i="1"/>
  <c r="AN1355" i="1" s="1"/>
  <c r="AI1362" i="1"/>
  <c r="AI1358" i="1"/>
  <c r="AK1357" i="1"/>
  <c r="AK1358" i="1" s="1"/>
  <c r="AG1366" i="1"/>
  <c r="AJ1366" i="1"/>
  <c r="AJ1345" i="1" s="1"/>
  <c r="AJ1300" i="1" s="1"/>
  <c r="AI1363" i="1" l="1"/>
  <c r="AL1366" i="1"/>
  <c r="AL1345" i="1" s="1"/>
  <c r="AL1300" i="1" s="1"/>
  <c r="AN1300" i="1" s="1"/>
  <c r="AM1302" i="1"/>
  <c r="AJ1302" i="1"/>
  <c r="AH1366" i="1"/>
  <c r="AG1300" i="1"/>
  <c r="AN1357" i="1"/>
  <c r="AN1358" i="1" s="1"/>
  <c r="AK1362" i="1"/>
  <c r="AK1363" i="1" s="1"/>
  <c r="AI1366" i="1"/>
  <c r="AW1365" i="1"/>
  <c r="AQ1354" i="1"/>
  <c r="AQ1355" i="1" s="1"/>
  <c r="AW1356" i="1"/>
  <c r="AK1366" i="1" l="1"/>
  <c r="AI1345" i="1"/>
  <c r="AI1300" i="1" s="1"/>
  <c r="AL1302" i="1"/>
  <c r="AH1300" i="1"/>
  <c r="AG1302" i="1"/>
  <c r="AG1292" i="1" s="1"/>
  <c r="AG1305" i="1"/>
  <c r="AG589" i="1" s="1"/>
  <c r="AG592" i="1"/>
  <c r="AN1302" i="1"/>
  <c r="AN1366" i="1"/>
  <c r="AT1354" i="1"/>
  <c r="AT1355" i="1" s="1"/>
  <c r="AZ1365" i="1"/>
  <c r="AZ1356" i="1"/>
  <c r="AN1362" i="1"/>
  <c r="AN1363" i="1" s="1"/>
  <c r="AQ1357" i="1"/>
  <c r="AQ1358" i="1" s="1"/>
  <c r="AI1302" i="1" l="1"/>
  <c r="AI1292" i="1" s="1"/>
  <c r="AI1305" i="1"/>
  <c r="AI589" i="1" s="1"/>
  <c r="AI592" i="1"/>
  <c r="AK1300" i="1"/>
  <c r="AG1289" i="1"/>
  <c r="AG1293" i="1"/>
  <c r="AG1303" i="1"/>
  <c r="AG1304" i="1"/>
  <c r="AH1292" i="1"/>
  <c r="AJ1305" i="1"/>
  <c r="AJ589" i="1" s="1"/>
  <c r="AH1302" i="1"/>
  <c r="AH1305" i="1"/>
  <c r="AH589" i="1" s="1"/>
  <c r="AH592" i="1"/>
  <c r="AT1357" i="1"/>
  <c r="AT1358" i="1" s="1"/>
  <c r="AW1354" i="1"/>
  <c r="AW1355" i="1" s="1"/>
  <c r="AQ1362" i="1"/>
  <c r="AQ1363" i="1" s="1"/>
  <c r="AQ1366" i="1"/>
  <c r="BC1365" i="1"/>
  <c r="BC1356" i="1"/>
  <c r="AI1293" i="1" l="1"/>
  <c r="AL1292" i="1" s="1"/>
  <c r="AI1289" i="1"/>
  <c r="AI1304" i="1"/>
  <c r="AI588" i="1" s="1"/>
  <c r="AI590" i="1" s="1"/>
  <c r="AI1303" i="1"/>
  <c r="AL1305" i="1"/>
  <c r="AL589" i="1" s="1"/>
  <c r="AK1302" i="1"/>
  <c r="AH1304" i="1"/>
  <c r="AH1289" i="1"/>
  <c r="AH1303" i="1"/>
  <c r="AH1293" i="1"/>
  <c r="AK1305" i="1"/>
  <c r="AK589" i="1" s="1"/>
  <c r="AJ1292" i="1"/>
  <c r="AG588" i="1"/>
  <c r="AG590" i="1" s="1"/>
  <c r="AG1168" i="1"/>
  <c r="AG1290" i="1"/>
  <c r="AZ1354" i="1"/>
  <c r="AZ1355" i="1" s="1"/>
  <c r="AT1362" i="1"/>
  <c r="AT1363" i="1" s="1"/>
  <c r="AT1366" i="1"/>
  <c r="AW1357" i="1"/>
  <c r="AW1358" i="1" s="1"/>
  <c r="BF1365" i="1"/>
  <c r="BF1356" i="1"/>
  <c r="AI1290" i="1" l="1"/>
  <c r="AI1168" i="1"/>
  <c r="AL1289" i="1"/>
  <c r="AL1303" i="1"/>
  <c r="AO1305" i="1"/>
  <c r="AO589" i="1" s="1"/>
  <c r="AL1304" i="1"/>
  <c r="AL588" i="1" s="1"/>
  <c r="AL590" i="1" s="1"/>
  <c r="AL1293" i="1"/>
  <c r="AO1292" i="1" s="1"/>
  <c r="AG546" i="1"/>
  <c r="AG1171" i="1"/>
  <c r="AG1172" i="1" s="1"/>
  <c r="AG1169" i="1"/>
  <c r="AH588" i="1"/>
  <c r="AH590" i="1" s="1"/>
  <c r="AH1290" i="1"/>
  <c r="AH1168" i="1"/>
  <c r="AJ1289" i="1"/>
  <c r="AJ1303" i="1"/>
  <c r="AJ1304" i="1"/>
  <c r="AJ588" i="1" s="1"/>
  <c r="AJ590" i="1" s="1"/>
  <c r="AJ1293" i="1"/>
  <c r="AM1292" i="1" s="1"/>
  <c r="AK1292" i="1"/>
  <c r="AM1305" i="1"/>
  <c r="AM589" i="1" s="1"/>
  <c r="BI1365" i="1"/>
  <c r="AW1362" i="1"/>
  <c r="AW1363" i="1" s="1"/>
  <c r="AW1366" i="1"/>
  <c r="BC1354" i="1"/>
  <c r="BC1355" i="1" s="1"/>
  <c r="BI1356" i="1"/>
  <c r="AZ1357" i="1"/>
  <c r="AZ1358" i="1" s="1"/>
  <c r="AO1304" i="1" l="1"/>
  <c r="AO588" i="1" s="1"/>
  <c r="AO590" i="1" s="1"/>
  <c r="AR1305" i="1"/>
  <c r="AR589" i="1" s="1"/>
  <c r="AO1303" i="1"/>
  <c r="AO1293" i="1"/>
  <c r="AR1292" i="1" s="1"/>
  <c r="AO1289" i="1"/>
  <c r="AL1290" i="1"/>
  <c r="AL1168" i="1"/>
  <c r="AI1171" i="1"/>
  <c r="AI1172" i="1" s="1"/>
  <c r="AI546" i="1"/>
  <c r="AI1169" i="1"/>
  <c r="AG556" i="1"/>
  <c r="AG548" i="1"/>
  <c r="AG9" i="1" s="1"/>
  <c r="AG59" i="1" s="1"/>
  <c r="AH546" i="1"/>
  <c r="AH548" i="1" s="1"/>
  <c r="AH9" i="1" s="1"/>
  <c r="AK1304" i="1"/>
  <c r="AK1293" i="1"/>
  <c r="AK1303" i="1"/>
  <c r="AK1289" i="1"/>
  <c r="AN1305" i="1"/>
  <c r="AN589" i="1" s="1"/>
  <c r="AJ1168" i="1"/>
  <c r="AJ1290" i="1"/>
  <c r="AP1305" i="1"/>
  <c r="AP589" i="1" s="1"/>
  <c r="AM1293" i="1"/>
  <c r="AP1292" i="1" s="1"/>
  <c r="AM1303" i="1"/>
  <c r="AM1304" i="1"/>
  <c r="AM588" i="1" s="1"/>
  <c r="AM590" i="1" s="1"/>
  <c r="AM1289" i="1"/>
  <c r="AN1292" i="1"/>
  <c r="AH1171" i="1"/>
  <c r="AH1172" i="1" s="1"/>
  <c r="AH1169" i="1"/>
  <c r="BL1365" i="1"/>
  <c r="BC1357" i="1"/>
  <c r="BC1358" i="1" s="1"/>
  <c r="BL1356" i="1"/>
  <c r="BF1354" i="1"/>
  <c r="BF1355" i="1" s="1"/>
  <c r="AZ1362" i="1"/>
  <c r="AZ1363" i="1" s="1"/>
  <c r="AZ1366" i="1"/>
  <c r="AR1289" i="1" l="1"/>
  <c r="AR1303" i="1"/>
  <c r="AU1305" i="1"/>
  <c r="AU589" i="1" s="1"/>
  <c r="AR1304" i="1"/>
  <c r="AR588" i="1" s="1"/>
  <c r="AR590" i="1" s="1"/>
  <c r="AR1293" i="1"/>
  <c r="AU1292" i="1" s="1"/>
  <c r="AL546" i="1"/>
  <c r="AL1169" i="1"/>
  <c r="AL1171" i="1"/>
  <c r="AL1172" i="1" s="1"/>
  <c r="AI548" i="1"/>
  <c r="AI9" i="1" s="1"/>
  <c r="AI556" i="1"/>
  <c r="AO1290" i="1"/>
  <c r="AO1168" i="1"/>
  <c r="AK1168" i="1"/>
  <c r="AK1290" i="1"/>
  <c r="AK588" i="1"/>
  <c r="AK590" i="1" s="1"/>
  <c r="AP1304" i="1"/>
  <c r="AP588" i="1" s="1"/>
  <c r="AP590" i="1" s="1"/>
  <c r="AP1289" i="1"/>
  <c r="AP1303" i="1"/>
  <c r="AP1293" i="1"/>
  <c r="AS1292" i="1" s="1"/>
  <c r="AS1305" i="1"/>
  <c r="AS589" i="1" s="1"/>
  <c r="AQ1292" i="1"/>
  <c r="AG248" i="1"/>
  <c r="AG225" i="1"/>
  <c r="AG11" i="1"/>
  <c r="AH218" i="1"/>
  <c r="AH225" i="1"/>
  <c r="AH11" i="1"/>
  <c r="AH248" i="1"/>
  <c r="E6" i="4"/>
  <c r="AH59" i="1"/>
  <c r="AH203" i="1"/>
  <c r="AH202" i="1" s="1"/>
  <c r="R28" i="4" s="1"/>
  <c r="AN1303" i="1"/>
  <c r="AN1289" i="1"/>
  <c r="AN1293" i="1"/>
  <c r="AQ1305" i="1"/>
  <c r="AQ589" i="1" s="1"/>
  <c r="AN1304" i="1"/>
  <c r="AM1168" i="1"/>
  <c r="AM1290" i="1"/>
  <c r="AJ546" i="1"/>
  <c r="AJ1169" i="1"/>
  <c r="AJ1171" i="1"/>
  <c r="AJ1172" i="1" s="1"/>
  <c r="AG567" i="1"/>
  <c r="AG568" i="1" s="1"/>
  <c r="AG561" i="1"/>
  <c r="AG595" i="1" s="1"/>
  <c r="AG558" i="1"/>
  <c r="AH556" i="1"/>
  <c r="BC1362" i="1"/>
  <c r="BC1363" i="1" s="1"/>
  <c r="BC1366" i="1"/>
  <c r="BI1354" i="1"/>
  <c r="BI1355" i="1" s="1"/>
  <c r="BF1357" i="1"/>
  <c r="BF1358" i="1" s="1"/>
  <c r="BO1365" i="1"/>
  <c r="BO1356" i="1"/>
  <c r="AI561" i="1" l="1"/>
  <c r="AI595" i="1" s="1"/>
  <c r="AI558" i="1"/>
  <c r="AI567" i="1"/>
  <c r="AI568" i="1" s="1"/>
  <c r="AL548" i="1"/>
  <c r="AL9" i="1" s="1"/>
  <c r="AL556" i="1"/>
  <c r="AO1169" i="1"/>
  <c r="AO546" i="1"/>
  <c r="AO1171" i="1"/>
  <c r="AO1172" i="1" s="1"/>
  <c r="AI225" i="1"/>
  <c r="AI248" i="1"/>
  <c r="AI59" i="1"/>
  <c r="AI11" i="1"/>
  <c r="AU1289" i="1"/>
  <c r="AU1304" i="1"/>
  <c r="AU588" i="1" s="1"/>
  <c r="AU590" i="1" s="1"/>
  <c r="AU1293" i="1"/>
  <c r="AX1292" i="1" s="1"/>
  <c r="AX1305" i="1"/>
  <c r="AX589" i="1" s="1"/>
  <c r="AU1303" i="1"/>
  <c r="AR1290" i="1"/>
  <c r="AR1168" i="1"/>
  <c r="AJ556" i="1"/>
  <c r="AJ548" i="1"/>
  <c r="AJ9" i="1" s="1"/>
  <c r="AK546" i="1"/>
  <c r="AK548" i="1" s="1"/>
  <c r="AK9" i="1" s="1"/>
  <c r="AN1290" i="1"/>
  <c r="AN1168" i="1"/>
  <c r="E7" i="4"/>
  <c r="M5" i="7"/>
  <c r="AG236" i="1"/>
  <c r="AG249" i="1"/>
  <c r="AG14" i="1"/>
  <c r="AG226" i="1"/>
  <c r="AP1168" i="1"/>
  <c r="AP1290" i="1"/>
  <c r="R54" i="4"/>
  <c r="AH561" i="1"/>
  <c r="AH595" i="1" s="1"/>
  <c r="AH558" i="1"/>
  <c r="AH567" i="1"/>
  <c r="AH568" i="1" s="1"/>
  <c r="AM1169" i="1"/>
  <c r="AM546" i="1"/>
  <c r="AM1171" i="1"/>
  <c r="AM1172" i="1" s="1"/>
  <c r="AH14" i="1"/>
  <c r="AH226" i="1"/>
  <c r="C66" i="7"/>
  <c r="E66" i="7" s="1"/>
  <c r="E70" i="7" s="1"/>
  <c r="E71" i="7" s="1"/>
  <c r="E73" i="7" s="1"/>
  <c r="AH236" i="1"/>
  <c r="AH201" i="1"/>
  <c r="AH200" i="1" s="1"/>
  <c r="R27" i="4" s="1"/>
  <c r="AH249" i="1"/>
  <c r="R47" i="4" s="1"/>
  <c r="AH216" i="1"/>
  <c r="E9" i="4"/>
  <c r="D101" i="7"/>
  <c r="AK1171" i="1"/>
  <c r="AK1172" i="1" s="1"/>
  <c r="AK1169" i="1"/>
  <c r="AQ1303" i="1"/>
  <c r="AQ1304" i="1"/>
  <c r="AQ588" i="1" s="1"/>
  <c r="AQ590" i="1" s="1"/>
  <c r="AQ1289" i="1"/>
  <c r="AT1305" i="1"/>
  <c r="AT589" i="1" s="1"/>
  <c r="AQ1293" i="1"/>
  <c r="AJ592" i="1"/>
  <c r="AG563" i="1"/>
  <c r="AG593" i="1" s="1"/>
  <c r="AG570" i="1"/>
  <c r="AG571" i="1" s="1"/>
  <c r="AN588" i="1"/>
  <c r="AN590" i="1" s="1"/>
  <c r="E23" i="4"/>
  <c r="AV1305" i="1"/>
  <c r="AV589" i="1" s="1"/>
  <c r="AS1293" i="1"/>
  <c r="AV1292" i="1" s="1"/>
  <c r="AS1304" i="1"/>
  <c r="AS588" i="1" s="1"/>
  <c r="AS590" i="1" s="1"/>
  <c r="AS1289" i="1"/>
  <c r="AS1303" i="1"/>
  <c r="AT1292" i="1"/>
  <c r="BR1365" i="1"/>
  <c r="BF1362" i="1"/>
  <c r="BF1363" i="1" s="1"/>
  <c r="BF1366" i="1"/>
  <c r="BI1357" i="1"/>
  <c r="BI1358" i="1" s="1"/>
  <c r="BL1354" i="1"/>
  <c r="BL1355" i="1" s="1"/>
  <c r="BR1356" i="1"/>
  <c r="AU1168" i="1" l="1"/>
  <c r="AU1290" i="1"/>
  <c r="AI563" i="1"/>
  <c r="AI593" i="1" s="1"/>
  <c r="AI591" i="1" s="1"/>
  <c r="AI570" i="1"/>
  <c r="AI571" i="1" s="1"/>
  <c r="AL592" i="1"/>
  <c r="AO556" i="1"/>
  <c r="AO548" i="1"/>
  <c r="AO9" i="1" s="1"/>
  <c r="AL558" i="1"/>
  <c r="AL567" i="1"/>
  <c r="AL568" i="1" s="1"/>
  <c r="AL561" i="1"/>
  <c r="AL595" i="1" s="1"/>
  <c r="AR1169" i="1"/>
  <c r="AR1171" i="1"/>
  <c r="AR1172" i="1" s="1"/>
  <c r="AR546" i="1"/>
  <c r="AX1289" i="1"/>
  <c r="AX1303" i="1"/>
  <c r="AX1304" i="1"/>
  <c r="AX588" i="1" s="1"/>
  <c r="AX590" i="1" s="1"/>
  <c r="AX1293" i="1"/>
  <c r="BA1292" i="1" s="1"/>
  <c r="BA1305" i="1"/>
  <c r="BA589" i="1" s="1"/>
  <c r="AI236" i="1"/>
  <c r="AI226" i="1"/>
  <c r="AI249" i="1"/>
  <c r="AI14" i="1"/>
  <c r="AI15" i="1" s="1"/>
  <c r="AL11" i="1"/>
  <c r="AL59" i="1"/>
  <c r="AL248" i="1"/>
  <c r="AL225" i="1"/>
  <c r="AS1290" i="1"/>
  <c r="AS1168" i="1"/>
  <c r="AG591" i="1"/>
  <c r="AQ1290" i="1"/>
  <c r="AQ1168" i="1"/>
  <c r="AH235" i="1"/>
  <c r="AP546" i="1"/>
  <c r="AP1169" i="1"/>
  <c r="AP1171" i="1"/>
  <c r="AP1172" i="1" s="1"/>
  <c r="AY1305" i="1"/>
  <c r="AY589" i="1" s="1"/>
  <c r="AV1304" i="1"/>
  <c r="AV588" i="1" s="1"/>
  <c r="AV590" i="1" s="1"/>
  <c r="AV1293" i="1"/>
  <c r="AY1292" i="1" s="1"/>
  <c r="AV1289" i="1"/>
  <c r="AV1303" i="1"/>
  <c r="AW1292" i="1"/>
  <c r="AM556" i="1"/>
  <c r="AM548" i="1"/>
  <c r="AM9" i="1" s="1"/>
  <c r="AN546" i="1"/>
  <c r="AN548" i="1" s="1"/>
  <c r="AN9" i="1" s="1"/>
  <c r="AG235" i="1"/>
  <c r="AG15" i="1"/>
  <c r="AG61" i="1" s="1"/>
  <c r="AJ248" i="1"/>
  <c r="AJ11" i="1"/>
  <c r="AJ59" i="1"/>
  <c r="AJ225" i="1"/>
  <c r="F6" i="4"/>
  <c r="AK59" i="1"/>
  <c r="AK225" i="1"/>
  <c r="AK248" i="1"/>
  <c r="AK203" i="1"/>
  <c r="AK202" i="1" s="1"/>
  <c r="S28" i="4" s="1"/>
  <c r="AK218" i="1"/>
  <c r="AK11" i="1"/>
  <c r="AT1293" i="1"/>
  <c r="AW1305" i="1"/>
  <c r="AW589" i="1" s="1"/>
  <c r="AT1303" i="1"/>
  <c r="AT1304" i="1"/>
  <c r="AT588" i="1" s="1"/>
  <c r="AT590" i="1" s="1"/>
  <c r="AT1289" i="1"/>
  <c r="E10" i="4"/>
  <c r="E12" i="4"/>
  <c r="M6" i="7"/>
  <c r="AH563" i="1"/>
  <c r="AH593" i="1" s="1"/>
  <c r="AH570" i="1"/>
  <c r="AH571" i="1" s="1"/>
  <c r="R56" i="4"/>
  <c r="AK592" i="1"/>
  <c r="AN1169" i="1"/>
  <c r="AN1171" i="1"/>
  <c r="AN1172" i="1" s="1"/>
  <c r="AJ567" i="1"/>
  <c r="AJ568" i="1" s="1"/>
  <c r="AJ558" i="1"/>
  <c r="AJ561" i="1"/>
  <c r="AJ595" i="1" s="1"/>
  <c r="AK556" i="1"/>
  <c r="BO1354" i="1"/>
  <c r="BO1355" i="1" s="1"/>
  <c r="BR1354" i="1"/>
  <c r="BR1355" i="1" s="1"/>
  <c r="BI1362" i="1"/>
  <c r="BI1363" i="1" s="1"/>
  <c r="BI1366" i="1"/>
  <c r="BL1357" i="1"/>
  <c r="BL1358" i="1" s="1"/>
  <c r="AG69" i="1" l="1"/>
  <c r="AG93" i="1"/>
  <c r="AX1168" i="1"/>
  <c r="AX1290" i="1"/>
  <c r="AL249" i="1"/>
  <c r="AL236" i="1"/>
  <c r="AL14" i="1"/>
  <c r="AL226" i="1"/>
  <c r="BA1303" i="1"/>
  <c r="BA1293" i="1"/>
  <c r="BD1292" i="1" s="1"/>
  <c r="BA1289" i="1"/>
  <c r="BD1305" i="1"/>
  <c r="BD589" i="1" s="1"/>
  <c r="BA1304" i="1"/>
  <c r="BA588" i="1" s="1"/>
  <c r="BA590" i="1" s="1"/>
  <c r="AR556" i="1"/>
  <c r="AR548" i="1"/>
  <c r="AR9" i="1" s="1"/>
  <c r="AO11" i="1"/>
  <c r="AO225" i="1"/>
  <c r="AO59" i="1"/>
  <c r="AO248" i="1"/>
  <c r="AI235" i="1"/>
  <c r="AI17" i="1"/>
  <c r="AL563" i="1"/>
  <c r="AL593" i="1" s="1"/>
  <c r="AL591" i="1" s="1"/>
  <c r="AO592" i="1"/>
  <c r="AL570" i="1"/>
  <c r="AL571" i="1" s="1"/>
  <c r="AO567" i="1"/>
  <c r="AO568" i="1" s="1"/>
  <c r="AO561" i="1"/>
  <c r="AO595" i="1" s="1"/>
  <c r="AO558" i="1"/>
  <c r="AU546" i="1"/>
  <c r="AU1171" i="1"/>
  <c r="AU1172" i="1" s="1"/>
  <c r="AU1169" i="1"/>
  <c r="AH591" i="1"/>
  <c r="F7" i="4"/>
  <c r="N5" i="7"/>
  <c r="AZ1305" i="1"/>
  <c r="AZ589" i="1" s="1"/>
  <c r="AW1304" i="1"/>
  <c r="AW588" i="1" s="1"/>
  <c r="AW590" i="1" s="1"/>
  <c r="AW1303" i="1"/>
  <c r="AW1293" i="1"/>
  <c r="AW1289" i="1"/>
  <c r="AK567" i="1"/>
  <c r="AK568" i="1" s="1"/>
  <c r="AK561" i="1"/>
  <c r="AK595" i="1" s="1"/>
  <c r="S54" i="4"/>
  <c r="AK558" i="1"/>
  <c r="AK14" i="1"/>
  <c r="AK201" i="1"/>
  <c r="AK200" i="1" s="1"/>
  <c r="S27" i="4" s="1"/>
  <c r="AK249" i="1"/>
  <c r="S47" i="4" s="1"/>
  <c r="F9" i="4"/>
  <c r="AK236" i="1"/>
  <c r="E101" i="7"/>
  <c r="AK226" i="1"/>
  <c r="F66" i="7"/>
  <c r="AK216" i="1"/>
  <c r="F23" i="4"/>
  <c r="AG44" i="1"/>
  <c r="AG599" i="1"/>
  <c r="AG600" i="1" s="1"/>
  <c r="AH15" i="1"/>
  <c r="AM561" i="1"/>
  <c r="AM595" i="1" s="1"/>
  <c r="AM558" i="1"/>
  <c r="AM567" i="1"/>
  <c r="AM568" i="1" s="1"/>
  <c r="AN556" i="1"/>
  <c r="AY1289" i="1"/>
  <c r="AY1304" i="1"/>
  <c r="AY588" i="1" s="1"/>
  <c r="AY590" i="1" s="1"/>
  <c r="AY1293" i="1"/>
  <c r="BB1292" i="1" s="1"/>
  <c r="BB1305" i="1"/>
  <c r="BB589" i="1" s="1"/>
  <c r="AY1303" i="1"/>
  <c r="AZ1292" i="1"/>
  <c r="AJ249" i="1"/>
  <c r="AJ236" i="1"/>
  <c r="AJ14" i="1"/>
  <c r="AJ226" i="1"/>
  <c r="AQ1169" i="1"/>
  <c r="AQ1171" i="1"/>
  <c r="AQ1172" i="1" s="1"/>
  <c r="G6" i="4"/>
  <c r="AN59" i="1"/>
  <c r="AN248" i="1"/>
  <c r="AN11" i="1"/>
  <c r="AN203" i="1"/>
  <c r="AN202" i="1" s="1"/>
  <c r="T28" i="4" s="1"/>
  <c r="AN218" i="1"/>
  <c r="AN225" i="1"/>
  <c r="AP556" i="1"/>
  <c r="AP548" i="1"/>
  <c r="AP9" i="1" s="1"/>
  <c r="AQ546" i="1"/>
  <c r="AQ548" i="1" s="1"/>
  <c r="AQ9" i="1" s="1"/>
  <c r="AS1169" i="1"/>
  <c r="AS546" i="1"/>
  <c r="AS1171" i="1"/>
  <c r="AS1172" i="1" s="1"/>
  <c r="AJ563" i="1"/>
  <c r="AJ593" i="1" s="1"/>
  <c r="AJ591" i="1" s="1"/>
  <c r="AJ570" i="1"/>
  <c r="AJ571" i="1" s="1"/>
  <c r="AM592" i="1"/>
  <c r="AT1290" i="1"/>
  <c r="AT1168" i="1"/>
  <c r="AG17" i="1"/>
  <c r="AM248" i="1"/>
  <c r="AM225" i="1"/>
  <c r="AM11" i="1"/>
  <c r="AM59" i="1"/>
  <c r="AV1168" i="1"/>
  <c r="AV1290" i="1"/>
  <c r="BR1357" i="1"/>
  <c r="BR1358" i="1" s="1"/>
  <c r="BL1362" i="1"/>
  <c r="BL1363" i="1" s="1"/>
  <c r="BL1366" i="1"/>
  <c r="BO1357" i="1"/>
  <c r="BO1358" i="1" s="1"/>
  <c r="AG77" i="1" l="1"/>
  <c r="AG80" i="1"/>
  <c r="AH80" i="1" s="1"/>
  <c r="AL598" i="1"/>
  <c r="AI179" i="1"/>
  <c r="AI178" i="1" s="1"/>
  <c r="AI234" i="1"/>
  <c r="AI19" i="1"/>
  <c r="AI181" i="1" s="1"/>
  <c r="AI180" i="1" s="1"/>
  <c r="AI227" i="1"/>
  <c r="BG1305" i="1"/>
  <c r="BG589" i="1" s="1"/>
  <c r="BD1303" i="1"/>
  <c r="BD1289" i="1"/>
  <c r="BD1304" i="1"/>
  <c r="BD588" i="1" s="1"/>
  <c r="BD590" i="1" s="1"/>
  <c r="BD1293" i="1"/>
  <c r="BG1292" i="1" s="1"/>
  <c r="AU556" i="1"/>
  <c r="AU548" i="1"/>
  <c r="AU9" i="1" s="1"/>
  <c r="AI61" i="1"/>
  <c r="AI599" i="1"/>
  <c r="AI600" i="1" s="1"/>
  <c r="AX1169" i="1"/>
  <c r="AX546" i="1"/>
  <c r="AX1171" i="1"/>
  <c r="AX1172" i="1" s="1"/>
  <c r="AR561" i="1"/>
  <c r="AR595" i="1" s="1"/>
  <c r="AR558" i="1"/>
  <c r="AR567" i="1"/>
  <c r="AR568" i="1" s="1"/>
  <c r="AR592" i="1"/>
  <c r="AO570" i="1"/>
  <c r="AO571" i="1" s="1"/>
  <c r="AO563" i="1"/>
  <c r="AO593" i="1" s="1"/>
  <c r="AO591" i="1" s="1"/>
  <c r="AO226" i="1"/>
  <c r="AO249" i="1"/>
  <c r="AO14" i="1"/>
  <c r="AO236" i="1"/>
  <c r="AR59" i="1"/>
  <c r="AR248" i="1"/>
  <c r="AR11" i="1"/>
  <c r="AR225" i="1"/>
  <c r="BA1290" i="1"/>
  <c r="BA1168" i="1"/>
  <c r="AL235" i="1"/>
  <c r="AL15" i="1"/>
  <c r="AH44" i="1"/>
  <c r="AM249" i="1"/>
  <c r="AM236" i="1"/>
  <c r="AM14" i="1"/>
  <c r="AM226" i="1"/>
  <c r="AS556" i="1"/>
  <c r="AS548" i="1"/>
  <c r="AS9" i="1" s="1"/>
  <c r="AT546" i="1"/>
  <c r="AT548" i="1" s="1"/>
  <c r="AT9" i="1" s="1"/>
  <c r="AP558" i="1"/>
  <c r="AP567" i="1"/>
  <c r="AP568" i="1" s="1"/>
  <c r="AP561" i="1"/>
  <c r="AP595" i="1" s="1"/>
  <c r="AQ556" i="1"/>
  <c r="AH599" i="1"/>
  <c r="E13" i="4"/>
  <c r="E15" i="4" s="1"/>
  <c r="E17" i="4" s="1"/>
  <c r="AH105" i="1"/>
  <c r="AH17" i="1"/>
  <c r="AH230" i="1" s="1"/>
  <c r="AW1290" i="1"/>
  <c r="AW1168" i="1"/>
  <c r="AG234" i="1"/>
  <c r="AJ598" i="1"/>
  <c r="AG227" i="1"/>
  <c r="AG179" i="1"/>
  <c r="AG178" i="1" s="1"/>
  <c r="AG230" i="1"/>
  <c r="AG19" i="1"/>
  <c r="AG53" i="1" s="1"/>
  <c r="AP225" i="1"/>
  <c r="AP248" i="1"/>
  <c r="AP11" i="1"/>
  <c r="AP59" i="1"/>
  <c r="AN14" i="1"/>
  <c r="AN226" i="1"/>
  <c r="F101" i="7"/>
  <c r="AN201" i="1"/>
  <c r="AN200" i="1" s="1"/>
  <c r="T27" i="4" s="1"/>
  <c r="AN249" i="1"/>
  <c r="T47" i="4" s="1"/>
  <c r="G9" i="4"/>
  <c r="AN216" i="1"/>
  <c r="AN236" i="1"/>
  <c r="I66" i="7"/>
  <c r="K66" i="7" s="1"/>
  <c r="K70" i="7" s="1"/>
  <c r="K71" i="7" s="1"/>
  <c r="K73" i="7" s="1"/>
  <c r="AN561" i="1"/>
  <c r="AN595" i="1" s="1"/>
  <c r="AN558" i="1"/>
  <c r="T54" i="4"/>
  <c r="AN567" i="1"/>
  <c r="AN568" i="1" s="1"/>
  <c r="H66" i="7"/>
  <c r="H70" i="7" s="1"/>
  <c r="H71" i="7" s="1"/>
  <c r="H73" i="7" s="1"/>
  <c r="BB1289" i="1"/>
  <c r="BB1303" i="1"/>
  <c r="BB1293" i="1"/>
  <c r="BE1292" i="1" s="1"/>
  <c r="BE1305" i="1"/>
  <c r="BE589" i="1" s="1"/>
  <c r="BB1304" i="1"/>
  <c r="BB588" i="1" s="1"/>
  <c r="BB590" i="1" s="1"/>
  <c r="BC1292" i="1"/>
  <c r="AH61" i="1"/>
  <c r="AZ1304" i="1"/>
  <c r="AZ588" i="1" s="1"/>
  <c r="AZ590" i="1" s="1"/>
  <c r="AZ1303" i="1"/>
  <c r="BC1305" i="1"/>
  <c r="BC589" i="1" s="1"/>
  <c r="AZ1289" i="1"/>
  <c r="AZ1293" i="1"/>
  <c r="F12" i="4"/>
  <c r="N6" i="7"/>
  <c r="F10" i="4"/>
  <c r="AV1171" i="1"/>
  <c r="AV1172" i="1" s="1"/>
  <c r="AV1169" i="1"/>
  <c r="AV546" i="1"/>
  <c r="G23" i="4"/>
  <c r="AJ235" i="1"/>
  <c r="AJ15" i="1"/>
  <c r="AJ17" i="1" s="1"/>
  <c r="AP592" i="1"/>
  <c r="AM570" i="1"/>
  <c r="AM571" i="1" s="1"/>
  <c r="AM563" i="1"/>
  <c r="AM593" i="1" s="1"/>
  <c r="AM591" i="1" s="1"/>
  <c r="AK235" i="1"/>
  <c r="AT1169" i="1"/>
  <c r="AT1171" i="1"/>
  <c r="AT1172" i="1" s="1"/>
  <c r="AQ11" i="1"/>
  <c r="AQ218" i="1"/>
  <c r="H6" i="4"/>
  <c r="AQ59" i="1"/>
  <c r="AQ248" i="1"/>
  <c r="AQ203" i="1"/>
  <c r="AQ202" i="1" s="1"/>
  <c r="U27" i="4" s="1"/>
  <c r="AQ225" i="1"/>
  <c r="O5" i="7"/>
  <c r="G7" i="4"/>
  <c r="AY1168" i="1"/>
  <c r="AY1290" i="1"/>
  <c r="AK563" i="1"/>
  <c r="AK593" i="1" s="1"/>
  <c r="S56" i="4"/>
  <c r="AK570" i="1"/>
  <c r="AK571" i="1" s="1"/>
  <c r="AN592" i="1"/>
  <c r="BO1362" i="1"/>
  <c r="BO1363" i="1" s="1"/>
  <c r="BO1366" i="1"/>
  <c r="BR1362" i="1"/>
  <c r="BR1363" i="1" s="1"/>
  <c r="BR1366" i="1"/>
  <c r="AG79" i="1" l="1"/>
  <c r="AG78" i="1" s="1"/>
  <c r="AH78" i="1" s="1"/>
  <c r="AG86" i="1"/>
  <c r="AR563" i="1"/>
  <c r="AR593" i="1" s="1"/>
  <c r="AR591" i="1" s="1"/>
  <c r="AU592" i="1"/>
  <c r="AR570" i="1"/>
  <c r="AR571" i="1" s="1"/>
  <c r="AO235" i="1"/>
  <c r="AO15" i="1"/>
  <c r="AO17" i="1" s="1"/>
  <c r="AI69" i="1"/>
  <c r="AU561" i="1"/>
  <c r="AU595" i="1" s="1"/>
  <c r="AU558" i="1"/>
  <c r="AU567" i="1"/>
  <c r="AU568" i="1" s="1"/>
  <c r="AL599" i="1"/>
  <c r="AL600" i="1" s="1"/>
  <c r="AL61" i="1"/>
  <c r="AX556" i="1"/>
  <c r="AX548" i="1"/>
  <c r="AX9" i="1" s="1"/>
  <c r="AU11" i="1"/>
  <c r="AU59" i="1"/>
  <c r="AU225" i="1"/>
  <c r="AU248" i="1"/>
  <c r="BD1168" i="1"/>
  <c r="BD1290" i="1"/>
  <c r="BA1169" i="1"/>
  <c r="BA546" i="1"/>
  <c r="BA1171" i="1"/>
  <c r="BA1172" i="1" s="1"/>
  <c r="AR14" i="1"/>
  <c r="AR249" i="1"/>
  <c r="AR236" i="1"/>
  <c r="AR226" i="1"/>
  <c r="BJ1305" i="1"/>
  <c r="BJ589" i="1" s="1"/>
  <c r="BG1293" i="1"/>
  <c r="BJ1292" i="1" s="1"/>
  <c r="BG1303" i="1"/>
  <c r="BG1304" i="1"/>
  <c r="BG588" i="1" s="1"/>
  <c r="BG590" i="1" s="1"/>
  <c r="BG1289" i="1"/>
  <c r="AL17" i="1"/>
  <c r="AI228" i="1"/>
  <c r="AI182" i="1"/>
  <c r="H23" i="4"/>
  <c r="AK591" i="1"/>
  <c r="AQ216" i="1"/>
  <c r="AQ249" i="1"/>
  <c r="U47" i="4" s="1"/>
  <c r="H9" i="4"/>
  <c r="AQ14" i="1"/>
  <c r="AQ201" i="1"/>
  <c r="AQ200" i="1" s="1"/>
  <c r="AQ226" i="1"/>
  <c r="AQ236" i="1"/>
  <c r="G101" i="7"/>
  <c r="AZ1290" i="1"/>
  <c r="AZ1168" i="1"/>
  <c r="AG242" i="1"/>
  <c r="AG42" i="1"/>
  <c r="AG101" i="1" s="1"/>
  <c r="BE1303" i="1"/>
  <c r="BE1293" i="1"/>
  <c r="BH1292" i="1" s="1"/>
  <c r="BE1289" i="1"/>
  <c r="BH1305" i="1"/>
  <c r="BH589" i="1" s="1"/>
  <c r="BE1304" i="1"/>
  <c r="BE588" i="1" s="1"/>
  <c r="BE590" i="1" s="1"/>
  <c r="BF1292" i="1"/>
  <c r="D6" i="7"/>
  <c r="AP563" i="1"/>
  <c r="AP593" i="1" s="1"/>
  <c r="AP591" i="1" s="1"/>
  <c r="AS592" i="1"/>
  <c r="AP570" i="1"/>
  <c r="AP571" i="1" s="1"/>
  <c r="AM598" i="1"/>
  <c r="AJ19" i="1"/>
  <c r="AJ181" i="1" s="1"/>
  <c r="AJ180" i="1" s="1"/>
  <c r="AJ227" i="1"/>
  <c r="AJ234" i="1"/>
  <c r="AJ179" i="1"/>
  <c r="AJ178" i="1" s="1"/>
  <c r="BC1303" i="1"/>
  <c r="BC1304" i="1"/>
  <c r="BC588" i="1" s="1"/>
  <c r="BC590" i="1" s="1"/>
  <c r="BC1289" i="1"/>
  <c r="BC1293" i="1"/>
  <c r="BF1305" i="1"/>
  <c r="BF589" i="1" s="1"/>
  <c r="AN570" i="1"/>
  <c r="AN571" i="1" s="1"/>
  <c r="T56" i="4"/>
  <c r="AQ592" i="1"/>
  <c r="AN563" i="1"/>
  <c r="AN593" i="1" s="1"/>
  <c r="AH178" i="1"/>
  <c r="AG228" i="1"/>
  <c r="AG182" i="1"/>
  <c r="AH227" i="1"/>
  <c r="AH234" i="1"/>
  <c r="R42" i="4"/>
  <c r="AH179" i="1"/>
  <c r="AH19" i="1"/>
  <c r="AH181" i="1" s="1"/>
  <c r="AQ561" i="1"/>
  <c r="AQ595" i="1" s="1"/>
  <c r="AQ558" i="1"/>
  <c r="U54" i="4"/>
  <c r="AQ567" i="1"/>
  <c r="AQ568" i="1" s="1"/>
  <c r="AT11" i="1"/>
  <c r="AT225" i="1"/>
  <c r="AT248" i="1"/>
  <c r="I6" i="4"/>
  <c r="I7" i="4" s="1"/>
  <c r="AT59" i="1"/>
  <c r="AT218" i="1"/>
  <c r="AT203" i="1"/>
  <c r="AT202" i="1" s="1"/>
  <c r="V27" i="4" s="1"/>
  <c r="P5" i="7"/>
  <c r="H7" i="4"/>
  <c r="AJ61" i="1"/>
  <c r="AJ599" i="1"/>
  <c r="AJ600" i="1" s="1"/>
  <c r="AK15" i="1"/>
  <c r="D103" i="7"/>
  <c r="D105" i="7" s="1"/>
  <c r="D109" i="7" s="1"/>
  <c r="D113" i="7" s="1"/>
  <c r="E25" i="4"/>
  <c r="AH93" i="1"/>
  <c r="AH69" i="1"/>
  <c r="BB1168" i="1"/>
  <c r="BB1290" i="1"/>
  <c r="G12" i="4"/>
  <c r="G10" i="4"/>
  <c r="O6" i="7"/>
  <c r="AP226" i="1"/>
  <c r="AP14" i="1"/>
  <c r="AP236" i="1"/>
  <c r="AP249" i="1"/>
  <c r="AG181" i="1"/>
  <c r="AG180" i="1" s="1"/>
  <c r="AS59" i="1"/>
  <c r="AS248" i="1"/>
  <c r="AS225" i="1"/>
  <c r="AS11" i="1"/>
  <c r="AI44" i="1"/>
  <c r="AY546" i="1"/>
  <c r="AY1171" i="1"/>
  <c r="AY1172" i="1" s="1"/>
  <c r="AY1169" i="1"/>
  <c r="AV548" i="1"/>
  <c r="AV9" i="1" s="1"/>
  <c r="AV556" i="1"/>
  <c r="AW546" i="1"/>
  <c r="AW548" i="1" s="1"/>
  <c r="AW9" i="1" s="1"/>
  <c r="AN235" i="1"/>
  <c r="AW1169" i="1"/>
  <c r="AW1171" i="1"/>
  <c r="AW1172" i="1" s="1"/>
  <c r="AH598" i="1"/>
  <c r="AH600" i="1" s="1"/>
  <c r="AS567" i="1"/>
  <c r="AS568" i="1" s="1"/>
  <c r="AS558" i="1"/>
  <c r="AS561" i="1"/>
  <c r="AS595" i="1" s="1"/>
  <c r="AT556" i="1"/>
  <c r="AM235" i="1"/>
  <c r="AM15" i="1"/>
  <c r="AM17" i="1" s="1"/>
  <c r="H6" i="7" l="1"/>
  <c r="F6" i="7"/>
  <c r="G6" i="7"/>
  <c r="E6" i="7"/>
  <c r="AO234" i="1"/>
  <c r="AO179" i="1"/>
  <c r="AO178" i="1" s="1"/>
  <c r="AO19" i="1"/>
  <c r="AO181" i="1" s="1"/>
  <c r="AO180" i="1" s="1"/>
  <c r="AR598" i="1"/>
  <c r="AO227" i="1"/>
  <c r="AL69" i="1"/>
  <c r="AI186" i="1"/>
  <c r="AJ187" i="1" s="1"/>
  <c r="AJ85" i="1" s="1"/>
  <c r="AO598" i="1"/>
  <c r="AL19" i="1"/>
  <c r="AL181" i="1" s="1"/>
  <c r="AL180" i="1" s="1"/>
  <c r="AL179" i="1"/>
  <c r="AL178" i="1" s="1"/>
  <c r="AL227" i="1"/>
  <c r="AL234" i="1"/>
  <c r="BM1305" i="1"/>
  <c r="BM589" i="1" s="1"/>
  <c r="BJ1304" i="1"/>
  <c r="BJ588" i="1" s="1"/>
  <c r="BJ590" i="1" s="1"/>
  <c r="BJ1289" i="1"/>
  <c r="BJ1303" i="1"/>
  <c r="BJ1293" i="1"/>
  <c r="BM1292" i="1" s="1"/>
  <c r="AR235" i="1"/>
  <c r="AR15" i="1"/>
  <c r="AR17" i="1" s="1"/>
  <c r="AX561" i="1"/>
  <c r="AX595" i="1" s="1"/>
  <c r="AX558" i="1"/>
  <c r="AX567" i="1"/>
  <c r="AX568" i="1" s="1"/>
  <c r="AX225" i="1"/>
  <c r="AX248" i="1"/>
  <c r="AX11" i="1"/>
  <c r="AX59" i="1"/>
  <c r="AX592" i="1"/>
  <c r="AU570" i="1"/>
  <c r="AU571" i="1" s="1"/>
  <c r="AU563" i="1"/>
  <c r="AU593" i="1" s="1"/>
  <c r="AU591" i="1" s="1"/>
  <c r="BG1168" i="1"/>
  <c r="BG1290" i="1"/>
  <c r="BD1169" i="1"/>
  <c r="BD546" i="1"/>
  <c r="BD1171" i="1"/>
  <c r="BD1172" i="1" s="1"/>
  <c r="AI77" i="1"/>
  <c r="AI242" i="1"/>
  <c r="AO61" i="1"/>
  <c r="AO599" i="1"/>
  <c r="BA548" i="1"/>
  <c r="BA9" i="1" s="1"/>
  <c r="BA556" i="1"/>
  <c r="AU14" i="1"/>
  <c r="AU226" i="1"/>
  <c r="AU249" i="1"/>
  <c r="AU236" i="1"/>
  <c r="AP598" i="1"/>
  <c r="AM227" i="1"/>
  <c r="AM234" i="1"/>
  <c r="AM19" i="1"/>
  <c r="AM181" i="1" s="1"/>
  <c r="AM180" i="1" s="1"/>
  <c r="AM179" i="1"/>
  <c r="AM178" i="1" s="1"/>
  <c r="AV592" i="1"/>
  <c r="AS570" i="1"/>
  <c r="AS571" i="1" s="1"/>
  <c r="AS563" i="1"/>
  <c r="AS593" i="1" s="1"/>
  <c r="AS591" i="1" s="1"/>
  <c r="I23" i="4"/>
  <c r="AV561" i="1"/>
  <c r="AV595" i="1" s="1"/>
  <c r="AV558" i="1"/>
  <c r="AV567" i="1"/>
  <c r="AV568" i="1" s="1"/>
  <c r="AW556" i="1"/>
  <c r="AS226" i="1"/>
  <c r="AS249" i="1"/>
  <c r="AS14" i="1"/>
  <c r="AS236" i="1"/>
  <c r="AP235" i="1"/>
  <c r="AP15" i="1"/>
  <c r="AP17" i="1" s="1"/>
  <c r="AH180" i="1"/>
  <c r="BB1171" i="1"/>
  <c r="BB1172" i="1" s="1"/>
  <c r="BB1169" i="1"/>
  <c r="BB546" i="1"/>
  <c r="F13" i="4"/>
  <c r="F15" i="4" s="1"/>
  <c r="F17" i="4" s="1"/>
  <c r="AK599" i="1"/>
  <c r="AK105" i="1"/>
  <c r="AK17" i="1"/>
  <c r="AT249" i="1"/>
  <c r="V47" i="4" s="1"/>
  <c r="AT216" i="1"/>
  <c r="H101" i="7"/>
  <c r="AT14" i="1"/>
  <c r="AT236" i="1"/>
  <c r="I9" i="4"/>
  <c r="AT201" i="1"/>
  <c r="AT200" i="1" s="1"/>
  <c r="AT226" i="1"/>
  <c r="U56" i="4"/>
  <c r="AQ570" i="1"/>
  <c r="AQ571" i="1" s="1"/>
  <c r="AQ563" i="1"/>
  <c r="AQ593" i="1" s="1"/>
  <c r="AQ591" i="1" s="1"/>
  <c r="AT592" i="1"/>
  <c r="E19" i="4"/>
  <c r="AH211" i="1"/>
  <c r="AH228" i="1"/>
  <c r="AH196" i="1"/>
  <c r="AN591" i="1"/>
  <c r="AQ235" i="1"/>
  <c r="AH182" i="1"/>
  <c r="AG186" i="1"/>
  <c r="AI187" i="1" s="1"/>
  <c r="BC1168" i="1"/>
  <c r="BC1290" i="1"/>
  <c r="AK180" i="1"/>
  <c r="BE1290" i="1"/>
  <c r="BE1168" i="1"/>
  <c r="AM61" i="1"/>
  <c r="AN15" i="1"/>
  <c r="AM599" i="1"/>
  <c r="AM600" i="1" s="1"/>
  <c r="AW218" i="1"/>
  <c r="AW11" i="1"/>
  <c r="AW248" i="1"/>
  <c r="J6" i="4"/>
  <c r="J7" i="4" s="1"/>
  <c r="AW59" i="1"/>
  <c r="AW225" i="1"/>
  <c r="AW203" i="1"/>
  <c r="AW202" i="1" s="1"/>
  <c r="W27" i="4" s="1"/>
  <c r="AH77" i="1"/>
  <c r="E31" i="4"/>
  <c r="E30" i="4" s="1"/>
  <c r="AH242" i="1"/>
  <c r="A44" i="7"/>
  <c r="D17" i="7"/>
  <c r="AZ1169" i="1"/>
  <c r="AZ1171" i="1"/>
  <c r="AZ1172" i="1" s="1"/>
  <c r="H10" i="4"/>
  <c r="P6" i="7"/>
  <c r="H12" i="4"/>
  <c r="AY556" i="1"/>
  <c r="AY548" i="1"/>
  <c r="AY9" i="1" s="1"/>
  <c r="AZ546" i="1"/>
  <c r="AZ548" i="1" s="1"/>
  <c r="AZ9" i="1" s="1"/>
  <c r="AH223" i="1"/>
  <c r="AH208" i="1"/>
  <c r="AK61" i="1"/>
  <c r="AJ69" i="1"/>
  <c r="V54" i="4"/>
  <c r="AT561" i="1"/>
  <c r="AT595" i="1" s="1"/>
  <c r="AT567" i="1"/>
  <c r="AT568" i="1" s="1"/>
  <c r="AT558" i="1"/>
  <c r="AV225" i="1"/>
  <c r="AV248" i="1"/>
  <c r="AV11" i="1"/>
  <c r="AV59" i="1"/>
  <c r="AJ44" i="1"/>
  <c r="AG54" i="1"/>
  <c r="AG56" i="1" s="1"/>
  <c r="AH53" i="1"/>
  <c r="AJ182" i="1"/>
  <c r="AK178" i="1"/>
  <c r="AJ228" i="1"/>
  <c r="BI1305" i="1"/>
  <c r="BI589" i="1" s="1"/>
  <c r="BF1304" i="1"/>
  <c r="BF588" i="1" s="1"/>
  <c r="BF590" i="1" s="1"/>
  <c r="BF1293" i="1"/>
  <c r="BF1289" i="1"/>
  <c r="BF1303" i="1"/>
  <c r="BH1289" i="1"/>
  <c r="BK1305" i="1"/>
  <c r="BK589" i="1" s="1"/>
  <c r="BH1303" i="1"/>
  <c r="BH1304" i="1"/>
  <c r="BH588" i="1" s="1"/>
  <c r="BH590" i="1" s="1"/>
  <c r="BH1293" i="1"/>
  <c r="BK1292" i="1" s="1"/>
  <c r="BI1292" i="1"/>
  <c r="AO600" i="1" l="1"/>
  <c r="AU598" i="1"/>
  <c r="AR227" i="1"/>
  <c r="AR234" i="1"/>
  <c r="AR179" i="1"/>
  <c r="AR178" i="1" s="1"/>
  <c r="AR19" i="1"/>
  <c r="AR181" i="1" s="1"/>
  <c r="AR180" i="1" s="1"/>
  <c r="BP1305" i="1"/>
  <c r="BP589" i="1" s="1"/>
  <c r="BM1293" i="1"/>
  <c r="BP1292" i="1" s="1"/>
  <c r="BM1304" i="1"/>
  <c r="BM588" i="1" s="1"/>
  <c r="BM590" i="1" s="1"/>
  <c r="BM1303" i="1"/>
  <c r="BM1289" i="1"/>
  <c r="AU235" i="1"/>
  <c r="AU15" i="1"/>
  <c r="AO69" i="1"/>
  <c r="BD556" i="1"/>
  <c r="BD548" i="1"/>
  <c r="BD9" i="1" s="1"/>
  <c r="AX563" i="1"/>
  <c r="AX593" i="1" s="1"/>
  <c r="AX591" i="1" s="1"/>
  <c r="BA592" i="1"/>
  <c r="AX570" i="1"/>
  <c r="AX571" i="1" s="1"/>
  <c r="AL77" i="1"/>
  <c r="AL242" i="1"/>
  <c r="BA561" i="1"/>
  <c r="BA595" i="1" s="1"/>
  <c r="BA567" i="1"/>
  <c r="BA568" i="1" s="1"/>
  <c r="BA558" i="1"/>
  <c r="AX236" i="1"/>
  <c r="AX226" i="1"/>
  <c r="AX14" i="1"/>
  <c r="AX249" i="1"/>
  <c r="AR61" i="1"/>
  <c r="AR599" i="1"/>
  <c r="AR600" i="1" s="1"/>
  <c r="BJ1290" i="1"/>
  <c r="BJ1168" i="1"/>
  <c r="AO182" i="1"/>
  <c r="AO228" i="1"/>
  <c r="BG546" i="1"/>
  <c r="BG1169" i="1"/>
  <c r="BG1171" i="1"/>
  <c r="BG1172" i="1" s="1"/>
  <c r="AJ93" i="1"/>
  <c r="BA248" i="1"/>
  <c r="BA225" i="1"/>
  <c r="BA11" i="1"/>
  <c r="BA59" i="1"/>
  <c r="AL182" i="1"/>
  <c r="AL228" i="1"/>
  <c r="AP234" i="1"/>
  <c r="AS598" i="1"/>
  <c r="AP179" i="1"/>
  <c r="AP178" i="1" s="1"/>
  <c r="AP19" i="1"/>
  <c r="AP181" i="1" s="1"/>
  <c r="AP180" i="1" s="1"/>
  <c r="AP227" i="1"/>
  <c r="AK196" i="1"/>
  <c r="AK228" i="1"/>
  <c r="AK211" i="1"/>
  <c r="F19" i="4"/>
  <c r="AK44" i="1"/>
  <c r="V56" i="4"/>
  <c r="AT563" i="1"/>
  <c r="AT593" i="1" s="1"/>
  <c r="AT591" i="1" s="1"/>
  <c r="AT570" i="1"/>
  <c r="AT571" i="1" s="1"/>
  <c r="AW592" i="1"/>
  <c r="J23" i="4"/>
  <c r="AN61" i="1"/>
  <c r="AM69" i="1"/>
  <c r="AG189" i="1"/>
  <c r="AG188" i="1" s="1"/>
  <c r="AG238" i="1"/>
  <c r="AG239" i="1" s="1"/>
  <c r="AG229" i="1"/>
  <c r="AY248" i="1"/>
  <c r="AY11" i="1"/>
  <c r="AY59" i="1"/>
  <c r="AY225" i="1"/>
  <c r="E38" i="4"/>
  <c r="AH222" i="1"/>
  <c r="AH207" i="1"/>
  <c r="AH206" i="1" s="1"/>
  <c r="R29" i="4" s="1"/>
  <c r="AW201" i="1"/>
  <c r="AW200" i="1" s="1"/>
  <c r="AW216" i="1"/>
  <c r="AW249" i="1"/>
  <c r="W47" i="4" s="1"/>
  <c r="J9" i="4"/>
  <c r="AW236" i="1"/>
  <c r="AW14" i="1"/>
  <c r="AW226" i="1"/>
  <c r="I101" i="7"/>
  <c r="AK187" i="1"/>
  <c r="AI85" i="1"/>
  <c r="AI53" i="1" s="1"/>
  <c r="AH195" i="1"/>
  <c r="R26" i="4" s="1"/>
  <c r="AT235" i="1"/>
  <c r="AN180" i="1"/>
  <c r="BF1290" i="1"/>
  <c r="BF1168" i="1"/>
  <c r="AV226" i="1"/>
  <c r="AV249" i="1"/>
  <c r="AV14" i="1"/>
  <c r="AV236" i="1"/>
  <c r="T12" i="4"/>
  <c r="F17" i="7"/>
  <c r="AH220" i="1"/>
  <c r="AH186" i="1"/>
  <c r="E20" i="4"/>
  <c r="AH205" i="1"/>
  <c r="AH183" i="1"/>
  <c r="R39" i="4"/>
  <c r="AK19" i="1"/>
  <c r="AK181" i="1" s="1"/>
  <c r="AK234" i="1"/>
  <c r="AK179" i="1"/>
  <c r="AK227" i="1"/>
  <c r="AP61" i="1"/>
  <c r="AQ15" i="1"/>
  <c r="AP599" i="1"/>
  <c r="AP600" i="1" s="1"/>
  <c r="W54" i="4"/>
  <c r="AW558" i="1"/>
  <c r="AW567" i="1"/>
  <c r="AW568" i="1" s="1"/>
  <c r="AW561" i="1"/>
  <c r="AW595" i="1" s="1"/>
  <c r="E69" i="4"/>
  <c r="AH54" i="1"/>
  <c r="AH56" i="1" s="1"/>
  <c r="AJ77" i="1"/>
  <c r="AJ242" i="1"/>
  <c r="BE546" i="1"/>
  <c r="BE1169" i="1"/>
  <c r="BE1171" i="1"/>
  <c r="BE1172" i="1" s="1"/>
  <c r="I12" i="4"/>
  <c r="I10" i="4"/>
  <c r="AK598" i="1"/>
  <c r="AK600" i="1" s="1"/>
  <c r="AS235" i="1"/>
  <c r="AS15" i="1"/>
  <c r="AS17" i="1" s="1"/>
  <c r="AY561" i="1"/>
  <c r="AY595" i="1" s="1"/>
  <c r="AY558" i="1"/>
  <c r="AY567" i="1"/>
  <c r="AY568" i="1" s="1"/>
  <c r="AZ556" i="1"/>
  <c r="AH42" i="1"/>
  <c r="AG48" i="1"/>
  <c r="AG49" i="1" s="1"/>
  <c r="AG50" i="1" s="1"/>
  <c r="AG231" i="1" s="1"/>
  <c r="AG142" i="1"/>
  <c r="BB548" i="1"/>
  <c r="BB9" i="1" s="1"/>
  <c r="BB556" i="1"/>
  <c r="BC546" i="1"/>
  <c r="BC548" i="1" s="1"/>
  <c r="BC9" i="1" s="1"/>
  <c r="BL1305" i="1"/>
  <c r="BL589" i="1" s="1"/>
  <c r="BI1304" i="1"/>
  <c r="BI588" i="1" s="1"/>
  <c r="BI590" i="1" s="1"/>
  <c r="BI1289" i="1"/>
  <c r="BI1303" i="1"/>
  <c r="BI1293" i="1"/>
  <c r="AJ186" i="1"/>
  <c r="AL187" i="1" s="1"/>
  <c r="AK182" i="1"/>
  <c r="F25" i="4"/>
  <c r="E103" i="7"/>
  <c r="E105" i="7" s="1"/>
  <c r="E109" i="7" s="1"/>
  <c r="E113" i="7" s="1"/>
  <c r="AK69" i="1"/>
  <c r="BK1289" i="1"/>
  <c r="BK1293" i="1"/>
  <c r="BN1292" i="1" s="1"/>
  <c r="BN1305" i="1"/>
  <c r="BN589" i="1" s="1"/>
  <c r="BK1303" i="1"/>
  <c r="BK1304" i="1"/>
  <c r="BK588" i="1" s="1"/>
  <c r="BK590" i="1" s="1"/>
  <c r="BL1292" i="1"/>
  <c r="BH1168" i="1"/>
  <c r="BH1290" i="1"/>
  <c r="AZ218" i="1"/>
  <c r="AZ11" i="1"/>
  <c r="AZ225" i="1"/>
  <c r="K6" i="4"/>
  <c r="K7" i="4" s="1"/>
  <c r="AZ203" i="1"/>
  <c r="AZ202" i="1" s="1"/>
  <c r="X27" i="4" s="1"/>
  <c r="AZ248" i="1"/>
  <c r="AZ59" i="1"/>
  <c r="AH79" i="1"/>
  <c r="E39" i="4"/>
  <c r="AH86" i="1"/>
  <c r="AN599" i="1"/>
  <c r="G13" i="4"/>
  <c r="G15" i="4" s="1"/>
  <c r="G17" i="4" s="1"/>
  <c r="AN105" i="1"/>
  <c r="AN17" i="1"/>
  <c r="BC1171" i="1"/>
  <c r="BC1172" i="1" s="1"/>
  <c r="BC1169" i="1"/>
  <c r="M7" i="7"/>
  <c r="I6" i="7" s="1"/>
  <c r="D36" i="7"/>
  <c r="D40" i="7" s="1"/>
  <c r="D42" i="7" s="1"/>
  <c r="AY592" i="1"/>
  <c r="AV570" i="1"/>
  <c r="AV571" i="1" s="1"/>
  <c r="AV563" i="1"/>
  <c r="AV593" i="1" s="1"/>
  <c r="AV591" i="1" s="1"/>
  <c r="AM182" i="1"/>
  <c r="AN178" i="1"/>
  <c r="AM228" i="1"/>
  <c r="E43" i="4" l="1"/>
  <c r="E42" i="4" s="1"/>
  <c r="AH87" i="1"/>
  <c r="AH90" i="1" s="1"/>
  <c r="AL186" i="1"/>
  <c r="AM187" i="1" s="1"/>
  <c r="AM85" i="1" s="1"/>
  <c r="BA226" i="1"/>
  <c r="BA236" i="1"/>
  <c r="BA249" i="1"/>
  <c r="BA14" i="1"/>
  <c r="BJ546" i="1"/>
  <c r="BJ1169" i="1"/>
  <c r="BJ1171" i="1"/>
  <c r="BJ1172" i="1" s="1"/>
  <c r="AR69" i="1"/>
  <c r="BD592" i="1"/>
  <c r="BA570" i="1"/>
  <c r="BA571" i="1" s="1"/>
  <c r="BA563" i="1"/>
  <c r="BA593" i="1" s="1"/>
  <c r="BA591" i="1" s="1"/>
  <c r="AO77" i="1"/>
  <c r="AO242" i="1"/>
  <c r="BP1304" i="1"/>
  <c r="BP588" i="1" s="1"/>
  <c r="BP590" i="1" s="1"/>
  <c r="BP1289" i="1"/>
  <c r="BP1293" i="1"/>
  <c r="BP1303" i="1"/>
  <c r="AO186" i="1"/>
  <c r="AP187" i="1" s="1"/>
  <c r="AP85" i="1" s="1"/>
  <c r="AX235" i="1"/>
  <c r="AX15" i="1"/>
  <c r="AX17" i="1" s="1"/>
  <c r="AR182" i="1"/>
  <c r="AR228" i="1"/>
  <c r="BG548" i="1"/>
  <c r="BG9" i="1" s="1"/>
  <c r="BG556" i="1"/>
  <c r="BM1168" i="1"/>
  <c r="BM1290" i="1"/>
  <c r="BD567" i="1"/>
  <c r="BD568" i="1" s="1"/>
  <c r="BD561" i="1"/>
  <c r="BD595" i="1" s="1"/>
  <c r="BD558" i="1"/>
  <c r="AU61" i="1"/>
  <c r="AU599" i="1"/>
  <c r="AU600" i="1" s="1"/>
  <c r="BD225" i="1"/>
  <c r="BD248" i="1"/>
  <c r="BD11" i="1"/>
  <c r="BD59" i="1"/>
  <c r="AU17" i="1"/>
  <c r="AV598" i="1"/>
  <c r="AS227" i="1"/>
  <c r="AS179" i="1"/>
  <c r="AS178" i="1" s="1"/>
  <c r="AS234" i="1"/>
  <c r="AS19" i="1"/>
  <c r="AS181" i="1" s="1"/>
  <c r="AS180" i="1" s="1"/>
  <c r="AN598" i="1"/>
  <c r="AN600" i="1" s="1"/>
  <c r="BO1305" i="1"/>
  <c r="BO589" i="1" s="1"/>
  <c r="BL1304" i="1"/>
  <c r="BL588" i="1" s="1"/>
  <c r="BL590" i="1" s="1"/>
  <c r="BL1293" i="1"/>
  <c r="BL1303" i="1"/>
  <c r="BL1289" i="1"/>
  <c r="AN228" i="1"/>
  <c r="G19" i="4"/>
  <c r="AN211" i="1"/>
  <c r="AN196" i="1"/>
  <c r="K23" i="4"/>
  <c r="BH546" i="1"/>
  <c r="BH1171" i="1"/>
  <c r="BH1172" i="1" s="1"/>
  <c r="BH1169" i="1"/>
  <c r="AK77" i="1"/>
  <c r="AK242" i="1"/>
  <c r="F31" i="4"/>
  <c r="F30" i="4" s="1"/>
  <c r="BB59" i="1"/>
  <c r="BB225" i="1"/>
  <c r="BB248" i="1"/>
  <c r="BB11" i="1"/>
  <c r="AG57" i="1"/>
  <c r="AG192" i="1"/>
  <c r="AG191" i="1" s="1"/>
  <c r="AY563" i="1"/>
  <c r="AY593" i="1" s="1"/>
  <c r="AY591" i="1" s="1"/>
  <c r="AY570" i="1"/>
  <c r="AY571" i="1" s="1"/>
  <c r="BB592" i="1"/>
  <c r="E71" i="4"/>
  <c r="AH238" i="1"/>
  <c r="AH239" i="1" s="1"/>
  <c r="AH189" i="1"/>
  <c r="AH188" i="1" s="1"/>
  <c r="AH229" i="1"/>
  <c r="R40" i="4" s="1"/>
  <c r="AH204" i="1"/>
  <c r="AV235" i="1"/>
  <c r="AV15" i="1"/>
  <c r="AV17" i="1" s="1"/>
  <c r="G25" i="4"/>
  <c r="F103" i="7"/>
  <c r="F105" i="7" s="1"/>
  <c r="F109" i="7" s="1"/>
  <c r="AN69" i="1"/>
  <c r="N7" i="7"/>
  <c r="J6" i="7" s="1"/>
  <c r="E36" i="7"/>
  <c r="AK195" i="1"/>
  <c r="S26" i="4" s="1"/>
  <c r="AQ180" i="1"/>
  <c r="F20" i="4"/>
  <c r="AK186" i="1"/>
  <c r="AK205" i="1"/>
  <c r="AK220" i="1"/>
  <c r="AK183" i="1"/>
  <c r="AI21" i="1"/>
  <c r="AH142" i="1"/>
  <c r="E62" i="4"/>
  <c r="AH48" i="1"/>
  <c r="J101" i="7"/>
  <c r="AZ14" i="1"/>
  <c r="AZ226" i="1"/>
  <c r="AZ201" i="1"/>
  <c r="AZ200" i="1" s="1"/>
  <c r="AZ249" i="1"/>
  <c r="X47" i="4" s="1"/>
  <c r="AZ236" i="1"/>
  <c r="K9" i="4"/>
  <c r="AZ216" i="1"/>
  <c r="BI1168" i="1"/>
  <c r="BI1290" i="1"/>
  <c r="BC225" i="1"/>
  <c r="BC11" i="1"/>
  <c r="BC218" i="1"/>
  <c r="L6" i="4"/>
  <c r="L7" i="4" s="1"/>
  <c r="BC59" i="1"/>
  <c r="BC248" i="1"/>
  <c r="BC203" i="1"/>
  <c r="BC202" i="1" s="1"/>
  <c r="Y27" i="4" s="1"/>
  <c r="AZ592" i="1"/>
  <c r="AW570" i="1"/>
  <c r="AW571" i="1" s="1"/>
  <c r="W56" i="4"/>
  <c r="AW563" i="1"/>
  <c r="AW593" i="1" s="1"/>
  <c r="AW591" i="1" s="1"/>
  <c r="J10" i="4"/>
  <c r="J12" i="4"/>
  <c r="AY226" i="1"/>
  <c r="AY249" i="1"/>
  <c r="AY236" i="1"/>
  <c r="AY14" i="1"/>
  <c r="AN182" i="1"/>
  <c r="AM186" i="1"/>
  <c r="AO187" i="1" s="1"/>
  <c r="BN1304" i="1"/>
  <c r="BN588" i="1" s="1"/>
  <c r="BN590" i="1" s="1"/>
  <c r="BN1289" i="1"/>
  <c r="BN1303" i="1"/>
  <c r="BQ1305" i="1"/>
  <c r="BQ589" i="1" s="1"/>
  <c r="BN1293" i="1"/>
  <c r="BQ1292" i="1" s="1"/>
  <c r="BO1292" i="1"/>
  <c r="AH101" i="1"/>
  <c r="AH102" i="1" s="1"/>
  <c r="AH99" i="1" s="1"/>
  <c r="AG102" i="1"/>
  <c r="AG104" i="1" s="1"/>
  <c r="AS599" i="1"/>
  <c r="AS600" i="1" s="1"/>
  <c r="AS61" i="1"/>
  <c r="AT15" i="1"/>
  <c r="BE556" i="1"/>
  <c r="BE548" i="1"/>
  <c r="BE9" i="1" s="1"/>
  <c r="BF546" i="1"/>
  <c r="BF548" i="1" s="1"/>
  <c r="BF9" i="1" s="1"/>
  <c r="H13" i="4"/>
  <c r="H15" i="4" s="1"/>
  <c r="H17" i="4" s="1"/>
  <c r="AQ599" i="1"/>
  <c r="AQ105" i="1"/>
  <c r="AQ17" i="1"/>
  <c r="AP228" i="1"/>
  <c r="AQ178" i="1"/>
  <c r="AP182" i="1"/>
  <c r="BK1168" i="1"/>
  <c r="BK1290" i="1"/>
  <c r="AZ561" i="1"/>
  <c r="AZ595" i="1" s="1"/>
  <c r="AZ558" i="1"/>
  <c r="AZ567" i="1"/>
  <c r="AZ568" i="1" s="1"/>
  <c r="X54" i="4"/>
  <c r="AJ53" i="1"/>
  <c r="AI54" i="1"/>
  <c r="AI56" i="1" s="1"/>
  <c r="AQ61" i="1"/>
  <c r="AP69" i="1"/>
  <c r="AI93" i="1"/>
  <c r="AK85" i="1"/>
  <c r="AN234" i="1"/>
  <c r="AN179" i="1"/>
  <c r="AN227" i="1"/>
  <c r="AN19" i="1"/>
  <c r="AN181" i="1" s="1"/>
  <c r="AL85" i="1"/>
  <c r="BB567" i="1"/>
  <c r="BB568" i="1" s="1"/>
  <c r="BB561" i="1"/>
  <c r="BB595" i="1" s="1"/>
  <c r="BB558" i="1"/>
  <c r="BC556" i="1"/>
  <c r="AG145" i="1"/>
  <c r="AG147" i="1" s="1"/>
  <c r="AG148" i="1" s="1"/>
  <c r="AG144" i="1"/>
  <c r="BF1171" i="1"/>
  <c r="BF1172" i="1" s="1"/>
  <c r="BF1169" i="1"/>
  <c r="AW235" i="1"/>
  <c r="AM242" i="1"/>
  <c r="AM77" i="1"/>
  <c r="AL44" i="1"/>
  <c r="S39" i="4"/>
  <c r="AP93" i="1" l="1"/>
  <c r="AG90" i="1"/>
  <c r="E44" i="4"/>
  <c r="AN187" i="1"/>
  <c r="AX598" i="1"/>
  <c r="AU179" i="1"/>
  <c r="AU178" i="1" s="1"/>
  <c r="AU227" i="1"/>
  <c r="AU19" i="1"/>
  <c r="AU181" i="1" s="1"/>
  <c r="AU180" i="1" s="1"/>
  <c r="AU234" i="1"/>
  <c r="AU69" i="1"/>
  <c r="BG248" i="1"/>
  <c r="BG11" i="1"/>
  <c r="BG59" i="1"/>
  <c r="BG225" i="1"/>
  <c r="AX599" i="1"/>
  <c r="AX61" i="1"/>
  <c r="AM93" i="1"/>
  <c r="BG567" i="1"/>
  <c r="BG568" i="1" s="1"/>
  <c r="BG558" i="1"/>
  <c r="BG561" i="1"/>
  <c r="BG595" i="1" s="1"/>
  <c r="AR77" i="1"/>
  <c r="AR242" i="1"/>
  <c r="BJ548" i="1"/>
  <c r="BJ9" i="1" s="1"/>
  <c r="BJ556" i="1"/>
  <c r="AX19" i="1"/>
  <c r="AX181" i="1" s="1"/>
  <c r="AX180" i="1" s="1"/>
  <c r="AX179" i="1"/>
  <c r="AX178" i="1" s="1"/>
  <c r="BA598" i="1"/>
  <c r="AX227" i="1"/>
  <c r="AX234" i="1"/>
  <c r="BD236" i="1"/>
  <c r="BD249" i="1"/>
  <c r="BD226" i="1"/>
  <c r="BD14" i="1"/>
  <c r="BG592" i="1"/>
  <c r="BD570" i="1"/>
  <c r="BD571" i="1" s="1"/>
  <c r="BD563" i="1"/>
  <c r="BD593" i="1" s="1"/>
  <c r="BD591" i="1" s="1"/>
  <c r="BM1169" i="1"/>
  <c r="BM546" i="1"/>
  <c r="BM1171" i="1"/>
  <c r="BM1172" i="1" s="1"/>
  <c r="AR186" i="1"/>
  <c r="AS187" i="1" s="1"/>
  <c r="AS85" i="1" s="1"/>
  <c r="BP1168" i="1"/>
  <c r="BP1290" i="1"/>
  <c r="BA235" i="1"/>
  <c r="BA15" i="1"/>
  <c r="BA17" i="1" s="1"/>
  <c r="BI1171" i="1"/>
  <c r="BI1172" i="1" s="1"/>
  <c r="BI1169" i="1"/>
  <c r="AH49" i="1"/>
  <c r="E65" i="4"/>
  <c r="AY598" i="1"/>
  <c r="AV179" i="1"/>
  <c r="AV178" i="1" s="1"/>
  <c r="AV19" i="1"/>
  <c r="AV181" i="1" s="1"/>
  <c r="AV180" i="1" s="1"/>
  <c r="AV227" i="1"/>
  <c r="AV234" i="1"/>
  <c r="AS228" i="1"/>
  <c r="AT178" i="1"/>
  <c r="AS182" i="1"/>
  <c r="AM44" i="1"/>
  <c r="BB570" i="1"/>
  <c r="BB571" i="1" s="1"/>
  <c r="BE592" i="1"/>
  <c r="BB563" i="1"/>
  <c r="BB593" i="1" s="1"/>
  <c r="BB591" i="1" s="1"/>
  <c r="AN85" i="1"/>
  <c r="AL93" i="1"/>
  <c r="F41" i="4"/>
  <c r="AK93" i="1"/>
  <c r="G103" i="7"/>
  <c r="G105" i="7" s="1"/>
  <c r="H25" i="4"/>
  <c r="AQ69" i="1"/>
  <c r="AJ54" i="1"/>
  <c r="AJ56" i="1" s="1"/>
  <c r="AJ229" i="1" s="1"/>
  <c r="AK53" i="1"/>
  <c r="BC592" i="1"/>
  <c r="AZ570" i="1"/>
  <c r="AZ571" i="1" s="1"/>
  <c r="X56" i="4"/>
  <c r="AZ563" i="1"/>
  <c r="AZ593" i="1" s="1"/>
  <c r="AZ591" i="1" s="1"/>
  <c r="AQ234" i="1"/>
  <c r="AQ19" i="1"/>
  <c r="AQ181" i="1" s="1"/>
  <c r="AQ179" i="1"/>
  <c r="AQ227" i="1"/>
  <c r="BE11" i="1"/>
  <c r="BE59" i="1"/>
  <c r="BE248" i="1"/>
  <c r="BE225" i="1"/>
  <c r="AT61" i="1"/>
  <c r="AS93" i="1"/>
  <c r="AS69" i="1"/>
  <c r="BO1293" i="1"/>
  <c r="BR1305" i="1"/>
  <c r="BR589" i="1" s="1"/>
  <c r="BO1303" i="1"/>
  <c r="BO1304" i="1"/>
  <c r="BO588" i="1" s="1"/>
  <c r="BO590" i="1" s="1"/>
  <c r="BO1289" i="1"/>
  <c r="BN1168" i="1"/>
  <c r="BN1290" i="1"/>
  <c r="L23" i="4"/>
  <c r="BC226" i="1"/>
  <c r="BC201" i="1"/>
  <c r="BC200" i="1" s="1"/>
  <c r="BC236" i="1"/>
  <c r="L9" i="4"/>
  <c r="BC216" i="1"/>
  <c r="K101" i="7"/>
  <c r="BC14" i="1"/>
  <c r="BC249" i="1"/>
  <c r="Y47" i="4" s="1"/>
  <c r="AZ235" i="1"/>
  <c r="AH144" i="1"/>
  <c r="AH232" i="1" s="1"/>
  <c r="R41" i="4" s="1"/>
  <c r="AH145" i="1"/>
  <c r="AH147" i="1" s="1"/>
  <c r="AK204" i="1"/>
  <c r="BH548" i="1"/>
  <c r="BH9" i="1" s="1"/>
  <c r="BH556" i="1"/>
  <c r="BI546" i="1"/>
  <c r="BI548" i="1" s="1"/>
  <c r="BI9" i="1" s="1"/>
  <c r="O7" i="7"/>
  <c r="F36" i="7"/>
  <c r="F40" i="7" s="1"/>
  <c r="F42" i="7" s="1"/>
  <c r="AG245" i="1"/>
  <c r="AG246" i="1"/>
  <c r="AG247" i="1"/>
  <c r="AG244" i="1"/>
  <c r="AG232" i="1"/>
  <c r="BE561" i="1"/>
  <c r="BE595" i="1" s="1"/>
  <c r="BE558" i="1"/>
  <c r="BE567" i="1"/>
  <c r="BE568" i="1" s="1"/>
  <c r="BF556" i="1"/>
  <c r="F38" i="4"/>
  <c r="AK207" i="1"/>
  <c r="AK206" i="1" s="1"/>
  <c r="S29" i="4" s="1"/>
  <c r="AK222" i="1"/>
  <c r="AT599" i="1"/>
  <c r="I13" i="4"/>
  <c r="I15" i="4" s="1"/>
  <c r="I17" i="4" s="1"/>
  <c r="AT105" i="1"/>
  <c r="AT17" i="1"/>
  <c r="AQ187" i="1"/>
  <c r="AO85" i="1"/>
  <c r="AY235" i="1"/>
  <c r="AY15" i="1"/>
  <c r="AV599" i="1"/>
  <c r="AV600" i="1" s="1"/>
  <c r="AV61" i="1"/>
  <c r="AW15" i="1"/>
  <c r="BB249" i="1"/>
  <c r="BB236" i="1"/>
  <c r="BB226" i="1"/>
  <c r="BB14" i="1"/>
  <c r="AN195" i="1"/>
  <c r="T26" i="4" s="1"/>
  <c r="T39" i="4"/>
  <c r="AQ598" i="1"/>
  <c r="AQ600" i="1" s="1"/>
  <c r="BQ1293" i="1"/>
  <c r="BQ1304" i="1"/>
  <c r="BQ588" i="1" s="1"/>
  <c r="BQ590" i="1" s="1"/>
  <c r="BQ1303" i="1"/>
  <c r="BQ1289" i="1"/>
  <c r="BR1292" i="1"/>
  <c r="AI143" i="1"/>
  <c r="AI91" i="1"/>
  <c r="AI100" i="1"/>
  <c r="AI26" i="1"/>
  <c r="AN77" i="1"/>
  <c r="AN242" i="1"/>
  <c r="G31" i="4"/>
  <c r="G30" i="4" s="1"/>
  <c r="R30" i="4"/>
  <c r="AP186" i="1"/>
  <c r="AR187" i="1" s="1"/>
  <c r="AQ182" i="1"/>
  <c r="BC561" i="1"/>
  <c r="BC595" i="1" s="1"/>
  <c r="BC558" i="1"/>
  <c r="Y54" i="4"/>
  <c r="BC567" i="1"/>
  <c r="BC568" i="1" s="1"/>
  <c r="AP242" i="1"/>
  <c r="AP77" i="1"/>
  <c r="AI229" i="1"/>
  <c r="AI189" i="1"/>
  <c r="AI188" i="1" s="1"/>
  <c r="BK546" i="1"/>
  <c r="BK1171" i="1"/>
  <c r="BK1172" i="1" s="1"/>
  <c r="BK1169" i="1"/>
  <c r="H19" i="4"/>
  <c r="P7" i="7" s="1"/>
  <c r="AQ211" i="1"/>
  <c r="AQ228" i="1"/>
  <c r="U39" i="4" s="1"/>
  <c r="AQ196" i="1"/>
  <c r="BF11" i="1"/>
  <c r="BF225" i="1"/>
  <c r="BF248" i="1"/>
  <c r="BF59" i="1"/>
  <c r="BF218" i="1"/>
  <c r="BF203" i="1"/>
  <c r="BF202" i="1" s="1"/>
  <c r="AH104" i="1"/>
  <c r="G20" i="4"/>
  <c r="AN205" i="1"/>
  <c r="AN186" i="1"/>
  <c r="AN183" i="1"/>
  <c r="AN220" i="1"/>
  <c r="K12" i="4"/>
  <c r="K10" i="4"/>
  <c r="E40" i="7"/>
  <c r="E42" i="7" s="1"/>
  <c r="D5" i="7" s="1"/>
  <c r="F113" i="7"/>
  <c r="G109" i="7"/>
  <c r="G113" i="7" s="1"/>
  <c r="BL1290" i="1"/>
  <c r="BL1168" i="1"/>
  <c r="AT180" i="1"/>
  <c r="E5" i="7" l="1"/>
  <c r="J5" i="7"/>
  <c r="H5" i="7"/>
  <c r="F5" i="7"/>
  <c r="G5" i="7"/>
  <c r="I5" i="7"/>
  <c r="AX600" i="1"/>
  <c r="BD598" i="1"/>
  <c r="BA227" i="1"/>
  <c r="BA234" i="1"/>
  <c r="BA179" i="1"/>
  <c r="BA178" i="1" s="1"/>
  <c r="BA19" i="1"/>
  <c r="BA181" i="1" s="1"/>
  <c r="BA180" i="1" s="1"/>
  <c r="BG14" i="1"/>
  <c r="BG226" i="1"/>
  <c r="BG249" i="1"/>
  <c r="BG236" i="1"/>
  <c r="BP1169" i="1"/>
  <c r="BP546" i="1"/>
  <c r="BP1171" i="1"/>
  <c r="BP1172" i="1" s="1"/>
  <c r="BM556" i="1"/>
  <c r="BM548" i="1"/>
  <c r="BM9" i="1" s="1"/>
  <c r="BJ558" i="1"/>
  <c r="BJ567" i="1"/>
  <c r="BJ568" i="1" s="1"/>
  <c r="BJ561" i="1"/>
  <c r="BJ595" i="1" s="1"/>
  <c r="AU182" i="1"/>
  <c r="AU228" i="1"/>
  <c r="BA61" i="1"/>
  <c r="BA599" i="1"/>
  <c r="BA600" i="1" s="1"/>
  <c r="BJ11" i="1"/>
  <c r="BJ59" i="1"/>
  <c r="BJ225" i="1"/>
  <c r="BJ248" i="1"/>
  <c r="BG563" i="1"/>
  <c r="BG593" i="1" s="1"/>
  <c r="BG591" i="1" s="1"/>
  <c r="BG570" i="1"/>
  <c r="BG571" i="1" s="1"/>
  <c r="BJ592" i="1"/>
  <c r="AX69" i="1"/>
  <c r="AU77" i="1"/>
  <c r="AU242" i="1"/>
  <c r="BD235" i="1"/>
  <c r="BD15" i="1"/>
  <c r="BD17" i="1" s="1"/>
  <c r="AX182" i="1"/>
  <c r="AX228" i="1"/>
  <c r="AQ195" i="1"/>
  <c r="U26" i="4" s="1"/>
  <c r="AY61" i="1"/>
  <c r="AZ15" i="1"/>
  <c r="AY599" i="1"/>
  <c r="AY600" i="1" s="1"/>
  <c r="AT179" i="1"/>
  <c r="AT19" i="1"/>
  <c r="AT181" i="1" s="1"/>
  <c r="AT234" i="1"/>
  <c r="AT227" i="1"/>
  <c r="BF558" i="1"/>
  <c r="BF567" i="1"/>
  <c r="BF568" i="1" s="1"/>
  <c r="BF561" i="1"/>
  <c r="BF595" i="1" s="1"/>
  <c r="BH561" i="1"/>
  <c r="BH595" i="1" s="1"/>
  <c r="BH558" i="1"/>
  <c r="BH567" i="1"/>
  <c r="BH568" i="1" s="1"/>
  <c r="BI556" i="1"/>
  <c r="AK146" i="1"/>
  <c r="AI146" i="1"/>
  <c r="AH148" i="1"/>
  <c r="BO1290" i="1"/>
  <c r="BO1168" i="1"/>
  <c r="AJ189" i="1"/>
  <c r="AJ188" i="1" s="1"/>
  <c r="AT182" i="1"/>
  <c r="AS186" i="1"/>
  <c r="AU187" i="1" s="1"/>
  <c r="BL1169" i="1"/>
  <c r="BL1171" i="1"/>
  <c r="BL1172" i="1" s="1"/>
  <c r="AN204" i="1"/>
  <c r="BF216" i="1"/>
  <c r="L101" i="7"/>
  <c r="BF14" i="1"/>
  <c r="BF236" i="1"/>
  <c r="BF201" i="1"/>
  <c r="BF200" i="1" s="1"/>
  <c r="BF226" i="1"/>
  <c r="BF249" i="1"/>
  <c r="BC563" i="1"/>
  <c r="BC593" i="1" s="1"/>
  <c r="BC591" i="1" s="1"/>
  <c r="BC570" i="1"/>
  <c r="BC571" i="1" s="1"/>
  <c r="BF592" i="1"/>
  <c r="Y56" i="4"/>
  <c r="AQ186" i="1"/>
  <c r="H20" i="4"/>
  <c r="AQ205" i="1"/>
  <c r="AQ220" i="1"/>
  <c r="AQ183" i="1"/>
  <c r="AI127" i="1"/>
  <c r="AI128" i="1"/>
  <c r="AI35" i="1"/>
  <c r="BB235" i="1"/>
  <c r="BB15" i="1"/>
  <c r="BB17" i="1" s="1"/>
  <c r="AW599" i="1"/>
  <c r="J13" i="4"/>
  <c r="J15" i="4" s="1"/>
  <c r="J17" i="4" s="1"/>
  <c r="AW105" i="1"/>
  <c r="AW17" i="1"/>
  <c r="BH225" i="1"/>
  <c r="BH11" i="1"/>
  <c r="BH248" i="1"/>
  <c r="BH59" i="1"/>
  <c r="AH245" i="1"/>
  <c r="AH244" i="1"/>
  <c r="R49" i="4" s="1"/>
  <c r="AH246" i="1"/>
  <c r="AH247" i="1"/>
  <c r="R48" i="4" s="1"/>
  <c r="AS242" i="1"/>
  <c r="AS77" i="1"/>
  <c r="BE226" i="1"/>
  <c r="BE249" i="1"/>
  <c r="BE14" i="1"/>
  <c r="BE236" i="1"/>
  <c r="I19" i="4"/>
  <c r="AT228" i="1"/>
  <c r="V39" i="4" s="1"/>
  <c r="AT211" i="1"/>
  <c r="AT196" i="1"/>
  <c r="BK548" i="1"/>
  <c r="BK9" i="1" s="1"/>
  <c r="BK556" i="1"/>
  <c r="BL546" i="1"/>
  <c r="BL548" i="1" s="1"/>
  <c r="BL9" i="1" s="1"/>
  <c r="BR1293" i="1"/>
  <c r="BR1289" i="1"/>
  <c r="BR1304" i="1"/>
  <c r="BR588" i="1" s="1"/>
  <c r="BR590" i="1" s="1"/>
  <c r="BR1303" i="1"/>
  <c r="AO93" i="1"/>
  <c r="AQ85" i="1"/>
  <c r="BE563" i="1"/>
  <c r="BE593" i="1" s="1"/>
  <c r="BE591" i="1" s="1"/>
  <c r="BH592" i="1"/>
  <c r="BE570" i="1"/>
  <c r="BE571" i="1" s="1"/>
  <c r="L12" i="4"/>
  <c r="L10" i="4"/>
  <c r="F69" i="4"/>
  <c r="AK54" i="1"/>
  <c r="AK56" i="1" s="1"/>
  <c r="AL53" i="1"/>
  <c r="H31" i="4"/>
  <c r="H30" i="4" s="1"/>
  <c r="AQ77" i="1"/>
  <c r="AQ242" i="1"/>
  <c r="AK208" i="1"/>
  <c r="AK223" i="1"/>
  <c r="G41" i="4"/>
  <c r="AN93" i="1"/>
  <c r="AW180" i="1"/>
  <c r="E66" i="4"/>
  <c r="AH50" i="1"/>
  <c r="A28" i="7"/>
  <c r="D16" i="7"/>
  <c r="AT187" i="1"/>
  <c r="AR85" i="1"/>
  <c r="G38" i="4"/>
  <c r="AN207" i="1"/>
  <c r="AN206" i="1" s="1"/>
  <c r="T29" i="4" s="1"/>
  <c r="AN222" i="1"/>
  <c r="AI87" i="1"/>
  <c r="AJ88" i="1"/>
  <c r="AI92" i="1"/>
  <c r="BQ1290" i="1"/>
  <c r="BQ1168" i="1"/>
  <c r="AW61" i="1"/>
  <c r="AV69" i="1"/>
  <c r="AY17" i="1"/>
  <c r="AT598" i="1"/>
  <c r="AT600" i="1" s="1"/>
  <c r="BI11" i="1"/>
  <c r="BI248" i="1"/>
  <c r="BI59" i="1"/>
  <c r="BI225" i="1"/>
  <c r="BI203" i="1"/>
  <c r="BI202" i="1" s="1"/>
  <c r="BI218" i="1"/>
  <c r="S30" i="4"/>
  <c r="BC235" i="1"/>
  <c r="BN1169" i="1"/>
  <c r="BN546" i="1"/>
  <c r="BN1171" i="1"/>
  <c r="BN1172" i="1" s="1"/>
  <c r="H103" i="7"/>
  <c r="H105" i="7" s="1"/>
  <c r="H109" i="7" s="1"/>
  <c r="H113" i="7" s="1"/>
  <c r="I25" i="4"/>
  <c r="AT69" i="1"/>
  <c r="AN44" i="1"/>
  <c r="AW178" i="1"/>
  <c r="AV182" i="1"/>
  <c r="AV228" i="1"/>
  <c r="AH231" i="1" l="1"/>
  <c r="BM567" i="1"/>
  <c r="BM568" i="1" s="1"/>
  <c r="BM561" i="1"/>
  <c r="BM595" i="1" s="1"/>
  <c r="BM558" i="1"/>
  <c r="BG235" i="1"/>
  <c r="BG15" i="1"/>
  <c r="BD61" i="1"/>
  <c r="BD599" i="1"/>
  <c r="BD600" i="1" s="1"/>
  <c r="BG598" i="1"/>
  <c r="BD19" i="1"/>
  <c r="BD181" i="1" s="1"/>
  <c r="BD180" i="1" s="1"/>
  <c r="BD227" i="1"/>
  <c r="BD179" i="1"/>
  <c r="BD178" i="1" s="1"/>
  <c r="BD234" i="1"/>
  <c r="AU186" i="1"/>
  <c r="AV187" i="1" s="1"/>
  <c r="AV85" i="1" s="1"/>
  <c r="BJ563" i="1"/>
  <c r="BJ593" i="1" s="1"/>
  <c r="BJ591" i="1" s="1"/>
  <c r="BM592" i="1"/>
  <c r="BJ570" i="1"/>
  <c r="BJ571" i="1" s="1"/>
  <c r="BP548" i="1"/>
  <c r="BP9" i="1" s="1"/>
  <c r="BP556" i="1"/>
  <c r="BJ236" i="1"/>
  <c r="BJ14" i="1"/>
  <c r="BJ249" i="1"/>
  <c r="BJ226" i="1"/>
  <c r="BA69" i="1"/>
  <c r="BA182" i="1"/>
  <c r="BA228" i="1"/>
  <c r="AX186" i="1"/>
  <c r="AY187" i="1" s="1"/>
  <c r="AY85" i="1" s="1"/>
  <c r="AX77" i="1"/>
  <c r="AX242" i="1"/>
  <c r="BM59" i="1"/>
  <c r="BM248" i="1"/>
  <c r="BM225" i="1"/>
  <c r="BM11" i="1"/>
  <c r="BN548" i="1"/>
  <c r="BN9" i="1" s="1"/>
  <c r="BN556" i="1"/>
  <c r="BO546" i="1"/>
  <c r="BO548" i="1" s="1"/>
  <c r="BO9" i="1" s="1"/>
  <c r="AV77" i="1"/>
  <c r="AV242" i="1"/>
  <c r="BQ1171" i="1"/>
  <c r="BQ1172" i="1" s="1"/>
  <c r="BQ1169" i="1"/>
  <c r="BQ546" i="1"/>
  <c r="AI80" i="1"/>
  <c r="AH192" i="1"/>
  <c r="AH191" i="1" s="1"/>
  <c r="AH57" i="1"/>
  <c r="AN208" i="1"/>
  <c r="AN223" i="1"/>
  <c r="H38" i="4"/>
  <c r="AQ207" i="1"/>
  <c r="AQ206" i="1" s="1"/>
  <c r="U28" i="4" s="1"/>
  <c r="AQ222" i="1"/>
  <c r="AW598" i="1"/>
  <c r="AW600" i="1" s="1"/>
  <c r="BF235" i="1"/>
  <c r="T30" i="4"/>
  <c r="AT183" i="1"/>
  <c r="AT186" i="1"/>
  <c r="AT205" i="1"/>
  <c r="AT220" i="1"/>
  <c r="I20" i="4"/>
  <c r="BI567" i="1"/>
  <c r="BI568" i="1" s="1"/>
  <c r="BI561" i="1"/>
  <c r="BI595" i="1" s="1"/>
  <c r="BI558" i="1"/>
  <c r="AZ61" i="1"/>
  <c r="AY69" i="1"/>
  <c r="I31" i="4"/>
  <c r="I30" i="4" s="1"/>
  <c r="AT77" i="1"/>
  <c r="AT242" i="1"/>
  <c r="AY19" i="1"/>
  <c r="AY181" i="1" s="1"/>
  <c r="AY180" i="1" s="1"/>
  <c r="AY227" i="1"/>
  <c r="AY234" i="1"/>
  <c r="AY179" i="1"/>
  <c r="AY178" i="1" s="1"/>
  <c r="BB598" i="1"/>
  <c r="AW182" i="1"/>
  <c r="AV186" i="1"/>
  <c r="AX187" i="1" s="1"/>
  <c r="F16" i="7"/>
  <c r="T14" i="4"/>
  <c r="BL11" i="1"/>
  <c r="BL225" i="1"/>
  <c r="BL59" i="1"/>
  <c r="BL248" i="1"/>
  <c r="BL218" i="1"/>
  <c r="BL203" i="1"/>
  <c r="BL202" i="1" s="1"/>
  <c r="AT195" i="1"/>
  <c r="V26" i="4" s="1"/>
  <c r="AI237" i="1"/>
  <c r="AI238" i="1"/>
  <c r="AI230" i="1"/>
  <c r="J19" i="4"/>
  <c r="AW228" i="1"/>
  <c r="W39" i="4" s="1"/>
  <c r="AW196" i="1"/>
  <c r="AW211" i="1"/>
  <c r="BK567" i="1"/>
  <c r="BK568" i="1" s="1"/>
  <c r="BK558" i="1"/>
  <c r="BK561" i="1"/>
  <c r="BK595" i="1" s="1"/>
  <c r="BL556" i="1"/>
  <c r="BB19" i="1"/>
  <c r="BB181" i="1" s="1"/>
  <c r="BB180" i="1" s="1"/>
  <c r="BB179" i="1"/>
  <c r="BB178" i="1" s="1"/>
  <c r="BB227" i="1"/>
  <c r="BB234" i="1"/>
  <c r="BE598" i="1"/>
  <c r="BH563" i="1"/>
  <c r="BH593" i="1" s="1"/>
  <c r="BH591" i="1" s="1"/>
  <c r="BK592" i="1"/>
  <c r="BH570" i="1"/>
  <c r="BH571" i="1" s="1"/>
  <c r="AL54" i="1"/>
  <c r="AL56" i="1" s="1"/>
  <c r="AL229" i="1" s="1"/>
  <c r="AM53" i="1"/>
  <c r="BE235" i="1"/>
  <c r="BE15" i="1"/>
  <c r="AO44" i="1"/>
  <c r="BI14" i="1"/>
  <c r="BI216" i="1"/>
  <c r="BI201" i="1"/>
  <c r="BI200" i="1" s="1"/>
  <c r="BI249" i="1"/>
  <c r="BI226" i="1"/>
  <c r="BI236" i="1"/>
  <c r="M101" i="7"/>
  <c r="J25" i="4"/>
  <c r="I103" i="7"/>
  <c r="I105" i="7" s="1"/>
  <c r="I109" i="7" s="1"/>
  <c r="I113" i="7" s="1"/>
  <c r="AW69" i="1"/>
  <c r="AT85" i="1"/>
  <c r="AR93" i="1"/>
  <c r="AK189" i="1"/>
  <c r="AK188" i="1" s="1"/>
  <c r="F71" i="4"/>
  <c r="AK229" i="1"/>
  <c r="S40" i="4" s="1"/>
  <c r="H41" i="4"/>
  <c r="AQ93" i="1"/>
  <c r="BR1168" i="1"/>
  <c r="BR1290" i="1"/>
  <c r="BK248" i="1"/>
  <c r="BK225" i="1"/>
  <c r="BK11" i="1"/>
  <c r="BK59" i="1"/>
  <c r="BH249" i="1"/>
  <c r="BH14" i="1"/>
  <c r="BH236" i="1"/>
  <c r="BH226" i="1"/>
  <c r="AW227" i="1"/>
  <c r="AW19" i="1"/>
  <c r="AW181" i="1" s="1"/>
  <c r="AW234" i="1"/>
  <c r="AW179" i="1"/>
  <c r="BB599" i="1"/>
  <c r="BB61" i="1"/>
  <c r="BC15" i="1"/>
  <c r="AQ204" i="1"/>
  <c r="U29" i="4" s="1"/>
  <c r="AU85" i="1"/>
  <c r="BO1171" i="1"/>
  <c r="BO1172" i="1" s="1"/>
  <c r="BO1169" i="1"/>
  <c r="BF570" i="1"/>
  <c r="BF571" i="1" s="1"/>
  <c r="BI592" i="1"/>
  <c r="BF563" i="1"/>
  <c r="BF593" i="1" s="1"/>
  <c r="BF591" i="1" s="1"/>
  <c r="AZ599" i="1"/>
  <c r="K13" i="4"/>
  <c r="K15" i="4" s="1"/>
  <c r="K17" i="4" s="1"/>
  <c r="AZ105" i="1"/>
  <c r="AZ598" i="1" s="1"/>
  <c r="AZ17" i="1"/>
  <c r="AW187" i="1" l="1"/>
  <c r="BB600" i="1"/>
  <c r="BJ235" i="1"/>
  <c r="BJ15" i="1"/>
  <c r="BJ17" i="1" s="1"/>
  <c r="BG61" i="1"/>
  <c r="BG599" i="1"/>
  <c r="BG600" i="1" s="1"/>
  <c r="BA186" i="1"/>
  <c r="BB187" i="1" s="1"/>
  <c r="BB85" i="1" s="1"/>
  <c r="BP558" i="1"/>
  <c r="BP567" i="1"/>
  <c r="BP568" i="1" s="1"/>
  <c r="BP561" i="1"/>
  <c r="BP595" i="1" s="1"/>
  <c r="BM570" i="1"/>
  <c r="BM571" i="1" s="1"/>
  <c r="BM563" i="1"/>
  <c r="BM593" i="1" s="1"/>
  <c r="BM591" i="1" s="1"/>
  <c r="BP592" i="1"/>
  <c r="AY93" i="1"/>
  <c r="BD69" i="1"/>
  <c r="AZ600" i="1"/>
  <c r="BM226" i="1"/>
  <c r="BM249" i="1"/>
  <c r="BM236" i="1"/>
  <c r="BM14" i="1"/>
  <c r="BA77" i="1"/>
  <c r="BA242" i="1"/>
  <c r="BP248" i="1"/>
  <c r="BP11" i="1"/>
  <c r="BP225" i="1"/>
  <c r="BP59" i="1"/>
  <c r="AV93" i="1"/>
  <c r="BD182" i="1"/>
  <c r="BD228" i="1"/>
  <c r="BG17" i="1"/>
  <c r="BI235" i="1"/>
  <c r="BF15" i="1"/>
  <c r="BE599" i="1"/>
  <c r="BE600" i="1" s="1"/>
  <c r="BE61" i="1"/>
  <c r="AL189" i="1"/>
  <c r="AL188" i="1" s="1"/>
  <c r="BK570" i="1"/>
  <c r="BK571" i="1" s="1"/>
  <c r="BK563" i="1"/>
  <c r="BK593" i="1" s="1"/>
  <c r="BK591" i="1" s="1"/>
  <c r="BN592" i="1"/>
  <c r="AT222" i="1"/>
  <c r="AT207" i="1"/>
  <c r="AT206" i="1" s="1"/>
  <c r="V28" i="4" s="1"/>
  <c r="I38" i="4"/>
  <c r="J103" i="7"/>
  <c r="J105" i="7" s="1"/>
  <c r="J109" i="7" s="1"/>
  <c r="J113" i="7" s="1"/>
  <c r="K25" i="4"/>
  <c r="AZ69" i="1"/>
  <c r="BC61" i="1"/>
  <c r="BB69" i="1"/>
  <c r="AQ223" i="1"/>
  <c r="AQ208" i="1"/>
  <c r="AN53" i="1"/>
  <c r="AM54" i="1"/>
  <c r="AM56" i="1" s="1"/>
  <c r="AM229" i="1" s="1"/>
  <c r="BC599" i="1"/>
  <c r="L13" i="4"/>
  <c r="L15" i="4" s="1"/>
  <c r="L17" i="4" s="1"/>
  <c r="BC105" i="1"/>
  <c r="BC17" i="1"/>
  <c r="BH235" i="1"/>
  <c r="BH15" i="1"/>
  <c r="BH17" i="1" s="1"/>
  <c r="BK226" i="1"/>
  <c r="BK249" i="1"/>
  <c r="BK14" i="1"/>
  <c r="BK236" i="1"/>
  <c r="BR1169" i="1"/>
  <c r="BR1171" i="1"/>
  <c r="BR1172" i="1" s="1"/>
  <c r="I41" i="4"/>
  <c r="AT93" i="1"/>
  <c r="BI563" i="1"/>
  <c r="BI593" i="1" s="1"/>
  <c r="BI591" i="1" s="1"/>
  <c r="BL592" i="1"/>
  <c r="BI570" i="1"/>
  <c r="BI571" i="1" s="1"/>
  <c r="BQ556" i="1"/>
  <c r="BQ548" i="1"/>
  <c r="BQ9" i="1" s="1"/>
  <c r="BR546" i="1"/>
  <c r="BR548" i="1" s="1"/>
  <c r="BR9" i="1" s="1"/>
  <c r="BO203" i="1"/>
  <c r="BO202" i="1" s="1"/>
  <c r="BO11" i="1"/>
  <c r="BO218" i="1"/>
  <c r="BO225" i="1"/>
  <c r="BO59" i="1"/>
  <c r="BO248" i="1"/>
  <c r="BB228" i="1"/>
  <c r="BB182" i="1"/>
  <c r="BC178" i="1"/>
  <c r="BL561" i="1"/>
  <c r="BL595" i="1" s="1"/>
  <c r="BL567" i="1"/>
  <c r="BL568" i="1" s="1"/>
  <c r="BL558" i="1"/>
  <c r="BL14" i="1"/>
  <c r="BL226" i="1"/>
  <c r="BL201" i="1"/>
  <c r="BL200" i="1" s="1"/>
  <c r="BL249" i="1"/>
  <c r="N101" i="7"/>
  <c r="BL216" i="1"/>
  <c r="BL236" i="1"/>
  <c r="AX85" i="1"/>
  <c r="AZ187" i="1"/>
  <c r="AZ180" i="1"/>
  <c r="AY242" i="1"/>
  <c r="AY77" i="1"/>
  <c r="BN558" i="1"/>
  <c r="BN561" i="1"/>
  <c r="BN595" i="1" s="1"/>
  <c r="BN567" i="1"/>
  <c r="BN568" i="1" s="1"/>
  <c r="BO556" i="1"/>
  <c r="AZ179" i="1"/>
  <c r="AZ234" i="1"/>
  <c r="AZ227" i="1"/>
  <c r="AZ19" i="1"/>
  <c r="AZ181" i="1" s="1"/>
  <c r="AU93" i="1"/>
  <c r="AW85" i="1"/>
  <c r="AW242" i="1"/>
  <c r="J31" i="4"/>
  <c r="J30" i="4" s="1"/>
  <c r="AW77" i="1"/>
  <c r="AP44" i="1"/>
  <c r="BE17" i="1"/>
  <c r="BC180" i="1"/>
  <c r="AW195" i="1"/>
  <c r="W26" i="4" s="1"/>
  <c r="AI239" i="1"/>
  <c r="AW186" i="1"/>
  <c r="AW220" i="1"/>
  <c r="J20" i="4"/>
  <c r="AW205" i="1"/>
  <c r="AW183" i="1"/>
  <c r="AZ178" i="1"/>
  <c r="AY182" i="1"/>
  <c r="AY228" i="1"/>
  <c r="AT204" i="1"/>
  <c r="V29" i="4" s="1"/>
  <c r="AI86" i="1"/>
  <c r="AI79" i="1"/>
  <c r="AI42" i="1"/>
  <c r="BN11" i="1"/>
  <c r="BN59" i="1"/>
  <c r="BN248" i="1"/>
  <c r="BN225" i="1"/>
  <c r="AI101" i="1" l="1"/>
  <c r="AI78" i="1"/>
  <c r="BB93" i="1"/>
  <c r="BM235" i="1"/>
  <c r="BM15" i="1"/>
  <c r="BM17" i="1" s="1"/>
  <c r="BJ227" i="1"/>
  <c r="BJ234" i="1"/>
  <c r="BJ19" i="1"/>
  <c r="BJ181" i="1" s="1"/>
  <c r="BJ180" i="1" s="1"/>
  <c r="BM598" i="1"/>
  <c r="BJ179" i="1"/>
  <c r="BJ178" i="1" s="1"/>
  <c r="BG234" i="1"/>
  <c r="BG19" i="1"/>
  <c r="BG181" i="1" s="1"/>
  <c r="BG180" i="1" s="1"/>
  <c r="BJ598" i="1"/>
  <c r="BG179" i="1"/>
  <c r="BG178" i="1" s="1"/>
  <c r="BG227" i="1"/>
  <c r="BD186" i="1"/>
  <c r="BE187" i="1" s="1"/>
  <c r="BE85" i="1" s="1"/>
  <c r="BD77" i="1"/>
  <c r="BD242" i="1"/>
  <c r="BP570" i="1"/>
  <c r="BP571" i="1" s="1"/>
  <c r="BP563" i="1"/>
  <c r="BP593" i="1" s="1"/>
  <c r="BP591" i="1" s="1"/>
  <c r="BJ599" i="1"/>
  <c r="BJ61" i="1"/>
  <c r="BG69" i="1"/>
  <c r="BP249" i="1"/>
  <c r="BP14" i="1"/>
  <c r="BP236" i="1"/>
  <c r="BP226" i="1"/>
  <c r="AZ182" i="1"/>
  <c r="AY186" i="1"/>
  <c r="BA187" i="1" s="1"/>
  <c r="AQ44" i="1"/>
  <c r="BN563" i="1"/>
  <c r="BN593" i="1" s="1"/>
  <c r="BN591" i="1" s="1"/>
  <c r="BQ592" i="1"/>
  <c r="BN570" i="1"/>
  <c r="BN571" i="1" s="1"/>
  <c r="AZ85" i="1"/>
  <c r="AX93" i="1"/>
  <c r="BQ561" i="1"/>
  <c r="BQ595" i="1" s="1"/>
  <c r="BQ567" i="1"/>
  <c r="BQ568" i="1" s="1"/>
  <c r="BQ558" i="1"/>
  <c r="BR556" i="1"/>
  <c r="BI15" i="1"/>
  <c r="BH599" i="1"/>
  <c r="BH61" i="1"/>
  <c r="BC598" i="1"/>
  <c r="BC600" i="1" s="1"/>
  <c r="G69" i="4"/>
  <c r="AN54" i="1"/>
  <c r="AN56" i="1" s="1"/>
  <c r="AO53" i="1"/>
  <c r="BH598" i="1"/>
  <c r="BE19" i="1"/>
  <c r="BE181" i="1" s="1"/>
  <c r="BE180" i="1" s="1"/>
  <c r="BE227" i="1"/>
  <c r="BE234" i="1"/>
  <c r="BE179" i="1"/>
  <c r="BE178" i="1" s="1"/>
  <c r="AZ228" i="1"/>
  <c r="X39" i="4" s="1"/>
  <c r="AZ196" i="1"/>
  <c r="K19" i="4"/>
  <c r="AZ211" i="1"/>
  <c r="J41" i="4"/>
  <c r="AW93" i="1"/>
  <c r="BO558" i="1"/>
  <c r="BO561" i="1"/>
  <c r="BO595" i="1" s="1"/>
  <c r="BO567" i="1"/>
  <c r="BO568" i="1" s="1"/>
  <c r="BC19" i="1"/>
  <c r="BC181" i="1" s="1"/>
  <c r="BC234" i="1"/>
  <c r="BC179" i="1"/>
  <c r="BC227" i="1"/>
  <c r="BF105" i="1"/>
  <c r="BF599" i="1"/>
  <c r="BF17" i="1"/>
  <c r="AW204" i="1"/>
  <c r="W29" i="4" s="1"/>
  <c r="BN14" i="1"/>
  <c r="BN226" i="1"/>
  <c r="BN249" i="1"/>
  <c r="BN236" i="1"/>
  <c r="AI48" i="1"/>
  <c r="AI49" i="1" s="1"/>
  <c r="AI50" i="1" s="1"/>
  <c r="AI142" i="1"/>
  <c r="AJ21" i="1"/>
  <c r="J38" i="4"/>
  <c r="AW207" i="1"/>
  <c r="AW206" i="1" s="1"/>
  <c r="W28" i="4" s="1"/>
  <c r="AW222" i="1"/>
  <c r="BL563" i="1"/>
  <c r="BL593" i="1" s="1"/>
  <c r="BL591" i="1" s="1"/>
  <c r="BO592" i="1"/>
  <c r="BL570" i="1"/>
  <c r="BL571" i="1" s="1"/>
  <c r="L19" i="4"/>
  <c r="BC228" i="1"/>
  <c r="Y39" i="4" s="1"/>
  <c r="BC211" i="1"/>
  <c r="BC196" i="1"/>
  <c r="BO14" i="1"/>
  <c r="BO249" i="1"/>
  <c r="BO216" i="1"/>
  <c r="BO201" i="1"/>
  <c r="BO200" i="1" s="1"/>
  <c r="BO236" i="1"/>
  <c r="BO226" i="1"/>
  <c r="O101" i="7"/>
  <c r="BR203" i="1"/>
  <c r="BR202" i="1" s="1"/>
  <c r="BR59" i="1"/>
  <c r="BR11" i="1"/>
  <c r="BR225" i="1"/>
  <c r="BR218" i="1"/>
  <c r="BR248" i="1"/>
  <c r="L25" i="4"/>
  <c r="K103" i="7"/>
  <c r="K105" i="7" s="1"/>
  <c r="K109" i="7" s="1"/>
  <c r="K113" i="7" s="1"/>
  <c r="BC69" i="1"/>
  <c r="BL235" i="1"/>
  <c r="BC182" i="1"/>
  <c r="BB186" i="1"/>
  <c r="BD187" i="1" s="1"/>
  <c r="BQ248" i="1"/>
  <c r="BQ59" i="1"/>
  <c r="BQ225" i="1"/>
  <c r="BQ11" i="1"/>
  <c r="AT208" i="1"/>
  <c r="AT223" i="1"/>
  <c r="BK235" i="1"/>
  <c r="BK15" i="1"/>
  <c r="BK17" i="1" s="1"/>
  <c r="BK598" i="1"/>
  <c r="BH19" i="1"/>
  <c r="BH181" i="1" s="1"/>
  <c r="BH180" i="1" s="1"/>
  <c r="BH234" i="1"/>
  <c r="BH227" i="1"/>
  <c r="BH179" i="1"/>
  <c r="BH178" i="1" s="1"/>
  <c r="AM189" i="1"/>
  <c r="AM188" i="1" s="1"/>
  <c r="BB77" i="1"/>
  <c r="BB242" i="1"/>
  <c r="K31" i="4"/>
  <c r="K30" i="4" s="1"/>
  <c r="AZ242" i="1"/>
  <c r="AZ77" i="1"/>
  <c r="BF61" i="1"/>
  <c r="BE69" i="1"/>
  <c r="AI231" i="1" l="1"/>
  <c r="BE93" i="1"/>
  <c r="BH600" i="1"/>
  <c r="BG182" i="1"/>
  <c r="BG228" i="1"/>
  <c r="BJ182" i="1"/>
  <c r="BJ228" i="1"/>
  <c r="BM61" i="1"/>
  <c r="BM599" i="1"/>
  <c r="BM600" i="1" s="1"/>
  <c r="BG77" i="1"/>
  <c r="BG242" i="1"/>
  <c r="BJ69" i="1"/>
  <c r="BJ600" i="1"/>
  <c r="BP235" i="1"/>
  <c r="BP15" i="1"/>
  <c r="BP17" i="1" s="1"/>
  <c r="BP598" i="1"/>
  <c r="BM19" i="1"/>
  <c r="BM181" i="1" s="1"/>
  <c r="BM180" i="1" s="1"/>
  <c r="BM227" i="1"/>
  <c r="BM234" i="1"/>
  <c r="BM179" i="1"/>
  <c r="BM178" i="1" s="1"/>
  <c r="BK599" i="1"/>
  <c r="BK600" i="1" s="1"/>
  <c r="BL15" i="1"/>
  <c r="BK61" i="1"/>
  <c r="BF187" i="1"/>
  <c r="BD85" i="1"/>
  <c r="BC195" i="1"/>
  <c r="Y26" i="4" s="1"/>
  <c r="AJ26" i="1"/>
  <c r="AK21" i="1"/>
  <c r="AK91" i="1" s="1"/>
  <c r="AJ143" i="1"/>
  <c r="AJ91" i="1"/>
  <c r="AJ100" i="1"/>
  <c r="AK100" i="1" s="1"/>
  <c r="AI144" i="1"/>
  <c r="AI145" i="1"/>
  <c r="AI147" i="1" s="1"/>
  <c r="G71" i="4"/>
  <c r="AN189" i="1"/>
  <c r="AN188" i="1" s="1"/>
  <c r="AN229" i="1"/>
  <c r="T40" i="4" s="1"/>
  <c r="AZ183" i="1"/>
  <c r="AZ205" i="1"/>
  <c r="K20" i="4"/>
  <c r="AZ186" i="1"/>
  <c r="AZ220" i="1"/>
  <c r="AZ207" i="1"/>
  <c r="AZ206" i="1" s="1"/>
  <c r="X28" i="4" s="1"/>
  <c r="AZ222" i="1"/>
  <c r="K38" i="4"/>
  <c r="BE242" i="1"/>
  <c r="BE77" i="1"/>
  <c r="BI180" i="1"/>
  <c r="BQ14" i="1"/>
  <c r="BQ249" i="1"/>
  <c r="BQ236" i="1"/>
  <c r="BQ226" i="1"/>
  <c r="BC183" i="1"/>
  <c r="BC220" i="1"/>
  <c r="BC186" i="1"/>
  <c r="L20" i="4"/>
  <c r="BC205" i="1"/>
  <c r="AI57" i="1"/>
  <c r="AI192" i="1"/>
  <c r="AI191" i="1" s="1"/>
  <c r="AW208" i="1"/>
  <c r="AW223" i="1"/>
  <c r="BF180" i="1"/>
  <c r="BI61" i="1"/>
  <c r="BH69" i="1"/>
  <c r="BR561" i="1"/>
  <c r="BR595" i="1" s="1"/>
  <c r="BR558" i="1"/>
  <c r="BR567" i="1"/>
  <c r="BR568" i="1" s="1"/>
  <c r="K41" i="4"/>
  <c r="AZ93" i="1"/>
  <c r="AR44" i="1"/>
  <c r="L103" i="7"/>
  <c r="L105" i="7" s="1"/>
  <c r="L109" i="7" s="1"/>
  <c r="L113" i="7" s="1"/>
  <c r="BF69" i="1"/>
  <c r="BH228" i="1"/>
  <c r="BI178" i="1"/>
  <c r="BH182" i="1"/>
  <c r="L31" i="4"/>
  <c r="L30" i="4" s="1"/>
  <c r="BC77" i="1"/>
  <c r="BC242" i="1"/>
  <c r="BR201" i="1"/>
  <c r="BR200" i="1" s="1"/>
  <c r="BR226" i="1"/>
  <c r="BR14" i="1"/>
  <c r="BR249" i="1"/>
  <c r="BR236" i="1"/>
  <c r="BR216" i="1"/>
  <c r="P101" i="7"/>
  <c r="BF178" i="1"/>
  <c r="BE228" i="1"/>
  <c r="BE182" i="1"/>
  <c r="BQ563" i="1"/>
  <c r="BQ593" i="1" s="1"/>
  <c r="BQ591" i="1" s="1"/>
  <c r="BQ570" i="1"/>
  <c r="BQ571" i="1" s="1"/>
  <c r="BN598" i="1"/>
  <c r="BK19" i="1"/>
  <c r="BK181" i="1" s="1"/>
  <c r="BK180" i="1" s="1"/>
  <c r="BK179" i="1"/>
  <c r="BK178" i="1" s="1"/>
  <c r="BK227" i="1"/>
  <c r="BK234" i="1"/>
  <c r="BO235" i="1"/>
  <c r="AI102" i="1"/>
  <c r="AI104" i="1" s="1"/>
  <c r="BN235" i="1"/>
  <c r="BN15" i="1"/>
  <c r="BN17" i="1" s="1"/>
  <c r="BF227" i="1"/>
  <c r="BF19" i="1"/>
  <c r="BF181" i="1" s="1"/>
  <c r="BF179" i="1"/>
  <c r="BF234" i="1"/>
  <c r="BF598" i="1"/>
  <c r="BF600" i="1" s="1"/>
  <c r="BO570" i="1"/>
  <c r="BO571" i="1" s="1"/>
  <c r="BR592" i="1"/>
  <c r="BO563" i="1"/>
  <c r="BO593" i="1" s="1"/>
  <c r="BO591" i="1" s="1"/>
  <c r="AZ195" i="1"/>
  <c r="X26" i="4" s="1"/>
  <c r="AP53" i="1"/>
  <c r="AO54" i="1"/>
  <c r="AO56" i="1" s="1"/>
  <c r="BI599" i="1"/>
  <c r="BI105" i="1"/>
  <c r="BI17" i="1"/>
  <c r="BC187" i="1"/>
  <c r="BA85" i="1"/>
  <c r="AK98" i="1" l="1"/>
  <c r="BP227" i="1"/>
  <c r="BP234" i="1"/>
  <c r="BP179" i="1"/>
  <c r="BP178" i="1" s="1"/>
  <c r="BP19" i="1"/>
  <c r="BP181" i="1" s="1"/>
  <c r="BP180" i="1" s="1"/>
  <c r="BM182" i="1"/>
  <c r="BM228" i="1"/>
  <c r="BJ242" i="1"/>
  <c r="BJ77" i="1"/>
  <c r="BJ186" i="1"/>
  <c r="BK187" i="1" s="1"/>
  <c r="BK85" i="1" s="1"/>
  <c r="BP61" i="1"/>
  <c r="BP599" i="1"/>
  <c r="BP600" i="1" s="1"/>
  <c r="BM69" i="1"/>
  <c r="BG186" i="1"/>
  <c r="BH187" i="1" s="1"/>
  <c r="BH85" i="1" s="1"/>
  <c r="BA93" i="1"/>
  <c r="BC85" i="1"/>
  <c r="Q101" i="7"/>
  <c r="BI182" i="1"/>
  <c r="BH186" i="1"/>
  <c r="BJ187" i="1" s="1"/>
  <c r="BF242" i="1"/>
  <c r="BF77" i="1"/>
  <c r="AS44" i="1"/>
  <c r="BH77" i="1"/>
  <c r="BH242" i="1"/>
  <c r="BC204" i="1"/>
  <c r="Y29" i="4" s="1"/>
  <c r="AZ204" i="1"/>
  <c r="X29" i="4" s="1"/>
  <c r="AI245" i="1"/>
  <c r="AI247" i="1"/>
  <c r="AI244" i="1"/>
  <c r="AI246" i="1"/>
  <c r="AI232" i="1"/>
  <c r="BI598" i="1"/>
  <c r="BI600" i="1" s="1"/>
  <c r="AO189" i="1"/>
  <c r="AO188" i="1" s="1"/>
  <c r="BL178" i="1"/>
  <c r="BK228" i="1"/>
  <c r="BK182" i="1"/>
  <c r="BF196" i="1"/>
  <c r="BF211" i="1"/>
  <c r="BF228" i="1"/>
  <c r="BI196" i="1"/>
  <c r="BI228" i="1"/>
  <c r="BI211" i="1"/>
  <c r="BR570" i="1"/>
  <c r="BR571" i="1" s="1"/>
  <c r="BR563" i="1"/>
  <c r="BR593" i="1" s="1"/>
  <c r="BR591" i="1" s="1"/>
  <c r="AK143" i="1"/>
  <c r="F47" i="4"/>
  <c r="AK26" i="1"/>
  <c r="BL599" i="1"/>
  <c r="BL105" i="1"/>
  <c r="BL17" i="1"/>
  <c r="BI19" i="1"/>
  <c r="BI181" i="1" s="1"/>
  <c r="BI179" i="1"/>
  <c r="BI234" i="1"/>
  <c r="BI227" i="1"/>
  <c r="AQ53" i="1"/>
  <c r="AP54" i="1"/>
  <c r="AP56" i="1" s="1"/>
  <c r="BN234" i="1"/>
  <c r="BN179" i="1"/>
  <c r="BN178" i="1" s="1"/>
  <c r="BN19" i="1"/>
  <c r="BN181" i="1" s="1"/>
  <c r="BN180" i="1" s="1"/>
  <c r="BN227" i="1"/>
  <c r="BQ598" i="1"/>
  <c r="BL180" i="1"/>
  <c r="BR235" i="1"/>
  <c r="BC222" i="1"/>
  <c r="L38" i="4"/>
  <c r="BC207" i="1"/>
  <c r="BC206" i="1" s="1"/>
  <c r="Y28" i="4" s="1"/>
  <c r="AZ208" i="1"/>
  <c r="AZ223" i="1"/>
  <c r="AJ35" i="1"/>
  <c r="AJ127" i="1"/>
  <c r="AJ128" i="1"/>
  <c r="BO15" i="1"/>
  <c r="BN61" i="1"/>
  <c r="BN599" i="1"/>
  <c r="BN600" i="1" s="1"/>
  <c r="BE186" i="1"/>
  <c r="BG187" i="1" s="1"/>
  <c r="BF182" i="1"/>
  <c r="M103" i="7"/>
  <c r="M105" i="7" s="1"/>
  <c r="M109" i="7" s="1"/>
  <c r="M113" i="7" s="1"/>
  <c r="BI69" i="1"/>
  <c r="BQ235" i="1"/>
  <c r="BQ15" i="1"/>
  <c r="BQ17" i="1" s="1"/>
  <c r="AO229" i="1"/>
  <c r="AJ146" i="1"/>
  <c r="AI148" i="1"/>
  <c r="AJ87" i="1"/>
  <c r="AJ92" i="1"/>
  <c r="BD93" i="1"/>
  <c r="BF85" i="1"/>
  <c r="BL61" i="1"/>
  <c r="BK69" i="1"/>
  <c r="BK93" i="1" l="1"/>
  <c r="BP228" i="1"/>
  <c r="BP182" i="1"/>
  <c r="BH93" i="1"/>
  <c r="BM77" i="1"/>
  <c r="BM242" i="1"/>
  <c r="BP69" i="1"/>
  <c r="BM186" i="1"/>
  <c r="BN187" i="1" s="1"/>
  <c r="BN85" i="1" s="1"/>
  <c r="N103" i="7"/>
  <c r="N105" i="7" s="1"/>
  <c r="N109" i="7" s="1"/>
  <c r="N113" i="7" s="1"/>
  <c r="BL69" i="1"/>
  <c r="BI242" i="1"/>
  <c r="BI77" i="1"/>
  <c r="BR15" i="1"/>
  <c r="BQ599" i="1"/>
  <c r="BQ600" i="1" s="1"/>
  <c r="BQ61" i="1"/>
  <c r="BO61" i="1"/>
  <c r="BN69" i="1"/>
  <c r="BL598" i="1"/>
  <c r="BL600" i="1" s="1"/>
  <c r="AK127" i="1"/>
  <c r="AK35" i="1"/>
  <c r="AK128" i="1"/>
  <c r="F51" i="4"/>
  <c r="F50" i="4" s="1"/>
  <c r="AN88" i="1"/>
  <c r="AK92" i="1"/>
  <c r="AL88" i="1"/>
  <c r="AK87" i="1"/>
  <c r="BI195" i="1"/>
  <c r="BL182" i="1"/>
  <c r="BK186" i="1"/>
  <c r="BM187" i="1" s="1"/>
  <c r="BF222" i="1"/>
  <c r="BF207" i="1"/>
  <c r="BF206" i="1" s="1"/>
  <c r="BI186" i="1"/>
  <c r="BI220" i="1"/>
  <c r="BI183" i="1"/>
  <c r="BI205" i="1"/>
  <c r="AJ80" i="1"/>
  <c r="BN182" i="1"/>
  <c r="BN228" i="1"/>
  <c r="BO178" i="1"/>
  <c r="BI187" i="1"/>
  <c r="BG85" i="1"/>
  <c r="BO599" i="1"/>
  <c r="BO105" i="1"/>
  <c r="BO598" i="1" s="1"/>
  <c r="BO17" i="1"/>
  <c r="AJ238" i="1"/>
  <c r="AJ230" i="1"/>
  <c r="AJ237" i="1"/>
  <c r="AP229" i="1"/>
  <c r="AP189" i="1"/>
  <c r="AP188" i="1" s="1"/>
  <c r="L41" i="4"/>
  <c r="BC93" i="1"/>
  <c r="BQ227" i="1"/>
  <c r="BQ179" i="1"/>
  <c r="BQ178" i="1" s="1"/>
  <c r="BQ234" i="1"/>
  <c r="BQ19" i="1"/>
  <c r="BQ181" i="1" s="1"/>
  <c r="BQ180" i="1" s="1"/>
  <c r="AR53" i="1"/>
  <c r="H69" i="4"/>
  <c r="AQ54" i="1"/>
  <c r="AQ56" i="1" s="1"/>
  <c r="BF195" i="1"/>
  <c r="BK242" i="1"/>
  <c r="BK77" i="1"/>
  <c r="BO180" i="1"/>
  <c r="BL211" i="1"/>
  <c r="BL228" i="1"/>
  <c r="BL196" i="1"/>
  <c r="BL187" i="1"/>
  <c r="BJ85" i="1"/>
  <c r="BF93" i="1"/>
  <c r="BF186" i="1"/>
  <c r="BF220" i="1"/>
  <c r="BF183" i="1"/>
  <c r="BF205" i="1"/>
  <c r="BL19" i="1"/>
  <c r="BL181" i="1" s="1"/>
  <c r="BL179" i="1"/>
  <c r="BL234" i="1"/>
  <c r="BL227" i="1"/>
  <c r="AT44" i="1"/>
  <c r="AK230" i="1" l="1"/>
  <c r="S42" i="4" s="1"/>
  <c r="BN93" i="1"/>
  <c r="BO600" i="1"/>
  <c r="BP242" i="1"/>
  <c r="BP77" i="1"/>
  <c r="BP186" i="1"/>
  <c r="BQ187" i="1" s="1"/>
  <c r="BQ85" i="1" s="1"/>
  <c r="H71" i="4"/>
  <c r="AQ189" i="1"/>
  <c r="AQ188" i="1" s="1"/>
  <c r="AQ229" i="1"/>
  <c r="U40" i="4" s="1"/>
  <c r="BR180" i="1"/>
  <c r="BC223" i="1"/>
  <c r="BC208" i="1"/>
  <c r="AK80" i="1"/>
  <c r="F44" i="4"/>
  <c r="O103" i="7"/>
  <c r="O105" i="7" s="1"/>
  <c r="O109" i="7" s="1"/>
  <c r="O113" i="7" s="1"/>
  <c r="BO69" i="1"/>
  <c r="BR599" i="1"/>
  <c r="BR105" i="1"/>
  <c r="BR598" i="1" s="1"/>
  <c r="BR17" i="1"/>
  <c r="BL242" i="1"/>
  <c r="BL77" i="1"/>
  <c r="BF223" i="1"/>
  <c r="BF208" i="1"/>
  <c r="AU44" i="1"/>
  <c r="BJ93" i="1"/>
  <c r="BL85" i="1"/>
  <c r="BO234" i="1"/>
  <c r="BO19" i="1"/>
  <c r="BO181" i="1" s="1"/>
  <c r="BO227" i="1"/>
  <c r="BO179" i="1"/>
  <c r="BO196" i="1"/>
  <c r="BO211" i="1"/>
  <c r="BO228" i="1"/>
  <c r="AJ86" i="1"/>
  <c r="AJ79" i="1"/>
  <c r="AJ42" i="1"/>
  <c r="AJ101" i="1" s="1"/>
  <c r="BF204" i="1"/>
  <c r="BL195" i="1"/>
  <c r="BR178" i="1"/>
  <c r="BQ228" i="1"/>
  <c r="BQ182" i="1"/>
  <c r="AJ239" i="1"/>
  <c r="BO187" i="1"/>
  <c r="BM85" i="1"/>
  <c r="AK238" i="1"/>
  <c r="F57" i="4"/>
  <c r="AK237" i="1"/>
  <c r="BR61" i="1"/>
  <c r="BQ69" i="1"/>
  <c r="BI207" i="1"/>
  <c r="BI206" i="1" s="1"/>
  <c r="BI222" i="1"/>
  <c r="AS53" i="1"/>
  <c r="AR54" i="1"/>
  <c r="AR56" i="1" s="1"/>
  <c r="BG93" i="1"/>
  <c r="BI85" i="1"/>
  <c r="BO182" i="1"/>
  <c r="BN186" i="1"/>
  <c r="BP187" i="1" s="1"/>
  <c r="BI204" i="1"/>
  <c r="BL183" i="1"/>
  <c r="BL205" i="1"/>
  <c r="BL186" i="1"/>
  <c r="BL220" i="1"/>
  <c r="BN242" i="1"/>
  <c r="BN77" i="1"/>
  <c r="BQ93" i="1" l="1"/>
  <c r="BR600" i="1"/>
  <c r="AS54" i="1"/>
  <c r="AS56" i="1" s="1"/>
  <c r="AS229" i="1" s="1"/>
  <c r="AT53" i="1"/>
  <c r="S44" i="4"/>
  <c r="AK239" i="1"/>
  <c r="BR182" i="1"/>
  <c r="BQ186" i="1"/>
  <c r="AK42" i="1"/>
  <c r="AJ142" i="1"/>
  <c r="AJ48" i="1"/>
  <c r="AJ49" i="1" s="1"/>
  <c r="AJ50" i="1" s="1"/>
  <c r="AJ231" i="1" s="1"/>
  <c r="BL207" i="1"/>
  <c r="BL206" i="1" s="1"/>
  <c r="BL222" i="1"/>
  <c r="BP85" i="1"/>
  <c r="BR187" i="1"/>
  <c r="BI93" i="1"/>
  <c r="AR229" i="1"/>
  <c r="AR189" i="1"/>
  <c r="AR188" i="1" s="1"/>
  <c r="P103" i="7"/>
  <c r="BR69" i="1"/>
  <c r="AJ78" i="1"/>
  <c r="BO195" i="1"/>
  <c r="BL93" i="1"/>
  <c r="AV44" i="1"/>
  <c r="BO77" i="1"/>
  <c r="BO242" i="1"/>
  <c r="BO85" i="1"/>
  <c r="BM93" i="1"/>
  <c r="BL204" i="1"/>
  <c r="BO220" i="1"/>
  <c r="BO205" i="1"/>
  <c r="BO183" i="1"/>
  <c r="BO186" i="1"/>
  <c r="BQ77" i="1"/>
  <c r="BQ242" i="1"/>
  <c r="BR196" i="1"/>
  <c r="BR211" i="1"/>
  <c r="BR228" i="1"/>
  <c r="BR179" i="1"/>
  <c r="BR234" i="1"/>
  <c r="BR227" i="1"/>
  <c r="BR19" i="1"/>
  <c r="BR181" i="1" s="1"/>
  <c r="F39" i="4"/>
  <c r="AK79" i="1"/>
  <c r="AK86" i="1"/>
  <c r="F43" i="4" s="1"/>
  <c r="AK78" i="1" l="1"/>
  <c r="F42" i="4"/>
  <c r="BO93" i="1"/>
  <c r="BR77" i="1"/>
  <c r="BR242" i="1"/>
  <c r="BI223" i="1"/>
  <c r="BI208" i="1"/>
  <c r="AJ145" i="1"/>
  <c r="AJ147" i="1" s="1"/>
  <c r="AJ148" i="1" s="1"/>
  <c r="AJ144" i="1"/>
  <c r="BR183" i="1"/>
  <c r="BR220" i="1"/>
  <c r="BR186" i="1"/>
  <c r="BR205" i="1"/>
  <c r="BO222" i="1"/>
  <c r="BO207" i="1"/>
  <c r="BO206" i="1" s="1"/>
  <c r="AW44" i="1"/>
  <c r="AJ102" i="1"/>
  <c r="AJ104" i="1" s="1"/>
  <c r="AK101" i="1"/>
  <c r="AK102" i="1" s="1"/>
  <c r="AK99" i="1" s="1"/>
  <c r="AK48" i="1"/>
  <c r="AK142" i="1"/>
  <c r="F62" i="4"/>
  <c r="AL21" i="1"/>
  <c r="AU53" i="1"/>
  <c r="I69" i="4"/>
  <c r="AT54" i="1"/>
  <c r="AT56" i="1" s="1"/>
  <c r="BR195" i="1"/>
  <c r="BO204" i="1"/>
  <c r="BL208" i="1"/>
  <c r="BL223" i="1"/>
  <c r="Q103" i="7"/>
  <c r="Q105" i="7" s="1"/>
  <c r="Q109" i="7" s="1"/>
  <c r="P105" i="7"/>
  <c r="P109" i="7" s="1"/>
  <c r="P113" i="7" s="1"/>
  <c r="BP93" i="1"/>
  <c r="BR85" i="1"/>
  <c r="AJ57" i="1"/>
  <c r="AJ192" i="1"/>
  <c r="AJ191" i="1" s="1"/>
  <c r="AS189" i="1"/>
  <c r="AS188" i="1" s="1"/>
  <c r="BR93" i="1" l="1"/>
  <c r="F65" i="4"/>
  <c r="AK49" i="1"/>
  <c r="BR204" i="1"/>
  <c r="AJ244" i="1"/>
  <c r="AJ247" i="1"/>
  <c r="AJ246" i="1"/>
  <c r="AJ245" i="1"/>
  <c r="AJ232" i="1"/>
  <c r="AU54" i="1"/>
  <c r="AU56" i="1" s="1"/>
  <c r="AU229" i="1" s="1"/>
  <c r="AV53" i="1"/>
  <c r="AK104" i="1"/>
  <c r="BR207" i="1"/>
  <c r="BR206" i="1" s="1"/>
  <c r="BR222" i="1"/>
  <c r="AL26" i="1"/>
  <c r="AL91" i="1"/>
  <c r="AL143" i="1"/>
  <c r="AL100" i="1"/>
  <c r="BO208" i="1"/>
  <c r="BO223" i="1"/>
  <c r="Q113" i="7"/>
  <c r="Q114" i="7" s="1"/>
  <c r="C118" i="7" s="1"/>
  <c r="C117" i="7"/>
  <c r="D117" i="7" s="1"/>
  <c r="AT189" i="1"/>
  <c r="AT188" i="1" s="1"/>
  <c r="I71" i="4"/>
  <c r="AT229" i="1"/>
  <c r="V40" i="4" s="1"/>
  <c r="AK145" i="1"/>
  <c r="AK147" i="1" s="1"/>
  <c r="AK144" i="1"/>
  <c r="AX44" i="1"/>
  <c r="D118" i="7" l="1"/>
  <c r="C121" i="7"/>
  <c r="AL127" i="1"/>
  <c r="AL35" i="1"/>
  <c r="AL128" i="1"/>
  <c r="F66" i="4"/>
  <c r="AK50" i="1"/>
  <c r="AN146" i="1"/>
  <c r="AK148" i="1"/>
  <c r="AL146" i="1"/>
  <c r="AU189" i="1"/>
  <c r="AU188" i="1" s="1"/>
  <c r="AY44" i="1"/>
  <c r="BR208" i="1"/>
  <c r="BR223" i="1"/>
  <c r="AK232" i="1"/>
  <c r="S41" i="4" s="1"/>
  <c r="AK247" i="1"/>
  <c r="S48" i="4" s="1"/>
  <c r="AK245" i="1"/>
  <c r="AK246" i="1"/>
  <c r="AK244" i="1"/>
  <c r="S49" i="4" s="1"/>
  <c r="AM88" i="1"/>
  <c r="AL92" i="1"/>
  <c r="AL87" i="1"/>
  <c r="AV54" i="1"/>
  <c r="AV56" i="1" s="1"/>
  <c r="AW53" i="1"/>
  <c r="AK231" i="1" l="1"/>
  <c r="AZ44" i="1"/>
  <c r="AL238" i="1"/>
  <c r="AL237" i="1"/>
  <c r="AL230" i="1"/>
  <c r="C125" i="7"/>
  <c r="D125" i="7" s="1"/>
  <c r="D121" i="7"/>
  <c r="AW54" i="1"/>
  <c r="AW56" i="1" s="1"/>
  <c r="AX53" i="1"/>
  <c r="J69" i="4"/>
  <c r="AV229" i="1"/>
  <c r="AV189" i="1"/>
  <c r="AV188" i="1" s="1"/>
  <c r="AL80" i="1"/>
  <c r="AK192" i="1"/>
  <c r="AK191" i="1" s="1"/>
  <c r="AK57" i="1"/>
  <c r="D127" i="7" l="1"/>
  <c r="AL79" i="1"/>
  <c r="AL86" i="1"/>
  <c r="AL42" i="1"/>
  <c r="J71" i="4"/>
  <c r="AW189" i="1"/>
  <c r="AW188" i="1" s="1"/>
  <c r="AW229" i="1"/>
  <c r="W40" i="4" s="1"/>
  <c r="AL239" i="1"/>
  <c r="AX54" i="1"/>
  <c r="AX56" i="1" s="1"/>
  <c r="AY53" i="1"/>
  <c r="BA44" i="1"/>
  <c r="D7" i="7" l="1"/>
  <c r="D8" i="7" s="1"/>
  <c r="AL101" i="1"/>
  <c r="BB44" i="1"/>
  <c r="AL48" i="1"/>
  <c r="AL49" i="1" s="1"/>
  <c r="AL50" i="1" s="1"/>
  <c r="AL142" i="1"/>
  <c r="AM21" i="1"/>
  <c r="AZ53" i="1"/>
  <c r="AY54" i="1"/>
  <c r="AY56" i="1" s="1"/>
  <c r="AX229" i="1"/>
  <c r="AX189" i="1"/>
  <c r="AX188" i="1" s="1"/>
  <c r="AL78" i="1"/>
  <c r="I7" i="7" l="1"/>
  <c r="J7" i="7"/>
  <c r="H7" i="7"/>
  <c r="G7" i="7"/>
  <c r="E7" i="7"/>
  <c r="F7" i="7"/>
  <c r="AL231" i="1"/>
  <c r="D18" i="7"/>
  <c r="A75" i="7"/>
  <c r="AM91" i="1"/>
  <c r="AM26" i="1"/>
  <c r="AM143" i="1"/>
  <c r="AN21" i="1"/>
  <c r="AM100" i="1"/>
  <c r="AN100" i="1" s="1"/>
  <c r="AL145" i="1"/>
  <c r="AL147" i="1" s="1"/>
  <c r="AL144" i="1"/>
  <c r="AL192" i="1"/>
  <c r="AL191" i="1" s="1"/>
  <c r="AL57" i="1"/>
  <c r="AL102" i="1"/>
  <c r="AL104" i="1" s="1"/>
  <c r="AY229" i="1"/>
  <c r="AY189" i="1"/>
  <c r="AY188" i="1" s="1"/>
  <c r="BA53" i="1"/>
  <c r="K69" i="4"/>
  <c r="AZ54" i="1"/>
  <c r="AZ56" i="1" s="1"/>
  <c r="BC44" i="1"/>
  <c r="I8" i="7" l="1"/>
  <c r="J8" i="7"/>
  <c r="G8" i="7"/>
  <c r="H8" i="7"/>
  <c r="E8" i="7"/>
  <c r="F8" i="7"/>
  <c r="I24" i="7"/>
  <c r="T15" i="4"/>
  <c r="D19" i="7"/>
  <c r="F19" i="7" s="1"/>
  <c r="D11" i="7" s="1"/>
  <c r="T13" i="4"/>
  <c r="F18" i="7"/>
  <c r="AN98" i="1"/>
  <c r="AL247" i="1"/>
  <c r="AL244" i="1"/>
  <c r="AL246" i="1"/>
  <c r="AL245" i="1"/>
  <c r="AL232" i="1"/>
  <c r="AL148" i="1"/>
  <c r="AM146" i="1"/>
  <c r="K71" i="4"/>
  <c r="AZ189" i="1"/>
  <c r="AZ188" i="1" s="1"/>
  <c r="AZ229" i="1"/>
  <c r="X40" i="4" s="1"/>
  <c r="AM127" i="1"/>
  <c r="AM35" i="1"/>
  <c r="AM128" i="1"/>
  <c r="BD44" i="1"/>
  <c r="BA54" i="1"/>
  <c r="BA56" i="1" s="1"/>
  <c r="BB53" i="1"/>
  <c r="AN26" i="1"/>
  <c r="G47" i="4"/>
  <c r="AN143" i="1"/>
  <c r="AN91" i="1"/>
  <c r="AM87" i="1"/>
  <c r="AM92" i="1"/>
  <c r="H26" i="7" l="1"/>
  <c r="D26" i="7" s="1"/>
  <c r="AN92" i="1"/>
  <c r="AQ88" i="1"/>
  <c r="AO88" i="1"/>
  <c r="AN87" i="1"/>
  <c r="AN127" i="1"/>
  <c r="AN128" i="1"/>
  <c r="G51" i="4"/>
  <c r="G50" i="4" s="1"/>
  <c r="AN35" i="1"/>
  <c r="BE44" i="1"/>
  <c r="BB54" i="1"/>
  <c r="BB56" i="1" s="1"/>
  <c r="BC53" i="1"/>
  <c r="AM80" i="1"/>
  <c r="BA229" i="1"/>
  <c r="BA189" i="1"/>
  <c r="BA188" i="1" s="1"/>
  <c r="AM238" i="1"/>
  <c r="AM230" i="1"/>
  <c r="AM237" i="1"/>
  <c r="AN230" i="1" l="1"/>
  <c r="T42" i="4" s="1"/>
  <c r="T17" i="4"/>
  <c r="T16" i="4"/>
  <c r="H25" i="7"/>
  <c r="I26" i="7"/>
  <c r="BB229" i="1"/>
  <c r="AN238" i="1"/>
  <c r="G57" i="4"/>
  <c r="AN237" i="1"/>
  <c r="AN80" i="1"/>
  <c r="G44" i="4"/>
  <c r="L69" i="4"/>
  <c r="BD53" i="1"/>
  <c r="BC54" i="1"/>
  <c r="BC56" i="1" s="1"/>
  <c r="AM86" i="1"/>
  <c r="AM79" i="1"/>
  <c r="AM42" i="1"/>
  <c r="AM101" i="1" s="1"/>
  <c r="BB189" i="1"/>
  <c r="BB188" i="1" s="1"/>
  <c r="AM239" i="1"/>
  <c r="BF44" i="1"/>
  <c r="I25" i="7" l="1"/>
  <c r="D10" i="7"/>
  <c r="F26" i="7"/>
  <c r="AB4" i="4"/>
  <c r="T5" i="4"/>
  <c r="T6" i="4" s="1"/>
  <c r="T7" i="4" s="1"/>
  <c r="T19" i="4"/>
  <c r="AM78" i="1"/>
  <c r="T44" i="4"/>
  <c r="AN239" i="1"/>
  <c r="L71" i="4"/>
  <c r="BC189" i="1"/>
  <c r="BC188" i="1" s="1"/>
  <c r="BC229" i="1"/>
  <c r="Y40" i="4" s="1"/>
  <c r="AM48" i="1"/>
  <c r="AM49" i="1" s="1"/>
  <c r="AM50" i="1" s="1"/>
  <c r="AM231" i="1" s="1"/>
  <c r="AN42" i="1"/>
  <c r="AM142" i="1"/>
  <c r="BD54" i="1"/>
  <c r="BD56" i="1" s="1"/>
  <c r="BE53" i="1"/>
  <c r="BG44" i="1"/>
  <c r="G39" i="4"/>
  <c r="AN79" i="1"/>
  <c r="AN86" i="1"/>
  <c r="G43" i="4" s="1"/>
  <c r="H10" i="7" l="1"/>
  <c r="I10" i="7"/>
  <c r="F10" i="7"/>
  <c r="G10" i="7"/>
  <c r="D21" i="7"/>
  <c r="F21" i="7" s="1"/>
  <c r="E10" i="7"/>
  <c r="D12" i="7"/>
  <c r="D25" i="7"/>
  <c r="J10" i="7"/>
  <c r="N31" i="4"/>
  <c r="D209" i="1"/>
  <c r="C3" i="1"/>
  <c r="D9" i="7"/>
  <c r="G42" i="4"/>
  <c r="BH44" i="1"/>
  <c r="BF53" i="1"/>
  <c r="BE54" i="1"/>
  <c r="BE56" i="1" s="1"/>
  <c r="AM144" i="1"/>
  <c r="AM145" i="1"/>
  <c r="AM147" i="1" s="1"/>
  <c r="AM148" i="1" s="1"/>
  <c r="AM102" i="1"/>
  <c r="AM104" i="1" s="1"/>
  <c r="AN101" i="1"/>
  <c r="AN102" i="1" s="1"/>
  <c r="AN99" i="1" s="1"/>
  <c r="AN78" i="1"/>
  <c r="BD189" i="1"/>
  <c r="BD188" i="1" s="1"/>
  <c r="AN142" i="1"/>
  <c r="G62" i="4"/>
  <c r="AN48" i="1"/>
  <c r="AO21" i="1"/>
  <c r="BD229" i="1"/>
  <c r="AM192" i="1"/>
  <c r="AM191" i="1" s="1"/>
  <c r="AM57" i="1"/>
  <c r="D20" i="7" l="1"/>
  <c r="AW210" i="1"/>
  <c r="W31" i="4" s="1"/>
  <c r="AN212" i="1"/>
  <c r="AT210" i="1"/>
  <c r="V31" i="4" s="1"/>
  <c r="Y219" i="1"/>
  <c r="BF212" i="1"/>
  <c r="BC212" i="1"/>
  <c r="AK212" i="1"/>
  <c r="BO212" i="1"/>
  <c r="AH219" i="1"/>
  <c r="R36" i="4" s="1"/>
  <c r="T20" i="4" s="1"/>
  <c r="T21" i="4" s="1"/>
  <c r="AT219" i="1"/>
  <c r="V34" i="4" s="1"/>
  <c r="AZ219" i="1"/>
  <c r="X34" i="4" s="1"/>
  <c r="AH210" i="1"/>
  <c r="R32" i="4" s="1"/>
  <c r="BI212" i="1"/>
  <c r="AQ210" i="1"/>
  <c r="U31" i="4" s="1"/>
  <c r="AZ210" i="1"/>
  <c r="X31" i="4" s="1"/>
  <c r="AE210" i="1"/>
  <c r="Q32" i="4" s="1"/>
  <c r="AE219" i="1"/>
  <c r="Q36" i="4" s="1"/>
  <c r="V219" i="1"/>
  <c r="AZ212" i="1"/>
  <c r="BF210" i="1"/>
  <c r="AB210" i="1"/>
  <c r="P32" i="4" s="1"/>
  <c r="V210" i="1"/>
  <c r="AB212" i="1"/>
  <c r="AK219" i="1"/>
  <c r="S36" i="4" s="1"/>
  <c r="AW219" i="1"/>
  <c r="W34" i="4" s="1"/>
  <c r="AW212" i="1"/>
  <c r="AB219" i="1"/>
  <c r="P36" i="4" s="1"/>
  <c r="AQ219" i="1"/>
  <c r="U34" i="4" s="1"/>
  <c r="AT212" i="1"/>
  <c r="AE212" i="1"/>
  <c r="AH212" i="1"/>
  <c r="BC210" i="1"/>
  <c r="Y31" i="4" s="1"/>
  <c r="Y212" i="1"/>
  <c r="AK210" i="1"/>
  <c r="S32" i="4" s="1"/>
  <c r="BL212" i="1"/>
  <c r="BI210" i="1"/>
  <c r="V212" i="1"/>
  <c r="AN219" i="1"/>
  <c r="T36" i="4" s="1"/>
  <c r="BC219" i="1"/>
  <c r="Y34" i="4" s="1"/>
  <c r="AN210" i="1"/>
  <c r="T32" i="4" s="1"/>
  <c r="AQ212" i="1"/>
  <c r="Y210" i="1"/>
  <c r="BR212" i="1"/>
  <c r="BF219" i="1"/>
  <c r="BL210" i="1"/>
  <c r="BI219" i="1"/>
  <c r="BL219" i="1"/>
  <c r="BO210" i="1"/>
  <c r="BO219" i="1"/>
  <c r="BR210" i="1"/>
  <c r="BR219" i="1"/>
  <c r="F25" i="7"/>
  <c r="AN104" i="1"/>
  <c r="BI44" i="1"/>
  <c r="AO26" i="1"/>
  <c r="AO143" i="1"/>
  <c r="AO91" i="1"/>
  <c r="AO100" i="1"/>
  <c r="BE229" i="1"/>
  <c r="BE189" i="1"/>
  <c r="BE188" i="1" s="1"/>
  <c r="BG53" i="1"/>
  <c r="BF54" i="1"/>
  <c r="BF56" i="1" s="1"/>
  <c r="G65" i="4"/>
  <c r="AN49" i="1"/>
  <c r="AN144" i="1"/>
  <c r="AN145" i="1"/>
  <c r="AN147" i="1" s="1"/>
  <c r="AM246" i="1"/>
  <c r="AM247" i="1"/>
  <c r="AM244" i="1"/>
  <c r="AM245" i="1"/>
  <c r="AM232" i="1"/>
  <c r="AQ221" i="1" l="1"/>
  <c r="U33" i="4" s="1"/>
  <c r="AQ214" i="1"/>
  <c r="AT221" i="1"/>
  <c r="V33" i="4" s="1"/>
  <c r="AT214" i="1"/>
  <c r="BO214" i="1"/>
  <c r="BO221" i="1"/>
  <c r="Y221" i="1"/>
  <c r="Y214" i="1"/>
  <c r="BR214" i="1"/>
  <c r="BR221" i="1"/>
  <c r="BL214" i="1"/>
  <c r="BL221" i="1"/>
  <c r="AH221" i="1"/>
  <c r="AH214" i="1"/>
  <c r="AB214" i="1"/>
  <c r="AB221" i="1"/>
  <c r="P35" i="4" s="1"/>
  <c r="AZ214" i="1"/>
  <c r="AZ221" i="1"/>
  <c r="X33" i="4" s="1"/>
  <c r="AK214" i="1"/>
  <c r="AK221" i="1"/>
  <c r="AE221" i="1"/>
  <c r="Q35" i="4" s="1"/>
  <c r="AE214" i="1"/>
  <c r="AW214" i="1"/>
  <c r="AW221" i="1"/>
  <c r="W33" i="4" s="1"/>
  <c r="BC214" i="1"/>
  <c r="BC221" i="1"/>
  <c r="Y33" i="4" s="1"/>
  <c r="AN221" i="1"/>
  <c r="AN214" i="1"/>
  <c r="V221" i="1"/>
  <c r="V214" i="1"/>
  <c r="BI214" i="1"/>
  <c r="BI221" i="1"/>
  <c r="BF214" i="1"/>
  <c r="BF221" i="1"/>
  <c r="BF189" i="1"/>
  <c r="BF188" i="1" s="1"/>
  <c r="BF229" i="1"/>
  <c r="AO127" i="1"/>
  <c r="AO35" i="1"/>
  <c r="AO128" i="1"/>
  <c r="AN232" i="1"/>
  <c r="T41" i="4" s="1"/>
  <c r="AN246" i="1"/>
  <c r="AN247" i="1"/>
  <c r="T48" i="4" s="1"/>
  <c r="AN244" i="1"/>
  <c r="T49" i="4" s="1"/>
  <c r="AN245" i="1"/>
  <c r="G66" i="4"/>
  <c r="AN50" i="1"/>
  <c r="BH53" i="1"/>
  <c r="BG54" i="1"/>
  <c r="BG56" i="1" s="1"/>
  <c r="AO87" i="1"/>
  <c r="AO92" i="1"/>
  <c r="AP88" i="1"/>
  <c r="AO146" i="1"/>
  <c r="AN148" i="1"/>
  <c r="AQ146" i="1"/>
  <c r="BJ44" i="1"/>
  <c r="S35" i="4" l="1"/>
  <c r="T35" i="4"/>
  <c r="R35" i="4"/>
  <c r="AN231" i="1"/>
  <c r="BC215" i="1"/>
  <c r="BC217" i="1"/>
  <c r="Y32" i="4" s="1"/>
  <c r="AZ215" i="1"/>
  <c r="AZ217" i="1"/>
  <c r="X32" i="4" s="1"/>
  <c r="Y217" i="1"/>
  <c r="Y215" i="1"/>
  <c r="BI215" i="1"/>
  <c r="BI217" i="1"/>
  <c r="AW217" i="1"/>
  <c r="W32" i="4" s="1"/>
  <c r="AW215" i="1"/>
  <c r="AK217" i="1"/>
  <c r="S34" i="4" s="1"/>
  <c r="AK215" i="1"/>
  <c r="S33" i="4" s="1"/>
  <c r="AB217" i="1"/>
  <c r="P34" i="4" s="1"/>
  <c r="AB215" i="1"/>
  <c r="BL217" i="1"/>
  <c r="BL215" i="1"/>
  <c r="BF215" i="1"/>
  <c r="BF217" i="1"/>
  <c r="BR215" i="1"/>
  <c r="BR217" i="1"/>
  <c r="BO215" i="1"/>
  <c r="BO217" i="1"/>
  <c r="AN215" i="1"/>
  <c r="T33" i="4" s="1"/>
  <c r="AN217" i="1"/>
  <c r="T34" i="4" s="1"/>
  <c r="AT217" i="1"/>
  <c r="V32" i="4" s="1"/>
  <c r="AT215" i="1"/>
  <c r="V217" i="1"/>
  <c r="V215" i="1"/>
  <c r="AE215" i="1"/>
  <c r="Q33" i="4" s="1"/>
  <c r="AE217" i="1"/>
  <c r="Q34" i="4" s="1"/>
  <c r="AH217" i="1"/>
  <c r="R34" i="4" s="1"/>
  <c r="AH215" i="1"/>
  <c r="R33" i="4" s="1"/>
  <c r="AQ215" i="1"/>
  <c r="AQ217" i="1"/>
  <c r="U32" i="4" s="1"/>
  <c r="BG189" i="1"/>
  <c r="BG188" i="1" s="1"/>
  <c r="BI53" i="1"/>
  <c r="BH54" i="1"/>
  <c r="BH56" i="1" s="1"/>
  <c r="BH229" i="1" s="1"/>
  <c r="AO238" i="1"/>
  <c r="AO230" i="1"/>
  <c r="AO237" i="1"/>
  <c r="BK44" i="1"/>
  <c r="AO80" i="1"/>
  <c r="AN57" i="1"/>
  <c r="AN192" i="1"/>
  <c r="AN191" i="1" s="1"/>
  <c r="BG229" i="1"/>
  <c r="AO239" i="1" l="1"/>
  <c r="BH189" i="1"/>
  <c r="BH188" i="1" s="1"/>
  <c r="BL44" i="1"/>
  <c r="AO79" i="1"/>
  <c r="AO86" i="1"/>
  <c r="AO42" i="1"/>
  <c r="BJ53" i="1"/>
  <c r="BI54" i="1"/>
  <c r="BI56" i="1" s="1"/>
  <c r="AO101" i="1" l="1"/>
  <c r="BJ54" i="1"/>
  <c r="BJ56" i="1" s="1"/>
  <c r="BJ229" i="1" s="1"/>
  <c r="BK53" i="1"/>
  <c r="AO48" i="1"/>
  <c r="AO49" i="1" s="1"/>
  <c r="AO50" i="1" s="1"/>
  <c r="AO142" i="1"/>
  <c r="AP21" i="1"/>
  <c r="AO78" i="1"/>
  <c r="BI189" i="1"/>
  <c r="BI188" i="1" s="1"/>
  <c r="BI229" i="1"/>
  <c r="BM44" i="1"/>
  <c r="AO231" i="1" l="1"/>
  <c r="AO57" i="1"/>
  <c r="AO192" i="1"/>
  <c r="AO191" i="1" s="1"/>
  <c r="BL53" i="1"/>
  <c r="BK54" i="1"/>
  <c r="BK56" i="1" s="1"/>
  <c r="AP143" i="1"/>
  <c r="AQ21" i="1"/>
  <c r="AP26" i="1"/>
  <c r="AP91" i="1"/>
  <c r="AP100" i="1"/>
  <c r="AQ100" i="1" s="1"/>
  <c r="BN44" i="1"/>
  <c r="AO102" i="1"/>
  <c r="AO104" i="1" s="1"/>
  <c r="AO144" i="1"/>
  <c r="AO145" i="1"/>
  <c r="AO147" i="1" s="1"/>
  <c r="BJ189" i="1"/>
  <c r="BJ188" i="1" s="1"/>
  <c r="AQ98" i="1" l="1"/>
  <c r="BO44" i="1"/>
  <c r="AP128" i="1"/>
  <c r="AP35" i="1"/>
  <c r="AP127" i="1"/>
  <c r="BK229" i="1"/>
  <c r="BK189" i="1"/>
  <c r="BK188" i="1" s="1"/>
  <c r="AQ143" i="1"/>
  <c r="AQ91" i="1"/>
  <c r="H47" i="4"/>
  <c r="AQ26" i="1"/>
  <c r="BL54" i="1"/>
  <c r="BL56" i="1" s="1"/>
  <c r="BM53" i="1"/>
  <c r="AP146" i="1"/>
  <c r="AO148" i="1"/>
  <c r="AO246" i="1"/>
  <c r="AO245" i="1"/>
  <c r="AO244" i="1"/>
  <c r="AO247" i="1"/>
  <c r="AO232" i="1"/>
  <c r="AP92" i="1"/>
  <c r="AP87" i="1"/>
  <c r="AQ87" i="1" l="1"/>
  <c r="AR88" i="1"/>
  <c r="AQ92" i="1"/>
  <c r="AT88" i="1"/>
  <c r="AP238" i="1"/>
  <c r="AP237" i="1"/>
  <c r="AP230" i="1"/>
  <c r="BN53" i="1"/>
  <c r="BM54" i="1"/>
  <c r="BM56" i="1" s="1"/>
  <c r="AQ35" i="1"/>
  <c r="H51" i="4"/>
  <c r="H50" i="4" s="1"/>
  <c r="AQ128" i="1"/>
  <c r="AQ127" i="1"/>
  <c r="AP80" i="1"/>
  <c r="BL189" i="1"/>
  <c r="BL188" i="1" s="1"/>
  <c r="BL229" i="1"/>
  <c r="BP44" i="1"/>
  <c r="AQ230" i="1" l="1"/>
  <c r="U42" i="4" s="1"/>
  <c r="AP239" i="1"/>
  <c r="BM229" i="1"/>
  <c r="BM189" i="1"/>
  <c r="BM188" i="1" s="1"/>
  <c r="AP79" i="1"/>
  <c r="AP86" i="1"/>
  <c r="AP42" i="1"/>
  <c r="AP101" i="1" s="1"/>
  <c r="BN54" i="1"/>
  <c r="BN56" i="1" s="1"/>
  <c r="BN229" i="1" s="1"/>
  <c r="BO53" i="1"/>
  <c r="H44" i="4"/>
  <c r="AQ80" i="1"/>
  <c r="BQ44" i="1"/>
  <c r="AQ238" i="1"/>
  <c r="H57" i="4"/>
  <c r="AQ237" i="1"/>
  <c r="AP78" i="1" l="1"/>
  <c r="BO54" i="1"/>
  <c r="BO56" i="1" s="1"/>
  <c r="BP53" i="1"/>
  <c r="BR44" i="1"/>
  <c r="H39" i="4"/>
  <c r="AQ86" i="1"/>
  <c r="H43" i="4" s="1"/>
  <c r="AQ79" i="1"/>
  <c r="U44" i="4"/>
  <c r="AQ239" i="1"/>
  <c r="BN189" i="1"/>
  <c r="BN188" i="1" s="1"/>
  <c r="AP142" i="1"/>
  <c r="AP48" i="1"/>
  <c r="AP49" i="1" s="1"/>
  <c r="AP50" i="1" s="1"/>
  <c r="AP231" i="1" s="1"/>
  <c r="AQ42" i="1"/>
  <c r="AQ78" i="1" l="1"/>
  <c r="H42" i="4"/>
  <c r="AQ48" i="1"/>
  <c r="H62" i="4"/>
  <c r="AQ142" i="1"/>
  <c r="AR21" i="1"/>
  <c r="BP54" i="1"/>
  <c r="BP56" i="1" s="1"/>
  <c r="BP229" i="1" s="1"/>
  <c r="BQ53" i="1"/>
  <c r="AP102" i="1"/>
  <c r="AP104" i="1" s="1"/>
  <c r="AQ101" i="1"/>
  <c r="AQ102" i="1" s="1"/>
  <c r="AQ99" i="1" s="1"/>
  <c r="AP145" i="1"/>
  <c r="AP147" i="1" s="1"/>
  <c r="AP148" i="1" s="1"/>
  <c r="AP144" i="1"/>
  <c r="AP192" i="1"/>
  <c r="AP191" i="1" s="1"/>
  <c r="AP57" i="1"/>
  <c r="BO189" i="1"/>
  <c r="BO188" i="1" s="1"/>
  <c r="BO229" i="1"/>
  <c r="AQ104" i="1" l="1"/>
  <c r="BP189" i="1"/>
  <c r="BP188" i="1" s="1"/>
  <c r="AQ145" i="1"/>
  <c r="AQ147" i="1" s="1"/>
  <c r="AQ144" i="1"/>
  <c r="AR91" i="1"/>
  <c r="AR143" i="1"/>
  <c r="AR26" i="1"/>
  <c r="AR100" i="1"/>
  <c r="AP246" i="1"/>
  <c r="AP247" i="1"/>
  <c r="AP244" i="1"/>
  <c r="AP245" i="1"/>
  <c r="AP232" i="1"/>
  <c r="BR53" i="1"/>
  <c r="BQ54" i="1"/>
  <c r="BQ56" i="1" s="1"/>
  <c r="AQ49" i="1"/>
  <c r="H65" i="4"/>
  <c r="AR127" i="1" l="1"/>
  <c r="AR35" i="1"/>
  <c r="AR128" i="1"/>
  <c r="AQ232" i="1"/>
  <c r="U41" i="4" s="1"/>
  <c r="AQ244" i="1"/>
  <c r="U49" i="4" s="1"/>
  <c r="AQ246" i="1"/>
  <c r="AQ245" i="1"/>
  <c r="AQ247" i="1"/>
  <c r="U48" i="4" s="1"/>
  <c r="AQ148" i="1"/>
  <c r="AT146" i="1"/>
  <c r="AR146" i="1"/>
  <c r="BQ189" i="1"/>
  <c r="BQ188" i="1" s="1"/>
  <c r="AS88" i="1"/>
  <c r="AR92" i="1"/>
  <c r="AR87" i="1"/>
  <c r="BQ229" i="1"/>
  <c r="BR54" i="1"/>
  <c r="BR56" i="1" s="1"/>
  <c r="H66" i="4"/>
  <c r="AQ50" i="1"/>
  <c r="AQ231" i="1" l="1"/>
  <c r="AQ192" i="1"/>
  <c r="AQ191" i="1" s="1"/>
  <c r="AQ57" i="1"/>
  <c r="AR80" i="1"/>
  <c r="AR238" i="1"/>
  <c r="AR237" i="1"/>
  <c r="AR230" i="1"/>
  <c r="BR189" i="1"/>
  <c r="BR188" i="1" s="1"/>
  <c r="BR229" i="1"/>
  <c r="AR239" i="1" l="1"/>
  <c r="AR79" i="1"/>
  <c r="AR86" i="1"/>
  <c r="AR42" i="1"/>
  <c r="AR101" i="1" l="1"/>
  <c r="AR78" i="1"/>
  <c r="AR48" i="1"/>
  <c r="AR49" i="1" s="1"/>
  <c r="AR50" i="1" s="1"/>
  <c r="AR142" i="1"/>
  <c r="AS21" i="1"/>
  <c r="AR231" i="1" l="1"/>
  <c r="AR102" i="1"/>
  <c r="AR104" i="1" s="1"/>
  <c r="AR144" i="1"/>
  <c r="AR145" i="1"/>
  <c r="AR147" i="1" s="1"/>
  <c r="AS143" i="1"/>
  <c r="AT21" i="1"/>
  <c r="AS26" i="1"/>
  <c r="AS91" i="1"/>
  <c r="AS100" i="1"/>
  <c r="AT100" i="1" s="1"/>
  <c r="AT98" i="1" s="1"/>
  <c r="AR192" i="1"/>
  <c r="AR191" i="1" s="1"/>
  <c r="AR57" i="1"/>
  <c r="AR148" i="1" l="1"/>
  <c r="AS146" i="1"/>
  <c r="AS128" i="1"/>
  <c r="AS35" i="1"/>
  <c r="AS127" i="1"/>
  <c r="AR245" i="1"/>
  <c r="AR247" i="1"/>
  <c r="AR246" i="1"/>
  <c r="AR244" i="1"/>
  <c r="AR232" i="1"/>
  <c r="I47" i="4"/>
  <c r="AT91" i="1"/>
  <c r="AT26" i="1"/>
  <c r="AT143" i="1"/>
  <c r="AS92" i="1"/>
  <c r="AS87" i="1"/>
  <c r="AS238" i="1" l="1"/>
  <c r="AS230" i="1"/>
  <c r="AS237" i="1"/>
  <c r="AT35" i="1"/>
  <c r="AT127" i="1"/>
  <c r="I51" i="4"/>
  <c r="I50" i="4" s="1"/>
  <c r="AT128" i="1"/>
  <c r="AS80" i="1"/>
  <c r="AW88" i="1"/>
  <c r="AU88" i="1"/>
  <c r="AT92" i="1"/>
  <c r="AT87" i="1"/>
  <c r="AT230" i="1" l="1"/>
  <c r="V42" i="4" s="1"/>
  <c r="AS239" i="1"/>
  <c r="AS79" i="1"/>
  <c r="AS86" i="1"/>
  <c r="AS42" i="1"/>
  <c r="AS101" i="1" s="1"/>
  <c r="AT238" i="1"/>
  <c r="I57" i="4"/>
  <c r="AT237" i="1"/>
  <c r="I44" i="4"/>
  <c r="AT80" i="1"/>
  <c r="AS78" i="1" l="1"/>
  <c r="I39" i="4"/>
  <c r="AT86" i="1"/>
  <c r="I43" i="4" s="1"/>
  <c r="AT79" i="1"/>
  <c r="V44" i="4"/>
  <c r="AT239" i="1"/>
  <c r="AS48" i="1"/>
  <c r="AS49" i="1" s="1"/>
  <c r="AS50" i="1" s="1"/>
  <c r="AS231" i="1" s="1"/>
  <c r="AS142" i="1"/>
  <c r="AT42" i="1"/>
  <c r="I42" i="4" l="1"/>
  <c r="AS144" i="1"/>
  <c r="AS145" i="1"/>
  <c r="AS147" i="1" s="1"/>
  <c r="AS148" i="1" s="1"/>
  <c r="AS57" i="1"/>
  <c r="AS192" i="1"/>
  <c r="AS191" i="1" s="1"/>
  <c r="AS102" i="1"/>
  <c r="AS104" i="1" s="1"/>
  <c r="AT101" i="1"/>
  <c r="AT102" i="1" s="1"/>
  <c r="AT99" i="1" s="1"/>
  <c r="AT142" i="1"/>
  <c r="AT48" i="1"/>
  <c r="I62" i="4"/>
  <c r="AU21" i="1"/>
  <c r="AT78" i="1"/>
  <c r="AT144" i="1" l="1"/>
  <c r="AT145" i="1"/>
  <c r="AT147" i="1" s="1"/>
  <c r="AT104" i="1"/>
  <c r="AU91" i="1"/>
  <c r="AU26" i="1"/>
  <c r="AU143" i="1"/>
  <c r="AU100" i="1"/>
  <c r="AT49" i="1"/>
  <c r="I65" i="4"/>
  <c r="AS245" i="1"/>
  <c r="AS247" i="1"/>
  <c r="AS246" i="1"/>
  <c r="AS244" i="1"/>
  <c r="AS232" i="1"/>
  <c r="AU128" i="1" l="1"/>
  <c r="AU35" i="1"/>
  <c r="AU127" i="1"/>
  <c r="I66" i="4"/>
  <c r="AT50" i="1"/>
  <c r="AU92" i="1"/>
  <c r="AU87" i="1"/>
  <c r="AV88" i="1"/>
  <c r="AW146" i="1"/>
  <c r="AU146" i="1"/>
  <c r="AT148" i="1"/>
  <c r="AT232" i="1"/>
  <c r="V41" i="4" s="1"/>
  <c r="AT245" i="1"/>
  <c r="AT244" i="1"/>
  <c r="V49" i="4" s="1"/>
  <c r="AT246" i="1"/>
  <c r="AT247" i="1"/>
  <c r="V48" i="4" s="1"/>
  <c r="AT231" i="1" l="1"/>
  <c r="AU80" i="1"/>
  <c r="AU238" i="1"/>
  <c r="AU237" i="1"/>
  <c r="AU230" i="1"/>
  <c r="AT57" i="1"/>
  <c r="AT192" i="1"/>
  <c r="AT191" i="1" s="1"/>
  <c r="AU239" i="1" l="1"/>
  <c r="AU86" i="1"/>
  <c r="AU79" i="1"/>
  <c r="AU42" i="1"/>
  <c r="AU101" i="1" l="1"/>
  <c r="AU78" i="1"/>
  <c r="AU48" i="1"/>
  <c r="AU49" i="1" s="1"/>
  <c r="AU50" i="1" s="1"/>
  <c r="AU142" i="1"/>
  <c r="AV21" i="1"/>
  <c r="AU231" i="1" l="1"/>
  <c r="AV91" i="1"/>
  <c r="AV143" i="1"/>
  <c r="AW21" i="1"/>
  <c r="AV26" i="1"/>
  <c r="AV100" i="1"/>
  <c r="AW100" i="1" s="1"/>
  <c r="AU144" i="1"/>
  <c r="AU145" i="1"/>
  <c r="AU147" i="1" s="1"/>
  <c r="AU102" i="1"/>
  <c r="AU104" i="1" s="1"/>
  <c r="AU57" i="1"/>
  <c r="AU192" i="1"/>
  <c r="AU191" i="1" s="1"/>
  <c r="J47" i="4" l="1"/>
  <c r="AW91" i="1"/>
  <c r="AW143" i="1"/>
  <c r="AW26" i="1"/>
  <c r="AU247" i="1"/>
  <c r="AU244" i="1"/>
  <c r="AU245" i="1"/>
  <c r="AU246" i="1"/>
  <c r="AU232" i="1"/>
  <c r="AW98" i="1"/>
  <c r="AV92" i="1"/>
  <c r="AV87" i="1"/>
  <c r="AV146" i="1"/>
  <c r="AU148" i="1"/>
  <c r="AV35" i="1"/>
  <c r="AV128" i="1"/>
  <c r="AV127" i="1"/>
  <c r="AV80" i="1" l="1"/>
  <c r="AV238" i="1"/>
  <c r="AV230" i="1"/>
  <c r="AV237" i="1"/>
  <c r="AZ88" i="1"/>
  <c r="AX88" i="1"/>
  <c r="AW87" i="1"/>
  <c r="AW92" i="1"/>
  <c r="AW128" i="1"/>
  <c r="J51" i="4"/>
  <c r="J50" i="4" s="1"/>
  <c r="AW127" i="1"/>
  <c r="AW35" i="1"/>
  <c r="AW230" i="1" l="1"/>
  <c r="W42" i="4" s="1"/>
  <c r="J44" i="4"/>
  <c r="AW80" i="1"/>
  <c r="J57" i="4"/>
  <c r="AW238" i="1"/>
  <c r="AW237" i="1"/>
  <c r="AV239" i="1"/>
  <c r="AV86" i="1"/>
  <c r="AV79" i="1"/>
  <c r="AV42" i="1"/>
  <c r="AV101" i="1" s="1"/>
  <c r="W44" i="4" l="1"/>
  <c r="AW239" i="1"/>
  <c r="AW42" i="1"/>
  <c r="AV48" i="1"/>
  <c r="AV49" i="1" s="1"/>
  <c r="AV50" i="1" s="1"/>
  <c r="AV231" i="1" s="1"/>
  <c r="AV142" i="1"/>
  <c r="AW86" i="1"/>
  <c r="J43" i="4" s="1"/>
  <c r="J39" i="4"/>
  <c r="AW79" i="1"/>
  <c r="AV78" i="1"/>
  <c r="AW78" i="1" l="1"/>
  <c r="AV145" i="1"/>
  <c r="AV147" i="1" s="1"/>
  <c r="AV148" i="1" s="1"/>
  <c r="AV144" i="1"/>
  <c r="AV192" i="1"/>
  <c r="AV191" i="1" s="1"/>
  <c r="AV57" i="1"/>
  <c r="J42" i="4"/>
  <c r="J62" i="4"/>
  <c r="AW48" i="1"/>
  <c r="AW142" i="1"/>
  <c r="AX21" i="1"/>
  <c r="AV102" i="1"/>
  <c r="AV104" i="1" s="1"/>
  <c r="AW101" i="1"/>
  <c r="AW102" i="1" s="1"/>
  <c r="AW99" i="1" s="1"/>
  <c r="AX91" i="1" l="1"/>
  <c r="AX143" i="1"/>
  <c r="AX26" i="1"/>
  <c r="AX100" i="1"/>
  <c r="AW49" i="1"/>
  <c r="J65" i="4"/>
  <c r="AW104" i="1"/>
  <c r="AV244" i="1"/>
  <c r="AV245" i="1"/>
  <c r="AV247" i="1"/>
  <c r="AV246" i="1"/>
  <c r="AV232" i="1"/>
  <c r="AW144" i="1"/>
  <c r="AW232" i="1" s="1"/>
  <c r="W41" i="4" s="1"/>
  <c r="AW145" i="1"/>
  <c r="AW147" i="1" s="1"/>
  <c r="AX35" i="1" l="1"/>
  <c r="AX128" i="1"/>
  <c r="AX127" i="1"/>
  <c r="J66" i="4"/>
  <c r="AW50" i="1"/>
  <c r="AZ146" i="1"/>
  <c r="AW148" i="1"/>
  <c r="AX146" i="1"/>
  <c r="AW246" i="1"/>
  <c r="AW244" i="1"/>
  <c r="W49" i="4" s="1"/>
  <c r="AW245" i="1"/>
  <c r="AW247" i="1"/>
  <c r="W48" i="4" s="1"/>
  <c r="AY88" i="1"/>
  <c r="AX87" i="1"/>
  <c r="AX92" i="1"/>
  <c r="AW231" i="1" l="1"/>
  <c r="AX80" i="1"/>
  <c r="AW192" i="1"/>
  <c r="AW191" i="1" s="1"/>
  <c r="AW57" i="1"/>
  <c r="AX238" i="1"/>
  <c r="AX237" i="1"/>
  <c r="AX230" i="1"/>
  <c r="AX239" i="1" l="1"/>
  <c r="AX86" i="1"/>
  <c r="AX79" i="1"/>
  <c r="AX42" i="1"/>
  <c r="AX101" i="1" l="1"/>
  <c r="AX78" i="1"/>
  <c r="AX48" i="1"/>
  <c r="AX49" i="1" s="1"/>
  <c r="AX50" i="1" s="1"/>
  <c r="AX142" i="1"/>
  <c r="AY21" i="1"/>
  <c r="AX231" i="1" l="1"/>
  <c r="AX102" i="1"/>
  <c r="AX104" i="1" s="1"/>
  <c r="AX144" i="1"/>
  <c r="AX145" i="1"/>
  <c r="AX147" i="1" s="1"/>
  <c r="AY26" i="1"/>
  <c r="AZ21" i="1"/>
  <c r="AY143" i="1"/>
  <c r="AY91" i="1"/>
  <c r="AY100" i="1"/>
  <c r="AZ100" i="1" s="1"/>
  <c r="AX57" i="1"/>
  <c r="AX192" i="1"/>
  <c r="AX191" i="1" s="1"/>
  <c r="AY146" i="1" l="1"/>
  <c r="AX148" i="1"/>
  <c r="AX245" i="1"/>
  <c r="AX246" i="1"/>
  <c r="AX244" i="1"/>
  <c r="AX247" i="1"/>
  <c r="AX232" i="1"/>
  <c r="K47" i="4"/>
  <c r="AZ91" i="1"/>
  <c r="AZ143" i="1"/>
  <c r="AZ26" i="1"/>
  <c r="AZ98" i="1"/>
  <c r="AY87" i="1"/>
  <c r="AY92" i="1"/>
  <c r="AY35" i="1"/>
  <c r="AY127" i="1"/>
  <c r="AY128" i="1"/>
  <c r="AY80" i="1" l="1"/>
  <c r="AZ92" i="1"/>
  <c r="BC88" i="1"/>
  <c r="BA88" i="1"/>
  <c r="AZ87" i="1"/>
  <c r="AY238" i="1"/>
  <c r="AY230" i="1"/>
  <c r="AY237" i="1"/>
  <c r="AZ128" i="1"/>
  <c r="K51" i="4"/>
  <c r="K50" i="4" s="1"/>
  <c r="AZ127" i="1"/>
  <c r="AZ35" i="1"/>
  <c r="AZ230" i="1" l="1"/>
  <c r="X42" i="4" s="1"/>
  <c r="K44" i="4"/>
  <c r="AZ80" i="1"/>
  <c r="AY79" i="1"/>
  <c r="AY86" i="1"/>
  <c r="AY42" i="1"/>
  <c r="AY101" i="1" s="1"/>
  <c r="AZ238" i="1"/>
  <c r="K57" i="4"/>
  <c r="AZ237" i="1"/>
  <c r="AY239" i="1"/>
  <c r="AY78" i="1" l="1"/>
  <c r="AY142" i="1"/>
  <c r="AY48" i="1"/>
  <c r="AY49" i="1" s="1"/>
  <c r="AY50" i="1" s="1"/>
  <c r="AY231" i="1" s="1"/>
  <c r="AZ42" i="1"/>
  <c r="AZ86" i="1"/>
  <c r="K43" i="4" s="1"/>
  <c r="K39" i="4"/>
  <c r="AZ79" i="1"/>
  <c r="X44" i="4"/>
  <c r="AZ239" i="1"/>
  <c r="AZ78" i="1" l="1"/>
  <c r="K42" i="4"/>
  <c r="AY57" i="1"/>
  <c r="AY192" i="1"/>
  <c r="AY191" i="1" s="1"/>
  <c r="AY102" i="1"/>
  <c r="AY104" i="1" s="1"/>
  <c r="AZ101" i="1"/>
  <c r="AZ102" i="1" s="1"/>
  <c r="AZ99" i="1" s="1"/>
  <c r="AY144" i="1"/>
  <c r="AY145" i="1"/>
  <c r="AY147" i="1" s="1"/>
  <c r="AY148" i="1" s="1"/>
  <c r="K62" i="4"/>
  <c r="AZ48" i="1"/>
  <c r="AZ142" i="1"/>
  <c r="BA21" i="1"/>
  <c r="AZ104" i="1" l="1"/>
  <c r="K65" i="4"/>
  <c r="AZ49" i="1"/>
  <c r="BA91" i="1"/>
  <c r="BA26" i="1"/>
  <c r="BA143" i="1"/>
  <c r="BA100" i="1"/>
  <c r="AZ144" i="1"/>
  <c r="AZ145" i="1"/>
  <c r="AZ147" i="1" s="1"/>
  <c r="AY246" i="1"/>
  <c r="AY244" i="1"/>
  <c r="AY247" i="1"/>
  <c r="AY245" i="1"/>
  <c r="AY232" i="1"/>
  <c r="K66" i="4" l="1"/>
  <c r="AZ50" i="1"/>
  <c r="BC146" i="1"/>
  <c r="BA146" i="1"/>
  <c r="AZ148" i="1"/>
  <c r="AZ244" i="1"/>
  <c r="X49" i="4" s="1"/>
  <c r="AZ247" i="1"/>
  <c r="X48" i="4" s="1"/>
  <c r="AZ245" i="1"/>
  <c r="AZ246" i="1"/>
  <c r="BA35" i="1"/>
  <c r="BA128" i="1"/>
  <c r="BA127" i="1"/>
  <c r="BB88" i="1"/>
  <c r="BA87" i="1"/>
  <c r="BA92" i="1"/>
  <c r="AZ232" i="1"/>
  <c r="X41" i="4" s="1"/>
  <c r="AZ231" i="1" l="1"/>
  <c r="AZ57" i="1"/>
  <c r="AZ192" i="1"/>
  <c r="AZ191" i="1" s="1"/>
  <c r="BA80" i="1"/>
  <c r="BA238" i="1"/>
  <c r="BA237" i="1"/>
  <c r="BA230" i="1"/>
  <c r="BA239" i="1" l="1"/>
  <c r="BA86" i="1"/>
  <c r="BA79" i="1"/>
  <c r="BA42" i="1"/>
  <c r="BA101" i="1" l="1"/>
  <c r="BA78" i="1"/>
  <c r="BA48" i="1"/>
  <c r="BA49" i="1" s="1"/>
  <c r="BA50" i="1" s="1"/>
  <c r="BA142" i="1"/>
  <c r="BB21" i="1"/>
  <c r="BA231" i="1" l="1"/>
  <c r="BC21" i="1"/>
  <c r="BB91" i="1"/>
  <c r="BB26" i="1"/>
  <c r="BB143" i="1"/>
  <c r="BB100" i="1"/>
  <c r="BC100" i="1" s="1"/>
  <c r="BA145" i="1"/>
  <c r="BA147" i="1" s="1"/>
  <c r="BA144" i="1"/>
  <c r="BA102" i="1"/>
  <c r="BA104" i="1" s="1"/>
  <c r="BA192" i="1"/>
  <c r="BA191" i="1" s="1"/>
  <c r="BA57" i="1"/>
  <c r="BC98" i="1" l="1"/>
  <c r="BB128" i="1"/>
  <c r="BB127" i="1"/>
  <c r="BB35" i="1"/>
  <c r="BA247" i="1"/>
  <c r="BA245" i="1"/>
  <c r="BA244" i="1"/>
  <c r="BA246" i="1"/>
  <c r="BA232" i="1"/>
  <c r="BB146" i="1"/>
  <c r="BA148" i="1"/>
  <c r="BB87" i="1"/>
  <c r="BB92" i="1"/>
  <c r="BC26" i="1"/>
  <c r="L47" i="4"/>
  <c r="BC143" i="1"/>
  <c r="BC91" i="1"/>
  <c r="BB238" i="1" l="1"/>
  <c r="BB237" i="1"/>
  <c r="BB230" i="1"/>
  <c r="BC128" i="1"/>
  <c r="BC127" i="1"/>
  <c r="L51" i="4"/>
  <c r="L50" i="4" s="1"/>
  <c r="BC35" i="1"/>
  <c r="BB80" i="1"/>
  <c r="BD88" i="1"/>
  <c r="BC87" i="1"/>
  <c r="BF88" i="1"/>
  <c r="BC92" i="1"/>
  <c r="BC230" i="1" l="1"/>
  <c r="Y42" i="4" s="1"/>
  <c r="BB239" i="1"/>
  <c r="L44" i="4"/>
  <c r="BC80" i="1"/>
  <c r="BC238" i="1"/>
  <c r="L57" i="4"/>
  <c r="BC237" i="1"/>
  <c r="BB79" i="1"/>
  <c r="BB86" i="1"/>
  <c r="BB42" i="1"/>
  <c r="BB101" i="1" s="1"/>
  <c r="BB78" i="1" l="1"/>
  <c r="BC86" i="1"/>
  <c r="L43" i="4" s="1"/>
  <c r="BC79" i="1"/>
  <c r="L39" i="4"/>
  <c r="Y44" i="4"/>
  <c r="BC239" i="1"/>
  <c r="BB48" i="1"/>
  <c r="BB49" i="1" s="1"/>
  <c r="BB50" i="1" s="1"/>
  <c r="BB231" i="1" s="1"/>
  <c r="BC42" i="1"/>
  <c r="BB142" i="1"/>
  <c r="BC78" i="1" l="1"/>
  <c r="BB57" i="1"/>
  <c r="BB192" i="1"/>
  <c r="BB191" i="1" s="1"/>
  <c r="L62" i="4"/>
  <c r="BC142" i="1"/>
  <c r="BC48" i="1"/>
  <c r="BD21" i="1"/>
  <c r="BB102" i="1"/>
  <c r="BB104" i="1" s="1"/>
  <c r="BC101" i="1"/>
  <c r="BC102" i="1" s="1"/>
  <c r="BC99" i="1" s="1"/>
  <c r="BB144" i="1"/>
  <c r="BB145" i="1"/>
  <c r="BB147" i="1" s="1"/>
  <c r="BB148" i="1" s="1"/>
  <c r="L42" i="4"/>
  <c r="BB247" i="1" l="1"/>
  <c r="BB246" i="1"/>
  <c r="BB244" i="1"/>
  <c r="BB245" i="1"/>
  <c r="BB232" i="1"/>
  <c r="BC49" i="1"/>
  <c r="L65" i="4"/>
  <c r="BC104" i="1"/>
  <c r="BD26" i="1"/>
  <c r="BD143" i="1"/>
  <c r="BD91" i="1"/>
  <c r="BD100" i="1"/>
  <c r="BC144" i="1"/>
  <c r="BC145" i="1"/>
  <c r="BC147" i="1" s="1"/>
  <c r="BD127" i="1" l="1"/>
  <c r="BD128" i="1"/>
  <c r="BD35" i="1"/>
  <c r="L66" i="4"/>
  <c r="BC50" i="1"/>
  <c r="BC148" i="1"/>
  <c r="BD146" i="1"/>
  <c r="BF146" i="1"/>
  <c r="BD92" i="1"/>
  <c r="BE88" i="1"/>
  <c r="BD87" i="1"/>
  <c r="BC247" i="1"/>
  <c r="Y48" i="4" s="1"/>
  <c r="BC246" i="1"/>
  <c r="BC245" i="1"/>
  <c r="BC244" i="1"/>
  <c r="Y49" i="4" s="1"/>
  <c r="BC232" i="1"/>
  <c r="Y41" i="4" s="1"/>
  <c r="BC231" i="1" l="1"/>
  <c r="BD238" i="1"/>
  <c r="BD237" i="1"/>
  <c r="BD230" i="1"/>
  <c r="BD80" i="1"/>
  <c r="BC57" i="1"/>
  <c r="BC192" i="1"/>
  <c r="BC191" i="1" s="1"/>
  <c r="BD239" i="1" l="1"/>
  <c r="BD86" i="1"/>
  <c r="BD79" i="1"/>
  <c r="BD42" i="1"/>
  <c r="BD101" i="1" l="1"/>
  <c r="BD78" i="1"/>
  <c r="BD48" i="1"/>
  <c r="BD49" i="1" s="1"/>
  <c r="BD50" i="1" s="1"/>
  <c r="BD142" i="1"/>
  <c r="BE21" i="1"/>
  <c r="BD231" i="1" l="1"/>
  <c r="BD102" i="1"/>
  <c r="BD104" i="1" s="1"/>
  <c r="BD144" i="1"/>
  <c r="BD145" i="1"/>
  <c r="BD147" i="1" s="1"/>
  <c r="BE26" i="1"/>
  <c r="BE91" i="1"/>
  <c r="BE143" i="1"/>
  <c r="BF21" i="1"/>
  <c r="BE100" i="1"/>
  <c r="BF100" i="1" s="1"/>
  <c r="BD57" i="1"/>
  <c r="BD192" i="1"/>
  <c r="BD191" i="1" s="1"/>
  <c r="BF98" i="1" l="1"/>
  <c r="BE146" i="1"/>
  <c r="BD148" i="1"/>
  <c r="BD244" i="1"/>
  <c r="BD245" i="1"/>
  <c r="BD247" i="1"/>
  <c r="BD246" i="1"/>
  <c r="BD232" i="1"/>
  <c r="BE92" i="1"/>
  <c r="BE87" i="1"/>
  <c r="BF143" i="1"/>
  <c r="BF26" i="1"/>
  <c r="BF91" i="1"/>
  <c r="BE128" i="1"/>
  <c r="BE127" i="1"/>
  <c r="BE35" i="1"/>
  <c r="BE238" i="1" l="1"/>
  <c r="BE237" i="1"/>
  <c r="BE230" i="1"/>
  <c r="BE80" i="1"/>
  <c r="BF127" i="1"/>
  <c r="BF35" i="1"/>
  <c r="BF128" i="1"/>
  <c r="BI88" i="1"/>
  <c r="BF87" i="1"/>
  <c r="BF92" i="1"/>
  <c r="BG88" i="1"/>
  <c r="BF230" i="1" l="1"/>
  <c r="BE239" i="1"/>
  <c r="BE86" i="1"/>
  <c r="BE79" i="1"/>
  <c r="BE42" i="1"/>
  <c r="BE101" i="1" s="1"/>
  <c r="BF238" i="1"/>
  <c r="BF237" i="1"/>
  <c r="BF80" i="1"/>
  <c r="BF239" i="1" l="1"/>
  <c r="BE78" i="1"/>
  <c r="BF86" i="1"/>
  <c r="BF79" i="1"/>
  <c r="BE142" i="1"/>
  <c r="BE48" i="1"/>
  <c r="BE49" i="1" s="1"/>
  <c r="BE50" i="1" s="1"/>
  <c r="BE231" i="1" s="1"/>
  <c r="BF42" i="1"/>
  <c r="BF78" i="1" l="1"/>
  <c r="BE102" i="1"/>
  <c r="BE104" i="1" s="1"/>
  <c r="BF101" i="1"/>
  <c r="BF102" i="1" s="1"/>
  <c r="BF99" i="1" s="1"/>
  <c r="BF48" i="1"/>
  <c r="BF49" i="1" s="1"/>
  <c r="BF50" i="1" s="1"/>
  <c r="BF142" i="1"/>
  <c r="BG21" i="1"/>
  <c r="BE145" i="1"/>
  <c r="BE147" i="1" s="1"/>
  <c r="BE148" i="1" s="1"/>
  <c r="BE144" i="1"/>
  <c r="BE57" i="1"/>
  <c r="BE192" i="1"/>
  <c r="BE191" i="1" s="1"/>
  <c r="BF231" i="1" l="1"/>
  <c r="BG91" i="1"/>
  <c r="BG143" i="1"/>
  <c r="BG26" i="1"/>
  <c r="BG100" i="1"/>
  <c r="BF144" i="1"/>
  <c r="BF232" i="1" s="1"/>
  <c r="BF145" i="1"/>
  <c r="BF147" i="1" s="1"/>
  <c r="BF192" i="1"/>
  <c r="BF191" i="1" s="1"/>
  <c r="BF57" i="1"/>
  <c r="BE246" i="1"/>
  <c r="BE244" i="1"/>
  <c r="BE247" i="1"/>
  <c r="BE245" i="1"/>
  <c r="BE232" i="1"/>
  <c r="BF104" i="1"/>
  <c r="BF245" i="1" l="1"/>
  <c r="BF244" i="1"/>
  <c r="BF247" i="1"/>
  <c r="BF246" i="1"/>
  <c r="BG35" i="1"/>
  <c r="BG128" i="1"/>
  <c r="BG127" i="1"/>
  <c r="BG146" i="1"/>
  <c r="BI146" i="1"/>
  <c r="BF148" i="1"/>
  <c r="BG87" i="1"/>
  <c r="BH88" i="1"/>
  <c r="BG92" i="1"/>
  <c r="BG80" i="1" l="1"/>
  <c r="BG238" i="1"/>
  <c r="BG237" i="1"/>
  <c r="BG230" i="1"/>
  <c r="BG239" i="1" l="1"/>
  <c r="BG86" i="1"/>
  <c r="BG79" i="1"/>
  <c r="BG42" i="1"/>
  <c r="BG101" i="1" l="1"/>
  <c r="BG78" i="1"/>
  <c r="BG48" i="1"/>
  <c r="BG49" i="1" s="1"/>
  <c r="BG50" i="1" s="1"/>
  <c r="BG142" i="1"/>
  <c r="BH21" i="1"/>
  <c r="BG231" i="1" l="1"/>
  <c r="BH143" i="1"/>
  <c r="BI21" i="1"/>
  <c r="BH26" i="1"/>
  <c r="BH91" i="1"/>
  <c r="BH100" i="1"/>
  <c r="BI100" i="1" s="1"/>
  <c r="BG145" i="1"/>
  <c r="BG147" i="1" s="1"/>
  <c r="BG144" i="1"/>
  <c r="BG102" i="1"/>
  <c r="BG104" i="1" s="1"/>
  <c r="BG192" i="1"/>
  <c r="BG191" i="1" s="1"/>
  <c r="BG57" i="1"/>
  <c r="BI98" i="1" l="1"/>
  <c r="BG244" i="1"/>
  <c r="BG245" i="1"/>
  <c r="BG246" i="1"/>
  <c r="BG247" i="1"/>
  <c r="BG232" i="1"/>
  <c r="BH128" i="1"/>
  <c r="BH127" i="1"/>
  <c r="BH35" i="1"/>
  <c r="BH87" i="1"/>
  <c r="BH92" i="1"/>
  <c r="BI26" i="1"/>
  <c r="BI91" i="1"/>
  <c r="BI143" i="1"/>
  <c r="BG148" i="1"/>
  <c r="BH146" i="1"/>
  <c r="BI127" i="1" l="1"/>
  <c r="BI128" i="1"/>
  <c r="BI35" i="1"/>
  <c r="BH80" i="1"/>
  <c r="BJ88" i="1"/>
  <c r="BL88" i="1"/>
  <c r="BI92" i="1"/>
  <c r="BI87" i="1"/>
  <c r="BH238" i="1"/>
  <c r="BH230" i="1"/>
  <c r="BH237" i="1"/>
  <c r="BI230" i="1" l="1"/>
  <c r="BH239" i="1"/>
  <c r="BI238" i="1"/>
  <c r="BI237" i="1"/>
  <c r="BH79" i="1"/>
  <c r="BH86" i="1"/>
  <c r="BH42" i="1"/>
  <c r="BH101" i="1" s="1"/>
  <c r="BI80" i="1"/>
  <c r="BI239" i="1" l="1"/>
  <c r="BH78" i="1"/>
  <c r="BI42" i="1"/>
  <c r="BH48" i="1"/>
  <c r="BH49" i="1" s="1"/>
  <c r="BH50" i="1" s="1"/>
  <c r="BH231" i="1" s="1"/>
  <c r="BH142" i="1"/>
  <c r="BI79" i="1"/>
  <c r="BI86" i="1"/>
  <c r="BI78" i="1" l="1"/>
  <c r="BI48" i="1"/>
  <c r="BI49" i="1" s="1"/>
  <c r="BI50" i="1" s="1"/>
  <c r="BI142" i="1"/>
  <c r="BJ21" i="1"/>
  <c r="BH144" i="1"/>
  <c r="BH145" i="1"/>
  <c r="BH147" i="1" s="1"/>
  <c r="BH148" i="1" s="1"/>
  <c r="BH102" i="1"/>
  <c r="BH104" i="1" s="1"/>
  <c r="BI101" i="1"/>
  <c r="BI102" i="1" s="1"/>
  <c r="BI99" i="1" s="1"/>
  <c r="BH192" i="1"/>
  <c r="BH191" i="1" s="1"/>
  <c r="BH57" i="1"/>
  <c r="BI231" i="1" l="1"/>
  <c r="BJ26" i="1"/>
  <c r="BJ143" i="1"/>
  <c r="BJ91" i="1"/>
  <c r="BJ100" i="1"/>
  <c r="BI144" i="1"/>
  <c r="BI145" i="1"/>
  <c r="BI147" i="1" s="1"/>
  <c r="BH246" i="1"/>
  <c r="BH244" i="1"/>
  <c r="BH245" i="1"/>
  <c r="BH247" i="1"/>
  <c r="BH232" i="1"/>
  <c r="BI104" i="1"/>
  <c r="BI192" i="1"/>
  <c r="BI191" i="1" s="1"/>
  <c r="BI57" i="1"/>
  <c r="BI148" i="1" l="1"/>
  <c r="BJ146" i="1"/>
  <c r="BL146" i="1"/>
  <c r="BJ92" i="1"/>
  <c r="BJ87" i="1"/>
  <c r="BK88" i="1"/>
  <c r="BI232" i="1"/>
  <c r="BI246" i="1"/>
  <c r="BI245" i="1"/>
  <c r="BI247" i="1"/>
  <c r="BI244" i="1"/>
  <c r="BJ128" i="1"/>
  <c r="BJ127" i="1"/>
  <c r="BJ35" i="1"/>
  <c r="BJ238" i="1" l="1"/>
  <c r="BJ230" i="1"/>
  <c r="BJ237" i="1"/>
  <c r="BJ80" i="1"/>
  <c r="BJ239" i="1" l="1"/>
  <c r="BJ86" i="1"/>
  <c r="BJ79" i="1"/>
  <c r="BJ42" i="1"/>
  <c r="BJ101" i="1" l="1"/>
  <c r="BJ78" i="1"/>
  <c r="BJ48" i="1"/>
  <c r="BJ49" i="1" s="1"/>
  <c r="BJ50" i="1" s="1"/>
  <c r="BJ142" i="1"/>
  <c r="BK21" i="1"/>
  <c r="BJ231" i="1" l="1"/>
  <c r="BK91" i="1"/>
  <c r="BL21" i="1"/>
  <c r="BK143" i="1"/>
  <c r="BK26" i="1"/>
  <c r="BK100" i="1"/>
  <c r="BL100" i="1" s="1"/>
  <c r="BJ145" i="1"/>
  <c r="BJ147" i="1" s="1"/>
  <c r="BJ144" i="1"/>
  <c r="BJ102" i="1"/>
  <c r="BJ104" i="1" s="1"/>
  <c r="BJ57" i="1"/>
  <c r="BJ192" i="1"/>
  <c r="BJ191" i="1" s="1"/>
  <c r="BL98" i="1" l="1"/>
  <c r="BJ246" i="1"/>
  <c r="BJ247" i="1"/>
  <c r="BJ244" i="1"/>
  <c r="BJ245" i="1"/>
  <c r="BJ232" i="1"/>
  <c r="BL143" i="1"/>
  <c r="BL26" i="1"/>
  <c r="BL91" i="1"/>
  <c r="BJ148" i="1"/>
  <c r="BK146" i="1"/>
  <c r="BK127" i="1"/>
  <c r="BK35" i="1"/>
  <c r="BK128" i="1"/>
  <c r="BK87" i="1"/>
  <c r="BK92" i="1"/>
  <c r="BK238" i="1" l="1"/>
  <c r="BK230" i="1"/>
  <c r="BK237" i="1"/>
  <c r="BO88" i="1"/>
  <c r="BM88" i="1"/>
  <c r="BL92" i="1"/>
  <c r="BL87" i="1"/>
  <c r="BK80" i="1"/>
  <c r="BL127" i="1"/>
  <c r="BL128" i="1"/>
  <c r="BL35" i="1"/>
  <c r="BL230" i="1" l="1"/>
  <c r="BK239" i="1"/>
  <c r="BL238" i="1"/>
  <c r="BL237" i="1"/>
  <c r="BL80" i="1"/>
  <c r="BK86" i="1"/>
  <c r="BK79" i="1"/>
  <c r="BK42" i="1"/>
  <c r="BK101" i="1" s="1"/>
  <c r="BL239" i="1" l="1"/>
  <c r="BK142" i="1"/>
  <c r="BL42" i="1"/>
  <c r="BK48" i="1"/>
  <c r="BK49" i="1" s="1"/>
  <c r="BK50" i="1" s="1"/>
  <c r="BK231" i="1" s="1"/>
  <c r="BL86" i="1"/>
  <c r="BL79" i="1"/>
  <c r="BK78" i="1"/>
  <c r="BK57" i="1" l="1"/>
  <c r="BK192" i="1"/>
  <c r="BK191" i="1" s="1"/>
  <c r="BL48" i="1"/>
  <c r="BL49" i="1" s="1"/>
  <c r="BL50" i="1" s="1"/>
  <c r="BL142" i="1"/>
  <c r="BM21" i="1"/>
  <c r="BL78" i="1"/>
  <c r="BK102" i="1"/>
  <c r="BK104" i="1" s="1"/>
  <c r="BL101" i="1"/>
  <c r="BL102" i="1" s="1"/>
  <c r="BL99" i="1" s="1"/>
  <c r="BK144" i="1"/>
  <c r="BK145" i="1"/>
  <c r="BK147" i="1" s="1"/>
  <c r="BK148" i="1" s="1"/>
  <c r="BL231" i="1" l="1"/>
  <c r="BM143" i="1"/>
  <c r="BM26" i="1"/>
  <c r="BM91" i="1"/>
  <c r="BM100" i="1"/>
  <c r="BL145" i="1"/>
  <c r="BL147" i="1" s="1"/>
  <c r="BL144" i="1"/>
  <c r="BL232" i="1" s="1"/>
  <c r="BL57" i="1"/>
  <c r="BL192" i="1"/>
  <c r="BL191" i="1" s="1"/>
  <c r="BK244" i="1"/>
  <c r="BK246" i="1"/>
  <c r="BK247" i="1"/>
  <c r="BK245" i="1"/>
  <c r="BK232" i="1"/>
  <c r="BL104" i="1"/>
  <c r="BL148" i="1" l="1"/>
  <c r="BM146" i="1"/>
  <c r="BO146" i="1"/>
  <c r="BN88" i="1"/>
  <c r="BM87" i="1"/>
  <c r="BM92" i="1"/>
  <c r="BL246" i="1"/>
  <c r="BL247" i="1"/>
  <c r="BL244" i="1"/>
  <c r="BL245" i="1"/>
  <c r="BM127" i="1"/>
  <c r="BM35" i="1"/>
  <c r="BM128" i="1"/>
  <c r="BM238" i="1" l="1"/>
  <c r="BM237" i="1"/>
  <c r="BM230" i="1"/>
  <c r="BM80" i="1"/>
  <c r="BM239" i="1" l="1"/>
  <c r="BM86" i="1"/>
  <c r="BM79" i="1"/>
  <c r="BM42" i="1"/>
  <c r="BM101" i="1" l="1"/>
  <c r="BM78" i="1"/>
  <c r="BM48" i="1"/>
  <c r="BM49" i="1" s="1"/>
  <c r="BM50" i="1" s="1"/>
  <c r="BM142" i="1"/>
  <c r="BN21" i="1"/>
  <c r="BM231" i="1" l="1"/>
  <c r="BN26" i="1"/>
  <c r="BN91" i="1"/>
  <c r="BN143" i="1"/>
  <c r="BO21" i="1"/>
  <c r="BN100" i="1"/>
  <c r="BO100" i="1" s="1"/>
  <c r="BM145" i="1"/>
  <c r="BM147" i="1" s="1"/>
  <c r="BM144" i="1"/>
  <c r="BM102" i="1"/>
  <c r="BM104" i="1" s="1"/>
  <c r="BM57" i="1"/>
  <c r="BM192" i="1"/>
  <c r="BM191" i="1" s="1"/>
  <c r="BM244" i="1" l="1"/>
  <c r="BM247" i="1"/>
  <c r="BM246" i="1"/>
  <c r="BM245" i="1"/>
  <c r="BM232" i="1"/>
  <c r="BM148" i="1"/>
  <c r="BN146" i="1"/>
  <c r="BO26" i="1"/>
  <c r="BO143" i="1"/>
  <c r="BO91" i="1"/>
  <c r="BO98" i="1"/>
  <c r="BN92" i="1"/>
  <c r="BN87" i="1"/>
  <c r="BN35" i="1"/>
  <c r="BN128" i="1"/>
  <c r="BN127" i="1"/>
  <c r="BN80" i="1" l="1"/>
  <c r="BO92" i="1"/>
  <c r="BO87" i="1"/>
  <c r="BP88" i="1"/>
  <c r="BR88" i="1"/>
  <c r="BN238" i="1"/>
  <c r="BN237" i="1"/>
  <c r="BN230" i="1"/>
  <c r="BO127" i="1"/>
  <c r="BO128" i="1"/>
  <c r="BO35" i="1"/>
  <c r="BO230" i="1" l="1"/>
  <c r="BN239" i="1"/>
  <c r="BO80" i="1"/>
  <c r="BO238" i="1"/>
  <c r="BO237" i="1"/>
  <c r="BN86" i="1"/>
  <c r="BN79" i="1"/>
  <c r="BN42" i="1"/>
  <c r="BN101" i="1" s="1"/>
  <c r="BO86" i="1" l="1"/>
  <c r="BO79" i="1"/>
  <c r="BN48" i="1"/>
  <c r="BN49" i="1" s="1"/>
  <c r="BN50" i="1" s="1"/>
  <c r="BN231" i="1" s="1"/>
  <c r="BN142" i="1"/>
  <c r="BO42" i="1"/>
  <c r="BN78" i="1"/>
  <c r="BO239" i="1"/>
  <c r="BO78" i="1" l="1"/>
  <c r="BN144" i="1"/>
  <c r="BN145" i="1"/>
  <c r="BN147" i="1" s="1"/>
  <c r="BN148" i="1" s="1"/>
  <c r="BO48" i="1"/>
  <c r="BO49" i="1" s="1"/>
  <c r="BO50" i="1" s="1"/>
  <c r="BO142" i="1"/>
  <c r="BP21" i="1"/>
  <c r="BN102" i="1"/>
  <c r="BN104" i="1" s="1"/>
  <c r="BO101" i="1"/>
  <c r="BO102" i="1" s="1"/>
  <c r="BO99" i="1" s="1"/>
  <c r="BN57" i="1"/>
  <c r="BN192" i="1"/>
  <c r="BN191" i="1" s="1"/>
  <c r="BO231" i="1" l="1"/>
  <c r="BO144" i="1"/>
  <c r="BO145" i="1"/>
  <c r="BO147" i="1" s="1"/>
  <c r="BO192" i="1"/>
  <c r="BO191" i="1" s="1"/>
  <c r="BO57" i="1"/>
  <c r="BP91" i="1"/>
  <c r="BP26" i="1"/>
  <c r="BP143" i="1"/>
  <c r="BP100" i="1"/>
  <c r="BO104" i="1"/>
  <c r="BN244" i="1"/>
  <c r="BN246" i="1"/>
  <c r="BN247" i="1"/>
  <c r="BN245" i="1"/>
  <c r="BN232" i="1"/>
  <c r="BP35" i="1" l="1"/>
  <c r="BP128" i="1"/>
  <c r="BP127" i="1"/>
  <c r="BP92" i="1"/>
  <c r="BQ88" i="1"/>
  <c r="BP87" i="1"/>
  <c r="BP146" i="1"/>
  <c r="BO148" i="1"/>
  <c r="BR146" i="1"/>
  <c r="BO232" i="1"/>
  <c r="BO247" i="1"/>
  <c r="BO246" i="1"/>
  <c r="BO244" i="1"/>
  <c r="BO245" i="1"/>
  <c r="BP80" i="1" l="1"/>
  <c r="BP238" i="1"/>
  <c r="BP237" i="1"/>
  <c r="BP230" i="1"/>
  <c r="BP239" i="1" l="1"/>
  <c r="BP86" i="1"/>
  <c r="BP79" i="1"/>
  <c r="BP42" i="1"/>
  <c r="BP101" i="1" l="1"/>
  <c r="BP142" i="1"/>
  <c r="BP48" i="1"/>
  <c r="BP49" i="1" s="1"/>
  <c r="BP50" i="1" s="1"/>
  <c r="BQ21" i="1"/>
  <c r="BP78" i="1"/>
  <c r="BP231" i="1" l="1"/>
  <c r="BP57" i="1"/>
  <c r="BP192" i="1"/>
  <c r="BP191" i="1" s="1"/>
  <c r="BP102" i="1"/>
  <c r="BP104" i="1" s="1"/>
  <c r="BQ91" i="1"/>
  <c r="BQ26" i="1"/>
  <c r="BR21" i="1"/>
  <c r="BQ143" i="1"/>
  <c r="BQ100" i="1"/>
  <c r="BR100" i="1" s="1"/>
  <c r="BP144" i="1"/>
  <c r="BP145" i="1"/>
  <c r="BP147" i="1" s="1"/>
  <c r="BR143" i="1" l="1"/>
  <c r="BR91" i="1"/>
  <c r="BR26" i="1"/>
  <c r="BP247" i="1"/>
  <c r="BP246" i="1"/>
  <c r="BP245" i="1"/>
  <c r="BP244" i="1"/>
  <c r="BP232" i="1"/>
  <c r="BR98" i="1"/>
  <c r="BP148" i="1"/>
  <c r="BQ146" i="1"/>
  <c r="BQ128" i="1"/>
  <c r="BQ35" i="1"/>
  <c r="BQ127" i="1"/>
  <c r="BQ92" i="1"/>
  <c r="BQ87" i="1"/>
  <c r="BR128" i="1" l="1"/>
  <c r="BR127" i="1"/>
  <c r="BR35" i="1"/>
  <c r="BR230" i="1" s="1"/>
  <c r="BQ238" i="1"/>
  <c r="BQ230" i="1"/>
  <c r="BQ237" i="1"/>
  <c r="BR92" i="1"/>
  <c r="BR87" i="1"/>
  <c r="BQ80" i="1"/>
  <c r="BR80" i="1" l="1"/>
  <c r="BR238" i="1"/>
  <c r="BR237" i="1"/>
  <c r="BQ79" i="1"/>
  <c r="BQ86" i="1"/>
  <c r="BQ42" i="1"/>
  <c r="BQ101" i="1" s="1"/>
  <c r="BQ239" i="1"/>
  <c r="BR239" i="1" l="1"/>
  <c r="BQ78" i="1"/>
  <c r="BQ48" i="1"/>
  <c r="BQ49" i="1" s="1"/>
  <c r="BQ50" i="1" s="1"/>
  <c r="BQ231" i="1" s="1"/>
  <c r="BR42" i="1"/>
  <c r="BQ142" i="1"/>
  <c r="BR86" i="1"/>
  <c r="BR79" i="1"/>
  <c r="BR142" i="1" l="1"/>
  <c r="BR48" i="1"/>
  <c r="BR49" i="1" s="1"/>
  <c r="BR50" i="1" s="1"/>
  <c r="BR231" i="1" s="1"/>
  <c r="BQ145" i="1"/>
  <c r="BQ147" i="1" s="1"/>
  <c r="BQ148" i="1" s="1"/>
  <c r="BQ144" i="1"/>
  <c r="BR78" i="1"/>
  <c r="BQ102" i="1"/>
  <c r="BQ104" i="1" s="1"/>
  <c r="BR101" i="1"/>
  <c r="BR102" i="1" s="1"/>
  <c r="BR99" i="1" s="1"/>
  <c r="BQ192" i="1"/>
  <c r="BQ191" i="1" s="1"/>
  <c r="BQ57" i="1"/>
  <c r="BR57" i="1" l="1"/>
  <c r="BR192" i="1"/>
  <c r="BR191" i="1" s="1"/>
  <c r="BR144" i="1"/>
  <c r="BR145" i="1"/>
  <c r="BR147" i="1" s="1"/>
  <c r="BR148" i="1" s="1"/>
  <c r="BR104" i="1"/>
  <c r="BQ247" i="1"/>
  <c r="BQ246" i="1"/>
  <c r="BQ244" i="1"/>
  <c r="BQ245" i="1"/>
  <c r="BQ232" i="1"/>
  <c r="BR232" i="1" l="1"/>
  <c r="BR247" i="1"/>
  <c r="BR245" i="1"/>
  <c r="BR246" i="1"/>
  <c r="BR244" i="1"/>
  <c r="AH89" i="1" l="1"/>
</calcChain>
</file>

<file path=xl/comments1.xml><?xml version="1.0" encoding="utf-8"?>
<comments xmlns="http://schemas.openxmlformats.org/spreadsheetml/2006/main">
  <authors>
    <author>Shenoy, Dinesh (Research)</author>
    <author>Lee, Vivienne (Research)</author>
    <author>Niraj Shah</author>
    <author>Robison, Nicholas (Research)</author>
  </authors>
  <commentList>
    <comment ref="Z12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taken from page 7 of AMC 1H17 accounts</t>
        </r>
      </text>
    </comment>
    <comment ref="T15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Page 10 of 1H15 Investor Presentation</t>
        </r>
      </text>
    </comment>
    <comment ref="V15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Taken from Page 2 of Fy15 Profit Release</t>
        </r>
      </text>
    </comment>
    <comment ref="T16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Page 10 of 1H15 Investor Presentation</t>
        </r>
      </text>
    </comment>
    <comment ref="V16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Taken from Page 2 of Fy15 Profit Release</t>
        </r>
      </text>
    </comment>
    <comment ref="AB16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Taken from page 2 of AMC FY17 Release</t>
        </r>
      </text>
    </comment>
    <comment ref="Y18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Taken from Page 10 of AMC FY16 media release</t>
        </r>
      </text>
    </comment>
    <comment ref="V90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Adjustment for Bank overdraft = 4.5
Cash disposed on demerger of Australasia and packaging business = -59.8</t>
        </r>
      </text>
    </comment>
    <comment ref="W90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Adjustment for Bank overdraft = 53.4
</t>
        </r>
      </text>
    </comment>
    <comment ref="Y90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Adjustment for Bank overdraft = 7.4
</t>
        </r>
      </text>
    </comment>
    <comment ref="Z90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Adjustment for Bank overdraft = 35.1
</t>
        </r>
      </text>
    </comment>
    <comment ref="AB90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Adjustment for Bank overdraft = 2.3
</t>
        </r>
      </text>
    </comment>
    <comment ref="AC90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Adjustment for Bank overdraft = 8.4
</t>
        </r>
      </text>
    </comment>
    <comment ref="AE90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Adjustment for Bank overdraft = 3.8
</t>
        </r>
      </text>
    </comment>
    <comment ref="AF10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$30-40m cash costs
</t>
        </r>
      </text>
    </comment>
    <comment ref="Y108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Taken from Page 10 of AMC FY16 media release</t>
        </r>
      </text>
    </comment>
    <comment ref="Y111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Taken from Page 10 of AMC FY16 media release</t>
        </r>
      </text>
    </comment>
    <comment ref="Y114" authorId="0">
      <text>
        <r>
          <rPr>
            <b/>
            <sz val="9"/>
            <color indexed="81"/>
            <rFont val="Tahoma"/>
            <family val="2"/>
          </rPr>
          <t>Shenoy, Dinesh (Research):</t>
        </r>
        <r>
          <rPr>
            <sz val="9"/>
            <color indexed="81"/>
            <rFont val="Tahoma"/>
            <family val="2"/>
          </rPr>
          <t xml:space="preserve">
Taken from Page 10 of AMC FY16 media release</t>
        </r>
      </text>
    </comment>
    <comment ref="C282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C288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Roughly 50/50 North America / W Europe</t>
        </r>
      </text>
    </comment>
    <comment ref="C292" authorId="2">
      <text>
        <r>
          <rPr>
            <b/>
            <sz val="9"/>
            <color indexed="81"/>
            <rFont val="Tahoma"/>
            <family val="2"/>
          </rPr>
          <t>Niraj Shah:</t>
        </r>
        <r>
          <rPr>
            <sz val="9"/>
            <color indexed="81"/>
            <rFont val="Tahoma"/>
            <family val="2"/>
          </rPr>
          <t xml:space="preserve">
Excludes price and FX</t>
        </r>
      </text>
    </comment>
    <comment ref="C301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AF314" authorId="2">
      <text>
        <r>
          <rPr>
            <b/>
            <sz val="9"/>
            <color indexed="81"/>
            <rFont val="Tahoma"/>
            <family val="2"/>
          </rPr>
          <t>Niraj Shah:</t>
        </r>
        <r>
          <rPr>
            <sz val="9"/>
            <color indexed="81"/>
            <rFont val="Tahoma"/>
            <family val="2"/>
          </rPr>
          <t xml:space="preserve">
Russia</t>
        </r>
      </text>
    </comment>
    <comment ref="AG314" authorId="2">
      <text>
        <r>
          <rPr>
            <b/>
            <sz val="9"/>
            <color indexed="81"/>
            <rFont val="Tahoma"/>
            <family val="2"/>
          </rPr>
          <t>Niraj Shah:</t>
        </r>
        <r>
          <rPr>
            <sz val="9"/>
            <color indexed="81"/>
            <rFont val="Tahoma"/>
            <family val="2"/>
          </rPr>
          <t xml:space="preserve">
Russia</t>
        </r>
      </text>
    </comment>
    <comment ref="C32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S341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Chose to exit low margin CSDW segment in Mexico</t>
        </r>
      </text>
    </comment>
    <comment ref="V341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No growth % given but comments indicate that increased market share in CSDW preforms offset reduced industry demand in CSDs</t>
        </r>
      </text>
    </comment>
    <comment ref="AE341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Modestly lower than pcp</t>
        </r>
      </text>
    </comment>
    <comment ref="AF343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1H18 total North American beverage volumes expected to decline at mid single digit</t>
        </r>
      </text>
    </comment>
    <comment ref="S344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In line</t>
        </r>
      </text>
    </comment>
    <comment ref="AC344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Spot volumes won in custom</t>
        </r>
      </text>
    </comment>
    <comment ref="AF34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1H18 Hotfill volumes expected to decline at ~10%</t>
        </r>
      </text>
    </comment>
    <comment ref="S34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Mix effect of market share gains in CSDW, majority of customers have now completed transition to self-manufacture of CSDW, cold and wet summer following strong start to summer in prior year
plant restructuring and synergy benefits from Ball</t>
        </r>
      </text>
    </comment>
    <comment ref="T34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market share gains</t>
        </r>
      </text>
    </comment>
    <comment ref="V34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weather affected - cool and wet summer</t>
        </r>
      </text>
    </comment>
    <comment ref="Z34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benefit from FY15 market share gains and  additional spot volumes</t>
        </r>
      </text>
    </comment>
    <comment ref="AB34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organic, excl Encon, benefit from FY15 market share gains
increased share with regional customers following investment in "Upstart" manufacturing platform, designed to target smaller run volumes</t>
        </r>
      </text>
    </comment>
    <comment ref="AC34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new facility commenced in 1H in Texas
Strong demand for PET format</t>
        </r>
      </text>
    </comment>
    <comment ref="AF347" authorId="2">
      <text>
        <r>
          <rPr>
            <b/>
            <sz val="9"/>
            <color indexed="81"/>
            <rFont val="Tahoma"/>
            <family val="2"/>
          </rPr>
          <t>Niraj Shah:</t>
        </r>
        <r>
          <rPr>
            <sz val="9"/>
            <color indexed="81"/>
            <rFont val="Tahoma"/>
            <family val="2"/>
          </rPr>
          <t xml:space="preserve">
Lee, Vivienne (Research):
1H18 total North American beverage expected to decline at mid single digit</t>
        </r>
      </text>
    </comment>
    <comment ref="C384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C398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C423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C43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S448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Chose to exit low margin CSDW segment in Mexico</t>
        </r>
      </text>
    </comment>
    <comment ref="C462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C47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S48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Chose to exit low margin CSDW segment in Mexico</t>
        </r>
      </text>
    </comment>
    <comment ref="C501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C515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Brazil small ~$20m
Rest Latam: Peru, Chile, Argentina, Colombia
</t>
        </r>
      </text>
    </comment>
    <comment ref="S52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Chose to exit low margin CSDW segment in Mexico</t>
        </r>
      </text>
    </comment>
    <comment ref="AC60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Underlying (excludes Flexibles restructuring charge of US$27.4m pre tax)</t>
        </r>
      </text>
    </comment>
    <comment ref="AF666" authorId="2">
      <text>
        <r>
          <rPr>
            <b/>
            <sz val="9"/>
            <color indexed="81"/>
            <rFont val="Tahoma"/>
            <family val="2"/>
          </rPr>
          <t>Niraj Shah:</t>
        </r>
        <r>
          <rPr>
            <sz val="9"/>
            <color indexed="81"/>
            <rFont val="Tahoma"/>
            <family val="2"/>
          </rPr>
          <t xml:space="preserve">
Phillippines</t>
        </r>
      </text>
    </comment>
    <comment ref="AF67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Includes US$20 raw materials drag</t>
        </r>
      </text>
    </comment>
    <comment ref="C679" authorId="2">
      <text>
        <r>
          <rPr>
            <b/>
            <sz val="9"/>
            <color indexed="81"/>
            <rFont val="Tahoma"/>
            <family val="2"/>
          </rPr>
          <t>Niraj Shah:</t>
        </r>
        <r>
          <rPr>
            <sz val="9"/>
            <color indexed="81"/>
            <rFont val="Tahoma"/>
            <family val="2"/>
          </rPr>
          <t xml:space="preserve">
Formula = organic growth less organic growth ex price i.e. price drops through to EBIT</t>
        </r>
      </text>
    </comment>
    <comment ref="AF680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guidance for 1H18 EUR15-20m impact</t>
        </r>
      </text>
    </comment>
    <comment ref="AG680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guidance for 1H18 EUR15-20m impact</t>
        </r>
      </text>
    </comment>
    <comment ref="AG681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Assume some unwind in 2H</t>
        </r>
      </text>
    </comment>
    <comment ref="AF682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AMC: achieved US$25m of restructuring in 1H18</t>
        </r>
      </text>
    </comment>
    <comment ref="AH682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$30-35m benefits in FY18
</t>
        </r>
      </text>
    </comment>
    <comment ref="AK682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$10m benefit in FY19</t>
        </r>
      </text>
    </comment>
    <comment ref="AF684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1H18 result comments implies Alusa was a ~US$5m drag</t>
        </r>
      </text>
    </comment>
    <comment ref="AG685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US$5-10m additional restructuring costs</t>
        </r>
      </text>
    </comment>
    <comment ref="AE695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comments: Spend on last 4 greenfield projects has been &lt;$20m each</t>
        </r>
      </text>
    </comment>
    <comment ref="AE703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comments: Spend on last 4 greenfield projects has been &lt;$20m each</t>
        </r>
      </text>
    </comment>
    <comment ref="E714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~14% of Alcan Tobacco cartons</t>
        </r>
      </text>
    </comment>
    <comment ref="AE725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January 2017</t>
        </r>
      </text>
    </comment>
    <comment ref="AE72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January 2017</t>
        </r>
      </text>
    </comment>
    <comment ref="AE728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January 2017</t>
        </r>
      </text>
    </comment>
    <comment ref="AB735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have said inclusive of synergies the acquisition will generate strong returns within 3 years</t>
        </r>
      </text>
    </comment>
    <comment ref="AE74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June 2016</t>
        </r>
      </text>
    </comment>
    <comment ref="AE748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June 2016</t>
        </r>
      </text>
    </comment>
    <comment ref="AF751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comments imply that Alusa was ~US$5m drag to 1H18 EBIT</t>
        </r>
      </text>
    </comment>
    <comment ref="AH751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Expect $10-15m synergies in FY18</t>
        </r>
      </text>
    </comment>
    <comment ref="AD752" authorId="1">
      <text>
        <r>
          <rPr>
            <b/>
            <sz val="9"/>
            <color indexed="81"/>
            <rFont val="Tahoma"/>
            <family val="2"/>
          </rPr>
          <t xml:space="preserve">Lee, Vivienne (Research): </t>
        </r>
        <r>
          <rPr>
            <sz val="9"/>
            <color indexed="81"/>
            <rFont val="Tahoma"/>
            <family val="2"/>
          </rPr>
          <t>AMC 1H17 - Synergies in 2H and FY expected to be marignally positive
integration costs</t>
        </r>
      </text>
    </comment>
    <comment ref="AH752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expect US$10-15m synergies in FY18 net of integration costs</t>
        </r>
      </text>
    </comment>
    <comment ref="AE754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Contribution from Alusa was $32m net of integration costs</t>
        </r>
      </text>
    </comment>
    <comment ref="AB765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June 2016</t>
        </r>
      </text>
    </comment>
    <comment ref="AB76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June 2016</t>
        </r>
      </text>
    </comment>
    <comment ref="AE772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expect US$10-15m synergies in FY18 net of integration costs</t>
        </r>
      </text>
    </comment>
    <comment ref="AB785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June 2016</t>
        </r>
      </text>
    </comment>
    <comment ref="E110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A$200-250m synergies</t>
        </r>
      </text>
    </comment>
    <comment ref="AF119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Total organic down 7.4% - preform and coldfill -3% and hotfill -14%</t>
        </r>
      </text>
    </comment>
    <comment ref="C1200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Historicals estimated based on growth rates AMC have provided for beverage volumes. AMC comment: ~60% CSDW vol of total Nth Am beverage</t>
        </r>
      </text>
    </comment>
    <comment ref="AC1205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Excl Bericap</t>
        </r>
      </text>
    </comment>
    <comment ref="AE1205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Incl Bericap</t>
        </r>
      </text>
    </comment>
    <comment ref="AC120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Excl Bericap</t>
        </r>
      </text>
    </comment>
    <comment ref="AE120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Incl Bericap</t>
        </r>
      </text>
    </comment>
    <comment ref="AC120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Excl Bericap</t>
        </r>
      </text>
    </comment>
    <comment ref="AE120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Incl Bericap</t>
        </r>
      </text>
    </comment>
    <comment ref="AE1208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Incl Bericap</t>
        </r>
      </text>
    </comment>
    <comment ref="S124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Increased volumes, improved manufacturing performance, new plant in Brazil</t>
        </r>
      </text>
    </comment>
    <comment ref="V124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Solid growth in Ecuador, Central America and Brazil. Up in Argentian, Significantly lower volumes in Mexico - Hurricanes and negative impact of sugar tax in 2H</t>
        </r>
      </text>
    </comment>
    <comment ref="Z124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Volume provided seemed to relate to all of Latin American Rigids</t>
        </r>
      </text>
    </comment>
    <comment ref="AB1246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Incl -19% for Venezuela</t>
        </r>
      </text>
    </comment>
    <comment ref="Z1289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Includes $3.1m bargain purchase for Souza Cruz - adjusted implies underlying margin of 13.9%</t>
        </r>
      </text>
    </comment>
    <comment ref="AC1289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Excludes earnings from Venezuela ($25m PBIT contribution)</t>
        </r>
      </text>
    </comment>
    <comment ref="AE1289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Excludes earnings from Venezuela ($40m PBIT contribution)</t>
        </r>
      </text>
    </comment>
    <comment ref="AF1300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AMC: Sonoco was +$10m benefit in 1H18. US$10m integration costs now expected in 2H to offset 2H $10m synergies</t>
        </r>
      </text>
    </comment>
    <comment ref="AE1362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~$12m contribution in FY17</t>
        </r>
      </text>
    </comment>
    <comment ref="AE1373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Nov 2016</t>
        </r>
      </text>
    </comment>
    <comment ref="AF1379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$10m Integration costs expected to be incurred in 1H18 will now fall in 2H18
Sonoco incremental EBIT of $10m (from additional 5 months contribution)</t>
        </r>
      </text>
    </comment>
    <comment ref="AG1379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AMC: $10m integration costs in 2H and $10m synergies in 2H</t>
        </r>
      </text>
    </comment>
    <comment ref="AE1382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~$12m contribution in FY17</t>
        </r>
      </text>
    </comment>
    <comment ref="W1393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CAD 35</t>
        </r>
      </text>
    </comment>
    <comment ref="W1403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have said inclusive of synergies the acquisition will generate strong returns within 3 years</t>
        </r>
      </text>
    </comment>
    <comment ref="W1410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Mostly preforms</t>
        </r>
      </text>
    </comment>
    <comment ref="AB1414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May 2016</t>
        </r>
      </text>
    </comment>
    <comment ref="AB1415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May 2016</t>
        </r>
      </text>
    </comment>
    <comment ref="AB141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Completed May 2016</t>
        </r>
      </text>
    </comment>
    <comment ref="G1431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AMC release: 50% of earnings from CSDW and 50% from Diversified products and custom beverage - weighted towards diversified product. 
Reported custom volumes in FY11 imply ~15% uplift in vol due to Ball. Applying a ~15% uplift to revenue implies ~$100m yoy contribution in FY11</t>
        </r>
      </text>
    </comment>
    <comment ref="AB1467" authorId="3">
      <text>
        <r>
          <rPr>
            <b/>
            <sz val="9"/>
            <color indexed="81"/>
            <rFont val="Tahoma"/>
            <family val="2"/>
          </rPr>
          <t>Robison, Nicholas (Research):</t>
        </r>
        <r>
          <rPr>
            <sz val="9"/>
            <color indexed="81"/>
            <rFont val="Tahoma"/>
            <family val="2"/>
          </rPr>
          <t xml:space="preserve">
guidance US$75-80m</t>
        </r>
      </text>
    </comment>
    <comment ref="AC146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Corporate costs include a one-off benefit related to pension plans (US$18.1m)</t>
        </r>
      </text>
    </comment>
    <comment ref="AE146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Was $72m, guidance $70-80m</t>
        </r>
      </text>
    </comment>
    <comment ref="AH1467" authorId="1">
      <text>
        <r>
          <rPr>
            <b/>
            <sz val="9"/>
            <color indexed="81"/>
            <rFont val="Tahoma"/>
            <family val="2"/>
          </rPr>
          <t>Lee, Vivienne (Research):</t>
        </r>
        <r>
          <rPr>
            <sz val="9"/>
            <color indexed="81"/>
            <rFont val="Tahoma"/>
            <family val="2"/>
          </rPr>
          <t xml:space="preserve">
Guidance for $75-85m</t>
        </r>
      </text>
    </comment>
  </commentList>
</comments>
</file>

<file path=xl/sharedStrings.xml><?xml version="1.0" encoding="utf-8"?>
<sst xmlns="http://schemas.openxmlformats.org/spreadsheetml/2006/main" count="3460" uniqueCount="1150">
  <si>
    <t>Unit</t>
  </si>
  <si>
    <t>1H13a</t>
  </si>
  <si>
    <t>2H13a</t>
  </si>
  <si>
    <t>FY13a</t>
  </si>
  <si>
    <t>1H14a</t>
  </si>
  <si>
    <t>2H14a</t>
  </si>
  <si>
    <t>FY14a</t>
  </si>
  <si>
    <t>1H15a</t>
  </si>
  <si>
    <t>2H15a</t>
  </si>
  <si>
    <t>FY15a</t>
  </si>
  <si>
    <t>1H16a</t>
  </si>
  <si>
    <t>2H16a</t>
  </si>
  <si>
    <t>FY16a</t>
  </si>
  <si>
    <t>1H17a</t>
  </si>
  <si>
    <t>2H18e</t>
  </si>
  <si>
    <t>FY18e</t>
  </si>
  <si>
    <t>1H19e</t>
  </si>
  <si>
    <t>2H19e</t>
  </si>
  <si>
    <t>FY19e</t>
  </si>
  <si>
    <t>1H20e</t>
  </si>
  <si>
    <t>2H20e</t>
  </si>
  <si>
    <t>FY20e</t>
  </si>
  <si>
    <t>1H21e</t>
  </si>
  <si>
    <t>2H21e</t>
  </si>
  <si>
    <t>FY21e</t>
  </si>
  <si>
    <t>1H22e</t>
  </si>
  <si>
    <t>2H22e</t>
  </si>
  <si>
    <t>FY22e</t>
  </si>
  <si>
    <t>1H23e</t>
  </si>
  <si>
    <t>2H23e</t>
  </si>
  <si>
    <t>FY23e</t>
  </si>
  <si>
    <t>1H24e</t>
  </si>
  <si>
    <t>2H24e</t>
  </si>
  <si>
    <t>FY24e</t>
  </si>
  <si>
    <t>1H25e</t>
  </si>
  <si>
    <t>2H25e</t>
  </si>
  <si>
    <t>FY25e</t>
  </si>
  <si>
    <t>1H26e</t>
  </si>
  <si>
    <t>2H26e</t>
  </si>
  <si>
    <t>FY26e</t>
  </si>
  <si>
    <t>1H27e</t>
  </si>
  <si>
    <t>2H27e</t>
  </si>
  <si>
    <t>FY27e</t>
  </si>
  <si>
    <t>1H28e</t>
  </si>
  <si>
    <t>2H28e</t>
  </si>
  <si>
    <t>FY28e</t>
  </si>
  <si>
    <t>1H29e</t>
  </si>
  <si>
    <t>2H29e</t>
  </si>
  <si>
    <t>FY29e</t>
  </si>
  <si>
    <t>1H30e</t>
  </si>
  <si>
    <t>2H30e</t>
  </si>
  <si>
    <t>FY30e</t>
  </si>
  <si>
    <t>-</t>
  </si>
  <si>
    <t>FLEXIBLES</t>
  </si>
  <si>
    <t>RIGIDS</t>
  </si>
  <si>
    <t>Revenue</t>
  </si>
  <si>
    <t>EBITDA</t>
  </si>
  <si>
    <t>EBIT</t>
  </si>
  <si>
    <t>US$m</t>
  </si>
  <si>
    <t>North America</t>
  </si>
  <si>
    <t>CSDW</t>
  </si>
  <si>
    <t>Custom Beverage</t>
  </si>
  <si>
    <t>Diversified Products</t>
  </si>
  <si>
    <t>Revenue by product</t>
  </si>
  <si>
    <t>Revenue by product (% breakdown)</t>
  </si>
  <si>
    <t>D&amp;A</t>
  </si>
  <si>
    <t>%</t>
  </si>
  <si>
    <t>FY17a</t>
  </si>
  <si>
    <t>2H17a</t>
  </si>
  <si>
    <t>Bericap</t>
  </si>
  <si>
    <t>Total Revenue - Excl Bericap</t>
  </si>
  <si>
    <t>Sonoco</t>
  </si>
  <si>
    <t>Purchase price</t>
  </si>
  <si>
    <t>EBITDA Margin</t>
  </si>
  <si>
    <t>EBIT Margin</t>
  </si>
  <si>
    <t>ROIC</t>
  </si>
  <si>
    <t>EBITDA multiple</t>
  </si>
  <si>
    <t>x</t>
  </si>
  <si>
    <t>EBIT - Pre synergies</t>
  </si>
  <si>
    <t>EBIT - Yr 3 - Post synergies</t>
  </si>
  <si>
    <t>EMEA</t>
  </si>
  <si>
    <t>Americas</t>
  </si>
  <si>
    <t>Tobacco</t>
  </si>
  <si>
    <t>Asia Pacific</t>
  </si>
  <si>
    <t>Eliminations</t>
  </si>
  <si>
    <t>EURm</t>
  </si>
  <si>
    <t>Significant items</t>
  </si>
  <si>
    <t>Alusa</t>
  </si>
  <si>
    <t>Qite</t>
  </si>
  <si>
    <t>Cumulative synergies</t>
  </si>
  <si>
    <t>Incremental synergies</t>
  </si>
  <si>
    <t>Plastic Moulders</t>
  </si>
  <si>
    <t>Price</t>
  </si>
  <si>
    <t>Latin America</t>
  </si>
  <si>
    <t>Latin America - volumes (all)</t>
  </si>
  <si>
    <t>Margin</t>
  </si>
  <si>
    <t>Other</t>
  </si>
  <si>
    <t>Franking</t>
  </si>
  <si>
    <t>Volume</t>
  </si>
  <si>
    <t>Revenue growth</t>
  </si>
  <si>
    <t>Specialty containers</t>
  </si>
  <si>
    <t>Income statement</t>
  </si>
  <si>
    <t>A$m</t>
  </si>
  <si>
    <t>Income from Associates incl. above</t>
  </si>
  <si>
    <t>Net borrowing cost</t>
  </si>
  <si>
    <t>Profit before tax</t>
  </si>
  <si>
    <t>Underlying tax expense</t>
  </si>
  <si>
    <t>NCI</t>
  </si>
  <si>
    <t>Underlying NPAT</t>
  </si>
  <si>
    <t>IMIs after tax</t>
  </si>
  <si>
    <t>Statutory NPAT</t>
  </si>
  <si>
    <t>P&amp;L, CF &amp; BS</t>
  </si>
  <si>
    <t>Balance sheet</t>
  </si>
  <si>
    <t xml:space="preserve">Cash </t>
  </si>
  <si>
    <t>Trade &amp; other receivables</t>
  </si>
  <si>
    <t>Inventories</t>
  </si>
  <si>
    <t>Total Current Assets</t>
  </si>
  <si>
    <t>Equity Accounted Investments</t>
  </si>
  <si>
    <t>Other financial assets</t>
  </si>
  <si>
    <t>PPE</t>
  </si>
  <si>
    <t>Deferred tax assets</t>
  </si>
  <si>
    <t>Intangible assets</t>
  </si>
  <si>
    <t>Retirement benefits</t>
  </si>
  <si>
    <t>Total Non-current Assets</t>
  </si>
  <si>
    <t>Total Assets</t>
  </si>
  <si>
    <t>Trade and other payables</t>
  </si>
  <si>
    <t>Interest bearing loans &amp; borrowings</t>
  </si>
  <si>
    <t>Current tax liabilities</t>
  </si>
  <si>
    <t>Provisions</t>
  </si>
  <si>
    <t>Total Current Liabilities</t>
  </si>
  <si>
    <t>Other financial liabilities</t>
  </si>
  <si>
    <t>Deferred tax</t>
  </si>
  <si>
    <t>Retirement benefit obligations</t>
  </si>
  <si>
    <t>Other non-current liabilities</t>
  </si>
  <si>
    <t>Total Non-current Liabilities</t>
  </si>
  <si>
    <t>Total Liabilities</t>
  </si>
  <si>
    <t>Net assets</t>
  </si>
  <si>
    <t>Contributed equity</t>
  </si>
  <si>
    <t>Reserves</t>
  </si>
  <si>
    <t>Retained profits</t>
  </si>
  <si>
    <t>Total Equity attributed to co. holders</t>
  </si>
  <si>
    <t>Non-controlling interest</t>
  </si>
  <si>
    <t>Cash flow statement</t>
  </si>
  <si>
    <t>Group EBITDA</t>
  </si>
  <si>
    <t>Net interest paid</t>
  </si>
  <si>
    <t>Net income tax paid</t>
  </si>
  <si>
    <t>WC movement</t>
  </si>
  <si>
    <t>Profit from associates</t>
  </si>
  <si>
    <t xml:space="preserve">Dividends received </t>
  </si>
  <si>
    <t>Movement in provisions</t>
  </si>
  <si>
    <t>Net cash flow from Operating activities</t>
  </si>
  <si>
    <t>Other current assets</t>
  </si>
  <si>
    <t>DRIVERS</t>
  </si>
  <si>
    <t>Current model scenario</t>
  </si>
  <si>
    <t>Base</t>
  </si>
  <si>
    <t>Bull</t>
  </si>
  <si>
    <t>Bear</t>
  </si>
  <si>
    <t>MODEL DRIVERS (MODEL LINKED HERE)</t>
  </si>
  <si>
    <t>Ratios - At last close</t>
  </si>
  <si>
    <t>PE</t>
  </si>
  <si>
    <t>EPS</t>
  </si>
  <si>
    <t>A$/share</t>
  </si>
  <si>
    <t>Market cap</t>
  </si>
  <si>
    <t>Net debt</t>
  </si>
  <si>
    <t>EV</t>
  </si>
  <si>
    <t>EV/EBIT</t>
  </si>
  <si>
    <t>EBIT - LTM</t>
  </si>
  <si>
    <t>EV/EBITDA</t>
  </si>
  <si>
    <t>EBITDA - LTM</t>
  </si>
  <si>
    <t>Dividend yield</t>
  </si>
  <si>
    <t>DPS</t>
  </si>
  <si>
    <t>FCF yield</t>
  </si>
  <si>
    <t>Free cash flow</t>
  </si>
  <si>
    <t>Ratios - At MS PT</t>
  </si>
  <si>
    <t>PER SHARE / RATIOS / ANALYSIS</t>
  </si>
  <si>
    <t>Per share</t>
  </si>
  <si>
    <t>EPS - Underlying</t>
  </si>
  <si>
    <t>EPS - Statutory</t>
  </si>
  <si>
    <t>DPS - Total</t>
  </si>
  <si>
    <t>Payout ratio</t>
  </si>
  <si>
    <t>Shares on issue</t>
  </si>
  <si>
    <t>no.</t>
  </si>
  <si>
    <t>Dividend provided</t>
  </si>
  <si>
    <t>Dividend paid</t>
  </si>
  <si>
    <t>BV per share</t>
  </si>
  <si>
    <t>Book value</t>
  </si>
  <si>
    <t>Shares used in denominator</t>
  </si>
  <si>
    <t>NTA per share</t>
  </si>
  <si>
    <t>Net tangible assets</t>
  </si>
  <si>
    <t>Cashflow</t>
  </si>
  <si>
    <t>Capex</t>
  </si>
  <si>
    <t>Balance sheet debt</t>
  </si>
  <si>
    <t>ST Debt</t>
  </si>
  <si>
    <t>LT Debt</t>
  </si>
  <si>
    <t>Cash</t>
  </si>
  <si>
    <t>Total Debt</t>
  </si>
  <si>
    <t>Opening</t>
  </si>
  <si>
    <t>Closing</t>
  </si>
  <si>
    <t>Change</t>
  </si>
  <si>
    <t>Opening balance</t>
  </si>
  <si>
    <t>Disposals</t>
  </si>
  <si>
    <t>Net capex</t>
  </si>
  <si>
    <t>Closing balance</t>
  </si>
  <si>
    <t>Balance Sheet &amp; Working capital</t>
  </si>
  <si>
    <t>Current Ratio</t>
  </si>
  <si>
    <t>Quick Ratio</t>
  </si>
  <si>
    <t>Days debtors</t>
  </si>
  <si>
    <t>Days creditors</t>
  </si>
  <si>
    <t>Working capital movement</t>
  </si>
  <si>
    <t>Current Trade receivables</t>
  </si>
  <si>
    <t>Current Trade Payables</t>
  </si>
  <si>
    <t>Current Trade Receivables - (Increase) / Decrease</t>
  </si>
  <si>
    <t>Inventories - (Increase) / Decrease</t>
  </si>
  <si>
    <t>Current Trade Payables - Increase / (Decrease)</t>
  </si>
  <si>
    <t>Net working capital movement</t>
  </si>
  <si>
    <t xml:space="preserve">Net working capital </t>
  </si>
  <si>
    <t>Net WC / Sales</t>
  </si>
  <si>
    <t>Shares &amp; Dividends</t>
  </si>
  <si>
    <t>Repurchase of stock</t>
  </si>
  <si>
    <t>Share price</t>
  </si>
  <si>
    <t>Shares bought back</t>
  </si>
  <si>
    <t>Shares Outstanding</t>
  </si>
  <si>
    <t>Opening Number</t>
  </si>
  <si>
    <t>Issues/Buybacks</t>
  </si>
  <si>
    <t>Closing Number</t>
  </si>
  <si>
    <t>Weighted ave shares - basic</t>
  </si>
  <si>
    <t>Weighted ave shares - diluted</t>
  </si>
  <si>
    <t>P&amp;L</t>
  </si>
  <si>
    <t>Net interest calculation</t>
  </si>
  <si>
    <t>Income rate on cash</t>
  </si>
  <si>
    <t>Rate on debt</t>
  </si>
  <si>
    <t>Interest income</t>
  </si>
  <si>
    <t>Effective tax rate</t>
  </si>
  <si>
    <t>Non-cash</t>
  </si>
  <si>
    <t>Pre-tax ISIs</t>
  </si>
  <si>
    <t>Tax impact on ISIs</t>
  </si>
  <si>
    <t>Net ISIs</t>
  </si>
  <si>
    <t>% of sales</t>
  </si>
  <si>
    <t>no. (m)</t>
  </si>
  <si>
    <t>US$/share</t>
  </si>
  <si>
    <t>Returns</t>
  </si>
  <si>
    <t>EBITDA/Sales</t>
  </si>
  <si>
    <t>EBIT/Sales</t>
  </si>
  <si>
    <t>NPAT/Sales</t>
  </si>
  <si>
    <t>EPS growth</t>
  </si>
  <si>
    <t>ROE</t>
  </si>
  <si>
    <t>ROA</t>
  </si>
  <si>
    <t>RONA</t>
  </si>
  <si>
    <t>Dupont build-up</t>
  </si>
  <si>
    <t>Tax Burden: Net Income / PBT</t>
  </si>
  <si>
    <t>Interest Burden: PBT / EBIT</t>
  </si>
  <si>
    <t>Asset Turnover</t>
  </si>
  <si>
    <t>Gearing</t>
  </si>
  <si>
    <t>Asset replacement ratio</t>
  </si>
  <si>
    <t>Capex / Sales</t>
  </si>
  <si>
    <t>Cash conversion</t>
  </si>
  <si>
    <t>Net debt / net debt + equity</t>
  </si>
  <si>
    <t>Net Debt / Equity</t>
  </si>
  <si>
    <t>ND/EBITDA</t>
  </si>
  <si>
    <t>EBITDA/Interest</t>
  </si>
  <si>
    <t>EBIT/Interest</t>
  </si>
  <si>
    <t>Free cash flow - AMC definition</t>
  </si>
  <si>
    <t>Deal completion</t>
  </si>
  <si>
    <t>EV/EBITDA multiple - implied</t>
  </si>
  <si>
    <t>Synergies as % of sales</t>
  </si>
  <si>
    <t>ROFE</t>
  </si>
  <si>
    <t>Region</t>
  </si>
  <si>
    <t>Incremental Sales</t>
  </si>
  <si>
    <t>Incremental D&amp;A</t>
  </si>
  <si>
    <t>Incremental EBIT</t>
  </si>
  <si>
    <t>EURUSD</t>
  </si>
  <si>
    <t>Total beverages vol</t>
  </si>
  <si>
    <t>Resin pass through</t>
  </si>
  <si>
    <t>Restructuring</t>
  </si>
  <si>
    <t xml:space="preserve">Acquired EBIT </t>
  </si>
  <si>
    <t>Other / Mix / Leverage</t>
  </si>
  <si>
    <t xml:space="preserve">D&amp;A </t>
  </si>
  <si>
    <t>Total incremental EBIT impact</t>
  </si>
  <si>
    <t>Growth</t>
  </si>
  <si>
    <t>SUMMARY</t>
  </si>
  <si>
    <t>FX</t>
  </si>
  <si>
    <t>FX (vs USD)</t>
  </si>
  <si>
    <t>Underlying price growth</t>
  </si>
  <si>
    <t>m</t>
  </si>
  <si>
    <t>Container volumes</t>
  </si>
  <si>
    <t>Total</t>
  </si>
  <si>
    <t>Organic revenue growth</t>
  </si>
  <si>
    <t>Total Flexibles Revenue</t>
  </si>
  <si>
    <t>Western Europe</t>
  </si>
  <si>
    <t>China</t>
  </si>
  <si>
    <t>Australia</t>
  </si>
  <si>
    <t>Flexibles GDP (Mkt Growth)</t>
  </si>
  <si>
    <t>DM</t>
  </si>
  <si>
    <t>EM</t>
  </si>
  <si>
    <t>Tobacco (vol)</t>
  </si>
  <si>
    <t>FX movement vs EUR</t>
  </si>
  <si>
    <t>AFE</t>
  </si>
  <si>
    <t>Operating cash flow</t>
  </si>
  <si>
    <t>Receivables</t>
  </si>
  <si>
    <t>Inventory</t>
  </si>
  <si>
    <t>Payables</t>
  </si>
  <si>
    <t>Working capital</t>
  </si>
  <si>
    <t>AMVIG</t>
  </si>
  <si>
    <t>Corporate costs</t>
  </si>
  <si>
    <t>OTHER / INVESTMENT</t>
  </si>
  <si>
    <t>DIVISIONAL SUMMARY</t>
  </si>
  <si>
    <t>Flexibles</t>
  </si>
  <si>
    <t>Rigids</t>
  </si>
  <si>
    <t>Other / Investment</t>
  </si>
  <si>
    <t>D&amp;A - Corporate</t>
  </si>
  <si>
    <t>Payments for purchases of businesses</t>
  </si>
  <si>
    <t>Proceeds from sales of PP&amp;E</t>
  </si>
  <si>
    <t>Proceeds from sale of investments</t>
  </si>
  <si>
    <t>Net cash flow from investing activities</t>
  </si>
  <si>
    <t>Free cashflow</t>
  </si>
  <si>
    <t>Proceeds from Lterm borrowings</t>
  </si>
  <si>
    <t>Repayment of Lterm borrowings</t>
  </si>
  <si>
    <t>Net borrowings</t>
  </si>
  <si>
    <t>Net cash flow from financing activities</t>
  </si>
  <si>
    <t>Net (decrease)/increase in cash &amp; equivalents</t>
  </si>
  <si>
    <t>Cash &amp; cash equivalents at period beginning</t>
  </si>
  <si>
    <t>Effect of FX on cash &amp; Equivalents</t>
  </si>
  <si>
    <t>Other adjustment for bank overdraft</t>
  </si>
  <si>
    <t>Cash &amp; equivalents at period end</t>
  </si>
  <si>
    <t>Dividends paid</t>
  </si>
  <si>
    <t>Interest expense</t>
  </si>
  <si>
    <t>Net interest (P&amp;L) - Calc</t>
  </si>
  <si>
    <t>Net interest (P&amp;L) - Hardcode</t>
  </si>
  <si>
    <t>Restructuring costs</t>
  </si>
  <si>
    <t>Elimination of Venezuela exposure</t>
  </si>
  <si>
    <t>Payments for PP&amp;E and intangibles</t>
  </si>
  <si>
    <t>Loans to assoicated companies</t>
  </si>
  <si>
    <t>Elimination of Venezuela exposure (cash impact)</t>
  </si>
  <si>
    <t>Investments / Other</t>
  </si>
  <si>
    <t>Total Capex</t>
  </si>
  <si>
    <t>Share purchase on-market and settlement of forward contracts</t>
  </si>
  <si>
    <t>Payments for Treasury shares</t>
  </si>
  <si>
    <t>Proceeds from buyback / issues</t>
  </si>
  <si>
    <t>NCI / Other</t>
  </si>
  <si>
    <t>Free cashflow - AMC definition</t>
  </si>
  <si>
    <t>AUDUSD</t>
  </si>
  <si>
    <t>Encon</t>
  </si>
  <si>
    <t>BPI</t>
  </si>
  <si>
    <t>Deluxe</t>
  </si>
  <si>
    <t>Niraj Shah - niraj.shah@morganstanley.com - +61 2 97701671 / Vivienne Lee - vivienne.lee@morganstanley.com - +61 2 97709215</t>
  </si>
  <si>
    <t>FY16A</t>
  </si>
  <si>
    <t>FY17A</t>
  </si>
  <si>
    <t>FY18E</t>
  </si>
  <si>
    <t>FY19E</t>
  </si>
  <si>
    <t>FY20E</t>
  </si>
  <si>
    <t>FY21E</t>
  </si>
  <si>
    <t>FY22E</t>
  </si>
  <si>
    <t>FY23E</t>
  </si>
  <si>
    <t>FY24E</t>
  </si>
  <si>
    <t>A$ per share</t>
  </si>
  <si>
    <t>Current share price</t>
  </si>
  <si>
    <t>Price target</t>
  </si>
  <si>
    <t>Implied upside to Price Target</t>
  </si>
  <si>
    <t>Projected return (including dividend)</t>
  </si>
  <si>
    <t>Shares on issues (m)</t>
  </si>
  <si>
    <t>Net interest</t>
  </si>
  <si>
    <t xml:space="preserve">Valuation </t>
  </si>
  <si>
    <t>PBT</t>
  </si>
  <si>
    <t>Tax</t>
  </si>
  <si>
    <t>DCF</t>
  </si>
  <si>
    <t>PE Rel</t>
  </si>
  <si>
    <t>Net profit - Underlying</t>
  </si>
  <si>
    <t>Price Target</t>
  </si>
  <si>
    <t>Net Abnormals</t>
  </si>
  <si>
    <t>Net profit - Statutory</t>
  </si>
  <si>
    <t>Upside (downside) to current</t>
  </si>
  <si>
    <t>Div yield</t>
  </si>
  <si>
    <t>Total return</t>
  </si>
  <si>
    <t>Cash flow</t>
  </si>
  <si>
    <t>Multiples</t>
  </si>
  <si>
    <t>- net interest paid</t>
  </si>
  <si>
    <t>P/E</t>
  </si>
  <si>
    <t>- tax paid</t>
  </si>
  <si>
    <t>(Incr)/decr in working capital</t>
  </si>
  <si>
    <t>- associate income</t>
  </si>
  <si>
    <t>+ associate dividends</t>
  </si>
  <si>
    <t>movement in provisions</t>
  </si>
  <si>
    <t>Payments for PP&amp;E &amp; intangibles</t>
  </si>
  <si>
    <t>Purchase of businesses / investments</t>
  </si>
  <si>
    <t>Return metrics &amp; Ratios</t>
  </si>
  <si>
    <t>Investing cash flow</t>
  </si>
  <si>
    <t xml:space="preserve">ROE </t>
  </si>
  <si>
    <t>Buyback / share issues</t>
  </si>
  <si>
    <t>Capex / sales</t>
  </si>
  <si>
    <t>Asset turn</t>
  </si>
  <si>
    <t>Financing cash flow</t>
  </si>
  <si>
    <t>Working capital / sales</t>
  </si>
  <si>
    <t>Net change in cash</t>
  </si>
  <si>
    <t>EBIT / Net Interest</t>
  </si>
  <si>
    <t>Divisional summary</t>
  </si>
  <si>
    <t>PP&amp;E</t>
  </si>
  <si>
    <t>Equity accounted investments</t>
  </si>
  <si>
    <t>Other non-current assets</t>
  </si>
  <si>
    <t>Group EBIT</t>
  </si>
  <si>
    <t>Trade &amp; other payables</t>
  </si>
  <si>
    <t>Assumptions</t>
  </si>
  <si>
    <t>Interest bearing liabilities</t>
  </si>
  <si>
    <t>Other current liabilities</t>
  </si>
  <si>
    <t>Issued capital</t>
  </si>
  <si>
    <t>Retained earnings</t>
  </si>
  <si>
    <t xml:space="preserve">Total equity </t>
  </si>
  <si>
    <t>FY25E</t>
  </si>
  <si>
    <t>AMCOR</t>
  </si>
  <si>
    <t>EUR:USD</t>
  </si>
  <si>
    <t>Volume growth</t>
  </si>
  <si>
    <t>Now</t>
  </si>
  <si>
    <t>Last close</t>
  </si>
  <si>
    <t>AMC Market Cap (A$m)</t>
  </si>
  <si>
    <t>c</t>
  </si>
  <si>
    <t>DRIVERS USED FOR SENSITIVITY ANALYSIS - BASE</t>
  </si>
  <si>
    <t>DRIVERS USED FOR SENSITIVITY ANALYSIS - BULL</t>
  </si>
  <si>
    <t>DRIVERS USED FOR SENSITIVITY ANALYSIS - BEAR</t>
  </si>
  <si>
    <t>Implied EV/EBITDA</t>
  </si>
  <si>
    <t>Implied EV/EBIT</t>
  </si>
  <si>
    <t>Implied P/E</t>
  </si>
  <si>
    <t>Weight</t>
  </si>
  <si>
    <t>Valuation</t>
  </si>
  <si>
    <t>FY18</t>
  </si>
  <si>
    <t>FY19</t>
  </si>
  <si>
    <t>FY20</t>
  </si>
  <si>
    <t>FY21</t>
  </si>
  <si>
    <t>vs published TP</t>
  </si>
  <si>
    <t>vs current share px</t>
  </si>
  <si>
    <t>Current</t>
  </si>
  <si>
    <t>Previous</t>
  </si>
  <si>
    <t>Scenarios</t>
  </si>
  <si>
    <t>Bull case</t>
  </si>
  <si>
    <t>Base case</t>
  </si>
  <si>
    <t>Bear case</t>
  </si>
  <si>
    <t>Inputs</t>
  </si>
  <si>
    <t>External (YEJ)</t>
  </si>
  <si>
    <t>FY17e</t>
  </si>
  <si>
    <t>Indus ex Financials</t>
  </si>
  <si>
    <t>Indus ex Financials (HC)</t>
  </si>
  <si>
    <t>Output</t>
  </si>
  <si>
    <t>PE Relative valuation</t>
  </si>
  <si>
    <t>Industrials ex Financials</t>
  </si>
  <si>
    <t>Premium (discount)</t>
  </si>
  <si>
    <t>Applied multiple</t>
  </si>
  <si>
    <t>PER valuation</t>
  </si>
  <si>
    <t>Last reported</t>
  </si>
  <si>
    <t>Adjustments</t>
  </si>
  <si>
    <t>Minorities</t>
  </si>
  <si>
    <t>Applied Net Debt</t>
  </si>
  <si>
    <t>Applied Shares</t>
  </si>
  <si>
    <t>External</t>
  </si>
  <si>
    <t>Peer EV/EBIT multiples</t>
  </si>
  <si>
    <t>Peer EV/EBIT multiples (HC)</t>
  </si>
  <si>
    <t>Premium /(Discount)</t>
  </si>
  <si>
    <t>Multiple</t>
  </si>
  <si>
    <t>Value</t>
  </si>
  <si>
    <t>Total Enterprise Value</t>
  </si>
  <si>
    <t>Net Debt</t>
  </si>
  <si>
    <t>Equity Value</t>
  </si>
  <si>
    <t>Assumptions/Inputs</t>
  </si>
  <si>
    <t>Risk Free Rate</t>
  </si>
  <si>
    <t>Market Risk Premium</t>
  </si>
  <si>
    <t>Equity beta</t>
  </si>
  <si>
    <t>Cost of equity</t>
  </si>
  <si>
    <t>Tax rate</t>
  </si>
  <si>
    <t>Debt premium</t>
  </si>
  <si>
    <t>Cost of Debt</t>
  </si>
  <si>
    <t>After tax cost of debt</t>
  </si>
  <si>
    <t>Target gearing (ND:ND+E)</t>
  </si>
  <si>
    <t>WACC</t>
  </si>
  <si>
    <t>Terminal growth</t>
  </si>
  <si>
    <t>Current date</t>
  </si>
  <si>
    <t>Date</t>
  </si>
  <si>
    <t>Period</t>
  </si>
  <si>
    <t>Terminal</t>
  </si>
  <si>
    <t>Add: D&amp;A</t>
  </si>
  <si>
    <t>Less: Tax paid</t>
  </si>
  <si>
    <t>Gross Cash flow</t>
  </si>
  <si>
    <t>Chg. In working capital</t>
  </si>
  <si>
    <t>Gross investment</t>
  </si>
  <si>
    <t>Adjusted FCF</t>
  </si>
  <si>
    <t>Timing factor</t>
  </si>
  <si>
    <t>Discount factor</t>
  </si>
  <si>
    <t>Discounted FCF</t>
  </si>
  <si>
    <t>Terminal Value</t>
  </si>
  <si>
    <t>$m</t>
  </si>
  <si>
    <t>$/share</t>
  </si>
  <si>
    <t xml:space="preserve">Explicit cash flows </t>
  </si>
  <si>
    <t>Associates @ 10x FY1</t>
  </si>
  <si>
    <t>Enterprise Value</t>
  </si>
  <si>
    <t>Adjusted Net Debt</t>
  </si>
  <si>
    <t>AMC VALUATION</t>
  </si>
  <si>
    <t>Packaging peers</t>
  </si>
  <si>
    <t>Spot AUDUSD</t>
  </si>
  <si>
    <t>Total equity value (US$)</t>
  </si>
  <si>
    <t>Equity value (A$)</t>
  </si>
  <si>
    <r>
      <rPr>
        <b/>
        <sz val="7"/>
        <color theme="3"/>
        <rFont val="Arial"/>
        <family val="2"/>
      </rPr>
      <t>Niraj Shah</t>
    </r>
    <r>
      <rPr>
        <sz val="7"/>
        <color theme="3"/>
        <rFont val="Arial"/>
        <family val="2"/>
      </rPr>
      <t xml:space="preserve"> - niraj.shah@morganstanley.com - +61 2 97701671 / </t>
    </r>
    <r>
      <rPr>
        <b/>
        <sz val="7"/>
        <color theme="3"/>
        <rFont val="Arial"/>
        <family val="2"/>
      </rPr>
      <t>Vivienne Lee</t>
    </r>
    <r>
      <rPr>
        <sz val="7"/>
        <color theme="3"/>
        <rFont val="Arial"/>
        <family val="2"/>
      </rPr>
      <t xml:space="preserve"> - vivienne.lee@morganstanley.com - +61 2 97709215</t>
    </r>
  </si>
  <si>
    <t>AMCOR (AMC)</t>
  </si>
  <si>
    <t>1H09a</t>
  </si>
  <si>
    <t>2H09a</t>
  </si>
  <si>
    <t>FY09a</t>
  </si>
  <si>
    <t>1H10a</t>
  </si>
  <si>
    <t>2H10a</t>
  </si>
  <si>
    <t>FY10a</t>
  </si>
  <si>
    <t>1H11a</t>
  </si>
  <si>
    <t>2H11a</t>
  </si>
  <si>
    <t>FY11a</t>
  </si>
  <si>
    <t>1H12a</t>
  </si>
  <si>
    <t>2H12a</t>
  </si>
  <si>
    <t>FY12a</t>
  </si>
  <si>
    <t>CADEUR</t>
  </si>
  <si>
    <t>Alcan Packaging</t>
  </si>
  <si>
    <t>B-Pack Due</t>
  </si>
  <si>
    <t>Aperio</t>
  </si>
  <si>
    <t>AUDEUR</t>
  </si>
  <si>
    <t>Uniglobe</t>
  </si>
  <si>
    <t>Detmold Flexibles</t>
  </si>
  <si>
    <t>Asia-Pacific</t>
  </si>
  <si>
    <t>Bella Prima Packaging</t>
  </si>
  <si>
    <t>Techni-Chem</t>
  </si>
  <si>
    <t>Aluprint</t>
  </si>
  <si>
    <t>Alcan Medical</t>
  </si>
  <si>
    <t>Shorewood</t>
  </si>
  <si>
    <t>Packaging India Private Limited</t>
  </si>
  <si>
    <t>Jiangsu Shenda</t>
  </si>
  <si>
    <t>Zhongshan Tian Cai Packaging Company</t>
  </si>
  <si>
    <t>RMBm</t>
  </si>
  <si>
    <t>Nampak Flexibles</t>
  </si>
  <si>
    <t>Souza Cruz Tobacco Packaging</t>
  </si>
  <si>
    <t>ZARm</t>
  </si>
  <si>
    <t>BRLm</t>
  </si>
  <si>
    <t>ZAREUR</t>
  </si>
  <si>
    <t>BRLEUR</t>
  </si>
  <si>
    <t>Check</t>
  </si>
  <si>
    <t>Market - Vol</t>
  </si>
  <si>
    <t>Other (market)</t>
  </si>
  <si>
    <t>Weighted GDP</t>
  </si>
  <si>
    <t>S&amp;SE Asia (incl India)</t>
  </si>
  <si>
    <t>CEEMEA</t>
  </si>
  <si>
    <t>Hong Kong</t>
  </si>
  <si>
    <t>India</t>
  </si>
  <si>
    <t>RMBEUR</t>
  </si>
  <si>
    <t>EV/EBIT valuation</t>
  </si>
  <si>
    <t>Total Beverage</t>
  </si>
  <si>
    <t>Beverage volumes by product (% breakdown)</t>
  </si>
  <si>
    <t>Derivative Financial Liabilities</t>
  </si>
  <si>
    <t>Resin price movement</t>
  </si>
  <si>
    <t>Constant FX</t>
  </si>
  <si>
    <t>Total capex</t>
  </si>
  <si>
    <t>Maintenance capex</t>
  </si>
  <si>
    <t>Growth capex</t>
  </si>
  <si>
    <t>Growth capital</t>
  </si>
  <si>
    <t>Spend</t>
  </si>
  <si>
    <t>Return profile</t>
  </si>
  <si>
    <t>Texas plant</t>
  </si>
  <si>
    <t>Bericap plant</t>
  </si>
  <si>
    <t>Philippines</t>
  </si>
  <si>
    <t>Ball</t>
  </si>
  <si>
    <t>Total DM</t>
  </si>
  <si>
    <t>Total EM</t>
  </si>
  <si>
    <t>Balancing error</t>
  </si>
  <si>
    <t>EBIT margin</t>
  </si>
  <si>
    <t>Share buybacks</t>
  </si>
  <si>
    <t>Share issues</t>
  </si>
  <si>
    <t>P&amp;L, CF &amp; BS - DRIVERS</t>
  </si>
  <si>
    <t>Debt</t>
  </si>
  <si>
    <t>Total beverages</t>
  </si>
  <si>
    <t>Flexibles GDP</t>
  </si>
  <si>
    <t>DRIVERS USED FOR SENSITIVITY ANALYSIS - CC</t>
  </si>
  <si>
    <t>EBIT growth</t>
  </si>
  <si>
    <t>growth</t>
  </si>
  <si>
    <t>bps</t>
  </si>
  <si>
    <t>Key operational metrics</t>
  </si>
  <si>
    <t>Revenue / Earnings summary</t>
  </si>
  <si>
    <t>EM Organic</t>
  </si>
  <si>
    <t>DM Organic</t>
  </si>
  <si>
    <t>check</t>
  </si>
  <si>
    <t>Capex:Sales</t>
  </si>
  <si>
    <t>Capex:D&amp;A</t>
  </si>
  <si>
    <t>EMEA - incremental M&amp;A</t>
  </si>
  <si>
    <t>Americas - Incremental M&amp;A</t>
  </si>
  <si>
    <t>FLEXIBLES MODELLING</t>
  </si>
  <si>
    <t>Tobacco - incremental M&amp;A</t>
  </si>
  <si>
    <t>Asia Pacific - incremental M&amp;A</t>
  </si>
  <si>
    <t>Total revenue growth</t>
  </si>
  <si>
    <t>Incremental M&amp;A contribution</t>
  </si>
  <si>
    <t>Incremental profitability impacts:</t>
  </si>
  <si>
    <t>Incremental:</t>
  </si>
  <si>
    <t>Incremental growth capital contribution</t>
  </si>
  <si>
    <t>Specified projects:</t>
  </si>
  <si>
    <t>M&amp;A Contribution</t>
  </si>
  <si>
    <t>Total organic growth</t>
  </si>
  <si>
    <t>Total revenue</t>
  </si>
  <si>
    <t>APAC</t>
  </si>
  <si>
    <t>EBITDA ex synergies</t>
  </si>
  <si>
    <t>EBITDA pre synergies</t>
  </si>
  <si>
    <t>Return on growth capital</t>
  </si>
  <si>
    <t>Estimated exposures</t>
  </si>
  <si>
    <t>Organic growth</t>
  </si>
  <si>
    <t>EM (of EMEA)</t>
  </si>
  <si>
    <t>DM (of EMEA)</t>
  </si>
  <si>
    <t>EM (of Flexibles Americas)</t>
  </si>
  <si>
    <t>DM (of Flexibles Americas)</t>
  </si>
  <si>
    <t>EM (of Tobacco)</t>
  </si>
  <si>
    <t>DM (of Tobacco)</t>
  </si>
  <si>
    <t>EM (of Asia Pacific)</t>
  </si>
  <si>
    <t>DM (of Asia Pacific)</t>
  </si>
  <si>
    <t>EMEA (of total Flexibles)</t>
  </si>
  <si>
    <t>Americas (of total Flexibles)</t>
  </si>
  <si>
    <t>Tobacco (of total Flexibles)</t>
  </si>
  <si>
    <t>Asia Pacific (of total Flexibles)</t>
  </si>
  <si>
    <t>Total EM (of total Flexibles)</t>
  </si>
  <si>
    <t>Total DM (of total Flexibles)</t>
  </si>
  <si>
    <t>EMEA - organic growth</t>
  </si>
  <si>
    <t>Other/AMC specific</t>
  </si>
  <si>
    <t>EMEA  - Revenue</t>
  </si>
  <si>
    <t>Americas - organic growth</t>
  </si>
  <si>
    <t>Americas - Revenue</t>
  </si>
  <si>
    <t>Asia Pacific - organic growth</t>
  </si>
  <si>
    <t>DM - Underlying growth</t>
  </si>
  <si>
    <t>DM - Other</t>
  </si>
  <si>
    <t>EM  - Underlying growth</t>
  </si>
  <si>
    <t>EM - Other</t>
  </si>
  <si>
    <t>ANZ - other</t>
  </si>
  <si>
    <t>ANZ - GDP</t>
  </si>
  <si>
    <t>S&amp;SE Asia (incl India) - GDP</t>
  </si>
  <si>
    <t>S&amp;SE Asia (incl India) - other</t>
  </si>
  <si>
    <t>China - GDP</t>
  </si>
  <si>
    <t>China - other</t>
  </si>
  <si>
    <t>North America - GDP</t>
  </si>
  <si>
    <t>North America - other</t>
  </si>
  <si>
    <t>Latin America - GDP</t>
  </si>
  <si>
    <t>Latin America - other</t>
  </si>
  <si>
    <t>Western Europe - GDP</t>
  </si>
  <si>
    <t>Western Europe - other</t>
  </si>
  <si>
    <t>CEEMEA - GDP</t>
  </si>
  <si>
    <t>CEEMEA - other</t>
  </si>
  <si>
    <t>Asia Pacific - Revenue</t>
  </si>
  <si>
    <t>Tobacco - Revenue</t>
  </si>
  <si>
    <t>Tobacco - organic growth</t>
  </si>
  <si>
    <t>EMEA - Total growth</t>
  </si>
  <si>
    <t>Americas - Total growth</t>
  </si>
  <si>
    <t>Asia Pacific - Total growth</t>
  </si>
  <si>
    <t>Tobacco - Total growth</t>
  </si>
  <si>
    <t>EMEA (of EM)</t>
  </si>
  <si>
    <t>Americas (of EM)</t>
  </si>
  <si>
    <t>Tobacco (of EM)</t>
  </si>
  <si>
    <t>Asia Pacific (of EM)</t>
  </si>
  <si>
    <t>China (APAC) (of EM)</t>
  </si>
  <si>
    <t>SEA (APAC) (of EM)</t>
  </si>
  <si>
    <t>EMEA (of DM)</t>
  </si>
  <si>
    <t>Americas (of DM)</t>
  </si>
  <si>
    <t>Tobacco (of DM)</t>
  </si>
  <si>
    <t>Asia Pacific (of DM)</t>
  </si>
  <si>
    <t>Acquired revenue contribution</t>
  </si>
  <si>
    <t>Receivables:sales</t>
  </si>
  <si>
    <t>Inventory:sales</t>
  </si>
  <si>
    <t>Growth capital return (used above)</t>
  </si>
  <si>
    <t>M&amp;A Spend (used above)</t>
  </si>
  <si>
    <t>Specified acquisitions:</t>
  </si>
  <si>
    <r>
      <t xml:space="preserve">Total </t>
    </r>
    <r>
      <rPr>
        <b/>
        <u/>
        <sz val="8"/>
        <color theme="1"/>
        <rFont val="Arial"/>
        <family val="2"/>
      </rPr>
      <t>incremental</t>
    </r>
    <r>
      <rPr>
        <b/>
        <sz val="8"/>
        <color theme="1"/>
        <rFont val="Arial"/>
        <family val="2"/>
      </rPr>
      <t xml:space="preserve"> revenues &amp; earnings</t>
    </r>
  </si>
  <si>
    <t>Total incremental revenue</t>
  </si>
  <si>
    <r>
      <rPr>
        <b/>
        <u/>
        <sz val="8"/>
        <color theme="3"/>
        <rFont val="Arial"/>
        <family val="2"/>
      </rPr>
      <t>Approx.</t>
    </r>
    <r>
      <rPr>
        <b/>
        <sz val="8"/>
        <color theme="3"/>
        <rFont val="Arial"/>
        <family val="2"/>
      </rPr>
      <t xml:space="preserve"> Flexibles EM v. DM revenue growth contributions</t>
    </r>
  </si>
  <si>
    <t>Flexibles Volume</t>
  </si>
  <si>
    <t xml:space="preserve">Flexibles volume </t>
  </si>
  <si>
    <t>Flexibles price</t>
  </si>
  <si>
    <t>Flexibles revenue exposure</t>
  </si>
  <si>
    <t xml:space="preserve">US Dollar </t>
  </si>
  <si>
    <t>Euro</t>
  </si>
  <si>
    <t>Total growth</t>
  </si>
  <si>
    <t>Eliminations/other</t>
  </si>
  <si>
    <t>Segment profitability model</t>
  </si>
  <si>
    <t>North America revenue</t>
  </si>
  <si>
    <t>Latin America revenue</t>
  </si>
  <si>
    <t>Total Rigids revenue</t>
  </si>
  <si>
    <t>GB/India/Other</t>
  </si>
  <si>
    <t>Organic</t>
  </si>
  <si>
    <t>margin</t>
  </si>
  <si>
    <t>[next project]</t>
  </si>
  <si>
    <t>N.Am.</t>
  </si>
  <si>
    <t>EBIT - Post synergies</t>
  </si>
  <si>
    <t>NA CSDW</t>
  </si>
  <si>
    <t>NA Custom</t>
  </si>
  <si>
    <t>NA Bericap</t>
  </si>
  <si>
    <t>LA CSDW</t>
  </si>
  <si>
    <t>LA Custom</t>
  </si>
  <si>
    <t>LA Specialty</t>
  </si>
  <si>
    <t>[Next acquistion]</t>
  </si>
  <si>
    <t>NA Specialty</t>
  </si>
  <si>
    <t>RIGIDS MODELLING</t>
  </si>
  <si>
    <r>
      <rPr>
        <b/>
        <u/>
        <sz val="8"/>
        <color theme="3"/>
        <rFont val="Arial"/>
        <family val="2"/>
      </rPr>
      <t>Approx.</t>
    </r>
    <r>
      <rPr>
        <b/>
        <sz val="8"/>
        <color theme="3"/>
        <rFont val="Arial"/>
        <family val="2"/>
      </rPr>
      <t xml:space="preserve"> Rigids EM v. DM revenue growth contributions</t>
    </r>
  </si>
  <si>
    <t>Total organic revenue growth</t>
  </si>
  <si>
    <t>Underlying growth</t>
  </si>
  <si>
    <t>FX impact</t>
  </si>
  <si>
    <t>AMVIG growth</t>
  </si>
  <si>
    <t>Total Other / Investment EBIT</t>
  </si>
  <si>
    <t>Total Other / Investment EBITDA</t>
  </si>
  <si>
    <t>Corporate cost growth</t>
  </si>
  <si>
    <t>US Dollar</t>
  </si>
  <si>
    <t>[END]</t>
  </si>
  <si>
    <t>Acquisitions contribution</t>
  </si>
  <si>
    <t>Total Organic growth</t>
  </si>
  <si>
    <t>Flex (% of EM)</t>
  </si>
  <si>
    <t>Rigids (% of EM)</t>
  </si>
  <si>
    <t>Western Europe (% of EMEA)</t>
  </si>
  <si>
    <t>CEEMEA (% of EMEA)</t>
  </si>
  <si>
    <t>EMEA (% of Flex)</t>
  </si>
  <si>
    <t>Flexibles % of group</t>
  </si>
  <si>
    <t>Rigids revenue exposure</t>
  </si>
  <si>
    <t>North America (% of Rigids)</t>
  </si>
  <si>
    <t>Latin America (% of Rigids)</t>
  </si>
  <si>
    <t>Rigids (% of group)</t>
  </si>
  <si>
    <t>Flex (% of DM)</t>
  </si>
  <si>
    <t>Rigids (% of DM)</t>
  </si>
  <si>
    <t>EM (% of group)</t>
  </si>
  <si>
    <t>DM (% of group)</t>
  </si>
  <si>
    <t>Group exposures</t>
  </si>
  <si>
    <t>Group EBIT growth</t>
  </si>
  <si>
    <t>Flexibles - organic</t>
  </si>
  <si>
    <t>Flexibles - acquired earnings</t>
  </si>
  <si>
    <t>Rigids - organic</t>
  </si>
  <si>
    <t>Rigids - acquired earnings</t>
  </si>
  <si>
    <t>Group - organic</t>
  </si>
  <si>
    <t>Group - acquired earnings</t>
  </si>
  <si>
    <t>Group Revenue growh</t>
  </si>
  <si>
    <t>check - rigids</t>
  </si>
  <si>
    <t>Total Flexibles EBIT</t>
  </si>
  <si>
    <t>Total Rigids EBIT</t>
  </si>
  <si>
    <t>Total Group EBIT</t>
  </si>
  <si>
    <t>check - flexibles</t>
  </si>
  <si>
    <t>% passed through</t>
  </si>
  <si>
    <t>Resin pass through impact on price</t>
  </si>
  <si>
    <t>Other resin (lagged impact)</t>
  </si>
  <si>
    <t>Custom beverage</t>
  </si>
  <si>
    <t>Total equity</t>
  </si>
  <si>
    <t>Shares issued</t>
  </si>
  <si>
    <t>Share issuance</t>
  </si>
  <si>
    <t>Currency</t>
  </si>
  <si>
    <t>AUD</t>
  </si>
  <si>
    <t>Plasticos Team</t>
  </si>
  <si>
    <t>Group EPS</t>
  </si>
  <si>
    <t>Group Interest - impact on EPS</t>
  </si>
  <si>
    <t>Group Tax - impact on EPS</t>
  </si>
  <si>
    <t xml:space="preserve"> </t>
  </si>
  <si>
    <t>Resin cost impact</t>
  </si>
  <si>
    <t>Lagged resin recovery</t>
  </si>
  <si>
    <t>Total volumes</t>
  </si>
  <si>
    <t>Total containers</t>
  </si>
  <si>
    <t>AMC.AX</t>
  </si>
  <si>
    <t>Amcor</t>
  </si>
  <si>
    <t>Current Stock Price</t>
  </si>
  <si>
    <t>Count</t>
  </si>
  <si>
    <t>AMC.AX,mscalc:closePriceCurrencyCalc</t>
  </si>
  <si>
    <t>AMC.AX,mscalc:sedolCodeCalc</t>
  </si>
  <si>
    <t>AMC.AX,mscalc:targetPrice,,,,USD</t>
  </si>
  <si>
    <t>6066608</t>
  </si>
  <si>
    <t>AMC.AX,mscalc:targetPrice,,,,AUD</t>
  </si>
  <si>
    <t>$H$2</t>
  </si>
  <si>
    <t>Run cash balancer</t>
  </si>
  <si>
    <t>Valuation method</t>
  </si>
  <si>
    <t xml:space="preserve">AUDUSD </t>
  </si>
  <si>
    <t>EPS (US$)</t>
  </si>
  <si>
    <t>Target price</t>
  </si>
  <si>
    <t>Capital allocation</t>
  </si>
  <si>
    <t>Projected Return and Rating</t>
  </si>
  <si>
    <t>1H18a</t>
  </si>
  <si>
    <t>Premium for capital allocation</t>
  </si>
  <si>
    <t>% of base case</t>
  </si>
  <si>
    <t>Premium for Capital allocation</t>
  </si>
  <si>
    <t>Blended valuation</t>
  </si>
  <si>
    <t>L.Am</t>
  </si>
  <si>
    <t>14.3999996185303</t>
  </si>
  <si>
    <t>11.0563197071075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</si>
  <si>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</si>
  <si>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</si>
  <si>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</si>
  <si>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</si>
  <si>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 Austin Road West</t>
  </si>
  <si>
    <t>Kowloon</t>
  </si>
  <si>
    <t>Tel: +852 2848 5200</t>
  </si>
  <si>
    <t>Authors: Niraj Shah, Vivienne Lee</t>
  </si>
  <si>
    <t>Date: 10 Apr 2018</t>
  </si>
  <si>
    <t>Ticker: AMC.AX</t>
  </si>
  <si>
    <t>Stock Rating: Equal-Weight</t>
  </si>
  <si>
    <t>Industry: Australia Industrials</t>
  </si>
  <si>
    <t>Industry View: Cautious</t>
  </si>
  <si>
    <t>Price as of 10 Apr 2018: 14.19</t>
  </si>
  <si>
    <t>Target Price: 14.8000001907349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</si>
  <si>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</si>
  <si>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</si>
  <si>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</si>
  <si>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</si>
  <si>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</si>
  <si>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</si>
  <si>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</si>
  <si>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</si>
  <si>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</si>
  <si>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</si>
  <si>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</si>
  <si>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</si>
  <si>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</si>
  <si>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</si>
  <si>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</si>
  <si>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</si>
  <si>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</si>
  <si>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</si>
  <si>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</si>
  <si>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</si>
  <si>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</si>
  <si>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</si>
  <si>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</si>
  <si>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</si>
  <si>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</si>
  <si>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</si>
  <si>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</si>
  <si>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</si>
  <si>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</si>
  <si>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</si>
  <si>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</si>
  <si>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</si>
  <si>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</si>
  <si>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</si>
  <si>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</si>
  <si>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</si>
  <si>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</si>
  <si>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</si>
  <si>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</si>
  <si>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</si>
  <si>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</si>
  <si>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</si>
  <si>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</si>
  <si>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</si>
  <si>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</si>
  <si>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</si>
  <si>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</si>
  <si>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</si>
  <si>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</si>
  <si>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</si>
  <si>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</si>
  <si>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</si>
  <si>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</si>
  <si>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</si>
  <si>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</si>
  <si>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</si>
  <si>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</si>
  <si>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</si>
  <si>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</si>
  <si>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</si>
  <si>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</si>
  <si>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</si>
  <si>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</si>
  <si>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</si>
  <si>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</si>
  <si>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</si>
  <si>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</si>
  <si>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</si>
  <si>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</si>
  <si>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</si>
  <si>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</si>
  <si>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</si>
  <si>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</si>
  <si>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</si>
  <si>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</si>
  <si>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</si>
  <si>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</si>
  <si>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</si>
  <si>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</si>
  <si>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</si>
  <si>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</si>
  <si>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</si>
  <si>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</si>
  <si>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</si>
  <si>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</si>
  <si>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</si>
  <si>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</si>
  <si>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</si>
  <si>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</si>
  <si>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Certain information in Morgan Stanley Research was sourced by employees of the Shanghai Representative</t>
  </si>
  <si>
    <t>Office of Morgan Stanley Asia Limited for the use of Morgan Stanley Asia Limited.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</si>
  <si>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</si>
  <si>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</si>
  <si>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</si>
  <si>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</si>
  <si>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</si>
  <si>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</si>
  <si>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</si>
  <si>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</si>
  <si>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</si>
  <si>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</si>
  <si>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</si>
  <si>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</si>
  <si>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</si>
  <si>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</si>
  <si>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</si>
  <si>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</si>
  <si>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</si>
  <si>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</si>
  <si>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</si>
  <si>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</si>
  <si>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</si>
  <si>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</si>
  <si>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</si>
  <si>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</si>
  <si>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</si>
  <si>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</si>
  <si>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</si>
  <si>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</si>
  <si>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</si>
  <si>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</si>
  <si>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</si>
  <si>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</si>
  <si>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</si>
  <si>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</si>
  <si>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</si>
  <si>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</si>
  <si>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</si>
  <si>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</si>
  <si>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</si>
  <si>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</si>
  <si>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</si>
  <si>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</si>
  <si>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</si>
  <si>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</si>
  <si>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</si>
  <si>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</si>
  <si>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</si>
  <si>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</si>
  <si>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</si>
  <si>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</si>
  <si>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</si>
  <si>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</si>
  <si>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</si>
  <si>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</si>
  <si>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</si>
  <si>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</si>
  <si>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</si>
  <si>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</si>
  <si>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</si>
  <si>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</si>
  <si>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</si>
  <si>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</si>
  <si>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</si>
  <si>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</si>
  <si>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</si>
  <si>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</si>
  <si>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</si>
  <si>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</si>
  <si>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</si>
  <si>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</si>
  <si>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</si>
  <si>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</si>
  <si>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</si>
  <si>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</si>
  <si>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</si>
  <si>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</si>
  <si>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</si>
  <si>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</si>
  <si>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</si>
  <si>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</si>
  <si>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</si>
  <si>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</si>
  <si>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</si>
  <si>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</si>
  <si>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</si>
  <si>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</si>
  <si>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</si>
  <si>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</si>
  <si>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</si>
  <si>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</si>
  <si>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</si>
  <si>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Amcor.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</si>
  <si>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</si>
  <si>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</si>
  <si>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</si>
  <si>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</si>
  <si>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</si>
  <si>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</si>
  <si>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</si>
  <si>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</si>
  <si>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</si>
  <si>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</si>
  <si>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</si>
  <si>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</si>
  <si>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</si>
  <si>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</si>
  <si>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</si>
  <si>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</si>
  <si>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</si>
  <si>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</si>
  <si>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</si>
  <si>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</si>
  <si>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</si>
  <si>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</si>
  <si>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</si>
  <si>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</si>
  <si>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</si>
  <si>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</si>
  <si>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</si>
  <si>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</si>
  <si>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</si>
  <si>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</si>
  <si>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</si>
  <si>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</si>
  <si>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</si>
  <si>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</si>
  <si>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</si>
  <si>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</si>
  <si>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</si>
  <si>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</si>
  <si>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</si>
  <si>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</si>
  <si>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</si>
  <si>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</si>
  <si>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</si>
  <si>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</si>
  <si>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</si>
  <si>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</si>
  <si>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</si>
  <si>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</si>
  <si>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</si>
  <si>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</si>
  <si>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</si>
  <si>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</si>
  <si>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</si>
  <si>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</si>
  <si>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</si>
  <si>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</si>
  <si>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</si>
  <si>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</si>
  <si>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</si>
  <si>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</si>
  <si>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</si>
  <si>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</si>
  <si>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</si>
  <si>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</si>
  <si>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</si>
  <si>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</si>
  <si>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</si>
  <si>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</si>
  <si>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Amcor.</t>
  </si>
  <si>
    <t>Within the last 12 months, Morgan Stanley has provided or is providing investment banking services to,</t>
  </si>
  <si>
    <t>or has an investment banking client relationship with, the following company: Amcor.</t>
  </si>
  <si>
    <t>In the next 3 months, Morgan Stanley expects to receive or intends to seek compensation for investment</t>
  </si>
  <si>
    <t>banking services from Amcor.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</si>
  <si>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</si>
  <si>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</si>
  <si>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</si>
  <si>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</si>
  <si>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</si>
  <si>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Niraj S Shah.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</si>
  <si>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</si>
  <si>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</si>
  <si>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</si>
  <si>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</si>
  <si>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</si>
  <si>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</si>
  <si>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</si>
  <si>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</si>
  <si>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</si>
  <si>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</si>
  <si>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or are disseminated by Morgan</t>
  </si>
  <si>
    <t>Stanley Asia Limited (which accepts the responsibility for its contents) and/or Morgan Stanley Asia</t>
  </si>
  <si>
    <t>(Singapore) Pte. (Registration number 199206298Z) and/or Morgan Stanley Asia (Singapore) Securities Pte</t>
  </si>
  <si>
    <t>Ltd (Registration number 200008434H), regulated by the Monetary Authority of Singapore (which accepts</t>
  </si>
  <si>
    <t>legal responsibility for its contents and should be contacted with respect to any matters arising from,</t>
  </si>
  <si>
    <t>or in connection with, Morgan Stanley Research), and/or Morgan Stanley Taiwan Limited and/or Morgan</t>
  </si>
  <si>
    <t>Stanley &amp; Co International plc, Seoul Branch, and/or Morgan Stanley Australia Limited (A.B.N. 67 003 734</t>
  </si>
  <si>
    <t>576, holder of Australian financial services license No. 233742, which accepts responsibility for its</t>
  </si>
  <si>
    <t>contents), and/or Morgan Stanley Wealth Management Australia Pty Ltd (A.B.N. 19 009 145 555, holder of</t>
  </si>
  <si>
    <t>Australian financial services license No. 240813, which accepts responsibility for its contents), and/or</t>
  </si>
  <si>
    <t>Morgan Stanley India Company Private Limited, regulated by the Securities and Exchange Board of India</t>
  </si>
  <si>
    <t>(“SEBI”) and holder of licenses as a Research Analyst (SEBI Registration No. INH000001105); Stock Broker</t>
  </si>
  <si>
    <t>(BSE Registration No. INB011054237 and NSE Registration No. INB/INF231054231), Merchant Banker (SEBI</t>
  </si>
  <si>
    <t>Registration No. INM000011203), and depository participant with National Securities Depository Limited</t>
  </si>
  <si>
    <t>(SEBI Registration No. IN-DP-NSDL-372-2014) which accepts the responsibility for its contents and should</t>
  </si>
  <si>
    <t>be contacted with respect to any matters arising from, or in connection with, Morgan Stanley Research,</t>
  </si>
  <si>
    <t>and/or PT. Morgan Stanley Sekuritas Indonesia and their affiliates (collectively, "Morgan Stanley").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</si>
  <si>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</si>
  <si>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</si>
  <si>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</si>
  <si>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</si>
  <si>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</si>
  <si>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</si>
  <si>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</si>
  <si>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</si>
  <si>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</si>
  <si>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</si>
  <si>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</si>
  <si>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</si>
  <si>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</si>
  <si>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</si>
  <si>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</si>
  <si>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</si>
  <si>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</si>
  <si>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</si>
  <si>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</si>
  <si>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</si>
  <si>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</si>
  <si>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</si>
  <si>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</si>
  <si>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</si>
  <si>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</si>
  <si>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</si>
  <si>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</si>
  <si>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</si>
  <si>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</si>
  <si>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</si>
  <si>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</si>
  <si>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</si>
  <si>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</si>
  <si>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</si>
  <si>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</si>
  <si>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</si>
  <si>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</si>
  <si>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</si>
  <si>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</si>
  <si>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</si>
  <si>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</si>
  <si>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</si>
  <si>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</si>
  <si>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</si>
  <si>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</si>
  <si>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</si>
  <si>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</si>
  <si>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</si>
  <si>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</si>
  <si>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</si>
  <si>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</si>
  <si>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</si>
  <si>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</si>
  <si>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Cautious</t>
  </si>
  <si>
    <t>Regular Update</t>
  </si>
  <si>
    <t>AsiaPacific</t>
  </si>
  <si>
    <t>viviennl</t>
  </si>
  <si>
    <t>MSA82NJC, MSA55LJL</t>
  </si>
  <si>
    <t>02341R104</t>
  </si>
  <si>
    <t>L:\USERS\CPT\Packaging\AMC\Models\Published\MS AMC Model_BXB initiation.xlsm</t>
  </si>
  <si>
    <t>[BRO MSA]</t>
  </si>
  <si>
    <t>[PRODUCT MODEL]</t>
  </si>
  <si>
    <t>[EMAIL_ALERT YES]</t>
  </si>
  <si>
    <t>[DISCIPLINE Company]</t>
  </si>
  <si>
    <t>[SUPPRESSED NO]</t>
  </si>
  <si>
    <t>[DOCDAT 2018-04-09]</t>
  </si>
  <si>
    <t>[DOCTIME 20:54]</t>
  </si>
  <si>
    <t>[PSYM AMC.AX(Reuters) (None)]</t>
  </si>
  <si>
    <t>[COU 39]</t>
  </si>
  <si>
    <t>[ANA MSA55LJL]</t>
  </si>
  <si>
    <t>[HL AMC.AX Model]</t>
  </si>
  <si>
    <t>[IND ]</t>
  </si>
  <si>
    <t>[PANA MSA82NJC]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</si>
</sst>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9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#,##0.0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_);_(@_)"/>
    <numFmt numFmtId="171" formatCode="_(* #,##0.0_);_(* \(#,##0.0\);_(* &quot;-&quot;?_);_(@_)"/>
    <numFmt numFmtId="172" formatCode="_(* #,##0_);_(* \(#,##0\);_(* &quot;-&quot;??_);_(@_)"/>
    <numFmt numFmtId="173" formatCode="&quot;$&quot;#,##0.00"/>
    <numFmt numFmtId="174" formatCode="&quot;Priced as at: &quot;dd\-mmm\-yy"/>
    <numFmt numFmtId="175" formatCode="\A&quot;$&quot;#,##0.00"/>
    <numFmt numFmtId="176" formatCode="&quot;At last close: &quot;\A&quot;$&quot;#,##0.00"/>
    <numFmt numFmtId="177" formatCode="&quot;At price target: &quot;\A&quot;$&quot;#,##0.00"/>
    <numFmt numFmtId="178" formatCode="0.0\x"/>
    <numFmt numFmtId="179" formatCode="&quot;PE RELATIVE VALUATION: &quot;&quot;$&quot;#,##0.00"/>
    <numFmt numFmtId="180" formatCode="#,##0.0\x"/>
    <numFmt numFmtId="181" formatCode="&quot;DCF VALUATION: &quot;&quot;$&quot;#,##0.00"/>
    <numFmt numFmtId="182" formatCode="0.000"/>
    <numFmt numFmtId="183" formatCode="mm/dd/yy"/>
    <numFmt numFmtId="184" formatCode="_-&quot;$&quot;* #,##0.00_-;\-&quot;$&quot;* #,##0.00_-;_-&quot;$&quot;* &quot;-&quot;??_-;_-@_-"/>
    <numFmt numFmtId="185" formatCode="&quot;NPV @ &quot;0.0&quot;%&quot;"/>
    <numFmt numFmtId="186" formatCode="General_)"/>
    <numFmt numFmtId="187" formatCode=";;"/>
    <numFmt numFmtId="188" formatCode="\,\,"/>
    <numFmt numFmtId="189" formatCode=";;;"/>
    <numFmt numFmtId="190" formatCode="##0.00"/>
    <numFmt numFmtId="191" formatCode="#,##0&quot;A&quot;"/>
    <numFmt numFmtId="192" formatCode="#,##0.0&quot; fff&quot;"/>
    <numFmt numFmtId="193" formatCode="0.0000"/>
    <numFmt numFmtId="194" formatCode="[Blue]General"/>
    <numFmt numFmtId="195" formatCode="0&quot;A&quot;"/>
    <numFmt numFmtId="196" formatCode="&quot;WMC ($&quot;0.00&quot;)  Yr to 30 June&quot;"/>
    <numFmt numFmtId="197" formatCode="#,##0.0&quot; ff&quot;"/>
    <numFmt numFmtId="198" formatCode="#,##0.000"/>
    <numFmt numFmtId="199" formatCode="#,##0.00;\(#,##0.00\)"/>
    <numFmt numFmtId="200" formatCode="mmm\ yy"/>
    <numFmt numFmtId="201" formatCode="[Blue]0.0"/>
    <numFmt numFmtId="202" formatCode="&quot;EV EBIT VALUATION: &quot;&quot;$&quot;#,##0.00"/>
    <numFmt numFmtId="204" formatCode="&quot;Current share price: &quot;&quot;$&quot;#,##0.00"/>
    <numFmt numFmtId="212" formatCode="#,##0.0000"/>
    <numFmt numFmtId="221" formatCode="&quot;PT: &quot;&quot;$&quot;#,##0.00"/>
    <numFmt numFmtId="222" formatCode="0.000%"/>
    <numFmt numFmtId="228" formatCode="mm/dd/yy\ hh:mm"/>
  </numFmts>
  <fonts count="69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3"/>
      <name val="Arial"/>
      <family val="2"/>
    </font>
    <font>
      <b/>
      <u/>
      <sz val="8"/>
      <color rgb="FFFF0000"/>
      <name val="Arial"/>
      <family val="2"/>
    </font>
    <font>
      <b/>
      <u/>
      <sz val="8"/>
      <color theme="3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b/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4"/>
      <name val="Arial"/>
      <family val="2"/>
    </font>
    <font>
      <sz val="8"/>
      <color theme="0"/>
      <name val="Arial"/>
      <family val="2"/>
    </font>
    <font>
      <sz val="7"/>
      <color theme="0"/>
      <name val="Arial"/>
      <family val="2"/>
    </font>
    <font>
      <b/>
      <sz val="8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u/>
      <sz val="8"/>
      <name val="Arial"/>
      <family val="2"/>
    </font>
    <font>
      <b/>
      <sz val="7"/>
      <color theme="3"/>
      <name val="Arial"/>
      <family val="2"/>
    </font>
    <font>
      <b/>
      <sz val="8"/>
      <color rgb="FFFF0000"/>
      <name val="Arial"/>
      <family val="2"/>
    </font>
    <font>
      <sz val="8"/>
      <color theme="3"/>
      <name val="Arial"/>
      <family val="2"/>
    </font>
    <font>
      <b/>
      <sz val="7"/>
      <color theme="1"/>
      <name val="Arial"/>
      <family val="2"/>
    </font>
    <font>
      <i/>
      <sz val="8"/>
      <color theme="1"/>
      <name val="Arial"/>
      <family val="2"/>
    </font>
    <font>
      <i/>
      <sz val="7"/>
      <color theme="1"/>
      <name val="Arial"/>
      <family val="2"/>
    </font>
    <font>
      <i/>
      <sz val="8"/>
      <name val="Arial"/>
      <family val="2"/>
    </font>
    <font>
      <i/>
      <sz val="8"/>
      <color theme="0" tint="-0.249977111117893"/>
      <name val="Arial"/>
      <family val="2"/>
    </font>
    <font>
      <sz val="7"/>
      <color theme="4"/>
      <name val="Arial"/>
      <family val="2"/>
    </font>
    <font>
      <b/>
      <u/>
      <sz val="8"/>
      <color rgb="FF00B050"/>
      <name val="Arial"/>
      <family val="2"/>
    </font>
    <font>
      <sz val="8"/>
      <color theme="0" tint="-0.14999847407452621"/>
      <name val="Arial"/>
      <family val="2"/>
    </font>
    <font>
      <b/>
      <sz val="8"/>
      <color theme="4"/>
      <name val="Arial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8.25"/>
      <name val="Helv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Frutiger 45 Light"/>
      <family val="2"/>
    </font>
    <font>
      <sz val="10"/>
      <name val="Helvetica"/>
      <family val="2"/>
    </font>
    <font>
      <b/>
      <sz val="9"/>
      <name val="CG Omega (W1)"/>
    </font>
    <font>
      <sz val="10"/>
      <name val="Helv"/>
    </font>
    <font>
      <b/>
      <sz val="8"/>
      <name val="Helvetica"/>
      <family val="2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7.5"/>
      <name val="Tms Rmn"/>
    </font>
    <font>
      <b/>
      <i/>
      <sz val="8"/>
      <color theme="1"/>
      <name val="Arial"/>
      <family val="2"/>
    </font>
    <font>
      <sz val="7"/>
      <color theme="3"/>
      <name val="Arial"/>
      <family val="2"/>
    </font>
    <font>
      <sz val="8"/>
      <color rgb="FF00B0F0"/>
      <name val="Arial"/>
      <family val="2"/>
    </font>
    <font>
      <b/>
      <u/>
      <sz val="8"/>
      <color theme="4"/>
      <name val="Arial"/>
      <family val="2"/>
    </font>
    <font>
      <i/>
      <sz val="8"/>
      <color theme="0" tint="-0.34998626667073579"/>
      <name val="Arial"/>
      <family val="2"/>
    </font>
    <font>
      <sz val="8"/>
      <color rgb="FF0070C0"/>
      <name val="Arial"/>
      <family val="2"/>
    </font>
    <font>
      <b/>
      <u/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u/>
      <sz val="8"/>
      <color theme="1"/>
      <name val="Arial"/>
      <family val="2"/>
    </font>
    <font>
      <b/>
      <sz val="7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1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indexed="65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hair">
        <color theme="3"/>
      </left>
      <right/>
      <top style="hair">
        <color theme="3"/>
      </top>
      <bottom/>
      <diagonal/>
    </border>
    <border>
      <left/>
      <right/>
      <top style="hair">
        <color theme="3"/>
      </top>
      <bottom/>
      <diagonal/>
    </border>
    <border>
      <left/>
      <right style="hair">
        <color theme="3"/>
      </right>
      <top style="hair">
        <color theme="3"/>
      </top>
      <bottom/>
      <diagonal/>
    </border>
    <border>
      <left style="hair">
        <color theme="3"/>
      </left>
      <right/>
      <top/>
      <bottom style="hair">
        <color theme="3"/>
      </bottom>
      <diagonal/>
    </border>
    <border>
      <left/>
      <right/>
      <top/>
      <bottom style="hair">
        <color theme="3"/>
      </bottom>
      <diagonal/>
    </border>
    <border>
      <left/>
      <right style="hair">
        <color theme="3"/>
      </right>
      <top/>
      <bottom style="hair">
        <color theme="3"/>
      </bottom>
      <diagonal/>
    </border>
    <border>
      <left style="hair">
        <color theme="3"/>
      </left>
      <right/>
      <top/>
      <bottom/>
      <diagonal/>
    </border>
    <border>
      <left/>
      <right style="hair">
        <color theme="3"/>
      </right>
      <top/>
      <bottom/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23"/>
      </left>
      <right style="dashed">
        <color indexed="9"/>
      </right>
      <top/>
      <bottom style="dashed">
        <color indexed="9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 style="hair">
        <color rgb="FFFF0000"/>
      </right>
      <top/>
      <bottom/>
      <diagonal/>
    </border>
    <border>
      <left style="hair">
        <color rgb="FFFF0000"/>
      </left>
      <right style="hair">
        <color rgb="FFFF0000"/>
      </right>
      <top/>
      <bottom style="hair">
        <color rgb="FFFF0000"/>
      </bottom>
      <diagonal/>
    </border>
    <border>
      <left style="hair">
        <color theme="4"/>
      </left>
      <right/>
      <top style="hair">
        <color theme="4"/>
      </top>
      <bottom/>
      <diagonal/>
    </border>
    <border>
      <left/>
      <right/>
      <top style="hair">
        <color theme="4"/>
      </top>
      <bottom/>
      <diagonal/>
    </border>
    <border>
      <left/>
      <right style="hair">
        <color theme="4"/>
      </right>
      <top style="hair">
        <color theme="4"/>
      </top>
      <bottom/>
      <diagonal/>
    </border>
    <border>
      <left style="hair">
        <color theme="4"/>
      </left>
      <right/>
      <top/>
      <bottom/>
      <diagonal/>
    </border>
    <border>
      <left/>
      <right style="hair">
        <color theme="4"/>
      </right>
      <top/>
      <bottom/>
      <diagonal/>
    </border>
    <border>
      <left style="hair">
        <color theme="4"/>
      </left>
      <right/>
      <top/>
      <bottom style="hair">
        <color theme="4"/>
      </bottom>
      <diagonal/>
    </border>
    <border>
      <left/>
      <right/>
      <top/>
      <bottom style="hair">
        <color theme="4"/>
      </bottom>
      <diagonal/>
    </border>
    <border>
      <left/>
      <right style="hair">
        <color theme="4"/>
      </right>
      <top/>
      <bottom style="hair">
        <color theme="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  <border>
      <left style="hair">
        <color theme="5"/>
      </left>
      <right style="hair">
        <color theme="5"/>
      </right>
      <top style="hair">
        <color theme="5"/>
      </top>
      <bottom/>
      <diagonal/>
    </border>
    <border>
      <left style="hair">
        <color theme="5"/>
      </left>
      <right style="hair">
        <color theme="5"/>
      </right>
      <top/>
      <bottom/>
      <diagonal/>
    </border>
    <border>
      <left style="hair">
        <color theme="5"/>
      </left>
      <right style="hair">
        <color theme="5"/>
      </right>
      <top/>
      <bottom style="hair">
        <color theme="5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4"/>
      </left>
      <right style="hair">
        <color theme="4"/>
      </right>
      <top style="hair">
        <color theme="4"/>
      </top>
      <bottom/>
      <diagonal/>
    </border>
    <border>
      <left style="hair">
        <color theme="4"/>
      </left>
      <right style="hair">
        <color theme="4"/>
      </right>
      <top/>
      <bottom/>
      <diagonal/>
    </border>
    <border>
      <left style="hair">
        <color theme="4"/>
      </left>
      <right style="hair">
        <color theme="4"/>
      </right>
      <top/>
      <bottom style="hair">
        <color theme="4"/>
      </bottom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hair">
        <color theme="3"/>
      </bottom>
      <diagonal/>
    </border>
    <border>
      <left style="thin">
        <color rgb="FFC00000"/>
      </left>
      <right/>
      <top style="hair">
        <color theme="4"/>
      </top>
      <bottom/>
      <diagonal/>
    </border>
    <border>
      <left style="thin">
        <color rgb="FFC00000"/>
      </left>
      <right/>
      <top/>
      <bottom style="hair">
        <color theme="4"/>
      </bottom>
      <diagonal/>
    </border>
    <border>
      <left style="thin">
        <color rgb="FFC00000"/>
      </left>
      <right/>
      <top style="hair">
        <color theme="3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43">
    <xf numFmtId="0" fontId="0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38" fillId="0" borderId="0"/>
    <xf numFmtId="0" fontId="39" fillId="0" borderId="0" applyNumberFormat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ont="0" applyFill="0" applyBorder="0" applyAlignment="0" applyProtection="0"/>
    <xf numFmtId="0" fontId="38" fillId="0" borderId="0"/>
    <xf numFmtId="0" fontId="38" fillId="0" borderId="0"/>
    <xf numFmtId="3" fontId="38" fillId="0" borderId="0" applyFont="0" applyFill="0" applyBorder="0" applyAlignment="0" applyProtection="0"/>
    <xf numFmtId="169" fontId="40" fillId="0" borderId="0" applyFont="0" applyFill="0" applyBorder="0" applyAlignment="0" applyProtection="0">
      <alignment horizontal="right"/>
    </xf>
    <xf numFmtId="2" fontId="38" fillId="0" borderId="0" applyFont="0" applyFill="0" applyBorder="0" applyAlignment="0" applyProtection="0"/>
    <xf numFmtId="182" fontId="38" fillId="0" borderId="0" applyFont="0" applyFill="0" applyBorder="0" applyAlignment="0" applyProtection="0"/>
    <xf numFmtId="0" fontId="41" fillId="0" borderId="0"/>
    <xf numFmtId="0" fontId="41" fillId="0" borderId="0"/>
    <xf numFmtId="0" fontId="42" fillId="0" borderId="0"/>
    <xf numFmtId="38" fontId="38" fillId="0" borderId="0" applyFont="0" applyFill="0" applyBorder="0" applyAlignment="0" applyProtection="0"/>
    <xf numFmtId="169" fontId="38" fillId="0" borderId="0" applyFont="0" applyFill="0" applyBorder="0" applyAlignment="0" applyProtection="0"/>
    <xf numFmtId="40" fontId="38" fillId="0" borderId="0" applyFont="0" applyFill="0" applyBorder="0" applyAlignment="0" applyProtection="0"/>
    <xf numFmtId="5" fontId="38" fillId="0" borderId="0" applyFont="0" applyFill="0" applyBorder="0" applyAlignment="0" applyProtection="0"/>
    <xf numFmtId="7" fontId="38" fillId="0" borderId="0" applyFont="0" applyFill="0" applyBorder="0" applyAlignment="0" applyProtection="0"/>
    <xf numFmtId="183" fontId="38" fillId="0" borderId="0" applyFill="0" applyBorder="0" applyAlignment="0" applyProtection="0">
      <alignment horizontal="center"/>
    </xf>
    <xf numFmtId="18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185" fontId="41" fillId="0" borderId="0" applyFill="0" applyBorder="0" applyProtection="0"/>
    <xf numFmtId="14" fontId="43" fillId="0" borderId="0" applyFill="0" applyBorder="0" applyProtection="0"/>
    <xf numFmtId="0" fontId="44" fillId="9" borderId="0"/>
    <xf numFmtId="186" fontId="45" fillId="0" borderId="0">
      <alignment horizontal="right"/>
    </xf>
    <xf numFmtId="0" fontId="38" fillId="0" borderId="0" applyFill="0" applyBorder="0" applyAlignment="0" applyProtection="0"/>
    <xf numFmtId="0" fontId="38" fillId="0" borderId="0" applyFill="0" applyBorder="0" applyAlignment="0" applyProtection="0"/>
    <xf numFmtId="187" fontId="41" fillId="0" borderId="0" applyFill="0" applyBorder="0" applyProtection="0"/>
    <xf numFmtId="188" fontId="41" fillId="0" borderId="0" applyFill="0" applyBorder="0" applyProtection="0"/>
    <xf numFmtId="189" fontId="41" fillId="0" borderId="0" applyFill="0" applyBorder="0" applyProtection="0"/>
    <xf numFmtId="190" fontId="44" fillId="0" borderId="21" applyBorder="0">
      <protection locked="0"/>
    </xf>
    <xf numFmtId="191" fontId="41" fillId="0" borderId="0" applyFill="0" applyBorder="0" applyProtection="0">
      <alignment horizontal="right"/>
    </xf>
    <xf numFmtId="192" fontId="41" fillId="0" borderId="0" applyFill="0" applyBorder="0" applyProtection="0">
      <alignment horizontal="right"/>
    </xf>
    <xf numFmtId="0" fontId="44" fillId="0" borderId="0">
      <alignment horizontal="right"/>
    </xf>
    <xf numFmtId="0" fontId="44" fillId="0" borderId="22" applyNumberFormat="0" applyAlignment="0"/>
    <xf numFmtId="1" fontId="38" fillId="0" borderId="0" applyFont="0" applyFill="0" applyBorder="0" applyAlignment="0" applyProtection="0"/>
    <xf numFmtId="169" fontId="38" fillId="0" borderId="0" applyFont="0" applyFill="0" applyBorder="0" applyAlignment="0" applyProtection="0"/>
    <xf numFmtId="2" fontId="38" fillId="0" borderId="0" applyFont="0" applyFill="0" applyBorder="0" applyAlignment="0" applyProtection="0"/>
    <xf numFmtId="182" fontId="38" fillId="0" borderId="0" applyFont="0" applyFill="0" applyBorder="0" applyAlignment="0" applyProtection="0"/>
    <xf numFmtId="193" fontId="38" fillId="0" borderId="0" applyFont="0" applyFill="0" applyBorder="0" applyAlignment="0" applyProtection="0"/>
    <xf numFmtId="0" fontId="4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7" fillId="0" borderId="0"/>
    <xf numFmtId="0" fontId="38" fillId="0" borderId="0"/>
    <xf numFmtId="187" fontId="41" fillId="0" borderId="0" applyFill="0" applyBorder="0" applyProtection="0"/>
    <xf numFmtId="188" fontId="41" fillId="0" borderId="0" applyFill="0" applyBorder="0" applyProtection="0"/>
    <xf numFmtId="189" fontId="41" fillId="0" borderId="0" applyFill="0" applyBorder="0" applyProtection="0"/>
    <xf numFmtId="194" fontId="47" fillId="0" borderId="0" applyNumberFormat="0" applyFont="0"/>
    <xf numFmtId="0" fontId="48" fillId="0" borderId="0">
      <alignment vertical="center"/>
    </xf>
    <xf numFmtId="9" fontId="38" fillId="0" borderId="0"/>
    <xf numFmtId="167" fontId="38" fillId="0" borderId="0" applyFont="0" applyFill="0" applyBorder="0" applyAlignment="0" applyProtection="0"/>
    <xf numFmtId="10" fontId="38" fillId="0" borderId="0" applyFont="0" applyFill="0" applyBorder="0" applyAlignment="0" applyProtection="0"/>
    <xf numFmtId="9" fontId="7" fillId="0" borderId="0" applyFont="0" applyFill="0" applyBorder="0" applyAlignment="0" applyProtection="0"/>
    <xf numFmtId="195" fontId="41" fillId="0" borderId="0" applyFill="0" applyBorder="0" applyProtection="0"/>
    <xf numFmtId="196" fontId="41" fillId="0" borderId="0" applyFill="0" applyBorder="0" applyProtection="0"/>
    <xf numFmtId="197" fontId="41" fillId="0" borderId="0" applyFill="0" applyBorder="0" applyProtection="0"/>
    <xf numFmtId="198" fontId="41" fillId="0" borderId="0" applyFill="0" applyBorder="0" applyProtection="0"/>
    <xf numFmtId="38" fontId="16" fillId="0" borderId="0" applyFill="0" applyBorder="0" applyAlignment="0" applyProtection="0">
      <alignment horizontal="right"/>
    </xf>
    <xf numFmtId="3" fontId="38" fillId="0" borderId="0" applyNumberFormat="0" applyFill="0" applyBorder="0" applyAlignment="0" applyProtection="0"/>
    <xf numFmtId="0" fontId="38" fillId="10" borderId="0" applyNumberFormat="0" applyFont="0" applyBorder="0" applyAlignment="0" applyProtection="0"/>
    <xf numFmtId="0" fontId="49" fillId="0" borderId="0"/>
    <xf numFmtId="0" fontId="49" fillId="0" borderId="23">
      <alignment horizontal="centerContinuous"/>
    </xf>
    <xf numFmtId="3" fontId="38" fillId="9" borderId="24" applyFont="0" applyFill="0" applyBorder="0" applyAlignment="0" applyProtection="0"/>
    <xf numFmtId="4" fontId="38" fillId="9" borderId="24" applyFont="0" applyFill="0" applyBorder="0" applyAlignment="0" applyProtection="0"/>
    <xf numFmtId="199" fontId="38" fillId="9" borderId="24" applyFont="0" applyFill="0" applyBorder="0" applyAlignment="0" applyProtection="0"/>
    <xf numFmtId="200" fontId="38" fillId="9" borderId="25" applyFont="0" applyFill="0" applyBorder="0" applyAlignment="0" applyProtection="0"/>
    <xf numFmtId="10" fontId="38" fillId="9" borderId="24" applyFont="0" applyFill="0" applyBorder="0" applyAlignment="0" applyProtection="0"/>
    <xf numFmtId="9" fontId="38" fillId="9" borderId="24" applyFont="0" applyFill="0" applyBorder="0" applyAlignment="0" applyProtection="0"/>
    <xf numFmtId="2" fontId="38" fillId="9" borderId="24" applyFont="0" applyFill="0" applyBorder="0" applyAlignment="0" applyProtection="0"/>
    <xf numFmtId="0" fontId="50" fillId="0" borderId="23"/>
    <xf numFmtId="0" fontId="38" fillId="0" borderId="0" applyFont="0" applyFill="0" applyBorder="0" applyAlignment="0" applyProtection="0"/>
    <xf numFmtId="0" fontId="38" fillId="0" borderId="0">
      <alignment vertical="top"/>
    </xf>
    <xf numFmtId="2" fontId="38" fillId="11" borderId="0" applyBorder="0"/>
    <xf numFmtId="3" fontId="51" fillId="0" borderId="0" applyNumberFormat="0" applyFont="0" applyFill="0" applyBorder="0" applyAlignment="0">
      <alignment horizontal="fill"/>
    </xf>
    <xf numFmtId="0" fontId="44" fillId="0" borderId="1" applyNumberFormat="0" applyFill="0" applyProtection="0"/>
    <xf numFmtId="0" fontId="38" fillId="0" borderId="0" applyNumberFormat="0" applyFont="0" applyBorder="0" applyAlignment="0">
      <protection locked="0"/>
    </xf>
    <xf numFmtId="195" fontId="43" fillId="0" borderId="0" applyFill="0" applyBorder="0" applyProtection="0"/>
    <xf numFmtId="201" fontId="41" fillId="0" borderId="0" applyFill="0" applyBorder="0" applyProtection="0"/>
    <xf numFmtId="9" fontId="12" fillId="0" borderId="0" applyFont="0" applyFill="0" applyBorder="0" applyAlignment="0" applyProtection="0"/>
    <xf numFmtId="9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0" fontId="38" fillId="0" borderId="0"/>
    <xf numFmtId="0" fontId="38" fillId="0" borderId="0">
      <alignment vertical="top"/>
    </xf>
    <xf numFmtId="0" fontId="38" fillId="0" borderId="0"/>
    <xf numFmtId="0" fontId="38" fillId="0" borderId="0" applyFont="0" applyFill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 applyFont="0" applyFill="0" applyBorder="0" applyAlignment="0" applyProtection="0"/>
    <xf numFmtId="165" fontId="38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8" fillId="10" borderId="0" applyNumberFormat="0" applyFont="0" applyBorder="0" applyAlignment="0" applyProtection="0"/>
    <xf numFmtId="0" fontId="49" fillId="0" borderId="23">
      <alignment horizontal="centerContinuous"/>
    </xf>
    <xf numFmtId="0" fontId="49" fillId="0" borderId="23">
      <alignment horizontal="centerContinuous"/>
    </xf>
    <xf numFmtId="0" fontId="49" fillId="0" borderId="23">
      <alignment horizontal="centerContinuous"/>
    </xf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164" fontId="38" fillId="0" borderId="0" applyFont="0" applyFill="0" applyBorder="0" applyAlignment="0" applyProtection="0"/>
    <xf numFmtId="0" fontId="62" fillId="0" borderId="0"/>
    <xf numFmtId="44" fontId="62" fillId="0" borderId="0" applyFont="0" applyFill="0" applyBorder="0" applyAlignment="0" applyProtection="0"/>
    <xf numFmtId="0" fontId="63" fillId="0" borderId="0"/>
    <xf numFmtId="44" fontId="63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4" fillId="0" borderId="0"/>
  </cellStyleXfs>
  <cellXfs count="1112">
    <xf numFmtId="0" fontId="0" fillId="0" borderId="0" xfId="0"/>
    <xf numFmtId="0" fontId="8" fillId="2" borderId="0" xfId="0" applyFont="1" applyFill="1" applyAlignment="1">
      <alignment horizontal="right"/>
    </xf>
    <xf numFmtId="166" fontId="8" fillId="2" borderId="0" xfId="0" applyNumberFormat="1" applyFont="1" applyFill="1" applyAlignment="1">
      <alignment horizontal="right"/>
    </xf>
    <xf numFmtId="0" fontId="9" fillId="2" borderId="0" xfId="0" applyFont="1" applyFill="1" applyAlignment="1">
      <alignment horizontal="center"/>
    </xf>
    <xf numFmtId="0" fontId="10" fillId="0" borderId="0" xfId="0" applyFont="1" applyFill="1" applyAlignment="1">
      <alignment horizontal="left"/>
    </xf>
    <xf numFmtId="0" fontId="11" fillId="0" borderId="0" xfId="0" applyFont="1" applyFill="1" applyAlignment="1">
      <alignment horizontal="left"/>
    </xf>
    <xf numFmtId="0" fontId="12" fillId="0" borderId="0" xfId="0" applyFont="1"/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horizontal="left" indent="1"/>
    </xf>
    <xf numFmtId="166" fontId="8" fillId="2" borderId="0" xfId="0" applyNumberFormat="1" applyFont="1" applyFill="1" applyBorder="1" applyAlignment="1">
      <alignment horizontal="right"/>
    </xf>
    <xf numFmtId="0" fontId="15" fillId="0" borderId="0" xfId="0" applyFont="1"/>
    <xf numFmtId="3" fontId="15" fillId="0" borderId="0" xfId="0" applyNumberFormat="1" applyFont="1" applyAlignment="1">
      <alignment horizontal="right"/>
    </xf>
    <xf numFmtId="3" fontId="12" fillId="0" borderId="0" xfId="0" applyNumberFormat="1" applyFont="1" applyAlignment="1">
      <alignment horizontal="right"/>
    </xf>
    <xf numFmtId="9" fontId="15" fillId="0" borderId="0" xfId="0" applyNumberFormat="1" applyFont="1"/>
    <xf numFmtId="9" fontId="16" fillId="0" borderId="0" xfId="1" applyFont="1" applyFill="1" applyBorder="1" applyAlignment="1">
      <alignment horizontal="right"/>
    </xf>
    <xf numFmtId="3" fontId="16" fillId="0" borderId="0" xfId="0" applyNumberFormat="1" applyFont="1" applyAlignment="1">
      <alignment horizontal="right"/>
    </xf>
    <xf numFmtId="9" fontId="12" fillId="0" borderId="0" xfId="1" applyFont="1"/>
    <xf numFmtId="3" fontId="12" fillId="0" borderId="0" xfId="0" applyNumberFormat="1" applyFont="1"/>
    <xf numFmtId="3" fontId="16" fillId="0" borderId="0" xfId="0" applyNumberFormat="1" applyFont="1" applyBorder="1"/>
    <xf numFmtId="167" fontId="12" fillId="0" borderId="0" xfId="1" applyNumberFormat="1" applyFont="1"/>
    <xf numFmtId="0" fontId="16" fillId="0" borderId="0" xfId="0" applyFont="1" applyFill="1" applyAlignment="1"/>
    <xf numFmtId="167" fontId="19" fillId="0" borderId="0" xfId="0" applyNumberFormat="1" applyFont="1"/>
    <xf numFmtId="3" fontId="16" fillId="0" borderId="0" xfId="0" applyNumberFormat="1" applyFont="1"/>
    <xf numFmtId="169" fontId="12" fillId="0" borderId="0" xfId="0" applyNumberFormat="1" applyFont="1"/>
    <xf numFmtId="3" fontId="15" fillId="0" borderId="0" xfId="0" applyNumberFormat="1" applyFont="1" applyBorder="1"/>
    <xf numFmtId="3" fontId="12" fillId="0" borderId="0" xfId="0" applyNumberFormat="1" applyFont="1" applyBorder="1"/>
    <xf numFmtId="0" fontId="15" fillId="0" borderId="0" xfId="0" applyFont="1" applyBorder="1"/>
    <xf numFmtId="1" fontId="12" fillId="0" borderId="0" xfId="0" applyNumberFormat="1" applyFont="1"/>
    <xf numFmtId="0" fontId="16" fillId="0" borderId="0" xfId="0" applyFont="1"/>
    <xf numFmtId="0" fontId="12" fillId="0" borderId="0" xfId="0" applyFont="1" applyFill="1"/>
    <xf numFmtId="0" fontId="13" fillId="0" borderId="0" xfId="0" applyFont="1" applyFill="1"/>
    <xf numFmtId="170" fontId="12" fillId="0" borderId="0" xfId="0" applyNumberFormat="1" applyFont="1" applyFill="1"/>
    <xf numFmtId="0" fontId="16" fillId="0" borderId="0" xfId="0" applyFont="1" applyFill="1"/>
    <xf numFmtId="166" fontId="12" fillId="0" borderId="0" xfId="0" applyNumberFormat="1" applyFont="1" applyAlignment="1">
      <alignment horizontal="right"/>
    </xf>
    <xf numFmtId="0" fontId="15" fillId="0" borderId="0" xfId="0" applyFont="1" applyFill="1"/>
    <xf numFmtId="169" fontId="19" fillId="0" borderId="0" xfId="0" applyNumberFormat="1" applyFont="1" applyFill="1"/>
    <xf numFmtId="3" fontId="12" fillId="0" borderId="0" xfId="0" applyNumberFormat="1" applyFont="1" applyFill="1" applyAlignment="1">
      <alignment horizontal="right"/>
    </xf>
    <xf numFmtId="169" fontId="16" fillId="0" borderId="0" xfId="0" applyNumberFormat="1" applyFont="1" applyFill="1"/>
    <xf numFmtId="169" fontId="12" fillId="0" borderId="0" xfId="0" applyNumberFormat="1" applyFont="1" applyFill="1"/>
    <xf numFmtId="167" fontId="12" fillId="0" borderId="0" xfId="1" applyNumberFormat="1" applyFont="1" applyFill="1"/>
    <xf numFmtId="0" fontId="19" fillId="0" borderId="0" xfId="0" applyFont="1" applyFill="1"/>
    <xf numFmtId="3" fontId="16" fillId="0" borderId="0" xfId="0" applyNumberFormat="1" applyFont="1" applyFill="1"/>
    <xf numFmtId="167" fontId="19" fillId="0" borderId="0" xfId="1" applyNumberFormat="1" applyFont="1" applyFill="1"/>
    <xf numFmtId="0" fontId="0" fillId="0" borderId="0" xfId="0" applyBorder="1"/>
    <xf numFmtId="167" fontId="15" fillId="0" borderId="0" xfId="1" applyNumberFormat="1" applyFont="1"/>
    <xf numFmtId="167" fontId="16" fillId="0" borderId="0" xfId="1" applyNumberFormat="1" applyFont="1" applyFill="1" applyBorder="1" applyAlignment="1">
      <alignment horizontal="right"/>
    </xf>
    <xf numFmtId="167" fontId="16" fillId="0" borderId="0" xfId="1" applyNumberFormat="1" applyFont="1"/>
    <xf numFmtId="9" fontId="16" fillId="0" borderId="0" xfId="0" applyNumberFormat="1" applyFont="1" applyFill="1"/>
    <xf numFmtId="0" fontId="8" fillId="2" borderId="0" xfId="0" applyFont="1" applyFill="1"/>
    <xf numFmtId="9" fontId="19" fillId="0" borderId="0" xfId="1" applyFont="1"/>
    <xf numFmtId="9" fontId="12" fillId="0" borderId="0" xfId="0" applyNumberFormat="1" applyFont="1"/>
    <xf numFmtId="0" fontId="20" fillId="0" borderId="0" xfId="0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9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0" fontId="16" fillId="0" borderId="0" xfId="0" applyFont="1" applyFill="1" applyAlignment="1">
      <alignment horizontal="left"/>
    </xf>
    <xf numFmtId="0" fontId="24" fillId="0" borderId="0" xfId="0" applyFont="1" applyFill="1" applyAlignment="1">
      <alignment horizontal="left"/>
    </xf>
    <xf numFmtId="0" fontId="8" fillId="0" borderId="0" xfId="0" applyFont="1" applyFill="1" applyAlignment="1">
      <alignment horizontal="right"/>
    </xf>
    <xf numFmtId="0" fontId="16" fillId="0" borderId="0" xfId="0" applyFont="1" applyFill="1" applyAlignment="1">
      <alignment horizontal="left" indent="1"/>
    </xf>
    <xf numFmtId="0" fontId="24" fillId="3" borderId="0" xfId="0" applyFont="1" applyFill="1" applyAlignment="1">
      <alignment horizontal="left"/>
    </xf>
    <xf numFmtId="0" fontId="16" fillId="0" borderId="0" xfId="0" applyFont="1" applyFill="1" applyAlignment="1">
      <alignment horizontal="right"/>
    </xf>
    <xf numFmtId="167" fontId="12" fillId="0" borderId="0" xfId="0" applyNumberFormat="1" applyFont="1"/>
    <xf numFmtId="3" fontId="14" fillId="0" borderId="0" xfId="0" applyNumberFormat="1" applyFont="1"/>
    <xf numFmtId="0" fontId="8" fillId="0" borderId="0" xfId="0" applyFont="1" applyFill="1"/>
    <xf numFmtId="0" fontId="23" fillId="0" borderId="0" xfId="0" applyFont="1" applyFill="1"/>
    <xf numFmtId="0" fontId="25" fillId="0" borderId="0" xfId="0" applyFont="1" applyFill="1" applyAlignment="1">
      <alignment horizontal="left"/>
    </xf>
    <xf numFmtId="0" fontId="26" fillId="6" borderId="2" xfId="0" applyFont="1" applyFill="1" applyBorder="1" applyAlignment="1">
      <alignment horizontal="center"/>
    </xf>
    <xf numFmtId="0" fontId="24" fillId="0" borderId="0" xfId="0" applyFont="1" applyFill="1" applyAlignment="1">
      <alignment horizontal="center"/>
    </xf>
    <xf numFmtId="0" fontId="27" fillId="0" borderId="0" xfId="0" applyFont="1" applyFill="1"/>
    <xf numFmtId="0" fontId="11" fillId="0" borderId="0" xfId="0" applyFont="1" applyFill="1"/>
    <xf numFmtId="0" fontId="16" fillId="0" borderId="0" xfId="0" applyFont="1" applyFill="1" applyBorder="1" applyAlignment="1">
      <alignment horizontal="right"/>
    </xf>
    <xf numFmtId="8" fontId="24" fillId="0" borderId="0" xfId="0" applyNumberFormat="1" applyFont="1" applyFill="1" applyAlignment="1"/>
    <xf numFmtId="0" fontId="24" fillId="0" borderId="0" xfId="0" applyFont="1" applyFill="1" applyAlignment="1"/>
    <xf numFmtId="0" fontId="22" fillId="0" borderId="0" xfId="0" applyFont="1" applyFill="1" applyAlignment="1"/>
    <xf numFmtId="173" fontId="23" fillId="0" borderId="0" xfId="0" applyNumberFormat="1" applyFont="1" applyFill="1" applyBorder="1" applyAlignment="1">
      <alignment horizontal="left"/>
    </xf>
    <xf numFmtId="8" fontId="23" fillId="0" borderId="0" xfId="0" applyNumberFormat="1" applyFont="1" applyFill="1" applyAlignment="1"/>
    <xf numFmtId="0" fontId="22" fillId="0" borderId="0" xfId="0" applyFont="1" applyFill="1" applyAlignment="1">
      <alignment horizontal="right"/>
    </xf>
    <xf numFmtId="8" fontId="23" fillId="0" borderId="0" xfId="0" applyNumberFormat="1" applyFont="1" applyFill="1" applyAlignment="1">
      <alignment horizontal="left"/>
    </xf>
    <xf numFmtId="43" fontId="22" fillId="0" borderId="0" xfId="2" applyFont="1" applyFill="1" applyAlignment="1">
      <alignment horizontal="left"/>
    </xf>
    <xf numFmtId="43" fontId="16" fillId="0" borderId="0" xfId="2" applyFont="1" applyFill="1" applyAlignment="1">
      <alignment horizontal="right"/>
    </xf>
    <xf numFmtId="0" fontId="22" fillId="0" borderId="0" xfId="0" applyFont="1" applyFill="1" applyAlignment="1">
      <alignment horizontal="left" indent="1"/>
    </xf>
    <xf numFmtId="0" fontId="16" fillId="0" borderId="0" xfId="0" applyFont="1" applyFill="1" applyAlignment="1">
      <alignment horizontal="left" indent="2"/>
    </xf>
    <xf numFmtId="0" fontId="12" fillId="0" borderId="0" xfId="0" applyFont="1" applyFill="1" applyAlignment="1">
      <alignment horizontal="left" indent="1"/>
    </xf>
    <xf numFmtId="0" fontId="14" fillId="0" borderId="0" xfId="0" applyFont="1" applyFill="1"/>
    <xf numFmtId="0" fontId="23" fillId="0" borderId="0" xfId="0" applyFont="1" applyFill="1" applyAlignment="1"/>
    <xf numFmtId="167" fontId="19" fillId="0" borderId="0" xfId="0" applyNumberFormat="1" applyFont="1" applyFill="1"/>
    <xf numFmtId="170" fontId="16" fillId="0" borderId="0" xfId="0" applyNumberFormat="1" applyFont="1" applyFill="1"/>
    <xf numFmtId="17" fontId="12" fillId="0" borderId="0" xfId="0" applyNumberFormat="1" applyFont="1"/>
    <xf numFmtId="169" fontId="15" fillId="0" borderId="0" xfId="0" applyNumberFormat="1" applyFont="1"/>
    <xf numFmtId="0" fontId="12" fillId="7" borderId="0" xfId="0" applyFont="1" applyFill="1"/>
    <xf numFmtId="167" fontId="12" fillId="7" borderId="0" xfId="1" applyNumberFormat="1" applyFont="1" applyFill="1"/>
    <xf numFmtId="0" fontId="12" fillId="0" borderId="0" xfId="0" applyFont="1" applyFill="1" applyAlignment="1">
      <alignment horizontal="left" indent="2"/>
    </xf>
    <xf numFmtId="167" fontId="15" fillId="0" borderId="0" xfId="1" applyNumberFormat="1" applyFont="1" applyFill="1"/>
    <xf numFmtId="0" fontId="14" fillId="0" borderId="0" xfId="0" applyFont="1" applyAlignment="1">
      <alignment horizontal="left" indent="1"/>
    </xf>
    <xf numFmtId="0" fontId="29" fillId="0" borderId="0" xfId="0" applyFont="1"/>
    <xf numFmtId="3" fontId="22" fillId="0" borderId="0" xfId="0" applyNumberFormat="1" applyFont="1" applyAlignment="1">
      <alignment horizontal="right"/>
    </xf>
    <xf numFmtId="3" fontId="15" fillId="0" borderId="0" xfId="0" applyNumberFormat="1" applyFont="1" applyFill="1"/>
    <xf numFmtId="0" fontId="30" fillId="0" borderId="0" xfId="0" applyFont="1"/>
    <xf numFmtId="0" fontId="31" fillId="0" borderId="0" xfId="0" applyFont="1"/>
    <xf numFmtId="3" fontId="19" fillId="0" borderId="0" xfId="0" applyNumberFormat="1" applyFont="1" applyAlignment="1">
      <alignment horizontal="right"/>
    </xf>
    <xf numFmtId="0" fontId="9" fillId="0" borderId="0" xfId="0" applyFont="1"/>
    <xf numFmtId="9" fontId="30" fillId="0" borderId="0" xfId="1" applyFont="1"/>
    <xf numFmtId="3" fontId="14" fillId="0" borderId="0" xfId="0" applyNumberFormat="1" applyFont="1" applyAlignment="1">
      <alignment horizontal="right"/>
    </xf>
    <xf numFmtId="167" fontId="30" fillId="0" borderId="0" xfId="0" applyNumberFormat="1" applyFont="1"/>
    <xf numFmtId="3" fontId="12" fillId="7" borderId="0" xfId="0" applyNumberFormat="1" applyFont="1" applyFill="1"/>
    <xf numFmtId="0" fontId="13" fillId="7" borderId="0" xfId="0" applyFont="1" applyFill="1"/>
    <xf numFmtId="0" fontId="12" fillId="0" borderId="0" xfId="0" applyFont="1" applyAlignment="1">
      <alignment horizontal="left" indent="2"/>
    </xf>
    <xf numFmtId="3" fontId="27" fillId="0" borderId="0" xfId="0" applyNumberFormat="1" applyFont="1" applyBorder="1"/>
    <xf numFmtId="3" fontId="14" fillId="7" borderId="0" xfId="0" applyNumberFormat="1" applyFont="1" applyFill="1"/>
    <xf numFmtId="9" fontId="19" fillId="0" borderId="0" xfId="0" applyNumberFormat="1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/>
    </xf>
    <xf numFmtId="167" fontId="0" fillId="0" borderId="0" xfId="1" applyNumberFormat="1" applyFont="1"/>
    <xf numFmtId="9" fontId="16" fillId="7" borderId="0" xfId="0" applyNumberFormat="1" applyFont="1" applyFill="1"/>
    <xf numFmtId="167" fontId="15" fillId="7" borderId="0" xfId="1" applyNumberFormat="1" applyFont="1" applyFill="1"/>
    <xf numFmtId="3" fontId="15" fillId="7" borderId="0" xfId="0" applyNumberFormat="1" applyFont="1" applyFill="1" applyAlignment="1">
      <alignment horizontal="right"/>
    </xf>
    <xf numFmtId="3" fontId="16" fillId="0" borderId="0" xfId="2" applyNumberFormat="1" applyFont="1" applyFill="1" applyBorder="1" applyAlignment="1">
      <alignment horizontal="right"/>
    </xf>
    <xf numFmtId="3" fontId="15" fillId="0" borderId="0" xfId="0" applyNumberFormat="1" applyFont="1" applyFill="1" applyAlignment="1">
      <alignment horizontal="right"/>
    </xf>
    <xf numFmtId="167" fontId="30" fillId="7" borderId="0" xfId="1" applyNumberFormat="1" applyFont="1" applyFill="1" applyBorder="1"/>
    <xf numFmtId="3" fontId="16" fillId="0" borderId="0" xfId="0" applyNumberFormat="1" applyFont="1" applyBorder="1" applyAlignment="1">
      <alignment horizontal="right"/>
    </xf>
    <xf numFmtId="0" fontId="0" fillId="0" borderId="0" xfId="0" applyFill="1"/>
    <xf numFmtId="0" fontId="9" fillId="0" borderId="0" xfId="0" applyFont="1" applyFill="1"/>
    <xf numFmtId="0" fontId="24" fillId="0" borderId="0" xfId="0" applyFont="1"/>
    <xf numFmtId="167" fontId="0" fillId="0" borderId="0" xfId="0" applyNumberFormat="1"/>
    <xf numFmtId="167" fontId="0" fillId="0" borderId="0" xfId="1" applyNumberFormat="1" applyFont="1" applyAlignment="1">
      <alignment horizontal="right"/>
    </xf>
    <xf numFmtId="0" fontId="22" fillId="0" borderId="0" xfId="0" applyFont="1" applyFill="1"/>
    <xf numFmtId="0" fontId="28" fillId="0" borderId="0" xfId="0" applyFont="1"/>
    <xf numFmtId="9" fontId="0" fillId="0" borderId="0" xfId="1" applyFont="1" applyBorder="1"/>
    <xf numFmtId="0" fontId="12" fillId="0" borderId="0" xfId="0" applyFont="1" applyBorder="1"/>
    <xf numFmtId="3" fontId="16" fillId="0" borderId="0" xfId="1" applyNumberFormat="1" applyFont="1" applyFill="1" applyBorder="1" applyAlignment="1">
      <alignment horizontal="right"/>
    </xf>
    <xf numFmtId="3" fontId="22" fillId="0" borderId="0" xfId="2" applyNumberFormat="1" applyFont="1" applyFill="1" applyBorder="1" applyAlignment="1">
      <alignment horizontal="right"/>
    </xf>
    <xf numFmtId="167" fontId="12" fillId="0" borderId="0" xfId="1" applyNumberFormat="1" applyFont="1" applyBorder="1"/>
    <xf numFmtId="167" fontId="19" fillId="0" borderId="0" xfId="1" applyNumberFormat="1" applyFont="1"/>
    <xf numFmtId="171" fontId="19" fillId="0" borderId="0" xfId="0" applyNumberFormat="1" applyFont="1" applyFill="1"/>
    <xf numFmtId="171" fontId="12" fillId="0" borderId="0" xfId="0" applyNumberFormat="1" applyFont="1" applyFill="1"/>
    <xf numFmtId="170" fontId="19" fillId="0" borderId="0" xfId="0" applyNumberFormat="1" applyFont="1" applyFill="1"/>
    <xf numFmtId="9" fontId="16" fillId="0" borderId="0" xfId="1" applyNumberFormat="1" applyFont="1"/>
    <xf numFmtId="1" fontId="16" fillId="0" borderId="0" xfId="0" applyNumberFormat="1" applyFont="1"/>
    <xf numFmtId="0" fontId="27" fillId="0" borderId="0" xfId="0" applyFont="1"/>
    <xf numFmtId="1" fontId="14" fillId="0" borderId="0" xfId="0" applyNumberFormat="1" applyFont="1"/>
    <xf numFmtId="3" fontId="16" fillId="0" borderId="0" xfId="2" applyNumberFormat="1" applyFont="1" applyFill="1" applyAlignment="1">
      <alignment horizontal="right"/>
    </xf>
    <xf numFmtId="0" fontId="14" fillId="7" borderId="0" xfId="0" applyFont="1" applyFill="1"/>
    <xf numFmtId="0" fontId="22" fillId="7" borderId="0" xfId="0" applyFont="1" applyFill="1" applyAlignment="1">
      <alignment horizontal="left"/>
    </xf>
    <xf numFmtId="0" fontId="23" fillId="7" borderId="0" xfId="0" applyFont="1" applyFill="1" applyAlignment="1">
      <alignment horizontal="left"/>
    </xf>
    <xf numFmtId="0" fontId="22" fillId="7" borderId="0" xfId="0" applyFont="1" applyFill="1" applyAlignment="1">
      <alignment horizontal="right"/>
    </xf>
    <xf numFmtId="3" fontId="33" fillId="0" borderId="0" xfId="2" applyNumberFormat="1" applyFont="1" applyFill="1" applyBorder="1" applyAlignment="1">
      <alignment horizontal="right"/>
    </xf>
    <xf numFmtId="166" fontId="16" fillId="0" borderId="0" xfId="0" applyNumberFormat="1" applyFont="1"/>
    <xf numFmtId="3" fontId="16" fillId="0" borderId="0" xfId="0" applyNumberFormat="1" applyFont="1" applyFill="1" applyBorder="1" applyAlignment="1">
      <alignment horizontal="right"/>
    </xf>
    <xf numFmtId="3" fontId="16" fillId="0" borderId="0" xfId="0" applyNumberFormat="1" applyFont="1" applyFill="1" applyAlignment="1">
      <alignment horizontal="right"/>
    </xf>
    <xf numFmtId="3" fontId="15" fillId="0" borderId="0" xfId="0" applyNumberFormat="1" applyFont="1" applyFill="1" applyBorder="1" applyAlignment="1">
      <alignment horizontal="right"/>
    </xf>
    <xf numFmtId="4" fontId="15" fillId="0" borderId="0" xfId="0" applyNumberFormat="1" applyFont="1" applyFill="1" applyBorder="1" applyAlignment="1">
      <alignment horizontal="right"/>
    </xf>
    <xf numFmtId="4" fontId="12" fillId="0" borderId="0" xfId="0" applyNumberFormat="1" applyFont="1"/>
    <xf numFmtId="9" fontId="15" fillId="0" borderId="0" xfId="1" applyFont="1"/>
    <xf numFmtId="4" fontId="12" fillId="0" borderId="0" xfId="2" applyNumberFormat="1" applyFont="1" applyFill="1" applyAlignment="1">
      <alignment horizontal="right"/>
    </xf>
    <xf numFmtId="166" fontId="12" fillId="0" borderId="0" xfId="0" applyNumberFormat="1" applyFont="1"/>
    <xf numFmtId="166" fontId="12" fillId="0" borderId="0" xfId="0" applyNumberFormat="1" applyFont="1" applyBorder="1"/>
    <xf numFmtId="4" fontId="12" fillId="0" borderId="0" xfId="0" applyNumberFormat="1" applyFont="1" applyBorder="1"/>
    <xf numFmtId="167" fontId="16" fillId="0" borderId="0" xfId="1" applyNumberFormat="1" applyFont="1" applyFill="1" applyAlignment="1">
      <alignment horizontal="right"/>
    </xf>
    <xf numFmtId="166" fontId="33" fillId="0" borderId="0" xfId="2" applyNumberFormat="1" applyFont="1" applyFill="1" applyBorder="1" applyAlignment="1">
      <alignment horizontal="right"/>
    </xf>
    <xf numFmtId="3" fontId="16" fillId="7" borderId="0" xfId="0" applyNumberFormat="1" applyFont="1" applyFill="1"/>
    <xf numFmtId="167" fontId="12" fillId="0" borderId="0" xfId="1" applyNumberFormat="1" applyFont="1" applyFill="1" applyBorder="1"/>
    <xf numFmtId="172" fontId="12" fillId="0" borderId="0" xfId="2" applyNumberFormat="1" applyFont="1" applyFill="1" applyBorder="1"/>
    <xf numFmtId="3" fontId="12" fillId="0" borderId="0" xfId="0" applyNumberFormat="1" applyFont="1" applyBorder="1" applyAlignment="1">
      <alignment horizontal="right"/>
    </xf>
    <xf numFmtId="168" fontId="12" fillId="0" borderId="0" xfId="2" applyNumberFormat="1" applyFont="1" applyFill="1" applyBorder="1"/>
    <xf numFmtId="167" fontId="19" fillId="0" borderId="0" xfId="0" applyNumberFormat="1" applyFont="1" applyFill="1" applyBorder="1"/>
    <xf numFmtId="3" fontId="12" fillId="0" borderId="0" xfId="0" applyNumberFormat="1" applyFont="1" applyFill="1" applyBorder="1" applyAlignment="1">
      <alignment horizontal="right"/>
    </xf>
    <xf numFmtId="0" fontId="12" fillId="0" borderId="0" xfId="0" applyFont="1" applyFill="1" applyBorder="1"/>
    <xf numFmtId="170" fontId="16" fillId="0" borderId="0" xfId="0" applyNumberFormat="1" applyFont="1" applyFill="1" applyBorder="1"/>
    <xf numFmtId="171" fontId="19" fillId="0" borderId="0" xfId="0" applyNumberFormat="1" applyFont="1" applyFill="1" applyBorder="1"/>
    <xf numFmtId="3" fontId="12" fillId="0" borderId="0" xfId="0" applyNumberFormat="1" applyFont="1" applyFill="1" applyBorder="1"/>
    <xf numFmtId="169" fontId="12" fillId="0" borderId="0" xfId="0" applyNumberFormat="1" applyFont="1" applyFill="1" applyBorder="1"/>
    <xf numFmtId="0" fontId="16" fillId="7" borderId="0" xfId="0" applyFont="1" applyFill="1" applyAlignment="1"/>
    <xf numFmtId="166" fontId="12" fillId="0" borderId="0" xfId="0" applyNumberFormat="1" applyFont="1" applyBorder="1" applyAlignment="1">
      <alignment horizontal="right"/>
    </xf>
    <xf numFmtId="166" fontId="12" fillId="0" borderId="0" xfId="0" applyNumberFormat="1" applyFont="1" applyFill="1" applyBorder="1" applyAlignment="1">
      <alignment horizontal="right"/>
    </xf>
    <xf numFmtId="166" fontId="12" fillId="0" borderId="0" xfId="0" applyNumberFormat="1" applyFont="1" applyFill="1" applyBorder="1"/>
    <xf numFmtId="166" fontId="12" fillId="0" borderId="0" xfId="0" applyNumberFormat="1" applyFont="1" applyFill="1" applyAlignment="1">
      <alignment horizontal="right"/>
    </xf>
    <xf numFmtId="166" fontId="12" fillId="0" borderId="0" xfId="0" applyNumberFormat="1" applyFont="1" applyFill="1"/>
    <xf numFmtId="166" fontId="12" fillId="0" borderId="0" xfId="2" applyNumberFormat="1" applyFont="1" applyFill="1" applyBorder="1"/>
    <xf numFmtId="9" fontId="30" fillId="0" borderId="0" xfId="1" applyNumberFormat="1" applyFont="1" applyAlignment="1">
      <alignment horizontal="right"/>
    </xf>
    <xf numFmtId="9" fontId="14" fillId="0" borderId="0" xfId="1" applyFont="1" applyFill="1" applyAlignment="1">
      <alignment horizontal="right"/>
    </xf>
    <xf numFmtId="3" fontId="14" fillId="0" borderId="0" xfId="2" applyNumberFormat="1" applyFont="1" applyAlignment="1">
      <alignment horizontal="right"/>
    </xf>
    <xf numFmtId="167" fontId="30" fillId="0" borderId="0" xfId="1" applyNumberFormat="1" applyFont="1" applyAlignment="1">
      <alignment horizontal="right"/>
    </xf>
    <xf numFmtId="4" fontId="16" fillId="0" borderId="0" xfId="2" applyNumberFormat="1" applyFont="1" applyFill="1" applyBorder="1" applyAlignment="1">
      <alignment horizontal="right"/>
    </xf>
    <xf numFmtId="0" fontId="14" fillId="0" borderId="0" xfId="0" applyFont="1" applyAlignment="1"/>
    <xf numFmtId="9" fontId="14" fillId="0" borderId="0" xfId="0" applyNumberFormat="1" applyFont="1" applyFill="1" applyAlignment="1">
      <alignment horizontal="right"/>
    </xf>
    <xf numFmtId="168" fontId="16" fillId="0" borderId="0" xfId="2" applyNumberFormat="1" applyFont="1" applyFill="1" applyBorder="1" applyAlignment="1">
      <alignment horizontal="right"/>
    </xf>
    <xf numFmtId="172" fontId="16" fillId="0" borderId="0" xfId="2" applyNumberFormat="1" applyFont="1" applyFill="1" applyBorder="1" applyAlignment="1">
      <alignment horizontal="right"/>
    </xf>
    <xf numFmtId="3" fontId="14" fillId="0" borderId="0" xfId="0" applyNumberFormat="1" applyFont="1" applyFill="1" applyAlignment="1">
      <alignment horizontal="right"/>
    </xf>
    <xf numFmtId="172" fontId="8" fillId="2" borderId="0" xfId="0" applyNumberFormat="1" applyFont="1" applyFill="1" applyAlignment="1">
      <alignment horizontal="right"/>
    </xf>
    <xf numFmtId="3" fontId="14" fillId="0" borderId="0" xfId="2" applyNumberFormat="1" applyFont="1" applyFill="1" applyAlignment="1">
      <alignment horizontal="right"/>
    </xf>
    <xf numFmtId="0" fontId="12" fillId="0" borderId="0" xfId="0" applyFont="1" applyAlignment="1">
      <alignment horizontal="right"/>
    </xf>
    <xf numFmtId="173" fontId="12" fillId="0" borderId="0" xfId="0" applyNumberFormat="1" applyFont="1" applyFill="1" applyAlignment="1">
      <alignment horizontal="right"/>
    </xf>
    <xf numFmtId="3" fontId="12" fillId="0" borderId="0" xfId="2" applyNumberFormat="1" applyFont="1" applyAlignment="1">
      <alignment horizontal="right"/>
    </xf>
    <xf numFmtId="9" fontId="12" fillId="0" borderId="0" xfId="1" applyNumberFormat="1" applyFont="1" applyAlignment="1">
      <alignment horizontal="right"/>
    </xf>
    <xf numFmtId="172" fontId="12" fillId="0" borderId="0" xfId="2" applyNumberFormat="1" applyFont="1" applyFill="1" applyAlignment="1">
      <alignment horizontal="right"/>
    </xf>
    <xf numFmtId="175" fontId="12" fillId="0" borderId="0" xfId="0" applyNumberFormat="1" applyFont="1" applyFill="1" applyAlignment="1">
      <alignment horizontal="right"/>
    </xf>
    <xf numFmtId="9" fontId="12" fillId="0" borderId="0" xfId="1" applyNumberFormat="1" applyFont="1" applyFill="1" applyAlignment="1">
      <alignment horizontal="right"/>
    </xf>
    <xf numFmtId="9" fontId="12" fillId="0" borderId="0" xfId="1" applyFont="1" applyAlignment="1">
      <alignment horizontal="right"/>
    </xf>
    <xf numFmtId="9" fontId="12" fillId="0" borderId="0" xfId="0" applyNumberFormat="1" applyFont="1" applyFill="1" applyAlignment="1">
      <alignment horizontal="right"/>
    </xf>
    <xf numFmtId="176" fontId="12" fillId="0" borderId="0" xfId="0" applyNumberFormat="1" applyFont="1" applyAlignment="1">
      <alignment horizontal="left"/>
    </xf>
    <xf numFmtId="167" fontId="12" fillId="0" borderId="0" xfId="1" applyNumberFormat="1" applyFont="1" applyFill="1" applyAlignment="1">
      <alignment horizontal="right"/>
    </xf>
    <xf numFmtId="177" fontId="12" fillId="0" borderId="0" xfId="0" applyNumberFormat="1" applyFont="1" applyAlignment="1">
      <alignment horizontal="left"/>
    </xf>
    <xf numFmtId="0" fontId="12" fillId="0" borderId="0" xfId="0" quotePrefix="1" applyFont="1" applyAlignment="1">
      <alignment horizontal="left" indent="1"/>
    </xf>
    <xf numFmtId="15" fontId="13" fillId="0" borderId="0" xfId="0" applyNumberFormat="1" applyFont="1"/>
    <xf numFmtId="0" fontId="34" fillId="6" borderId="0" xfId="0" applyFont="1" applyFill="1"/>
    <xf numFmtId="0" fontId="24" fillId="0" borderId="0" xfId="0" applyFont="1" applyFill="1"/>
    <xf numFmtId="0" fontId="28" fillId="0" borderId="4" xfId="0" applyFont="1" applyBorder="1"/>
    <xf numFmtId="0" fontId="11" fillId="0" borderId="0" xfId="0" applyFont="1"/>
    <xf numFmtId="0" fontId="20" fillId="0" borderId="0" xfId="0" applyFont="1" applyFill="1" applyAlignment="1">
      <alignment horizontal="center"/>
    </xf>
    <xf numFmtId="0" fontId="35" fillId="0" borderId="0" xfId="0" applyFont="1"/>
    <xf numFmtId="0" fontId="10" fillId="0" borderId="0" xfId="0" applyFont="1"/>
    <xf numFmtId="9" fontId="19" fillId="0" borderId="0" xfId="1" applyFont="1" applyFill="1"/>
    <xf numFmtId="0" fontId="27" fillId="7" borderId="0" xfId="3" applyFont="1" applyFill="1"/>
    <xf numFmtId="0" fontId="12" fillId="7" borderId="0" xfId="3" applyFill="1"/>
    <xf numFmtId="0" fontId="9" fillId="7" borderId="5" xfId="3" applyFont="1" applyFill="1" applyBorder="1"/>
    <xf numFmtId="0" fontId="28" fillId="7" borderId="6" xfId="3" applyFont="1" applyFill="1" applyBorder="1"/>
    <xf numFmtId="0" fontId="9" fillId="7" borderId="8" xfId="3" applyFont="1" applyFill="1" applyBorder="1"/>
    <xf numFmtId="0" fontId="9" fillId="7" borderId="9" xfId="3" applyFont="1" applyFill="1" applyBorder="1" applyAlignment="1">
      <alignment horizontal="right"/>
    </xf>
    <xf numFmtId="0" fontId="9" fillId="7" borderId="8" xfId="3" applyFont="1" applyFill="1" applyBorder="1" applyAlignment="1">
      <alignment horizontal="right"/>
    </xf>
    <xf numFmtId="0" fontId="9" fillId="7" borderId="10" xfId="3" applyFont="1" applyFill="1" applyBorder="1" applyAlignment="1">
      <alignment horizontal="right"/>
    </xf>
    <xf numFmtId="0" fontId="36" fillId="7" borderId="0" xfId="3" applyFont="1" applyFill="1"/>
    <xf numFmtId="0" fontId="36" fillId="7" borderId="0" xfId="3" applyFont="1" applyFill="1" applyAlignment="1">
      <alignment horizontal="right"/>
    </xf>
    <xf numFmtId="0" fontId="12" fillId="7" borderId="11" xfId="3" applyFill="1" applyBorder="1"/>
    <xf numFmtId="9" fontId="19" fillId="7" borderId="0" xfId="3" applyNumberFormat="1" applyFont="1" applyFill="1" applyBorder="1"/>
    <xf numFmtId="173" fontId="16" fillId="7" borderId="0" xfId="3" applyNumberFormat="1" applyFont="1" applyFill="1" applyBorder="1" applyAlignment="1">
      <alignment horizontal="right"/>
    </xf>
    <xf numFmtId="178" fontId="12" fillId="7" borderId="11" xfId="3" applyNumberFormat="1" applyFill="1" applyBorder="1"/>
    <xf numFmtId="178" fontId="12" fillId="7" borderId="0" xfId="3" applyNumberFormat="1" applyFill="1" applyBorder="1"/>
    <xf numFmtId="178" fontId="12" fillId="7" borderId="12" xfId="3" applyNumberFormat="1" applyFill="1" applyBorder="1"/>
    <xf numFmtId="0" fontId="15" fillId="7" borderId="0" xfId="3" applyFont="1" applyFill="1"/>
    <xf numFmtId="3" fontId="36" fillId="7" borderId="0" xfId="3" applyNumberFormat="1" applyFont="1" applyFill="1"/>
    <xf numFmtId="0" fontId="12" fillId="7" borderId="8" xfId="3" applyFill="1" applyBorder="1"/>
    <xf numFmtId="9" fontId="19" fillId="7" borderId="9" xfId="3" applyNumberFormat="1" applyFont="1" applyFill="1" applyBorder="1"/>
    <xf numFmtId="173" fontId="16" fillId="7" borderId="9" xfId="3" applyNumberFormat="1" applyFont="1" applyFill="1" applyBorder="1" applyAlignment="1">
      <alignment horizontal="right"/>
    </xf>
    <xf numFmtId="178" fontId="12" fillId="7" borderId="8" xfId="3" applyNumberFormat="1" applyFill="1" applyBorder="1"/>
    <xf numFmtId="178" fontId="12" fillId="7" borderId="9" xfId="3" applyNumberFormat="1" applyFill="1" applyBorder="1"/>
    <xf numFmtId="178" fontId="12" fillId="7" borderId="10" xfId="3" applyNumberFormat="1" applyFill="1" applyBorder="1"/>
    <xf numFmtId="4" fontId="36" fillId="7" borderId="0" xfId="3" applyNumberFormat="1" applyFont="1" applyFill="1"/>
    <xf numFmtId="0" fontId="14" fillId="7" borderId="13" xfId="3" applyFont="1" applyFill="1" applyBorder="1"/>
    <xf numFmtId="9" fontId="14" fillId="7" borderId="14" xfId="3" applyNumberFormat="1" applyFont="1" applyFill="1" applyBorder="1"/>
    <xf numFmtId="173" fontId="22" fillId="6" borderId="15" xfId="3" applyNumberFormat="1" applyFont="1" applyFill="1" applyBorder="1"/>
    <xf numFmtId="178" fontId="14" fillId="7" borderId="13" xfId="3" applyNumberFormat="1" applyFont="1" applyFill="1" applyBorder="1"/>
    <xf numFmtId="178" fontId="14" fillId="7" borderId="14" xfId="3" applyNumberFormat="1" applyFont="1" applyFill="1" applyBorder="1"/>
    <xf numFmtId="178" fontId="14" fillId="7" borderId="16" xfId="3" applyNumberFormat="1" applyFont="1" applyFill="1" applyBorder="1"/>
    <xf numFmtId="0" fontId="12" fillId="7" borderId="11" xfId="3" applyFont="1" applyFill="1" applyBorder="1" applyAlignment="1">
      <alignment horizontal="left" indent="1"/>
    </xf>
    <xf numFmtId="9" fontId="14" fillId="7" borderId="0" xfId="3" applyNumberFormat="1" applyFont="1" applyFill="1" applyBorder="1"/>
    <xf numFmtId="9" fontId="16" fillId="6" borderId="15" xfId="4" applyFont="1" applyFill="1" applyBorder="1"/>
    <xf numFmtId="0" fontId="14" fillId="7" borderId="11" xfId="3" applyFont="1" applyFill="1" applyBorder="1"/>
    <xf numFmtId="0" fontId="14" fillId="7" borderId="0" xfId="3" applyFont="1" applyFill="1" applyBorder="1"/>
    <xf numFmtId="0" fontId="14" fillId="7" borderId="12" xfId="3" applyFont="1" applyFill="1" applyBorder="1"/>
    <xf numFmtId="0" fontId="12" fillId="7" borderId="8" xfId="3" applyFill="1" applyBorder="1" applyAlignment="1">
      <alignment horizontal="left" indent="1"/>
    </xf>
    <xf numFmtId="9" fontId="12" fillId="7" borderId="9" xfId="3" applyNumberFormat="1" applyFill="1" applyBorder="1" applyAlignment="1">
      <alignment horizontal="right"/>
    </xf>
    <xf numFmtId="9" fontId="12" fillId="7" borderId="10" xfId="3" applyNumberFormat="1" applyFill="1" applyBorder="1" applyAlignment="1">
      <alignment horizontal="right"/>
    </xf>
    <xf numFmtId="0" fontId="12" fillId="7" borderId="9" xfId="3" applyFill="1" applyBorder="1"/>
    <xf numFmtId="0" fontId="12" fillId="7" borderId="10" xfId="3" applyFill="1" applyBorder="1"/>
    <xf numFmtId="0" fontId="12" fillId="7" borderId="0" xfId="3" applyFill="1" applyBorder="1"/>
    <xf numFmtId="9" fontId="12" fillId="7" borderId="0" xfId="3" applyNumberFormat="1" applyFill="1" applyBorder="1" applyAlignment="1">
      <alignment horizontal="right"/>
    </xf>
    <xf numFmtId="0" fontId="9" fillId="7" borderId="0" xfId="3" applyFont="1" applyFill="1" applyBorder="1"/>
    <xf numFmtId="0" fontId="9" fillId="7" borderId="0" xfId="3" applyFont="1" applyFill="1" applyBorder="1" applyAlignment="1">
      <alignment horizontal="right"/>
    </xf>
    <xf numFmtId="9" fontId="14" fillId="7" borderId="0" xfId="3" applyNumberFormat="1" applyFont="1" applyFill="1" applyBorder="1" applyAlignment="1">
      <alignment horizontal="center"/>
    </xf>
    <xf numFmtId="0" fontId="14" fillId="7" borderId="0" xfId="3" applyFont="1" applyFill="1" applyBorder="1" applyAlignment="1">
      <alignment horizontal="center"/>
    </xf>
    <xf numFmtId="0" fontId="14" fillId="7" borderId="9" xfId="3" applyFont="1" applyFill="1" applyBorder="1" applyAlignment="1">
      <alignment horizontal="left"/>
    </xf>
    <xf numFmtId="9" fontId="14" fillId="7" borderId="9" xfId="3" applyNumberFormat="1" applyFont="1" applyFill="1" applyBorder="1" applyAlignment="1">
      <alignment horizontal="center"/>
    </xf>
    <xf numFmtId="173" fontId="16" fillId="7" borderId="17" xfId="3" applyNumberFormat="1" applyFont="1" applyFill="1" applyBorder="1" applyAlignment="1">
      <alignment horizontal="right"/>
    </xf>
    <xf numFmtId="0" fontId="14" fillId="7" borderId="0" xfId="3" applyFont="1" applyFill="1"/>
    <xf numFmtId="0" fontId="14" fillId="7" borderId="0" xfId="3" applyFont="1" applyFill="1" applyAlignment="1">
      <alignment horizontal="right"/>
    </xf>
    <xf numFmtId="180" fontId="15" fillId="6" borderId="0" xfId="3" applyNumberFormat="1" applyFont="1" applyFill="1"/>
    <xf numFmtId="169" fontId="12" fillId="7" borderId="0" xfId="3" applyNumberFormat="1" applyFill="1"/>
    <xf numFmtId="0" fontId="12" fillId="7" borderId="14" xfId="3" applyFill="1" applyBorder="1"/>
    <xf numFmtId="0" fontId="14" fillId="7" borderId="14" xfId="3" applyFont="1" applyFill="1" applyBorder="1" applyAlignment="1">
      <alignment horizontal="right"/>
    </xf>
    <xf numFmtId="0" fontId="14" fillId="7" borderId="16" xfId="3" applyFont="1" applyFill="1" applyBorder="1" applyAlignment="1">
      <alignment horizontal="right"/>
    </xf>
    <xf numFmtId="4" fontId="12" fillId="7" borderId="0" xfId="3" applyNumberFormat="1" applyFill="1" applyBorder="1"/>
    <xf numFmtId="4" fontId="12" fillId="7" borderId="12" xfId="3" applyNumberFormat="1" applyFill="1" applyBorder="1"/>
    <xf numFmtId="0" fontId="12" fillId="7" borderId="11" xfId="3" applyFill="1" applyBorder="1" applyAlignment="1">
      <alignment horizontal="left" indent="1"/>
    </xf>
    <xf numFmtId="180" fontId="12" fillId="7" borderId="0" xfId="3" applyNumberFormat="1" applyFill="1" applyBorder="1"/>
    <xf numFmtId="180" fontId="12" fillId="7" borderId="12" xfId="3" applyNumberFormat="1" applyFill="1" applyBorder="1"/>
    <xf numFmtId="9" fontId="19" fillId="7" borderId="12" xfId="3" applyNumberFormat="1" applyFont="1" applyFill="1" applyBorder="1"/>
    <xf numFmtId="173" fontId="14" fillId="5" borderId="14" xfId="3" applyNumberFormat="1" applyFont="1" applyFill="1" applyBorder="1"/>
    <xf numFmtId="173" fontId="14" fillId="7" borderId="14" xfId="3" applyNumberFormat="1" applyFont="1" applyFill="1" applyBorder="1"/>
    <xf numFmtId="173" fontId="14" fillId="7" borderId="16" xfId="3" applyNumberFormat="1" applyFont="1" applyFill="1" applyBorder="1"/>
    <xf numFmtId="0" fontId="12" fillId="7" borderId="0" xfId="3" applyFill="1" applyAlignment="1">
      <alignment horizontal="left" indent="1"/>
    </xf>
    <xf numFmtId="3" fontId="12" fillId="7" borderId="0" xfId="3" applyNumberFormat="1" applyFill="1"/>
    <xf numFmtId="0" fontId="19" fillId="7" borderId="0" xfId="3" applyFont="1" applyFill="1"/>
    <xf numFmtId="0" fontId="22" fillId="7" borderId="0" xfId="3" applyFont="1" applyFill="1"/>
    <xf numFmtId="0" fontId="14" fillId="7" borderId="0" xfId="3" applyFont="1" applyFill="1" applyAlignment="1">
      <alignment horizontal="left"/>
    </xf>
    <xf numFmtId="3" fontId="14" fillId="7" borderId="0" xfId="3" applyNumberFormat="1" applyFont="1" applyFill="1"/>
    <xf numFmtId="3" fontId="12" fillId="7" borderId="0" xfId="3" applyNumberFormat="1" applyFont="1" applyFill="1"/>
    <xf numFmtId="3" fontId="19" fillId="7" borderId="0" xfId="3" applyNumberFormat="1" applyFont="1" applyFill="1"/>
    <xf numFmtId="180" fontId="16" fillId="6" borderId="0" xfId="3" applyNumberFormat="1" applyFont="1" applyFill="1" applyBorder="1"/>
    <xf numFmtId="180" fontId="19" fillId="6" borderId="0" xfId="3" applyNumberFormat="1" applyFont="1" applyFill="1" applyBorder="1"/>
    <xf numFmtId="180" fontId="19" fillId="7" borderId="0" xfId="3" applyNumberFormat="1" applyFont="1" applyFill="1" applyBorder="1"/>
    <xf numFmtId="9" fontId="19" fillId="7" borderId="0" xfId="3" applyNumberFormat="1" applyFont="1" applyFill="1"/>
    <xf numFmtId="0" fontId="12" fillId="7" borderId="5" xfId="3" applyFill="1" applyBorder="1"/>
    <xf numFmtId="0" fontId="14" fillId="7" borderId="6" xfId="3" applyFont="1" applyFill="1" applyBorder="1" applyAlignment="1">
      <alignment horizontal="right"/>
    </xf>
    <xf numFmtId="0" fontId="12" fillId="7" borderId="6" xfId="3" applyFill="1" applyBorder="1"/>
    <xf numFmtId="0" fontId="12" fillId="7" borderId="7" xfId="3" applyFill="1" applyBorder="1"/>
    <xf numFmtId="0" fontId="14" fillId="7" borderId="8" xfId="3" applyFont="1" applyFill="1" applyBorder="1" applyAlignment="1">
      <alignment horizontal="right"/>
    </xf>
    <xf numFmtId="0" fontId="14" fillId="7" borderId="9" xfId="3" applyFont="1" applyFill="1" applyBorder="1" applyAlignment="1">
      <alignment horizontal="right"/>
    </xf>
    <xf numFmtId="0" fontId="14" fillId="7" borderId="10" xfId="3" applyFont="1" applyFill="1" applyBorder="1" applyAlignment="1">
      <alignment horizontal="right"/>
    </xf>
    <xf numFmtId="3" fontId="14" fillId="7" borderId="11" xfId="3" applyNumberFormat="1" applyFont="1" applyFill="1" applyBorder="1"/>
    <xf numFmtId="178" fontId="14" fillId="7" borderId="0" xfId="3" applyNumberFormat="1" applyFont="1" applyFill="1" applyBorder="1" applyAlignment="1">
      <alignment horizontal="right"/>
    </xf>
    <xf numFmtId="3" fontId="14" fillId="7" borderId="0" xfId="3" applyNumberFormat="1" applyFont="1" applyFill="1" applyBorder="1" applyAlignment="1">
      <alignment horizontal="right"/>
    </xf>
    <xf numFmtId="3" fontId="12" fillId="7" borderId="11" xfId="3" applyNumberFormat="1" applyFill="1" applyBorder="1"/>
    <xf numFmtId="3" fontId="12" fillId="7" borderId="0" xfId="3" applyNumberFormat="1" applyFill="1" applyBorder="1"/>
    <xf numFmtId="3" fontId="12" fillId="7" borderId="12" xfId="3" applyNumberFormat="1" applyFill="1" applyBorder="1"/>
    <xf numFmtId="3" fontId="19" fillId="7" borderId="9" xfId="3" applyNumberFormat="1" applyFont="1" applyFill="1" applyBorder="1"/>
    <xf numFmtId="0" fontId="14" fillId="7" borderId="8" xfId="3" applyFont="1" applyFill="1" applyBorder="1" applyAlignment="1">
      <alignment horizontal="left" indent="1"/>
    </xf>
    <xf numFmtId="173" fontId="12" fillId="5" borderId="9" xfId="3" applyNumberFormat="1" applyFill="1" applyBorder="1"/>
    <xf numFmtId="173" fontId="12" fillId="7" borderId="9" xfId="3" applyNumberFormat="1" applyFill="1" applyBorder="1"/>
    <xf numFmtId="173" fontId="12" fillId="7" borderId="10" xfId="3" applyNumberFormat="1" applyFill="1" applyBorder="1"/>
    <xf numFmtId="0" fontId="12" fillId="7" borderId="0" xfId="3" applyFont="1" applyFill="1"/>
    <xf numFmtId="9" fontId="16" fillId="7" borderId="0" xfId="3" applyNumberFormat="1" applyFont="1" applyFill="1"/>
    <xf numFmtId="167" fontId="14" fillId="7" borderId="0" xfId="4" applyNumberFormat="1" applyFont="1" applyFill="1"/>
    <xf numFmtId="15" fontId="12" fillId="7" borderId="0" xfId="3" applyNumberFormat="1" applyFill="1"/>
    <xf numFmtId="3" fontId="12" fillId="0" borderId="0" xfId="3" applyNumberFormat="1" applyFill="1"/>
    <xf numFmtId="167" fontId="12" fillId="7" borderId="0" xfId="3" applyNumberFormat="1" applyFill="1"/>
    <xf numFmtId="1" fontId="12" fillId="7" borderId="0" xfId="3" applyNumberFormat="1" applyFill="1"/>
    <xf numFmtId="1" fontId="12" fillId="6" borderId="0" xfId="3" applyNumberFormat="1" applyFill="1"/>
    <xf numFmtId="0" fontId="12" fillId="5" borderId="0" xfId="3" applyFill="1"/>
    <xf numFmtId="0" fontId="12" fillId="7" borderId="0" xfId="3" applyFill="1" applyAlignment="1">
      <alignment horizontal="right"/>
    </xf>
    <xf numFmtId="173" fontId="12" fillId="7" borderId="0" xfId="3" applyNumberFormat="1" applyFill="1"/>
    <xf numFmtId="173" fontId="14" fillId="5" borderId="0" xfId="3" applyNumberFormat="1" applyFont="1" applyFill="1"/>
    <xf numFmtId="9" fontId="12" fillId="7" borderId="0" xfId="4" applyFont="1" applyFill="1" applyBorder="1"/>
    <xf numFmtId="9" fontId="12" fillId="7" borderId="18" xfId="4" applyFont="1" applyFill="1" applyBorder="1"/>
    <xf numFmtId="9" fontId="12" fillId="7" borderId="19" xfId="4" applyFont="1" applyFill="1" applyBorder="1"/>
    <xf numFmtId="9" fontId="12" fillId="7" borderId="20" xfId="4" applyFont="1" applyFill="1" applyBorder="1"/>
    <xf numFmtId="173" fontId="14" fillId="5" borderId="0" xfId="3" applyNumberFormat="1" applyFont="1" applyFill="1" applyBorder="1"/>
    <xf numFmtId="4" fontId="16" fillId="7" borderId="0" xfId="0" applyNumberFormat="1" applyFont="1" applyFill="1" applyBorder="1"/>
    <xf numFmtId="4" fontId="12" fillId="7" borderId="16" xfId="3" applyNumberFormat="1" applyFont="1" applyFill="1" applyBorder="1"/>
    <xf numFmtId="169" fontId="19" fillId="8" borderId="0" xfId="3" applyNumberFormat="1" applyFont="1" applyFill="1"/>
    <xf numFmtId="9" fontId="19" fillId="8" borderId="0" xfId="3" applyNumberFormat="1" applyFont="1" applyFill="1"/>
    <xf numFmtId="9" fontId="37" fillId="8" borderId="0" xfId="3" applyNumberFormat="1" applyFont="1" applyFill="1"/>
    <xf numFmtId="175" fontId="34" fillId="8" borderId="3" xfId="0" applyNumberFormat="1" applyFont="1" applyFill="1" applyBorder="1"/>
    <xf numFmtId="9" fontId="12" fillId="0" borderId="0" xfId="0" applyNumberFormat="1" applyFont="1" applyBorder="1"/>
    <xf numFmtId="0" fontId="53" fillId="0" borderId="0" xfId="0" applyFont="1"/>
    <xf numFmtId="169" fontId="16" fillId="0" borderId="0" xfId="0" applyNumberFormat="1" applyFont="1"/>
    <xf numFmtId="3" fontId="15" fillId="0" borderId="0" xfId="0" applyNumberFormat="1" applyFont="1"/>
    <xf numFmtId="166" fontId="16" fillId="0" borderId="0" xfId="0" applyNumberFormat="1" applyFont="1" applyBorder="1"/>
    <xf numFmtId="3" fontId="22" fillId="0" borderId="0" xfId="0" applyNumberFormat="1" applyFont="1"/>
    <xf numFmtId="2" fontId="15" fillId="0" borderId="0" xfId="0" applyNumberFormat="1" applyFont="1"/>
    <xf numFmtId="3" fontId="14" fillId="0" borderId="0" xfId="0" applyNumberFormat="1" applyFont="1" applyBorder="1"/>
    <xf numFmtId="1" fontId="16" fillId="0" borderId="0" xfId="0" applyNumberFormat="1" applyFont="1" applyBorder="1"/>
    <xf numFmtId="9" fontId="12" fillId="0" borderId="0" xfId="1" applyFont="1" applyBorder="1"/>
    <xf numFmtId="3" fontId="27" fillId="0" borderId="0" xfId="0" applyNumberFormat="1" applyFont="1"/>
    <xf numFmtId="3" fontId="15" fillId="0" borderId="0" xfId="0" applyNumberFormat="1" applyFont="1" applyFill="1" applyBorder="1"/>
    <xf numFmtId="3" fontId="15" fillId="7" borderId="0" xfId="0" applyNumberFormat="1" applyFont="1" applyFill="1"/>
    <xf numFmtId="3" fontId="12" fillId="0" borderId="0" xfId="0" applyNumberFormat="1" applyFont="1" applyFill="1"/>
    <xf numFmtId="1" fontId="12" fillId="0" borderId="0" xfId="0" applyNumberFormat="1" applyFont="1" applyBorder="1"/>
    <xf numFmtId="9" fontId="15" fillId="0" borderId="0" xfId="1" applyNumberFormat="1" applyFont="1" applyFill="1"/>
    <xf numFmtId="9" fontId="16" fillId="0" borderId="0" xfId="1" applyNumberFormat="1" applyFont="1" applyFill="1" applyBorder="1" applyAlignment="1">
      <alignment horizontal="right"/>
    </xf>
    <xf numFmtId="9" fontId="12" fillId="0" borderId="0" xfId="0" applyNumberFormat="1" applyFont="1" applyFill="1"/>
    <xf numFmtId="9" fontId="15" fillId="0" borderId="0" xfId="1" applyNumberFormat="1" applyFont="1"/>
    <xf numFmtId="9" fontId="12" fillId="0" borderId="0" xfId="1" applyNumberFormat="1" applyFont="1"/>
    <xf numFmtId="9" fontId="16" fillId="0" borderId="0" xfId="1" applyNumberFormat="1" applyFont="1" applyFill="1"/>
    <xf numFmtId="0" fontId="26" fillId="6" borderId="0" xfId="0" applyFont="1" applyFill="1" applyBorder="1" applyAlignment="1">
      <alignment horizontal="center"/>
    </xf>
    <xf numFmtId="0" fontId="28" fillId="0" borderId="0" xfId="0" applyFont="1" applyBorder="1"/>
    <xf numFmtId="17" fontId="12" fillId="0" borderId="0" xfId="0" applyNumberFormat="1" applyFont="1" applyBorder="1"/>
    <xf numFmtId="169" fontId="15" fillId="0" borderId="0" xfId="0" applyNumberFormat="1" applyFont="1" applyBorder="1"/>
    <xf numFmtId="9" fontId="12" fillId="0" borderId="0" xfId="1" applyFont="1" applyFill="1" applyBorder="1"/>
    <xf numFmtId="169" fontId="12" fillId="0" borderId="0" xfId="0" applyNumberFormat="1" applyFont="1" applyBorder="1"/>
    <xf numFmtId="3" fontId="19" fillId="0" borderId="0" xfId="2" applyNumberFormat="1" applyFont="1" applyFill="1" applyBorder="1" applyAlignment="1">
      <alignment horizontal="right"/>
    </xf>
    <xf numFmtId="17" fontId="12" fillId="0" borderId="0" xfId="0" applyNumberFormat="1" applyFont="1" applyFill="1"/>
    <xf numFmtId="169" fontId="15" fillId="0" borderId="0" xfId="0" applyNumberFormat="1" applyFont="1" applyFill="1"/>
    <xf numFmtId="169" fontId="16" fillId="0" borderId="0" xfId="0" applyNumberFormat="1" applyFont="1" applyBorder="1"/>
    <xf numFmtId="167" fontId="54" fillId="0" borderId="0" xfId="1" applyNumberFormat="1" applyFont="1" applyFill="1" applyBorder="1"/>
    <xf numFmtId="0" fontId="54" fillId="0" borderId="0" xfId="0" applyFont="1" applyFill="1" applyBorder="1"/>
    <xf numFmtId="166" fontId="54" fillId="0" borderId="0" xfId="0" applyNumberFormat="1" applyFont="1" applyFill="1" applyBorder="1" applyAlignment="1">
      <alignment horizontal="right"/>
    </xf>
    <xf numFmtId="0" fontId="54" fillId="0" borderId="0" xfId="0" applyFont="1" applyFill="1"/>
    <xf numFmtId="166" fontId="15" fillId="0" borderId="0" xfId="0" applyNumberFormat="1" applyFont="1" applyBorder="1"/>
    <xf numFmtId="169" fontId="12" fillId="0" borderId="0" xfId="0" applyNumberFormat="1" applyFont="1" applyFill="1" applyBorder="1" applyAlignment="1">
      <alignment horizontal="right"/>
    </xf>
    <xf numFmtId="9" fontId="54" fillId="0" borderId="0" xfId="0" applyNumberFormat="1" applyFont="1"/>
    <xf numFmtId="9" fontId="16" fillId="0" borderId="0" xfId="0" applyNumberFormat="1" applyFont="1"/>
    <xf numFmtId="169" fontId="54" fillId="0" borderId="0" xfId="0" applyNumberFormat="1" applyFont="1" applyBorder="1"/>
    <xf numFmtId="9" fontId="15" fillId="0" borderId="0" xfId="0" applyNumberFormat="1" applyFont="1" applyBorder="1"/>
    <xf numFmtId="166" fontId="14" fillId="0" borderId="0" xfId="0" applyNumberFormat="1" applyFont="1" applyFill="1"/>
    <xf numFmtId="3" fontId="16" fillId="0" borderId="0" xfId="0" applyNumberFormat="1" applyFont="1" applyFill="1" applyBorder="1"/>
    <xf numFmtId="3" fontId="27" fillId="0" borderId="0" xfId="0" applyNumberFormat="1" applyFont="1" applyFill="1"/>
    <xf numFmtId="3" fontId="22" fillId="0" borderId="0" xfId="0" applyNumberFormat="1" applyFont="1" applyFill="1"/>
    <xf numFmtId="3" fontId="14" fillId="0" borderId="0" xfId="0" applyNumberFormat="1" applyFont="1" applyFill="1"/>
    <xf numFmtId="166" fontId="15" fillId="0" borderId="0" xfId="0" applyNumberFormat="1" applyFont="1" applyFill="1"/>
    <xf numFmtId="2" fontId="15" fillId="0" borderId="0" xfId="0" applyNumberFormat="1" applyFont="1" applyBorder="1"/>
    <xf numFmtId="9" fontId="15" fillId="0" borderId="0" xfId="1" applyFont="1" applyBorder="1"/>
    <xf numFmtId="0" fontId="12" fillId="0" borderId="0" xfId="0" applyFont="1" applyAlignment="1">
      <alignment horizontal="left" indent="3"/>
    </xf>
    <xf numFmtId="0" fontId="12" fillId="0" borderId="0" xfId="0" applyFont="1" applyFill="1" applyAlignment="1">
      <alignment horizontal="left" indent="3"/>
    </xf>
    <xf numFmtId="9" fontId="12" fillId="0" borderId="0" xfId="1" applyFont="1" applyFill="1"/>
    <xf numFmtId="167" fontId="16" fillId="0" borderId="0" xfId="1" applyNumberFormat="1" applyFont="1" applyBorder="1"/>
    <xf numFmtId="9" fontId="16" fillId="0" borderId="0" xfId="0" applyNumberFormat="1" applyFont="1" applyBorder="1"/>
    <xf numFmtId="9" fontId="16" fillId="0" borderId="0" xfId="1" applyFont="1" applyFill="1"/>
    <xf numFmtId="3" fontId="19" fillId="0" borderId="0" xfId="0" applyNumberFormat="1" applyFont="1" applyBorder="1"/>
    <xf numFmtId="3" fontId="19" fillId="0" borderId="0" xfId="0" applyNumberFormat="1" applyFont="1" applyFill="1" applyBorder="1"/>
    <xf numFmtId="166" fontId="16" fillId="0" borderId="0" xfId="0" applyNumberFormat="1" applyFont="1" applyFill="1" applyBorder="1" applyAlignment="1">
      <alignment horizontal="right"/>
    </xf>
    <xf numFmtId="9" fontId="12" fillId="0" borderId="0" xfId="1" applyNumberFormat="1" applyFont="1" applyBorder="1"/>
    <xf numFmtId="9" fontId="19" fillId="0" borderId="0" xfId="1" applyFont="1" applyFill="1" applyBorder="1"/>
    <xf numFmtId="0" fontId="26" fillId="0" borderId="0" xfId="0" applyFont="1" applyFill="1" applyBorder="1" applyAlignment="1">
      <alignment horizontal="center"/>
    </xf>
    <xf numFmtId="167" fontId="16" fillId="0" borderId="0" xfId="0" applyNumberFormat="1" applyFont="1" applyFill="1"/>
    <xf numFmtId="167" fontId="16" fillId="7" borderId="0" xfId="0" applyNumberFormat="1" applyFont="1" applyFill="1"/>
    <xf numFmtId="167" fontId="12" fillId="0" borderId="0" xfId="1" applyNumberFormat="1" applyFont="1" applyAlignment="1">
      <alignment horizontal="right"/>
    </xf>
    <xf numFmtId="43" fontId="34" fillId="8" borderId="3" xfId="2" applyFont="1" applyFill="1" applyBorder="1"/>
    <xf numFmtId="9" fontId="16" fillId="0" borderId="0" xfId="1" applyFont="1"/>
    <xf numFmtId="3" fontId="15" fillId="0" borderId="0" xfId="0" applyNumberFormat="1" applyFont="1" applyBorder="1" applyAlignment="1">
      <alignment horizontal="right"/>
    </xf>
    <xf numFmtId="0" fontId="13" fillId="0" borderId="0" xfId="0" applyFont="1" applyBorder="1"/>
    <xf numFmtId="169" fontId="19" fillId="0" borderId="0" xfId="0" applyNumberFormat="1" applyFont="1" applyBorder="1"/>
    <xf numFmtId="9" fontId="19" fillId="0" borderId="0" xfId="0" applyNumberFormat="1" applyFont="1" applyBorder="1"/>
    <xf numFmtId="169" fontId="19" fillId="0" borderId="0" xfId="0" applyNumberFormat="1" applyFont="1"/>
    <xf numFmtId="3" fontId="19" fillId="0" borderId="0" xfId="0" applyNumberFormat="1" applyFont="1" applyFill="1" applyBorder="1" applyAlignment="1">
      <alignment horizontal="right"/>
    </xf>
    <xf numFmtId="166" fontId="19" fillId="0" borderId="0" xfId="0" applyNumberFormat="1" applyFont="1" applyFill="1" applyBorder="1" applyAlignment="1">
      <alignment horizontal="right"/>
    </xf>
    <xf numFmtId="3" fontId="19" fillId="0" borderId="0" xfId="0" applyNumberFormat="1" applyFont="1" applyFill="1" applyAlignment="1">
      <alignment horizontal="right"/>
    </xf>
    <xf numFmtId="0" fontId="55" fillId="0" borderId="0" xfId="0" applyFont="1"/>
    <xf numFmtId="0" fontId="14" fillId="0" borderId="0" xfId="0" applyFont="1" applyBorder="1"/>
    <xf numFmtId="1" fontId="12" fillId="0" borderId="0" xfId="0" applyNumberFormat="1" applyFont="1" applyFill="1"/>
    <xf numFmtId="204" fontId="12" fillId="0" borderId="0" xfId="0" applyNumberFormat="1" applyFont="1" applyAlignment="1">
      <alignment horizontal="left"/>
    </xf>
    <xf numFmtId="0" fontId="21" fillId="0" borderId="26" xfId="0" applyFont="1" applyBorder="1" applyAlignment="1">
      <alignment horizontal="center"/>
    </xf>
    <xf numFmtId="3" fontId="56" fillId="0" borderId="0" xfId="0" applyNumberFormat="1" applyFont="1" applyFill="1" applyAlignment="1">
      <alignment horizontal="right"/>
    </xf>
    <xf numFmtId="9" fontId="14" fillId="0" borderId="0" xfId="1" applyFont="1" applyBorder="1"/>
    <xf numFmtId="2" fontId="12" fillId="0" borderId="0" xfId="0" applyNumberFormat="1" applyFont="1" applyFill="1"/>
    <xf numFmtId="0" fontId="6" fillId="0" borderId="0" xfId="0" applyFont="1"/>
    <xf numFmtId="3" fontId="19" fillId="0" borderId="0" xfId="0" applyNumberFormat="1" applyFont="1"/>
    <xf numFmtId="1" fontId="22" fillId="0" borderId="0" xfId="0" applyNumberFormat="1" applyFont="1"/>
    <xf numFmtId="3" fontId="6" fillId="0" borderId="0" xfId="0" applyNumberFormat="1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indent="1"/>
    </xf>
    <xf numFmtId="3" fontId="57" fillId="0" borderId="0" xfId="0" applyNumberFormat="1" applyFont="1"/>
    <xf numFmtId="9" fontId="6" fillId="0" borderId="0" xfId="1" applyFont="1"/>
    <xf numFmtId="3" fontId="14" fillId="7" borderId="0" xfId="0" applyNumberFormat="1" applyFont="1" applyFill="1" applyBorder="1"/>
    <xf numFmtId="169" fontId="19" fillId="0" borderId="0" xfId="0" applyNumberFormat="1" applyFont="1" applyFill="1" applyBorder="1"/>
    <xf numFmtId="9" fontId="12" fillId="0" borderId="0" xfId="0" applyNumberFormat="1" applyFont="1" applyFill="1" applyBorder="1"/>
    <xf numFmtId="9" fontId="16" fillId="0" borderId="0" xfId="1" applyNumberFormat="1" applyFont="1" applyFill="1" applyBorder="1"/>
    <xf numFmtId="167" fontId="0" fillId="0" borderId="0" xfId="0" applyNumberFormat="1" applyBorder="1"/>
    <xf numFmtId="167" fontId="12" fillId="0" borderId="0" xfId="0" applyNumberFormat="1" applyFont="1" applyBorder="1"/>
    <xf numFmtId="9" fontId="30" fillId="0" borderId="0" xfId="1" applyFont="1" applyBorder="1"/>
    <xf numFmtId="3" fontId="19" fillId="0" borderId="0" xfId="0" applyNumberFormat="1" applyFont="1" applyBorder="1" applyAlignment="1">
      <alignment horizontal="right"/>
    </xf>
    <xf numFmtId="9" fontId="19" fillId="0" borderId="0" xfId="1" applyFont="1" applyBorder="1"/>
    <xf numFmtId="1" fontId="14" fillId="0" borderId="0" xfId="0" applyNumberFormat="1" applyFont="1" applyBorder="1"/>
    <xf numFmtId="3" fontId="19" fillId="7" borderId="0" xfId="0" applyNumberFormat="1" applyFont="1" applyFill="1"/>
    <xf numFmtId="3" fontId="19" fillId="0" borderId="0" xfId="0" applyNumberFormat="1" applyFont="1" applyFill="1"/>
    <xf numFmtId="1" fontId="22" fillId="0" borderId="0" xfId="0" applyNumberFormat="1" applyFont="1" applyBorder="1"/>
    <xf numFmtId="3" fontId="12" fillId="0" borderId="0" xfId="2" applyNumberFormat="1" applyFont="1" applyFill="1" applyAlignment="1">
      <alignment horizontal="right"/>
    </xf>
    <xf numFmtId="4" fontId="12" fillId="0" borderId="0" xfId="2" applyNumberFormat="1" applyFont="1" applyFill="1" applyBorder="1" applyAlignment="1">
      <alignment horizontal="right"/>
    </xf>
    <xf numFmtId="3" fontId="12" fillId="0" borderId="0" xfId="2" applyNumberFormat="1" applyFont="1" applyFill="1" applyBorder="1" applyAlignment="1">
      <alignment horizontal="right"/>
    </xf>
    <xf numFmtId="0" fontId="12" fillId="12" borderId="0" xfId="0" applyFont="1" applyFill="1"/>
    <xf numFmtId="0" fontId="22" fillId="0" borderId="0" xfId="0" applyFont="1" applyFill="1" applyAlignment="1">
      <alignment horizontal="left" indent="2"/>
    </xf>
    <xf numFmtId="0" fontId="56" fillId="0" borderId="0" xfId="0" applyFont="1" applyFill="1" applyAlignment="1">
      <alignment horizontal="left" indent="1"/>
    </xf>
    <xf numFmtId="167" fontId="16" fillId="0" borderId="0" xfId="1" applyNumberFormat="1" applyFont="1" applyFill="1"/>
    <xf numFmtId="0" fontId="14" fillId="0" borderId="0" xfId="0" applyFont="1" applyFill="1" applyAlignment="1">
      <alignment horizontal="left" indent="2"/>
    </xf>
    <xf numFmtId="0" fontId="29" fillId="0" borderId="0" xfId="0" applyFont="1" applyFill="1"/>
    <xf numFmtId="9" fontId="27" fillId="0" borderId="0" xfId="1" applyNumberFormat="1" applyFont="1"/>
    <xf numFmtId="9" fontId="22" fillId="0" borderId="0" xfId="1" applyNumberFormat="1" applyFont="1" applyFill="1" applyBorder="1" applyAlignment="1">
      <alignment horizontal="right"/>
    </xf>
    <xf numFmtId="167" fontId="14" fillId="0" borderId="0" xfId="0" applyNumberFormat="1" applyFont="1" applyFill="1" applyBorder="1"/>
    <xf numFmtId="167" fontId="22" fillId="0" borderId="0" xfId="1" applyNumberFormat="1" applyFont="1" applyFill="1" applyBorder="1"/>
    <xf numFmtId="9" fontId="19" fillId="0" borderId="0" xfId="0" applyNumberFormat="1" applyFont="1" applyFill="1" applyBorder="1"/>
    <xf numFmtId="0" fontId="9" fillId="0" borderId="0" xfId="0" applyFont="1" applyFill="1" applyAlignment="1">
      <alignment horizontal="left" indent="1"/>
    </xf>
    <xf numFmtId="9" fontId="14" fillId="0" borderId="0" xfId="1" applyFont="1"/>
    <xf numFmtId="167" fontId="14" fillId="0" borderId="0" xfId="1" applyNumberFormat="1" applyFont="1"/>
    <xf numFmtId="167" fontId="6" fillId="0" borderId="0" xfId="1" applyNumberFormat="1" applyFont="1"/>
    <xf numFmtId="3" fontId="30" fillId="0" borderId="0" xfId="0" applyNumberFormat="1" applyFont="1"/>
    <xf numFmtId="0" fontId="32" fillId="0" borderId="0" xfId="0" applyFont="1" applyFill="1" applyAlignment="1">
      <alignment horizontal="left" indent="3"/>
    </xf>
    <xf numFmtId="0" fontId="14" fillId="0" borderId="0" xfId="0" applyFont="1" applyAlignment="1">
      <alignment horizontal="left" indent="2"/>
    </xf>
    <xf numFmtId="167" fontId="6" fillId="0" borderId="0" xfId="1" applyNumberFormat="1" applyFont="1" applyBorder="1"/>
    <xf numFmtId="3" fontId="30" fillId="7" borderId="0" xfId="1" applyNumberFormat="1" applyFont="1" applyFill="1" applyBorder="1"/>
    <xf numFmtId="3" fontId="27" fillId="0" borderId="0" xfId="0" applyNumberFormat="1" applyFont="1" applyAlignment="1">
      <alignment horizontal="right"/>
    </xf>
    <xf numFmtId="3" fontId="22" fillId="0" borderId="0" xfId="0" applyNumberFormat="1" applyFont="1" applyBorder="1"/>
    <xf numFmtId="3" fontId="22" fillId="0" borderId="0" xfId="0" applyNumberFormat="1" applyFont="1" applyFill="1" applyAlignment="1">
      <alignment horizontal="right"/>
    </xf>
    <xf numFmtId="3" fontId="22" fillId="7" borderId="0" xfId="0" applyNumberFormat="1" applyFont="1" applyFill="1" applyBorder="1"/>
    <xf numFmtId="9" fontId="16" fillId="0" borderId="0" xfId="1" applyFont="1" applyBorder="1"/>
    <xf numFmtId="0" fontId="13" fillId="12" borderId="0" xfId="0" applyFont="1" applyFill="1"/>
    <xf numFmtId="9" fontId="12" fillId="0" borderId="0" xfId="1" applyNumberFormat="1" applyFont="1" applyFill="1"/>
    <xf numFmtId="0" fontId="14" fillId="0" borderId="0" xfId="0" applyFont="1" applyFill="1" applyAlignment="1">
      <alignment horizontal="left" indent="1"/>
    </xf>
    <xf numFmtId="3" fontId="14" fillId="0" borderId="0" xfId="0" applyNumberFormat="1" applyFont="1" applyBorder="1" applyAlignment="1">
      <alignment horizontal="right"/>
    </xf>
    <xf numFmtId="0" fontId="6" fillId="0" borderId="0" xfId="0" applyFont="1" applyAlignment="1">
      <alignment horizontal="left" indent="2"/>
    </xf>
    <xf numFmtId="3" fontId="14" fillId="0" borderId="0" xfId="0" applyNumberFormat="1" applyFont="1" applyFill="1" applyBorder="1"/>
    <xf numFmtId="3" fontId="14" fillId="7" borderId="0" xfId="0" applyNumberFormat="1" applyFont="1" applyFill="1" applyBorder="1" applyAlignment="1">
      <alignment horizontal="right"/>
    </xf>
    <xf numFmtId="3" fontId="16" fillId="7" borderId="0" xfId="0" applyNumberFormat="1" applyFont="1" applyFill="1" applyBorder="1" applyAlignment="1">
      <alignment horizontal="right"/>
    </xf>
    <xf numFmtId="9" fontId="19" fillId="0" borderId="0" xfId="0" applyNumberFormat="1" applyFont="1" applyFill="1"/>
    <xf numFmtId="0" fontId="58" fillId="0" borderId="0" xfId="0" applyFont="1" applyAlignment="1">
      <alignment horizontal="left"/>
    </xf>
    <xf numFmtId="0" fontId="14" fillId="0" borderId="0" xfId="0" applyFont="1" applyAlignment="1">
      <alignment horizontal="left" indent="3"/>
    </xf>
    <xf numFmtId="0" fontId="14" fillId="7" borderId="0" xfId="0" applyFont="1" applyFill="1" applyAlignment="1">
      <alignment horizontal="left" indent="3"/>
    </xf>
    <xf numFmtId="0" fontId="12" fillId="0" borderId="0" xfId="0" applyFont="1" applyAlignment="1">
      <alignment horizontal="left" indent="4"/>
    </xf>
    <xf numFmtId="167" fontId="6" fillId="0" borderId="0" xfId="0" applyNumberFormat="1" applyFont="1"/>
    <xf numFmtId="167" fontId="6" fillId="0" borderId="0" xfId="0" applyNumberFormat="1" applyFont="1" applyBorder="1"/>
    <xf numFmtId="3" fontId="6" fillId="7" borderId="0" xfId="0" applyNumberFormat="1" applyFont="1" applyFill="1" applyBorder="1"/>
    <xf numFmtId="0" fontId="6" fillId="0" borderId="0" xfId="0" applyFont="1" applyAlignment="1">
      <alignment horizontal="left" indent="3"/>
    </xf>
    <xf numFmtId="0" fontId="58" fillId="0" borderId="0" xfId="0" applyFont="1"/>
    <xf numFmtId="9" fontId="12" fillId="0" borderId="0" xfId="1" applyNumberFormat="1" applyFont="1" applyFill="1" applyBorder="1"/>
    <xf numFmtId="0" fontId="12" fillId="0" borderId="27" xfId="0" applyFont="1" applyBorder="1" applyAlignment="1">
      <alignment horizontal="right"/>
    </xf>
    <xf numFmtId="17" fontId="12" fillId="0" borderId="28" xfId="0" applyNumberFormat="1" applyFont="1" applyBorder="1"/>
    <xf numFmtId="0" fontId="15" fillId="0" borderId="28" xfId="0" applyFont="1" applyFill="1" applyBorder="1"/>
    <xf numFmtId="169" fontId="16" fillId="0" borderId="28" xfId="0" applyNumberFormat="1" applyFont="1" applyFill="1" applyBorder="1"/>
    <xf numFmtId="169" fontId="12" fillId="0" borderId="28" xfId="0" applyNumberFormat="1" applyFont="1" applyFill="1" applyBorder="1"/>
    <xf numFmtId="167" fontId="12" fillId="0" borderId="28" xfId="1" applyNumberFormat="1" applyFont="1" applyFill="1" applyBorder="1"/>
    <xf numFmtId="0" fontId="12" fillId="0" borderId="28" xfId="0" applyFont="1" applyFill="1" applyBorder="1"/>
    <xf numFmtId="0" fontId="16" fillId="0" borderId="28" xfId="0" applyFont="1" applyFill="1" applyBorder="1"/>
    <xf numFmtId="167" fontId="19" fillId="0" borderId="29" xfId="1" applyNumberFormat="1" applyFont="1" applyFill="1" applyBorder="1"/>
    <xf numFmtId="1" fontId="12" fillId="0" borderId="0" xfId="0" applyNumberFormat="1" applyFont="1" applyFill="1" applyBorder="1"/>
    <xf numFmtId="169" fontId="14" fillId="0" borderId="0" xfId="0" applyNumberFormat="1" applyFont="1" applyFill="1"/>
    <xf numFmtId="1" fontId="14" fillId="0" borderId="0" xfId="0" applyNumberFormat="1" applyFont="1" applyFill="1"/>
    <xf numFmtId="1" fontId="14" fillId="0" borderId="0" xfId="0" applyNumberFormat="1" applyFont="1" applyFill="1" applyBorder="1"/>
    <xf numFmtId="9" fontId="19" fillId="0" borderId="28" xfId="1" applyFont="1" applyFill="1" applyBorder="1"/>
    <xf numFmtId="0" fontId="12" fillId="0" borderId="27" xfId="0" applyFont="1" applyBorder="1"/>
    <xf numFmtId="167" fontId="12" fillId="0" borderId="29" xfId="1" applyNumberFormat="1" applyFont="1" applyFill="1" applyBorder="1"/>
    <xf numFmtId="1" fontId="12" fillId="0" borderId="0" xfId="0" applyNumberFormat="1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3" fontId="12" fillId="0" borderId="0" xfId="2" applyNumberFormat="1" applyFont="1" applyFill="1" applyBorder="1"/>
    <xf numFmtId="0" fontId="19" fillId="0" borderId="28" xfId="0" applyFont="1" applyFill="1" applyBorder="1"/>
    <xf numFmtId="167" fontId="12" fillId="0" borderId="0" xfId="0" applyNumberFormat="1" applyFont="1" applyFill="1"/>
    <xf numFmtId="166" fontId="19" fillId="0" borderId="28" xfId="0" applyNumberFormat="1" applyFont="1" applyFill="1" applyBorder="1"/>
    <xf numFmtId="166" fontId="12" fillId="0" borderId="28" xfId="0" applyNumberFormat="1" applyFont="1" applyBorder="1"/>
    <xf numFmtId="9" fontId="12" fillId="0" borderId="28" xfId="1" applyFont="1" applyFill="1" applyBorder="1"/>
    <xf numFmtId="166" fontId="19" fillId="0" borderId="28" xfId="0" applyNumberFormat="1" applyFont="1" applyFill="1" applyBorder="1" applyAlignment="1">
      <alignment horizontal="right"/>
    </xf>
    <xf numFmtId="166" fontId="12" fillId="0" borderId="28" xfId="2" applyNumberFormat="1" applyFont="1" applyFill="1" applyBorder="1"/>
    <xf numFmtId="166" fontId="12" fillId="0" borderId="28" xfId="0" applyNumberFormat="1" applyFont="1" applyFill="1" applyBorder="1"/>
    <xf numFmtId="0" fontId="12" fillId="0" borderId="30" xfId="0" applyFont="1" applyBorder="1" applyAlignment="1">
      <alignment horizontal="left" indent="2"/>
    </xf>
    <xf numFmtId="0" fontId="13" fillId="0" borderId="31" xfId="0" applyFont="1" applyBorder="1"/>
    <xf numFmtId="0" fontId="12" fillId="0" borderId="31" xfId="0" applyFont="1" applyBorder="1"/>
    <xf numFmtId="3" fontId="12" fillId="0" borderId="31" xfId="0" applyNumberFormat="1" applyFont="1" applyFill="1" applyBorder="1"/>
    <xf numFmtId="3" fontId="12" fillId="0" borderId="32" xfId="0" applyNumberFormat="1" applyFont="1" applyFill="1" applyBorder="1"/>
    <xf numFmtId="0" fontId="12" fillId="0" borderId="33" xfId="0" applyFont="1" applyBorder="1" applyAlignment="1">
      <alignment horizontal="left" indent="2"/>
    </xf>
    <xf numFmtId="3" fontId="12" fillId="0" borderId="34" xfId="0" applyNumberFormat="1" applyFont="1" applyFill="1" applyBorder="1"/>
    <xf numFmtId="0" fontId="12" fillId="0" borderId="35" xfId="0" applyFont="1" applyBorder="1" applyAlignment="1">
      <alignment horizontal="left" indent="2"/>
    </xf>
    <xf numFmtId="0" fontId="13" fillId="0" borderId="36" xfId="0" applyFont="1" applyBorder="1"/>
    <xf numFmtId="0" fontId="12" fillId="0" borderId="36" xfId="0" applyFont="1" applyBorder="1"/>
    <xf numFmtId="3" fontId="12" fillId="0" borderId="36" xfId="0" applyNumberFormat="1" applyFont="1" applyFill="1" applyBorder="1"/>
    <xf numFmtId="3" fontId="12" fillId="0" borderId="37" xfId="0" applyNumberFormat="1" applyFont="1" applyFill="1" applyBorder="1"/>
    <xf numFmtId="166" fontId="12" fillId="0" borderId="31" xfId="0" applyNumberFormat="1" applyFont="1" applyFill="1" applyBorder="1"/>
    <xf numFmtId="166" fontId="12" fillId="0" borderId="36" xfId="0" applyNumberFormat="1" applyFont="1" applyFill="1" applyBorder="1"/>
    <xf numFmtId="1" fontId="12" fillId="0" borderId="31" xfId="0" applyNumberFormat="1" applyFont="1" applyFill="1" applyBorder="1"/>
    <xf numFmtId="1" fontId="12" fillId="0" borderId="32" xfId="0" applyNumberFormat="1" applyFont="1" applyFill="1" applyBorder="1"/>
    <xf numFmtId="1" fontId="12" fillId="0" borderId="34" xfId="0" applyNumberFormat="1" applyFont="1" applyFill="1" applyBorder="1"/>
    <xf numFmtId="1" fontId="12" fillId="0" borderId="36" xfId="0" applyNumberFormat="1" applyFont="1" applyFill="1" applyBorder="1"/>
    <xf numFmtId="1" fontId="12" fillId="0" borderId="37" xfId="0" applyNumberFormat="1" applyFont="1" applyFill="1" applyBorder="1"/>
    <xf numFmtId="166" fontId="15" fillId="0" borderId="28" xfId="0" applyNumberFormat="1" applyFont="1" applyBorder="1"/>
    <xf numFmtId="3" fontId="12" fillId="0" borderId="28" xfId="0" applyNumberFormat="1" applyFont="1" applyFill="1" applyBorder="1"/>
    <xf numFmtId="9" fontId="19" fillId="0" borderId="29" xfId="1" applyNumberFormat="1" applyFont="1" applyFill="1" applyBorder="1"/>
    <xf numFmtId="1" fontId="12" fillId="0" borderId="0" xfId="0" applyNumberFormat="1" applyFont="1" applyBorder="1" applyAlignment="1">
      <alignment horizontal="right"/>
    </xf>
    <xf numFmtId="1" fontId="16" fillId="0" borderId="0" xfId="0" applyNumberFormat="1" applyFont="1" applyFill="1" applyBorder="1" applyAlignment="1">
      <alignment horizontal="right"/>
    </xf>
    <xf numFmtId="3" fontId="12" fillId="12" borderId="0" xfId="0" applyNumberFormat="1" applyFont="1" applyFill="1" applyBorder="1" applyAlignment="1">
      <alignment horizontal="right"/>
    </xf>
    <xf numFmtId="3" fontId="19" fillId="7" borderId="0" xfId="0" applyNumberFormat="1" applyFont="1" applyFill="1" applyBorder="1"/>
    <xf numFmtId="3" fontId="12" fillId="7" borderId="0" xfId="0" applyNumberFormat="1" applyFont="1" applyFill="1" applyBorder="1"/>
    <xf numFmtId="0" fontId="5" fillId="0" borderId="0" xfId="0" applyFont="1" applyAlignment="1">
      <alignment horizontal="left" indent="1"/>
    </xf>
    <xf numFmtId="0" fontId="9" fillId="0" borderId="0" xfId="0" applyFont="1" applyAlignment="1">
      <alignment horizontal="left"/>
    </xf>
    <xf numFmtId="167" fontId="19" fillId="0" borderId="0" xfId="1" applyNumberFormat="1" applyFont="1" applyFill="1" applyBorder="1"/>
    <xf numFmtId="167" fontId="16" fillId="7" borderId="0" xfId="0" applyNumberFormat="1" applyFont="1" applyFill="1" applyBorder="1"/>
    <xf numFmtId="167" fontId="16" fillId="0" borderId="0" xfId="1" applyNumberFormat="1" applyFont="1" applyFill="1" applyBorder="1"/>
    <xf numFmtId="0" fontId="59" fillId="0" borderId="0" xfId="0" applyFont="1"/>
    <xf numFmtId="167" fontId="14" fillId="0" borderId="0" xfId="1" applyNumberFormat="1" applyFont="1" applyBorder="1"/>
    <xf numFmtId="3" fontId="12" fillId="12" borderId="0" xfId="0" applyNumberFormat="1" applyFont="1" applyFill="1" applyBorder="1"/>
    <xf numFmtId="0" fontId="6" fillId="0" borderId="0" xfId="0" applyFont="1" applyFill="1"/>
    <xf numFmtId="0" fontId="5" fillId="0" borderId="0" xfId="0" applyFont="1" applyAlignment="1">
      <alignment horizontal="left" indent="2"/>
    </xf>
    <xf numFmtId="167" fontId="14" fillId="0" borderId="0" xfId="0" applyNumberFormat="1" applyFont="1" applyBorder="1"/>
    <xf numFmtId="167" fontId="56" fillId="0" borderId="0" xfId="0" applyNumberFormat="1" applyFont="1" applyBorder="1"/>
    <xf numFmtId="167" fontId="16" fillId="7" borderId="0" xfId="1" applyNumberFormat="1" applyFont="1" applyFill="1" applyAlignment="1">
      <alignment horizontal="right"/>
    </xf>
    <xf numFmtId="3" fontId="16" fillId="4" borderId="0" xfId="2" applyNumberFormat="1" applyFont="1" applyFill="1" applyBorder="1" applyAlignment="1">
      <alignment horizontal="right"/>
    </xf>
    <xf numFmtId="167" fontId="12" fillId="4" borderId="0" xfId="1" applyNumberFormat="1" applyFont="1" applyFill="1"/>
    <xf numFmtId="0" fontId="12" fillId="0" borderId="9" xfId="0" applyFont="1" applyBorder="1" applyAlignment="1">
      <alignment horizontal="left" indent="1"/>
    </xf>
    <xf numFmtId="0" fontId="13" fillId="0" borderId="9" xfId="0" applyFont="1" applyBorder="1"/>
    <xf numFmtId="0" fontId="12" fillId="0" borderId="9" xfId="0" applyFont="1" applyBorder="1"/>
    <xf numFmtId="9" fontId="16" fillId="0" borderId="9" xfId="1" applyFont="1" applyBorder="1"/>
    <xf numFmtId="0" fontId="5" fillId="0" borderId="0" xfId="0" applyFont="1"/>
    <xf numFmtId="3" fontId="5" fillId="0" borderId="0" xfId="0" applyNumberFormat="1" applyFont="1" applyAlignment="1">
      <alignment horizontal="right"/>
    </xf>
    <xf numFmtId="166" fontId="57" fillId="0" borderId="28" xfId="0" applyNumberFormat="1" applyFont="1" applyFill="1" applyBorder="1" applyAlignment="1">
      <alignment horizontal="right"/>
    </xf>
    <xf numFmtId="3" fontId="16" fillId="4" borderId="0" xfId="0" applyNumberFormat="1" applyFont="1" applyFill="1" applyAlignment="1">
      <alignment horizontal="right"/>
    </xf>
    <xf numFmtId="3" fontId="16" fillId="4" borderId="0" xfId="0" applyNumberFormat="1" applyFont="1" applyFill="1" applyBorder="1" applyAlignment="1">
      <alignment horizontal="right"/>
    </xf>
    <xf numFmtId="0" fontId="29" fillId="4" borderId="0" xfId="0" applyFont="1" applyFill="1"/>
    <xf numFmtId="0" fontId="14" fillId="4" borderId="0" xfId="0" applyFont="1" applyFill="1"/>
    <xf numFmtId="0" fontId="13" fillId="4" borderId="0" xfId="0" applyFont="1" applyFill="1"/>
    <xf numFmtId="0" fontId="12" fillId="4" borderId="0" xfId="0" applyFont="1" applyFill="1"/>
    <xf numFmtId="0" fontId="31" fillId="4" borderId="0" xfId="0" applyFont="1" applyFill="1"/>
    <xf numFmtId="0" fontId="30" fillId="4" borderId="0" xfId="0" applyFont="1" applyFill="1"/>
    <xf numFmtId="0" fontId="13" fillId="4" borderId="9" xfId="0" applyFont="1" applyFill="1" applyBorder="1"/>
    <xf numFmtId="0" fontId="12" fillId="4" borderId="9" xfId="0" applyFont="1" applyFill="1" applyBorder="1"/>
    <xf numFmtId="167" fontId="30" fillId="4" borderId="0" xfId="1" applyNumberFormat="1" applyFont="1" applyFill="1" applyBorder="1"/>
    <xf numFmtId="167" fontId="16" fillId="4" borderId="0" xfId="1" applyNumberFormat="1" applyFont="1" applyFill="1" applyAlignment="1">
      <alignment horizontal="right"/>
    </xf>
    <xf numFmtId="3" fontId="13" fillId="4" borderId="0" xfId="0" applyNumberFormat="1" applyFont="1" applyFill="1"/>
    <xf numFmtId="3" fontId="15" fillId="4" borderId="0" xfId="0" applyNumberFormat="1" applyFont="1" applyFill="1" applyAlignment="1">
      <alignment horizontal="right"/>
    </xf>
    <xf numFmtId="3" fontId="12" fillId="4" borderId="0" xfId="0" applyNumberFormat="1" applyFont="1" applyFill="1"/>
    <xf numFmtId="3" fontId="15" fillId="4" borderId="0" xfId="0" applyNumberFormat="1" applyFont="1" applyFill="1" applyBorder="1"/>
    <xf numFmtId="3" fontId="12" fillId="4" borderId="0" xfId="0" applyNumberFormat="1" applyFont="1" applyFill="1" applyBorder="1"/>
    <xf numFmtId="9" fontId="16" fillId="4" borderId="0" xfId="1" applyFont="1" applyFill="1" applyAlignment="1">
      <alignment horizontal="right"/>
    </xf>
    <xf numFmtId="3" fontId="27" fillId="4" borderId="0" xfId="0" applyNumberFormat="1" applyFont="1" applyFill="1"/>
    <xf numFmtId="3" fontId="14" fillId="4" borderId="0" xfId="0" applyNumberFormat="1" applyFont="1" applyFill="1"/>
    <xf numFmtId="3" fontId="30" fillId="4" borderId="0" xfId="1" applyNumberFormat="1" applyFont="1" applyFill="1" applyBorder="1"/>
    <xf numFmtId="3" fontId="22" fillId="4" borderId="0" xfId="0" applyNumberFormat="1" applyFont="1" applyFill="1" applyAlignment="1">
      <alignment horizontal="right"/>
    </xf>
    <xf numFmtId="3" fontId="27" fillId="4" borderId="0" xfId="0" applyNumberFormat="1" applyFont="1" applyFill="1" applyAlignment="1">
      <alignment horizontal="right"/>
    </xf>
    <xf numFmtId="3" fontId="14" fillId="4" borderId="0" xfId="0" applyNumberFormat="1" applyFont="1" applyFill="1" applyBorder="1" applyAlignment="1">
      <alignment horizontal="right"/>
    </xf>
    <xf numFmtId="0" fontId="52" fillId="0" borderId="0" xfId="0" applyFont="1" applyAlignment="1">
      <alignment horizontal="left" indent="1"/>
    </xf>
    <xf numFmtId="167" fontId="5" fillId="0" borderId="0" xfId="1" applyNumberFormat="1" applyFont="1" applyBorder="1"/>
    <xf numFmtId="167" fontId="5" fillId="0" borderId="0" xfId="1" applyNumberFormat="1" applyFont="1"/>
    <xf numFmtId="167" fontId="5" fillId="0" borderId="0" xfId="1" applyNumberFormat="1" applyFont="1" applyFill="1" applyBorder="1"/>
    <xf numFmtId="3" fontId="13" fillId="12" borderId="0" xfId="0" applyNumberFormat="1" applyFont="1" applyFill="1"/>
    <xf numFmtId="3" fontId="30" fillId="12" borderId="0" xfId="0" applyNumberFormat="1" applyFont="1" applyFill="1"/>
    <xf numFmtId="167" fontId="12" fillId="0" borderId="0" xfId="1" applyNumberFormat="1" applyFont="1" applyBorder="1" applyAlignment="1">
      <alignment horizontal="right"/>
    </xf>
    <xf numFmtId="167" fontId="19" fillId="0" borderId="0" xfId="1" applyNumberFormat="1" applyFont="1" applyBorder="1"/>
    <xf numFmtId="3" fontId="12" fillId="4" borderId="0" xfId="0" applyNumberFormat="1" applyFont="1" applyFill="1" applyBorder="1" applyAlignment="1">
      <alignment horizontal="right"/>
    </xf>
    <xf numFmtId="172" fontId="14" fillId="0" borderId="0" xfId="0" applyNumberFormat="1" applyFont="1"/>
    <xf numFmtId="0" fontId="12" fillId="0" borderId="0" xfId="0" applyFont="1" applyFill="1" applyAlignment="1">
      <alignment horizontal="left" indent="4"/>
    </xf>
    <xf numFmtId="167" fontId="5" fillId="0" borderId="0" xfId="0" applyNumberFormat="1" applyFont="1" applyBorder="1" applyAlignment="1">
      <alignment horizontal="right"/>
    </xf>
    <xf numFmtId="0" fontId="5" fillId="0" borderId="0" xfId="0" applyFont="1" applyAlignment="1">
      <alignment horizontal="left" indent="3"/>
    </xf>
    <xf numFmtId="3" fontId="12" fillId="0" borderId="0" xfId="1" applyNumberFormat="1" applyFont="1" applyFill="1"/>
    <xf numFmtId="3" fontId="12" fillId="0" borderId="0" xfId="1" applyNumberFormat="1" applyFont="1" applyFill="1" applyBorder="1"/>
    <xf numFmtId="3" fontId="57" fillId="0" borderId="0" xfId="0" applyNumberFormat="1" applyFont="1" applyBorder="1" applyAlignment="1">
      <alignment horizontal="right"/>
    </xf>
    <xf numFmtId="1" fontId="16" fillId="0" borderId="0" xfId="1" applyNumberFormat="1" applyFont="1" applyBorder="1"/>
    <xf numFmtId="167" fontId="16" fillId="0" borderId="0" xfId="1" applyNumberFormat="1" applyFont="1" applyAlignment="1">
      <alignment horizontal="right"/>
    </xf>
    <xf numFmtId="167" fontId="16" fillId="0" borderId="0" xfId="1" applyNumberFormat="1" applyFont="1" applyBorder="1" applyAlignment="1">
      <alignment horizontal="right"/>
    </xf>
    <xf numFmtId="1" fontId="12" fillId="0" borderId="0" xfId="1" applyNumberFormat="1" applyFont="1" applyBorder="1" applyAlignment="1">
      <alignment horizontal="right"/>
    </xf>
    <xf numFmtId="167" fontId="5" fillId="0" borderId="0" xfId="1" applyNumberFormat="1" applyFont="1" applyBorder="1" applyAlignment="1">
      <alignment horizontal="right"/>
    </xf>
    <xf numFmtId="3" fontId="14" fillId="4" borderId="0" xfId="0" applyNumberFormat="1" applyFont="1" applyFill="1" applyBorder="1"/>
    <xf numFmtId="167" fontId="5" fillId="4" borderId="0" xfId="1" applyNumberFormat="1" applyFont="1" applyFill="1" applyBorder="1" applyAlignment="1">
      <alignment horizontal="right"/>
    </xf>
    <xf numFmtId="172" fontId="14" fillId="4" borderId="0" xfId="0" applyNumberFormat="1" applyFont="1" applyFill="1"/>
    <xf numFmtId="0" fontId="31" fillId="4" borderId="0" xfId="0" applyFont="1" applyFill="1" applyBorder="1"/>
    <xf numFmtId="167" fontId="5" fillId="4" borderId="0" xfId="0" applyNumberFormat="1" applyFont="1" applyFill="1" applyBorder="1" applyAlignment="1">
      <alignment horizontal="right"/>
    </xf>
    <xf numFmtId="9" fontId="15" fillId="4" borderId="0" xfId="0" applyNumberFormat="1" applyFont="1" applyFill="1"/>
    <xf numFmtId="9" fontId="16" fillId="4" borderId="0" xfId="1" applyNumberFormat="1" applyFont="1" applyFill="1" applyBorder="1" applyAlignment="1">
      <alignment horizontal="right"/>
    </xf>
    <xf numFmtId="0" fontId="16" fillId="0" borderId="0" xfId="0" applyFont="1" applyBorder="1"/>
    <xf numFmtId="0" fontId="16" fillId="4" borderId="0" xfId="0" applyFont="1" applyFill="1"/>
    <xf numFmtId="0" fontId="52" fillId="0" borderId="0" xfId="0" applyFont="1"/>
    <xf numFmtId="167" fontId="5" fillId="0" borderId="0" xfId="0" applyNumberFormat="1" applyFont="1"/>
    <xf numFmtId="167" fontId="5" fillId="0" borderId="0" xfId="0" applyNumberFormat="1" applyFont="1" applyBorder="1"/>
    <xf numFmtId="0" fontId="61" fillId="2" borderId="0" xfId="0" applyFont="1" applyFill="1" applyAlignment="1">
      <alignment horizontal="left"/>
    </xf>
    <xf numFmtId="0" fontId="61" fillId="0" borderId="0" xfId="0" applyFont="1" applyFill="1"/>
    <xf numFmtId="0" fontId="24" fillId="7" borderId="0" xfId="0" applyFont="1" applyFill="1" applyAlignment="1"/>
    <xf numFmtId="0" fontId="14" fillId="0" borderId="0" xfId="0" applyFont="1" applyAlignment="1">
      <alignment horizontal="left" indent="4"/>
    </xf>
    <xf numFmtId="0" fontId="12" fillId="0" borderId="38" xfId="0" applyFont="1" applyBorder="1" applyAlignment="1">
      <alignment horizontal="right"/>
    </xf>
    <xf numFmtId="17" fontId="12" fillId="0" borderId="39" xfId="0" applyNumberFormat="1" applyFont="1" applyBorder="1"/>
    <xf numFmtId="0" fontId="15" fillId="0" borderId="39" xfId="0" applyFont="1" applyBorder="1"/>
    <xf numFmtId="0" fontId="12" fillId="0" borderId="39" xfId="0" applyFont="1" applyBorder="1"/>
    <xf numFmtId="167" fontId="12" fillId="0" borderId="39" xfId="1" applyNumberFormat="1" applyFont="1" applyBorder="1"/>
    <xf numFmtId="0" fontId="12" fillId="7" borderId="39" xfId="0" applyFont="1" applyFill="1" applyBorder="1"/>
    <xf numFmtId="167" fontId="12" fillId="7" borderId="39" xfId="1" applyNumberFormat="1" applyFont="1" applyFill="1" applyBorder="1"/>
    <xf numFmtId="0" fontId="12" fillId="0" borderId="39" xfId="0" applyFont="1" applyFill="1" applyBorder="1"/>
    <xf numFmtId="1" fontId="12" fillId="0" borderId="0" xfId="2" applyNumberFormat="1" applyFont="1" applyBorder="1"/>
    <xf numFmtId="1" fontId="12" fillId="0" borderId="0" xfId="2" applyNumberFormat="1" applyFont="1"/>
    <xf numFmtId="0" fontId="27" fillId="0" borderId="39" xfId="0" applyFont="1" applyBorder="1"/>
    <xf numFmtId="0" fontId="13" fillId="7" borderId="0" xfId="0" applyFont="1" applyFill="1" applyBorder="1"/>
    <xf numFmtId="0" fontId="13" fillId="7" borderId="6" xfId="0" applyFont="1" applyFill="1" applyBorder="1"/>
    <xf numFmtId="0" fontId="13" fillId="0" borderId="6" xfId="0" applyFont="1" applyBorder="1"/>
    <xf numFmtId="0" fontId="12" fillId="0" borderId="6" xfId="0" applyFont="1" applyBorder="1"/>
    <xf numFmtId="0" fontId="13" fillId="7" borderId="9" xfId="0" applyFont="1" applyFill="1" applyBorder="1"/>
    <xf numFmtId="3" fontId="12" fillId="0" borderId="6" xfId="0" applyNumberFormat="1" applyFont="1" applyFill="1" applyBorder="1"/>
    <xf numFmtId="3" fontId="12" fillId="0" borderId="7" xfId="0" applyNumberFormat="1" applyFont="1" applyFill="1" applyBorder="1"/>
    <xf numFmtId="3" fontId="12" fillId="0" borderId="12" xfId="0" applyNumberFormat="1" applyFont="1" applyFill="1" applyBorder="1"/>
    <xf numFmtId="3" fontId="12" fillId="0" borderId="9" xfId="0" applyNumberFormat="1" applyFont="1" applyFill="1" applyBorder="1"/>
    <xf numFmtId="3" fontId="12" fillId="0" borderId="10" xfId="0" applyNumberFormat="1" applyFont="1" applyFill="1" applyBorder="1"/>
    <xf numFmtId="0" fontId="12" fillId="0" borderId="5" xfId="0" applyFont="1" applyBorder="1" applyAlignment="1">
      <alignment horizontal="left" indent="1"/>
    </xf>
    <xf numFmtId="0" fontId="12" fillId="0" borderId="11" xfId="0" applyFont="1" applyBorder="1" applyAlignment="1">
      <alignment horizontal="left" indent="1"/>
    </xf>
    <xf numFmtId="0" fontId="12" fillId="0" borderId="8" xfId="0" applyFont="1" applyBorder="1" applyAlignment="1">
      <alignment horizontal="left" indent="1"/>
    </xf>
    <xf numFmtId="3" fontId="16" fillId="0" borderId="0" xfId="1" applyNumberFormat="1" applyFont="1" applyFill="1" applyBorder="1"/>
    <xf numFmtId="0" fontId="9" fillId="0" borderId="0" xfId="0" applyFont="1" applyAlignment="1">
      <alignment horizontal="left" indent="1"/>
    </xf>
    <xf numFmtId="167" fontId="12" fillId="0" borderId="0" xfId="0" applyNumberFormat="1" applyFont="1" applyFill="1" applyBorder="1"/>
    <xf numFmtId="0" fontId="56" fillId="0" borderId="0" xfId="0" applyFont="1" applyAlignment="1">
      <alignment horizontal="left"/>
    </xf>
    <xf numFmtId="3" fontId="22" fillId="0" borderId="0" xfId="0" applyNumberFormat="1" applyFont="1" applyFill="1" applyBorder="1"/>
    <xf numFmtId="3" fontId="4" fillId="0" borderId="0" xfId="0" applyNumberFormat="1" applyFont="1" applyBorder="1"/>
    <xf numFmtId="3" fontId="4" fillId="0" borderId="0" xfId="0" applyNumberFormat="1" applyFont="1" applyFill="1" applyBorder="1"/>
    <xf numFmtId="9" fontId="4" fillId="0" borderId="0" xfId="1" applyFont="1" applyBorder="1"/>
    <xf numFmtId="9" fontId="4" fillId="0" borderId="0" xfId="0" applyNumberFormat="1" applyFont="1" applyBorder="1"/>
    <xf numFmtId="0" fontId="12" fillId="0" borderId="0" xfId="0" applyFont="1" applyBorder="1" applyAlignment="1">
      <alignment horizontal="left" indent="1"/>
    </xf>
    <xf numFmtId="0" fontId="13" fillId="0" borderId="0" xfId="0" applyFont="1" applyFill="1" applyBorder="1"/>
    <xf numFmtId="0" fontId="29" fillId="0" borderId="0" xfId="0" applyFont="1" applyFill="1" applyBorder="1"/>
    <xf numFmtId="0" fontId="13" fillId="4" borderId="0" xfId="0" applyFont="1" applyFill="1" applyBorder="1"/>
    <xf numFmtId="0" fontId="12" fillId="0" borderId="0" xfId="0" applyFont="1" applyFill="1" applyBorder="1" applyAlignment="1">
      <alignment horizontal="left" indent="1"/>
    </xf>
    <xf numFmtId="0" fontId="12" fillId="0" borderId="0" xfId="0" applyFont="1" applyFill="1" applyBorder="1" applyAlignment="1">
      <alignment horizontal="left" indent="2"/>
    </xf>
    <xf numFmtId="3" fontId="4" fillId="4" borderId="0" xfId="0" applyNumberFormat="1" applyFont="1" applyFill="1" applyBorder="1"/>
    <xf numFmtId="0" fontId="12" fillId="0" borderId="0" xfId="0" applyFont="1" applyFill="1" applyBorder="1" applyAlignment="1">
      <alignment horizontal="left" indent="3"/>
    </xf>
    <xf numFmtId="3" fontId="16" fillId="4" borderId="0" xfId="0" applyNumberFormat="1" applyFont="1" applyFill="1" applyBorder="1"/>
    <xf numFmtId="0" fontId="14" fillId="0" borderId="0" xfId="0" applyFont="1" applyFill="1" applyBorder="1"/>
    <xf numFmtId="0" fontId="29" fillId="4" borderId="0" xfId="0" applyFont="1" applyFill="1" applyBorder="1"/>
    <xf numFmtId="0" fontId="24" fillId="0" borderId="0" xfId="0" applyFont="1" applyFill="1" applyBorder="1" applyAlignment="1">
      <alignment horizontal="left"/>
    </xf>
    <xf numFmtId="0" fontId="24" fillId="4" borderId="0" xfId="0" applyFont="1" applyFill="1" applyBorder="1" applyAlignment="1">
      <alignment horizontal="left"/>
    </xf>
    <xf numFmtId="0" fontId="12" fillId="0" borderId="9" xfId="0" applyFont="1" applyFill="1" applyBorder="1" applyAlignment="1">
      <alignment horizontal="left" indent="1"/>
    </xf>
    <xf numFmtId="0" fontId="13" fillId="0" borderId="9" xfId="0" applyFont="1" applyFill="1" applyBorder="1"/>
    <xf numFmtId="9" fontId="4" fillId="0" borderId="9" xfId="1" applyFont="1" applyBorder="1"/>
    <xf numFmtId="9" fontId="19" fillId="0" borderId="9" xfId="1" applyFont="1" applyBorder="1"/>
    <xf numFmtId="9" fontId="4" fillId="0" borderId="9" xfId="0" applyNumberFormat="1" applyFont="1" applyBorder="1"/>
    <xf numFmtId="0" fontId="27" fillId="0" borderId="0" xfId="0" applyFont="1" applyFill="1" applyAlignment="1">
      <alignment horizontal="left"/>
    </xf>
    <xf numFmtId="9" fontId="19" fillId="0" borderId="0" xfId="1" applyNumberFormat="1" applyFont="1" applyFill="1"/>
    <xf numFmtId="2" fontId="19" fillId="0" borderId="0" xfId="0" applyNumberFormat="1" applyFont="1" applyFill="1"/>
    <xf numFmtId="2" fontId="19" fillId="0" borderId="0" xfId="0" applyNumberFormat="1" applyFont="1" applyFill="1" applyBorder="1"/>
    <xf numFmtId="2" fontId="12" fillId="0" borderId="0" xfId="0" applyNumberFormat="1" applyFont="1"/>
    <xf numFmtId="0" fontId="4" fillId="0" borderId="0" xfId="0" applyFont="1" applyFill="1"/>
    <xf numFmtId="0" fontId="9" fillId="0" borderId="0" xfId="0" applyFont="1" applyFill="1" applyBorder="1" applyAlignment="1">
      <alignment horizontal="left"/>
    </xf>
    <xf numFmtId="9" fontId="0" fillId="0" borderId="0" xfId="0" applyNumberFormat="1" applyBorder="1"/>
    <xf numFmtId="9" fontId="16" fillId="0" borderId="0" xfId="0" applyNumberFormat="1" applyFont="1" applyFill="1" applyBorder="1"/>
    <xf numFmtId="0" fontId="0" fillId="4" borderId="0" xfId="0" applyFill="1"/>
    <xf numFmtId="0" fontId="0" fillId="4" borderId="0" xfId="0" applyFill="1" applyBorder="1"/>
    <xf numFmtId="9" fontId="12" fillId="4" borderId="0" xfId="0" applyNumberFormat="1" applyFont="1" applyFill="1" applyBorder="1"/>
    <xf numFmtId="0" fontId="4" fillId="0" borderId="0" xfId="0" applyFont="1" applyFill="1" applyAlignment="1">
      <alignment horizontal="left" indent="1"/>
    </xf>
    <xf numFmtId="0" fontId="4" fillId="0" borderId="0" xfId="0" applyFont="1" applyFill="1" applyAlignment="1">
      <alignment horizontal="left" indent="2"/>
    </xf>
    <xf numFmtId="9" fontId="12" fillId="4" borderId="0" xfId="1" applyFont="1" applyFill="1" applyBorder="1"/>
    <xf numFmtId="0" fontId="14" fillId="0" borderId="0" xfId="0" applyFont="1" applyFill="1" applyBorder="1" applyAlignment="1">
      <alignment horizontal="left"/>
    </xf>
    <xf numFmtId="0" fontId="56" fillId="0" borderId="0" xfId="0" applyFont="1" applyFill="1" applyBorder="1"/>
    <xf numFmtId="0" fontId="32" fillId="0" borderId="0" xfId="0" applyFont="1" applyFill="1"/>
    <xf numFmtId="9" fontId="6" fillId="0" borderId="0" xfId="1" applyNumberFormat="1" applyFont="1"/>
    <xf numFmtId="0" fontId="33" fillId="0" borderId="0" xfId="0" applyFont="1" applyAlignment="1">
      <alignment horizontal="left" indent="1"/>
    </xf>
    <xf numFmtId="167" fontId="33" fillId="0" borderId="0" xfId="1" applyNumberFormat="1" applyFont="1" applyFill="1" applyBorder="1"/>
    <xf numFmtId="2" fontId="12" fillId="0" borderId="0" xfId="0" applyNumberFormat="1" applyFont="1" applyBorder="1"/>
    <xf numFmtId="9" fontId="16" fillId="0" borderId="0" xfId="1" applyFont="1" applyFill="1" applyBorder="1"/>
    <xf numFmtId="9" fontId="6" fillId="0" borderId="0" xfId="1" applyFont="1" applyFill="1"/>
    <xf numFmtId="9" fontId="6" fillId="0" borderId="0" xfId="1" applyNumberFormat="1" applyFont="1" applyFill="1"/>
    <xf numFmtId="0" fontId="56" fillId="0" borderId="0" xfId="0" applyFont="1" applyFill="1"/>
    <xf numFmtId="2" fontId="16" fillId="0" borderId="0" xfId="0" applyNumberFormat="1" applyFont="1" applyFill="1" applyBorder="1"/>
    <xf numFmtId="0" fontId="15" fillId="0" borderId="0" xfId="0" applyFont="1" applyFill="1" applyAlignment="1">
      <alignment horizontal="center" vertical="center" textRotation="90"/>
    </xf>
    <xf numFmtId="0" fontId="15" fillId="0" borderId="0" xfId="0" applyFont="1" applyFill="1" applyAlignment="1">
      <alignment vertical="center" textRotation="90"/>
    </xf>
    <xf numFmtId="0" fontId="12" fillId="0" borderId="41" xfId="0" applyFont="1" applyBorder="1"/>
    <xf numFmtId="17" fontId="12" fillId="0" borderId="42" xfId="0" applyNumberFormat="1" applyFont="1" applyBorder="1"/>
    <xf numFmtId="169" fontId="15" fillId="0" borderId="42" xfId="0" applyNumberFormat="1" applyFont="1" applyBorder="1"/>
    <xf numFmtId="0" fontId="15" fillId="0" borderId="42" xfId="0" applyFont="1" applyBorder="1"/>
    <xf numFmtId="169" fontId="16" fillId="0" borderId="42" xfId="0" applyNumberFormat="1" applyFont="1" applyBorder="1"/>
    <xf numFmtId="167" fontId="12" fillId="0" borderId="42" xfId="1" applyNumberFormat="1" applyFont="1" applyBorder="1"/>
    <xf numFmtId="169" fontId="19" fillId="0" borderId="42" xfId="0" applyNumberFormat="1" applyFont="1" applyBorder="1"/>
    <xf numFmtId="169" fontId="12" fillId="0" borderId="42" xfId="0" applyNumberFormat="1" applyFont="1" applyBorder="1"/>
    <xf numFmtId="0" fontId="12" fillId="0" borderId="42" xfId="0" applyFont="1" applyBorder="1"/>
    <xf numFmtId="9" fontId="12" fillId="0" borderId="42" xfId="1" applyFont="1" applyBorder="1"/>
    <xf numFmtId="9" fontId="19" fillId="0" borderId="43" xfId="0" applyNumberFormat="1" applyFont="1" applyBorder="1"/>
    <xf numFmtId="9" fontId="19" fillId="0" borderId="42" xfId="0" applyNumberFormat="1" applyFont="1" applyBorder="1"/>
    <xf numFmtId="166" fontId="12" fillId="0" borderId="43" xfId="0" applyNumberFormat="1" applyFont="1" applyBorder="1"/>
    <xf numFmtId="172" fontId="12" fillId="0" borderId="0" xfId="0" applyNumberFormat="1" applyFont="1" applyFill="1"/>
    <xf numFmtId="172" fontId="12" fillId="0" borderId="0" xfId="0" applyNumberFormat="1" applyFont="1" applyFill="1" applyBorder="1"/>
    <xf numFmtId="0" fontId="4" fillId="0" borderId="41" xfId="0" applyFont="1" applyBorder="1"/>
    <xf numFmtId="0" fontId="15" fillId="0" borderId="42" xfId="0" applyFont="1" applyFill="1" applyBorder="1"/>
    <xf numFmtId="169" fontId="16" fillId="0" borderId="42" xfId="0" applyNumberFormat="1" applyFont="1" applyFill="1" applyBorder="1"/>
    <xf numFmtId="169" fontId="19" fillId="0" borderId="42" xfId="0" applyNumberFormat="1" applyFont="1" applyFill="1" applyBorder="1"/>
    <xf numFmtId="169" fontId="12" fillId="0" borderId="42" xfId="0" applyNumberFormat="1" applyFont="1" applyFill="1" applyBorder="1"/>
    <xf numFmtId="167" fontId="12" fillId="0" borderId="42" xfId="1" applyNumberFormat="1" applyFont="1" applyFill="1" applyBorder="1"/>
    <xf numFmtId="0" fontId="12" fillId="7" borderId="42" xfId="0" applyFont="1" applyFill="1" applyBorder="1"/>
    <xf numFmtId="167" fontId="12" fillId="7" borderId="42" xfId="1" applyNumberFormat="1" applyFont="1" applyFill="1" applyBorder="1"/>
    <xf numFmtId="9" fontId="16" fillId="7" borderId="42" xfId="1" applyFont="1" applyFill="1" applyBorder="1"/>
    <xf numFmtId="0" fontId="16" fillId="0" borderId="42" xfId="0" applyFont="1" applyFill="1" applyBorder="1"/>
    <xf numFmtId="167" fontId="19" fillId="0" borderId="43" xfId="1" applyNumberFormat="1" applyFont="1" applyFill="1" applyBorder="1"/>
    <xf numFmtId="172" fontId="15" fillId="0" borderId="42" xfId="2" applyNumberFormat="1" applyFont="1" applyFill="1" applyBorder="1"/>
    <xf numFmtId="172" fontId="12" fillId="0" borderId="42" xfId="2" applyNumberFormat="1" applyFont="1" applyFill="1" applyBorder="1"/>
    <xf numFmtId="9" fontId="12" fillId="0" borderId="42" xfId="1" applyFont="1" applyFill="1" applyBorder="1"/>
    <xf numFmtId="3" fontId="19" fillId="0" borderId="42" xfId="0" applyNumberFormat="1" applyFont="1" applyFill="1" applyBorder="1" applyAlignment="1">
      <alignment horizontal="right"/>
    </xf>
    <xf numFmtId="168" fontId="12" fillId="0" borderId="42" xfId="2" applyNumberFormat="1" applyFont="1" applyFill="1" applyBorder="1"/>
    <xf numFmtId="0" fontId="12" fillId="0" borderId="42" xfId="0" applyFont="1" applyFill="1" applyBorder="1"/>
    <xf numFmtId="9" fontId="19" fillId="0" borderId="42" xfId="1" applyFont="1" applyFill="1" applyBorder="1"/>
    <xf numFmtId="3" fontId="12" fillId="0" borderId="42" xfId="0" applyNumberFormat="1" applyFont="1" applyFill="1" applyBorder="1"/>
    <xf numFmtId="167" fontId="12" fillId="0" borderId="43" xfId="1" applyNumberFormat="1" applyFont="1" applyFill="1" applyBorder="1"/>
    <xf numFmtId="167" fontId="16" fillId="0" borderId="42" xfId="1" applyNumberFormat="1" applyFont="1" applyBorder="1"/>
    <xf numFmtId="9" fontId="16" fillId="0" borderId="42" xfId="0" applyNumberFormat="1" applyFont="1" applyBorder="1"/>
    <xf numFmtId="167" fontId="12" fillId="0" borderId="40" xfId="1" applyNumberFormat="1" applyFont="1" applyFill="1" applyBorder="1"/>
    <xf numFmtId="1" fontId="12" fillId="0" borderId="6" xfId="0" applyNumberFormat="1" applyFont="1" applyBorder="1"/>
    <xf numFmtId="1" fontId="12" fillId="0" borderId="9" xfId="0" applyNumberFormat="1" applyFont="1" applyBorder="1"/>
    <xf numFmtId="1" fontId="12" fillId="0" borderId="7" xfId="0" applyNumberFormat="1" applyFont="1" applyBorder="1"/>
    <xf numFmtId="1" fontId="12" fillId="0" borderId="12" xfId="0" applyNumberFormat="1" applyFont="1" applyBorder="1"/>
    <xf numFmtId="1" fontId="12" fillId="0" borderId="10" xfId="0" applyNumberFormat="1" applyFont="1" applyBorder="1"/>
    <xf numFmtId="167" fontId="16" fillId="0" borderId="0" xfId="0" applyNumberFormat="1" applyFont="1" applyFill="1" applyBorder="1"/>
    <xf numFmtId="0" fontId="4" fillId="0" borderId="0" xfId="0" applyFont="1" applyAlignment="1">
      <alignment horizontal="left" indent="1"/>
    </xf>
    <xf numFmtId="0" fontId="4" fillId="0" borderId="0" xfId="0" applyFont="1" applyFill="1" applyBorder="1" applyAlignment="1">
      <alignment horizontal="left" indent="1"/>
    </xf>
    <xf numFmtId="3" fontId="19" fillId="0" borderId="28" xfId="0" applyNumberFormat="1" applyFont="1" applyFill="1" applyBorder="1"/>
    <xf numFmtId="169" fontId="12" fillId="0" borderId="31" xfId="0" applyNumberFormat="1" applyFont="1" applyBorder="1"/>
    <xf numFmtId="169" fontId="12" fillId="0" borderId="36" xfId="0" applyNumberFormat="1" applyFont="1" applyBorder="1"/>
    <xf numFmtId="168" fontId="12" fillId="0" borderId="0" xfId="2" applyNumberFormat="1" applyFont="1"/>
    <xf numFmtId="168" fontId="14" fillId="0" borderId="0" xfId="0" applyNumberFormat="1" applyFont="1"/>
    <xf numFmtId="0" fontId="12" fillId="0" borderId="44" xfId="0" applyFont="1" applyBorder="1"/>
    <xf numFmtId="17" fontId="12" fillId="0" borderId="45" xfId="0" applyNumberFormat="1" applyFont="1" applyBorder="1"/>
    <xf numFmtId="169" fontId="15" fillId="0" borderId="45" xfId="0" applyNumberFormat="1" applyFont="1" applyBorder="1"/>
    <xf numFmtId="0" fontId="15" fillId="0" borderId="45" xfId="0" applyFont="1" applyBorder="1"/>
    <xf numFmtId="169" fontId="16" fillId="0" borderId="45" xfId="0" applyNumberFormat="1" applyFont="1" applyBorder="1"/>
    <xf numFmtId="167" fontId="12" fillId="0" borderId="45" xfId="1" applyNumberFormat="1" applyFont="1" applyBorder="1"/>
    <xf numFmtId="169" fontId="19" fillId="0" borderId="45" xfId="0" applyNumberFormat="1" applyFont="1" applyBorder="1"/>
    <xf numFmtId="169" fontId="12" fillId="0" borderId="45" xfId="0" applyNumberFormat="1" applyFont="1" applyBorder="1"/>
    <xf numFmtId="0" fontId="12" fillId="0" borderId="45" xfId="0" applyFont="1" applyBorder="1"/>
    <xf numFmtId="9" fontId="12" fillId="0" borderId="45" xfId="1" applyFont="1" applyBorder="1"/>
    <xf numFmtId="9" fontId="19" fillId="0" borderId="46" xfId="0" applyNumberFormat="1" applyFont="1" applyBorder="1"/>
    <xf numFmtId="0" fontId="12" fillId="0" borderId="47" xfId="0" applyFont="1" applyBorder="1"/>
    <xf numFmtId="17" fontId="12" fillId="0" borderId="48" xfId="0" applyNumberFormat="1" applyFont="1" applyBorder="1"/>
    <xf numFmtId="169" fontId="15" fillId="0" borderId="48" xfId="0" applyNumberFormat="1" applyFont="1" applyBorder="1"/>
    <xf numFmtId="0" fontId="15" fillId="0" borderId="48" xfId="0" applyFont="1" applyBorder="1"/>
    <xf numFmtId="169" fontId="16" fillId="0" borderId="48" xfId="0" applyNumberFormat="1" applyFont="1" applyBorder="1"/>
    <xf numFmtId="167" fontId="12" fillId="0" borderId="48" xfId="1" applyNumberFormat="1" applyFont="1" applyBorder="1"/>
    <xf numFmtId="169" fontId="19" fillId="0" borderId="48" xfId="0" applyNumberFormat="1" applyFont="1" applyBorder="1"/>
    <xf numFmtId="169" fontId="12" fillId="0" borderId="48" xfId="0" applyNumberFormat="1" applyFont="1" applyBorder="1"/>
    <xf numFmtId="0" fontId="12" fillId="0" borderId="48" xfId="0" applyFont="1" applyBorder="1"/>
    <xf numFmtId="9" fontId="12" fillId="0" borderId="48" xfId="1" applyFont="1" applyBorder="1"/>
    <xf numFmtId="9" fontId="19" fillId="0" borderId="48" xfId="0" applyNumberFormat="1" applyFont="1" applyBorder="1"/>
    <xf numFmtId="166" fontId="12" fillId="0" borderId="49" xfId="0" applyNumberFormat="1" applyFont="1" applyBorder="1"/>
    <xf numFmtId="9" fontId="16" fillId="0" borderId="48" xfId="0" applyNumberFormat="1" applyFont="1" applyBorder="1"/>
    <xf numFmtId="3" fontId="12" fillId="0" borderId="49" xfId="0" applyNumberFormat="1" applyFont="1" applyBorder="1"/>
    <xf numFmtId="171" fontId="12" fillId="0" borderId="48" xfId="0" applyNumberFormat="1" applyFont="1" applyFill="1" applyBorder="1"/>
    <xf numFmtId="0" fontId="19" fillId="0" borderId="48" xfId="0" applyFont="1" applyBorder="1"/>
    <xf numFmtId="167" fontId="16" fillId="0" borderId="48" xfId="1" applyNumberFormat="1" applyFont="1" applyBorder="1"/>
    <xf numFmtId="1" fontId="15" fillId="0" borderId="48" xfId="0" applyNumberFormat="1" applyFont="1" applyBorder="1"/>
    <xf numFmtId="0" fontId="12" fillId="0" borderId="49" xfId="0" applyFont="1" applyBorder="1"/>
    <xf numFmtId="168" fontId="4" fillId="12" borderId="0" xfId="2" applyNumberFormat="1" applyFont="1" applyFill="1"/>
    <xf numFmtId="168" fontId="16" fillId="12" borderId="0" xfId="2" applyNumberFormat="1" applyFont="1" applyFill="1"/>
    <xf numFmtId="172" fontId="4" fillId="12" borderId="0" xfId="2" applyNumberFormat="1" applyFont="1" applyFill="1"/>
    <xf numFmtId="172" fontId="6" fillId="0" borderId="0" xfId="2" applyNumberFormat="1" applyFont="1"/>
    <xf numFmtId="0" fontId="4" fillId="0" borderId="41" xfId="0" applyFont="1" applyFill="1" applyBorder="1"/>
    <xf numFmtId="169" fontId="12" fillId="0" borderId="32" xfId="0" applyNumberFormat="1" applyFont="1" applyBorder="1"/>
    <xf numFmtId="169" fontId="12" fillId="0" borderId="34" xfId="0" applyNumberFormat="1" applyFont="1" applyBorder="1"/>
    <xf numFmtId="169" fontId="12" fillId="0" borderId="37" xfId="0" applyNumberFormat="1" applyFont="1" applyBorder="1"/>
    <xf numFmtId="0" fontId="4" fillId="0" borderId="47" xfId="0" applyFont="1" applyBorder="1"/>
    <xf numFmtId="172" fontId="12" fillId="0" borderId="0" xfId="2" applyNumberFormat="1" applyFont="1"/>
    <xf numFmtId="0" fontId="12" fillId="0" borderId="47" xfId="0" applyFont="1" applyFill="1" applyBorder="1"/>
    <xf numFmtId="169" fontId="15" fillId="0" borderId="48" xfId="0" applyNumberFormat="1" applyFont="1" applyFill="1" applyBorder="1"/>
    <xf numFmtId="169" fontId="12" fillId="0" borderId="48" xfId="0" applyNumberFormat="1" applyFont="1" applyFill="1" applyBorder="1"/>
    <xf numFmtId="0" fontId="4" fillId="0" borderId="47" xfId="0" applyFont="1" applyFill="1" applyBorder="1"/>
    <xf numFmtId="9" fontId="16" fillId="0" borderId="0" xfId="1" applyFont="1" applyFill="1" applyAlignment="1">
      <alignment horizontal="right"/>
    </xf>
    <xf numFmtId="3" fontId="56" fillId="0" borderId="0" xfId="0" applyNumberFormat="1" applyFont="1" applyFill="1" applyBorder="1" applyAlignment="1">
      <alignment horizontal="right"/>
    </xf>
    <xf numFmtId="9" fontId="6" fillId="0" borderId="0" xfId="1" applyFont="1" applyBorder="1"/>
    <xf numFmtId="3" fontId="30" fillId="0" borderId="0" xfId="0" applyNumberFormat="1" applyFont="1" applyBorder="1"/>
    <xf numFmtId="3" fontId="22" fillId="0" borderId="0" xfId="0" applyNumberFormat="1" applyFont="1" applyBorder="1" applyAlignment="1">
      <alignment horizontal="right"/>
    </xf>
    <xf numFmtId="167" fontId="12" fillId="0" borderId="0" xfId="1" applyNumberFormat="1" applyFont="1" applyFill="1" applyBorder="1" applyAlignment="1">
      <alignment horizontal="right"/>
    </xf>
    <xf numFmtId="37" fontId="4" fillId="0" borderId="0" xfId="2" applyNumberFormat="1" applyFont="1" applyFill="1" applyBorder="1"/>
    <xf numFmtId="37" fontId="4" fillId="0" borderId="0" xfId="2" applyNumberFormat="1" applyFont="1" applyFill="1"/>
    <xf numFmtId="37" fontId="16" fillId="0" borderId="0" xfId="2" applyNumberFormat="1" applyFont="1" applyBorder="1"/>
    <xf numFmtId="37" fontId="16" fillId="0" borderId="0" xfId="2" applyNumberFormat="1" applyFont="1"/>
    <xf numFmtId="37" fontId="16" fillId="0" borderId="0" xfId="2" applyNumberFormat="1" applyFont="1" applyFill="1"/>
    <xf numFmtId="1" fontId="16" fillId="0" borderId="0" xfId="2" applyNumberFormat="1" applyFont="1" applyFill="1" applyBorder="1"/>
    <xf numFmtId="1" fontId="16" fillId="0" borderId="0" xfId="2" applyNumberFormat="1" applyFont="1" applyFill="1"/>
    <xf numFmtId="1" fontId="16" fillId="0" borderId="0" xfId="0" applyNumberFormat="1" applyFont="1" applyFill="1" applyAlignment="1">
      <alignment horizontal="right"/>
    </xf>
    <xf numFmtId="1" fontId="15" fillId="0" borderId="0" xfId="0" applyNumberFormat="1" applyFont="1"/>
    <xf numFmtId="1" fontId="15" fillId="0" borderId="0" xfId="0" applyNumberFormat="1" applyFont="1" applyAlignment="1">
      <alignment horizontal="right"/>
    </xf>
    <xf numFmtId="37" fontId="16" fillId="0" borderId="0" xfId="2" applyNumberFormat="1" applyFont="1" applyFill="1" applyAlignment="1">
      <alignment horizontal="right"/>
    </xf>
    <xf numFmtId="1" fontId="16" fillId="0" borderId="0" xfId="2" applyNumberFormat="1" applyFont="1" applyFill="1" applyAlignment="1">
      <alignment horizontal="right"/>
    </xf>
    <xf numFmtId="37" fontId="6" fillId="0" borderId="0" xfId="2" applyNumberFormat="1" applyFont="1" applyFill="1"/>
    <xf numFmtId="0" fontId="12" fillId="0" borderId="0" xfId="1" applyNumberFormat="1" applyFont="1" applyBorder="1"/>
    <xf numFmtId="212" fontId="12" fillId="0" borderId="0" xfId="1" applyNumberFormat="1" applyFont="1" applyBorder="1"/>
    <xf numFmtId="3" fontId="6" fillId="0" borderId="0" xfId="0" applyNumberFormat="1" applyFont="1" applyFill="1"/>
    <xf numFmtId="167" fontId="3" fillId="0" borderId="0" xfId="0" applyNumberFormat="1" applyFont="1" applyBorder="1"/>
    <xf numFmtId="167" fontId="3" fillId="0" borderId="0" xfId="1" applyNumberFormat="1" applyFont="1" applyBorder="1"/>
    <xf numFmtId="0" fontId="3" fillId="0" borderId="0" xfId="0" applyFont="1" applyFill="1" applyAlignment="1">
      <alignment horizontal="left" indent="1"/>
    </xf>
    <xf numFmtId="166" fontId="8" fillId="2" borderId="0" xfId="0" applyNumberFormat="1" applyFont="1" applyFill="1" applyBorder="1" applyAlignment="1">
      <alignment horizontal="right"/>
    </xf>
    <xf numFmtId="0" fontId="16" fillId="0" borderId="0" xfId="0" applyFont="1" applyFill="1" applyAlignment="1">
      <alignment horizontal="left"/>
    </xf>
    <xf numFmtId="0" fontId="14" fillId="0" borderId="0" xfId="0" applyFont="1" applyFill="1"/>
    <xf numFmtId="9" fontId="0" fillId="0" borderId="0" xfId="1" applyFont="1"/>
    <xf numFmtId="49" fontId="0" fillId="0" borderId="0" xfId="0" applyNumberFormat="1"/>
    <xf numFmtId="3" fontId="12" fillId="0" borderId="0" xfId="2" applyNumberFormat="1" applyFont="1"/>
    <xf numFmtId="3" fontId="15" fillId="7" borderId="0" xfId="0" applyNumberFormat="1" applyFont="1" applyFill="1" applyBorder="1"/>
    <xf numFmtId="0" fontId="15" fillId="0" borderId="0" xfId="0" applyFont="1" applyFill="1" applyBorder="1"/>
    <xf numFmtId="0" fontId="59" fillId="0" borderId="0" xfId="0" applyFont="1" applyBorder="1"/>
    <xf numFmtId="167" fontId="15" fillId="0" borderId="0" xfId="0" applyNumberFormat="1" applyFont="1" applyBorder="1"/>
    <xf numFmtId="9" fontId="15" fillId="0" borderId="0" xfId="0" applyNumberFormat="1" applyFont="1" applyFill="1" applyBorder="1"/>
    <xf numFmtId="9" fontId="27" fillId="0" borderId="0" xfId="0" applyNumberFormat="1" applyFont="1" applyBorder="1"/>
    <xf numFmtId="167" fontId="0" fillId="0" borderId="0" xfId="1" applyNumberFormat="1" applyFont="1" applyBorder="1"/>
    <xf numFmtId="3" fontId="27" fillId="0" borderId="0" xfId="0" applyNumberFormat="1" applyFont="1" applyBorder="1" applyAlignment="1">
      <alignment horizontal="right"/>
    </xf>
    <xf numFmtId="3" fontId="15" fillId="7" borderId="0" xfId="0" applyNumberFormat="1" applyFont="1" applyFill="1" applyBorder="1" applyAlignment="1">
      <alignment horizontal="right"/>
    </xf>
    <xf numFmtId="167" fontId="15" fillId="7" borderId="0" xfId="1" applyNumberFormat="1" applyFont="1" applyFill="1" applyBorder="1"/>
    <xf numFmtId="167" fontId="16" fillId="7" borderId="0" xfId="1" applyNumberFormat="1" applyFont="1" applyFill="1" applyBorder="1" applyAlignment="1">
      <alignment horizontal="right"/>
    </xf>
    <xf numFmtId="167" fontId="15" fillId="0" borderId="0" xfId="1" applyNumberFormat="1" applyFont="1" applyFill="1" applyBorder="1"/>
    <xf numFmtId="0" fontId="12" fillId="4" borderId="0" xfId="0" applyFont="1" applyFill="1" applyBorder="1"/>
    <xf numFmtId="37" fontId="16" fillId="0" borderId="0" xfId="2" applyNumberFormat="1" applyFont="1" applyFill="1" applyBorder="1" applyAlignment="1">
      <alignment horizontal="right"/>
    </xf>
    <xf numFmtId="1" fontId="16" fillId="0" borderId="0" xfId="2" applyNumberFormat="1" applyFont="1" applyFill="1" applyBorder="1" applyAlignment="1">
      <alignment horizontal="right"/>
    </xf>
    <xf numFmtId="0" fontId="6" fillId="0" borderId="0" xfId="0" applyFont="1" applyBorder="1"/>
    <xf numFmtId="0" fontId="6" fillId="0" borderId="0" xfId="0" applyFont="1" applyFill="1" applyBorder="1"/>
    <xf numFmtId="37" fontId="6" fillId="0" borderId="0" xfId="2" applyNumberFormat="1" applyFont="1" applyFill="1" applyBorder="1"/>
    <xf numFmtId="0" fontId="5" fillId="0" borderId="0" xfId="0" applyFont="1" applyBorder="1"/>
    <xf numFmtId="3" fontId="12" fillId="0" borderId="0" xfId="2" applyNumberFormat="1" applyFont="1" applyBorder="1"/>
    <xf numFmtId="171" fontId="12" fillId="0" borderId="0" xfId="0" applyNumberFormat="1" applyFont="1" applyFill="1" applyBorder="1"/>
    <xf numFmtId="167" fontId="30" fillId="0" borderId="0" xfId="0" applyNumberFormat="1" applyFont="1" applyBorder="1"/>
    <xf numFmtId="168" fontId="12" fillId="0" borderId="0" xfId="2" applyNumberFormat="1" applyFont="1" applyBorder="1"/>
    <xf numFmtId="167" fontId="12" fillId="0" borderId="0" xfId="2" applyNumberFormat="1" applyFont="1" applyBorder="1"/>
    <xf numFmtId="3" fontId="16" fillId="0" borderId="0" xfId="2" applyNumberFormat="1" applyFont="1" applyFill="1" applyBorder="1"/>
    <xf numFmtId="0" fontId="2" fillId="7" borderId="0" xfId="3" applyFont="1" applyFill="1"/>
    <xf numFmtId="0" fontId="2" fillId="0" borderId="0" xfId="0" applyFont="1"/>
    <xf numFmtId="0" fontId="2" fillId="7" borderId="0" xfId="3" applyFont="1" applyFill="1" applyBorder="1"/>
    <xf numFmtId="9" fontId="12" fillId="7" borderId="0" xfId="1" applyFont="1" applyFill="1" applyBorder="1"/>
    <xf numFmtId="9" fontId="12" fillId="7" borderId="9" xfId="1" applyFont="1" applyFill="1" applyBorder="1"/>
    <xf numFmtId="173" fontId="14" fillId="0" borderId="0" xfId="0" applyNumberFormat="1" applyFont="1"/>
    <xf numFmtId="173" fontId="14" fillId="0" borderId="0" xfId="0" applyNumberFormat="1" applyFont="1" applyFill="1" applyAlignment="1">
      <alignment horizontal="right"/>
    </xf>
    <xf numFmtId="0" fontId="12" fillId="0" borderId="0" xfId="0" applyFont="1" applyAlignment="1">
      <alignment horizontal="left"/>
    </xf>
    <xf numFmtId="0" fontId="21" fillId="13" borderId="0" xfId="0" applyFont="1" applyFill="1" applyAlignment="1">
      <alignment horizontal="center"/>
    </xf>
    <xf numFmtId="9" fontId="12" fillId="7" borderId="0" xfId="1" applyFont="1" applyFill="1"/>
    <xf numFmtId="9" fontId="12" fillId="7" borderId="0" xfId="3" applyNumberFormat="1" applyFill="1"/>
    <xf numFmtId="172" fontId="12" fillId="0" borderId="0" xfId="0" applyNumberFormat="1" applyFont="1"/>
    <xf numFmtId="0" fontId="1" fillId="0" borderId="0" xfId="0" applyFont="1" applyFill="1"/>
    <xf numFmtId="0" fontId="1" fillId="0" borderId="0" xfId="0" applyFont="1" applyAlignment="1">
      <alignment horizontal="left" indent="1"/>
    </xf>
    <xf numFmtId="0" fontId="1" fillId="7" borderId="0" xfId="3" applyFont="1" applyFill="1" applyBorder="1"/>
    <xf numFmtId="4" fontId="1" fillId="7" borderId="0" xfId="3" applyNumberFormat="1" applyFont="1" applyFill="1"/>
    <xf numFmtId="178" fontId="14" fillId="7" borderId="11" xfId="3" applyNumberFormat="1" applyFont="1" applyFill="1" applyBorder="1"/>
    <xf numFmtId="178" fontId="14" fillId="7" borderId="0" xfId="3" applyNumberFormat="1" applyFont="1" applyFill="1" applyBorder="1"/>
    <xf numFmtId="178" fontId="14" fillId="7" borderId="12" xfId="3" applyNumberFormat="1" applyFont="1" applyFill="1" applyBorder="1"/>
    <xf numFmtId="0" fontId="1" fillId="7" borderId="11" xfId="3" applyFont="1" applyFill="1" applyBorder="1"/>
    <xf numFmtId="9" fontId="19" fillId="7" borderId="6" xfId="3" applyNumberFormat="1" applyFont="1" applyFill="1" applyBorder="1"/>
    <xf numFmtId="173" fontId="22" fillId="6" borderId="7" xfId="3" applyNumberFormat="1" applyFont="1" applyFill="1" applyBorder="1"/>
    <xf numFmtId="0" fontId="14" fillId="7" borderId="8" xfId="3" applyFont="1" applyFill="1" applyBorder="1"/>
    <xf numFmtId="9" fontId="14" fillId="7" borderId="9" xfId="3" applyNumberFormat="1" applyFont="1" applyFill="1" applyBorder="1"/>
    <xf numFmtId="173" fontId="22" fillId="6" borderId="10" xfId="3" applyNumberFormat="1" applyFont="1" applyFill="1" applyBorder="1"/>
    <xf numFmtId="9" fontId="14" fillId="0" borderId="0" xfId="1" applyNumberFormat="1" applyFont="1" applyFill="1" applyAlignment="1">
      <alignment horizontal="right"/>
    </xf>
    <xf numFmtId="221" fontId="12" fillId="0" borderId="0" xfId="0" applyNumberFormat="1" applyFont="1" applyAlignment="1">
      <alignment horizontal="left"/>
    </xf>
    <xf numFmtId="9" fontId="1" fillId="0" borderId="0" xfId="1" applyFont="1"/>
    <xf numFmtId="9" fontId="16" fillId="7" borderId="12" xfId="1" applyFont="1" applyFill="1" applyBorder="1" applyAlignment="1">
      <alignment horizontal="right"/>
    </xf>
    <xf numFmtId="4" fontId="12" fillId="0" borderId="0" xfId="0" applyNumberFormat="1" applyFont="1" applyFill="1" applyBorder="1"/>
    <xf numFmtId="4" fontId="12" fillId="0" borderId="0" xfId="0" applyNumberFormat="1" applyFont="1" applyFill="1"/>
    <xf numFmtId="0" fontId="6" fillId="0" borderId="0" xfId="0" applyFont="1" applyFill="1" applyAlignment="1">
      <alignment horizontal="left" indent="3"/>
    </xf>
    <xf numFmtId="3" fontId="16" fillId="0" borderId="0" xfId="1" applyNumberFormat="1" applyFont="1" applyFill="1"/>
    <xf numFmtId="173" fontId="24" fillId="0" borderId="0" xfId="0" applyNumberFormat="1" applyFont="1" applyFill="1" applyBorder="1" applyAlignment="1">
      <alignment horizontal="left"/>
    </xf>
    <xf numFmtId="167" fontId="12" fillId="5" borderId="0" xfId="0" applyNumberFormat="1" applyFont="1" applyFill="1" applyBorder="1"/>
    <xf numFmtId="167" fontId="14" fillId="5" borderId="0" xfId="0" applyNumberFormat="1" applyFont="1" applyFill="1" applyBorder="1"/>
    <xf numFmtId="167" fontId="14" fillId="5" borderId="0" xfId="1" applyNumberFormat="1" applyFont="1" applyFill="1" applyBorder="1"/>
    <xf numFmtId="167" fontId="56" fillId="5" borderId="0" xfId="0" applyNumberFormat="1" applyFont="1" applyFill="1" applyBorder="1"/>
    <xf numFmtId="173" fontId="22" fillId="6" borderId="0" xfId="3" applyNumberFormat="1" applyFont="1" applyFill="1" applyBorder="1"/>
    <xf numFmtId="0" fontId="1" fillId="0" borderId="38" xfId="0" applyFont="1" applyBorder="1" applyAlignment="1">
      <alignment horizontal="right"/>
    </xf>
    <xf numFmtId="0" fontId="19" fillId="0" borderId="39" xfId="0" applyFont="1" applyBorder="1"/>
    <xf numFmtId="0" fontId="37" fillId="0" borderId="39" xfId="0" applyFont="1" applyBorder="1"/>
    <xf numFmtId="0" fontId="19" fillId="7" borderId="39" xfId="0" applyFont="1" applyFill="1" applyBorder="1"/>
    <xf numFmtId="169" fontId="12" fillId="0" borderId="6" xfId="0" applyNumberFormat="1" applyFont="1" applyBorder="1"/>
    <xf numFmtId="169" fontId="19" fillId="0" borderId="39" xfId="0" applyNumberFormat="1" applyFont="1" applyBorder="1"/>
    <xf numFmtId="166" fontId="16" fillId="0" borderId="0" xfId="0" applyNumberFormat="1" applyFont="1" applyFill="1" applyAlignment="1">
      <alignment horizontal="right"/>
    </xf>
    <xf numFmtId="166" fontId="16" fillId="0" borderId="0" xfId="2" applyNumberFormat="1" applyFont="1" applyFill="1" applyBorder="1"/>
    <xf numFmtId="166" fontId="19" fillId="0" borderId="0" xfId="0" applyNumberFormat="1" applyFont="1" applyFill="1"/>
    <xf numFmtId="43" fontId="30" fillId="0" borderId="0" xfId="2" applyFont="1"/>
    <xf numFmtId="166" fontId="27" fillId="0" borderId="0" xfId="0" applyNumberFormat="1" applyFont="1" applyBorder="1"/>
    <xf numFmtId="167" fontId="16" fillId="0" borderId="0" xfId="0" applyNumberFormat="1" applyFont="1" applyBorder="1"/>
    <xf numFmtId="9" fontId="1" fillId="0" borderId="0" xfId="0" applyNumberFormat="1" applyFont="1" applyBorder="1"/>
    <xf numFmtId="3" fontId="15" fillId="0" borderId="0" xfId="2" applyNumberFormat="1" applyFont="1" applyFill="1" applyBorder="1" applyAlignment="1">
      <alignment horizontal="right"/>
    </xf>
    <xf numFmtId="3" fontId="15" fillId="0" borderId="0" xfId="1" applyNumberFormat="1" applyFont="1" applyFill="1" applyBorder="1" applyAlignment="1">
      <alignment horizontal="right"/>
    </xf>
    <xf numFmtId="4" fontId="15" fillId="0" borderId="0" xfId="0" applyNumberFormat="1" applyFont="1" applyBorder="1"/>
    <xf numFmtId="167" fontId="19" fillId="0" borderId="0" xfId="0" applyNumberFormat="1" applyFont="1" applyBorder="1"/>
    <xf numFmtId="3" fontId="27" fillId="7" borderId="0" xfId="0" applyNumberFormat="1" applyFont="1" applyFill="1" applyBorder="1"/>
    <xf numFmtId="3" fontId="19" fillId="4" borderId="0" xfId="0" applyNumberFormat="1" applyFont="1" applyFill="1" applyBorder="1" applyAlignment="1">
      <alignment horizontal="right"/>
    </xf>
    <xf numFmtId="3" fontId="27" fillId="0" borderId="0" xfId="0" applyNumberFormat="1" applyFont="1" applyFill="1" applyBorder="1"/>
    <xf numFmtId="167" fontId="12" fillId="4" borderId="0" xfId="1" applyNumberFormat="1" applyFont="1" applyFill="1" applyBorder="1"/>
    <xf numFmtId="167" fontId="19" fillId="4" borderId="0" xfId="1" applyNumberFormat="1" applyFont="1" applyFill="1" applyBorder="1"/>
    <xf numFmtId="3" fontId="16" fillId="7" borderId="0" xfId="0" applyNumberFormat="1" applyFont="1" applyFill="1" applyBorder="1"/>
    <xf numFmtId="3" fontId="27" fillId="7" borderId="0" xfId="0" applyNumberFormat="1" applyFont="1" applyFill="1" applyBorder="1" applyAlignment="1">
      <alignment horizontal="right"/>
    </xf>
    <xf numFmtId="3" fontId="15" fillId="4" borderId="0" xfId="0" applyNumberFormat="1" applyFont="1" applyFill="1" applyBorder="1" applyAlignment="1">
      <alignment horizontal="right"/>
    </xf>
    <xf numFmtId="3" fontId="5" fillId="4" borderId="0" xfId="0" applyNumberFormat="1" applyFont="1" applyFill="1" applyBorder="1" applyAlignment="1">
      <alignment horizontal="right"/>
    </xf>
    <xf numFmtId="1" fontId="12" fillId="0" borderId="0" xfId="0" applyNumberFormat="1" applyFont="1" applyFill="1" applyBorder="1" applyAlignment="1">
      <alignment horizontal="right"/>
    </xf>
    <xf numFmtId="166" fontId="19" fillId="0" borderId="0" xfId="0" applyNumberFormat="1" applyFont="1" applyFill="1" applyBorder="1"/>
    <xf numFmtId="172" fontId="19" fillId="0" borderId="0" xfId="0" applyNumberFormat="1" applyFont="1" applyFill="1" applyBorder="1"/>
    <xf numFmtId="172" fontId="15" fillId="0" borderId="0" xfId="0" applyNumberFormat="1" applyFont="1" applyFill="1" applyBorder="1"/>
    <xf numFmtId="167" fontId="12" fillId="4" borderId="0" xfId="1" applyNumberFormat="1" applyFont="1" applyFill="1" applyBorder="1" applyAlignment="1">
      <alignment horizontal="right"/>
    </xf>
    <xf numFmtId="167" fontId="15" fillId="0" borderId="0" xfId="0" applyNumberFormat="1" applyFont="1" applyFill="1" applyBorder="1"/>
    <xf numFmtId="167" fontId="16" fillId="4" borderId="0" xfId="1" applyNumberFormat="1" applyFont="1" applyFill="1" applyBorder="1"/>
    <xf numFmtId="1" fontId="30" fillId="0" borderId="0" xfId="0" applyNumberFormat="1" applyFont="1" applyBorder="1"/>
    <xf numFmtId="1" fontId="12" fillId="0" borderId="0" xfId="2" applyNumberFormat="1" applyFont="1" applyFill="1" applyBorder="1"/>
    <xf numFmtId="0" fontId="16" fillId="0" borderId="0" xfId="0" applyFont="1" applyFill="1" applyBorder="1"/>
    <xf numFmtId="1" fontId="12" fillId="0" borderId="6" xfId="0" applyNumberFormat="1" applyFont="1" applyFill="1" applyBorder="1"/>
    <xf numFmtId="1" fontId="12" fillId="0" borderId="9" xfId="0" applyNumberFormat="1" applyFont="1" applyFill="1" applyBorder="1"/>
    <xf numFmtId="9" fontId="16" fillId="4" borderId="0" xfId="1" applyFont="1" applyFill="1" applyBorder="1"/>
    <xf numFmtId="9" fontId="19" fillId="4" borderId="0" xfId="1" applyFont="1" applyFill="1" applyBorder="1"/>
    <xf numFmtId="0" fontId="12" fillId="0" borderId="50" xfId="0" applyFont="1" applyBorder="1"/>
    <xf numFmtId="166" fontId="8" fillId="2" borderId="50" xfId="0" applyNumberFormat="1" applyFont="1" applyFill="1" applyBorder="1" applyAlignment="1">
      <alignment horizontal="right"/>
    </xf>
    <xf numFmtId="3" fontId="12" fillId="0" borderId="50" xfId="0" applyNumberFormat="1" applyFont="1" applyBorder="1"/>
    <xf numFmtId="3" fontId="14" fillId="0" borderId="50" xfId="0" applyNumberFormat="1" applyFont="1" applyBorder="1"/>
    <xf numFmtId="3" fontId="12" fillId="7" borderId="50" xfId="0" applyNumberFormat="1" applyFont="1" applyFill="1" applyBorder="1"/>
    <xf numFmtId="3" fontId="14" fillId="7" borderId="50" xfId="0" applyNumberFormat="1" applyFont="1" applyFill="1" applyBorder="1"/>
    <xf numFmtId="3" fontId="12" fillId="0" borderId="50" xfId="0" applyNumberFormat="1" applyFont="1" applyFill="1" applyBorder="1"/>
    <xf numFmtId="167" fontId="12" fillId="0" borderId="50" xfId="1" applyNumberFormat="1" applyFont="1" applyBorder="1"/>
    <xf numFmtId="3" fontId="19" fillId="0" borderId="50" xfId="2" applyNumberFormat="1" applyFont="1" applyFill="1" applyBorder="1" applyAlignment="1">
      <alignment horizontal="right"/>
    </xf>
    <xf numFmtId="3" fontId="16" fillId="0" borderId="50" xfId="2" applyNumberFormat="1" applyFont="1" applyFill="1" applyBorder="1" applyAlignment="1">
      <alignment horizontal="right"/>
    </xf>
    <xf numFmtId="166" fontId="33" fillId="0" borderId="50" xfId="2" applyNumberFormat="1" applyFont="1" applyFill="1" applyBorder="1" applyAlignment="1">
      <alignment horizontal="right"/>
    </xf>
    <xf numFmtId="169" fontId="12" fillId="0" borderId="50" xfId="0" applyNumberFormat="1" applyFont="1" applyBorder="1"/>
    <xf numFmtId="3" fontId="16" fillId="0" borderId="50" xfId="0" applyNumberFormat="1" applyFont="1" applyBorder="1"/>
    <xf numFmtId="3" fontId="16" fillId="7" borderId="50" xfId="0" applyNumberFormat="1" applyFont="1" applyFill="1" applyBorder="1"/>
    <xf numFmtId="3" fontId="19" fillId="7" borderId="50" xfId="0" applyNumberFormat="1" applyFont="1" applyFill="1" applyBorder="1"/>
    <xf numFmtId="3" fontId="19" fillId="0" borderId="50" xfId="0" applyNumberFormat="1" applyFont="1" applyFill="1" applyBorder="1"/>
    <xf numFmtId="167" fontId="19" fillId="0" borderId="50" xfId="0" applyNumberFormat="1" applyFont="1" applyBorder="1"/>
    <xf numFmtId="3" fontId="56" fillId="0" borderId="50" xfId="0" applyNumberFormat="1" applyFont="1" applyFill="1" applyBorder="1" applyAlignment="1">
      <alignment horizontal="right"/>
    </xf>
    <xf numFmtId="3" fontId="19" fillId="0" borderId="50" xfId="0" applyNumberFormat="1" applyFont="1" applyBorder="1"/>
    <xf numFmtId="3" fontId="16" fillId="0" borderId="50" xfId="1" applyNumberFormat="1" applyFont="1" applyFill="1" applyBorder="1" applyAlignment="1">
      <alignment horizontal="right"/>
    </xf>
    <xf numFmtId="3" fontId="22" fillId="0" borderId="50" xfId="2" applyNumberFormat="1" applyFont="1" applyFill="1" applyBorder="1" applyAlignment="1">
      <alignment horizontal="right"/>
    </xf>
    <xf numFmtId="166" fontId="16" fillId="0" borderId="50" xfId="0" applyNumberFormat="1" applyFont="1" applyBorder="1"/>
    <xf numFmtId="1" fontId="16" fillId="0" borderId="50" xfId="0" applyNumberFormat="1" applyFont="1" applyBorder="1"/>
    <xf numFmtId="1" fontId="14" fillId="0" borderId="50" xfId="0" applyNumberFormat="1" applyFont="1" applyBorder="1"/>
    <xf numFmtId="4" fontId="12" fillId="0" borderId="50" xfId="2" applyNumberFormat="1" applyFont="1" applyFill="1" applyBorder="1" applyAlignment="1">
      <alignment horizontal="right"/>
    </xf>
    <xf numFmtId="3" fontId="16" fillId="0" borderId="50" xfId="0" applyNumberFormat="1" applyFont="1" applyFill="1" applyBorder="1" applyAlignment="1">
      <alignment horizontal="right"/>
    </xf>
    <xf numFmtId="4" fontId="12" fillId="0" borderId="50" xfId="0" applyNumberFormat="1" applyFont="1" applyBorder="1"/>
    <xf numFmtId="9" fontId="19" fillId="0" borderId="50" xfId="0" applyNumberFormat="1" applyFont="1" applyBorder="1"/>
    <xf numFmtId="4" fontId="12" fillId="0" borderId="50" xfId="0" applyNumberFormat="1" applyFont="1" applyFill="1" applyBorder="1"/>
    <xf numFmtId="9" fontId="12" fillId="0" borderId="50" xfId="1" applyFont="1" applyBorder="1"/>
    <xf numFmtId="167" fontId="16" fillId="0" borderId="50" xfId="1" applyNumberFormat="1" applyFont="1" applyFill="1" applyBorder="1" applyAlignment="1">
      <alignment horizontal="right"/>
    </xf>
    <xf numFmtId="2" fontId="19" fillId="0" borderId="50" xfId="0" applyNumberFormat="1" applyFont="1" applyFill="1" applyBorder="1"/>
    <xf numFmtId="169" fontId="19" fillId="0" borderId="50" xfId="0" applyNumberFormat="1" applyFont="1" applyFill="1" applyBorder="1"/>
    <xf numFmtId="0" fontId="12" fillId="0" borderId="50" xfId="0" applyFont="1" applyFill="1" applyBorder="1"/>
    <xf numFmtId="9" fontId="12" fillId="0" borderId="50" xfId="0" applyNumberFormat="1" applyFont="1" applyFill="1" applyBorder="1"/>
    <xf numFmtId="9" fontId="12" fillId="0" borderId="50" xfId="1" applyNumberFormat="1" applyFont="1" applyFill="1" applyBorder="1"/>
    <xf numFmtId="9" fontId="19" fillId="0" borderId="50" xfId="0" applyNumberFormat="1" applyFont="1" applyFill="1" applyBorder="1"/>
    <xf numFmtId="9" fontId="0" fillId="0" borderId="50" xfId="0" applyNumberFormat="1" applyBorder="1"/>
    <xf numFmtId="9" fontId="16" fillId="0" borderId="50" xfId="0" applyNumberFormat="1" applyFont="1" applyFill="1" applyBorder="1"/>
    <xf numFmtId="167" fontId="33" fillId="0" borderId="50" xfId="1" applyNumberFormat="1" applyFont="1" applyFill="1" applyBorder="1"/>
    <xf numFmtId="167" fontId="14" fillId="0" borderId="50" xfId="1" applyNumberFormat="1" applyFont="1" applyBorder="1"/>
    <xf numFmtId="167" fontId="16" fillId="0" borderId="50" xfId="1" applyNumberFormat="1" applyFont="1" applyFill="1" applyBorder="1"/>
    <xf numFmtId="167" fontId="19" fillId="0" borderId="50" xfId="1" applyNumberFormat="1" applyFont="1" applyFill="1" applyBorder="1"/>
    <xf numFmtId="167" fontId="12" fillId="0" borderId="50" xfId="0" applyNumberFormat="1" applyFont="1" applyBorder="1"/>
    <xf numFmtId="167" fontId="19" fillId="0" borderId="50" xfId="1" applyNumberFormat="1" applyFont="1" applyBorder="1"/>
    <xf numFmtId="9" fontId="19" fillId="0" borderId="50" xfId="1" applyFont="1" applyFill="1" applyBorder="1"/>
    <xf numFmtId="167" fontId="16" fillId="0" borderId="50" xfId="1" applyNumberFormat="1" applyFont="1" applyBorder="1"/>
    <xf numFmtId="167" fontId="14" fillId="0" borderId="50" xfId="0" applyNumberFormat="1" applyFont="1" applyFill="1" applyBorder="1"/>
    <xf numFmtId="167" fontId="22" fillId="0" borderId="50" xfId="1" applyNumberFormat="1" applyFont="1" applyFill="1" applyBorder="1"/>
    <xf numFmtId="9" fontId="12" fillId="0" borderId="50" xfId="0" applyNumberFormat="1" applyFont="1" applyBorder="1"/>
    <xf numFmtId="9" fontId="16" fillId="0" borderId="50" xfId="1" applyNumberFormat="1" applyFont="1" applyFill="1" applyBorder="1"/>
    <xf numFmtId="0" fontId="0" fillId="0" borderId="50" xfId="0" applyBorder="1"/>
    <xf numFmtId="167" fontId="19" fillId="0" borderId="50" xfId="0" applyNumberFormat="1" applyFont="1" applyFill="1" applyBorder="1"/>
    <xf numFmtId="167" fontId="12" fillId="0" borderId="50" xfId="1" applyNumberFormat="1" applyFont="1" applyFill="1" applyBorder="1"/>
    <xf numFmtId="9" fontId="19" fillId="0" borderId="50" xfId="1" applyFont="1" applyBorder="1"/>
    <xf numFmtId="167" fontId="0" fillId="0" borderId="50" xfId="0" applyNumberFormat="1" applyBorder="1"/>
    <xf numFmtId="9" fontId="6" fillId="0" borderId="50" xfId="1" applyFont="1" applyBorder="1"/>
    <xf numFmtId="9" fontId="14" fillId="0" borderId="50" xfId="1" applyFont="1" applyBorder="1"/>
    <xf numFmtId="167" fontId="6" fillId="0" borderId="50" xfId="1" applyNumberFormat="1" applyFont="1" applyBorder="1"/>
    <xf numFmtId="3" fontId="30" fillId="0" borderId="50" xfId="0" applyNumberFormat="1" applyFont="1" applyBorder="1"/>
    <xf numFmtId="167" fontId="14" fillId="0" borderId="50" xfId="0" applyNumberFormat="1" applyFont="1" applyBorder="1"/>
    <xf numFmtId="167" fontId="56" fillId="0" borderId="50" xfId="0" applyNumberFormat="1" applyFont="1" applyBorder="1"/>
    <xf numFmtId="167" fontId="3" fillId="0" borderId="50" xfId="1" applyNumberFormat="1" applyFont="1" applyBorder="1"/>
    <xf numFmtId="167" fontId="12" fillId="0" borderId="50" xfId="0" applyNumberFormat="1" applyFont="1" applyFill="1" applyBorder="1"/>
    <xf numFmtId="3" fontId="22" fillId="0" borderId="50" xfId="0" applyNumberFormat="1" applyFont="1" applyBorder="1"/>
    <xf numFmtId="3" fontId="22" fillId="7" borderId="50" xfId="0" applyNumberFormat="1" applyFont="1" applyFill="1" applyBorder="1"/>
    <xf numFmtId="167" fontId="30" fillId="4" borderId="50" xfId="1" applyNumberFormat="1" applyFont="1" applyFill="1" applyBorder="1"/>
    <xf numFmtId="167" fontId="16" fillId="4" borderId="50" xfId="1" applyNumberFormat="1" applyFont="1" applyFill="1" applyBorder="1" applyAlignment="1">
      <alignment horizontal="right"/>
    </xf>
    <xf numFmtId="3" fontId="16" fillId="4" borderId="50" xfId="0" applyNumberFormat="1" applyFont="1" applyFill="1" applyBorder="1" applyAlignment="1">
      <alignment horizontal="right"/>
    </xf>
    <xf numFmtId="9" fontId="16" fillId="0" borderId="51" xfId="1" applyFont="1" applyBorder="1"/>
    <xf numFmtId="3" fontId="30" fillId="4" borderId="50" xfId="1" applyNumberFormat="1" applyFont="1" applyFill="1" applyBorder="1"/>
    <xf numFmtId="3" fontId="16" fillId="0" borderId="50" xfId="0" applyNumberFormat="1" applyFont="1" applyFill="1" applyBorder="1"/>
    <xf numFmtId="3" fontId="19" fillId="0" borderId="50" xfId="0" applyNumberFormat="1" applyFont="1" applyFill="1" applyBorder="1" applyAlignment="1">
      <alignment horizontal="right"/>
    </xf>
    <xf numFmtId="3" fontId="14" fillId="0" borderId="50" xfId="0" applyNumberFormat="1" applyFont="1" applyFill="1" applyBorder="1"/>
    <xf numFmtId="37" fontId="4" fillId="0" borderId="50" xfId="2" applyNumberFormat="1" applyFont="1" applyFill="1" applyBorder="1"/>
    <xf numFmtId="37" fontId="16" fillId="0" borderId="50" xfId="2" applyNumberFormat="1" applyFont="1" applyBorder="1"/>
    <xf numFmtId="1" fontId="16" fillId="0" borderId="50" xfId="2" applyNumberFormat="1" applyFont="1" applyFill="1" applyBorder="1"/>
    <xf numFmtId="1" fontId="12" fillId="0" borderId="50" xfId="0" applyNumberFormat="1" applyFont="1" applyBorder="1"/>
    <xf numFmtId="3" fontId="22" fillId="0" borderId="50" xfId="0" applyNumberFormat="1" applyFont="1" applyBorder="1" applyAlignment="1">
      <alignment horizontal="right"/>
    </xf>
    <xf numFmtId="3" fontId="14" fillId="7" borderId="50" xfId="0" applyNumberFormat="1" applyFont="1" applyFill="1" applyBorder="1" applyAlignment="1">
      <alignment horizontal="right"/>
    </xf>
    <xf numFmtId="167" fontId="6" fillId="0" borderId="50" xfId="0" applyNumberFormat="1" applyFont="1" applyBorder="1"/>
    <xf numFmtId="3" fontId="16" fillId="7" borderId="50" xfId="0" applyNumberFormat="1" applyFont="1" applyFill="1" applyBorder="1" applyAlignment="1">
      <alignment horizontal="right"/>
    </xf>
    <xf numFmtId="3" fontId="16" fillId="0" borderId="50" xfId="0" applyNumberFormat="1" applyFont="1" applyBorder="1" applyAlignment="1">
      <alignment horizontal="right"/>
    </xf>
    <xf numFmtId="3" fontId="5" fillId="0" borderId="50" xfId="0" applyNumberFormat="1" applyFont="1" applyBorder="1" applyAlignment="1">
      <alignment horizontal="right"/>
    </xf>
    <xf numFmtId="9" fontId="30" fillId="0" borderId="50" xfId="1" applyFont="1" applyBorder="1"/>
    <xf numFmtId="169" fontId="12" fillId="0" borderId="50" xfId="0" applyNumberFormat="1" applyFont="1" applyFill="1" applyBorder="1"/>
    <xf numFmtId="3" fontId="12" fillId="0" borderId="50" xfId="0" applyNumberFormat="1" applyFont="1" applyFill="1" applyBorder="1" applyAlignment="1">
      <alignment horizontal="right"/>
    </xf>
    <xf numFmtId="3" fontId="12" fillId="0" borderId="50" xfId="0" applyNumberFormat="1" applyFont="1" applyBorder="1" applyAlignment="1">
      <alignment horizontal="right"/>
    </xf>
    <xf numFmtId="1" fontId="14" fillId="0" borderId="50" xfId="0" applyNumberFormat="1" applyFont="1" applyFill="1" applyBorder="1"/>
    <xf numFmtId="3" fontId="12" fillId="0" borderId="52" xfId="0" applyNumberFormat="1" applyFont="1" applyFill="1" applyBorder="1"/>
    <xf numFmtId="3" fontId="12" fillId="0" borderId="53" xfId="0" applyNumberFormat="1" applyFont="1" applyFill="1" applyBorder="1"/>
    <xf numFmtId="1" fontId="12" fillId="0" borderId="50" xfId="0" applyNumberFormat="1" applyFont="1" applyFill="1" applyBorder="1" applyAlignment="1">
      <alignment horizontal="right"/>
    </xf>
    <xf numFmtId="1" fontId="12" fillId="0" borderId="50" xfId="0" applyNumberFormat="1" applyFont="1" applyFill="1" applyBorder="1"/>
    <xf numFmtId="2" fontId="12" fillId="0" borderId="50" xfId="0" applyNumberFormat="1" applyFont="1" applyFill="1" applyBorder="1"/>
    <xf numFmtId="9" fontId="12" fillId="0" borderId="50" xfId="1" applyFont="1" applyFill="1" applyBorder="1"/>
    <xf numFmtId="1" fontId="12" fillId="0" borderId="52" xfId="0" applyNumberFormat="1" applyFont="1" applyFill="1" applyBorder="1"/>
    <xf numFmtId="1" fontId="12" fillId="0" borderId="53" xfId="0" applyNumberFormat="1" applyFont="1" applyFill="1" applyBorder="1"/>
    <xf numFmtId="1" fontId="12" fillId="0" borderId="50" xfId="0" applyNumberFormat="1" applyFont="1" applyBorder="1" applyAlignment="1">
      <alignment horizontal="right"/>
    </xf>
    <xf numFmtId="170" fontId="16" fillId="0" borderId="50" xfId="0" applyNumberFormat="1" applyFont="1" applyFill="1" applyBorder="1"/>
    <xf numFmtId="169" fontId="19" fillId="0" borderId="50" xfId="0" applyNumberFormat="1" applyFont="1" applyBorder="1"/>
    <xf numFmtId="166" fontId="12" fillId="0" borderId="50" xfId="0" applyNumberFormat="1" applyFont="1" applyBorder="1"/>
    <xf numFmtId="169" fontId="12" fillId="0" borderId="50" xfId="0" applyNumberFormat="1" applyFont="1" applyFill="1" applyBorder="1" applyAlignment="1">
      <alignment horizontal="right"/>
    </xf>
    <xf numFmtId="169" fontId="12" fillId="0" borderId="52" xfId="0" applyNumberFormat="1" applyFont="1" applyBorder="1"/>
    <xf numFmtId="169" fontId="12" fillId="0" borderId="53" xfId="0" applyNumberFormat="1" applyFont="1" applyBorder="1"/>
    <xf numFmtId="166" fontId="12" fillId="0" borderId="50" xfId="0" applyNumberFormat="1" applyFont="1" applyFill="1" applyBorder="1" applyAlignment="1">
      <alignment horizontal="right"/>
    </xf>
    <xf numFmtId="9" fontId="12" fillId="0" borderId="50" xfId="1" applyNumberFormat="1" applyFont="1" applyBorder="1"/>
    <xf numFmtId="166" fontId="12" fillId="0" borderId="50" xfId="0" applyNumberFormat="1" applyFont="1" applyFill="1" applyBorder="1"/>
    <xf numFmtId="166" fontId="19" fillId="0" borderId="50" xfId="0" applyNumberFormat="1" applyFont="1" applyFill="1" applyBorder="1" applyAlignment="1">
      <alignment horizontal="right"/>
    </xf>
    <xf numFmtId="171" fontId="19" fillId="0" borderId="50" xfId="0" applyNumberFormat="1" applyFont="1" applyFill="1" applyBorder="1"/>
    <xf numFmtId="167" fontId="5" fillId="0" borderId="50" xfId="1" applyNumberFormat="1" applyFont="1" applyFill="1" applyBorder="1"/>
    <xf numFmtId="167" fontId="5" fillId="0" borderId="50" xfId="1" applyNumberFormat="1" applyFont="1" applyBorder="1"/>
    <xf numFmtId="167" fontId="30" fillId="7" borderId="50" xfId="1" applyNumberFormat="1" applyFont="1" applyFill="1" applyBorder="1"/>
    <xf numFmtId="3" fontId="30" fillId="7" borderId="50" xfId="1" applyNumberFormat="1" applyFont="1" applyFill="1" applyBorder="1"/>
    <xf numFmtId="172" fontId="12" fillId="0" borderId="50" xfId="0" applyNumberFormat="1" applyFont="1" applyFill="1" applyBorder="1"/>
    <xf numFmtId="3" fontId="14" fillId="0" borderId="50" xfId="0" applyNumberFormat="1" applyFont="1" applyBorder="1" applyAlignment="1">
      <alignment horizontal="right"/>
    </xf>
    <xf numFmtId="167" fontId="5" fillId="0" borderId="50" xfId="0" applyNumberFormat="1" applyFont="1" applyBorder="1" applyAlignment="1">
      <alignment horizontal="right"/>
    </xf>
    <xf numFmtId="167" fontId="12" fillId="0" borderId="50" xfId="1" applyNumberFormat="1" applyFont="1" applyBorder="1" applyAlignment="1">
      <alignment horizontal="right"/>
    </xf>
    <xf numFmtId="3" fontId="16" fillId="0" borderId="50" xfId="1" applyNumberFormat="1" applyFont="1" applyFill="1" applyBorder="1"/>
    <xf numFmtId="1" fontId="16" fillId="0" borderId="50" xfId="1" applyNumberFormat="1" applyFont="1" applyBorder="1"/>
    <xf numFmtId="1" fontId="12" fillId="0" borderId="50" xfId="1" applyNumberFormat="1" applyFont="1" applyBorder="1" applyAlignment="1">
      <alignment horizontal="right"/>
    </xf>
    <xf numFmtId="167" fontId="16" fillId="0" borderId="50" xfId="1" applyNumberFormat="1" applyFont="1" applyBorder="1" applyAlignment="1">
      <alignment horizontal="right"/>
    </xf>
    <xf numFmtId="9" fontId="16" fillId="0" borderId="50" xfId="1" applyFont="1" applyFill="1" applyBorder="1"/>
    <xf numFmtId="167" fontId="5" fillId="0" borderId="50" xfId="0" applyNumberFormat="1" applyFont="1" applyBorder="1"/>
    <xf numFmtId="169" fontId="30" fillId="0" borderId="50" xfId="0" applyNumberFormat="1" applyFont="1" applyBorder="1"/>
    <xf numFmtId="3" fontId="19" fillId="0" borderId="50" xfId="0" applyNumberFormat="1" applyFont="1" applyBorder="1" applyAlignment="1">
      <alignment horizontal="right"/>
    </xf>
    <xf numFmtId="3" fontId="22" fillId="0" borderId="50" xfId="0" applyNumberFormat="1" applyFont="1" applyFill="1" applyBorder="1"/>
    <xf numFmtId="1" fontId="12" fillId="0" borderId="50" xfId="2" applyNumberFormat="1" applyFont="1" applyBorder="1"/>
    <xf numFmtId="167" fontId="12" fillId="0" borderId="50" xfId="1" applyNumberFormat="1" applyFont="1" applyFill="1" applyBorder="1" applyAlignment="1">
      <alignment horizontal="right"/>
    </xf>
    <xf numFmtId="166" fontId="19" fillId="0" borderId="50" xfId="0" applyNumberFormat="1" applyFont="1" applyFill="1" applyBorder="1"/>
    <xf numFmtId="0" fontId="16" fillId="0" borderId="50" xfId="0" applyFont="1" applyBorder="1"/>
    <xf numFmtId="3" fontId="12" fillId="0" borderId="54" xfId="0" applyNumberFormat="1" applyFont="1" applyFill="1" applyBorder="1"/>
    <xf numFmtId="3" fontId="12" fillId="0" borderId="51" xfId="0" applyNumberFormat="1" applyFont="1" applyFill="1" applyBorder="1"/>
    <xf numFmtId="1" fontId="12" fillId="0" borderId="54" xfId="0" applyNumberFormat="1" applyFont="1" applyBorder="1"/>
    <xf numFmtId="1" fontId="12" fillId="0" borderId="51" xfId="0" applyNumberFormat="1" applyFont="1" applyBorder="1"/>
    <xf numFmtId="3" fontId="4" fillId="0" borderId="50" xfId="0" applyNumberFormat="1" applyFont="1" applyBorder="1"/>
    <xf numFmtId="9" fontId="16" fillId="0" borderId="50" xfId="1" applyFont="1" applyBorder="1"/>
    <xf numFmtId="9" fontId="19" fillId="0" borderId="51" xfId="1" applyFont="1" applyBorder="1"/>
    <xf numFmtId="2" fontId="12" fillId="0" borderId="50" xfId="0" applyNumberFormat="1" applyFont="1" applyBorder="1"/>
    <xf numFmtId="9" fontId="16" fillId="6" borderId="0" xfId="1" applyFont="1" applyFill="1" applyBorder="1"/>
    <xf numFmtId="3" fontId="12" fillId="0" borderId="0" xfId="1" applyNumberFormat="1" applyFont="1" applyBorder="1"/>
    <xf numFmtId="222" fontId="12" fillId="0" borderId="50" xfId="1" applyNumberFormat="1" applyFont="1" applyFill="1" applyBorder="1"/>
    <xf numFmtId="1" fontId="30" fillId="0" borderId="0" xfId="2" applyNumberFormat="1" applyFont="1"/>
    <xf numFmtId="1" fontId="30" fillId="0" borderId="0" xfId="1" applyNumberFormat="1" applyFont="1"/>
    <xf numFmtId="0" fontId="38" fillId="0" borderId="0" xfId="131"/>
    <xf numFmtId="0" fontId="60" fillId="0" borderId="0" xfId="0" applyFont="1" applyAlignment="1">
      <alignment horizontal="center" vertical="center" textRotation="90"/>
    </xf>
    <xf numFmtId="0" fontId="60" fillId="0" borderId="0" xfId="0" applyFont="1" applyBorder="1" applyAlignment="1">
      <alignment horizontal="center" vertical="center" textRotation="90"/>
    </xf>
    <xf numFmtId="0" fontId="60" fillId="0" borderId="9" xfId="0" applyFont="1" applyBorder="1" applyAlignment="1">
      <alignment horizontal="center" vertical="center" textRotation="90"/>
    </xf>
    <xf numFmtId="174" fontId="12" fillId="0" borderId="0" xfId="0" applyNumberFormat="1" applyFont="1" applyAlignment="1">
      <alignment horizontal="right"/>
    </xf>
    <xf numFmtId="181" fontId="27" fillId="7" borderId="0" xfId="3" applyNumberFormat="1" applyFont="1" applyFill="1" applyAlignment="1">
      <alignment horizontal="left"/>
    </xf>
    <xf numFmtId="0" fontId="9" fillId="7" borderId="5" xfId="3" applyFont="1" applyFill="1" applyBorder="1" applyAlignment="1">
      <alignment horizontal="center"/>
    </xf>
    <xf numFmtId="0" fontId="9" fillId="7" borderId="6" xfId="3" applyFont="1" applyFill="1" applyBorder="1" applyAlignment="1">
      <alignment horizontal="center"/>
    </xf>
    <xf numFmtId="0" fontId="9" fillId="7" borderId="7" xfId="3" applyFont="1" applyFill="1" applyBorder="1" applyAlignment="1">
      <alignment horizontal="center"/>
    </xf>
    <xf numFmtId="179" fontId="27" fillId="7" borderId="0" xfId="3" applyNumberFormat="1" applyFont="1" applyFill="1" applyAlignment="1">
      <alignment horizontal="left"/>
    </xf>
    <xf numFmtId="202" fontId="27" fillId="7" borderId="0" xfId="3" applyNumberFormat="1" applyFont="1" applyFill="1" applyAlignment="1">
      <alignment horizontal="left"/>
    </xf>
    <xf numFmtId="3" fontId="15" fillId="0" borderId="50" xfId="0" applyNumberFormat="1" applyFont="1" applyFill="1" applyBorder="1"/>
    <xf numFmtId="0" fontId="38" fillId="14" borderId="0" xfId="142" applyFont="1" applyFill="1" applyAlignment="1">
      <alignment vertical="top"/>
    </xf>
    <xf numFmtId="0" fontId="38" fillId="14" borderId="0" xfId="131" applyFill="1" applyAlignment="1">
      <alignment vertical="top"/>
    </xf>
    <xf numFmtId="0" fontId="38" fillId="14" borderId="0" xfId="131" applyFill="1"/>
    <xf numFmtId="0" fontId="65" fillId="14" borderId="0" xfId="142" applyFont="1" applyFill="1" applyAlignment="1">
      <alignment horizontal="left" vertical="top"/>
    </xf>
    <xf numFmtId="0" fontId="38" fillId="14" borderId="0" xfId="131" applyFont="1" applyFill="1" applyAlignment="1">
      <alignment vertical="top"/>
    </xf>
    <xf numFmtId="0" fontId="66" fillId="14" borderId="0" xfId="142" applyFont="1" applyFill="1" applyAlignment="1">
      <alignment vertical="top"/>
    </xf>
    <xf numFmtId="0" fontId="0" fillId="14" borderId="0" xfId="0" applyFill="1" applyAlignment="1">
      <alignment vertical="top"/>
    </xf>
    <xf numFmtId="0" fontId="67" fillId="14" borderId="0" xfId="0" applyFont="1" applyFill="1" applyAlignment="1">
      <alignment vertical="top"/>
    </xf>
    <xf numFmtId="0" fontId="68" fillId="14" borderId="0" xfId="0" applyFont="1" applyFill="1" applyAlignment="1">
      <alignment vertical="top"/>
    </xf>
    <xf numFmtId="0" fontId="68" fillId="14" borderId="0" xfId="0" applyFont="1" applyFill="1" applyAlignment="1">
      <alignment vertical="top"/>
    </xf>
    <xf numFmtId="0" fontId="67" fillId="14" borderId="0" xfId="0" applyFont="1" applyFill="1" applyAlignment="1">
      <alignment vertical="top"/>
    </xf>
    <xf numFmtId="0" fontId="0" fillId="14" borderId="0" xfId="0" applyFill="1" applyAlignment="1">
      <alignment vertical="top"/>
    </xf>
    <xf numFmtId="0" fontId="0" fillId="14" borderId="59" xfId="0" applyFill="1" applyBorder="1" applyAlignment="1">
      <alignment vertical="top"/>
    </xf>
    <xf numFmtId="0" fontId="67" fillId="14" borderId="55" xfId="0" applyFont="1" applyFill="1" applyBorder="1" applyAlignment="1">
      <alignment vertical="top"/>
    </xf>
    <xf numFmtId="0" fontId="67" fillId="14" borderId="56" xfId="0" applyFont="1" applyFill="1" applyBorder="1" applyAlignment="1">
      <alignment vertical="top"/>
    </xf>
    <xf numFmtId="0" fontId="67" fillId="14" borderId="57" xfId="0" applyFont="1" applyFill="1" applyBorder="1" applyAlignment="1">
      <alignment vertical="top"/>
    </xf>
    <xf numFmtId="0" fontId="67" fillId="14" borderId="58" xfId="0" applyFont="1" applyFill="1" applyBorder="1" applyAlignment="1">
      <alignment vertical="top"/>
    </xf>
    <xf numFmtId="9" fontId="67" fillId="14" borderId="55" xfId="0" applyNumberFormat="1" applyFont="1" applyFill="1" applyBorder="1" applyAlignment="1">
      <alignment vertical="top"/>
    </xf>
    <xf numFmtId="3" fontId="67" fillId="14" borderId="55" xfId="0" applyNumberFormat="1" applyFont="1" applyFill="1" applyBorder="1" applyAlignment="1">
      <alignment vertical="top"/>
    </xf>
    <xf numFmtId="0" fontId="0" fillId="14" borderId="60" xfId="0" applyFill="1" applyBorder="1" applyAlignment="1">
      <alignment vertical="top"/>
    </xf>
    <xf numFmtId="2" fontId="38" fillId="0" borderId="0" xfId="131" applyNumberFormat="1" applyAlignment="1">
      <alignment horizontal="left"/>
    </xf>
    <xf numFmtId="0" fontId="38" fillId="0" borderId="0" xfId="131" applyNumberFormat="1" applyAlignment="1">
      <alignment horizontal="left"/>
    </xf>
    <xf numFmtId="1" fontId="38" fillId="0" borderId="0" xfId="131" applyNumberFormat="1" applyAlignment="1">
      <alignment horizontal="left"/>
    </xf>
    <xf numFmtId="0" fontId="38" fillId="0" borderId="0" xfId="131" applyFont="1"/>
    <xf numFmtId="228" fontId="38" fillId="0" borderId="0" xfId="131" applyNumberFormat="1" applyAlignment="1">
      <alignment horizontal="left"/>
    </xf>
    <xf numFmtId="49" fontId="38" fillId="0" borderId="0" xfId="131" applyNumberFormat="1"/>
  </cellXfs>
  <cellStyles count="143">
    <cellStyle name=" 1" xfId="109"/>
    <cellStyle name=" 2" xfId="110"/>
    <cellStyle name="%" xfId="6"/>
    <cellStyle name="******************************************" xfId="7"/>
    <cellStyle name="_Amba Remarks" xfId="111"/>
    <cellStyle name="_Book2" xfId="112"/>
    <cellStyle name="_Book2 (2)" xfId="8"/>
    <cellStyle name="_Book2 (3)" xfId="9"/>
    <cellStyle name="_DOW current model DT CHANGES" xfId="113"/>
    <cellStyle name="_Financials" xfId="10"/>
    <cellStyle name="_LEI current model" xfId="114"/>
    <cellStyle name="_Modelware" xfId="115"/>
    <cellStyle name="_MS NCM Model WIP" xfId="11"/>
    <cellStyle name="_mwareInputs" xfId="116"/>
    <cellStyle name="_ORI Current Model" xfId="117"/>
    <cellStyle name="_RRS1" xfId="12"/>
    <cellStyle name="_RRS10" xfId="13"/>
    <cellStyle name="_RRS11" xfId="14"/>
    <cellStyle name="_RRS13" xfId="15"/>
    <cellStyle name="_RRS16" xfId="16"/>
    <cellStyle name="_RRS17" xfId="17"/>
    <cellStyle name="_RRS2" xfId="18"/>
    <cellStyle name="_RRS20" xfId="118"/>
    <cellStyle name="_RRS21" xfId="19"/>
    <cellStyle name="_RRS6" xfId="20"/>
    <cellStyle name="_Sheet2" xfId="119"/>
    <cellStyle name="_Stock forecasts-_CH1" xfId="21"/>
    <cellStyle name="_SUMMARY " xfId="22"/>
    <cellStyle name="_UGL NR 090112" xfId="120"/>
    <cellStyle name="=C:\WINNT35\SYSTEM32\COMMAND.COM" xfId="23"/>
    <cellStyle name="0" xfId="24"/>
    <cellStyle name="0.0" xfId="25"/>
    <cellStyle name="0.00" xfId="26"/>
    <cellStyle name="0.000" xfId="27"/>
    <cellStyle name="0_Capex &amp; Depreciation " xfId="28"/>
    <cellStyle name="0_Valuing BP " xfId="29"/>
    <cellStyle name="c_HardInc " xfId="30"/>
    <cellStyle name="Comma" xfId="2" builtinId="3"/>
    <cellStyle name="Comma (0)" xfId="31"/>
    <cellStyle name="Comma (1)" xfId="32"/>
    <cellStyle name="Comma (2)" xfId="33"/>
    <cellStyle name="Comma 2" xfId="5"/>
    <cellStyle name="Comma 2 2" xfId="121"/>
    <cellStyle name="Comma 2 3" xfId="127"/>
    <cellStyle name="Comma 2 3 2" xfId="141"/>
    <cellStyle name="Comma 3" xfId="108"/>
    <cellStyle name="Currency (0)" xfId="34"/>
    <cellStyle name="Currency (2)" xfId="35"/>
    <cellStyle name="Currency (3)" xfId="36"/>
    <cellStyle name="Currency 2" xfId="37"/>
    <cellStyle name="Currency 2 2" xfId="135"/>
    <cellStyle name="Currency 3" xfId="38"/>
    <cellStyle name="Currency 4" xfId="39"/>
    <cellStyle name="Currency 5" xfId="40"/>
    <cellStyle name="Currency 6" xfId="41"/>
    <cellStyle name="Currency 7" xfId="137"/>
    <cellStyle name="Currency 8" xfId="139"/>
    <cellStyle name="Date, Long" xfId="42"/>
    <cellStyle name="Date, Short" xfId="43"/>
    <cellStyle name="Header" xfId="44"/>
    <cellStyle name="Heading" xfId="45"/>
    <cellStyle name="Heading (1)" xfId="46"/>
    <cellStyle name="Heading (2)" xfId="47"/>
    <cellStyle name="Input, 0 dec" xfId="48"/>
    <cellStyle name="Input, 1 dec" xfId="49"/>
    <cellStyle name="Input, 2 dec" xfId="50"/>
    <cellStyle name="Inputs" xfId="51"/>
    <cellStyle name="Millares [0]_2AV_M_M " xfId="133"/>
    <cellStyle name="Millares_2AV_M_M " xfId="132"/>
    <cellStyle name="Moneda [0]_2AV_M_M " xfId="134"/>
    <cellStyle name="Moneda_2AV_M_M " xfId="130"/>
    <cellStyle name="Multiple, 1 dec" xfId="52"/>
    <cellStyle name="Multiple, 2 dec" xfId="53"/>
    <cellStyle name="Name" xfId="54"/>
    <cellStyle name="NewAcct" xfId="55"/>
    <cellStyle name="Normal" xfId="0" builtinId="0"/>
    <cellStyle name="Normal (0)" xfId="56"/>
    <cellStyle name="Normal (1)" xfId="57"/>
    <cellStyle name="Normal (2)" xfId="58"/>
    <cellStyle name="Normal (3)" xfId="59"/>
    <cellStyle name="Normal (4)" xfId="60"/>
    <cellStyle name="Normal 10" xfId="136"/>
    <cellStyle name="Normal 11" xfId="138"/>
    <cellStyle name="Normal 2" xfId="3"/>
    <cellStyle name="Normal 2 2" xfId="131"/>
    <cellStyle name="Normal 2 3" xfId="128"/>
    <cellStyle name="Normal 3" xfId="61"/>
    <cellStyle name="Normal 4" xfId="62"/>
    <cellStyle name="Normal 5" xfId="63"/>
    <cellStyle name="Normal 5 2" xfId="64"/>
    <cellStyle name="Normal 5 3" xfId="65"/>
    <cellStyle name="Normal 5 4" xfId="66"/>
    <cellStyle name="Normal 6" xfId="67"/>
    <cellStyle name="Normal 7" xfId="68"/>
    <cellStyle name="Normal 8" xfId="69"/>
    <cellStyle name="Normal 9" xfId="70"/>
    <cellStyle name="Normal_DisclaimerSheet Samples" xfId="142"/>
    <cellStyle name="Normalny_Ferrum . Valuation . CA IB . 8" xfId="71"/>
    <cellStyle name="Number, 0 dec" xfId="72"/>
    <cellStyle name="Number, 1 dec" xfId="73"/>
    <cellStyle name="Number, 2 dec" xfId="74"/>
    <cellStyle name="Operating_Costs" xfId="75"/>
    <cellStyle name="p " xfId="76"/>
    <cellStyle name="Percent" xfId="1" builtinId="5"/>
    <cellStyle name="Percent (0)" xfId="77"/>
    <cellStyle name="Percent (1)" xfId="78"/>
    <cellStyle name="Percent (2)" xfId="79"/>
    <cellStyle name="Percent 2" xfId="4"/>
    <cellStyle name="Percent 2 2" xfId="122"/>
    <cellStyle name="Percent 2 3" xfId="129"/>
    <cellStyle name="Percent 2 3 2" xfId="140"/>
    <cellStyle name="Percent 3" xfId="80"/>
    <cellStyle name="Percent 4" xfId="107"/>
    <cellStyle name="Percent 5" xfId="106"/>
    <cellStyle name="Percent, 0 dec" xfId="81"/>
    <cellStyle name="Percent, 1 dec" xfId="82"/>
    <cellStyle name="Percent, 2 dec" xfId="83"/>
    <cellStyle name="Percent, bp" xfId="84"/>
    <cellStyle name="PlainDollar" xfId="85"/>
    <cellStyle name="Red" xfId="86"/>
    <cellStyle name="RRSInstruction" xfId="87"/>
    <cellStyle name="RRSInstruction 2" xfId="123"/>
    <cellStyle name="s_HardInc " xfId="88"/>
    <cellStyle name="s_Valuation " xfId="89"/>
    <cellStyle name="s_Valuation _IV3" xfId="124"/>
    <cellStyle name="s_Valuation _Modelware" xfId="125"/>
    <cellStyle name="s_Valuation _RRS26" xfId="126"/>
    <cellStyle name="SSComma0" xfId="90"/>
    <cellStyle name="SSComma2" xfId="91"/>
    <cellStyle name="SSDecs3" xfId="92"/>
    <cellStyle name="SSDflt" xfId="93"/>
    <cellStyle name="SSDfltPct" xfId="94"/>
    <cellStyle name="SSDfltPct0" xfId="95"/>
    <cellStyle name="SSFixed2" xfId="96"/>
    <cellStyle name="ssp " xfId="97"/>
    <cellStyle name="Style 1" xfId="98"/>
    <cellStyle name="Style 2" xfId="99"/>
    <cellStyle name="Summ" xfId="100"/>
    <cellStyle name="times7.5" xfId="101"/>
    <cellStyle name="UnderLine" xfId="102"/>
    <cellStyle name="White/unprot" xfId="103"/>
    <cellStyle name="Year, Actual" xfId="104"/>
    <cellStyle name="Year, Expected" xfId="105"/>
  </cellStyles>
  <dxfs count="2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E6B9B8"/>
      <color rgb="FFC3CDE5"/>
      <color rgb="FF1F497D"/>
      <color rgb="FFFFFF99"/>
      <color rgb="FF953735"/>
      <color rgb="FF4F81BD"/>
      <color rgb="FF953B3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3.xml" Type="http://schemas.openxmlformats.org/officeDocument/2006/relationships/externalLink"/>
<Relationship Id="rId11" Target="externalLinks/externalLink4.xml" Type="http://schemas.openxmlformats.org/officeDocument/2006/relationships/externalLink"/>
<Relationship Id="rId12" Target="externalLinks/externalLink5.xml" Type="http://schemas.openxmlformats.org/officeDocument/2006/relationships/externalLink"/>
<Relationship Id="rId13" Target="externalLinks/externalLink6.xml" Type="http://schemas.openxmlformats.org/officeDocument/2006/relationships/externalLink"/>
<Relationship Id="rId14" Target="externalLinks/externalLink7.xml" Type="http://schemas.openxmlformats.org/officeDocument/2006/relationships/externalLink"/>
<Relationship Id="rId15" Target="externalLinks/externalLink8.xml" Type="http://schemas.openxmlformats.org/officeDocument/2006/relationships/externalLink"/>
<Relationship Id="rId16" Target="externalLinks/externalLink9.xml" Type="http://schemas.openxmlformats.org/officeDocument/2006/relationships/externalLink"/>
<Relationship Id="rId17" Target="externalLinks/externalLink10.xml" Type="http://schemas.openxmlformats.org/officeDocument/2006/relationships/externalLink"/>
<Relationship Id="rId18" Target="externalLinks/externalLink11.xml" Type="http://schemas.openxmlformats.org/officeDocument/2006/relationships/externalLink"/>
<Relationship Id="rId19" Target="externalLinks/externalLink12.xml" Type="http://schemas.openxmlformats.org/officeDocument/2006/relationships/externalLink"/>
<Relationship Id="rId2" Target="worksheets/sheet2.xml" Type="http://schemas.openxmlformats.org/officeDocument/2006/relationships/worksheet"/>
<Relationship Id="rId20" Target="externalLinks/externalLink13.xml" Type="http://schemas.openxmlformats.org/officeDocument/2006/relationships/externalLink"/>
<Relationship Id="rId21" Target="externalLinks/externalLink14.xml" Type="http://schemas.openxmlformats.org/officeDocument/2006/relationships/externalLink"/>
<Relationship Id="rId22" Target="externalLinks/externalLink15.xml" Type="http://schemas.openxmlformats.org/officeDocument/2006/relationships/externalLink"/>
<Relationship Id="rId23" Target="externalLinks/externalLink16.xml" Type="http://schemas.openxmlformats.org/officeDocument/2006/relationships/externalLink"/>
<Relationship Id="rId24" Target="externalLinks/externalLink17.xml" Type="http://schemas.openxmlformats.org/officeDocument/2006/relationships/externalLink"/>
<Relationship Id="rId25" Target="externalLinks/externalLink18.xml" Type="http://schemas.openxmlformats.org/officeDocument/2006/relationships/externalLink"/>
<Relationship Id="rId26" Target="externalLinks/externalLink19.xml" Type="http://schemas.openxmlformats.org/officeDocument/2006/relationships/externalLink"/>
<Relationship Id="rId27" Target="externalLinks/externalLink20.xml" Type="http://schemas.openxmlformats.org/officeDocument/2006/relationships/externalLink"/>
<Relationship Id="rId28" Target="externalLinks/externalLink21.xml" Type="http://schemas.openxmlformats.org/officeDocument/2006/relationships/externalLink"/>
<Relationship Id="rId29" Target="externalLinks/externalLink22.xml" Type="http://schemas.openxmlformats.org/officeDocument/2006/relationships/externalLink"/>
<Relationship Id="rId3" Target="worksheets/sheet3.xml" Type="http://schemas.openxmlformats.org/officeDocument/2006/relationships/worksheet"/>
<Relationship Id="rId30" Target="externalLinks/externalLink23.xml" Type="http://schemas.openxmlformats.org/officeDocument/2006/relationships/externalLink"/>
<Relationship Id="rId31" Target="externalLinks/externalLink24.xml" Type="http://schemas.openxmlformats.org/officeDocument/2006/relationships/externalLink"/>
<Relationship Id="rId32" Target="externalLinks/externalLink25.xml" Type="http://schemas.openxmlformats.org/officeDocument/2006/relationships/externalLink"/>
<Relationship Id="rId33" Target="externalLinks/externalLink26.xml" Type="http://schemas.openxmlformats.org/officeDocument/2006/relationships/externalLink"/>
<Relationship Id="rId34" Target="externalLinks/externalLink27.xml" Type="http://schemas.openxmlformats.org/officeDocument/2006/relationships/externalLink"/>
<Relationship Id="rId35" Target="externalLinks/externalLink28.xml" Type="http://schemas.openxmlformats.org/officeDocument/2006/relationships/externalLink"/>
<Relationship Id="rId36" Target="externalLinks/externalLink29.xml" Type="http://schemas.openxmlformats.org/officeDocument/2006/relationships/externalLink"/>
<Relationship Id="rId37" Target="externalLinks/externalLink30.xml" Type="http://schemas.openxmlformats.org/officeDocument/2006/relationships/externalLink"/>
<Relationship Id="rId38" Target="theme/theme1.xml" Type="http://schemas.openxmlformats.org/officeDocument/2006/relationships/theme"/>
<Relationship Id="rId39" Target="styles.xml" Type="http://schemas.openxmlformats.org/officeDocument/2006/relationships/styles"/>
<Relationship Id="rId4" Target="worksheets/sheet4.xml" Type="http://schemas.openxmlformats.org/officeDocument/2006/relationships/worksheet"/>
<Relationship Id="rId40" Target="sharedStrings.xml" Type="http://schemas.openxmlformats.org/officeDocument/2006/relationships/sharedStrings"/>
<Relationship Id="rId41" Target="calcChain.xml" Type="http://schemas.openxmlformats.org/officeDocument/2006/relationships/calcChain"/>
<Relationship Id="rId42" Target="vbaProject.bin" Type="http://schemas.microsoft.com/office/2006/relationships/vbaProjec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externalLinks/externalLink1.xml" Type="http://schemas.openxmlformats.org/officeDocument/2006/relationships/externalLink"/>
<Relationship Id="rId9" Target="externalLinks/externalLink2.xml" Type="http://schemas.openxmlformats.org/officeDocument/2006/relationships/externalLink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#'Financial%20Summary'!A1" Type="http://schemas.openxmlformats.org/officeDocument/2006/relationships/hyperlink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181</xdr:row>
      <xdr:rowOff>0</xdr:rowOff>
    </xdr:from>
    <xdr:to>
      <xdr:col>7</xdr:col>
      <xdr:colOff>390525</xdr:colOff>
      <xdr:row>201</xdr:row>
      <xdr:rowOff>19050</xdr:rowOff>
    </xdr:to>
    <xdr:pic>
      <xdr:nvPicPr>
        <xdr:cNvPr id="79873" name="Picture 1" descr="C:\Users\viviennl\AppData\Local\Temp\MercuryPriceRatingHistoryChart\AMC.AX_2018_04_09_07_03_15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00362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85725</xdr:colOff>
      <xdr:row>2</xdr:row>
      <xdr:rowOff>104775</xdr:rowOff>
    </xdr:to>
    <xdr:sp macro="" textlink="">
      <xdr:nvSpPr>
        <xdr:cNvPr id="2" name="AutoShape 1">
          <a:hlinkClick xmlns:r="http://schemas.openxmlformats.org/officeDocument/2006/relationships" r:id="rId1" tooltip="Financial Summary"/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333375" cy="247650"/>
        </a:xfrm>
        <a:prstGeom prst="actionButtonHome">
          <a:avLst/>
        </a:prstGeom>
        <a:solidFill>
          <a:schemeClr val="bg1">
            <a:lumMod val="50000"/>
          </a:schemeClr>
        </a:solidFill>
        <a:ln>
          <a:solidFill>
            <a:schemeClr val="bg1"/>
          </a:solidFill>
        </a:ln>
        <a:effectLst/>
        <a:extLst/>
      </xdr:spPr>
    </xdr:sp>
    <xdr:clientData/>
  </xdr:twoCellAnchor>
  <xdr:twoCellAnchor>
    <xdr:from>
      <xdr:col>3</xdr:col>
      <xdr:colOff>40340</xdr:colOff>
      <xdr:row>2</xdr:row>
      <xdr:rowOff>13447</xdr:rowOff>
    </xdr:from>
    <xdr:to>
      <xdr:col>3</xdr:col>
      <xdr:colOff>829236</xdr:colOff>
      <xdr:row>3</xdr:row>
      <xdr:rowOff>22413</xdr:rowOff>
    </xdr:to>
    <xdr:sp macro="[0]!Interestcalc" textlink="">
      <xdr:nvSpPr>
        <xdr:cNvPr id="3" name="Rounded Rectangle 2"/>
        <xdr:cNvSpPr/>
      </xdr:nvSpPr>
      <xdr:spPr>
        <a:xfrm>
          <a:off x="2348752" y="304800"/>
          <a:ext cx="788896" cy="154642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 contourW="12700" prstMaterial="matte">
          <a:bevelT w="19050"/>
          <a:bevelB w="12700"/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700">
              <a:latin typeface="Arial" panose="020B0604020202020204" pitchFamily="34" charset="0"/>
              <a:cs typeface="Arial" panose="020B0604020202020204" pitchFamily="34" charset="0"/>
            </a:rPr>
            <a:t>Cash balancer</a:t>
          </a:r>
        </a:p>
      </xdr:txBody>
    </xdr:sp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file:///A:/ergest%20by%20Perks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file://///Sony/c/business/&#38750;&#37444;/&#38750;&#37444;&#20250;~1/&#21516;&#21644;&#37489;&#26989;/5714work.wk4" TargetMode="External" Type="http://schemas.openxmlformats.org/officeDocument/2006/relationships/externalLinkPath"/>
</Relationships>

</file>

<file path=xl/externalLinks/_rels/externalLink3.xml.rels><?xml version="1.0" encoding="UTF-8" standalone="yes"?>
<Relationships xmlns="http://schemas.openxmlformats.org/package/2006/relationships">
<Relationship Id="rId1" Target="/Documents%20and%20Settings/slester/Local%20Settings/Temporary%20Internet%20Files/OLK27F/MS%20ILU%20Model%20-%20WIP%20commod.xls" TargetMode="External" Type="http://schemas.openxmlformats.org/officeDocument/2006/relationships/externalLinkPath"/>
</Relationships>

</file>

<file path=xl/externalLinks/_rels/externalLink4.xml.rels><?xml version="1.0" encoding="UTF-8" standalone="yes"?>
<Relationships xmlns="http://schemas.openxmlformats.org/package/2006/relationships">
<Relationship Id="rId1" Target="Users/Small%20Caps/DE/MND/Models/MND.xls" TargetMode="External" Type="http://schemas.microsoft.com/office/2006/relationships/xlExternalLinkPath/xlStartup"/>
</Relationships>

</file>

<file path=xl/externalLinks/_rels/externalLink5.xml.rels><?xml version="1.0" encoding="UTF-8" standalone="yes"?>
<Relationships xmlns="http://schemas.openxmlformats.org/package/2006/relationships">
<Relationship Id="rId1" Target="Users/MINING/Nickel/PAN/MS%20PAN%20Model%20-%20WIP.xls" TargetMode="External" Type="http://schemas.microsoft.com/office/2006/relationships/xlExternalLinkPath/xlAlternateStartup"/>
</Relationships>

</file>

<file path=xl/externalLinks/_rels/externalLink6.xml.rels><?xml version="1.0" encoding="UTF-8" standalone="yes"?>
<Relationships xmlns="http://schemas.openxmlformats.org/package/2006/relationships">
<Relationship Id="rId1" Target="Users/MINING/Gold/NCM/MS%20NCM%20Model%20WIP.xls" TargetMode="External" Type="http://schemas.microsoft.com/office/2006/relationships/xlExternalLinkPath/xlAlternateStartup"/>
</Relationships>

</file>

<file path=xl/externalLinks/_rels/externalLink7.xml.rels><?xml version="1.0" encoding="UTF-8" standalone="yes"?>
<Relationships xmlns="http://schemas.openxmlformats.org/package/2006/relationships">
<Relationship Id="rId1" Target="Users/Ward/Builders/JamesHardie/Model/jhx1.xls" TargetMode="External" Type="http://schemas.microsoft.com/office/2006/relationships/xlExternalLinkPath/xlStartup"/>
</Relationships>

</file>

<file path=xl/externalLinks/_rels/externalLink8.xml.rels><?xml version="1.0" encoding="UTF-8" standalone="yes"?>
<Relationships xmlns="http://schemas.openxmlformats.org/package/2006/relationships">
<Relationship Id="rId1" Target="Users/Ward/Paper&amp;Packaging/Amcor/Model/amcwip.xls" TargetMode="External" Type="http://schemas.microsoft.com/office/2006/relationships/xlExternalLinkPath/xlStartup"/>
</Relationships>

</file>

<file path=xl/externalLinks/_rels/externalLink9.xml.rels><?xml version="1.0" encoding="UTF-8" standalone="yes"?>
<Relationships xmlns="http://schemas.openxmlformats.org/package/2006/relationships">
<Relationship Id="rId1" Target="Users/Small%20Caps/DE/TOX/Models/TOX.xls" TargetMode="External" Type="http://schemas.microsoft.com/office/2006/relationships/xlExternalLinkPath/xlStartup"/>
</Relationships>

</file>

<file path=xl/externalLinks/_rels/externalLink10.xml.rels><?xml version="1.0" encoding="UTF-8" standalone="yes"?>
<Relationships xmlns="http://schemas.openxmlformats.org/package/2006/relationships">
<Relationship Id="rId1" Target="na/ny/users/johndasc/Docs/ID/Charts/Sandbox/BtoB.xls" TargetMode="External" Type="http://schemas.microsoft.com/office/2006/relationships/xlExternalLinkPath/xlAlternateStartup"/>
</Relationships>

</file>

<file path=xl/externalLinks/_rels/externalLink11.xml.rels><?xml version="1.0" encoding="UTF-8" standalone="yes"?>
<Relationships xmlns="http://schemas.openxmlformats.org/package/2006/relationships">
<Relationship Id="rId1" Target="Users/PeterR%20Commodities/Research/Prices/Prices.xls" TargetMode="External" Type="http://schemas.microsoft.com/office/2006/relationships/xlExternalLinkPath/xlStartup"/>
</Relationships>

</file>

<file path=xl/externalLinks/_rels/externalLink12.xml.rels><?xml version="1.0" encoding="UTF-8" standalone="yes"?>
<Relationships xmlns="http://schemas.openxmlformats.org/package/2006/relationships">
<Relationship Id="rId1" Target="Users/MINING/Aluminium/AWC/AWC%20Model%20WIP.XLS" TargetMode="External" Type="http://schemas.microsoft.com/office/2006/relationships/xlExternalLinkPath/xlAlternateStartup"/>
</Relationships>

</file>

<file path=xl/externalLinks/_rels/externalLink13.xml.rels><?xml version="1.0" encoding="UTF-8" standalone="yes"?>
<Relationships xmlns="http://schemas.openxmlformats.org/package/2006/relationships">
<Relationship Id="rId1" Target="Users/Dev%20&amp;%20Contr/Chemicals/ORI/Model/ORI%20current%20model.xls" TargetMode="External" Type="http://schemas.microsoft.com/office/2006/relationships/xlExternalLinkPath/xlAlternateStartup"/>
</Relationships>

</file>

<file path=xl/externalLinks/_rels/externalLink14.xml.rels><?xml version="1.0" encoding="UTF-8" standalone="yes"?>
<Relationships xmlns="http://schemas.openxmlformats.org/package/2006/relationships">
<Relationship Id="rId1" Target="Users/PeterR%20Commodities/Research/Steel/Copy%20of%20Cost%20Competitiveness%20BOF%20v%20EAF.xls" TargetMode="External" Type="http://schemas.microsoft.com/office/2006/relationships/xlExternalLinkPath/xlStartup"/>
</Relationships>

</file>

<file path=xl/externalLinks/_rels/externalLink15.xml.rels><?xml version="1.0" encoding="UTF-8" standalone="yes"?>
<Relationships xmlns="http://schemas.openxmlformats.org/package/2006/relationships">
<Relationship Id="rId1" Target="Users/Small%20Caps/DE/BKN/Models/BKN.xls" TargetMode="External" Type="http://schemas.microsoft.com/office/2006/relationships/xlExternalLinkPath/xlStartup"/>
</Relationships>

</file>

<file path=xl/externalLinks/_rels/externalLink16.xml.rels><?xml version="1.0" encoding="UTF-8" standalone="yes"?>
<Relationships xmlns="http://schemas.openxmlformats.org/package/2006/relationships">
<Relationship Id="rId1" Target="Users/Small%20Caps/DE/EHL/Models/EHL.xls" TargetMode="External" Type="http://schemas.microsoft.com/office/2006/relationships/xlExternalLinkPath/xlStartup"/>
</Relationships>

</file>

<file path=xl/externalLinks/_rels/externalLink17.xml.rels><?xml version="1.0" encoding="UTF-8" standalone="yes"?>
<Relationships xmlns="http://schemas.openxmlformats.org/package/2006/relationships">
<Relationship Id="rId1" Target="Users/PeterR%20Commodities/Historical%20Prices/Iron%20Ore%20&amp;%20Coal.xls" TargetMode="External" Type="http://schemas.microsoft.com/office/2006/relationships/xlExternalLinkPath/xlStartup"/>
</Relationships>

</file>

<file path=xl/externalLinks/_rels/externalLink18.xml.rels><?xml version="1.0" encoding="UTF-8" standalone="yes"?>
<Relationships xmlns="http://schemas.openxmlformats.org/package/2006/relationships">
<Relationship Id="rId1" Target="Users/Ward/Paper%20&amp;%20Packaging/report%20data%20AMC.xls" TargetMode="External" Type="http://schemas.microsoft.com/office/2006/relationships/xlExternalLinkPath/xlStartup"/>
</Relationships>

</file>

<file path=xl/externalLinks/_rels/externalLink19.xml.rels><?xml version="1.0" encoding="UTF-8" standalone="yes"?>
<Relationships xmlns="http://schemas.openxmlformats.org/package/2006/relationships">
<Relationship Id="rId1" Target="Users/Mining&amp;Steel/Companies/ILU/Charts/ILU%20Open%20Platform.xls" TargetMode="External" Type="http://schemas.microsoft.com/office/2006/relationships/xlExternalLinkPath/xlAlternateStartup"/>
</Relationships>

</file>

<file path=xl/externalLinks/_rels/externalLink20.xml.rels><?xml version="1.0" encoding="UTF-8" standalone="yes"?>
<Relationships xmlns="http://schemas.openxmlformats.org/package/2006/relationships">
<Relationship Id="rId1" Target="Users/MINING/Gold/Covered%20companies/NCM/MS%20NCM%20Model%20WIP.xls" TargetMode="External" Type="http://schemas.microsoft.com/office/2006/relationships/xlExternalLinkPath/xlAlternateStartup"/>
</Relationships>

</file>

<file path=xl/externalLinks/_rels/externalLink21.xml.rels><?xml version="1.0" encoding="UTF-8" standalone="yes"?>
<Relationships xmlns="http://schemas.openxmlformats.org/package/2006/relationships">
<Relationship Id="rId1" Target="Users/Ward/Builders/Boral/Model/bldwip.xls" TargetMode="External" Type="http://schemas.microsoft.com/office/2006/relationships/xlExternalLinkPath/xlStartup"/>
</Relationships>

</file>

<file path=xl/externalLinks/_rels/externalLink22.xml.rels><?xml version="1.0" encoding="UTF-8" standalone="yes"?>
<Relationships xmlns="http://schemas.openxmlformats.org/package/2006/relationships">
<Relationship Id="rId1" Target="Users/Mining&amp;Steel/Companies/WHC/Charts/WHC%20Open%20Platform.xls" TargetMode="External" Type="http://schemas.microsoft.com/office/2006/relationships/xlExternalLinkPath/xlAlternateStartup"/>
</Relationships>

</file>

<file path=xl/externalLinks/_rels/externalLink23.xml.rels><?xml version="1.0" encoding="UTF-8" standalone="yes"?>
<Relationships xmlns="http://schemas.openxmlformats.org/package/2006/relationships">
<Relationship Id="rId1" Target="Users/Mining&amp;Steel/Companies/ZFX/model/ZFX%20Client%20model%20Sept%2006.XLS" TargetMode="External" Type="http://schemas.microsoft.com/office/2006/relationships/xlExternalLinkPath/xlStartup"/>
</Relationships>

</file>

<file path=xl/externalLinks/_rels/externalLink24.xml.rels><?xml version="1.0" encoding="UTF-8" standalone="yes"?>
<Relationships xmlns="http://schemas.openxmlformats.org/package/2006/relationships">
<Relationship Id="rId1" Target="Mctag/Models/ilu/ILUMS.XLS" TargetMode="External" Type="http://schemas.microsoft.com/office/2006/relationships/xlExternalLinkPath/xlStartup"/>
</Relationships>

</file>

<file path=xl/externalLinks/_rels/externalLink25.xml.rels><?xml version="1.0" encoding="UTF-8" standalone="yes"?>
<Relationships xmlns="http://schemas.openxmlformats.org/package/2006/relationships">
<Relationship Id="rId1" Target="USERS/CPT/Packaging/ORA/Models/MS%20ORA%20model%20v3.xlsm" TargetMode="External" Type="http://schemas.microsoft.com/office/2006/relationships/xlExternalLinkPath/xlAlternateStartup"/>
</Relationships>

</file>

<file path=xl/externalLinks/_rels/externalLink26.xml.rels><?xml version="1.0" encoding="UTF-8" standalone="yes"?>
<Relationships xmlns="http://schemas.openxmlformats.org/package/2006/relationships">
<Relationship Id="rId1" Target="Mctag/CN/Models/Copy%20of%20CaseStudyFinal.xls" TargetMode="External" Type="http://schemas.microsoft.com/office/2006/relationships/xlExternalLinkPath/xlStartup"/>
</Relationships>

</file>

<file path=xl/externalLinks/_rels/externalLink27.xml.rels><?xml version="1.0" encoding="UTF-8" standalone="yes"?>
<Relationships xmlns="http://schemas.openxmlformats.org/package/2006/relationships">
<Relationship Id="rId1" Target="Users/Mining&amp;Steel/Companies/ZFX/model/ZFX%20model%20%208%20Sept%2006.XLS" TargetMode="External" Type="http://schemas.microsoft.com/office/2006/relationships/xlExternalLinkPath/xlStartup"/>
</Relationships>

</file>

<file path=xl/externalLinks/_rels/externalLink28.xml.rels><?xml version="1.0" encoding="UTF-8" standalone="yes"?>
<Relationships xmlns="http://schemas.openxmlformats.org/package/2006/relationships">
<Relationship Id="rId1" Target="users/Dev%20&amp;%20Contr/Chemicals/IPL/Model/IPL%20model%201H17Result_wActuals.xlsx" TargetMode="External" Type="http://schemas.microsoft.com/office/2006/relationships/xlExternalLinkPath/xlAlternateStartup"/>
</Relationships>

</file>

<file path=xl/externalLinks/_rels/externalLink29.xml.rels><?xml version="1.0" encoding="UTF-8" standalone="yes"?>
<Relationships xmlns="http://schemas.openxmlformats.org/package/2006/relationships">
<Relationship Id="rId1" Target="Users/Mining&amp;Steel/Companies/OXR/Model/Summary%20Models%20Jan07.xls" TargetMode="External" Type="http://schemas.microsoft.com/office/2006/relationships/xlExternalLinkPath/xlStartup"/>
</Relationships>

</file>

<file path=xl/externalLinks/_rels/externalLink30.xml.rels><?xml version="1.0" encoding="UTF-8" standalone="yes"?>
<Relationships xmlns="http://schemas.openxmlformats.org/package/2006/relationships">
<Relationship Id="rId1" Target="Users/Mining&amp;Steel/Companies/BSL/Model/BSL%20model%20-%20WIP.XLS" TargetMode="External" Type="http://schemas.microsoft.com/office/2006/relationships/xlExternalLinkPath/xl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cal Isab equity acc"/>
      <sheetName val="Quarterly"/>
      <sheetName val="EUROS"/>
      <sheetName val="Monthly"/>
      <sheetName val="SDA Profitability"/>
      <sheetName val="ISAB"/>
      <sheetName val="Local Isab consolidated"/>
      <sheetName val="ELSA - Globals"/>
      <sheetName val="ELSA - Forecasts"/>
      <sheetName val="ELSA - Data Sheet"/>
      <sheetName val="Lion"/>
      <sheetName val="Chart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単独"/>
      <sheetName val="連結"/>
      <sheetName val="期中"/>
      <sheetName val="valu"/>
      <sheetName val="増減分析"/>
      <sheetName val="新素材"/>
      <sheetName val="子会社"/>
      <sheetName val="環境"/>
      <sheetName val="製錬拠点"/>
      <sheetName val="ﾃｨｻﾊﾟ"/>
      <sheetName val="ﾚｲﾃﾞﾌﾟﾗﾀ"/>
      <sheetName val="小坂"/>
      <sheetName val="中計"/>
      <sheetName val="cash"/>
      <sheetName val="ｾｸﾞﾒﾝﾄ"/>
      <sheetName val="含み益"/>
      <sheetName val="capx"/>
      <sheetName val="dep"/>
      <sheetName val="人"/>
      <sheetName val="exp"/>
      <sheetName val="Valuation Matrix"/>
      <sheetName val="HANDOUT"/>
      <sheetName val="Interm-Euro"/>
      <sheetName val="SCATTER DATA"/>
      <sheetName val="10 Yr DCF"/>
      <sheetName val="Annual-Euro"/>
      <sheetName val="Residual Income Model"/>
      <sheetName val="P"/>
      <sheetName val="Risk-Reward_View_Chart"/>
      <sheetName val="Sheet1"/>
      <sheetName val="variables"/>
      <sheetName val="Operating Leases tagged"/>
      <sheetName val="EARNMOD"/>
      <sheetName val="WACC"/>
      <sheetName val="Fixed Line Mkt"/>
      <sheetName val="Cash Flow"/>
      <sheetName val="upside_downside"/>
      <sheetName val="Income Statement"/>
      <sheetName val="Balance Sheet"/>
      <sheetName val="Valsum"/>
      <sheetName val="Model"/>
      <sheetName val="Intrinsic Value"/>
      <sheetName val="Rev by Geo"/>
      <sheetName val="exh 11"/>
      <sheetName val="exh 14"/>
      <sheetName val="exh 12"/>
      <sheetName val="exh 10"/>
      <sheetName val="exh 1 and 5"/>
      <sheetName val="exh 15"/>
      <sheetName val="exh 3"/>
      <sheetName val="exh 9"/>
      <sheetName val="Good 12-00 (2)"/>
      <sheetName val="Good 11-36"/>
      <sheetName val="Good 11-50"/>
      <sheetName val="Sheet3 (5)"/>
      <sheetName val="DCF"/>
      <sheetName val="OP"/>
      <sheetName val="Inputs"/>
      <sheetName val="MWA RR"/>
      <sheetName val="Summary"/>
      <sheetName val="IS"/>
      <sheetName val="IS Quarterly"/>
      <sheetName val="Sheet1 (2)"/>
      <sheetName val="1Q11 Preview"/>
      <sheetName val="2Q11 Preview"/>
      <sheetName val="Total_Production"/>
      <sheetName val="RFS"/>
      <sheetName val="Corn_Uses"/>
      <sheetName val="US_Production"/>
      <sheetName val="Report template"/>
      <sheetName val="Model (WIP)"/>
      <sheetName val="sales bkd"/>
      <sheetName val="Presentation"/>
      <sheetName val="Valuation"/>
      <sheetName val="fin"/>
      <sheetName val="Exclusion List"/>
    </sheetNames>
    <sheetDataSet>
      <sheetData sheetId="0" refreshError="1">
        <row r="14">
          <cell r="AR14">
            <v>28</v>
          </cell>
        </row>
        <row r="15">
          <cell r="AR15">
            <v>5</v>
          </cell>
        </row>
        <row r="16">
          <cell r="AR16">
            <v>14</v>
          </cell>
        </row>
        <row r="17">
          <cell r="AR17">
            <v>6</v>
          </cell>
        </row>
        <row r="18">
          <cell r="AR18">
            <v>-5</v>
          </cell>
        </row>
        <row r="512">
          <cell r="B512" t="str">
            <v>売上高</v>
          </cell>
          <cell r="D512" t="str">
            <v>M\</v>
          </cell>
          <cell r="Q512">
            <v>210000</v>
          </cell>
          <cell r="R512">
            <v>105000</v>
          </cell>
          <cell r="S512">
            <v>105000</v>
          </cell>
          <cell r="T512">
            <v>210000</v>
          </cell>
          <cell r="U512">
            <v>105000</v>
          </cell>
          <cell r="V512">
            <v>105000</v>
          </cell>
          <cell r="W512">
            <v>210000</v>
          </cell>
          <cell r="X512">
            <v>93000</v>
          </cell>
          <cell r="Y512">
            <v>100000</v>
          </cell>
          <cell r="Z512">
            <v>193000</v>
          </cell>
          <cell r="AA512">
            <v>91000</v>
          </cell>
          <cell r="AB512">
            <v>94000</v>
          </cell>
          <cell r="AC512">
            <v>185000</v>
          </cell>
        </row>
        <row r="513">
          <cell r="B513" t="str">
            <v>営業利益</v>
          </cell>
          <cell r="D513" t="str">
            <v>M\</v>
          </cell>
          <cell r="Q513">
            <v>8000</v>
          </cell>
          <cell r="R513">
            <v>5000</v>
          </cell>
          <cell r="S513">
            <v>5000</v>
          </cell>
          <cell r="T513">
            <v>10000</v>
          </cell>
          <cell r="V513">
            <v>0</v>
          </cell>
          <cell r="X513">
            <v>3000</v>
          </cell>
          <cell r="Y513">
            <v>4500</v>
          </cell>
          <cell r="Z513">
            <v>7500</v>
          </cell>
          <cell r="AA513">
            <v>3300</v>
          </cell>
          <cell r="AB513">
            <v>4400</v>
          </cell>
          <cell r="AC513">
            <v>7700</v>
          </cell>
        </row>
        <row r="514">
          <cell r="B514" t="str">
            <v>経常利益</v>
          </cell>
          <cell r="D514" t="str">
            <v>M\</v>
          </cell>
          <cell r="Q514">
            <v>6000</v>
          </cell>
          <cell r="R514">
            <v>4000</v>
          </cell>
          <cell r="S514">
            <v>4000</v>
          </cell>
          <cell r="T514">
            <v>8000</v>
          </cell>
          <cell r="U514">
            <v>3600</v>
          </cell>
          <cell r="V514">
            <v>3600</v>
          </cell>
          <cell r="W514">
            <v>7200</v>
          </cell>
          <cell r="X514">
            <v>2000</v>
          </cell>
          <cell r="Y514">
            <v>3000</v>
          </cell>
          <cell r="Z514">
            <v>5000</v>
          </cell>
          <cell r="AA514">
            <v>2500</v>
          </cell>
          <cell r="AB514">
            <v>3500</v>
          </cell>
          <cell r="AC514">
            <v>6000</v>
          </cell>
        </row>
        <row r="515">
          <cell r="B515" t="str">
            <v>当期利益</v>
          </cell>
          <cell r="D515" t="str">
            <v>M\</v>
          </cell>
          <cell r="Q515">
            <v>3000</v>
          </cell>
          <cell r="R515">
            <v>2000</v>
          </cell>
          <cell r="S515">
            <v>2000</v>
          </cell>
          <cell r="T515">
            <v>4000</v>
          </cell>
          <cell r="U515">
            <v>2000</v>
          </cell>
          <cell r="V515">
            <v>2000</v>
          </cell>
          <cell r="W515">
            <v>4000</v>
          </cell>
          <cell r="X515">
            <v>1200</v>
          </cell>
          <cell r="Y515">
            <v>1600</v>
          </cell>
          <cell r="Z515">
            <v>2800</v>
          </cell>
          <cell r="AA515">
            <v>1300</v>
          </cell>
          <cell r="AB515">
            <v>1700</v>
          </cell>
          <cell r="AC515">
            <v>3000</v>
          </cell>
        </row>
        <row r="516">
          <cell r="D516" t="str">
            <v xml:space="preserve"> </v>
          </cell>
        </row>
        <row r="517">
          <cell r="A517" t="str">
            <v>中間決算後の会社予想</v>
          </cell>
          <cell r="D517" t="str">
            <v xml:space="preserve"> </v>
          </cell>
          <cell r="Q517" t="str">
            <v>97/3期</v>
          </cell>
          <cell r="R517" t="str">
            <v>97/9上</v>
          </cell>
          <cell r="S517" t="str">
            <v>下</v>
          </cell>
          <cell r="T517" t="str">
            <v>98/3期</v>
          </cell>
          <cell r="U517" t="str">
            <v>98/9上</v>
          </cell>
          <cell r="V517" t="str">
            <v>下</v>
          </cell>
          <cell r="W517" t="str">
            <v>99/3期</v>
          </cell>
          <cell r="Z517" t="str">
            <v>00/3期</v>
          </cell>
          <cell r="AC517" t="str">
            <v>01/3期</v>
          </cell>
        </row>
        <row r="518">
          <cell r="B518" t="str">
            <v>売上高</v>
          </cell>
          <cell r="D518" t="str">
            <v>M\</v>
          </cell>
          <cell r="Q518">
            <v>200000</v>
          </cell>
          <cell r="S518">
            <v>109491</v>
          </cell>
          <cell r="T518">
            <v>222000</v>
          </cell>
          <cell r="U518">
            <v>104114</v>
          </cell>
          <cell r="V518">
            <v>105886</v>
          </cell>
          <cell r="W518">
            <v>210000</v>
          </cell>
          <cell r="X518">
            <v>91000</v>
          </cell>
          <cell r="Y518">
            <v>93000</v>
          </cell>
          <cell r="Z518">
            <v>184000</v>
          </cell>
          <cell r="AA518">
            <v>92800</v>
          </cell>
          <cell r="AB518">
            <v>94200</v>
          </cell>
          <cell r="AC518">
            <v>187000</v>
          </cell>
        </row>
        <row r="519">
          <cell r="B519" t="str">
            <v>営業利益</v>
          </cell>
          <cell r="D519" t="str">
            <v>M\</v>
          </cell>
          <cell r="Q519">
            <v>7500</v>
          </cell>
          <cell r="S519">
            <v>5552</v>
          </cell>
          <cell r="T519">
            <v>11000</v>
          </cell>
          <cell r="U519">
            <v>4811</v>
          </cell>
          <cell r="V519">
            <v>5689</v>
          </cell>
          <cell r="W519">
            <v>10500</v>
          </cell>
          <cell r="X519">
            <v>750</v>
          </cell>
          <cell r="Y519">
            <v>2350</v>
          </cell>
          <cell r="Z519">
            <v>3100</v>
          </cell>
          <cell r="AA519">
            <v>4000</v>
          </cell>
          <cell r="AB519">
            <v>4600</v>
          </cell>
          <cell r="AC519">
            <v>8600</v>
          </cell>
        </row>
        <row r="520">
          <cell r="B520" t="str">
            <v>経常利益</v>
          </cell>
          <cell r="D520" t="str">
            <v>M\</v>
          </cell>
          <cell r="Q520">
            <v>6000</v>
          </cell>
          <cell r="S520">
            <v>4344</v>
          </cell>
          <cell r="T520">
            <v>8500</v>
          </cell>
          <cell r="U520">
            <v>2863</v>
          </cell>
          <cell r="V520">
            <v>4337</v>
          </cell>
          <cell r="W520">
            <v>7200</v>
          </cell>
          <cell r="X520">
            <v>1200</v>
          </cell>
          <cell r="Y520">
            <v>1300</v>
          </cell>
          <cell r="Z520">
            <v>2500</v>
          </cell>
          <cell r="AA520">
            <v>3200</v>
          </cell>
          <cell r="AB520">
            <v>3800</v>
          </cell>
          <cell r="AC520">
            <v>7000</v>
          </cell>
        </row>
        <row r="521">
          <cell r="B521" t="str">
            <v>当期利益</v>
          </cell>
          <cell r="D521" t="str">
            <v>M\</v>
          </cell>
          <cell r="Q521">
            <v>3000</v>
          </cell>
          <cell r="S521">
            <v>1985</v>
          </cell>
          <cell r="T521">
            <v>4500</v>
          </cell>
          <cell r="U521">
            <v>1269</v>
          </cell>
          <cell r="V521">
            <v>2731</v>
          </cell>
          <cell r="W521">
            <v>4000</v>
          </cell>
          <cell r="X521">
            <v>900</v>
          </cell>
          <cell r="Y521">
            <v>700</v>
          </cell>
          <cell r="Z521">
            <v>1600</v>
          </cell>
          <cell r="AA521">
            <v>1700</v>
          </cell>
          <cell r="AB521">
            <v>1800</v>
          </cell>
          <cell r="AC521">
            <v>3500</v>
          </cell>
        </row>
        <row r="522">
          <cell r="D522" t="str">
            <v xml:space="preserve"> </v>
          </cell>
        </row>
        <row r="523">
          <cell r="A523" t="str">
            <v>修正後の会社予想</v>
          </cell>
          <cell r="D523" t="str">
            <v xml:space="preserve"> </v>
          </cell>
          <cell r="Q523" t="str">
            <v>97/3期</v>
          </cell>
          <cell r="R523" t="str">
            <v>97/9上</v>
          </cell>
          <cell r="S523" t="str">
            <v>下</v>
          </cell>
          <cell r="T523" t="str">
            <v>98/3期</v>
          </cell>
          <cell r="U523" t="str">
            <v>98/9上</v>
          </cell>
          <cell r="V523" t="str">
            <v>下</v>
          </cell>
          <cell r="W523" t="str">
            <v>99/3期</v>
          </cell>
          <cell r="Z523" t="str">
            <v>00/3期</v>
          </cell>
          <cell r="AC523" t="str">
            <v>01/3期</v>
          </cell>
        </row>
        <row r="524">
          <cell r="B524" t="str">
            <v>売上高</v>
          </cell>
          <cell r="D524" t="str">
            <v>M\</v>
          </cell>
          <cell r="U524">
            <v>112509</v>
          </cell>
          <cell r="V524">
            <v>82491</v>
          </cell>
          <cell r="W524">
            <v>195000</v>
          </cell>
          <cell r="X524">
            <v>92411</v>
          </cell>
          <cell r="Y524">
            <v>91589</v>
          </cell>
          <cell r="Z524">
            <v>184000</v>
          </cell>
          <cell r="AC524">
            <v>188600</v>
          </cell>
        </row>
        <row r="525">
          <cell r="B525" t="str">
            <v>営業利益</v>
          </cell>
          <cell r="D525" t="str">
            <v>M\</v>
          </cell>
          <cell r="U525">
            <v>5448</v>
          </cell>
          <cell r="V525">
            <v>-5448</v>
          </cell>
          <cell r="W525" t="str">
            <v>-</v>
          </cell>
          <cell r="X525">
            <v>739</v>
          </cell>
          <cell r="Y525">
            <v>2261</v>
          </cell>
          <cell r="Z525">
            <v>3000</v>
          </cell>
          <cell r="AC525">
            <v>8500</v>
          </cell>
        </row>
        <row r="526">
          <cell r="B526" t="str">
            <v>経常利益</v>
          </cell>
          <cell r="D526" t="str">
            <v>M\</v>
          </cell>
          <cell r="U526">
            <v>4156</v>
          </cell>
          <cell r="V526">
            <v>1144</v>
          </cell>
          <cell r="W526">
            <v>5300</v>
          </cell>
          <cell r="X526">
            <v>1209</v>
          </cell>
          <cell r="Y526">
            <v>1291</v>
          </cell>
          <cell r="Z526">
            <v>2500</v>
          </cell>
          <cell r="AC526">
            <v>7000</v>
          </cell>
        </row>
        <row r="527">
          <cell r="B527" t="str">
            <v>当期利益</v>
          </cell>
          <cell r="D527" t="str">
            <v>M\</v>
          </cell>
          <cell r="U527">
            <v>2515</v>
          </cell>
          <cell r="V527">
            <v>-1515</v>
          </cell>
          <cell r="W527">
            <v>1000</v>
          </cell>
          <cell r="X527">
            <v>1015</v>
          </cell>
          <cell r="Y527">
            <v>585</v>
          </cell>
          <cell r="Z527">
            <v>1600</v>
          </cell>
          <cell r="AC527">
            <v>3500</v>
          </cell>
        </row>
        <row r="529">
          <cell r="A529" t="str">
            <v>自分の業績予想の要約</v>
          </cell>
          <cell r="D529" t="str">
            <v xml:space="preserve"> </v>
          </cell>
          <cell r="Q529" t="str">
            <v>97/3期</v>
          </cell>
          <cell r="R529" t="str">
            <v>97/9上</v>
          </cell>
          <cell r="S529" t="str">
            <v>下</v>
          </cell>
          <cell r="T529" t="str">
            <v>98/3期</v>
          </cell>
          <cell r="U529" t="str">
            <v>98/9上</v>
          </cell>
          <cell r="V529" t="str">
            <v>下</v>
          </cell>
          <cell r="W529" t="str">
            <v>99/3期</v>
          </cell>
          <cell r="Z529" t="str">
            <v>00/3期</v>
          </cell>
          <cell r="AC529" t="str">
            <v>01/3期</v>
          </cell>
        </row>
        <row r="530">
          <cell r="B530" t="str">
            <v>売上高</v>
          </cell>
          <cell r="D530" t="str">
            <v>M\</v>
          </cell>
          <cell r="Q530">
            <v>212588</v>
          </cell>
          <cell r="R530">
            <v>112509</v>
          </cell>
          <cell r="S530">
            <v>108769</v>
          </cell>
          <cell r="T530">
            <v>221278</v>
          </cell>
          <cell r="U530">
            <v>104114</v>
          </cell>
          <cell r="V530">
            <v>105886</v>
          </cell>
          <cell r="W530">
            <v>196247</v>
          </cell>
          <cell r="X530">
            <v>92411</v>
          </cell>
          <cell r="Y530">
            <v>94325</v>
          </cell>
          <cell r="Z530">
            <v>186736</v>
          </cell>
          <cell r="AA530">
            <v>93449</v>
          </cell>
          <cell r="AB530">
            <v>95973</v>
          </cell>
          <cell r="AC530">
            <v>189422</v>
          </cell>
        </row>
        <row r="531">
          <cell r="B531" t="str">
            <v>営業利益</v>
          </cell>
          <cell r="D531" t="str">
            <v>M\</v>
          </cell>
          <cell r="Q531">
            <v>8473</v>
          </cell>
          <cell r="R531">
            <v>5448</v>
          </cell>
          <cell r="S531">
            <v>6280</v>
          </cell>
          <cell r="T531">
            <v>11728</v>
          </cell>
          <cell r="U531">
            <v>4811</v>
          </cell>
          <cell r="V531">
            <v>-4811</v>
          </cell>
          <cell r="W531">
            <v>9099</v>
          </cell>
          <cell r="X531">
            <v>739</v>
          </cell>
          <cell r="Y531">
            <v>2937</v>
          </cell>
          <cell r="Z531">
            <v>3676</v>
          </cell>
          <cell r="AA531">
            <v>3823</v>
          </cell>
          <cell r="AB531">
            <v>4774</v>
          </cell>
          <cell r="AC531">
            <v>8597</v>
          </cell>
        </row>
        <row r="532">
          <cell r="B532" t="str">
            <v>経常利益</v>
          </cell>
          <cell r="D532" t="str">
            <v>M\</v>
          </cell>
          <cell r="Q532">
            <v>6780</v>
          </cell>
          <cell r="R532">
            <v>4156</v>
          </cell>
          <cell r="S532">
            <v>4254</v>
          </cell>
          <cell r="T532">
            <v>8410</v>
          </cell>
          <cell r="U532">
            <v>2863</v>
          </cell>
          <cell r="V532">
            <v>4337</v>
          </cell>
          <cell r="W532">
            <v>5436</v>
          </cell>
          <cell r="X532">
            <v>1209</v>
          </cell>
          <cell r="Y532">
            <v>2206</v>
          </cell>
          <cell r="Z532">
            <v>3415</v>
          </cell>
          <cell r="AA532">
            <v>3188</v>
          </cell>
          <cell r="AB532">
            <v>4246</v>
          </cell>
          <cell r="AC532">
            <v>7434</v>
          </cell>
        </row>
        <row r="533">
          <cell r="B533" t="str">
            <v>当期利益</v>
          </cell>
          <cell r="D533" t="str">
            <v>M\</v>
          </cell>
          <cell r="Q533">
            <v>2642</v>
          </cell>
          <cell r="R533">
            <v>2515</v>
          </cell>
          <cell r="S533">
            <v>1930</v>
          </cell>
          <cell r="T533">
            <v>4445</v>
          </cell>
          <cell r="U533">
            <v>1269</v>
          </cell>
          <cell r="V533">
            <v>2731</v>
          </cell>
          <cell r="W533">
            <v>1249</v>
          </cell>
          <cell r="X533">
            <v>1015</v>
          </cell>
          <cell r="Y533">
            <v>-371</v>
          </cell>
          <cell r="Z533">
            <v>644</v>
          </cell>
          <cell r="AA533">
            <v>1886</v>
          </cell>
          <cell r="AB533">
            <v>1735</v>
          </cell>
          <cell r="AC533">
            <v>3621</v>
          </cell>
        </row>
        <row r="534">
          <cell r="B534" t="str">
            <v>ｷｬｯｼｭﾌﾛｰ</v>
          </cell>
          <cell r="D534" t="str">
            <v>M\</v>
          </cell>
          <cell r="Q534">
            <v>6569</v>
          </cell>
          <cell r="T534">
            <v>8397</v>
          </cell>
          <cell r="W534">
            <v>5219</v>
          </cell>
          <cell r="X534">
            <v>0</v>
          </cell>
          <cell r="Y534">
            <v>0</v>
          </cell>
          <cell r="Z534">
            <v>5272</v>
          </cell>
          <cell r="AA534">
            <v>0</v>
          </cell>
          <cell r="AB534">
            <v>0</v>
          </cell>
          <cell r="AC534">
            <v>7744</v>
          </cell>
        </row>
        <row r="535">
          <cell r="B535" t="str">
            <v>ＥＰＳ</v>
          </cell>
          <cell r="D535" t="str">
            <v xml:space="preserve"> </v>
          </cell>
          <cell r="Q535">
            <v>9.3778729053303369</v>
          </cell>
          <cell r="T535">
            <v>15.777685489853653</v>
          </cell>
          <cell r="W535">
            <v>4.4585484502642458</v>
          </cell>
          <cell r="X535">
            <v>0</v>
          </cell>
          <cell r="Y535">
            <v>0</v>
          </cell>
          <cell r="Z535">
            <v>2.3091291751816403</v>
          </cell>
          <cell r="AA535">
            <v>0</v>
          </cell>
          <cell r="AB535">
            <v>0</v>
          </cell>
          <cell r="AC535">
            <v>12.474266786471992</v>
          </cell>
        </row>
        <row r="536">
          <cell r="B536" t="str">
            <v>ＣＦＰＳ</v>
          </cell>
          <cell r="Q536">
            <v>23.316898983767974</v>
          </cell>
          <cell r="T536">
            <v>29.805449956873144</v>
          </cell>
          <cell r="W536">
            <v>18.63023567808575</v>
          </cell>
          <cell r="X536">
            <v>0</v>
          </cell>
          <cell r="Y536">
            <v>0</v>
          </cell>
          <cell r="Z536">
            <v>18.903305918567714</v>
          </cell>
          <cell r="AA536">
            <v>0</v>
          </cell>
          <cell r="AB536">
            <v>0</v>
          </cell>
          <cell r="AC536">
            <v>26.677912729753963</v>
          </cell>
        </row>
        <row r="537">
          <cell r="B537" t="str">
            <v>ＢＰＳ</v>
          </cell>
          <cell r="D537" t="str">
            <v xml:space="preserve"> </v>
          </cell>
          <cell r="Q537">
            <v>274.47138541921788</v>
          </cell>
          <cell r="T537">
            <v>285.04545180263165</v>
          </cell>
          <cell r="W537">
            <v>283.40518700030344</v>
          </cell>
          <cell r="X537">
            <v>0</v>
          </cell>
          <cell r="Y537">
            <v>0</v>
          </cell>
          <cell r="Z537">
            <v>284.88701918588026</v>
          </cell>
          <cell r="AA537">
            <v>0</v>
          </cell>
          <cell r="AB537">
            <v>0</v>
          </cell>
          <cell r="AC537">
            <v>301.13934185933795</v>
          </cell>
        </row>
        <row r="538">
          <cell r="B538" t="str">
            <v>ＲＯＥ</v>
          </cell>
          <cell r="D538" t="str">
            <v xml:space="preserve"> </v>
          </cell>
          <cell r="Q538">
            <v>3.4167033080723171E-2</v>
          </cell>
          <cell r="T538">
            <v>5.5351472511051616E-2</v>
          </cell>
          <cell r="W538">
            <v>1.5732063683998387E-2</v>
          </cell>
          <cell r="X538">
            <v>0</v>
          </cell>
          <cell r="Y538">
            <v>0</v>
          </cell>
          <cell r="Z538">
            <v>8.1054208148213392E-3</v>
          </cell>
          <cell r="AA538">
            <v>0</v>
          </cell>
          <cell r="AB538">
            <v>0</v>
          </cell>
          <cell r="AC538">
            <v>4.1423570595099185E-2</v>
          </cell>
        </row>
        <row r="539">
          <cell r="B539" t="str">
            <v>発行済株式数</v>
          </cell>
          <cell r="D539" t="str">
            <v xml:space="preserve"> </v>
          </cell>
          <cell r="Q539">
            <v>281727</v>
          </cell>
          <cell r="T539">
            <v>281727</v>
          </cell>
          <cell r="W539">
            <v>280136.016</v>
          </cell>
          <cell r="X539">
            <v>0</v>
          </cell>
          <cell r="Y539">
            <v>0</v>
          </cell>
          <cell r="Z539">
            <v>278893.016</v>
          </cell>
          <cell r="AA539">
            <v>0</v>
          </cell>
          <cell r="AB539">
            <v>0</v>
          </cell>
          <cell r="AC539">
            <v>290277.58199999999</v>
          </cell>
        </row>
        <row r="540">
          <cell r="C540" t="str">
            <v>売上前期比</v>
          </cell>
          <cell r="D540" t="str">
            <v xml:space="preserve"> </v>
          </cell>
          <cell r="T540">
            <v>4.0877189681449488E-2</v>
          </cell>
          <cell r="U540">
            <v>-7.461625292198848E-2</v>
          </cell>
          <cell r="V540">
            <v>-2.6505713944230402E-2</v>
          </cell>
          <cell r="W540">
            <v>-0.11312014750675625</v>
          </cell>
          <cell r="X540">
            <v>-0.11240563228768463</v>
          </cell>
          <cell r="Y540">
            <v>-0.10918346145854974</v>
          </cell>
          <cell r="Z540">
            <v>-4.8464435125122884E-2</v>
          </cell>
          <cell r="AA540">
            <v>1.1232429039832903E-2</v>
          </cell>
          <cell r="AB540">
            <v>1.7471508083753085E-2</v>
          </cell>
          <cell r="AC540">
            <v>1.4383943106845987E-2</v>
          </cell>
        </row>
        <row r="541">
          <cell r="C541" t="str">
            <v>営業前期比</v>
          </cell>
          <cell r="D541" t="str">
            <v xml:space="preserve"> </v>
          </cell>
          <cell r="T541">
            <v>0.38416145403044966</v>
          </cell>
          <cell r="U541">
            <v>-0.11692364170337743</v>
          </cell>
          <cell r="V541">
            <v>-1.7660828025477708</v>
          </cell>
          <cell r="W541">
            <v>-0.22416439290586632</v>
          </cell>
          <cell r="X541">
            <v>-0.84639368114737057</v>
          </cell>
          <cell r="Y541">
            <v>-1.6104759925171481</v>
          </cell>
          <cell r="Z541">
            <v>-0.59599956039125179</v>
          </cell>
          <cell r="AA541">
            <v>4.1732070365358593</v>
          </cell>
          <cell r="AB541">
            <v>0.62546816479400746</v>
          </cell>
          <cell r="AC541">
            <v>1.3386833514689882</v>
          </cell>
        </row>
        <row r="542">
          <cell r="C542" t="str">
            <v>経常前期比</v>
          </cell>
          <cell r="D542" t="str">
            <v xml:space="preserve"> </v>
          </cell>
          <cell r="T542">
            <v>0.24041297935103234</v>
          </cell>
          <cell r="U542">
            <v>-0.31111645813282007</v>
          </cell>
          <cell r="V542">
            <v>1.9511048425011834E-2</v>
          </cell>
          <cell r="W542">
            <v>-0.35362663495838287</v>
          </cell>
          <cell r="X542">
            <v>-0.57771568285015718</v>
          </cell>
          <cell r="Y542">
            <v>-0.49135347014065023</v>
          </cell>
          <cell r="Z542">
            <v>-0.37178072111846949</v>
          </cell>
          <cell r="AA542">
            <v>1.6368899917287014</v>
          </cell>
          <cell r="AB542">
            <v>0.92475067996373528</v>
          </cell>
          <cell r="AC542">
            <v>1.1768667642752564</v>
          </cell>
        </row>
        <row r="543">
          <cell r="C543" t="str">
            <v>当期前期比</v>
          </cell>
          <cell r="D543" t="str">
            <v xml:space="preserve"> </v>
          </cell>
          <cell r="I543" t="str">
            <v>-</v>
          </cell>
          <cell r="J543" t="str">
            <v>-</v>
          </cell>
          <cell r="K543" t="str">
            <v>-</v>
          </cell>
          <cell r="T543">
            <v>0.68243754731264183</v>
          </cell>
          <cell r="U543">
            <v>-0.49542743538767398</v>
          </cell>
          <cell r="V543">
            <v>0.41502590673575135</v>
          </cell>
          <cell r="W543">
            <v>-0.71901012373453321</v>
          </cell>
          <cell r="X543">
            <v>-0.20015760441292352</v>
          </cell>
          <cell r="Y543">
            <v>-1.1358476748443793</v>
          </cell>
          <cell r="Z543">
            <v>-0.48438751000800639</v>
          </cell>
          <cell r="AA543">
            <v>0.8581280788177339</v>
          </cell>
          <cell r="AB543">
            <v>-5.6765498652291102</v>
          </cell>
          <cell r="AC543">
            <v>4.6226708074534164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64">
          <cell r="E164">
            <v>1247</v>
          </cell>
          <cell r="F164">
            <v>1807</v>
          </cell>
          <cell r="G164">
            <v>2812</v>
          </cell>
          <cell r="H164">
            <v>2828</v>
          </cell>
          <cell r="I164">
            <v>6670</v>
          </cell>
        </row>
        <row r="165">
          <cell r="E165" t="e">
            <v>#VALUE!</v>
          </cell>
          <cell r="F165" t="e">
            <v>#VALUE!</v>
          </cell>
          <cell r="G165" t="e">
            <v>#VALUE!</v>
          </cell>
          <cell r="H165" t="e">
            <v>#VALUE!</v>
          </cell>
          <cell r="I165" t="e">
            <v>#VALUE!</v>
          </cell>
        </row>
        <row r="167">
          <cell r="E167">
            <v>2721</v>
          </cell>
          <cell r="F167">
            <v>1584</v>
          </cell>
          <cell r="G167">
            <v>1802</v>
          </cell>
          <cell r="H167">
            <v>1616</v>
          </cell>
          <cell r="I167">
            <v>795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-Cache"/>
      <sheetName val="__FDSCACHE__"/>
      <sheetName val="ILU Summary"/>
      <sheetName val="Inputs"/>
      <sheetName val="Sensitivity"/>
      <sheetName val="WACC"/>
      <sheetName val="Financials"/>
      <sheetName val="Abrev Fin"/>
      <sheetName val="Fin Charts"/>
      <sheetName val="Ops Summary"/>
      <sheetName val="Ops Charts"/>
      <sheetName val="Eucla-Perth"/>
      <sheetName val="Murray"/>
      <sheetName val="USA"/>
      <sheetName val="MAC"/>
      <sheetName val="Carbon"/>
      <sheetName val="X-Check"/>
      <sheetName val="MWA RR"/>
      <sheetName val="Six_Drivers"/>
      <sheetName val="mwareDates"/>
      <sheetName val="mwareSettings"/>
      <sheetName val="Sheet1"/>
      <sheetName val="Notes"/>
    </sheetNames>
    <sheetDataSet>
      <sheetData sheetId="0"/>
      <sheetData sheetId="1"/>
      <sheetData sheetId="2" refreshError="1">
        <row r="2">
          <cell r="C2" t="str">
            <v>Morgan Stanley</v>
          </cell>
          <cell r="E2" t="str">
            <v>Brendan Fitzpatrick</v>
          </cell>
          <cell r="J2" t="str">
            <v>Brendan.Fitzpatrick@morganstanley.com</v>
          </cell>
          <cell r="N2" t="str">
            <v>+61 2 9770 1148</v>
          </cell>
        </row>
        <row r="5">
          <cell r="C5" t="str">
            <v>Iluka Resources</v>
          </cell>
          <cell r="G5" t="str">
            <v>Last Price:</v>
          </cell>
          <cell r="H5">
            <v>19.25</v>
          </cell>
          <cell r="J5" t="str">
            <v>Target price:</v>
          </cell>
          <cell r="K5">
            <v>21.200000000000003</v>
          </cell>
          <cell r="L5">
            <v>0.10129870129870144</v>
          </cell>
          <cell r="M5" t="str">
            <v>Upside/(downside)</v>
          </cell>
        </row>
        <row r="7">
          <cell r="C7" t="str">
            <v>ASSUMPTIONS Yr to Dec</v>
          </cell>
          <cell r="D7">
            <v>2010</v>
          </cell>
          <cell r="E7" t="str">
            <v>2011e</v>
          </cell>
          <cell r="F7" t="str">
            <v>2012e</v>
          </cell>
          <cell r="G7" t="str">
            <v>2013e</v>
          </cell>
          <cell r="H7" t="str">
            <v>LT</v>
          </cell>
          <cell r="J7" t="str">
            <v xml:space="preserve">PROFIT AND LOSS (A$m) </v>
          </cell>
          <cell r="K7">
            <v>2010</v>
          </cell>
          <cell r="L7" t="str">
            <v>2011e</v>
          </cell>
          <cell r="M7" t="str">
            <v>2012e</v>
          </cell>
          <cell r="N7" t="str">
            <v>2013e</v>
          </cell>
          <cell r="Q7" t="str">
            <v>Metrics</v>
          </cell>
        </row>
        <row r="8">
          <cell r="C8" t="str">
            <v>Rutile US$/t</v>
          </cell>
          <cell r="D8">
            <v>595</v>
          </cell>
          <cell r="E8">
            <v>1068.75</v>
          </cell>
          <cell r="F8">
            <v>1280</v>
          </cell>
          <cell r="G8">
            <v>1470</v>
          </cell>
          <cell r="H8">
            <v>1100</v>
          </cell>
          <cell r="J8" t="str">
            <v>Total Revenue</v>
          </cell>
          <cell r="K8">
            <v>874.4</v>
          </cell>
          <cell r="L8">
            <v>1502.4539452012082</v>
          </cell>
          <cell r="M8">
            <v>2057.5460781721958</v>
          </cell>
          <cell r="N8">
            <v>2529.9951120123587</v>
          </cell>
          <cell r="O8">
            <v>2668.8558729793522</v>
          </cell>
          <cell r="Q8" t="str">
            <v>Price/DCF   Premium/(Discount)</v>
          </cell>
          <cell r="S8">
            <v>-3.2663316582914659E-2</v>
          </cell>
        </row>
        <row r="9">
          <cell r="C9" t="str">
            <v>Synthetic Rutile US$/t</v>
          </cell>
          <cell r="D9">
            <v>475</v>
          </cell>
          <cell r="E9">
            <v>882.5</v>
          </cell>
          <cell r="F9">
            <v>1150</v>
          </cell>
          <cell r="G9">
            <v>1315</v>
          </cell>
          <cell r="H9">
            <v>975</v>
          </cell>
          <cell r="J9" t="str">
            <v>Direct Cash Costs</v>
          </cell>
          <cell r="K9">
            <v>-543.79999999999995</v>
          </cell>
          <cell r="L9">
            <v>-627.53715201443765</v>
          </cell>
          <cell r="M9">
            <v>-629.28261976649389</v>
          </cell>
          <cell r="N9">
            <v>-635.06261976649387</v>
          </cell>
          <cell r="O9">
            <v>-651.36</v>
          </cell>
          <cell r="Q9" t="str">
            <v>Price/Target  Premium/(Discount)</v>
          </cell>
          <cell r="S9">
            <v>-9.1981132075471872E-2</v>
          </cell>
        </row>
        <row r="10">
          <cell r="C10" t="str">
            <v>Ilmenite US$/t</v>
          </cell>
          <cell r="D10">
            <v>81.25</v>
          </cell>
          <cell r="E10">
            <v>117.5</v>
          </cell>
          <cell r="F10">
            <v>155</v>
          </cell>
          <cell r="G10">
            <v>185</v>
          </cell>
          <cell r="H10">
            <v>210</v>
          </cell>
          <cell r="J10" t="str">
            <v>Other Costs</v>
          </cell>
          <cell r="K10">
            <v>57.700000000000045</v>
          </cell>
          <cell r="L10">
            <v>57.199999999999818</v>
          </cell>
          <cell r="M10">
            <v>57.200000000000159</v>
          </cell>
          <cell r="N10">
            <v>57.199999999999932</v>
          </cell>
          <cell r="O10">
            <v>57.200000000000159</v>
          </cell>
        </row>
        <row r="11">
          <cell r="C11" t="str">
            <v>Zircon  US$/t</v>
          </cell>
          <cell r="D11">
            <v>1000</v>
          </cell>
          <cell r="E11">
            <v>1927.5</v>
          </cell>
          <cell r="F11">
            <v>2550</v>
          </cell>
          <cell r="G11">
            <v>2800</v>
          </cell>
          <cell r="H11">
            <v>1725</v>
          </cell>
          <cell r="J11" t="str">
            <v>EBITDA</v>
          </cell>
          <cell r="K11">
            <v>272.90000000000003</v>
          </cell>
          <cell r="L11">
            <v>817.7167931867707</v>
          </cell>
          <cell r="M11">
            <v>1371.0634584057018</v>
          </cell>
          <cell r="N11">
            <v>1837.7324922458649</v>
          </cell>
          <cell r="O11">
            <v>1960.295872979352</v>
          </cell>
        </row>
        <row r="12">
          <cell r="C12" t="str">
            <v>Iron Price  US$/t</v>
          </cell>
          <cell r="D12">
            <v>121.5475</v>
          </cell>
          <cell r="E12">
            <v>169.73</v>
          </cell>
          <cell r="F12">
            <v>176.25</v>
          </cell>
          <cell r="G12">
            <v>160</v>
          </cell>
          <cell r="H12">
            <v>83</v>
          </cell>
          <cell r="J12" t="str">
            <v>Depreciation</v>
          </cell>
          <cell r="K12">
            <v>-218.6</v>
          </cell>
          <cell r="L12">
            <v>-195.2</v>
          </cell>
          <cell r="M12">
            <v>-149.19999999999999</v>
          </cell>
          <cell r="N12">
            <v>-149.19999999999999</v>
          </cell>
          <cell r="O12">
            <v>-149.19999999999999</v>
          </cell>
          <cell r="Q12" t="str">
            <v>Price Target references</v>
          </cell>
        </row>
        <row r="13">
          <cell r="C13" t="str">
            <v>FX Avg Spot A$/US$</v>
          </cell>
          <cell r="D13">
            <v>0.91515000000000002</v>
          </cell>
          <cell r="E13">
            <v>1.0446775078656625</v>
          </cell>
          <cell r="F13">
            <v>1.0220318308996954</v>
          </cell>
          <cell r="G13">
            <v>0.9280629560807816</v>
          </cell>
          <cell r="H13">
            <v>0.85</v>
          </cell>
          <cell r="J13" t="str">
            <v>EBIT</v>
          </cell>
          <cell r="K13">
            <v>86.100000000000051</v>
          </cell>
          <cell r="L13">
            <v>647.06593442102303</v>
          </cell>
          <cell r="M13">
            <v>1259.3170543816868</v>
          </cell>
          <cell r="N13">
            <v>1741.2577189180411</v>
          </cell>
          <cell r="O13">
            <v>1875.1048617433969</v>
          </cell>
          <cell r="Q13" t="str">
            <v xml:space="preserve">One Yr Forward PE </v>
          </cell>
          <cell r="R13">
            <v>12</v>
          </cell>
          <cell r="S13">
            <v>25.25</v>
          </cell>
        </row>
        <row r="14">
          <cell r="J14" t="str">
            <v>FX Hedging Gain / (loss) in EBIT</v>
          </cell>
          <cell r="K14">
            <v>8.9</v>
          </cell>
          <cell r="L14">
            <v>-10</v>
          </cell>
          <cell r="M14">
            <v>-10</v>
          </cell>
          <cell r="N14">
            <v>-10</v>
          </cell>
          <cell r="O14">
            <v>-10</v>
          </cell>
          <cell r="Q14" t="str">
            <v>Premium to DCF</v>
          </cell>
          <cell r="R14">
            <v>0.2</v>
          </cell>
          <cell r="S14">
            <v>24</v>
          </cell>
        </row>
        <row r="15">
          <cell r="C15" t="str">
            <v>Profit Sensitivities A$m</v>
          </cell>
          <cell r="D15">
            <v>2010</v>
          </cell>
          <cell r="E15" t="str">
            <v>2011e</v>
          </cell>
          <cell r="F15" t="str">
            <v>2012e</v>
          </cell>
          <cell r="G15" t="str">
            <v>2013e</v>
          </cell>
          <cell r="J15" t="str">
            <v>Net Interest benefit/(expense)</v>
          </cell>
          <cell r="K15">
            <v>-16.7</v>
          </cell>
          <cell r="L15">
            <v>-17.092600181681473</v>
          </cell>
          <cell r="M15">
            <v>-15.315200363362941</v>
          </cell>
          <cell r="N15">
            <v>-15.315200363362941</v>
          </cell>
          <cell r="O15">
            <v>-15.315200363362941</v>
          </cell>
          <cell r="Q15" t="str">
            <v>Mid Cyle PE</v>
          </cell>
          <cell r="R15">
            <v>9</v>
          </cell>
          <cell r="S15">
            <v>18.25</v>
          </cell>
          <cell r="U15" t="str">
            <v>Basic EPS 2017</v>
          </cell>
          <cell r="V15">
            <v>2.0187149166640106</v>
          </cell>
        </row>
        <row r="16">
          <cell r="C16" t="str">
            <v>Currency (A$/US$ +0.01)</v>
          </cell>
          <cell r="D16">
            <v>-4.6474864892554457</v>
          </cell>
          <cell r="E16">
            <v>-6.420928336680106</v>
          </cell>
          <cell r="F16">
            <v>-7.804221204531018</v>
          </cell>
          <cell r="G16">
            <v>-7.804221204531018</v>
          </cell>
          <cell r="J16" t="str">
            <v>Pre-tax profit</v>
          </cell>
          <cell r="K16">
            <v>39.900000000000048</v>
          </cell>
          <cell r="L16">
            <v>605.12077413033262</v>
          </cell>
          <cell r="M16">
            <v>1255.5267098816073</v>
          </cell>
          <cell r="N16">
            <v>1778.9395438219792</v>
          </cell>
          <cell r="O16">
            <v>1960.0273881548674</v>
          </cell>
          <cell r="Q16" t="str">
            <v xml:space="preserve">Simple Average </v>
          </cell>
          <cell r="S16">
            <v>22.5</v>
          </cell>
        </row>
        <row r="17">
          <cell r="C17" t="str">
            <v>Rutile (US$/t +10)</v>
          </cell>
          <cell r="D17">
            <v>1.9668526837043583</v>
          </cell>
          <cell r="E17">
            <v>1.5166911594592989</v>
          </cell>
          <cell r="F17">
            <v>1.7961428263115522</v>
          </cell>
          <cell r="G17">
            <v>1.7961428263115522</v>
          </cell>
          <cell r="J17" t="str">
            <v>Tax Expense (Benefits)</v>
          </cell>
          <cell r="K17">
            <v>-3.8</v>
          </cell>
          <cell r="L17">
            <v>-181.5362322390998</v>
          </cell>
          <cell r="M17">
            <v>-376.65801296448217</v>
          </cell>
          <cell r="N17">
            <v>-533.68186314659374</v>
          </cell>
          <cell r="O17">
            <v>-588.00821644646021</v>
          </cell>
        </row>
        <row r="18">
          <cell r="C18" t="str">
            <v>Syn Rutile (US$/t +10)</v>
          </cell>
          <cell r="D18">
            <v>2.8706323451068148</v>
          </cell>
          <cell r="E18">
            <v>2.3278000150179992</v>
          </cell>
          <cell r="F18">
            <v>2.4191770901408631</v>
          </cell>
          <cell r="G18">
            <v>2.4191770901408631</v>
          </cell>
          <cell r="J18" t="str">
            <v>Minorities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 t="str">
            <v>Multiples</v>
          </cell>
        </row>
        <row r="19">
          <cell r="C19" t="str">
            <v>Ilmenite (US$/t +10)</v>
          </cell>
          <cell r="D19">
            <v>4.9826063677100976</v>
          </cell>
          <cell r="E19">
            <v>4.958964896202815</v>
          </cell>
          <cell r="F19">
            <v>5.2354926105386994</v>
          </cell>
          <cell r="G19">
            <v>5.2354926105386994</v>
          </cell>
          <cell r="J19" t="str">
            <v>Profit attributable</v>
          </cell>
          <cell r="K19">
            <v>36.100000000000051</v>
          </cell>
          <cell r="L19">
            <v>423.58454189123279</v>
          </cell>
          <cell r="M19">
            <v>878.86869691712513</v>
          </cell>
          <cell r="N19">
            <v>1245.2576806753855</v>
          </cell>
          <cell r="O19">
            <v>1372.0191717084072</v>
          </cell>
          <cell r="Q19" t="str">
            <v>CY11 PER at last price</v>
          </cell>
          <cell r="S19">
            <v>18.941696777759741</v>
          </cell>
        </row>
        <row r="20">
          <cell r="C20" t="str">
            <v>Ziron  (US$/t +10)</v>
          </cell>
          <cell r="D20">
            <v>3.7062853319273792</v>
          </cell>
          <cell r="E20">
            <v>3.8423001146874185</v>
          </cell>
          <cell r="F20">
            <v>4.1970753609636517</v>
          </cell>
          <cell r="G20">
            <v>4.1970753609636517</v>
          </cell>
          <cell r="J20" t="str">
            <v>Profit from Discontinued Operations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 t="str">
            <v>CY11 PER at Price Target</v>
          </cell>
          <cell r="S20">
            <v>20.860466061740603</v>
          </cell>
        </row>
        <row r="21">
          <cell r="C21" t="str">
            <v>Iron Ore (US$/t  +10%)</v>
          </cell>
          <cell r="D21">
            <v>2.5629500818128861</v>
          </cell>
          <cell r="E21">
            <v>3.0126621234080062</v>
          </cell>
          <cell r="F21">
            <v>4.0297177614481257</v>
          </cell>
          <cell r="G21">
            <v>4.0297177614481257</v>
          </cell>
          <cell r="J21" t="str">
            <v>Net Profit</v>
          </cell>
          <cell r="K21">
            <v>36.100000000000051</v>
          </cell>
          <cell r="L21">
            <v>423.58454189123279</v>
          </cell>
          <cell r="M21">
            <v>878.86869691712513</v>
          </cell>
          <cell r="N21">
            <v>1245.2576806753855</v>
          </cell>
          <cell r="O21">
            <v>1372.0191717084072</v>
          </cell>
          <cell r="Q21" t="str">
            <v>CY12 PER at last price</v>
          </cell>
          <cell r="S21">
            <v>9.1292476116106176</v>
          </cell>
        </row>
        <row r="22">
          <cell r="Q22" t="str">
            <v>CY12 PER at Price Target</v>
          </cell>
          <cell r="S22">
            <v>10.054028538501043</v>
          </cell>
        </row>
        <row r="23">
          <cell r="C23" t="str">
            <v xml:space="preserve">PRODUCTION   </v>
          </cell>
          <cell r="D23">
            <v>2010</v>
          </cell>
          <cell r="E23" t="str">
            <v>2011e</v>
          </cell>
          <cell r="F23" t="str">
            <v>2012e</v>
          </cell>
          <cell r="G23" t="str">
            <v>2013e</v>
          </cell>
          <cell r="J23" t="str">
            <v>CASHFLOW ($M)</v>
          </cell>
          <cell r="K23">
            <v>2010</v>
          </cell>
          <cell r="L23" t="str">
            <v>2011e</v>
          </cell>
          <cell r="M23" t="str">
            <v>2012e</v>
          </cell>
          <cell r="N23" t="str">
            <v>2013e</v>
          </cell>
        </row>
        <row r="24">
          <cell r="C24" t="str">
            <v>Rutile Production (kt)</v>
          </cell>
          <cell r="D24">
            <v>250.10000000000002</v>
          </cell>
          <cell r="E24">
            <v>254.79424011813367</v>
          </cell>
          <cell r="F24">
            <v>219.46564093111684</v>
          </cell>
          <cell r="G24">
            <v>219.46564093111684</v>
          </cell>
          <cell r="J24" t="str">
            <v>EBITDA</v>
          </cell>
          <cell r="K24">
            <v>272.90000000000003</v>
          </cell>
          <cell r="L24">
            <v>817.7167931867707</v>
          </cell>
          <cell r="M24">
            <v>1371.0634584057018</v>
          </cell>
          <cell r="N24">
            <v>1837.7324922458649</v>
          </cell>
          <cell r="Q24" t="str">
            <v>CY11 EV/EBITDA at last price</v>
          </cell>
          <cell r="S24">
            <v>9.5478128741973922</v>
          </cell>
        </row>
        <row r="25">
          <cell r="C25" t="str">
            <v>Synthetic Rutile Production (kt)</v>
          </cell>
          <cell r="D25">
            <v>347.5</v>
          </cell>
          <cell r="E25">
            <v>303</v>
          </cell>
          <cell r="F25">
            <v>320</v>
          </cell>
          <cell r="G25">
            <v>320</v>
          </cell>
          <cell r="J25" t="str">
            <v>- Interest (Paid)/Received</v>
          </cell>
          <cell r="K25">
            <v>-29.4</v>
          </cell>
          <cell r="L25">
            <v>-26.545160290690355</v>
          </cell>
          <cell r="M25">
            <v>11.60965549992039</v>
          </cell>
          <cell r="N25">
            <v>53.081824903938255</v>
          </cell>
          <cell r="Q25" t="str">
            <v>CY11 EV/EBITDA at Price Target</v>
          </cell>
          <cell r="S25">
            <v>10.514993918596611</v>
          </cell>
        </row>
        <row r="26">
          <cell r="C26" t="str">
            <v>Ilmenite Production (kt)</v>
          </cell>
          <cell r="D26">
            <v>469</v>
          </cell>
          <cell r="E26">
            <v>482.49060890485225</v>
          </cell>
          <cell r="F26">
            <v>633.58746780970455</v>
          </cell>
          <cell r="G26">
            <v>633.58746780970455</v>
          </cell>
          <cell r="J26" t="str">
            <v>-Tax paid</v>
          </cell>
          <cell r="K26">
            <v>-1.5</v>
          </cell>
          <cell r="L26">
            <v>-181.5362322390998</v>
          </cell>
          <cell r="M26">
            <v>-376.65801296448217</v>
          </cell>
          <cell r="N26">
            <v>-533.68186314659374</v>
          </cell>
          <cell r="Q26" t="str">
            <v>CY12 EV/EBITDA at last price</v>
          </cell>
          <cell r="S26">
            <v>5.215925574465218</v>
          </cell>
        </row>
        <row r="27">
          <cell r="C27" t="str">
            <v>Zircon Production (kt)</v>
          </cell>
          <cell r="D27">
            <v>412.90000000000003</v>
          </cell>
          <cell r="E27">
            <v>535.75216707667346</v>
          </cell>
          <cell r="F27">
            <v>531.20206142607401</v>
          </cell>
          <cell r="G27">
            <v>531.20206142607401</v>
          </cell>
          <cell r="J27" t="str">
            <v>-Wkg cap increase, other</v>
          </cell>
          <cell r="K27">
            <v>-63.30000000000004</v>
          </cell>
          <cell r="L27">
            <v>165.58128246850458</v>
          </cell>
          <cell r="M27">
            <v>121.90719195197016</v>
          </cell>
          <cell r="N27">
            <v>152.45045334435235</v>
          </cell>
          <cell r="Q27" t="str">
            <v>CY12 EV/EBITDA at Price Target</v>
          </cell>
          <cell r="S27">
            <v>5.7442920612292276</v>
          </cell>
        </row>
        <row r="28">
          <cell r="C28" t="str">
            <v>Iron Ore (MAC) Mt</v>
          </cell>
          <cell r="D28">
            <v>39</v>
          </cell>
          <cell r="E28">
            <v>44</v>
          </cell>
          <cell r="F28">
            <v>49</v>
          </cell>
          <cell r="G28">
            <v>55</v>
          </cell>
          <cell r="J28" t="str">
            <v>OPERATIONS CASH FLOW</v>
          </cell>
          <cell r="K28">
            <v>178.7</v>
          </cell>
          <cell r="L28">
            <v>775.21668312548513</v>
          </cell>
          <cell r="M28">
            <v>1127.9222928931101</v>
          </cell>
          <cell r="N28">
            <v>1509.5829073475618</v>
          </cell>
        </row>
        <row r="29">
          <cell r="J29" t="str">
            <v xml:space="preserve"> - Capex</v>
          </cell>
          <cell r="K29">
            <v>105</v>
          </cell>
          <cell r="L29">
            <v>191</v>
          </cell>
          <cell r="M29">
            <v>66</v>
          </cell>
          <cell r="N29">
            <v>66</v>
          </cell>
          <cell r="Q29" t="str">
            <v>Bull/Bear Weighting</v>
          </cell>
          <cell r="R29" t="str">
            <v>Probability</v>
          </cell>
          <cell r="S29" t="str">
            <v>DCF</v>
          </cell>
          <cell r="V29">
            <v>2012</v>
          </cell>
        </row>
        <row r="30">
          <cell r="C30" t="str">
            <v xml:space="preserve">Earnings Ratios </v>
          </cell>
          <cell r="D30">
            <v>2010</v>
          </cell>
          <cell r="E30" t="str">
            <v>2011e</v>
          </cell>
          <cell r="F30" t="str">
            <v>2012e</v>
          </cell>
          <cell r="G30" t="str">
            <v>2013e</v>
          </cell>
          <cell r="J30" t="str">
            <v>FREE CASH FLOW</v>
          </cell>
          <cell r="K30">
            <v>283.7</v>
          </cell>
          <cell r="L30">
            <v>966.21668312548513</v>
          </cell>
          <cell r="M30">
            <v>1193.9222928931101</v>
          </cell>
          <cell r="N30">
            <v>1575.5829073475618</v>
          </cell>
          <cell r="Q30" t="str">
            <v>Bull</v>
          </cell>
          <cell r="R30">
            <v>0.3</v>
          </cell>
          <cell r="S30">
            <v>26</v>
          </cell>
          <cell r="U30" t="str">
            <v>EPS</v>
          </cell>
          <cell r="V30">
            <v>2.6278158799859002</v>
          </cell>
          <cell r="X30" t="str">
            <v>up/downside</v>
          </cell>
          <cell r="Y30">
            <v>0.35064935064935066</v>
          </cell>
        </row>
        <row r="31">
          <cell r="C31" t="str">
            <v>Net Profit (A$m)</v>
          </cell>
          <cell r="D31">
            <v>36.100000000000051</v>
          </cell>
          <cell r="E31">
            <v>423.58454189123279</v>
          </cell>
          <cell r="F31">
            <v>878.86869691712513</v>
          </cell>
          <cell r="G31">
            <v>1245.2576806753855</v>
          </cell>
          <cell r="H31">
            <v>1372.0191717084072</v>
          </cell>
          <cell r="J31" t="str">
            <v xml:space="preserve"> - Acquisitions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Q31" t="str">
            <v>Capex and Exploration</v>
          </cell>
          <cell r="S31">
            <v>0.19999999999999574</v>
          </cell>
          <cell r="U31" t="str">
            <v>PER at last</v>
          </cell>
          <cell r="V31">
            <v>7.325475177546795</v>
          </cell>
        </row>
        <row r="32">
          <cell r="C32" t="str">
            <v>Issued Shares (M)</v>
          </cell>
          <cell r="D32">
            <v>416.80051700000001</v>
          </cell>
          <cell r="E32">
            <v>416.80051700000001</v>
          </cell>
          <cell r="F32">
            <v>416.80051700000001</v>
          </cell>
          <cell r="G32">
            <v>416.80051700000001</v>
          </cell>
          <cell r="H32">
            <v>416.80051700000001</v>
          </cell>
          <cell r="J32" t="str">
            <v xml:space="preserve"> + Disposals</v>
          </cell>
          <cell r="K32">
            <v>9</v>
          </cell>
          <cell r="L32">
            <v>0</v>
          </cell>
          <cell r="M32">
            <v>0</v>
          </cell>
          <cell r="N32">
            <v>0</v>
          </cell>
          <cell r="Q32" t="str">
            <v>Operating cost decrease</v>
          </cell>
          <cell r="S32">
            <v>0.69999999999999929</v>
          </cell>
        </row>
        <row r="33">
          <cell r="C33" t="str">
            <v>Modelware EPS (A$)</v>
          </cell>
          <cell r="D33">
            <v>8.661217663508812E-2</v>
          </cell>
          <cell r="E33">
            <v>1.0162764310852157</v>
          </cell>
          <cell r="F33">
            <v>2.1086075018403232</v>
          </cell>
          <cell r="G33">
            <v>2.9876586757577979</v>
          </cell>
          <cell r="H33">
            <v>3.2917885553112383</v>
          </cell>
          <cell r="J33" t="str">
            <v xml:space="preserve"> + Other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Q33" t="str">
            <v>Higher production</v>
          </cell>
          <cell r="S33">
            <v>2.3999999999999986</v>
          </cell>
        </row>
        <row r="34">
          <cell r="C34" t="str">
            <v>EPS Growth (%)</v>
          </cell>
          <cell r="D34" t="str">
            <v>N/A</v>
          </cell>
          <cell r="E34" t="str">
            <v>N/A</v>
          </cell>
          <cell r="F34">
            <v>1.0748365674373437</v>
          </cell>
          <cell r="G34">
            <v>0.41688705610231769</v>
          </cell>
          <cell r="J34" t="str">
            <v>INVESTING CASHFLOW</v>
          </cell>
          <cell r="K34">
            <v>9</v>
          </cell>
          <cell r="L34">
            <v>0</v>
          </cell>
          <cell r="M34">
            <v>0</v>
          </cell>
          <cell r="N34">
            <v>0</v>
          </cell>
          <cell r="Q34" t="str">
            <v>Commodity &amp; Currency upside</v>
          </cell>
          <cell r="S34">
            <v>2.7999999999999936</v>
          </cell>
        </row>
        <row r="35">
          <cell r="C35" t="str">
            <v>CFPS (c) *</v>
          </cell>
          <cell r="D35">
            <v>42.874227049003395</v>
          </cell>
          <cell r="E35">
            <v>185.99225564911791</v>
          </cell>
          <cell r="F35">
            <v>270.61441790224796</v>
          </cell>
          <cell r="G35">
            <v>362.18354963018481</v>
          </cell>
          <cell r="J35" t="str">
            <v>Equity Raising / (Buy Back)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Q35" t="str">
            <v>Base</v>
          </cell>
          <cell r="R35">
            <v>0.6</v>
          </cell>
          <cell r="S35">
            <v>19.900000000000002</v>
          </cell>
          <cell r="U35" t="str">
            <v>EPS</v>
          </cell>
          <cell r="V35">
            <v>2.1086075018403232</v>
          </cell>
          <cell r="X35" t="str">
            <v>up/downside</v>
          </cell>
          <cell r="Y35">
            <v>3.3766233766233889E-2</v>
          </cell>
        </row>
        <row r="36">
          <cell r="C36" t="str">
            <v>P/E (x)</v>
          </cell>
          <cell r="D36" t="str">
            <v>NA</v>
          </cell>
          <cell r="E36">
            <v>18.941696777759741</v>
          </cell>
          <cell r="F36">
            <v>9.1292476116106176</v>
          </cell>
          <cell r="G36">
            <v>6.4431724266887276</v>
          </cell>
          <cell r="J36" t="str">
            <v>Debt Raised / (Retired)</v>
          </cell>
          <cell r="K36">
            <v>-116.4</v>
          </cell>
          <cell r="L36">
            <v>0</v>
          </cell>
          <cell r="M36">
            <v>0</v>
          </cell>
          <cell r="N36">
            <v>0</v>
          </cell>
          <cell r="Q36" t="str">
            <v>Commodity &amp; Currency downside</v>
          </cell>
          <cell r="S36">
            <v>-1.5000000000000036</v>
          </cell>
          <cell r="U36" t="str">
            <v>PER at last</v>
          </cell>
          <cell r="V36">
            <v>9.1292476116106176</v>
          </cell>
        </row>
        <row r="37">
          <cell r="C37" t="str">
            <v>P/CF (x)</v>
          </cell>
          <cell r="D37">
            <v>44.898768619194186</v>
          </cell>
          <cell r="E37">
            <v>10.349893296802595</v>
          </cell>
          <cell r="F37">
            <v>7.1134421252283513</v>
          </cell>
          <cell r="G37">
            <v>5.3149846313162543</v>
          </cell>
          <cell r="J37" t="str">
            <v>Dividend Paid</v>
          </cell>
          <cell r="K37">
            <v>0</v>
          </cell>
          <cell r="L37">
            <v>-111.16165267791118</v>
          </cell>
          <cell r="M37">
            <v>-425.88032437008314</v>
          </cell>
          <cell r="N37">
            <v>-668.16241236206201</v>
          </cell>
          <cell r="Q37" t="str">
            <v>Lower production</v>
          </cell>
          <cell r="S37">
            <v>-2.4000000000000021</v>
          </cell>
        </row>
        <row r="38">
          <cell r="C38" t="str">
            <v>FCF Yield (%)</v>
          </cell>
          <cell r="D38">
            <v>3.5359030847033082E-2</v>
          </cell>
          <cell r="E38">
            <v>0.12042469335055347</v>
          </cell>
          <cell r="F38">
            <v>0.14880484731536112</v>
          </cell>
          <cell r="G38">
            <v>0.19637322743376986</v>
          </cell>
          <cell r="J38" t="str">
            <v>Other</v>
          </cell>
          <cell r="K38">
            <v>-9.7999999999999972</v>
          </cell>
          <cell r="L38">
            <v>0</v>
          </cell>
          <cell r="M38">
            <v>0</v>
          </cell>
          <cell r="N38">
            <v>0</v>
          </cell>
          <cell r="Q38" t="str">
            <v>Operating cost increase</v>
          </cell>
          <cell r="S38">
            <v>-1</v>
          </cell>
        </row>
        <row r="39">
          <cell r="C39" t="str">
            <v>Dividend (c)</v>
          </cell>
          <cell r="D39">
            <v>8</v>
          </cell>
          <cell r="E39">
            <v>55.797676694735372</v>
          </cell>
          <cell r="F39">
            <v>135.30720895112398</v>
          </cell>
          <cell r="G39">
            <v>181.09177481509241</v>
          </cell>
          <cell r="J39" t="str">
            <v>FINANCING CASHFLOW</v>
          </cell>
          <cell r="K39">
            <v>-126.2</v>
          </cell>
          <cell r="L39">
            <v>-111.16165267791118</v>
          </cell>
          <cell r="M39">
            <v>-425.88032437008314</v>
          </cell>
          <cell r="N39">
            <v>-668.16241236206201</v>
          </cell>
          <cell r="Q39" t="str">
            <v>Capex and Exploration</v>
          </cell>
          <cell r="S39">
            <v>-0.30000000000000071</v>
          </cell>
        </row>
        <row r="40">
          <cell r="C40" t="str">
            <v>Dividend Yield (%)</v>
          </cell>
          <cell r="D40">
            <v>4.1558441558441558E-3</v>
          </cell>
          <cell r="E40">
            <v>2.8985806075187207E-2</v>
          </cell>
          <cell r="F40">
            <v>7.0289459195389078E-2</v>
          </cell>
          <cell r="G40">
            <v>9.4073649254593453E-2</v>
          </cell>
          <cell r="J40" t="str">
            <v>FX Adjustments</v>
          </cell>
          <cell r="K40">
            <v>-0.5</v>
          </cell>
          <cell r="L40">
            <v>0</v>
          </cell>
          <cell r="M40">
            <v>0</v>
          </cell>
          <cell r="N40">
            <v>0</v>
          </cell>
          <cell r="Q40" t="str">
            <v>Bear</v>
          </cell>
          <cell r="R40">
            <v>9.9999999999999978E-2</v>
          </cell>
          <cell r="S40">
            <v>14.700000000000001</v>
          </cell>
          <cell r="U40" t="str">
            <v>EPS</v>
          </cell>
          <cell r="V40">
            <v>1.9876453878234335</v>
          </cell>
          <cell r="X40" t="str">
            <v>up/downside</v>
          </cell>
          <cell r="Y40">
            <v>-0.23636363636363633</v>
          </cell>
        </row>
        <row r="41">
          <cell r="C41" t="str">
            <v>Franking (%)</v>
          </cell>
          <cell r="D41">
            <v>0</v>
          </cell>
          <cell r="E41">
            <v>1</v>
          </cell>
          <cell r="F41">
            <v>1</v>
          </cell>
          <cell r="G41">
            <v>1</v>
          </cell>
          <cell r="J41" t="str">
            <v>Increase in cash deposits</v>
          </cell>
          <cell r="K41">
            <v>166</v>
          </cell>
          <cell r="L41">
            <v>855.05503044757393</v>
          </cell>
          <cell r="M41">
            <v>768.04196852302698</v>
          </cell>
          <cell r="N41">
            <v>907.42049498549977</v>
          </cell>
          <cell r="U41" t="str">
            <v>PER at last</v>
          </cell>
          <cell r="V41">
            <v>9.6848261354504839</v>
          </cell>
        </row>
        <row r="42">
          <cell r="C42" t="str">
            <v>Enterprise Value (A$M)</v>
          </cell>
          <cell r="D42">
            <v>4122.1567253800004</v>
          </cell>
          <cell r="E42">
            <v>7807.4069254360556</v>
          </cell>
          <cell r="F42">
            <v>7151.3649569130284</v>
          </cell>
          <cell r="G42">
            <v>6355.9444619275291</v>
          </cell>
        </row>
        <row r="43">
          <cell r="C43" t="str">
            <v>EV/EBITDA** (x)</v>
          </cell>
          <cell r="D43">
            <v>15.10500815456211</v>
          </cell>
          <cell r="E43">
            <v>9.5478128741973922</v>
          </cell>
          <cell r="F43">
            <v>5.215925574465218</v>
          </cell>
          <cell r="G43">
            <v>3.4585797926226065</v>
          </cell>
          <cell r="J43" t="str">
            <v>SUMMARY BALANCE SHEET ($M)</v>
          </cell>
          <cell r="K43">
            <v>2010</v>
          </cell>
          <cell r="L43" t="str">
            <v>2011e</v>
          </cell>
          <cell r="M43" t="str">
            <v>2012e</v>
          </cell>
          <cell r="N43" t="str">
            <v>2013e</v>
          </cell>
          <cell r="Q43" t="str">
            <v>Price Target</v>
          </cell>
          <cell r="R43">
            <v>1</v>
          </cell>
          <cell r="S43">
            <v>21.200000000000003</v>
          </cell>
          <cell r="U43" t="str">
            <v>2012 PER</v>
          </cell>
          <cell r="V43">
            <v>10.054028538501043</v>
          </cell>
          <cell r="X43" t="str">
            <v>up/downside</v>
          </cell>
          <cell r="Y43">
            <v>0.10129870129870144</v>
          </cell>
        </row>
        <row r="44">
          <cell r="J44" t="str">
            <v>Cash &amp; short term deposits</v>
          </cell>
          <cell r="K44">
            <v>30.1</v>
          </cell>
          <cell r="L44">
            <v>523.15503044757395</v>
          </cell>
          <cell r="M44">
            <v>1179.1969989706008</v>
          </cell>
          <cell r="N44">
            <v>1974.6174939561008</v>
          </cell>
          <cell r="Q44" t="str">
            <v>PT Upside to Share Price</v>
          </cell>
          <cell r="S44">
            <v>0.10129870129870144</v>
          </cell>
        </row>
        <row r="45">
          <cell r="C45" t="str">
            <v>FINANCIAL RATIOS</v>
          </cell>
          <cell r="D45">
            <v>2010</v>
          </cell>
          <cell r="E45" t="str">
            <v>2011e</v>
          </cell>
          <cell r="F45" t="str">
            <v>2012e</v>
          </cell>
          <cell r="G45" t="str">
            <v>2013e</v>
          </cell>
          <cell r="J45" t="str">
            <v>Receivables</v>
          </cell>
          <cell r="K45">
            <v>164.8</v>
          </cell>
          <cell r="L45">
            <v>133.48800000000003</v>
          </cell>
          <cell r="M45">
            <v>133.48800000000003</v>
          </cell>
          <cell r="N45">
            <v>133.48800000000003</v>
          </cell>
        </row>
        <row r="46">
          <cell r="C46" t="str">
            <v>Net debt/(net debt + equity)</v>
          </cell>
          <cell r="D46">
            <v>0.21747599833031858</v>
          </cell>
          <cell r="E46">
            <v>-0.12457518255714928</v>
          </cell>
          <cell r="F46">
            <v>-0.45204360095161239</v>
          </cell>
          <cell r="G46">
            <v>-0.78494193207627305</v>
          </cell>
          <cell r="J46" t="str">
            <v>Inventories</v>
          </cell>
          <cell r="K46">
            <v>200.9</v>
          </cell>
          <cell r="L46">
            <v>162.72900000000001</v>
          </cell>
          <cell r="M46">
            <v>162.72900000000001</v>
          </cell>
          <cell r="N46">
            <v>162.72900000000001</v>
          </cell>
          <cell r="Q46" t="str">
            <v>MODEL LEGEND</v>
          </cell>
        </row>
        <row r="47">
          <cell r="C47" t="str">
            <v>Current ratio</v>
          </cell>
          <cell r="D47">
            <v>2.1030818278427206</v>
          </cell>
          <cell r="E47">
            <v>4.3537302361720194</v>
          </cell>
          <cell r="F47">
            <v>7.8396067958055298</v>
          </cell>
          <cell r="G47">
            <v>12.066070637386293</v>
          </cell>
          <cell r="J47" t="str">
            <v>Property, Plant and equipment</v>
          </cell>
          <cell r="K47">
            <v>1425.1</v>
          </cell>
          <cell r="L47">
            <v>1791.2999999999997</v>
          </cell>
          <cell r="M47">
            <v>1986.4999999999995</v>
          </cell>
          <cell r="N47">
            <v>2181.6999999999994</v>
          </cell>
          <cell r="Q47" t="str">
            <v>Fomulas</v>
          </cell>
        </row>
        <row r="48">
          <cell r="C48" t="str">
            <v>Debt cover - EBIT/interest</v>
          </cell>
          <cell r="D48">
            <v>2.6906250000000016</v>
          </cell>
          <cell r="E48">
            <v>19.914255270522265</v>
          </cell>
          <cell r="F48">
            <v>40.99979943102695</v>
          </cell>
          <cell r="G48">
            <v>56.69042357916738</v>
          </cell>
          <cell r="J48" t="str">
            <v>Intangibles</v>
          </cell>
          <cell r="K48">
            <v>7.1</v>
          </cell>
          <cell r="L48">
            <v>7.1</v>
          </cell>
          <cell r="M48">
            <v>7.1</v>
          </cell>
          <cell r="N48">
            <v>7.1</v>
          </cell>
          <cell r="Q48" t="str">
            <v>Analyst assumptions</v>
          </cell>
        </row>
        <row r="49">
          <cell r="C49" t="str">
            <v>EBITDA/Sales</v>
          </cell>
          <cell r="D49">
            <v>0.31209972552607507</v>
          </cell>
          <cell r="E49">
            <v>0.54425414888658186</v>
          </cell>
          <cell r="F49">
            <v>0.66635856807818117</v>
          </cell>
          <cell r="G49">
            <v>0.72637788251856816</v>
          </cell>
          <cell r="J49" t="str">
            <v>Other assets</v>
          </cell>
          <cell r="K49">
            <v>112.10000000000036</v>
          </cell>
          <cell r="L49">
            <v>111.89999999999964</v>
          </cell>
          <cell r="M49">
            <v>111.90000000000009</v>
          </cell>
          <cell r="N49">
            <v>111.89999999999964</v>
          </cell>
          <cell r="Q49" t="str">
            <v>Actuals</v>
          </cell>
        </row>
        <row r="50">
          <cell r="C50" t="str">
            <v>Book value per share (A$/share)</v>
          </cell>
          <cell r="D50">
            <v>2.6981732366709124</v>
          </cell>
          <cell r="E50">
            <v>4.6783052018477793</v>
          </cell>
          <cell r="F50">
            <v>6.7206298482997582</v>
          </cell>
          <cell r="G50">
            <v>9.0973555350039792</v>
          </cell>
          <cell r="J50" t="str">
            <v>Total assets</v>
          </cell>
          <cell r="K50">
            <v>1940.1000000000001</v>
          </cell>
          <cell r="L50">
            <v>2729.6720304475734</v>
          </cell>
          <cell r="M50">
            <v>3580.9139989706005</v>
          </cell>
          <cell r="N50">
            <v>4571.5344939561001</v>
          </cell>
          <cell r="Q50" t="str">
            <v>Externally sourced</v>
          </cell>
        </row>
        <row r="51">
          <cell r="C51" t="str">
            <v>Price to book (X)</v>
          </cell>
          <cell r="D51">
            <v>3.3874770810777179</v>
          </cell>
          <cell r="E51">
            <v>4.1147379594637972</v>
          </cell>
          <cell r="F51">
            <v>2.8643148684747199</v>
          </cell>
          <cell r="G51">
            <v>2.1159995260085851</v>
          </cell>
          <cell r="J51" t="str">
            <v>Creditors</v>
          </cell>
          <cell r="K51">
            <v>103.8</v>
          </cell>
          <cell r="L51">
            <v>103.8</v>
          </cell>
          <cell r="M51">
            <v>103.8</v>
          </cell>
          <cell r="N51">
            <v>103.8</v>
          </cell>
          <cell r="Q51" t="str">
            <v>Cross-check calculations</v>
          </cell>
        </row>
        <row r="52">
          <cell r="C52" t="str">
            <v>ROA (NPAT/Assets) %</v>
          </cell>
          <cell r="D52">
            <v>1.8609206660137149E-2</v>
          </cell>
          <cell r="E52">
            <v>0.15517781519773988</v>
          </cell>
          <cell r="F52">
            <v>0.24543138907267029</v>
          </cell>
          <cell r="G52">
            <v>0.2723938061326468</v>
          </cell>
          <cell r="J52" t="str">
            <v>Borrowings</v>
          </cell>
          <cell r="K52">
            <v>342.7</v>
          </cell>
          <cell r="L52">
            <v>307.15200363362942</v>
          </cell>
          <cell r="M52">
            <v>307.15200363362942</v>
          </cell>
          <cell r="N52">
            <v>307.15200363362942</v>
          </cell>
        </row>
        <row r="53">
          <cell r="C53" t="str">
            <v>ROE (NPAT/Equity) %</v>
          </cell>
          <cell r="D53">
            <v>3.2094594594594635E-2</v>
          </cell>
          <cell r="E53">
            <v>0.21723175108024581</v>
          </cell>
          <cell r="F53">
            <v>0.31375147113239338</v>
          </cell>
          <cell r="G53">
            <v>0.32840957619630839</v>
          </cell>
          <cell r="J53" t="str">
            <v>Other current liabilities</v>
          </cell>
          <cell r="K53">
            <v>54.90000000000002</v>
          </cell>
          <cell r="L53">
            <v>54.90000000000002</v>
          </cell>
          <cell r="M53">
            <v>54.90000000000002</v>
          </cell>
          <cell r="N53">
            <v>54.90000000000002</v>
          </cell>
        </row>
        <row r="54">
          <cell r="C54" t="str">
            <v>ROIC</v>
          </cell>
          <cell r="D54">
            <v>0.1061669505962522</v>
          </cell>
          <cell r="E54">
            <v>0.40135728765811485</v>
          </cell>
          <cell r="F54">
            <v>0.56720263033858209</v>
          </cell>
          <cell r="G54">
            <v>0.59473036470325358</v>
          </cell>
          <cell r="J54" t="str">
            <v>Other liabilities</v>
          </cell>
          <cell r="K54">
            <v>313.89999999999992</v>
          </cell>
          <cell r="L54">
            <v>313.89999999999998</v>
          </cell>
          <cell r="M54">
            <v>313.89999999999998</v>
          </cell>
          <cell r="N54">
            <v>313.89999999999998</v>
          </cell>
        </row>
        <row r="55">
          <cell r="J55" t="str">
            <v>Total liabilities</v>
          </cell>
          <cell r="K55">
            <v>815.3</v>
          </cell>
          <cell r="L55">
            <v>779.75200363362944</v>
          </cell>
          <cell r="M55">
            <v>779.75200363362944</v>
          </cell>
          <cell r="N55">
            <v>779.75200363362944</v>
          </cell>
        </row>
        <row r="56">
          <cell r="C56" t="str">
            <v>Valuation components</v>
          </cell>
          <cell r="E56" t="str">
            <v>A$m</v>
          </cell>
          <cell r="F56" t="str">
            <v>Shares</v>
          </cell>
          <cell r="G56" t="str">
            <v>A$/sh</v>
          </cell>
          <cell r="J56" t="str">
            <v>Net assets</v>
          </cell>
          <cell r="K56">
            <v>1124.8000000000002</v>
          </cell>
          <cell r="L56">
            <v>1949.9200268139439</v>
          </cell>
          <cell r="M56">
            <v>2801.1619953369709</v>
          </cell>
          <cell r="N56">
            <v>3791.7824903224705</v>
          </cell>
        </row>
        <row r="57">
          <cell r="C57" t="str">
            <v>Eucla-Perth Basin</v>
          </cell>
          <cell r="E57">
            <v>3796.018001705042</v>
          </cell>
          <cell r="G57">
            <v>9.1075174978850661</v>
          </cell>
          <cell r="J57" t="str">
            <v>Minorities</v>
          </cell>
          <cell r="K57">
            <v>0.20000000000000284</v>
          </cell>
          <cell r="L57">
            <v>512.89713760062205</v>
          </cell>
          <cell r="M57">
            <v>911.15073357660708</v>
          </cell>
          <cell r="N57">
            <v>1324.6759602487832</v>
          </cell>
        </row>
        <row r="58">
          <cell r="C58" t="str">
            <v>Murray Basin</v>
          </cell>
          <cell r="E58">
            <v>2182.4831508826396</v>
          </cell>
          <cell r="G58">
            <v>5.2362774561592964</v>
          </cell>
          <cell r="J58" t="str">
            <v>Total Shareholder equity</v>
          </cell>
          <cell r="K58">
            <v>1124.8000000000002</v>
          </cell>
          <cell r="L58">
            <v>1949.9200268139439</v>
          </cell>
          <cell r="M58">
            <v>2801.1619953369709</v>
          </cell>
          <cell r="N58">
            <v>3791.7824903224705</v>
          </cell>
        </row>
        <row r="59">
          <cell r="C59" t="str">
            <v>US operations</v>
          </cell>
          <cell r="E59">
            <v>276.64046074992075</v>
          </cell>
          <cell r="G59">
            <v>0.66372389060621229</v>
          </cell>
          <cell r="J59" t="str">
            <v>S/holder equity+Tot. liabilities</v>
          </cell>
          <cell r="K59">
            <v>1940.1000000000001</v>
          </cell>
          <cell r="L59">
            <v>2729.6720304475734</v>
          </cell>
          <cell r="M59">
            <v>3580.9139989706005</v>
          </cell>
          <cell r="N59">
            <v>4571.5344939561001</v>
          </cell>
        </row>
        <row r="60">
          <cell r="C60" t="str">
            <v>MAC Royalty</v>
          </cell>
          <cell r="E60">
            <v>1569.0843888005229</v>
          </cell>
          <cell r="G60">
            <v>3.7645931921925202</v>
          </cell>
        </row>
        <row r="61">
          <cell r="C61" t="str">
            <v>Exploration</v>
          </cell>
          <cell r="E61">
            <v>107.77521170130868</v>
          </cell>
          <cell r="G61">
            <v>0.25857744245866343</v>
          </cell>
          <cell r="J61" t="str">
            <v>GHG  Emissions  (MS est)</v>
          </cell>
          <cell r="K61">
            <v>2010</v>
          </cell>
          <cell r="L61" t="str">
            <v>2011e</v>
          </cell>
          <cell r="M61" t="str">
            <v>2012e</v>
          </cell>
          <cell r="N61" t="str">
            <v>2013e</v>
          </cell>
        </row>
        <row r="62">
          <cell r="C62" t="str">
            <v>Corporate</v>
          </cell>
          <cell r="E62">
            <v>-222.34574763757644</v>
          </cell>
          <cell r="G62">
            <v>-0.5334584257187388</v>
          </cell>
          <cell r="J62" t="str">
            <v>Australia Kt</v>
          </cell>
          <cell r="K62">
            <v>926</v>
          </cell>
          <cell r="L62">
            <v>1025.3622465582821</v>
          </cell>
          <cell r="M62">
            <v>1231.3046735296659</v>
          </cell>
          <cell r="N62">
            <v>1231.3046735296659</v>
          </cell>
        </row>
        <row r="63">
          <cell r="C63" t="str">
            <v>Net (Debt)/Cash (Dec '11)</v>
          </cell>
          <cell r="E63">
            <v>580.5214946949078</v>
          </cell>
          <cell r="G63">
            <v>1.3928041617446165</v>
          </cell>
          <cell r="J63" t="str">
            <v>Forecast GHG Costs A$/t</v>
          </cell>
          <cell r="K63">
            <v>0</v>
          </cell>
          <cell r="L63">
            <v>0</v>
          </cell>
          <cell r="M63">
            <v>21.765419783124411</v>
          </cell>
          <cell r="N63">
            <v>22.4260439132089</v>
          </cell>
        </row>
        <row r="64">
          <cell r="C64" t="str">
            <v>Total Valuation</v>
          </cell>
          <cell r="E64">
            <v>8290.1769608967661</v>
          </cell>
          <cell r="F64">
            <v>416.80051700000001</v>
          </cell>
          <cell r="G64">
            <v>19.900000000000002</v>
          </cell>
          <cell r="J64" t="str">
            <v>Potential P&amp;L Impact GHG (A$m)</v>
          </cell>
          <cell r="K64">
            <v>2010</v>
          </cell>
          <cell r="L64" t="str">
            <v>2011e</v>
          </cell>
          <cell r="M64" t="str">
            <v>2012e</v>
          </cell>
          <cell r="N64" t="str">
            <v>2013e</v>
          </cell>
        </row>
        <row r="65">
          <cell r="C65" t="str">
            <v>Potential GHG DCF Impact Australia</v>
          </cell>
          <cell r="E65">
            <v>-231.79668468229994</v>
          </cell>
          <cell r="G65">
            <v>-0.55613339050224819</v>
          </cell>
          <cell r="J65" t="str">
            <v>GHG Cost</v>
          </cell>
          <cell r="K65">
            <v>0</v>
          </cell>
          <cell r="L65">
            <v>0</v>
          </cell>
          <cell r="M65">
            <v>42.336192376528508</v>
          </cell>
          <cell r="N65">
            <v>44.453001995354931</v>
          </cell>
        </row>
        <row r="66">
          <cell r="C66" t="str">
            <v xml:space="preserve">DCF After GHG </v>
          </cell>
          <cell r="E66">
            <v>8058.380276214466</v>
          </cell>
          <cell r="G66">
            <v>19.333901824825389</v>
          </cell>
          <cell r="J66" t="str">
            <v>NPAT impact</v>
          </cell>
          <cell r="K66">
            <v>0</v>
          </cell>
          <cell r="L66">
            <v>0</v>
          </cell>
          <cell r="M66">
            <v>-29.635334663569957</v>
          </cell>
          <cell r="N66">
            <v>-31.117101396748453</v>
          </cell>
        </row>
        <row r="67">
          <cell r="C67" t="str">
            <v>% Change</v>
          </cell>
          <cell r="G67">
            <v>-2.8447144481136277E-2</v>
          </cell>
          <cell r="J67" t="str">
            <v>NPAT post-GHG</v>
          </cell>
          <cell r="K67">
            <v>36.100000000000051</v>
          </cell>
          <cell r="L67">
            <v>423.58454189123279</v>
          </cell>
          <cell r="M67">
            <v>849.23336225355513</v>
          </cell>
          <cell r="N67">
            <v>1214.140579278637</v>
          </cell>
        </row>
        <row r="68">
          <cell r="C68" t="str">
            <v>Effective valuation premium applied</v>
          </cell>
          <cell r="G68">
            <v>6.5326633165829096E-2</v>
          </cell>
          <cell r="J68" t="str">
            <v>EPS post-GHG</v>
          </cell>
          <cell r="K68">
            <v>8.661217663508812E-2</v>
          </cell>
          <cell r="L68">
            <v>1.0162764310852157</v>
          </cell>
          <cell r="M68">
            <v>2.0375055394990196</v>
          </cell>
          <cell r="N68">
            <v>2.9130016152994287</v>
          </cell>
        </row>
        <row r="69">
          <cell r="C69" t="str">
            <v>Price Target</v>
          </cell>
          <cell r="G69">
            <v>21.200000000000003</v>
          </cell>
          <cell r="J69" t="str">
            <v>% Change</v>
          </cell>
          <cell r="K69">
            <v>0</v>
          </cell>
          <cell r="L69">
            <v>0</v>
          </cell>
          <cell r="M69">
            <v>-3.3719865968061091E-2</v>
          </cell>
          <cell r="N69">
            <v>-2.498848381314267E-2</v>
          </cell>
        </row>
        <row r="72">
          <cell r="C72" t="str">
            <v>Note: Green House Gas (GHG) calculations assume free trading credits phased out by 2025, and GHG costs are not passed on.</v>
          </cell>
        </row>
      </sheetData>
      <sheetData sheetId="3"/>
      <sheetData sheetId="4"/>
      <sheetData sheetId="5" refreshError="1">
        <row r="2">
          <cell r="B2" t="str">
            <v>VALUATION ASSUMPTIONS</v>
          </cell>
        </row>
        <row r="3">
          <cell r="B3" t="str">
            <v>Cost of Capital</v>
          </cell>
        </row>
        <row r="4">
          <cell r="B4" t="str">
            <v>Beta</v>
          </cell>
          <cell r="C4">
            <v>1.1499999999999999</v>
          </cell>
        </row>
        <row r="5">
          <cell r="B5" t="str">
            <v>Market risk premium</v>
          </cell>
          <cell r="C5">
            <v>0.05</v>
          </cell>
        </row>
        <row r="6">
          <cell r="B6" t="str">
            <v>Risk free rate</v>
          </cell>
          <cell r="C6">
            <v>0.05</v>
          </cell>
        </row>
        <row r="7">
          <cell r="B7" t="str">
            <v>Interest rate on debt</v>
          </cell>
          <cell r="C7">
            <v>7.0000000000000007E-2</v>
          </cell>
        </row>
        <row r="8">
          <cell r="B8" t="str">
            <v>Tax rate</v>
          </cell>
          <cell r="C8">
            <v>0.3</v>
          </cell>
        </row>
        <row r="9">
          <cell r="B9" t="str">
            <v>Target debt</v>
          </cell>
          <cell r="C9">
            <v>0.3</v>
          </cell>
        </row>
        <row r="10">
          <cell r="B10" t="str">
            <v>Inflation</v>
          </cell>
          <cell r="C10">
            <v>2.5000000000000001E-2</v>
          </cell>
        </row>
        <row r="12">
          <cell r="B12" t="str">
            <v>After Tax Cost of Equity (Ke)</v>
          </cell>
          <cell r="C12">
            <v>0.1075</v>
          </cell>
        </row>
        <row r="13">
          <cell r="B13" t="str">
            <v>Cost of Debt (Kd)</v>
          </cell>
          <cell r="C13">
            <v>4.9000000000000002E-2</v>
          </cell>
        </row>
        <row r="14">
          <cell r="B14" t="str">
            <v>WACC (Nominal after tax)</v>
          </cell>
          <cell r="C14">
            <v>8.9950000000000002E-2</v>
          </cell>
        </row>
        <row r="15">
          <cell r="B15" t="str">
            <v>WACC (Real after tax)</v>
          </cell>
          <cell r="C15">
            <v>6.4950000000000008E-2</v>
          </cell>
        </row>
        <row r="17">
          <cell r="B17" t="str">
            <v>SENSITIVITY</v>
          </cell>
        </row>
        <row r="18">
          <cell r="B18" t="str">
            <v>WACC</v>
          </cell>
          <cell r="C18" t="str">
            <v>ILU NPV</v>
          </cell>
          <cell r="D18" t="str">
            <v>% CHG</v>
          </cell>
        </row>
        <row r="19">
          <cell r="C19">
            <v>19.899999999999999</v>
          </cell>
        </row>
        <row r="20">
          <cell r="B20">
            <v>6.9950000000000012E-2</v>
          </cell>
          <cell r="C20">
            <v>21.1</v>
          </cell>
          <cell r="D20">
            <v>6.0301507537688481E-2</v>
          </cell>
        </row>
        <row r="21">
          <cell r="B21">
            <v>7.9950000000000007E-2</v>
          </cell>
          <cell r="C21">
            <v>20.5</v>
          </cell>
          <cell r="D21">
            <v>3.0150753768844352E-2</v>
          </cell>
        </row>
        <row r="22">
          <cell r="B22">
            <v>8.9950000000000002E-2</v>
          </cell>
          <cell r="C22">
            <v>19.899999999999999</v>
          </cell>
          <cell r="D22">
            <v>0</v>
          </cell>
        </row>
        <row r="23">
          <cell r="B23">
            <v>9.9949999999999997E-2</v>
          </cell>
          <cell r="C23">
            <v>19.3</v>
          </cell>
          <cell r="D23">
            <v>-3.015075376884413E-2</v>
          </cell>
        </row>
        <row r="24">
          <cell r="B24">
            <v>0.10994999999999999</v>
          </cell>
          <cell r="C24">
            <v>18.8</v>
          </cell>
          <cell r="D24">
            <v>-5.5276381909547645E-2</v>
          </cell>
        </row>
        <row r="38">
          <cell r="G38" t="str">
            <v>pence/share</v>
          </cell>
          <cell r="H38" t="str">
            <v>A$/GBP</v>
          </cell>
        </row>
        <row r="39">
          <cell r="G39">
            <v>11.75</v>
          </cell>
          <cell r="H39">
            <v>0.4103</v>
          </cell>
        </row>
      </sheetData>
      <sheetData sheetId="6"/>
      <sheetData sheetId="7"/>
      <sheetData sheetId="8"/>
      <sheetData sheetId="9"/>
      <sheetData sheetId="10" refreshError="1">
        <row r="2">
          <cell r="B2" t="str">
            <v>ASSUMPTIONS Yr to Dec</v>
          </cell>
          <cell r="C2">
            <v>2010</v>
          </cell>
          <cell r="D2" t="str">
            <v>2011e</v>
          </cell>
          <cell r="E2" t="str">
            <v>2012e</v>
          </cell>
          <cell r="F2" t="str">
            <v>2013e</v>
          </cell>
        </row>
        <row r="3">
          <cell r="B3" t="str">
            <v>Zircon price,  US$/t</v>
          </cell>
          <cell r="C3">
            <v>1000</v>
          </cell>
          <cell r="D3">
            <v>1927.5</v>
          </cell>
          <cell r="E3">
            <v>2550</v>
          </cell>
          <cell r="F3">
            <v>2800</v>
          </cell>
        </row>
        <row r="4">
          <cell r="B4" t="str">
            <v>EPS, A$/sh</v>
          </cell>
          <cell r="C4">
            <v>8.661217663508812E-2</v>
          </cell>
          <cell r="D4">
            <v>1.0162764310852157</v>
          </cell>
          <cell r="E4">
            <v>2.1086075018403232</v>
          </cell>
          <cell r="F4">
            <v>2.9876586757577979</v>
          </cell>
        </row>
        <row r="5">
          <cell r="B5" t="str">
            <v>EPS growth</v>
          </cell>
          <cell r="E5">
            <v>1.0748365674373437</v>
          </cell>
          <cell r="F5">
            <v>0.41688705610231769</v>
          </cell>
        </row>
        <row r="6">
          <cell r="B6" t="str">
            <v>EBITDA Margin</v>
          </cell>
          <cell r="C6">
            <v>0.31209972552607507</v>
          </cell>
          <cell r="D6">
            <v>0.54425414888658186</v>
          </cell>
          <cell r="E6">
            <v>0.66635856807818117</v>
          </cell>
          <cell r="F6">
            <v>0.72637788251856816</v>
          </cell>
        </row>
        <row r="7">
          <cell r="B7" t="str">
            <v>DPS, A$/sh</v>
          </cell>
          <cell r="C7">
            <v>0.08</v>
          </cell>
          <cell r="D7">
            <v>0.55797676694735376</v>
          </cell>
          <cell r="E7">
            <v>1.3530720895112398</v>
          </cell>
          <cell r="F7">
            <v>1.810917748150924</v>
          </cell>
        </row>
        <row r="8">
          <cell r="B8" t="str">
            <v>Gearing</v>
          </cell>
          <cell r="C8">
            <v>0.21747599833031858</v>
          </cell>
          <cell r="D8">
            <v>-0.12457518255714928</v>
          </cell>
          <cell r="E8">
            <v>-0.45204360095161239</v>
          </cell>
          <cell r="F8">
            <v>-0.78494193207627305</v>
          </cell>
        </row>
        <row r="9">
          <cell r="B9" t="str">
            <v>Payout ratio</v>
          </cell>
          <cell r="C9">
            <v>0.92365765540166089</v>
          </cell>
          <cell r="D9">
            <v>0.54904034953514214</v>
          </cell>
          <cell r="E9">
            <v>0.64168987748090767</v>
          </cell>
          <cell r="F9">
            <v>0.60613274295518305</v>
          </cell>
        </row>
        <row r="54">
          <cell r="A54" t="str">
            <v>FULL YEAR</v>
          </cell>
        </row>
        <row r="55">
          <cell r="A55" t="str">
            <v>By product</v>
          </cell>
          <cell r="B55" t="str">
            <v>FY10a</v>
          </cell>
          <cell r="C55" t="str">
            <v>MS FY11e</v>
          </cell>
          <cell r="D55" t="str">
            <v>FY11a</v>
          </cell>
          <cell r="E55" t="str">
            <v>FY12e</v>
          </cell>
          <cell r="F55" t="str">
            <v>FY13e</v>
          </cell>
        </row>
        <row r="56">
          <cell r="A56" t="str">
            <v>Production, kt</v>
          </cell>
          <cell r="B56">
            <v>412.90000000000003</v>
          </cell>
          <cell r="D56">
            <v>535.75216707667346</v>
          </cell>
        </row>
        <row r="57">
          <cell r="A57" t="str">
            <v>Zircon</v>
          </cell>
          <cell r="C57">
            <v>400</v>
          </cell>
          <cell r="E57">
            <v>531.20206142607401</v>
          </cell>
          <cell r="F57">
            <v>531.20206142607401</v>
          </cell>
        </row>
        <row r="58">
          <cell r="A58" t="str">
            <v>% Change</v>
          </cell>
          <cell r="D58">
            <v>0.2975349166303547</v>
          </cell>
          <cell r="E58">
            <v>-8.4929299967689831E-3</v>
          </cell>
          <cell r="F58">
            <v>0</v>
          </cell>
        </row>
        <row r="59">
          <cell r="A59" t="str">
            <v>Production, kt</v>
          </cell>
          <cell r="B59">
            <v>250.10000000000002</v>
          </cell>
          <cell r="D59">
            <v>254.79424011813367</v>
          </cell>
        </row>
        <row r="60">
          <cell r="A60" t="str">
            <v>Rutile</v>
          </cell>
          <cell r="C60">
            <v>250</v>
          </cell>
          <cell r="E60">
            <v>219.46564093111684</v>
          </cell>
          <cell r="F60">
            <v>219.46564093111684</v>
          </cell>
        </row>
        <row r="61">
          <cell r="A61" t="str">
            <v>% Change</v>
          </cell>
          <cell r="D61">
            <v>1.8769452691457911E-2</v>
          </cell>
          <cell r="E61">
            <v>-0.1386554074795292</v>
          </cell>
          <cell r="F61">
            <v>0</v>
          </cell>
        </row>
        <row r="62">
          <cell r="A62" t="str">
            <v>Production, kt</v>
          </cell>
          <cell r="B62">
            <v>347.5</v>
          </cell>
          <cell r="D62">
            <v>303</v>
          </cell>
        </row>
        <row r="63">
          <cell r="A63" t="str">
            <v>Synthetic Rutile</v>
          </cell>
          <cell r="C63">
            <v>220</v>
          </cell>
          <cell r="E63">
            <v>320</v>
          </cell>
          <cell r="F63">
            <v>320</v>
          </cell>
        </row>
        <row r="64">
          <cell r="A64" t="str">
            <v>% Change</v>
          </cell>
          <cell r="D64">
            <v>-0.12805755395683449</v>
          </cell>
          <cell r="E64">
            <v>5.6105610561056007E-2</v>
          </cell>
          <cell r="F64">
            <v>0</v>
          </cell>
        </row>
        <row r="65">
          <cell r="A65" t="str">
            <v>Production, kt</v>
          </cell>
          <cell r="B65">
            <v>469</v>
          </cell>
          <cell r="D65">
            <v>482.49060890485225</v>
          </cell>
        </row>
        <row r="66">
          <cell r="A66" t="str">
            <v>Ilmenite Saleable</v>
          </cell>
          <cell r="C66">
            <v>400</v>
          </cell>
          <cell r="E66">
            <v>633.58746780970455</v>
          </cell>
          <cell r="F66">
            <v>633.58746780970455</v>
          </cell>
        </row>
        <row r="67">
          <cell r="A67" t="str">
            <v>% Change</v>
          </cell>
          <cell r="D67">
            <v>2.8764624530601912E-2</v>
          </cell>
          <cell r="E67">
            <v>0.31316020688528834</v>
          </cell>
          <cell r="F67">
            <v>0</v>
          </cell>
        </row>
        <row r="68">
          <cell r="A68" t="str">
            <v>Production, kt</v>
          </cell>
          <cell r="B68">
            <v>215.9</v>
          </cell>
          <cell r="D68">
            <v>87.9</v>
          </cell>
        </row>
        <row r="69">
          <cell r="A69" t="str">
            <v>Ilmenite upgradable</v>
          </cell>
          <cell r="C69">
            <v>0</v>
          </cell>
          <cell r="E69">
            <v>95</v>
          </cell>
          <cell r="F69">
            <v>95</v>
          </cell>
        </row>
        <row r="70">
          <cell r="A70" t="str">
            <v>% Change</v>
          </cell>
          <cell r="D70">
            <v>-0.59286706808707734</v>
          </cell>
          <cell r="E70">
            <v>8.0773606370875939E-2</v>
          </cell>
          <cell r="F70">
            <v>0</v>
          </cell>
        </row>
        <row r="72">
          <cell r="A72" t="str">
            <v>Total production By Region</v>
          </cell>
        </row>
        <row r="73">
          <cell r="B73" t="str">
            <v>FY10a</v>
          </cell>
          <cell r="C73" t="str">
            <v>MS FY11e</v>
          </cell>
          <cell r="D73" t="str">
            <v>FY11a</v>
          </cell>
          <cell r="E73" t="str">
            <v>FY12e</v>
          </cell>
          <cell r="F73" t="str">
            <v>FY13e</v>
          </cell>
        </row>
        <row r="74">
          <cell r="A74" t="str">
            <v>Production, kt</v>
          </cell>
          <cell r="B74">
            <v>757</v>
          </cell>
          <cell r="D74">
            <v>857.63215589831589</v>
          </cell>
        </row>
        <row r="75">
          <cell r="A75" t="str">
            <v>Eucla Basin</v>
          </cell>
          <cell r="C75">
            <v>0</v>
          </cell>
          <cell r="E75">
            <v>1088.3284654601325</v>
          </cell>
          <cell r="F75">
            <v>1088.3284654601325</v>
          </cell>
        </row>
        <row r="76">
          <cell r="A76" t="str">
            <v>% Change</v>
          </cell>
          <cell r="D76">
            <v>0.13293547674810546</v>
          </cell>
          <cell r="E76">
            <v>0.26899214071582556</v>
          </cell>
          <cell r="F76">
            <v>0</v>
          </cell>
        </row>
        <row r="77">
          <cell r="A77" t="str">
            <v>Production, kt</v>
          </cell>
          <cell r="B77">
            <v>412.8</v>
          </cell>
          <cell r="D77">
            <v>477.06707218291018</v>
          </cell>
        </row>
        <row r="78">
          <cell r="A78" t="str">
            <v>Murray Basin</v>
          </cell>
          <cell r="C78">
            <v>0</v>
          </cell>
          <cell r="E78">
            <v>471.45112866989655</v>
          </cell>
          <cell r="F78">
            <v>471.45112866989655</v>
          </cell>
        </row>
        <row r="79">
          <cell r="A79" t="str">
            <v>% Change</v>
          </cell>
          <cell r="D79">
            <v>0.15568573687720488</v>
          </cell>
          <cell r="E79">
            <v>-1.1771811219996486E-2</v>
          </cell>
          <cell r="F79">
            <v>0</v>
          </cell>
        </row>
        <row r="80">
          <cell r="A80" t="str">
            <v>Production, kt</v>
          </cell>
          <cell r="B80">
            <v>309.7</v>
          </cell>
          <cell r="D80">
            <v>293.53778801843316</v>
          </cell>
        </row>
        <row r="81">
          <cell r="A81" t="str">
            <v>US Operations</v>
          </cell>
          <cell r="C81">
            <v>0</v>
          </cell>
          <cell r="E81">
            <v>239.47557603686636</v>
          </cell>
          <cell r="F81">
            <v>239.47557603686636</v>
          </cell>
        </row>
        <row r="82">
          <cell r="A82" t="str">
            <v>% Change</v>
          </cell>
          <cell r="D82">
            <v>-5.2186670912388822E-2</v>
          </cell>
          <cell r="E82">
            <v>-0.18417462482946789</v>
          </cell>
          <cell r="F82">
            <v>0</v>
          </cell>
        </row>
        <row r="83">
          <cell r="A83" t="str">
            <v>HALF YEAR</v>
          </cell>
        </row>
        <row r="84">
          <cell r="A84" t="str">
            <v>By product</v>
          </cell>
          <cell r="B84" t="str">
            <v>JH10a</v>
          </cell>
          <cell r="C84" t="str">
            <v>DH10a</v>
          </cell>
          <cell r="D84" t="str">
            <v>MS JH11e</v>
          </cell>
          <cell r="E84" t="str">
            <v>JH11a</v>
          </cell>
          <cell r="F84" t="str">
            <v>DH11e</v>
          </cell>
          <cell r="G84" t="str">
            <v>JH12e</v>
          </cell>
        </row>
        <row r="85">
          <cell r="A85" t="str">
            <v>Production, kt</v>
          </cell>
          <cell r="B85">
            <v>163.19999999999999</v>
          </cell>
          <cell r="C85">
            <v>249.70000000000002</v>
          </cell>
          <cell r="E85">
            <v>276.59999999999997</v>
          </cell>
        </row>
        <row r="86">
          <cell r="A86" t="str">
            <v>Zircon</v>
          </cell>
          <cell r="D86">
            <v>249</v>
          </cell>
          <cell r="F86">
            <v>259.15216707667338</v>
          </cell>
          <cell r="G86">
            <v>265.60103071303701</v>
          </cell>
        </row>
        <row r="87">
          <cell r="A87" t="str">
            <v>% Change</v>
          </cell>
          <cell r="E87">
            <v>0.10772927513015595</v>
          </cell>
          <cell r="F87">
            <v>-6.307965626654588E-2</v>
          </cell>
          <cell r="G87">
            <v>2.4884467334805871E-2</v>
          </cell>
        </row>
        <row r="88">
          <cell r="A88" t="str">
            <v>Production, kt</v>
          </cell>
          <cell r="B88">
            <v>102.20000000000002</v>
          </cell>
          <cell r="C88">
            <v>147.9</v>
          </cell>
          <cell r="E88">
            <v>136.80000000000001</v>
          </cell>
        </row>
        <row r="89">
          <cell r="A89" t="str">
            <v>Rutile</v>
          </cell>
          <cell r="D89">
            <v>126</v>
          </cell>
          <cell r="F89">
            <v>117.99424011813369</v>
          </cell>
          <cell r="G89">
            <v>109.73282046555842</v>
          </cell>
        </row>
        <row r="90">
          <cell r="A90" t="str">
            <v>% Change</v>
          </cell>
          <cell r="E90">
            <v>-7.5050709939148086E-2</v>
          </cell>
          <cell r="F90">
            <v>-0.13746900498440295</v>
          </cell>
          <cell r="G90">
            <v>-7.0015448587186002E-2</v>
          </cell>
        </row>
        <row r="91">
          <cell r="A91" t="str">
            <v>Production, kt</v>
          </cell>
          <cell r="B91">
            <v>173.9</v>
          </cell>
          <cell r="C91">
            <v>173.6</v>
          </cell>
          <cell r="E91">
            <v>153</v>
          </cell>
        </row>
        <row r="92">
          <cell r="A92" t="str">
            <v>Synthetic Rutile</v>
          </cell>
          <cell r="D92">
            <v>100</v>
          </cell>
          <cell r="F92">
            <v>150</v>
          </cell>
          <cell r="G92">
            <v>160</v>
          </cell>
        </row>
        <row r="93">
          <cell r="A93" t="str">
            <v>% Change</v>
          </cell>
          <cell r="E93">
            <v>-0.11866359447004604</v>
          </cell>
          <cell r="F93">
            <v>-1.9607843137254943E-2</v>
          </cell>
          <cell r="G93">
            <v>6.6666666666666652E-2</v>
          </cell>
        </row>
        <row r="94">
          <cell r="A94" t="str">
            <v>Production, kt</v>
          </cell>
          <cell r="B94">
            <v>231</v>
          </cell>
          <cell r="C94">
            <v>238</v>
          </cell>
          <cell r="E94">
            <v>228.9</v>
          </cell>
        </row>
        <row r="95">
          <cell r="A95" t="str">
            <v>Ilmenite Saleable</v>
          </cell>
          <cell r="D95">
            <v>200</v>
          </cell>
          <cell r="F95">
            <v>253.59060890485227</v>
          </cell>
          <cell r="G95">
            <v>316.79373390485227</v>
          </cell>
        </row>
        <row r="96">
          <cell r="A96" t="str">
            <v>% Change</v>
          </cell>
          <cell r="E96">
            <v>-3.8235294117647034E-2</v>
          </cell>
          <cell r="F96">
            <v>0.10786635607187534</v>
          </cell>
          <cell r="G96">
            <v>0.2492329083988829</v>
          </cell>
        </row>
        <row r="97">
          <cell r="A97" t="str">
            <v>Production, kt</v>
          </cell>
          <cell r="B97">
            <v>118.1</v>
          </cell>
          <cell r="C97">
            <v>97.800000000000011</v>
          </cell>
          <cell r="E97">
            <v>87.9</v>
          </cell>
        </row>
        <row r="98">
          <cell r="A98" t="str">
            <v>Ilmenite upgradable</v>
          </cell>
          <cell r="D98">
            <v>0</v>
          </cell>
          <cell r="F98">
            <v>0</v>
          </cell>
          <cell r="G98">
            <v>47.5</v>
          </cell>
        </row>
        <row r="99">
          <cell r="A99" t="str">
            <v>% Change</v>
          </cell>
          <cell r="E99">
            <v>-0.10122699386503076</v>
          </cell>
          <cell r="F99">
            <v>-1</v>
          </cell>
          <cell r="G99" t="e">
            <v>#DIV/0!</v>
          </cell>
        </row>
        <row r="101">
          <cell r="A101" t="str">
            <v>By Region</v>
          </cell>
          <cell r="B101" t="str">
            <v>JH10a</v>
          </cell>
          <cell r="C101" t="str">
            <v>DH10a</v>
          </cell>
          <cell r="D101" t="str">
            <v>MS JH11e</v>
          </cell>
          <cell r="E101" t="str">
            <v>JH11a</v>
          </cell>
          <cell r="F101" t="str">
            <v>DH11e</v>
          </cell>
          <cell r="G101" t="str">
            <v>JH12e</v>
          </cell>
        </row>
        <row r="102">
          <cell r="A102" t="str">
            <v>Production, kt</v>
          </cell>
          <cell r="B102">
            <v>374</v>
          </cell>
          <cell r="C102">
            <v>383</v>
          </cell>
          <cell r="E102">
            <v>405</v>
          </cell>
        </row>
        <row r="103">
          <cell r="A103" t="str">
            <v>Eucla Basin</v>
          </cell>
          <cell r="D103">
            <v>291</v>
          </cell>
          <cell r="F103">
            <v>452.63215589831589</v>
          </cell>
          <cell r="G103">
            <v>544.16423273006626</v>
          </cell>
        </row>
        <row r="104">
          <cell r="A104" t="str">
            <v>% Change</v>
          </cell>
          <cell r="E104">
            <v>5.7441253263707637E-2</v>
          </cell>
          <cell r="F104">
            <v>0.11761026147732312</v>
          </cell>
          <cell r="G104">
            <v>0.20222177244586459</v>
          </cell>
        </row>
        <row r="105">
          <cell r="A105" t="str">
            <v>Production, kt</v>
          </cell>
          <cell r="B105">
            <v>150.89999999999998</v>
          </cell>
          <cell r="C105">
            <v>261.89999999999998</v>
          </cell>
          <cell r="E105">
            <v>268.7</v>
          </cell>
        </row>
        <row r="106">
          <cell r="A106" t="str">
            <v>Murray Basin</v>
          </cell>
          <cell r="D106">
            <v>265</v>
          </cell>
          <cell r="F106">
            <v>208.36707218291025</v>
          </cell>
          <cell r="G106">
            <v>235.72556433494827</v>
          </cell>
        </row>
        <row r="107">
          <cell r="A107" t="str">
            <v>% Change</v>
          </cell>
          <cell r="E107">
            <v>2.5964108438335298E-2</v>
          </cell>
          <cell r="F107">
            <v>-0.22453638934532838</v>
          </cell>
          <cell r="G107">
            <v>0.13129949883838643</v>
          </cell>
        </row>
        <row r="108">
          <cell r="A108" t="str">
            <v>Production, kt</v>
          </cell>
          <cell r="B108">
            <v>145.4</v>
          </cell>
          <cell r="C108">
            <v>164.29999999999998</v>
          </cell>
          <cell r="E108">
            <v>173.8</v>
          </cell>
        </row>
        <row r="109">
          <cell r="A109" t="str">
            <v>US Operations</v>
          </cell>
          <cell r="D109">
            <v>119</v>
          </cell>
          <cell r="F109">
            <v>119.73778801843318</v>
          </cell>
          <cell r="G109">
            <v>119.73778801843318</v>
          </cell>
        </row>
        <row r="110">
          <cell r="A110" t="str">
            <v>% Change</v>
          </cell>
          <cell r="E110">
            <v>5.782105903834478E-2</v>
          </cell>
          <cell r="F110">
            <v>-0.31105990783410142</v>
          </cell>
          <cell r="G110">
            <v>0</v>
          </cell>
        </row>
        <row r="112">
          <cell r="A112" t="str">
            <v>Production Costs</v>
          </cell>
        </row>
        <row r="114">
          <cell r="B114" t="str">
            <v>JH10a</v>
          </cell>
          <cell r="C114" t="str">
            <v>DH10a</v>
          </cell>
          <cell r="D114" t="str">
            <v>MS JH11e</v>
          </cell>
          <cell r="E114" t="str">
            <v>JH11a</v>
          </cell>
          <cell r="F114" t="str">
            <v>DH11e</v>
          </cell>
          <cell r="G114" t="str">
            <v>JH12e</v>
          </cell>
        </row>
        <row r="115">
          <cell r="A115" t="str">
            <v>Unit cash cost A$/t</v>
          </cell>
          <cell r="B115">
            <v>431.81818181818181</v>
          </cell>
          <cell r="C115">
            <v>378.85117493472592</v>
          </cell>
          <cell r="E115">
            <v>391.11111111111109</v>
          </cell>
        </row>
        <row r="116">
          <cell r="A116" t="str">
            <v>Eucla Basin</v>
          </cell>
          <cell r="D116">
            <v>479</v>
          </cell>
          <cell r="F116">
            <v>361.76650262387341</v>
          </cell>
          <cell r="G116">
            <v>297.4309962844132</v>
          </cell>
        </row>
        <row r="117">
          <cell r="A117" t="str">
            <v>% Change</v>
          </cell>
          <cell r="E117">
            <v>3.2360823952829243E-2</v>
          </cell>
          <cell r="F117">
            <v>-7.5028828518505453E-2</v>
          </cell>
          <cell r="G117">
            <v>-0.17783710175717804</v>
          </cell>
        </row>
        <row r="118">
          <cell r="A118" t="str">
            <v>Unit cash cost A$/t</v>
          </cell>
          <cell r="B118">
            <v>475.60222359481168</v>
          </cell>
          <cell r="C118">
            <v>408.17105765559381</v>
          </cell>
          <cell r="E118">
            <v>540.92378752886839</v>
          </cell>
        </row>
        <row r="119">
          <cell r="A119" t="str">
            <v>Murray Basin</v>
          </cell>
          <cell r="D119">
            <v>404</v>
          </cell>
          <cell r="F119">
            <v>562.03698009058598</v>
          </cell>
          <cell r="G119">
            <v>622.17903510493511</v>
          </cell>
        </row>
        <row r="120">
          <cell r="A120" t="str">
            <v>% Change</v>
          </cell>
          <cell r="E120">
            <v>0.32523797898793827</v>
          </cell>
          <cell r="F120">
            <v>3.9031732470428349E-2</v>
          </cell>
          <cell r="G120">
            <v>0.10700729159254929</v>
          </cell>
        </row>
        <row r="121">
          <cell r="A121" t="str">
            <v>Unit cash cost A$/t</v>
          </cell>
          <cell r="B121">
            <v>165.06189821182943</v>
          </cell>
          <cell r="C121">
            <v>178.33231892878882</v>
          </cell>
          <cell r="E121">
            <v>205.29344073647871</v>
          </cell>
        </row>
        <row r="122">
          <cell r="A122" t="str">
            <v>US Operations</v>
          </cell>
          <cell r="D122">
            <v>247</v>
          </cell>
          <cell r="F122">
            <v>297.98445912920323</v>
          </cell>
          <cell r="G122">
            <v>297.98445912920323</v>
          </cell>
        </row>
        <row r="123">
          <cell r="A123" t="str">
            <v>% Change</v>
          </cell>
          <cell r="E123">
            <v>0.15118472058032251</v>
          </cell>
          <cell r="F123">
            <v>0.45150501672240817</v>
          </cell>
          <cell r="G123">
            <v>0</v>
          </cell>
        </row>
        <row r="124">
          <cell r="A124" t="str">
            <v>Unit cash cost A$/t</v>
          </cell>
          <cell r="B124">
            <v>383.81079448076548</v>
          </cell>
          <cell r="C124">
            <v>347.62728620860116</v>
          </cell>
          <cell r="E124">
            <v>400.50291647080462</v>
          </cell>
        </row>
        <row r="125">
          <cell r="A125" t="str">
            <v>Group</v>
          </cell>
          <cell r="D125">
            <v>409</v>
          </cell>
          <cell r="F125">
            <v>405.43377025437758</v>
          </cell>
          <cell r="G125">
            <v>382.59699875566224</v>
          </cell>
        </row>
        <row r="126">
          <cell r="A126" t="str">
            <v>% Change</v>
          </cell>
          <cell r="E126">
            <v>0.15210437258505172</v>
          </cell>
          <cell r="F126">
            <v>1.231165512357113E-2</v>
          </cell>
          <cell r="G126">
            <v>-5.6326762036588818E-2</v>
          </cell>
        </row>
      </sheetData>
      <sheetData sheetId="11" refreshError="1">
        <row r="1">
          <cell r="A1" t="str">
            <v>PERTH / EUCLA BASINS</v>
          </cell>
        </row>
        <row r="2">
          <cell r="A2" t="str">
            <v>Year Ending June</v>
          </cell>
          <cell r="C2" t="str">
            <v>2000A</v>
          </cell>
          <cell r="D2" t="str">
            <v>2001A</v>
          </cell>
          <cell r="E2" t="str">
            <v>2002A</v>
          </cell>
          <cell r="F2" t="str">
            <v>2003A</v>
          </cell>
          <cell r="G2" t="str">
            <v>2004A</v>
          </cell>
          <cell r="H2" t="str">
            <v>2005A</v>
          </cell>
          <cell r="I2" t="str">
            <v>2006A</v>
          </cell>
          <cell r="J2" t="str">
            <v>2007A</v>
          </cell>
          <cell r="K2" t="str">
            <v>2008E</v>
          </cell>
          <cell r="L2" t="str">
            <v>2009E</v>
          </cell>
          <cell r="M2" t="str">
            <v>2010E</v>
          </cell>
          <cell r="N2" t="str">
            <v>2011E</v>
          </cell>
          <cell r="O2" t="str">
            <v>2012E</v>
          </cell>
          <cell r="P2" t="str">
            <v>2013E</v>
          </cell>
          <cell r="Q2" t="str">
            <v>2014E</v>
          </cell>
          <cell r="R2" t="str">
            <v>2015E</v>
          </cell>
          <cell r="S2" t="str">
            <v>2016E</v>
          </cell>
          <cell r="T2" t="str">
            <v>2017E</v>
          </cell>
          <cell r="U2" t="str">
            <v>2018E</v>
          </cell>
          <cell r="V2" t="str">
            <v>2019E</v>
          </cell>
          <cell r="W2" t="str">
            <v>2020E</v>
          </cell>
          <cell r="X2" t="str">
            <v>2021E</v>
          </cell>
          <cell r="Y2" t="str">
            <v>2022E</v>
          </cell>
          <cell r="Z2" t="str">
            <v>2023E</v>
          </cell>
          <cell r="AA2" t="str">
            <v>2024E</v>
          </cell>
          <cell r="AB2" t="str">
            <v>2025E</v>
          </cell>
          <cell r="AC2" t="str">
            <v>2026E</v>
          </cell>
          <cell r="AD2" t="str">
            <v>2027E</v>
          </cell>
          <cell r="AE2" t="str">
            <v>2028E</v>
          </cell>
          <cell r="AF2" t="str">
            <v>2029E</v>
          </cell>
          <cell r="AG2" t="str">
            <v>2030E</v>
          </cell>
          <cell r="AH2" t="str">
            <v>2031E</v>
          </cell>
          <cell r="AI2" t="str">
            <v>2032E</v>
          </cell>
          <cell r="AJ2" t="str">
            <v>2033E</v>
          </cell>
          <cell r="AK2" t="str">
            <v>2034E</v>
          </cell>
          <cell r="AL2" t="str">
            <v>2035E</v>
          </cell>
          <cell r="AM2" t="str">
            <v>SUM/AVG</v>
          </cell>
          <cell r="AP2">
            <v>37072</v>
          </cell>
          <cell r="AQ2">
            <v>37256</v>
          </cell>
          <cell r="AR2" t="str">
            <v>FY-01</v>
          </cell>
          <cell r="AS2">
            <v>37437</v>
          </cell>
          <cell r="AT2">
            <v>37621</v>
          </cell>
          <cell r="AU2" t="str">
            <v>FY-02</v>
          </cell>
          <cell r="AV2">
            <v>37802</v>
          </cell>
          <cell r="AW2">
            <v>37986</v>
          </cell>
          <cell r="AX2" t="str">
            <v>FY-03</v>
          </cell>
          <cell r="AY2">
            <v>38168</v>
          </cell>
          <cell r="AZ2">
            <v>38352</v>
          </cell>
          <cell r="BA2" t="str">
            <v>FY-04</v>
          </cell>
          <cell r="BB2">
            <v>38533</v>
          </cell>
          <cell r="BC2">
            <v>38717</v>
          </cell>
          <cell r="BD2" t="str">
            <v>FY-05</v>
          </cell>
          <cell r="BE2">
            <v>38898</v>
          </cell>
          <cell r="BF2">
            <v>39082</v>
          </cell>
          <cell r="BG2" t="str">
            <v>FY-06</v>
          </cell>
          <cell r="BH2">
            <v>39263</v>
          </cell>
          <cell r="BI2">
            <v>39447</v>
          </cell>
          <cell r="BJ2" t="str">
            <v>FY-07</v>
          </cell>
          <cell r="BK2">
            <v>39629</v>
          </cell>
          <cell r="BL2">
            <v>39813</v>
          </cell>
          <cell r="BM2" t="str">
            <v>FY-08</v>
          </cell>
          <cell r="BN2">
            <v>39994</v>
          </cell>
          <cell r="BO2">
            <v>40178</v>
          </cell>
          <cell r="BP2" t="str">
            <v>FY-09</v>
          </cell>
          <cell r="BQ2">
            <v>40359</v>
          </cell>
          <cell r="BR2">
            <v>40543</v>
          </cell>
          <cell r="BS2" t="str">
            <v>FY-10</v>
          </cell>
          <cell r="BT2">
            <v>40724</v>
          </cell>
          <cell r="BU2">
            <v>40908</v>
          </cell>
          <cell r="BV2" t="str">
            <v>FY-11</v>
          </cell>
          <cell r="BW2">
            <v>41090</v>
          </cell>
          <cell r="BX2">
            <v>41274</v>
          </cell>
          <cell r="BY2" t="str">
            <v>FY-12</v>
          </cell>
          <cell r="BZ2">
            <v>41455</v>
          </cell>
          <cell r="CA2">
            <v>41639</v>
          </cell>
          <cell r="CB2" t="str">
            <v>FY-13</v>
          </cell>
          <cell r="CC2">
            <v>41820</v>
          </cell>
          <cell r="CD2">
            <v>42004</v>
          </cell>
          <cell r="CE2" t="str">
            <v>FY-14</v>
          </cell>
          <cell r="CF2">
            <v>42185</v>
          </cell>
          <cell r="CG2">
            <v>42369</v>
          </cell>
          <cell r="CH2" t="str">
            <v>FY-15</v>
          </cell>
          <cell r="CI2">
            <v>42551</v>
          </cell>
          <cell r="CJ2">
            <v>42735</v>
          </cell>
          <cell r="CK2" t="str">
            <v>FY-16</v>
          </cell>
          <cell r="CL2">
            <v>42916</v>
          </cell>
          <cell r="CM2">
            <v>43100</v>
          </cell>
          <cell r="CN2" t="str">
            <v>FY-17</v>
          </cell>
          <cell r="CO2">
            <v>43281</v>
          </cell>
          <cell r="CP2">
            <v>43465</v>
          </cell>
          <cell r="CQ2" t="str">
            <v>FY-18</v>
          </cell>
          <cell r="CR2">
            <v>43646</v>
          </cell>
          <cell r="CS2">
            <v>43830</v>
          </cell>
          <cell r="CT2" t="str">
            <v>FY-19</v>
          </cell>
          <cell r="CU2">
            <v>44012</v>
          </cell>
          <cell r="CV2">
            <v>44196</v>
          </cell>
          <cell r="CW2" t="str">
            <v>FY-20</v>
          </cell>
          <cell r="CX2">
            <v>44377</v>
          </cell>
          <cell r="CY2">
            <v>44561</v>
          </cell>
          <cell r="CZ2" t="str">
            <v>FY21</v>
          </cell>
          <cell r="DA2">
            <v>44742</v>
          </cell>
          <cell r="DB2">
            <v>365</v>
          </cell>
          <cell r="DC2" t="str">
            <v>FY22</v>
          </cell>
          <cell r="DD2">
            <v>45107</v>
          </cell>
          <cell r="DE2">
            <v>730</v>
          </cell>
          <cell r="DF2" t="str">
            <v>FY23</v>
          </cell>
          <cell r="DG2">
            <v>45473</v>
          </cell>
          <cell r="DH2">
            <v>1096</v>
          </cell>
          <cell r="DI2" t="str">
            <v>FY24</v>
          </cell>
          <cell r="DJ2">
            <v>45838</v>
          </cell>
          <cell r="DK2">
            <v>1461</v>
          </cell>
          <cell r="DL2" t="str">
            <v>FY25</v>
          </cell>
          <cell r="DM2">
            <v>46203</v>
          </cell>
          <cell r="DN2">
            <v>1826</v>
          </cell>
          <cell r="DO2" t="str">
            <v>FY26</v>
          </cell>
          <cell r="DP2">
            <v>46568</v>
          </cell>
          <cell r="DQ2">
            <v>2191</v>
          </cell>
          <cell r="DR2" t="str">
            <v>FY27</v>
          </cell>
          <cell r="DS2">
            <v>46934</v>
          </cell>
          <cell r="DT2">
            <v>2557</v>
          </cell>
          <cell r="DU2" t="str">
            <v>FY28</v>
          </cell>
          <cell r="DV2">
            <v>47299</v>
          </cell>
          <cell r="DW2">
            <v>2922</v>
          </cell>
          <cell r="DX2" t="str">
            <v>FY29</v>
          </cell>
          <cell r="DY2">
            <v>47664</v>
          </cell>
          <cell r="DZ2">
            <v>3287</v>
          </cell>
          <cell r="EA2" t="str">
            <v>FY30</v>
          </cell>
          <cell r="EB2">
            <v>48029</v>
          </cell>
          <cell r="EC2">
            <v>3652</v>
          </cell>
          <cell r="ED2" t="str">
            <v>FY31</v>
          </cell>
          <cell r="EE2">
            <v>48395</v>
          </cell>
          <cell r="EF2">
            <v>4018</v>
          </cell>
          <cell r="EG2" t="str">
            <v>FY32</v>
          </cell>
          <cell r="EH2">
            <v>48760</v>
          </cell>
          <cell r="EI2">
            <v>4383</v>
          </cell>
          <cell r="EJ2" t="str">
            <v>FY33</v>
          </cell>
          <cell r="EK2">
            <v>49125</v>
          </cell>
          <cell r="EL2">
            <v>4748</v>
          </cell>
          <cell r="EM2" t="str">
            <v>FY34</v>
          </cell>
          <cell r="EN2">
            <v>49490</v>
          </cell>
          <cell r="EO2">
            <v>5113</v>
          </cell>
          <cell r="EP2" t="str">
            <v>FY35</v>
          </cell>
        </row>
        <row r="3">
          <cell r="AP3" t="str">
            <v>1H-01</v>
          </cell>
          <cell r="AQ3" t="str">
            <v>2H-01</v>
          </cell>
          <cell r="AS3" t="str">
            <v>1H-02</v>
          </cell>
          <cell r="AT3" t="str">
            <v>2H-02</v>
          </cell>
          <cell r="AV3" t="str">
            <v>1H-03</v>
          </cell>
          <cell r="AW3" t="str">
            <v>2H-03</v>
          </cell>
          <cell r="AY3" t="str">
            <v>1H-04</v>
          </cell>
          <cell r="AZ3" t="str">
            <v>2H-04</v>
          </cell>
          <cell r="BB3" t="str">
            <v>1H-05</v>
          </cell>
          <cell r="BC3" t="str">
            <v>2H-05</v>
          </cell>
          <cell r="BE3" t="str">
            <v>1H-06</v>
          </cell>
          <cell r="BF3" t="str">
            <v>2H-06</v>
          </cell>
          <cell r="BH3" t="str">
            <v>1H-07</v>
          </cell>
          <cell r="BI3" t="str">
            <v>2H-07</v>
          </cell>
          <cell r="BK3" t="str">
            <v>1H-08</v>
          </cell>
          <cell r="BL3" t="str">
            <v>2H-08</v>
          </cell>
          <cell r="BN3" t="str">
            <v>1H-09</v>
          </cell>
          <cell r="BO3" t="str">
            <v>2H-09</v>
          </cell>
          <cell r="BQ3" t="str">
            <v>1H-10</v>
          </cell>
          <cell r="BR3" t="str">
            <v>2H-10</v>
          </cell>
          <cell r="BT3" t="str">
            <v>1H-11</v>
          </cell>
          <cell r="BU3" t="str">
            <v>2H-11</v>
          </cell>
          <cell r="BW3" t="str">
            <v>1H-12</v>
          </cell>
          <cell r="BX3" t="str">
            <v>2H-12</v>
          </cell>
          <cell r="BZ3" t="str">
            <v>1H-13</v>
          </cell>
          <cell r="CA3" t="str">
            <v>2H-13</v>
          </cell>
          <cell r="CC3" t="str">
            <v>1H-14</v>
          </cell>
          <cell r="CD3" t="str">
            <v>2H-14</v>
          </cell>
          <cell r="CF3" t="str">
            <v>1H-15</v>
          </cell>
          <cell r="CG3" t="str">
            <v>2H-15</v>
          </cell>
          <cell r="CI3" t="str">
            <v>1H-16</v>
          </cell>
          <cell r="CJ3" t="str">
            <v>2H-16</v>
          </cell>
          <cell r="CL3" t="str">
            <v>1H-17</v>
          </cell>
          <cell r="CM3" t="str">
            <v>2H-17</v>
          </cell>
          <cell r="CO3" t="str">
            <v>1H-18</v>
          </cell>
          <cell r="CP3" t="str">
            <v>2H-18</v>
          </cell>
          <cell r="CR3" t="str">
            <v>1H-19</v>
          </cell>
          <cell r="CS3" t="str">
            <v>2H-19</v>
          </cell>
          <cell r="CU3" t="str">
            <v>1H-20</v>
          </cell>
          <cell r="CV3" t="str">
            <v>2H-20</v>
          </cell>
          <cell r="CX3" t="str">
            <v>1H-21</v>
          </cell>
          <cell r="CY3" t="str">
            <v>1H-21</v>
          </cell>
          <cell r="DA3" t="str">
            <v>1H-22</v>
          </cell>
          <cell r="DB3" t="str">
            <v>1H-22</v>
          </cell>
          <cell r="DD3" t="str">
            <v>1H-23</v>
          </cell>
          <cell r="DE3" t="str">
            <v>1H-23</v>
          </cell>
          <cell r="DG3" t="str">
            <v>1H-24</v>
          </cell>
          <cell r="DH3" t="str">
            <v>1H-24</v>
          </cell>
          <cell r="DJ3" t="str">
            <v>1H-25</v>
          </cell>
          <cell r="DK3" t="str">
            <v>1H-25</v>
          </cell>
          <cell r="DM3" t="str">
            <v>1H-26</v>
          </cell>
          <cell r="DN3" t="str">
            <v>1H-26</v>
          </cell>
          <cell r="DP3" t="str">
            <v>1H-27</v>
          </cell>
          <cell r="DQ3" t="str">
            <v>1H-27</v>
          </cell>
          <cell r="DS3" t="str">
            <v>1H-28</v>
          </cell>
          <cell r="DT3" t="str">
            <v>1H-28</v>
          </cell>
          <cell r="DV3" t="str">
            <v>1H-29</v>
          </cell>
          <cell r="DW3" t="str">
            <v>1H-29</v>
          </cell>
          <cell r="DY3" t="str">
            <v>1H-30</v>
          </cell>
          <cell r="DZ3" t="str">
            <v>1H-30</v>
          </cell>
          <cell r="EB3" t="str">
            <v>1H-31</v>
          </cell>
          <cell r="EC3" t="str">
            <v>1H-31</v>
          </cell>
          <cell r="EE3" t="str">
            <v>1H-32</v>
          </cell>
          <cell r="EF3" t="str">
            <v>1H-32</v>
          </cell>
          <cell r="EH3" t="str">
            <v>1H-33</v>
          </cell>
          <cell r="EI3" t="str">
            <v>1H-33</v>
          </cell>
          <cell r="EK3" t="str">
            <v>1H-34</v>
          </cell>
          <cell r="EL3" t="str">
            <v>1H-34</v>
          </cell>
          <cell r="EN3" t="str">
            <v>1H-35</v>
          </cell>
          <cell r="EO3" t="str">
            <v>1H-35</v>
          </cell>
        </row>
        <row r="4">
          <cell r="A4" t="str">
            <v>INPUTS and FACTORS</v>
          </cell>
          <cell r="B4" t="str">
            <v>.</v>
          </cell>
          <cell r="C4" t="str">
            <v>.</v>
          </cell>
          <cell r="D4" t="str">
            <v>.</v>
          </cell>
          <cell r="E4" t="str">
            <v>.</v>
          </cell>
          <cell r="F4" t="str">
            <v>.</v>
          </cell>
          <cell r="G4" t="str">
            <v>.</v>
          </cell>
          <cell r="H4" t="str">
            <v>.</v>
          </cell>
          <cell r="I4" t="str">
            <v>.</v>
          </cell>
          <cell r="J4" t="str">
            <v>.</v>
          </cell>
          <cell r="K4" t="str">
            <v>.</v>
          </cell>
          <cell r="L4" t="str">
            <v>.</v>
          </cell>
          <cell r="M4" t="str">
            <v>.</v>
          </cell>
          <cell r="N4" t="str">
            <v>.</v>
          </cell>
          <cell r="O4" t="str">
            <v>.</v>
          </cell>
          <cell r="P4" t="str">
            <v>.</v>
          </cell>
          <cell r="Q4" t="str">
            <v>.</v>
          </cell>
          <cell r="R4" t="str">
            <v>.</v>
          </cell>
          <cell r="S4" t="str">
            <v>.</v>
          </cell>
          <cell r="T4" t="str">
            <v>.</v>
          </cell>
          <cell r="U4" t="str">
            <v>.</v>
          </cell>
          <cell r="V4" t="str">
            <v>.</v>
          </cell>
          <cell r="W4" t="str">
            <v>.</v>
          </cell>
          <cell r="X4" t="str">
            <v>.</v>
          </cell>
          <cell r="Y4" t="str">
            <v>.</v>
          </cell>
          <cell r="Z4" t="str">
            <v>.</v>
          </cell>
          <cell r="AA4" t="str">
            <v>.</v>
          </cell>
          <cell r="AB4" t="str">
            <v>.</v>
          </cell>
          <cell r="AC4" t="str">
            <v>.</v>
          </cell>
          <cell r="AD4" t="str">
            <v>.</v>
          </cell>
          <cell r="AE4" t="str">
            <v>.</v>
          </cell>
          <cell r="AF4" t="str">
            <v>.</v>
          </cell>
          <cell r="AG4" t="str">
            <v>.</v>
          </cell>
          <cell r="AH4" t="str">
            <v>.</v>
          </cell>
          <cell r="AI4" t="str">
            <v>.</v>
          </cell>
          <cell r="AJ4" t="str">
            <v>.</v>
          </cell>
          <cell r="AK4" t="str">
            <v>.</v>
          </cell>
          <cell r="AL4" t="str">
            <v>.</v>
          </cell>
          <cell r="AM4" t="str">
            <v>.</v>
          </cell>
          <cell r="AN4" t="str">
            <v>.</v>
          </cell>
          <cell r="AO4" t="str">
            <v>.</v>
          </cell>
          <cell r="AP4" t="str">
            <v>.</v>
          </cell>
          <cell r="AQ4" t="str">
            <v>.</v>
          </cell>
          <cell r="AR4" t="str">
            <v>.</v>
          </cell>
          <cell r="AS4" t="str">
            <v>.</v>
          </cell>
          <cell r="AT4" t="str">
            <v>.</v>
          </cell>
          <cell r="AU4" t="str">
            <v>.</v>
          </cell>
          <cell r="AV4" t="str">
            <v>.</v>
          </cell>
          <cell r="AW4" t="str">
            <v>.</v>
          </cell>
          <cell r="AX4" t="str">
            <v>.</v>
          </cell>
          <cell r="AY4" t="str">
            <v>.</v>
          </cell>
          <cell r="AZ4" t="str">
            <v>.</v>
          </cell>
          <cell r="BA4" t="str">
            <v>.</v>
          </cell>
          <cell r="BB4" t="str">
            <v>.</v>
          </cell>
          <cell r="BC4" t="str">
            <v>.</v>
          </cell>
          <cell r="BD4" t="str">
            <v>.</v>
          </cell>
          <cell r="BE4" t="str">
            <v>.</v>
          </cell>
          <cell r="BF4" t="str">
            <v>.</v>
          </cell>
          <cell r="BG4" t="str">
            <v>.</v>
          </cell>
          <cell r="BH4" t="str">
            <v>.</v>
          </cell>
          <cell r="BI4" t="str">
            <v>.</v>
          </cell>
          <cell r="BJ4" t="str">
            <v>.</v>
          </cell>
          <cell r="BK4" t="str">
            <v>.</v>
          </cell>
          <cell r="BL4" t="str">
            <v>.</v>
          </cell>
          <cell r="BM4" t="str">
            <v>.</v>
          </cell>
          <cell r="BN4" t="str">
            <v>.</v>
          </cell>
          <cell r="BO4" t="str">
            <v>.</v>
          </cell>
          <cell r="BP4" t="str">
            <v>.</v>
          </cell>
          <cell r="BQ4" t="str">
            <v>.</v>
          </cell>
          <cell r="BR4" t="str">
            <v>.</v>
          </cell>
          <cell r="BS4" t="str">
            <v>.</v>
          </cell>
          <cell r="BT4" t="str">
            <v>.</v>
          </cell>
          <cell r="BU4" t="str">
            <v>.</v>
          </cell>
          <cell r="BV4" t="str">
            <v>.</v>
          </cell>
          <cell r="BW4" t="str">
            <v>.</v>
          </cell>
          <cell r="BX4" t="str">
            <v>.</v>
          </cell>
          <cell r="BY4" t="str">
            <v>.</v>
          </cell>
          <cell r="BZ4" t="str">
            <v>.</v>
          </cell>
          <cell r="CA4" t="str">
            <v>.</v>
          </cell>
          <cell r="CB4" t="str">
            <v>.</v>
          </cell>
          <cell r="CC4" t="str">
            <v>.</v>
          </cell>
          <cell r="CD4" t="str">
            <v>.</v>
          </cell>
          <cell r="CE4" t="str">
            <v>.</v>
          </cell>
          <cell r="CF4" t="str">
            <v>.</v>
          </cell>
          <cell r="CG4" t="str">
            <v>.</v>
          </cell>
          <cell r="CH4" t="str">
            <v>.</v>
          </cell>
          <cell r="CI4" t="str">
            <v>.</v>
          </cell>
          <cell r="CJ4" t="str">
            <v>.</v>
          </cell>
          <cell r="CK4" t="str">
            <v>.</v>
          </cell>
          <cell r="CL4" t="str">
            <v>.</v>
          </cell>
          <cell r="CM4" t="str">
            <v>.</v>
          </cell>
          <cell r="CN4" t="str">
            <v>.</v>
          </cell>
          <cell r="CO4" t="str">
            <v>.</v>
          </cell>
          <cell r="CP4" t="str">
            <v>.</v>
          </cell>
          <cell r="CQ4" t="str">
            <v>.</v>
          </cell>
          <cell r="CR4" t="str">
            <v>.</v>
          </cell>
          <cell r="CS4" t="str">
            <v>.</v>
          </cell>
          <cell r="CT4" t="str">
            <v>.</v>
          </cell>
          <cell r="CU4" t="str">
            <v>.</v>
          </cell>
          <cell r="CV4" t="str">
            <v>.</v>
          </cell>
          <cell r="CW4" t="str">
            <v>.</v>
          </cell>
          <cell r="CX4" t="str">
            <v>.</v>
          </cell>
          <cell r="CY4" t="str">
            <v>.</v>
          </cell>
          <cell r="CZ4" t="str">
            <v>.</v>
          </cell>
          <cell r="DA4" t="str">
            <v>.</v>
          </cell>
          <cell r="DB4" t="str">
            <v>.</v>
          </cell>
          <cell r="DC4" t="str">
            <v>.</v>
          </cell>
          <cell r="DD4" t="str">
            <v>.</v>
          </cell>
          <cell r="DE4" t="str">
            <v>.</v>
          </cell>
          <cell r="DF4" t="str">
            <v>.</v>
          </cell>
          <cell r="DG4" t="str">
            <v>.</v>
          </cell>
          <cell r="DH4" t="str">
            <v>.</v>
          </cell>
          <cell r="DI4" t="str">
            <v>.</v>
          </cell>
          <cell r="DJ4" t="str">
            <v>.</v>
          </cell>
          <cell r="DK4" t="str">
            <v>.</v>
          </cell>
          <cell r="DL4" t="str">
            <v>.</v>
          </cell>
          <cell r="DM4" t="str">
            <v>.</v>
          </cell>
          <cell r="DN4" t="str">
            <v>.</v>
          </cell>
          <cell r="DO4" t="str">
            <v>.</v>
          </cell>
          <cell r="DP4" t="str">
            <v>.</v>
          </cell>
          <cell r="DQ4" t="str">
            <v>.</v>
          </cell>
          <cell r="DR4" t="str">
            <v>.</v>
          </cell>
          <cell r="DS4" t="str">
            <v>.</v>
          </cell>
          <cell r="DT4" t="str">
            <v>.</v>
          </cell>
          <cell r="DU4" t="str">
            <v>.</v>
          </cell>
          <cell r="DV4" t="str">
            <v>.</v>
          </cell>
          <cell r="DW4" t="str">
            <v>.</v>
          </cell>
          <cell r="DX4" t="str">
            <v>.</v>
          </cell>
          <cell r="DY4" t="str">
            <v>.</v>
          </cell>
          <cell r="DZ4" t="str">
            <v>.</v>
          </cell>
          <cell r="EA4" t="str">
            <v>.</v>
          </cell>
          <cell r="EB4" t="str">
            <v>.</v>
          </cell>
          <cell r="EC4" t="str">
            <v>.</v>
          </cell>
          <cell r="ED4" t="str">
            <v>.</v>
          </cell>
          <cell r="EE4" t="str">
            <v>.</v>
          </cell>
          <cell r="EF4" t="str">
            <v>.</v>
          </cell>
          <cell r="EG4" t="str">
            <v>.</v>
          </cell>
          <cell r="EH4" t="str">
            <v>.</v>
          </cell>
          <cell r="EI4" t="str">
            <v>.</v>
          </cell>
          <cell r="EJ4" t="str">
            <v>.</v>
          </cell>
          <cell r="EK4" t="str">
            <v>.</v>
          </cell>
          <cell r="EL4" t="str">
            <v>.</v>
          </cell>
          <cell r="EM4" t="str">
            <v>.</v>
          </cell>
          <cell r="EN4" t="str">
            <v>.</v>
          </cell>
          <cell r="EO4" t="str">
            <v>.</v>
          </cell>
          <cell r="EP4" t="str">
            <v>.</v>
          </cell>
        </row>
        <row r="5">
          <cell r="A5" t="str">
            <v>Rutile</v>
          </cell>
          <cell r="B5" t="str">
            <v>US$/t</v>
          </cell>
          <cell r="D5">
            <v>485</v>
          </cell>
          <cell r="E5">
            <v>447.08333333333337</v>
          </cell>
          <cell r="F5">
            <v>432.08333333333331</v>
          </cell>
          <cell r="G5">
            <v>451.625</v>
          </cell>
          <cell r="H5">
            <v>463.33333333333331</v>
          </cell>
          <cell r="I5">
            <v>468.54166666666669</v>
          </cell>
          <cell r="J5">
            <v>477.08333333333331</v>
          </cell>
          <cell r="K5">
            <v>518.33333333333337</v>
          </cell>
          <cell r="L5">
            <v>596.25</v>
          </cell>
          <cell r="M5">
            <v>595</v>
          </cell>
          <cell r="N5">
            <v>1068.75</v>
          </cell>
          <cell r="O5">
            <v>1280</v>
          </cell>
          <cell r="P5">
            <v>1470</v>
          </cell>
          <cell r="Q5">
            <v>1500</v>
          </cell>
          <cell r="R5">
            <v>1400</v>
          </cell>
          <cell r="S5">
            <v>1130</v>
          </cell>
          <cell r="T5">
            <v>1100</v>
          </cell>
          <cell r="U5">
            <v>1100</v>
          </cell>
          <cell r="V5">
            <v>1100</v>
          </cell>
          <cell r="W5">
            <v>1100</v>
          </cell>
          <cell r="X5">
            <v>1100</v>
          </cell>
          <cell r="Y5">
            <v>1100</v>
          </cell>
          <cell r="Z5">
            <v>1100</v>
          </cell>
          <cell r="AA5">
            <v>1100</v>
          </cell>
          <cell r="AB5">
            <v>1100</v>
          </cell>
          <cell r="AC5">
            <v>1100</v>
          </cell>
          <cell r="AD5">
            <v>1100</v>
          </cell>
          <cell r="AE5">
            <v>1100</v>
          </cell>
          <cell r="AF5">
            <v>1100</v>
          </cell>
          <cell r="AG5">
            <v>1100</v>
          </cell>
          <cell r="AH5">
            <v>1100</v>
          </cell>
          <cell r="AI5">
            <v>1100</v>
          </cell>
          <cell r="AJ5">
            <v>1100</v>
          </cell>
          <cell r="AK5">
            <v>1100</v>
          </cell>
          <cell r="AL5">
            <v>1100</v>
          </cell>
          <cell r="AP5">
            <v>485</v>
          </cell>
          <cell r="AQ5">
            <v>485</v>
          </cell>
          <cell r="AR5">
            <v>485</v>
          </cell>
          <cell r="AS5">
            <v>445.83333333333337</v>
          </cell>
          <cell r="AT5">
            <v>448.33333333333337</v>
          </cell>
          <cell r="AU5">
            <v>447.08333333333337</v>
          </cell>
          <cell r="AV5">
            <v>434.16666666666663</v>
          </cell>
          <cell r="AW5">
            <v>430</v>
          </cell>
          <cell r="AX5">
            <v>432.08333333333331</v>
          </cell>
          <cell r="AY5">
            <v>450.5</v>
          </cell>
          <cell r="AZ5">
            <v>452.75</v>
          </cell>
          <cell r="BA5">
            <v>451.625</v>
          </cell>
          <cell r="BB5">
            <v>460</v>
          </cell>
          <cell r="BC5">
            <v>466.66666666666663</v>
          </cell>
          <cell r="BD5">
            <v>463.33333333333331</v>
          </cell>
          <cell r="BE5">
            <v>468.75</v>
          </cell>
          <cell r="BF5">
            <v>468.33333333333337</v>
          </cell>
          <cell r="BG5">
            <v>468.54166666666669</v>
          </cell>
          <cell r="BH5">
            <v>475</v>
          </cell>
          <cell r="BI5">
            <v>479.16666666666663</v>
          </cell>
          <cell r="BJ5">
            <v>477.08333333333331</v>
          </cell>
          <cell r="BK5">
            <v>502.08333333333337</v>
          </cell>
          <cell r="BL5">
            <v>518.33333333333337</v>
          </cell>
          <cell r="BM5">
            <v>518.33333333333337</v>
          </cell>
          <cell r="BN5">
            <v>535</v>
          </cell>
          <cell r="BO5">
            <v>657.5</v>
          </cell>
          <cell r="BP5">
            <v>596.25</v>
          </cell>
          <cell r="BQ5">
            <v>610</v>
          </cell>
          <cell r="BR5">
            <v>580</v>
          </cell>
          <cell r="BS5">
            <v>595</v>
          </cell>
          <cell r="BT5">
            <v>775</v>
          </cell>
          <cell r="BU5">
            <v>1362.5</v>
          </cell>
          <cell r="BV5">
            <v>1068.75</v>
          </cell>
          <cell r="BW5">
            <v>1280</v>
          </cell>
          <cell r="BX5">
            <v>1280</v>
          </cell>
          <cell r="BY5">
            <v>1280</v>
          </cell>
          <cell r="BZ5">
            <v>1470</v>
          </cell>
          <cell r="CA5">
            <v>1470</v>
          </cell>
          <cell r="CB5">
            <v>1470</v>
          </cell>
          <cell r="CC5">
            <v>1500</v>
          </cell>
          <cell r="CD5">
            <v>1500</v>
          </cell>
          <cell r="CE5">
            <v>1500</v>
          </cell>
          <cell r="CF5">
            <v>1400</v>
          </cell>
          <cell r="CG5">
            <v>1400</v>
          </cell>
          <cell r="CH5">
            <v>1400</v>
          </cell>
          <cell r="CI5">
            <v>1130</v>
          </cell>
          <cell r="CJ5">
            <v>1130</v>
          </cell>
          <cell r="CK5">
            <v>1130</v>
          </cell>
          <cell r="CL5">
            <v>1100</v>
          </cell>
          <cell r="CM5">
            <v>1100</v>
          </cell>
          <cell r="CN5">
            <v>1100</v>
          </cell>
          <cell r="CO5">
            <v>1100</v>
          </cell>
          <cell r="CP5">
            <v>1100</v>
          </cell>
          <cell r="CQ5">
            <v>1100</v>
          </cell>
          <cell r="CR5">
            <v>1100</v>
          </cell>
          <cell r="CS5">
            <v>1100</v>
          </cell>
          <cell r="CT5">
            <v>1100</v>
          </cell>
          <cell r="CU5">
            <v>1100</v>
          </cell>
          <cell r="CV5">
            <v>1100</v>
          </cell>
          <cell r="CW5">
            <v>1100</v>
          </cell>
          <cell r="CX5">
            <v>1100</v>
          </cell>
          <cell r="CY5">
            <v>1100</v>
          </cell>
          <cell r="CZ5">
            <v>1100</v>
          </cell>
          <cell r="DA5">
            <v>1100</v>
          </cell>
          <cell r="DB5">
            <v>1100</v>
          </cell>
          <cell r="DC5">
            <v>1100</v>
          </cell>
          <cell r="DD5">
            <v>1100</v>
          </cell>
          <cell r="DE5">
            <v>1100</v>
          </cell>
          <cell r="DF5">
            <v>1100</v>
          </cell>
          <cell r="DG5">
            <v>1100</v>
          </cell>
          <cell r="DH5">
            <v>1100</v>
          </cell>
          <cell r="DI5">
            <v>1100</v>
          </cell>
          <cell r="DJ5">
            <v>1100</v>
          </cell>
          <cell r="DK5">
            <v>1100</v>
          </cell>
          <cell r="DL5">
            <v>1100</v>
          </cell>
          <cell r="DM5">
            <v>1100</v>
          </cell>
          <cell r="DN5">
            <v>1100</v>
          </cell>
          <cell r="DO5">
            <v>1100</v>
          </cell>
          <cell r="DP5">
            <v>1100</v>
          </cell>
          <cell r="DQ5">
            <v>1100</v>
          </cell>
          <cell r="DR5">
            <v>1100</v>
          </cell>
          <cell r="DS5">
            <v>1100</v>
          </cell>
          <cell r="DT5">
            <v>1100</v>
          </cell>
          <cell r="DU5">
            <v>1100</v>
          </cell>
          <cell r="DV5">
            <v>1100</v>
          </cell>
          <cell r="DW5">
            <v>1100</v>
          </cell>
          <cell r="DX5">
            <v>1100</v>
          </cell>
          <cell r="DY5">
            <v>1100</v>
          </cell>
          <cell r="DZ5">
            <v>1100</v>
          </cell>
          <cell r="EA5">
            <v>1100</v>
          </cell>
          <cell r="EB5">
            <v>1100</v>
          </cell>
          <cell r="EC5">
            <v>1100</v>
          </cell>
          <cell r="ED5">
            <v>1100</v>
          </cell>
          <cell r="EE5">
            <v>1100</v>
          </cell>
          <cell r="EF5">
            <v>1100</v>
          </cell>
          <cell r="EG5">
            <v>1100</v>
          </cell>
          <cell r="EH5">
            <v>1100</v>
          </cell>
          <cell r="EI5">
            <v>1100</v>
          </cell>
          <cell r="EJ5">
            <v>1100</v>
          </cell>
          <cell r="EK5">
            <v>1100</v>
          </cell>
          <cell r="EL5">
            <v>1100</v>
          </cell>
          <cell r="EM5">
            <v>1100</v>
          </cell>
          <cell r="EN5">
            <v>1100</v>
          </cell>
          <cell r="EO5">
            <v>1100</v>
          </cell>
          <cell r="EP5">
            <v>1100</v>
          </cell>
        </row>
        <row r="6">
          <cell r="A6" t="str">
            <v xml:space="preserve">Synthetic Rutile </v>
          </cell>
          <cell r="B6" t="str">
            <v>US$/t</v>
          </cell>
          <cell r="D6">
            <v>596.25</v>
          </cell>
          <cell r="E6">
            <v>604.83333333333326</v>
          </cell>
          <cell r="F6">
            <v>592.75</v>
          </cell>
          <cell r="G6">
            <v>533.33333333333326</v>
          </cell>
          <cell r="H6">
            <v>520.16666666666663</v>
          </cell>
          <cell r="I6">
            <v>532.91666666666674</v>
          </cell>
          <cell r="J6">
            <v>502.43083333333334</v>
          </cell>
          <cell r="K6">
            <v>527.33333333333326</v>
          </cell>
          <cell r="L6">
            <v>525.1875</v>
          </cell>
          <cell r="M6">
            <v>475</v>
          </cell>
          <cell r="N6">
            <v>882.5</v>
          </cell>
          <cell r="O6">
            <v>1150</v>
          </cell>
          <cell r="P6">
            <v>1315</v>
          </cell>
          <cell r="Q6">
            <v>1350</v>
          </cell>
          <cell r="R6">
            <v>1225</v>
          </cell>
          <cell r="S6">
            <v>1020</v>
          </cell>
          <cell r="T6">
            <v>975</v>
          </cell>
          <cell r="U6">
            <v>975</v>
          </cell>
          <cell r="V6">
            <v>975</v>
          </cell>
          <cell r="W6">
            <v>975</v>
          </cell>
          <cell r="X6">
            <v>975</v>
          </cell>
          <cell r="Y6">
            <v>975</v>
          </cell>
          <cell r="Z6">
            <v>975</v>
          </cell>
          <cell r="AA6">
            <v>975</v>
          </cell>
          <cell r="AB6">
            <v>975</v>
          </cell>
          <cell r="AC6">
            <v>975</v>
          </cell>
          <cell r="AD6">
            <v>975</v>
          </cell>
          <cell r="AE6">
            <v>975</v>
          </cell>
          <cell r="AF6">
            <v>975</v>
          </cell>
          <cell r="AG6">
            <v>975</v>
          </cell>
          <cell r="AH6">
            <v>975</v>
          </cell>
          <cell r="AI6">
            <v>975</v>
          </cell>
          <cell r="AJ6">
            <v>975</v>
          </cell>
          <cell r="AK6">
            <v>975</v>
          </cell>
          <cell r="AL6">
            <v>975</v>
          </cell>
          <cell r="AP6">
            <v>602</v>
          </cell>
          <cell r="AQ6">
            <v>590.5</v>
          </cell>
          <cell r="AR6">
            <v>596.25</v>
          </cell>
          <cell r="AS6">
            <v>586.83333333333326</v>
          </cell>
          <cell r="AT6">
            <v>622.83333333333326</v>
          </cell>
          <cell r="AU6">
            <v>604.83333333333326</v>
          </cell>
          <cell r="AV6">
            <v>603</v>
          </cell>
          <cell r="AW6">
            <v>582.5</v>
          </cell>
          <cell r="AX6">
            <v>592.75</v>
          </cell>
          <cell r="AY6">
            <v>556.33333333333326</v>
          </cell>
          <cell r="AZ6">
            <v>510.33333333333337</v>
          </cell>
          <cell r="BA6">
            <v>533.33333333333326</v>
          </cell>
          <cell r="BB6">
            <v>510</v>
          </cell>
          <cell r="BC6">
            <v>530.33333333333326</v>
          </cell>
          <cell r="BD6">
            <v>520.16666666666663</v>
          </cell>
          <cell r="BE6">
            <v>530.83333333333337</v>
          </cell>
          <cell r="BF6">
            <v>535</v>
          </cell>
          <cell r="BG6">
            <v>532.91666666666674</v>
          </cell>
          <cell r="BH6">
            <v>521.52833333333331</v>
          </cell>
          <cell r="BI6">
            <v>483.33333333333337</v>
          </cell>
          <cell r="BJ6">
            <v>502.43083333333334</v>
          </cell>
          <cell r="BK6">
            <v>459.83333333333331</v>
          </cell>
          <cell r="BL6">
            <v>527.33333333333326</v>
          </cell>
          <cell r="BM6">
            <v>527.33333333333326</v>
          </cell>
          <cell r="BN6">
            <v>473.5</v>
          </cell>
          <cell r="BO6">
            <v>576.875</v>
          </cell>
          <cell r="BP6">
            <v>525.1875</v>
          </cell>
          <cell r="BQ6">
            <v>450</v>
          </cell>
          <cell r="BR6">
            <v>500</v>
          </cell>
          <cell r="BS6">
            <v>475</v>
          </cell>
          <cell r="BT6">
            <v>640</v>
          </cell>
          <cell r="BU6">
            <v>1125</v>
          </cell>
          <cell r="BV6">
            <v>882.5</v>
          </cell>
          <cell r="BW6">
            <v>1150</v>
          </cell>
          <cell r="BX6">
            <v>1150</v>
          </cell>
          <cell r="BY6">
            <v>1150</v>
          </cell>
          <cell r="BZ6">
            <v>1315</v>
          </cell>
          <cell r="CA6">
            <v>1315</v>
          </cell>
          <cell r="CB6">
            <v>1315</v>
          </cell>
          <cell r="CC6">
            <v>1350</v>
          </cell>
          <cell r="CD6">
            <v>1350</v>
          </cell>
          <cell r="CE6">
            <v>1350</v>
          </cell>
          <cell r="CF6">
            <v>1225</v>
          </cell>
          <cell r="CG6">
            <v>1225</v>
          </cell>
          <cell r="CH6">
            <v>1225</v>
          </cell>
          <cell r="CI6">
            <v>1020</v>
          </cell>
          <cell r="CJ6">
            <v>1020</v>
          </cell>
          <cell r="CK6">
            <v>1020</v>
          </cell>
          <cell r="CL6">
            <v>975</v>
          </cell>
          <cell r="CM6">
            <v>975</v>
          </cell>
          <cell r="CN6">
            <v>975</v>
          </cell>
          <cell r="CO6">
            <v>975</v>
          </cell>
          <cell r="CP6">
            <v>975</v>
          </cell>
          <cell r="CQ6">
            <v>975</v>
          </cell>
          <cell r="CR6">
            <v>975</v>
          </cell>
          <cell r="CS6">
            <v>975</v>
          </cell>
          <cell r="CT6">
            <v>975</v>
          </cell>
          <cell r="CU6">
            <v>975</v>
          </cell>
          <cell r="CV6">
            <v>975</v>
          </cell>
          <cell r="CW6">
            <v>975</v>
          </cell>
          <cell r="CX6">
            <v>975</v>
          </cell>
          <cell r="CY6">
            <v>975</v>
          </cell>
          <cell r="CZ6">
            <v>975</v>
          </cell>
          <cell r="DA6">
            <v>975</v>
          </cell>
          <cell r="DB6">
            <v>975</v>
          </cell>
          <cell r="DC6">
            <v>975</v>
          </cell>
          <cell r="DD6">
            <v>975</v>
          </cell>
          <cell r="DE6">
            <v>975</v>
          </cell>
          <cell r="DF6">
            <v>975</v>
          </cell>
          <cell r="DG6">
            <v>975</v>
          </cell>
          <cell r="DH6">
            <v>975</v>
          </cell>
          <cell r="DI6">
            <v>975</v>
          </cell>
          <cell r="DJ6">
            <v>975</v>
          </cell>
          <cell r="DK6">
            <v>975</v>
          </cell>
          <cell r="DL6">
            <v>975</v>
          </cell>
          <cell r="DM6">
            <v>975</v>
          </cell>
          <cell r="DN6">
            <v>975</v>
          </cell>
          <cell r="DO6">
            <v>975</v>
          </cell>
          <cell r="DP6">
            <v>975</v>
          </cell>
          <cell r="DQ6">
            <v>975</v>
          </cell>
          <cell r="DR6">
            <v>975</v>
          </cell>
          <cell r="DS6">
            <v>975</v>
          </cell>
          <cell r="DT6">
            <v>975</v>
          </cell>
          <cell r="DU6">
            <v>975</v>
          </cell>
          <cell r="DV6">
            <v>975</v>
          </cell>
          <cell r="DW6">
            <v>975</v>
          </cell>
          <cell r="DX6">
            <v>975</v>
          </cell>
          <cell r="DY6">
            <v>975</v>
          </cell>
          <cell r="DZ6">
            <v>975</v>
          </cell>
          <cell r="EA6">
            <v>975</v>
          </cell>
          <cell r="EB6">
            <v>975</v>
          </cell>
          <cell r="EC6">
            <v>975</v>
          </cell>
          <cell r="ED6">
            <v>975</v>
          </cell>
          <cell r="EE6">
            <v>975</v>
          </cell>
          <cell r="EF6">
            <v>975</v>
          </cell>
          <cell r="EG6">
            <v>975</v>
          </cell>
          <cell r="EH6">
            <v>975</v>
          </cell>
          <cell r="EI6">
            <v>975</v>
          </cell>
          <cell r="EJ6">
            <v>975</v>
          </cell>
          <cell r="EK6">
            <v>975</v>
          </cell>
          <cell r="EL6">
            <v>975</v>
          </cell>
          <cell r="EM6">
            <v>975</v>
          </cell>
          <cell r="EN6">
            <v>975</v>
          </cell>
          <cell r="EO6">
            <v>975</v>
          </cell>
          <cell r="EP6">
            <v>975</v>
          </cell>
        </row>
        <row r="7">
          <cell r="A7" t="str">
            <v>Ilmenite</v>
          </cell>
          <cell r="B7" t="str">
            <v>US$/t</v>
          </cell>
          <cell r="D7">
            <v>99.583333333333329</v>
          </cell>
          <cell r="E7">
            <v>93.75</v>
          </cell>
          <cell r="F7">
            <v>92.291666666666671</v>
          </cell>
          <cell r="G7">
            <v>87.833333333333329</v>
          </cell>
          <cell r="H7">
            <v>79.416666666666671</v>
          </cell>
          <cell r="I7">
            <v>80</v>
          </cell>
          <cell r="J7">
            <v>80</v>
          </cell>
          <cell r="K7">
            <v>108.5</v>
          </cell>
          <cell r="L7">
            <v>96.3125</v>
          </cell>
          <cell r="M7">
            <v>81.25</v>
          </cell>
          <cell r="N7">
            <v>117.5</v>
          </cell>
          <cell r="O7">
            <v>155</v>
          </cell>
          <cell r="P7">
            <v>185</v>
          </cell>
          <cell r="Q7">
            <v>200</v>
          </cell>
          <cell r="R7">
            <v>205</v>
          </cell>
          <cell r="S7">
            <v>215</v>
          </cell>
          <cell r="T7">
            <v>210</v>
          </cell>
          <cell r="U7">
            <v>210</v>
          </cell>
          <cell r="V7">
            <v>210</v>
          </cell>
          <cell r="W7">
            <v>210</v>
          </cell>
          <cell r="X7">
            <v>210</v>
          </cell>
          <cell r="Y7">
            <v>210</v>
          </cell>
          <cell r="Z7">
            <v>210</v>
          </cell>
          <cell r="AA7">
            <v>210</v>
          </cell>
          <cell r="AB7">
            <v>210</v>
          </cell>
          <cell r="AC7">
            <v>210</v>
          </cell>
          <cell r="AD7">
            <v>210</v>
          </cell>
          <cell r="AE7">
            <v>210</v>
          </cell>
          <cell r="AF7">
            <v>210</v>
          </cell>
          <cell r="AG7">
            <v>210</v>
          </cell>
          <cell r="AH7">
            <v>210</v>
          </cell>
          <cell r="AI7">
            <v>210</v>
          </cell>
          <cell r="AJ7">
            <v>210</v>
          </cell>
          <cell r="AK7">
            <v>210</v>
          </cell>
          <cell r="AL7">
            <v>210</v>
          </cell>
          <cell r="AP7">
            <v>99.166666666666657</v>
          </cell>
          <cell r="AQ7">
            <v>100</v>
          </cell>
          <cell r="AR7">
            <v>99.583333333333329</v>
          </cell>
          <cell r="AS7">
            <v>95</v>
          </cell>
          <cell r="AT7">
            <v>92.5</v>
          </cell>
          <cell r="AU7">
            <v>93.75</v>
          </cell>
          <cell r="AV7">
            <v>92.5</v>
          </cell>
          <cell r="AW7">
            <v>92.083333333333343</v>
          </cell>
          <cell r="AX7">
            <v>92.291666666666671</v>
          </cell>
          <cell r="AY7">
            <v>90</v>
          </cell>
          <cell r="AZ7">
            <v>85.666666666666657</v>
          </cell>
          <cell r="BA7">
            <v>87.833333333333329</v>
          </cell>
          <cell r="BB7">
            <v>78.833333333333343</v>
          </cell>
          <cell r="BC7">
            <v>80</v>
          </cell>
          <cell r="BD7">
            <v>79.416666666666671</v>
          </cell>
          <cell r="BE7">
            <v>80</v>
          </cell>
          <cell r="BF7">
            <v>80</v>
          </cell>
          <cell r="BG7">
            <v>80</v>
          </cell>
          <cell r="BH7">
            <v>80</v>
          </cell>
          <cell r="BI7">
            <v>80</v>
          </cell>
          <cell r="BJ7">
            <v>80</v>
          </cell>
          <cell r="BK7">
            <v>100.83333333333334</v>
          </cell>
          <cell r="BL7">
            <v>108.5</v>
          </cell>
          <cell r="BM7">
            <v>108.5</v>
          </cell>
          <cell r="BN7">
            <v>93.875</v>
          </cell>
          <cell r="BO7">
            <v>98.75</v>
          </cell>
          <cell r="BP7">
            <v>96.3125</v>
          </cell>
          <cell r="BQ7">
            <v>85</v>
          </cell>
          <cell r="BR7">
            <v>77.5</v>
          </cell>
          <cell r="BS7">
            <v>81.25</v>
          </cell>
          <cell r="BT7">
            <v>105</v>
          </cell>
          <cell r="BU7">
            <v>130</v>
          </cell>
          <cell r="BV7">
            <v>117.5</v>
          </cell>
          <cell r="BW7">
            <v>155</v>
          </cell>
          <cell r="BX7">
            <v>155</v>
          </cell>
          <cell r="BY7">
            <v>155</v>
          </cell>
          <cell r="BZ7">
            <v>185</v>
          </cell>
          <cell r="CA7">
            <v>185</v>
          </cell>
          <cell r="CB7">
            <v>185</v>
          </cell>
          <cell r="CC7">
            <v>200</v>
          </cell>
          <cell r="CD7">
            <v>200</v>
          </cell>
          <cell r="CE7">
            <v>200</v>
          </cell>
          <cell r="CF7">
            <v>205</v>
          </cell>
          <cell r="CG7">
            <v>205</v>
          </cell>
          <cell r="CH7">
            <v>205</v>
          </cell>
          <cell r="CI7">
            <v>215</v>
          </cell>
          <cell r="CJ7">
            <v>215</v>
          </cell>
          <cell r="CK7">
            <v>215</v>
          </cell>
          <cell r="CL7">
            <v>210</v>
          </cell>
          <cell r="CM7">
            <v>210</v>
          </cell>
          <cell r="CN7">
            <v>210</v>
          </cell>
          <cell r="CO7">
            <v>210</v>
          </cell>
          <cell r="CP7">
            <v>210</v>
          </cell>
          <cell r="CQ7">
            <v>210</v>
          </cell>
          <cell r="CR7">
            <v>210</v>
          </cell>
          <cell r="CS7">
            <v>210</v>
          </cell>
          <cell r="CT7">
            <v>210</v>
          </cell>
          <cell r="CU7">
            <v>210</v>
          </cell>
          <cell r="CV7">
            <v>210</v>
          </cell>
          <cell r="CW7">
            <v>210</v>
          </cell>
          <cell r="CX7">
            <v>210</v>
          </cell>
          <cell r="CY7">
            <v>210</v>
          </cell>
          <cell r="CZ7">
            <v>210</v>
          </cell>
          <cell r="DA7">
            <v>210</v>
          </cell>
          <cell r="DB7">
            <v>210</v>
          </cell>
          <cell r="DC7">
            <v>210</v>
          </cell>
          <cell r="DD7">
            <v>210</v>
          </cell>
          <cell r="DE7">
            <v>210</v>
          </cell>
          <cell r="DF7">
            <v>210</v>
          </cell>
          <cell r="DG7">
            <v>210</v>
          </cell>
          <cell r="DH7">
            <v>210</v>
          </cell>
          <cell r="DI7">
            <v>210</v>
          </cell>
          <cell r="DJ7">
            <v>210</v>
          </cell>
          <cell r="DK7">
            <v>210</v>
          </cell>
          <cell r="DL7">
            <v>210</v>
          </cell>
          <cell r="DM7">
            <v>210</v>
          </cell>
          <cell r="DN7">
            <v>210</v>
          </cell>
          <cell r="DO7">
            <v>210</v>
          </cell>
          <cell r="DP7">
            <v>210</v>
          </cell>
          <cell r="DQ7">
            <v>210</v>
          </cell>
          <cell r="DR7">
            <v>210</v>
          </cell>
          <cell r="DS7">
            <v>210</v>
          </cell>
          <cell r="DT7">
            <v>210</v>
          </cell>
          <cell r="DU7">
            <v>210</v>
          </cell>
          <cell r="DV7">
            <v>210</v>
          </cell>
          <cell r="DW7">
            <v>210</v>
          </cell>
          <cell r="DX7">
            <v>210</v>
          </cell>
          <cell r="DY7">
            <v>210</v>
          </cell>
          <cell r="DZ7">
            <v>210</v>
          </cell>
          <cell r="EA7">
            <v>210</v>
          </cell>
          <cell r="EB7">
            <v>210</v>
          </cell>
          <cell r="EC7">
            <v>210</v>
          </cell>
          <cell r="ED7">
            <v>210</v>
          </cell>
          <cell r="EE7">
            <v>210</v>
          </cell>
          <cell r="EF7">
            <v>210</v>
          </cell>
          <cell r="EG7">
            <v>210</v>
          </cell>
          <cell r="EH7">
            <v>210</v>
          </cell>
          <cell r="EI7">
            <v>210</v>
          </cell>
          <cell r="EJ7">
            <v>210</v>
          </cell>
          <cell r="EK7">
            <v>210</v>
          </cell>
          <cell r="EL7">
            <v>210</v>
          </cell>
          <cell r="EM7">
            <v>210</v>
          </cell>
          <cell r="EN7">
            <v>210</v>
          </cell>
          <cell r="EO7">
            <v>210</v>
          </cell>
          <cell r="EP7">
            <v>210</v>
          </cell>
        </row>
        <row r="8">
          <cell r="A8" t="str">
            <v xml:space="preserve">Zircon </v>
          </cell>
          <cell r="B8" t="str">
            <v>US$/t</v>
          </cell>
          <cell r="D8">
            <v>304.16666666666663</v>
          </cell>
          <cell r="E8">
            <v>335.83333333333331</v>
          </cell>
          <cell r="F8">
            <v>372.91666666666663</v>
          </cell>
          <cell r="G8">
            <v>445</v>
          </cell>
          <cell r="H8">
            <v>613.75</v>
          </cell>
          <cell r="I8">
            <v>745</v>
          </cell>
          <cell r="J8">
            <v>771.875</v>
          </cell>
          <cell r="K8">
            <v>762.5</v>
          </cell>
          <cell r="L8">
            <v>853.125</v>
          </cell>
          <cell r="M8">
            <v>1000</v>
          </cell>
          <cell r="N8">
            <v>1927.5</v>
          </cell>
          <cell r="O8">
            <v>2550</v>
          </cell>
          <cell r="P8">
            <v>2800</v>
          </cell>
          <cell r="Q8">
            <v>2800</v>
          </cell>
          <cell r="R8">
            <v>2525</v>
          </cell>
          <cell r="S8">
            <v>2150</v>
          </cell>
          <cell r="T8">
            <v>1725</v>
          </cell>
          <cell r="U8">
            <v>1725</v>
          </cell>
          <cell r="V8">
            <v>1725</v>
          </cell>
          <cell r="W8">
            <v>1725</v>
          </cell>
          <cell r="X8">
            <v>1725</v>
          </cell>
          <cell r="Y8">
            <v>1725</v>
          </cell>
          <cell r="Z8">
            <v>1725</v>
          </cell>
          <cell r="AA8">
            <v>1725</v>
          </cell>
          <cell r="AB8">
            <v>1725</v>
          </cell>
          <cell r="AC8">
            <v>1725</v>
          </cell>
          <cell r="AD8">
            <v>1725</v>
          </cell>
          <cell r="AE8">
            <v>1725</v>
          </cell>
          <cell r="AF8">
            <v>1725</v>
          </cell>
          <cell r="AG8">
            <v>1725</v>
          </cell>
          <cell r="AH8">
            <v>1725</v>
          </cell>
          <cell r="AI8">
            <v>1725</v>
          </cell>
          <cell r="AJ8">
            <v>1725</v>
          </cell>
          <cell r="AK8">
            <v>1725</v>
          </cell>
          <cell r="AL8">
            <v>1725</v>
          </cell>
          <cell r="AP8">
            <v>296.66666666666663</v>
          </cell>
          <cell r="AQ8">
            <v>311.66666666666669</v>
          </cell>
          <cell r="AR8">
            <v>304.16666666666663</v>
          </cell>
          <cell r="AS8">
            <v>326.66666666666663</v>
          </cell>
          <cell r="AT8">
            <v>345</v>
          </cell>
          <cell r="AU8">
            <v>335.83333333333331</v>
          </cell>
          <cell r="AV8">
            <v>369.16666666666663</v>
          </cell>
          <cell r="AW8">
            <v>376.66666666666663</v>
          </cell>
          <cell r="AX8">
            <v>372.91666666666663</v>
          </cell>
          <cell r="AY8">
            <v>435</v>
          </cell>
          <cell r="AZ8">
            <v>455</v>
          </cell>
          <cell r="BA8">
            <v>445</v>
          </cell>
          <cell r="BB8">
            <v>544.16666666666674</v>
          </cell>
          <cell r="BC8">
            <v>683.33333333333326</v>
          </cell>
          <cell r="BD8">
            <v>613.75</v>
          </cell>
          <cell r="BE8">
            <v>727.5</v>
          </cell>
          <cell r="BF8">
            <v>762.5</v>
          </cell>
          <cell r="BG8">
            <v>745</v>
          </cell>
          <cell r="BH8">
            <v>775</v>
          </cell>
          <cell r="BI8">
            <v>768.75</v>
          </cell>
          <cell r="BJ8">
            <v>771.875</v>
          </cell>
          <cell r="BK8">
            <v>762.5</v>
          </cell>
          <cell r="BL8">
            <v>762.5</v>
          </cell>
          <cell r="BM8">
            <v>762.5</v>
          </cell>
          <cell r="BN8">
            <v>831.25</v>
          </cell>
          <cell r="BO8">
            <v>875</v>
          </cell>
          <cell r="BP8">
            <v>853.125</v>
          </cell>
          <cell r="BQ8">
            <v>900</v>
          </cell>
          <cell r="BR8">
            <v>1100</v>
          </cell>
          <cell r="BS8">
            <v>1000</v>
          </cell>
          <cell r="BT8">
            <v>1600</v>
          </cell>
          <cell r="BU8">
            <v>2255</v>
          </cell>
          <cell r="BV8">
            <v>1927.5</v>
          </cell>
          <cell r="BW8">
            <v>2550</v>
          </cell>
          <cell r="BX8">
            <v>2550</v>
          </cell>
          <cell r="BY8">
            <v>2550</v>
          </cell>
          <cell r="BZ8">
            <v>2800</v>
          </cell>
          <cell r="CA8">
            <v>2800</v>
          </cell>
          <cell r="CB8">
            <v>2800</v>
          </cell>
          <cell r="CC8">
            <v>2800</v>
          </cell>
          <cell r="CD8">
            <v>2800</v>
          </cell>
          <cell r="CE8">
            <v>2800</v>
          </cell>
          <cell r="CF8">
            <v>2525</v>
          </cell>
          <cell r="CG8">
            <v>2525</v>
          </cell>
          <cell r="CH8">
            <v>2525</v>
          </cell>
          <cell r="CI8">
            <v>2150</v>
          </cell>
          <cell r="CJ8">
            <v>2150</v>
          </cell>
          <cell r="CK8">
            <v>2150</v>
          </cell>
          <cell r="CL8">
            <v>1725</v>
          </cell>
          <cell r="CM8">
            <v>1725</v>
          </cell>
          <cell r="CN8">
            <v>1725</v>
          </cell>
          <cell r="CO8">
            <v>1725</v>
          </cell>
          <cell r="CP8">
            <v>1725</v>
          </cell>
          <cell r="CQ8">
            <v>1725</v>
          </cell>
          <cell r="CR8">
            <v>1725</v>
          </cell>
          <cell r="CS8">
            <v>1725</v>
          </cell>
          <cell r="CT8">
            <v>1725</v>
          </cell>
          <cell r="CU8">
            <v>1725</v>
          </cell>
          <cell r="CV8">
            <v>1725</v>
          </cell>
          <cell r="CW8">
            <v>1725</v>
          </cell>
          <cell r="CX8">
            <v>1725</v>
          </cell>
          <cell r="CY8">
            <v>1725</v>
          </cell>
          <cell r="CZ8">
            <v>1725</v>
          </cell>
          <cell r="DA8">
            <v>1725</v>
          </cell>
          <cell r="DB8">
            <v>1725</v>
          </cell>
          <cell r="DC8">
            <v>1725</v>
          </cell>
          <cell r="DD8">
            <v>1725</v>
          </cell>
          <cell r="DE8">
            <v>1725</v>
          </cell>
          <cell r="DF8">
            <v>1725</v>
          </cell>
          <cell r="DG8">
            <v>1725</v>
          </cell>
          <cell r="DH8">
            <v>1725</v>
          </cell>
          <cell r="DI8">
            <v>1725</v>
          </cell>
          <cell r="DJ8">
            <v>1725</v>
          </cell>
          <cell r="DK8">
            <v>1725</v>
          </cell>
          <cell r="DL8">
            <v>1725</v>
          </cell>
          <cell r="DM8">
            <v>1725</v>
          </cell>
          <cell r="DN8">
            <v>1725</v>
          </cell>
          <cell r="DO8">
            <v>1725</v>
          </cell>
          <cell r="DP8">
            <v>1725</v>
          </cell>
          <cell r="DQ8">
            <v>1725</v>
          </cell>
          <cell r="DR8">
            <v>1725</v>
          </cell>
          <cell r="DS8">
            <v>1725</v>
          </cell>
          <cell r="DT8">
            <v>1725</v>
          </cell>
          <cell r="DU8">
            <v>1725</v>
          </cell>
          <cell r="DV8">
            <v>1725</v>
          </cell>
          <cell r="DW8">
            <v>1725</v>
          </cell>
          <cell r="DX8">
            <v>1725</v>
          </cell>
          <cell r="DY8">
            <v>1725</v>
          </cell>
          <cell r="DZ8">
            <v>1725</v>
          </cell>
          <cell r="EA8">
            <v>1725</v>
          </cell>
          <cell r="EB8">
            <v>1725</v>
          </cell>
          <cell r="EC8">
            <v>1725</v>
          </cell>
          <cell r="ED8">
            <v>1725</v>
          </cell>
          <cell r="EE8">
            <v>1725</v>
          </cell>
          <cell r="EF8">
            <v>1725</v>
          </cell>
          <cell r="EG8">
            <v>1725</v>
          </cell>
          <cell r="EH8">
            <v>1725</v>
          </cell>
          <cell r="EI8">
            <v>1725</v>
          </cell>
          <cell r="EJ8">
            <v>1725</v>
          </cell>
          <cell r="EK8">
            <v>1725</v>
          </cell>
          <cell r="EL8">
            <v>1725</v>
          </cell>
          <cell r="EM8">
            <v>1725</v>
          </cell>
          <cell r="EN8">
            <v>1725</v>
          </cell>
          <cell r="EO8">
            <v>1725</v>
          </cell>
          <cell r="EP8">
            <v>1725</v>
          </cell>
        </row>
        <row r="9">
          <cell r="A9" t="str">
            <v>AUDUSD</v>
          </cell>
          <cell r="B9" t="str">
            <v>x</v>
          </cell>
          <cell r="D9">
            <v>0.51744750000000006</v>
          </cell>
          <cell r="E9">
            <v>0.54358250000000008</v>
          </cell>
          <cell r="F9">
            <v>0.65210442307692307</v>
          </cell>
          <cell r="G9">
            <v>0.73744670873397422</v>
          </cell>
          <cell r="H9">
            <v>0.76229906481824072</v>
          </cell>
          <cell r="I9">
            <v>0.75321903379828758</v>
          </cell>
          <cell r="J9">
            <v>0.83883346153846161</v>
          </cell>
          <cell r="K9">
            <v>0.77</v>
          </cell>
          <cell r="L9">
            <v>0.78956132812500002</v>
          </cell>
          <cell r="M9">
            <v>0.91515000000000002</v>
          </cell>
          <cell r="N9">
            <v>1.0446775078656625</v>
          </cell>
          <cell r="O9">
            <v>1.0220318308996954</v>
          </cell>
          <cell r="P9">
            <v>0.9280629560807816</v>
          </cell>
          <cell r="Q9">
            <v>0.89</v>
          </cell>
          <cell r="R9">
            <v>0.85</v>
          </cell>
          <cell r="S9">
            <v>0.85</v>
          </cell>
          <cell r="T9">
            <v>0.85</v>
          </cell>
          <cell r="U9">
            <v>0.85</v>
          </cell>
          <cell r="V9">
            <v>0.85</v>
          </cell>
          <cell r="W9">
            <v>0.85</v>
          </cell>
          <cell r="X9">
            <v>0.85</v>
          </cell>
          <cell r="Y9">
            <v>0.85</v>
          </cell>
          <cell r="Z9">
            <v>0.85</v>
          </cell>
          <cell r="AA9">
            <v>0.85</v>
          </cell>
          <cell r="AB9">
            <v>0.85</v>
          </cell>
          <cell r="AC9">
            <v>0.85</v>
          </cell>
          <cell r="AD9">
            <v>0.85</v>
          </cell>
          <cell r="AE9">
            <v>0.85</v>
          </cell>
          <cell r="AF9">
            <v>0.85</v>
          </cell>
          <cell r="AG9">
            <v>0.85</v>
          </cell>
          <cell r="AH9">
            <v>0.85</v>
          </cell>
          <cell r="AI9">
            <v>0.85</v>
          </cell>
          <cell r="AJ9">
            <v>0.85</v>
          </cell>
          <cell r="AK9">
            <v>0.85</v>
          </cell>
          <cell r="AL9">
            <v>0.85</v>
          </cell>
          <cell r="AP9">
            <v>0.52235500000000012</v>
          </cell>
          <cell r="AQ9">
            <v>0.51254</v>
          </cell>
          <cell r="AR9">
            <v>0.51744750000000006</v>
          </cell>
          <cell r="AS9">
            <v>0.53452500000000003</v>
          </cell>
          <cell r="AT9">
            <v>0.55264000000000002</v>
          </cell>
          <cell r="AU9">
            <v>0.54358250000000008</v>
          </cell>
          <cell r="AV9">
            <v>0.61656500000000003</v>
          </cell>
          <cell r="AW9">
            <v>0.68764384615384611</v>
          </cell>
          <cell r="AX9">
            <v>0.65210442307692307</v>
          </cell>
          <cell r="AY9">
            <v>0.73996008413461523</v>
          </cell>
          <cell r="AZ9">
            <v>0.73493333333333322</v>
          </cell>
          <cell r="BA9">
            <v>0.73744670873397422</v>
          </cell>
          <cell r="BB9">
            <v>0.77271212730547911</v>
          </cell>
          <cell r="BC9">
            <v>0.75188600233100233</v>
          </cell>
          <cell r="BD9">
            <v>0.76229906481824072</v>
          </cell>
          <cell r="BE9">
            <v>0.74381659906510667</v>
          </cell>
          <cell r="BF9">
            <v>0.7626214685314685</v>
          </cell>
          <cell r="BG9">
            <v>0.75321903379828758</v>
          </cell>
          <cell r="BH9">
            <v>0.8086507692307694</v>
          </cell>
          <cell r="BI9">
            <v>0.86901615384615383</v>
          </cell>
          <cell r="BJ9">
            <v>0.83883346153846161</v>
          </cell>
          <cell r="BK9">
            <v>0.92549999999999999</v>
          </cell>
          <cell r="BL9">
            <v>0.77</v>
          </cell>
          <cell r="BM9">
            <v>0.77</v>
          </cell>
          <cell r="BN9">
            <v>0.70912265625000004</v>
          </cell>
          <cell r="BO9">
            <v>0.87</v>
          </cell>
          <cell r="BP9">
            <v>0.78956132812500002</v>
          </cell>
          <cell r="BQ9">
            <v>0.89545000000000008</v>
          </cell>
          <cell r="BR9">
            <v>0.93484999999999996</v>
          </cell>
          <cell r="BS9">
            <v>0.91515000000000002</v>
          </cell>
          <cell r="BT9">
            <v>1.0312907692307693</v>
          </cell>
          <cell r="BU9">
            <v>1.0580642465005554</v>
          </cell>
          <cell r="BV9">
            <v>1.0446775078656625</v>
          </cell>
          <cell r="BW9">
            <v>1.0463469658676505</v>
          </cell>
          <cell r="BX9">
            <v>0.99771669593174006</v>
          </cell>
          <cell r="BY9">
            <v>1.0220318308996954</v>
          </cell>
          <cell r="BZ9">
            <v>0.92752231588732903</v>
          </cell>
          <cell r="CA9">
            <v>0.92860359627423428</v>
          </cell>
          <cell r="CB9">
            <v>0.9280629560807816</v>
          </cell>
          <cell r="CC9">
            <v>0.89</v>
          </cell>
          <cell r="CD9">
            <v>0.89</v>
          </cell>
          <cell r="CE9">
            <v>0.89</v>
          </cell>
          <cell r="CF9">
            <v>0.85</v>
          </cell>
          <cell r="CG9">
            <v>0.85</v>
          </cell>
          <cell r="CH9">
            <v>0.85</v>
          </cell>
          <cell r="CI9">
            <v>0.85</v>
          </cell>
          <cell r="CJ9">
            <v>0.85</v>
          </cell>
          <cell r="CK9">
            <v>0.85</v>
          </cell>
          <cell r="CL9">
            <v>0.85</v>
          </cell>
          <cell r="CM9">
            <v>0.85</v>
          </cell>
          <cell r="CN9">
            <v>0.85</v>
          </cell>
          <cell r="CO9">
            <v>0.85</v>
          </cell>
          <cell r="CP9">
            <v>0.85</v>
          </cell>
          <cell r="CQ9">
            <v>0.85</v>
          </cell>
          <cell r="CR9">
            <v>0.85</v>
          </cell>
          <cell r="CS9">
            <v>0.85</v>
          </cell>
          <cell r="CT9">
            <v>0.85</v>
          </cell>
          <cell r="CU9">
            <v>0.85</v>
          </cell>
          <cell r="CV9">
            <v>0.85</v>
          </cell>
          <cell r="CW9">
            <v>0.85</v>
          </cell>
          <cell r="CX9">
            <v>0.85</v>
          </cell>
          <cell r="CY9">
            <v>0.85</v>
          </cell>
          <cell r="CZ9">
            <v>0.85</v>
          </cell>
          <cell r="DA9">
            <v>0.85</v>
          </cell>
          <cell r="DB9">
            <v>0.85</v>
          </cell>
          <cell r="DC9">
            <v>0.85</v>
          </cell>
          <cell r="DD9">
            <v>0.85</v>
          </cell>
          <cell r="DE9">
            <v>0.85</v>
          </cell>
          <cell r="DF9">
            <v>0.85</v>
          </cell>
          <cell r="DG9">
            <v>0.85</v>
          </cell>
          <cell r="DH9">
            <v>0.85</v>
          </cell>
          <cell r="DI9">
            <v>0.85</v>
          </cell>
          <cell r="DJ9">
            <v>0.85</v>
          </cell>
          <cell r="DK9">
            <v>0.85</v>
          </cell>
          <cell r="DL9">
            <v>0.85</v>
          </cell>
          <cell r="DM9">
            <v>0.85</v>
          </cell>
          <cell r="DN9">
            <v>0.85</v>
          </cell>
          <cell r="DO9">
            <v>0.85</v>
          </cell>
          <cell r="DP9">
            <v>0.85</v>
          </cell>
          <cell r="DQ9">
            <v>0.85</v>
          </cell>
          <cell r="DR9">
            <v>0.85</v>
          </cell>
          <cell r="DS9">
            <v>0.85</v>
          </cell>
          <cell r="DT9">
            <v>0.85</v>
          </cell>
          <cell r="DU9">
            <v>0.85</v>
          </cell>
          <cell r="DV9">
            <v>0.85</v>
          </cell>
          <cell r="DW9">
            <v>0.85</v>
          </cell>
          <cell r="DX9">
            <v>0.85</v>
          </cell>
          <cell r="DY9">
            <v>0.85</v>
          </cell>
          <cell r="DZ9">
            <v>0.85</v>
          </cell>
          <cell r="EA9">
            <v>0.85</v>
          </cell>
          <cell r="EB9">
            <v>0.85</v>
          </cell>
          <cell r="EC9">
            <v>0.85</v>
          </cell>
          <cell r="ED9">
            <v>0.85</v>
          </cell>
          <cell r="EE9">
            <v>0.85</v>
          </cell>
          <cell r="EF9">
            <v>0.85</v>
          </cell>
          <cell r="EG9">
            <v>0.85</v>
          </cell>
          <cell r="EH9">
            <v>0.85</v>
          </cell>
          <cell r="EI9">
            <v>0.85</v>
          </cell>
          <cell r="EJ9">
            <v>0.85</v>
          </cell>
          <cell r="EK9">
            <v>0.85</v>
          </cell>
          <cell r="EL9">
            <v>0.85</v>
          </cell>
          <cell r="EM9">
            <v>0.85</v>
          </cell>
          <cell r="EN9">
            <v>0.85</v>
          </cell>
          <cell r="EO9">
            <v>0.85</v>
          </cell>
          <cell r="EP9">
            <v>0.85</v>
          </cell>
        </row>
        <row r="11">
          <cell r="A11" t="str">
            <v>Yr end date</v>
          </cell>
          <cell r="B11">
            <v>40765</v>
          </cell>
          <cell r="D11">
            <v>37256</v>
          </cell>
          <cell r="E11">
            <v>37621</v>
          </cell>
          <cell r="F11">
            <v>37986</v>
          </cell>
          <cell r="G11">
            <v>38352</v>
          </cell>
          <cell r="H11">
            <v>38717</v>
          </cell>
          <cell r="I11">
            <v>39082</v>
          </cell>
          <cell r="J11">
            <v>39447</v>
          </cell>
          <cell r="K11">
            <v>39813</v>
          </cell>
          <cell r="L11">
            <v>40178</v>
          </cell>
          <cell r="M11">
            <v>40543</v>
          </cell>
          <cell r="N11">
            <v>40908</v>
          </cell>
          <cell r="O11">
            <v>41274</v>
          </cell>
          <cell r="P11">
            <v>41639</v>
          </cell>
          <cell r="Q11">
            <v>42004</v>
          </cell>
          <cell r="R11">
            <v>42369</v>
          </cell>
          <cell r="S11">
            <v>42735</v>
          </cell>
          <cell r="T11">
            <v>43100</v>
          </cell>
          <cell r="U11">
            <v>43465</v>
          </cell>
          <cell r="V11">
            <v>43830</v>
          </cell>
          <cell r="W11">
            <v>44196</v>
          </cell>
          <cell r="X11">
            <v>44561</v>
          </cell>
          <cell r="Y11">
            <v>44926</v>
          </cell>
          <cell r="Z11">
            <v>45291</v>
          </cell>
          <cell r="AA11">
            <v>45657</v>
          </cell>
          <cell r="AB11">
            <v>46022</v>
          </cell>
          <cell r="AC11">
            <v>46387</v>
          </cell>
          <cell r="AD11">
            <v>46752</v>
          </cell>
          <cell r="AE11">
            <v>47118</v>
          </cell>
          <cell r="AF11">
            <v>47483</v>
          </cell>
          <cell r="AG11">
            <v>47848</v>
          </cell>
          <cell r="AH11">
            <v>48213</v>
          </cell>
          <cell r="AI11">
            <v>48579</v>
          </cell>
          <cell r="AJ11">
            <v>48944</v>
          </cell>
          <cell r="AK11">
            <v>49309</v>
          </cell>
          <cell r="AL11">
            <v>49674</v>
          </cell>
          <cell r="AP11">
            <v>37072</v>
          </cell>
          <cell r="AQ11">
            <v>37256</v>
          </cell>
          <cell r="AR11">
            <v>37256</v>
          </cell>
          <cell r="AS11">
            <v>37437</v>
          </cell>
          <cell r="AT11">
            <v>37621</v>
          </cell>
          <cell r="AU11">
            <v>37621</v>
          </cell>
          <cell r="AV11">
            <v>37802</v>
          </cell>
          <cell r="AW11">
            <v>37986</v>
          </cell>
          <cell r="AX11">
            <v>37986</v>
          </cell>
          <cell r="AY11">
            <v>38168</v>
          </cell>
          <cell r="AZ11">
            <v>38352</v>
          </cell>
          <cell r="BA11">
            <v>38352</v>
          </cell>
          <cell r="BB11">
            <v>38533</v>
          </cell>
          <cell r="BC11">
            <v>38717</v>
          </cell>
          <cell r="BD11">
            <v>38717</v>
          </cell>
          <cell r="BE11">
            <v>38898</v>
          </cell>
          <cell r="BF11">
            <v>39082</v>
          </cell>
          <cell r="BG11">
            <v>39082</v>
          </cell>
          <cell r="BH11">
            <v>39263</v>
          </cell>
          <cell r="BI11">
            <v>39447</v>
          </cell>
          <cell r="BJ11">
            <v>39447</v>
          </cell>
          <cell r="BK11">
            <v>39629</v>
          </cell>
          <cell r="BL11">
            <v>39813</v>
          </cell>
          <cell r="BM11">
            <v>39813</v>
          </cell>
          <cell r="BN11">
            <v>39994</v>
          </cell>
          <cell r="BO11">
            <v>40178</v>
          </cell>
          <cell r="BP11">
            <v>40178</v>
          </cell>
          <cell r="BQ11">
            <v>40359</v>
          </cell>
          <cell r="BR11">
            <v>40543</v>
          </cell>
          <cell r="BS11">
            <v>40543</v>
          </cell>
          <cell r="BT11">
            <v>40724</v>
          </cell>
          <cell r="BU11">
            <v>40908</v>
          </cell>
          <cell r="BV11">
            <v>40908</v>
          </cell>
          <cell r="BW11">
            <v>41090</v>
          </cell>
          <cell r="BX11">
            <v>41274</v>
          </cell>
          <cell r="BY11">
            <v>41274</v>
          </cell>
          <cell r="BZ11">
            <v>41455</v>
          </cell>
          <cell r="CA11">
            <v>41639</v>
          </cell>
          <cell r="CB11">
            <v>41639</v>
          </cell>
          <cell r="CC11">
            <v>41820</v>
          </cell>
          <cell r="CD11">
            <v>42004</v>
          </cell>
          <cell r="CE11">
            <v>42004</v>
          </cell>
          <cell r="CF11">
            <v>42185</v>
          </cell>
          <cell r="CG11">
            <v>42369</v>
          </cell>
          <cell r="CH11">
            <v>42369</v>
          </cell>
          <cell r="CI11">
            <v>42551</v>
          </cell>
          <cell r="CJ11">
            <v>42735</v>
          </cell>
          <cell r="CK11">
            <v>42735</v>
          </cell>
          <cell r="CL11">
            <v>42916</v>
          </cell>
          <cell r="CM11">
            <v>43100</v>
          </cell>
          <cell r="CN11">
            <v>43100</v>
          </cell>
          <cell r="CO11">
            <v>43281</v>
          </cell>
          <cell r="CP11">
            <v>43465</v>
          </cell>
          <cell r="CQ11">
            <v>43465</v>
          </cell>
          <cell r="CR11">
            <v>43646</v>
          </cell>
          <cell r="CS11">
            <v>43830</v>
          </cell>
          <cell r="CT11">
            <v>43830</v>
          </cell>
          <cell r="CU11">
            <v>44012</v>
          </cell>
          <cell r="CV11">
            <v>44196</v>
          </cell>
          <cell r="CW11">
            <v>44196</v>
          </cell>
          <cell r="CX11">
            <v>44377</v>
          </cell>
          <cell r="CY11">
            <v>44561</v>
          </cell>
          <cell r="CZ11">
            <v>44561</v>
          </cell>
          <cell r="DA11">
            <v>44742</v>
          </cell>
          <cell r="DB11">
            <v>44926</v>
          </cell>
          <cell r="DC11">
            <v>44926</v>
          </cell>
          <cell r="DD11">
            <v>45107</v>
          </cell>
          <cell r="DE11">
            <v>45291</v>
          </cell>
          <cell r="DF11">
            <v>45291</v>
          </cell>
          <cell r="DG11">
            <v>45473</v>
          </cell>
          <cell r="DH11">
            <v>45657</v>
          </cell>
          <cell r="DI11">
            <v>45657</v>
          </cell>
          <cell r="DJ11">
            <v>45838</v>
          </cell>
          <cell r="DK11">
            <v>46022</v>
          </cell>
          <cell r="DL11">
            <v>46022</v>
          </cell>
          <cell r="DM11">
            <v>46203</v>
          </cell>
          <cell r="DN11">
            <v>46387</v>
          </cell>
          <cell r="DO11">
            <v>46387</v>
          </cell>
          <cell r="DP11">
            <v>46568</v>
          </cell>
          <cell r="DQ11">
            <v>46752</v>
          </cell>
          <cell r="DR11">
            <v>46752</v>
          </cell>
          <cell r="DS11">
            <v>46934</v>
          </cell>
          <cell r="DT11">
            <v>47118</v>
          </cell>
          <cell r="DU11">
            <v>47118</v>
          </cell>
          <cell r="DV11">
            <v>47299</v>
          </cell>
          <cell r="DW11">
            <v>47483</v>
          </cell>
          <cell r="DX11">
            <v>47483</v>
          </cell>
          <cell r="DY11">
            <v>47664</v>
          </cell>
          <cell r="DZ11">
            <v>47848</v>
          </cell>
          <cell r="EA11">
            <v>47848</v>
          </cell>
          <cell r="EB11">
            <v>48029</v>
          </cell>
          <cell r="EC11">
            <v>48213</v>
          </cell>
          <cell r="ED11">
            <v>48213</v>
          </cell>
          <cell r="EE11">
            <v>48395</v>
          </cell>
          <cell r="EF11">
            <v>48579</v>
          </cell>
          <cell r="EG11">
            <v>48579</v>
          </cell>
          <cell r="EH11">
            <v>48760</v>
          </cell>
          <cell r="EI11">
            <v>48944</v>
          </cell>
          <cell r="EJ11">
            <v>48944</v>
          </cell>
          <cell r="EK11">
            <v>49125</v>
          </cell>
          <cell r="EL11">
            <v>49309</v>
          </cell>
          <cell r="EM11">
            <v>49309</v>
          </cell>
          <cell r="EN11">
            <v>49490</v>
          </cell>
          <cell r="EO11">
            <v>49674</v>
          </cell>
          <cell r="EP11">
            <v>49674</v>
          </cell>
        </row>
        <row r="12">
          <cell r="A12" t="str">
            <v>Zicon Production inflator</v>
          </cell>
          <cell r="B12" t="str">
            <v>%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1</v>
          </cell>
          <cell r="S12">
            <v>1</v>
          </cell>
          <cell r="T12">
            <v>1</v>
          </cell>
          <cell r="U12">
            <v>1</v>
          </cell>
          <cell r="V12">
            <v>1</v>
          </cell>
          <cell r="W12">
            <v>1</v>
          </cell>
          <cell r="X12">
            <v>1</v>
          </cell>
          <cell r="Y12">
            <v>1</v>
          </cell>
          <cell r="Z12">
            <v>1</v>
          </cell>
          <cell r="AA12">
            <v>1</v>
          </cell>
          <cell r="AB12">
            <v>1</v>
          </cell>
          <cell r="AC12">
            <v>1</v>
          </cell>
          <cell r="AD12">
            <v>1</v>
          </cell>
          <cell r="AE12">
            <v>1</v>
          </cell>
          <cell r="AF12">
            <v>1</v>
          </cell>
          <cell r="AG12">
            <v>1</v>
          </cell>
          <cell r="AH12">
            <v>1</v>
          </cell>
          <cell r="AI12">
            <v>1</v>
          </cell>
          <cell r="AJ12">
            <v>1</v>
          </cell>
          <cell r="AK12">
            <v>1</v>
          </cell>
          <cell r="AL12">
            <v>1</v>
          </cell>
          <cell r="AP12">
            <v>1</v>
          </cell>
          <cell r="AQ12">
            <v>1</v>
          </cell>
          <cell r="AR12">
            <v>1</v>
          </cell>
          <cell r="AS12">
            <v>1</v>
          </cell>
          <cell r="AT12">
            <v>1</v>
          </cell>
          <cell r="AU12">
            <v>1</v>
          </cell>
          <cell r="AV12">
            <v>1</v>
          </cell>
          <cell r="AW12">
            <v>1</v>
          </cell>
          <cell r="AX12">
            <v>1</v>
          </cell>
          <cell r="AY12">
            <v>1</v>
          </cell>
          <cell r="AZ12">
            <v>1</v>
          </cell>
          <cell r="BA12">
            <v>1</v>
          </cell>
          <cell r="BB12">
            <v>1</v>
          </cell>
          <cell r="BC12">
            <v>1</v>
          </cell>
          <cell r="BD12">
            <v>1</v>
          </cell>
          <cell r="BE12">
            <v>1</v>
          </cell>
          <cell r="BF12">
            <v>1</v>
          </cell>
          <cell r="BG12">
            <v>1</v>
          </cell>
          <cell r="BH12">
            <v>1</v>
          </cell>
          <cell r="BI12">
            <v>1</v>
          </cell>
          <cell r="BJ12">
            <v>1</v>
          </cell>
          <cell r="BK12">
            <v>1</v>
          </cell>
          <cell r="BL12">
            <v>1</v>
          </cell>
          <cell r="BM12">
            <v>1</v>
          </cell>
          <cell r="BN12">
            <v>1</v>
          </cell>
          <cell r="BO12">
            <v>1</v>
          </cell>
          <cell r="BP12">
            <v>1</v>
          </cell>
          <cell r="BQ12">
            <v>1</v>
          </cell>
          <cell r="BR12">
            <v>1</v>
          </cell>
          <cell r="BS12">
            <v>1</v>
          </cell>
          <cell r="BT12">
            <v>1</v>
          </cell>
          <cell r="BU12">
            <v>1</v>
          </cell>
          <cell r="BV12">
            <v>1</v>
          </cell>
          <cell r="BW12">
            <v>1</v>
          </cell>
          <cell r="BX12">
            <v>1</v>
          </cell>
          <cell r="BY12">
            <v>1</v>
          </cell>
          <cell r="BZ12">
            <v>1</v>
          </cell>
          <cell r="CA12">
            <v>1</v>
          </cell>
          <cell r="CB12">
            <v>1</v>
          </cell>
          <cell r="CC12">
            <v>1</v>
          </cell>
          <cell r="CD12">
            <v>1</v>
          </cell>
          <cell r="CE12">
            <v>1</v>
          </cell>
          <cell r="CF12">
            <v>1</v>
          </cell>
          <cell r="CG12">
            <v>1</v>
          </cell>
          <cell r="CH12">
            <v>1</v>
          </cell>
          <cell r="CI12">
            <v>1</v>
          </cell>
          <cell r="CJ12">
            <v>1</v>
          </cell>
          <cell r="CK12">
            <v>1</v>
          </cell>
          <cell r="CL12">
            <v>1</v>
          </cell>
          <cell r="CM12">
            <v>1</v>
          </cell>
          <cell r="CN12">
            <v>1</v>
          </cell>
          <cell r="CO12">
            <v>1</v>
          </cell>
          <cell r="CP12">
            <v>1</v>
          </cell>
          <cell r="CQ12">
            <v>1</v>
          </cell>
          <cell r="CR12">
            <v>1</v>
          </cell>
          <cell r="CS12">
            <v>1</v>
          </cell>
          <cell r="CT12">
            <v>1</v>
          </cell>
          <cell r="CU12">
            <v>1</v>
          </cell>
          <cell r="CV12">
            <v>1</v>
          </cell>
          <cell r="CW12">
            <v>1</v>
          </cell>
          <cell r="CX12">
            <v>1</v>
          </cell>
          <cell r="CY12">
            <v>1</v>
          </cell>
          <cell r="CZ12">
            <v>1</v>
          </cell>
          <cell r="DA12">
            <v>1</v>
          </cell>
          <cell r="DB12">
            <v>1</v>
          </cell>
          <cell r="DC12">
            <v>1</v>
          </cell>
          <cell r="DD12">
            <v>1</v>
          </cell>
          <cell r="DE12">
            <v>1</v>
          </cell>
          <cell r="DF12">
            <v>1</v>
          </cell>
          <cell r="DG12">
            <v>1</v>
          </cell>
          <cell r="DH12">
            <v>1</v>
          </cell>
          <cell r="DI12">
            <v>1</v>
          </cell>
          <cell r="DJ12">
            <v>1</v>
          </cell>
          <cell r="DK12">
            <v>1</v>
          </cell>
          <cell r="DL12">
            <v>1</v>
          </cell>
          <cell r="DM12">
            <v>1</v>
          </cell>
          <cell r="DN12">
            <v>1</v>
          </cell>
          <cell r="DO12">
            <v>1</v>
          </cell>
          <cell r="DP12">
            <v>1</v>
          </cell>
          <cell r="DQ12">
            <v>1</v>
          </cell>
          <cell r="DR12">
            <v>1</v>
          </cell>
          <cell r="DS12">
            <v>1</v>
          </cell>
          <cell r="DT12">
            <v>1</v>
          </cell>
          <cell r="DU12">
            <v>1</v>
          </cell>
          <cell r="DV12">
            <v>1</v>
          </cell>
          <cell r="DW12">
            <v>1</v>
          </cell>
          <cell r="DX12">
            <v>1</v>
          </cell>
          <cell r="DY12">
            <v>1</v>
          </cell>
          <cell r="DZ12">
            <v>1</v>
          </cell>
          <cell r="EA12">
            <v>1</v>
          </cell>
          <cell r="EB12">
            <v>1</v>
          </cell>
          <cell r="EC12">
            <v>1</v>
          </cell>
          <cell r="ED12">
            <v>1</v>
          </cell>
          <cell r="EE12">
            <v>1</v>
          </cell>
          <cell r="EF12">
            <v>1</v>
          </cell>
          <cell r="EG12">
            <v>1</v>
          </cell>
          <cell r="EH12">
            <v>1</v>
          </cell>
          <cell r="EI12">
            <v>1</v>
          </cell>
          <cell r="EJ12">
            <v>1</v>
          </cell>
          <cell r="EK12">
            <v>1</v>
          </cell>
          <cell r="EL12">
            <v>1</v>
          </cell>
          <cell r="EM12">
            <v>1</v>
          </cell>
          <cell r="EN12">
            <v>1</v>
          </cell>
          <cell r="EO12">
            <v>1</v>
          </cell>
          <cell r="EP12">
            <v>1</v>
          </cell>
        </row>
        <row r="13">
          <cell r="A13" t="str">
            <v>TiO2 Production inflator</v>
          </cell>
          <cell r="B13" t="str">
            <v>%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J13">
            <v>1</v>
          </cell>
          <cell r="K13">
            <v>1</v>
          </cell>
          <cell r="L13">
            <v>1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1</v>
          </cell>
          <cell r="S13">
            <v>1</v>
          </cell>
          <cell r="T13">
            <v>1</v>
          </cell>
          <cell r="U13">
            <v>1</v>
          </cell>
          <cell r="V13">
            <v>1</v>
          </cell>
          <cell r="W13">
            <v>1</v>
          </cell>
          <cell r="X13">
            <v>1</v>
          </cell>
          <cell r="Y13">
            <v>1</v>
          </cell>
          <cell r="Z13">
            <v>1</v>
          </cell>
          <cell r="AA13">
            <v>1</v>
          </cell>
          <cell r="AB13">
            <v>1</v>
          </cell>
          <cell r="AC13">
            <v>1</v>
          </cell>
          <cell r="AD13">
            <v>1</v>
          </cell>
          <cell r="AE13">
            <v>1</v>
          </cell>
          <cell r="AF13">
            <v>1</v>
          </cell>
          <cell r="AG13">
            <v>1</v>
          </cell>
          <cell r="AH13">
            <v>1</v>
          </cell>
          <cell r="AI13">
            <v>1</v>
          </cell>
          <cell r="AJ13">
            <v>1</v>
          </cell>
          <cell r="AK13">
            <v>1</v>
          </cell>
          <cell r="AL13">
            <v>1</v>
          </cell>
          <cell r="AP13">
            <v>1</v>
          </cell>
          <cell r="AQ13">
            <v>1</v>
          </cell>
          <cell r="AR13">
            <v>1</v>
          </cell>
          <cell r="AS13">
            <v>1</v>
          </cell>
          <cell r="AT13">
            <v>1</v>
          </cell>
          <cell r="AU13">
            <v>1</v>
          </cell>
          <cell r="AV13">
            <v>1</v>
          </cell>
          <cell r="AW13">
            <v>1</v>
          </cell>
          <cell r="AX13">
            <v>1</v>
          </cell>
          <cell r="AY13">
            <v>1</v>
          </cell>
          <cell r="AZ13">
            <v>1</v>
          </cell>
          <cell r="BA13">
            <v>1</v>
          </cell>
          <cell r="BB13">
            <v>1</v>
          </cell>
          <cell r="BC13">
            <v>1</v>
          </cell>
          <cell r="BD13">
            <v>1</v>
          </cell>
          <cell r="BE13">
            <v>1</v>
          </cell>
          <cell r="BF13">
            <v>1</v>
          </cell>
          <cell r="BG13">
            <v>1</v>
          </cell>
          <cell r="BH13">
            <v>1</v>
          </cell>
          <cell r="BI13">
            <v>1</v>
          </cell>
          <cell r="BJ13">
            <v>1</v>
          </cell>
          <cell r="BK13">
            <v>1</v>
          </cell>
          <cell r="BL13">
            <v>1</v>
          </cell>
          <cell r="BM13">
            <v>1</v>
          </cell>
          <cell r="BN13">
            <v>1</v>
          </cell>
          <cell r="BO13">
            <v>1</v>
          </cell>
          <cell r="BP13">
            <v>1</v>
          </cell>
          <cell r="BQ13">
            <v>1</v>
          </cell>
          <cell r="BR13">
            <v>1</v>
          </cell>
          <cell r="BS13">
            <v>1</v>
          </cell>
          <cell r="BT13">
            <v>1</v>
          </cell>
          <cell r="BU13">
            <v>1</v>
          </cell>
          <cell r="BV13">
            <v>1</v>
          </cell>
          <cell r="BW13">
            <v>1</v>
          </cell>
          <cell r="BX13">
            <v>1</v>
          </cell>
          <cell r="BY13">
            <v>1</v>
          </cell>
          <cell r="BZ13">
            <v>1</v>
          </cell>
          <cell r="CA13">
            <v>1</v>
          </cell>
          <cell r="CB13">
            <v>1</v>
          </cell>
          <cell r="CC13">
            <v>1</v>
          </cell>
          <cell r="CD13">
            <v>1</v>
          </cell>
          <cell r="CE13">
            <v>1</v>
          </cell>
          <cell r="CF13">
            <v>1</v>
          </cell>
          <cell r="CG13">
            <v>1</v>
          </cell>
          <cell r="CH13">
            <v>1</v>
          </cell>
          <cell r="CI13">
            <v>1</v>
          </cell>
          <cell r="CJ13">
            <v>1</v>
          </cell>
          <cell r="CK13">
            <v>1</v>
          </cell>
          <cell r="CL13">
            <v>1</v>
          </cell>
          <cell r="CM13">
            <v>1</v>
          </cell>
          <cell r="CN13">
            <v>1</v>
          </cell>
          <cell r="CO13">
            <v>1</v>
          </cell>
          <cell r="CP13">
            <v>1</v>
          </cell>
          <cell r="CQ13">
            <v>1</v>
          </cell>
          <cell r="CR13">
            <v>1</v>
          </cell>
          <cell r="CS13">
            <v>1</v>
          </cell>
          <cell r="CT13">
            <v>1</v>
          </cell>
          <cell r="CU13">
            <v>1</v>
          </cell>
          <cell r="CV13">
            <v>1</v>
          </cell>
          <cell r="CW13">
            <v>1</v>
          </cell>
          <cell r="CX13">
            <v>1</v>
          </cell>
          <cell r="CY13">
            <v>1</v>
          </cell>
          <cell r="CZ13">
            <v>1</v>
          </cell>
          <cell r="DA13">
            <v>1</v>
          </cell>
          <cell r="DB13">
            <v>1</v>
          </cell>
          <cell r="DC13">
            <v>1</v>
          </cell>
          <cell r="DD13">
            <v>1</v>
          </cell>
          <cell r="DE13">
            <v>1</v>
          </cell>
          <cell r="DF13">
            <v>1</v>
          </cell>
          <cell r="DG13">
            <v>1</v>
          </cell>
          <cell r="DH13">
            <v>1</v>
          </cell>
          <cell r="DI13">
            <v>1</v>
          </cell>
          <cell r="DJ13">
            <v>1</v>
          </cell>
          <cell r="DK13">
            <v>1</v>
          </cell>
          <cell r="DL13">
            <v>1</v>
          </cell>
          <cell r="DM13">
            <v>1</v>
          </cell>
          <cell r="DN13">
            <v>1</v>
          </cell>
          <cell r="DO13">
            <v>1</v>
          </cell>
          <cell r="DP13">
            <v>1</v>
          </cell>
          <cell r="DQ13">
            <v>1</v>
          </cell>
          <cell r="DR13">
            <v>1</v>
          </cell>
          <cell r="DS13">
            <v>1</v>
          </cell>
          <cell r="DT13">
            <v>1</v>
          </cell>
          <cell r="DU13">
            <v>1</v>
          </cell>
          <cell r="DV13">
            <v>1</v>
          </cell>
          <cell r="DW13">
            <v>1</v>
          </cell>
          <cell r="DX13">
            <v>1</v>
          </cell>
          <cell r="DY13">
            <v>1</v>
          </cell>
          <cell r="DZ13">
            <v>1</v>
          </cell>
          <cell r="EA13">
            <v>1</v>
          </cell>
          <cell r="EB13">
            <v>1</v>
          </cell>
          <cell r="EC13">
            <v>1</v>
          </cell>
          <cell r="ED13">
            <v>1</v>
          </cell>
          <cell r="EE13">
            <v>1</v>
          </cell>
          <cell r="EF13">
            <v>1</v>
          </cell>
          <cell r="EG13">
            <v>1</v>
          </cell>
          <cell r="EH13">
            <v>1</v>
          </cell>
          <cell r="EI13">
            <v>1</v>
          </cell>
          <cell r="EJ13">
            <v>1</v>
          </cell>
          <cell r="EK13">
            <v>1</v>
          </cell>
          <cell r="EL13">
            <v>1</v>
          </cell>
          <cell r="EM13">
            <v>1</v>
          </cell>
          <cell r="EN13">
            <v>1</v>
          </cell>
          <cell r="EO13">
            <v>1</v>
          </cell>
          <cell r="EP13">
            <v>1</v>
          </cell>
        </row>
        <row r="14">
          <cell r="A14" t="str">
            <v>Operating Cost inflator</v>
          </cell>
          <cell r="B14" t="str">
            <v>%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J14">
            <v>1</v>
          </cell>
          <cell r="K14">
            <v>1</v>
          </cell>
          <cell r="L14">
            <v>1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1</v>
          </cell>
          <cell r="S14">
            <v>1</v>
          </cell>
          <cell r="T14">
            <v>1</v>
          </cell>
          <cell r="U14">
            <v>1</v>
          </cell>
          <cell r="V14">
            <v>1</v>
          </cell>
          <cell r="W14">
            <v>1</v>
          </cell>
          <cell r="X14">
            <v>1</v>
          </cell>
          <cell r="Y14">
            <v>1</v>
          </cell>
          <cell r="Z14">
            <v>1</v>
          </cell>
          <cell r="AA14">
            <v>1</v>
          </cell>
          <cell r="AB14">
            <v>1</v>
          </cell>
          <cell r="AC14">
            <v>1</v>
          </cell>
          <cell r="AD14">
            <v>1</v>
          </cell>
          <cell r="AE14">
            <v>1</v>
          </cell>
          <cell r="AF14">
            <v>1</v>
          </cell>
          <cell r="AG14">
            <v>1</v>
          </cell>
          <cell r="AH14">
            <v>1</v>
          </cell>
          <cell r="AI14">
            <v>1</v>
          </cell>
          <cell r="AJ14">
            <v>1</v>
          </cell>
          <cell r="AK14">
            <v>1</v>
          </cell>
          <cell r="AL14">
            <v>1</v>
          </cell>
          <cell r="AP14">
            <v>1</v>
          </cell>
          <cell r="AQ14">
            <v>1</v>
          </cell>
          <cell r="AR14">
            <v>1</v>
          </cell>
          <cell r="AS14">
            <v>1</v>
          </cell>
          <cell r="AT14">
            <v>1</v>
          </cell>
          <cell r="AU14">
            <v>1</v>
          </cell>
          <cell r="AV14">
            <v>1</v>
          </cell>
          <cell r="AW14">
            <v>1</v>
          </cell>
          <cell r="AX14">
            <v>1</v>
          </cell>
          <cell r="AY14">
            <v>1</v>
          </cell>
          <cell r="AZ14">
            <v>1</v>
          </cell>
          <cell r="BA14">
            <v>1</v>
          </cell>
          <cell r="BB14">
            <v>1</v>
          </cell>
          <cell r="BC14">
            <v>1</v>
          </cell>
          <cell r="BD14">
            <v>1</v>
          </cell>
          <cell r="BE14">
            <v>1</v>
          </cell>
          <cell r="BF14">
            <v>1</v>
          </cell>
          <cell r="BG14">
            <v>1</v>
          </cell>
          <cell r="BH14">
            <v>1</v>
          </cell>
          <cell r="BI14">
            <v>1</v>
          </cell>
          <cell r="BJ14">
            <v>1</v>
          </cell>
          <cell r="BK14">
            <v>1</v>
          </cell>
          <cell r="BL14">
            <v>1</v>
          </cell>
          <cell r="BM14">
            <v>1</v>
          </cell>
          <cell r="BN14">
            <v>1</v>
          </cell>
          <cell r="BO14">
            <v>1</v>
          </cell>
          <cell r="BP14">
            <v>1</v>
          </cell>
          <cell r="BQ14">
            <v>1</v>
          </cell>
          <cell r="BR14">
            <v>1</v>
          </cell>
          <cell r="BS14">
            <v>1</v>
          </cell>
          <cell r="BT14">
            <v>1</v>
          </cell>
          <cell r="BU14">
            <v>1</v>
          </cell>
          <cell r="BV14">
            <v>1</v>
          </cell>
          <cell r="BW14">
            <v>1</v>
          </cell>
          <cell r="BX14">
            <v>1</v>
          </cell>
          <cell r="BY14">
            <v>1</v>
          </cell>
          <cell r="BZ14">
            <v>1</v>
          </cell>
          <cell r="CA14">
            <v>1</v>
          </cell>
          <cell r="CB14">
            <v>1</v>
          </cell>
          <cell r="CC14">
            <v>1</v>
          </cell>
          <cell r="CD14">
            <v>1</v>
          </cell>
          <cell r="CE14">
            <v>1</v>
          </cell>
          <cell r="CF14">
            <v>1</v>
          </cell>
          <cell r="CG14">
            <v>1</v>
          </cell>
          <cell r="CH14">
            <v>1</v>
          </cell>
          <cell r="CI14">
            <v>1</v>
          </cell>
          <cell r="CJ14">
            <v>1</v>
          </cell>
          <cell r="CK14">
            <v>1</v>
          </cell>
          <cell r="CL14">
            <v>1</v>
          </cell>
          <cell r="CM14">
            <v>1</v>
          </cell>
          <cell r="CN14">
            <v>1</v>
          </cell>
          <cell r="CO14">
            <v>1</v>
          </cell>
          <cell r="CP14">
            <v>1</v>
          </cell>
          <cell r="CQ14">
            <v>1</v>
          </cell>
          <cell r="CR14">
            <v>1</v>
          </cell>
          <cell r="CS14">
            <v>1</v>
          </cell>
          <cell r="CT14">
            <v>1</v>
          </cell>
          <cell r="CU14">
            <v>1</v>
          </cell>
          <cell r="CV14">
            <v>1</v>
          </cell>
          <cell r="CW14">
            <v>1</v>
          </cell>
          <cell r="CX14">
            <v>1</v>
          </cell>
          <cell r="CY14">
            <v>1</v>
          </cell>
          <cell r="CZ14">
            <v>1</v>
          </cell>
          <cell r="DA14">
            <v>1</v>
          </cell>
          <cell r="DB14">
            <v>1</v>
          </cell>
          <cell r="DC14">
            <v>1</v>
          </cell>
          <cell r="DD14">
            <v>1</v>
          </cell>
          <cell r="DE14">
            <v>1</v>
          </cell>
          <cell r="DF14">
            <v>1</v>
          </cell>
          <cell r="DG14">
            <v>1</v>
          </cell>
          <cell r="DH14">
            <v>1</v>
          </cell>
          <cell r="DI14">
            <v>1</v>
          </cell>
          <cell r="DJ14">
            <v>1</v>
          </cell>
          <cell r="DK14">
            <v>1</v>
          </cell>
          <cell r="DL14">
            <v>1</v>
          </cell>
          <cell r="DM14">
            <v>1</v>
          </cell>
          <cell r="DN14">
            <v>1</v>
          </cell>
          <cell r="DO14">
            <v>1</v>
          </cell>
          <cell r="DP14">
            <v>1</v>
          </cell>
          <cell r="DQ14">
            <v>1</v>
          </cell>
          <cell r="DR14">
            <v>1</v>
          </cell>
          <cell r="DS14">
            <v>1</v>
          </cell>
          <cell r="DT14">
            <v>1</v>
          </cell>
          <cell r="DU14">
            <v>1</v>
          </cell>
          <cell r="DV14">
            <v>1</v>
          </cell>
          <cell r="DW14">
            <v>1</v>
          </cell>
          <cell r="DX14">
            <v>1</v>
          </cell>
          <cell r="DY14">
            <v>1</v>
          </cell>
          <cell r="DZ14">
            <v>1</v>
          </cell>
          <cell r="EA14">
            <v>1</v>
          </cell>
          <cell r="EB14">
            <v>1</v>
          </cell>
          <cell r="EC14">
            <v>1</v>
          </cell>
          <cell r="ED14">
            <v>1</v>
          </cell>
          <cell r="EE14">
            <v>1</v>
          </cell>
          <cell r="EF14">
            <v>1</v>
          </cell>
          <cell r="EG14">
            <v>1</v>
          </cell>
          <cell r="EH14">
            <v>1</v>
          </cell>
          <cell r="EI14">
            <v>1</v>
          </cell>
          <cell r="EJ14">
            <v>1</v>
          </cell>
          <cell r="EK14">
            <v>1</v>
          </cell>
          <cell r="EL14">
            <v>1</v>
          </cell>
          <cell r="EM14">
            <v>1</v>
          </cell>
          <cell r="EN14">
            <v>1</v>
          </cell>
          <cell r="EO14">
            <v>1</v>
          </cell>
          <cell r="EP14">
            <v>1</v>
          </cell>
        </row>
        <row r="15">
          <cell r="A15" t="str">
            <v>Capex inflator</v>
          </cell>
          <cell r="B15" t="str">
            <v>%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1</v>
          </cell>
          <cell r="S15">
            <v>1</v>
          </cell>
          <cell r="T15">
            <v>1</v>
          </cell>
          <cell r="U15">
            <v>1</v>
          </cell>
          <cell r="V15">
            <v>1</v>
          </cell>
          <cell r="W15">
            <v>1</v>
          </cell>
          <cell r="X15">
            <v>1</v>
          </cell>
          <cell r="Y15">
            <v>1</v>
          </cell>
          <cell r="Z15">
            <v>1</v>
          </cell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P15">
            <v>1</v>
          </cell>
          <cell r="AQ15">
            <v>1</v>
          </cell>
          <cell r="AR15">
            <v>1</v>
          </cell>
          <cell r="AS15">
            <v>1</v>
          </cell>
          <cell r="AT15">
            <v>1</v>
          </cell>
          <cell r="AU15">
            <v>1</v>
          </cell>
          <cell r="AV15">
            <v>1</v>
          </cell>
          <cell r="AW15">
            <v>1</v>
          </cell>
          <cell r="AX15">
            <v>1</v>
          </cell>
          <cell r="AY15">
            <v>1</v>
          </cell>
          <cell r="AZ15">
            <v>1</v>
          </cell>
          <cell r="BA15">
            <v>1</v>
          </cell>
          <cell r="BB15">
            <v>1</v>
          </cell>
          <cell r="BC15">
            <v>1</v>
          </cell>
          <cell r="BD15">
            <v>1</v>
          </cell>
          <cell r="BE15">
            <v>1</v>
          </cell>
          <cell r="BF15">
            <v>1</v>
          </cell>
          <cell r="BG15">
            <v>1</v>
          </cell>
          <cell r="BH15">
            <v>1</v>
          </cell>
          <cell r="BI15">
            <v>1</v>
          </cell>
          <cell r="BJ15">
            <v>1</v>
          </cell>
          <cell r="BK15">
            <v>1</v>
          </cell>
          <cell r="BL15">
            <v>1</v>
          </cell>
          <cell r="BM15">
            <v>1</v>
          </cell>
          <cell r="BN15">
            <v>1</v>
          </cell>
          <cell r="BO15">
            <v>1</v>
          </cell>
          <cell r="BP15">
            <v>1</v>
          </cell>
          <cell r="BQ15">
            <v>1</v>
          </cell>
          <cell r="BR15">
            <v>1</v>
          </cell>
          <cell r="BS15">
            <v>1</v>
          </cell>
          <cell r="BT15">
            <v>1</v>
          </cell>
          <cell r="BU15">
            <v>1</v>
          </cell>
          <cell r="BV15">
            <v>1</v>
          </cell>
          <cell r="BW15">
            <v>1</v>
          </cell>
          <cell r="BX15">
            <v>1</v>
          </cell>
          <cell r="BY15">
            <v>1</v>
          </cell>
          <cell r="BZ15">
            <v>1</v>
          </cell>
          <cell r="CA15">
            <v>1</v>
          </cell>
          <cell r="CB15">
            <v>1</v>
          </cell>
          <cell r="CC15">
            <v>1</v>
          </cell>
          <cell r="CD15">
            <v>1</v>
          </cell>
          <cell r="CE15">
            <v>1</v>
          </cell>
          <cell r="CF15">
            <v>1</v>
          </cell>
          <cell r="CG15">
            <v>1</v>
          </cell>
          <cell r="CH15">
            <v>1</v>
          </cell>
          <cell r="CI15">
            <v>1</v>
          </cell>
          <cell r="CJ15">
            <v>1</v>
          </cell>
          <cell r="CK15">
            <v>1</v>
          </cell>
          <cell r="CL15">
            <v>1</v>
          </cell>
          <cell r="CM15">
            <v>1</v>
          </cell>
          <cell r="CN15">
            <v>1</v>
          </cell>
          <cell r="CO15">
            <v>1</v>
          </cell>
          <cell r="CP15">
            <v>1</v>
          </cell>
          <cell r="CQ15">
            <v>1</v>
          </cell>
          <cell r="CR15">
            <v>1</v>
          </cell>
          <cell r="CS15">
            <v>1</v>
          </cell>
          <cell r="CT15">
            <v>1</v>
          </cell>
          <cell r="CU15">
            <v>1</v>
          </cell>
          <cell r="CV15">
            <v>1</v>
          </cell>
          <cell r="CW15">
            <v>1</v>
          </cell>
          <cell r="CX15">
            <v>1</v>
          </cell>
          <cell r="CY15">
            <v>1</v>
          </cell>
          <cell r="CZ15">
            <v>1</v>
          </cell>
          <cell r="DA15">
            <v>1</v>
          </cell>
          <cell r="DB15">
            <v>1</v>
          </cell>
          <cell r="DC15">
            <v>1</v>
          </cell>
          <cell r="DD15">
            <v>1</v>
          </cell>
          <cell r="DE15">
            <v>1</v>
          </cell>
          <cell r="DF15">
            <v>1</v>
          </cell>
          <cell r="DG15">
            <v>1</v>
          </cell>
          <cell r="DH15">
            <v>1</v>
          </cell>
          <cell r="DI15">
            <v>1</v>
          </cell>
          <cell r="DJ15">
            <v>1</v>
          </cell>
          <cell r="DK15">
            <v>1</v>
          </cell>
          <cell r="DL15">
            <v>1</v>
          </cell>
          <cell r="DM15">
            <v>1</v>
          </cell>
          <cell r="DN15">
            <v>1</v>
          </cell>
          <cell r="DO15">
            <v>1</v>
          </cell>
          <cell r="DP15">
            <v>1</v>
          </cell>
          <cell r="DQ15">
            <v>1</v>
          </cell>
          <cell r="DR15">
            <v>1</v>
          </cell>
          <cell r="DS15">
            <v>1</v>
          </cell>
          <cell r="DT15">
            <v>1</v>
          </cell>
          <cell r="DU15">
            <v>1</v>
          </cell>
          <cell r="DV15">
            <v>1</v>
          </cell>
          <cell r="DW15">
            <v>1</v>
          </cell>
          <cell r="DX15">
            <v>1</v>
          </cell>
          <cell r="DY15">
            <v>1</v>
          </cell>
          <cell r="DZ15">
            <v>1</v>
          </cell>
          <cell r="EA15">
            <v>1</v>
          </cell>
          <cell r="EB15">
            <v>1</v>
          </cell>
          <cell r="EC15">
            <v>1</v>
          </cell>
          <cell r="ED15">
            <v>1</v>
          </cell>
          <cell r="EE15">
            <v>1</v>
          </cell>
          <cell r="EF15">
            <v>1</v>
          </cell>
          <cell r="EG15">
            <v>1</v>
          </cell>
          <cell r="EH15">
            <v>1</v>
          </cell>
          <cell r="EI15">
            <v>1</v>
          </cell>
          <cell r="EJ15">
            <v>1</v>
          </cell>
          <cell r="EK15">
            <v>1</v>
          </cell>
          <cell r="EL15">
            <v>1</v>
          </cell>
          <cell r="EM15">
            <v>1</v>
          </cell>
          <cell r="EN15">
            <v>1</v>
          </cell>
          <cell r="EO15">
            <v>1</v>
          </cell>
          <cell r="EP15">
            <v>1</v>
          </cell>
        </row>
        <row r="17">
          <cell r="A17" t="str">
            <v>Eucla Reserves and Resources</v>
          </cell>
          <cell r="B17" t="str">
            <v>.</v>
          </cell>
          <cell r="C17" t="str">
            <v>.</v>
          </cell>
          <cell r="D17" t="str">
            <v>.</v>
          </cell>
          <cell r="E17" t="str">
            <v>.</v>
          </cell>
          <cell r="F17" t="str">
            <v>.</v>
          </cell>
          <cell r="G17" t="str">
            <v>.</v>
          </cell>
          <cell r="H17" t="str">
            <v>.</v>
          </cell>
          <cell r="I17" t="str">
            <v>.</v>
          </cell>
          <cell r="J17" t="str">
            <v>.</v>
          </cell>
          <cell r="K17" t="str">
            <v>.</v>
          </cell>
          <cell r="L17" t="str">
            <v>.</v>
          </cell>
          <cell r="M17" t="str">
            <v>.</v>
          </cell>
          <cell r="N17" t="str">
            <v>.</v>
          </cell>
          <cell r="O17" t="str">
            <v>.</v>
          </cell>
          <cell r="P17" t="str">
            <v>.</v>
          </cell>
          <cell r="Q17" t="str">
            <v>.</v>
          </cell>
          <cell r="R17" t="str">
            <v>.</v>
          </cell>
          <cell r="S17" t="str">
            <v>.</v>
          </cell>
          <cell r="T17" t="str">
            <v>.</v>
          </cell>
          <cell r="U17" t="str">
            <v>.</v>
          </cell>
          <cell r="V17" t="str">
            <v>.</v>
          </cell>
          <cell r="W17" t="str">
            <v>.</v>
          </cell>
          <cell r="X17" t="str">
            <v>.</v>
          </cell>
          <cell r="Y17" t="str">
            <v>.</v>
          </cell>
          <cell r="Z17" t="str">
            <v>.</v>
          </cell>
          <cell r="AA17" t="str">
            <v>.</v>
          </cell>
          <cell r="AB17" t="str">
            <v>.</v>
          </cell>
          <cell r="AC17" t="str">
            <v>.</v>
          </cell>
          <cell r="AD17" t="str">
            <v>.</v>
          </cell>
          <cell r="AE17" t="str">
            <v>.</v>
          </cell>
          <cell r="AF17" t="str">
            <v>.</v>
          </cell>
          <cell r="AG17" t="str">
            <v>.</v>
          </cell>
          <cell r="AH17" t="str">
            <v>.</v>
          </cell>
          <cell r="AI17" t="str">
            <v>.</v>
          </cell>
          <cell r="AJ17" t="str">
            <v>.</v>
          </cell>
          <cell r="AK17" t="str">
            <v>.</v>
          </cell>
          <cell r="AL17" t="str">
            <v>.</v>
          </cell>
          <cell r="AM17" t="str">
            <v>.</v>
          </cell>
          <cell r="AN17" t="str">
            <v>.</v>
          </cell>
          <cell r="AO17" t="str">
            <v>.</v>
          </cell>
          <cell r="AP17" t="str">
            <v>.</v>
          </cell>
          <cell r="AQ17" t="str">
            <v>.</v>
          </cell>
          <cell r="AR17" t="str">
            <v>.</v>
          </cell>
          <cell r="AS17" t="str">
            <v>.</v>
          </cell>
          <cell r="AT17" t="str">
            <v>.</v>
          </cell>
          <cell r="AU17" t="str">
            <v>.</v>
          </cell>
          <cell r="AV17" t="str">
            <v>.</v>
          </cell>
          <cell r="AW17" t="str">
            <v>.</v>
          </cell>
          <cell r="AX17" t="str">
            <v>.</v>
          </cell>
          <cell r="AY17" t="str">
            <v>.</v>
          </cell>
          <cell r="AZ17" t="str">
            <v>.</v>
          </cell>
          <cell r="BA17" t="str">
            <v>.</v>
          </cell>
          <cell r="BB17" t="str">
            <v>.</v>
          </cell>
          <cell r="BC17" t="str">
            <v>.</v>
          </cell>
          <cell r="BD17" t="str">
            <v>.</v>
          </cell>
          <cell r="BE17" t="str">
            <v>.</v>
          </cell>
          <cell r="BF17" t="str">
            <v>.</v>
          </cell>
          <cell r="BG17" t="str">
            <v>.</v>
          </cell>
          <cell r="BH17" t="str">
            <v>.</v>
          </cell>
          <cell r="BI17" t="str">
            <v>.</v>
          </cell>
          <cell r="BJ17" t="str">
            <v>.</v>
          </cell>
          <cell r="BK17" t="str">
            <v>.</v>
          </cell>
          <cell r="BL17" t="str">
            <v>.</v>
          </cell>
          <cell r="BM17" t="str">
            <v>.</v>
          </cell>
          <cell r="BN17" t="str">
            <v>.</v>
          </cell>
          <cell r="BO17" t="str">
            <v>.</v>
          </cell>
          <cell r="BP17" t="str">
            <v>.</v>
          </cell>
          <cell r="BQ17" t="str">
            <v>.</v>
          </cell>
          <cell r="BR17" t="str">
            <v>.</v>
          </cell>
          <cell r="BS17" t="str">
            <v>.</v>
          </cell>
          <cell r="BT17" t="str">
            <v>.</v>
          </cell>
          <cell r="BU17" t="str">
            <v>.</v>
          </cell>
          <cell r="BV17" t="str">
            <v>.</v>
          </cell>
          <cell r="BW17" t="str">
            <v>.</v>
          </cell>
          <cell r="BX17" t="str">
            <v>.</v>
          </cell>
          <cell r="BY17" t="str">
            <v>.</v>
          </cell>
          <cell r="BZ17" t="str">
            <v>.</v>
          </cell>
          <cell r="CA17" t="str">
            <v>.</v>
          </cell>
          <cell r="CB17" t="str">
            <v>.</v>
          </cell>
          <cell r="CC17" t="str">
            <v>.</v>
          </cell>
          <cell r="CD17" t="str">
            <v>.</v>
          </cell>
          <cell r="CE17" t="str">
            <v>.</v>
          </cell>
          <cell r="CF17" t="str">
            <v>.</v>
          </cell>
          <cell r="CG17" t="str">
            <v>.</v>
          </cell>
          <cell r="CH17" t="str">
            <v>.</v>
          </cell>
          <cell r="CI17" t="str">
            <v>.</v>
          </cell>
          <cell r="CJ17" t="str">
            <v>.</v>
          </cell>
          <cell r="CK17" t="str">
            <v>.</v>
          </cell>
          <cell r="CL17" t="str">
            <v>.</v>
          </cell>
          <cell r="CM17" t="str">
            <v>.</v>
          </cell>
          <cell r="CN17" t="str">
            <v>.</v>
          </cell>
          <cell r="CO17" t="str">
            <v>.</v>
          </cell>
          <cell r="CP17" t="str">
            <v>.</v>
          </cell>
          <cell r="CQ17" t="str">
            <v>.</v>
          </cell>
          <cell r="CR17" t="str">
            <v>.</v>
          </cell>
          <cell r="CS17" t="str">
            <v>.</v>
          </cell>
          <cell r="CT17" t="str">
            <v>.</v>
          </cell>
          <cell r="CU17" t="str">
            <v>.</v>
          </cell>
          <cell r="CV17" t="str">
            <v>.</v>
          </cell>
          <cell r="CW17" t="str">
            <v>.</v>
          </cell>
          <cell r="CX17" t="str">
            <v>.</v>
          </cell>
          <cell r="CY17" t="str">
            <v>.</v>
          </cell>
          <cell r="CZ17" t="str">
            <v>.</v>
          </cell>
          <cell r="DA17" t="str">
            <v>.</v>
          </cell>
          <cell r="DB17" t="str">
            <v>.</v>
          </cell>
          <cell r="DC17" t="str">
            <v>.</v>
          </cell>
          <cell r="DD17" t="str">
            <v>.</v>
          </cell>
          <cell r="DE17" t="str">
            <v>.</v>
          </cell>
          <cell r="DF17" t="str">
            <v>.</v>
          </cell>
          <cell r="DG17" t="str">
            <v>.</v>
          </cell>
          <cell r="DH17" t="str">
            <v>.</v>
          </cell>
          <cell r="DI17" t="str">
            <v>.</v>
          </cell>
          <cell r="DJ17" t="str">
            <v>.</v>
          </cell>
          <cell r="DK17" t="str">
            <v>.</v>
          </cell>
          <cell r="DL17" t="str">
            <v>.</v>
          </cell>
          <cell r="DM17" t="str">
            <v>.</v>
          </cell>
          <cell r="DN17" t="str">
            <v>.</v>
          </cell>
          <cell r="DO17" t="str">
            <v>.</v>
          </cell>
          <cell r="DP17" t="str">
            <v>.</v>
          </cell>
          <cell r="DQ17" t="str">
            <v>.</v>
          </cell>
          <cell r="DR17" t="str">
            <v>.</v>
          </cell>
          <cell r="DS17" t="str">
            <v>.</v>
          </cell>
          <cell r="DT17" t="str">
            <v>.</v>
          </cell>
          <cell r="DU17" t="str">
            <v>.</v>
          </cell>
          <cell r="DV17" t="str">
            <v>.</v>
          </cell>
          <cell r="DW17" t="str">
            <v>.</v>
          </cell>
          <cell r="DX17" t="str">
            <v>.</v>
          </cell>
          <cell r="DY17" t="str">
            <v>.</v>
          </cell>
          <cell r="DZ17" t="str">
            <v>.</v>
          </cell>
          <cell r="EA17" t="str">
            <v>.</v>
          </cell>
          <cell r="EB17" t="str">
            <v>.</v>
          </cell>
          <cell r="EC17" t="str">
            <v>.</v>
          </cell>
          <cell r="ED17" t="str">
            <v>.</v>
          </cell>
          <cell r="EE17" t="str">
            <v>.</v>
          </cell>
          <cell r="EF17" t="str">
            <v>.</v>
          </cell>
          <cell r="EG17" t="str">
            <v>.</v>
          </cell>
          <cell r="EH17" t="str">
            <v>.</v>
          </cell>
          <cell r="EI17" t="str">
            <v>.</v>
          </cell>
          <cell r="EJ17" t="str">
            <v>.</v>
          </cell>
          <cell r="EK17" t="str">
            <v>.</v>
          </cell>
          <cell r="EL17" t="str">
            <v>.</v>
          </cell>
          <cell r="EM17" t="str">
            <v>.</v>
          </cell>
          <cell r="EN17" t="str">
            <v>.</v>
          </cell>
          <cell r="EO17" t="str">
            <v>.</v>
          </cell>
          <cell r="EP17" t="str">
            <v>.</v>
          </cell>
        </row>
        <row r="18">
          <cell r="A18" t="str">
            <v>Reserves</v>
          </cell>
        </row>
        <row r="19">
          <cell r="A19" t="str">
            <v>Ore Tonnes</v>
          </cell>
          <cell r="B19" t="str">
            <v>Mt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97.7</v>
          </cell>
          <cell r="M19">
            <v>107.1</v>
          </cell>
          <cell r="N19">
            <v>97.843999999999994</v>
          </cell>
          <cell r="O19">
            <v>88.587999999999994</v>
          </cell>
          <cell r="P19">
            <v>79.331999999999994</v>
          </cell>
          <cell r="Q19">
            <v>70.075999999999993</v>
          </cell>
          <cell r="R19">
            <v>60.819999999999993</v>
          </cell>
          <cell r="S19">
            <v>51.563999999999993</v>
          </cell>
          <cell r="T19">
            <v>42.307999999999993</v>
          </cell>
          <cell r="U19">
            <v>33.051999999999992</v>
          </cell>
          <cell r="V19">
            <v>23.795999999999992</v>
          </cell>
          <cell r="W19">
            <v>14.539999999999992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BP19">
            <v>97.7</v>
          </cell>
          <cell r="BQ19">
            <v>93.109400000000008</v>
          </cell>
          <cell r="BR19">
            <v>88.078400000000002</v>
          </cell>
          <cell r="BS19">
            <v>107.1</v>
          </cell>
          <cell r="BT19">
            <v>102.47199999999999</v>
          </cell>
          <cell r="BU19">
            <v>97.843999999999994</v>
          </cell>
          <cell r="BV19">
            <v>97.843999999999994</v>
          </cell>
          <cell r="BW19">
            <v>93.215999999999994</v>
          </cell>
          <cell r="BX19">
            <v>88.587999999999994</v>
          </cell>
          <cell r="BY19">
            <v>88.587999999999994</v>
          </cell>
          <cell r="BZ19">
            <v>83.96</v>
          </cell>
          <cell r="CA19">
            <v>79.331999999999994</v>
          </cell>
          <cell r="CB19">
            <v>79.331999999999994</v>
          </cell>
          <cell r="CC19">
            <v>74.703999999999994</v>
          </cell>
          <cell r="CD19">
            <v>70.075999999999993</v>
          </cell>
          <cell r="CE19">
            <v>70.075999999999993</v>
          </cell>
          <cell r="CF19">
            <v>65.447999999999993</v>
          </cell>
          <cell r="CG19">
            <v>60.819999999999993</v>
          </cell>
          <cell r="CH19">
            <v>60.819999999999993</v>
          </cell>
          <cell r="CI19">
            <v>56.191999999999993</v>
          </cell>
          <cell r="CJ19">
            <v>51.563999999999993</v>
          </cell>
          <cell r="CK19">
            <v>51.563999999999993</v>
          </cell>
          <cell r="CL19">
            <v>46.935999999999993</v>
          </cell>
          <cell r="CM19">
            <v>42.307999999999993</v>
          </cell>
          <cell r="CN19">
            <v>42.307999999999993</v>
          </cell>
          <cell r="CO19">
            <v>37.679999999999993</v>
          </cell>
          <cell r="CP19">
            <v>33.051999999999992</v>
          </cell>
          <cell r="CQ19">
            <v>33.051999999999992</v>
          </cell>
          <cell r="CR19">
            <v>28.423999999999992</v>
          </cell>
          <cell r="CS19">
            <v>23.795999999999992</v>
          </cell>
          <cell r="CT19">
            <v>23.795999999999992</v>
          </cell>
          <cell r="CU19">
            <v>19.167999999999992</v>
          </cell>
          <cell r="CV19">
            <v>14.539999999999992</v>
          </cell>
          <cell r="CW19">
            <v>14.539999999999992</v>
          </cell>
        </row>
        <row r="20">
          <cell r="A20" t="str">
            <v>HM Tonnes</v>
          </cell>
          <cell r="B20" t="str">
            <v>Mt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6.37</v>
          </cell>
          <cell r="M20">
            <v>6.4</v>
          </cell>
          <cell r="N20">
            <v>5.636000000000001</v>
          </cell>
          <cell r="O20">
            <v>4.9060000000000006</v>
          </cell>
          <cell r="P20">
            <v>4.1760000000000002</v>
          </cell>
          <cell r="Q20">
            <v>3.4459999999999997</v>
          </cell>
          <cell r="R20">
            <v>2.6429999999999998</v>
          </cell>
          <cell r="S20">
            <v>1.8399999999999999</v>
          </cell>
          <cell r="T20">
            <v>1.0369999999999999</v>
          </cell>
          <cell r="U20">
            <v>0.23399999999999976</v>
          </cell>
          <cell r="V20">
            <v>-0.56900000000000039</v>
          </cell>
          <cell r="W20">
            <v>-1.3720000000000006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BP20">
            <v>6.37</v>
          </cell>
          <cell r="BQ20">
            <v>6.0631000000000004</v>
          </cell>
          <cell r="BR20">
            <v>5.7417000000000007</v>
          </cell>
          <cell r="BS20">
            <v>6.4</v>
          </cell>
          <cell r="BT20">
            <v>6.0180000000000007</v>
          </cell>
          <cell r="BU20">
            <v>5.636000000000001</v>
          </cell>
          <cell r="BV20">
            <v>5.636000000000001</v>
          </cell>
          <cell r="BW20">
            <v>5.2710000000000008</v>
          </cell>
          <cell r="BX20">
            <v>4.9060000000000006</v>
          </cell>
          <cell r="BY20">
            <v>4.9060000000000006</v>
          </cell>
          <cell r="BZ20">
            <v>4.5410000000000004</v>
          </cell>
          <cell r="CA20">
            <v>4.1760000000000002</v>
          </cell>
          <cell r="CB20">
            <v>4.1760000000000002</v>
          </cell>
          <cell r="CC20">
            <v>3.8109999999999999</v>
          </cell>
          <cell r="CD20">
            <v>3.4459999999999997</v>
          </cell>
          <cell r="CE20">
            <v>3.4459999999999997</v>
          </cell>
          <cell r="CF20">
            <v>3.0444999999999998</v>
          </cell>
          <cell r="CG20">
            <v>2.6429999999999998</v>
          </cell>
          <cell r="CH20">
            <v>2.6429999999999998</v>
          </cell>
          <cell r="CI20">
            <v>2.2414999999999998</v>
          </cell>
          <cell r="CJ20">
            <v>1.8399999999999999</v>
          </cell>
          <cell r="CK20">
            <v>1.8399999999999999</v>
          </cell>
          <cell r="CL20">
            <v>1.4384999999999999</v>
          </cell>
          <cell r="CM20">
            <v>1.0369999999999999</v>
          </cell>
          <cell r="CN20">
            <v>1.0369999999999999</v>
          </cell>
          <cell r="CO20">
            <v>0.63549999999999984</v>
          </cell>
          <cell r="CP20">
            <v>0.23399999999999976</v>
          </cell>
          <cell r="CQ20">
            <v>0.23399999999999976</v>
          </cell>
          <cell r="CR20">
            <v>-0.16750000000000032</v>
          </cell>
          <cell r="CS20">
            <v>-0.56900000000000039</v>
          </cell>
          <cell r="CT20">
            <v>-0.56900000000000039</v>
          </cell>
          <cell r="CU20">
            <v>-0.97050000000000047</v>
          </cell>
          <cell r="CV20">
            <v>-1.3720000000000006</v>
          </cell>
          <cell r="CW20">
            <v>-1.3720000000000006</v>
          </cell>
        </row>
        <row r="21">
          <cell r="A21" t="str">
            <v>HM Grade</v>
          </cell>
          <cell r="B21" t="str">
            <v>%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6.5000000000000002E-2</v>
          </cell>
          <cell r="M21">
            <v>0.06</v>
          </cell>
          <cell r="N21">
            <v>0.06</v>
          </cell>
          <cell r="O21">
            <v>0.06</v>
          </cell>
          <cell r="P21">
            <v>0.06</v>
          </cell>
          <cell r="Q21">
            <v>0.06</v>
          </cell>
          <cell r="R21">
            <v>0.06</v>
          </cell>
          <cell r="S21">
            <v>0.06</v>
          </cell>
          <cell r="T21">
            <v>0.06</v>
          </cell>
          <cell r="U21">
            <v>0.06</v>
          </cell>
          <cell r="V21">
            <v>0.06</v>
          </cell>
          <cell r="W21">
            <v>0.06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BP21">
            <v>6.5000000000000002E-2</v>
          </cell>
          <cell r="BQ21">
            <v>6.5000000000000002E-2</v>
          </cell>
          <cell r="BR21">
            <v>6.5000000000000002E-2</v>
          </cell>
          <cell r="BS21">
            <v>0.06</v>
          </cell>
          <cell r="BT21">
            <v>0.06</v>
          </cell>
          <cell r="BU21">
            <v>0.06</v>
          </cell>
          <cell r="BV21">
            <v>0.06</v>
          </cell>
          <cell r="BW21">
            <v>0.06</v>
          </cell>
          <cell r="BX21">
            <v>0.06</v>
          </cell>
          <cell r="BY21">
            <v>0.06</v>
          </cell>
          <cell r="BZ21">
            <v>0.06</v>
          </cell>
          <cell r="CA21">
            <v>0.06</v>
          </cell>
          <cell r="CB21">
            <v>0.06</v>
          </cell>
          <cell r="CC21">
            <v>0.06</v>
          </cell>
          <cell r="CD21">
            <v>0.06</v>
          </cell>
          <cell r="CE21">
            <v>0.06</v>
          </cell>
          <cell r="CF21">
            <v>0.06</v>
          </cell>
          <cell r="CG21">
            <v>0.06</v>
          </cell>
          <cell r="CH21">
            <v>0.06</v>
          </cell>
          <cell r="CI21">
            <v>0.06</v>
          </cell>
          <cell r="CJ21">
            <v>0.06</v>
          </cell>
          <cell r="CK21">
            <v>0.06</v>
          </cell>
          <cell r="CL21">
            <v>0.06</v>
          </cell>
          <cell r="CM21">
            <v>0.06</v>
          </cell>
          <cell r="CN21">
            <v>0.06</v>
          </cell>
          <cell r="CO21">
            <v>0.06</v>
          </cell>
          <cell r="CP21">
            <v>0.06</v>
          </cell>
          <cell r="CQ21">
            <v>0.06</v>
          </cell>
          <cell r="CR21">
            <v>0.06</v>
          </cell>
          <cell r="CS21">
            <v>0.06</v>
          </cell>
          <cell r="CT21">
            <v>0.06</v>
          </cell>
          <cell r="CU21">
            <v>0.06</v>
          </cell>
          <cell r="CV21">
            <v>0.06</v>
          </cell>
          <cell r="CW21">
            <v>0.06</v>
          </cell>
        </row>
        <row r="22">
          <cell r="A22" t="str">
            <v>Ilmenite grade</v>
          </cell>
          <cell r="B22" t="str">
            <v>%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0.28000000000000003</v>
          </cell>
          <cell r="M22">
            <v>0.28999999999999998</v>
          </cell>
          <cell r="N22">
            <v>0.28999999999999998</v>
          </cell>
          <cell r="O22">
            <v>0.28999999999999998</v>
          </cell>
          <cell r="P22">
            <v>0.28999999999999998</v>
          </cell>
          <cell r="Q22">
            <v>0.28999999999999998</v>
          </cell>
          <cell r="R22">
            <v>0.28999999999999998</v>
          </cell>
          <cell r="S22">
            <v>0.28999999999999998</v>
          </cell>
          <cell r="T22">
            <v>0.28999999999999998</v>
          </cell>
          <cell r="U22">
            <v>0.28999999999999998</v>
          </cell>
          <cell r="V22">
            <v>0.28999999999999998</v>
          </cell>
          <cell r="W22">
            <v>0.28999999999999998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BP22">
            <v>0.28000000000000003</v>
          </cell>
          <cell r="BQ22">
            <v>0.28000000000000003</v>
          </cell>
          <cell r="BR22">
            <v>0.28000000000000003</v>
          </cell>
          <cell r="BS22">
            <v>0.28999999999999998</v>
          </cell>
          <cell r="BT22">
            <v>0.28999999999999998</v>
          </cell>
          <cell r="BU22">
            <v>0.28999999999999998</v>
          </cell>
          <cell r="BV22">
            <v>0.28999999999999998</v>
          </cell>
          <cell r="BW22">
            <v>0.28999999999999998</v>
          </cell>
          <cell r="BX22">
            <v>0.28999999999999998</v>
          </cell>
          <cell r="BY22">
            <v>0.28999999999999998</v>
          </cell>
          <cell r="BZ22">
            <v>0.28999999999999998</v>
          </cell>
          <cell r="CA22">
            <v>0.28999999999999998</v>
          </cell>
          <cell r="CB22">
            <v>0.28999999999999998</v>
          </cell>
          <cell r="CC22">
            <v>0.28999999999999998</v>
          </cell>
          <cell r="CD22">
            <v>0.28999999999999998</v>
          </cell>
          <cell r="CE22">
            <v>0.28999999999999998</v>
          </cell>
          <cell r="CF22">
            <v>0.28999999999999998</v>
          </cell>
          <cell r="CG22">
            <v>0.28999999999999998</v>
          </cell>
          <cell r="CH22">
            <v>0.28999999999999998</v>
          </cell>
          <cell r="CI22">
            <v>0.28999999999999998</v>
          </cell>
          <cell r="CJ22">
            <v>0.28999999999999998</v>
          </cell>
          <cell r="CK22">
            <v>0.28999999999999998</v>
          </cell>
          <cell r="CL22">
            <v>0.28999999999999998</v>
          </cell>
          <cell r="CM22">
            <v>0.28999999999999998</v>
          </cell>
          <cell r="CN22">
            <v>0.28999999999999998</v>
          </cell>
          <cell r="CO22">
            <v>0.28999999999999998</v>
          </cell>
          <cell r="CP22">
            <v>0.28999999999999998</v>
          </cell>
          <cell r="CQ22">
            <v>0.28999999999999998</v>
          </cell>
          <cell r="CR22">
            <v>0.28999999999999998</v>
          </cell>
          <cell r="CS22">
            <v>0.28999999999999998</v>
          </cell>
          <cell r="CT22">
            <v>0.28999999999999998</v>
          </cell>
          <cell r="CU22">
            <v>0.28999999999999998</v>
          </cell>
          <cell r="CV22">
            <v>0.28999999999999998</v>
          </cell>
          <cell r="CW22">
            <v>0.28999999999999998</v>
          </cell>
        </row>
        <row r="23">
          <cell r="A23" t="str">
            <v>Zircon grade</v>
          </cell>
          <cell r="B23" t="str">
            <v>%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0.5</v>
          </cell>
          <cell r="M23">
            <v>0.51</v>
          </cell>
          <cell r="N23">
            <v>0.51</v>
          </cell>
          <cell r="O23">
            <v>0.51</v>
          </cell>
          <cell r="P23">
            <v>0.51</v>
          </cell>
          <cell r="Q23">
            <v>0.51</v>
          </cell>
          <cell r="R23">
            <v>0.51</v>
          </cell>
          <cell r="S23">
            <v>0.51</v>
          </cell>
          <cell r="T23">
            <v>0.51</v>
          </cell>
          <cell r="U23">
            <v>0.51</v>
          </cell>
          <cell r="V23">
            <v>0.51</v>
          </cell>
          <cell r="W23">
            <v>0.51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BP23">
            <v>0.5</v>
          </cell>
          <cell r="BQ23">
            <v>0.5</v>
          </cell>
          <cell r="BR23">
            <v>0.5</v>
          </cell>
          <cell r="BS23">
            <v>0.51</v>
          </cell>
          <cell r="BT23">
            <v>0.51</v>
          </cell>
          <cell r="BU23">
            <v>0.51</v>
          </cell>
          <cell r="BV23">
            <v>0.51</v>
          </cell>
          <cell r="BW23">
            <v>0.51</v>
          </cell>
          <cell r="BX23">
            <v>0.51</v>
          </cell>
          <cell r="BY23">
            <v>0.51</v>
          </cell>
          <cell r="BZ23">
            <v>0.51</v>
          </cell>
          <cell r="CA23">
            <v>0.51</v>
          </cell>
          <cell r="CB23">
            <v>0.51</v>
          </cell>
          <cell r="CC23">
            <v>0.51</v>
          </cell>
          <cell r="CD23">
            <v>0.51</v>
          </cell>
          <cell r="CE23">
            <v>0.51</v>
          </cell>
          <cell r="CF23">
            <v>0.51</v>
          </cell>
          <cell r="CG23">
            <v>0.51</v>
          </cell>
          <cell r="CH23">
            <v>0.51</v>
          </cell>
          <cell r="CI23">
            <v>0.51</v>
          </cell>
          <cell r="CJ23">
            <v>0.51</v>
          </cell>
          <cell r="CK23">
            <v>0.51</v>
          </cell>
          <cell r="CL23">
            <v>0.51</v>
          </cell>
          <cell r="CM23">
            <v>0.51</v>
          </cell>
          <cell r="CN23">
            <v>0.51</v>
          </cell>
          <cell r="CO23">
            <v>0.51</v>
          </cell>
          <cell r="CP23">
            <v>0.51</v>
          </cell>
          <cell r="CQ23">
            <v>0.51</v>
          </cell>
          <cell r="CR23">
            <v>0.51</v>
          </cell>
          <cell r="CS23">
            <v>0.51</v>
          </cell>
          <cell r="CT23">
            <v>0.51</v>
          </cell>
          <cell r="CU23">
            <v>0.51</v>
          </cell>
          <cell r="CV23">
            <v>0.51</v>
          </cell>
          <cell r="CW23">
            <v>0.51</v>
          </cell>
        </row>
        <row r="24">
          <cell r="A24" t="str">
            <v>Rutile grade</v>
          </cell>
          <cell r="B24" t="str">
            <v>%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0.05</v>
          </cell>
          <cell r="M24">
            <v>0.04</v>
          </cell>
          <cell r="N24">
            <v>0.04</v>
          </cell>
          <cell r="O24">
            <v>0.04</v>
          </cell>
          <cell r="P24">
            <v>0.04</v>
          </cell>
          <cell r="Q24">
            <v>0.04</v>
          </cell>
          <cell r="R24">
            <v>0.04</v>
          </cell>
          <cell r="S24">
            <v>0.04</v>
          </cell>
          <cell r="T24">
            <v>0.04</v>
          </cell>
          <cell r="U24">
            <v>0.04</v>
          </cell>
          <cell r="V24">
            <v>0.04</v>
          </cell>
          <cell r="W24">
            <v>0.04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BP24">
            <v>0.05</v>
          </cell>
          <cell r="BQ24">
            <v>0.05</v>
          </cell>
          <cell r="BR24">
            <v>0.05</v>
          </cell>
          <cell r="BS24">
            <v>0.04</v>
          </cell>
          <cell r="BT24">
            <v>0.04</v>
          </cell>
          <cell r="BU24">
            <v>0.04</v>
          </cell>
          <cell r="BV24">
            <v>0.04</v>
          </cell>
          <cell r="BW24">
            <v>0.04</v>
          </cell>
          <cell r="BX24">
            <v>0.04</v>
          </cell>
          <cell r="BY24">
            <v>0.04</v>
          </cell>
          <cell r="BZ24">
            <v>0.04</v>
          </cell>
          <cell r="CA24">
            <v>0.04</v>
          </cell>
          <cell r="CB24">
            <v>0.04</v>
          </cell>
          <cell r="CC24">
            <v>0.04</v>
          </cell>
          <cell r="CD24">
            <v>0.04</v>
          </cell>
          <cell r="CE24">
            <v>0.04</v>
          </cell>
          <cell r="CF24">
            <v>0.04</v>
          </cell>
          <cell r="CG24">
            <v>0.04</v>
          </cell>
          <cell r="CH24">
            <v>0.04</v>
          </cell>
          <cell r="CI24">
            <v>0.04</v>
          </cell>
          <cell r="CJ24">
            <v>0.04</v>
          </cell>
          <cell r="CK24">
            <v>0.04</v>
          </cell>
          <cell r="CL24">
            <v>0.04</v>
          </cell>
          <cell r="CM24">
            <v>0.04</v>
          </cell>
          <cell r="CN24">
            <v>0.04</v>
          </cell>
          <cell r="CO24">
            <v>0.04</v>
          </cell>
          <cell r="CP24">
            <v>0.04</v>
          </cell>
          <cell r="CQ24">
            <v>0.04</v>
          </cell>
          <cell r="CR24">
            <v>0.04</v>
          </cell>
          <cell r="CS24">
            <v>0.04</v>
          </cell>
          <cell r="CT24">
            <v>0.04</v>
          </cell>
          <cell r="CU24">
            <v>0.04</v>
          </cell>
          <cell r="CV24">
            <v>0.04</v>
          </cell>
          <cell r="CW24">
            <v>0.04</v>
          </cell>
        </row>
        <row r="26">
          <cell r="A26" t="str">
            <v>Resources</v>
          </cell>
        </row>
        <row r="27">
          <cell r="A27" t="str">
            <v>Ore Tonnes</v>
          </cell>
          <cell r="B27" t="str">
            <v>Mt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239.4</v>
          </cell>
          <cell r="M27">
            <v>175.83100000000002</v>
          </cell>
          <cell r="N27">
            <v>173.69740000000002</v>
          </cell>
          <cell r="O27">
            <v>171.56380000000001</v>
          </cell>
          <cell r="P27">
            <v>169.43020000000001</v>
          </cell>
          <cell r="Q27">
            <v>167.29660000000001</v>
          </cell>
          <cell r="R27">
            <v>165.16300000000001</v>
          </cell>
          <cell r="S27">
            <v>163.02940000000001</v>
          </cell>
          <cell r="T27">
            <v>160.89580000000001</v>
          </cell>
          <cell r="U27">
            <v>158.76220000000001</v>
          </cell>
          <cell r="V27">
            <v>156.62860000000001</v>
          </cell>
          <cell r="W27">
            <v>154.495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BP27">
            <v>239.4</v>
          </cell>
          <cell r="BQ27">
            <v>238.57930000000002</v>
          </cell>
          <cell r="BR27">
            <v>238.12400000000002</v>
          </cell>
          <cell r="BS27">
            <v>175.83100000000002</v>
          </cell>
          <cell r="BT27">
            <v>174.76420000000002</v>
          </cell>
          <cell r="BU27">
            <v>173.69740000000002</v>
          </cell>
          <cell r="BV27">
            <v>173.69740000000002</v>
          </cell>
          <cell r="BW27">
            <v>172.63060000000002</v>
          </cell>
          <cell r="BX27">
            <v>171.56380000000001</v>
          </cell>
          <cell r="BY27">
            <v>171.56380000000001</v>
          </cell>
          <cell r="BZ27">
            <v>170.49700000000001</v>
          </cell>
          <cell r="CA27">
            <v>169.43020000000001</v>
          </cell>
          <cell r="CB27">
            <v>169.43020000000001</v>
          </cell>
          <cell r="CC27">
            <v>168.36340000000001</v>
          </cell>
          <cell r="CD27">
            <v>167.29660000000001</v>
          </cell>
          <cell r="CE27">
            <v>167.29660000000001</v>
          </cell>
          <cell r="CF27">
            <v>166.22980000000001</v>
          </cell>
          <cell r="CG27">
            <v>165.16300000000001</v>
          </cell>
          <cell r="CH27">
            <v>165.16300000000001</v>
          </cell>
          <cell r="CI27">
            <v>164.09620000000001</v>
          </cell>
          <cell r="CJ27">
            <v>163.02940000000001</v>
          </cell>
          <cell r="CK27">
            <v>163.02940000000001</v>
          </cell>
          <cell r="CL27">
            <v>161.96260000000001</v>
          </cell>
          <cell r="CM27">
            <v>160.89580000000001</v>
          </cell>
          <cell r="CN27">
            <v>160.89580000000001</v>
          </cell>
          <cell r="CO27">
            <v>159.82900000000001</v>
          </cell>
          <cell r="CP27">
            <v>158.76220000000001</v>
          </cell>
          <cell r="CQ27">
            <v>158.76220000000001</v>
          </cell>
          <cell r="CR27">
            <v>157.69540000000001</v>
          </cell>
          <cell r="CS27">
            <v>156.62860000000001</v>
          </cell>
          <cell r="CT27">
            <v>156.62860000000001</v>
          </cell>
          <cell r="CU27">
            <v>155.56180000000001</v>
          </cell>
          <cell r="CV27">
            <v>154.495</v>
          </cell>
          <cell r="CW27">
            <v>154.495</v>
          </cell>
        </row>
        <row r="28">
          <cell r="A28" t="str">
            <v>HM Tonnes</v>
          </cell>
          <cell r="B28" t="str">
            <v>Mt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9.75</v>
          </cell>
          <cell r="M28">
            <v>8.94</v>
          </cell>
          <cell r="N28">
            <v>8.1760000000000002</v>
          </cell>
          <cell r="O28">
            <v>7.4459999999999997</v>
          </cell>
          <cell r="P28">
            <v>6.7159999999999993</v>
          </cell>
          <cell r="Q28">
            <v>5.9859999999999989</v>
          </cell>
          <cell r="R28">
            <v>5.1829999999999981</v>
          </cell>
          <cell r="S28">
            <v>4.3799999999999972</v>
          </cell>
          <cell r="T28">
            <v>3.5769999999999973</v>
          </cell>
          <cell r="U28">
            <v>2.7739999999999974</v>
          </cell>
          <cell r="V28">
            <v>1.9709999999999974</v>
          </cell>
          <cell r="W28">
            <v>1.1679999999999975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BP28">
            <v>9.75</v>
          </cell>
          <cell r="BQ28">
            <v>9.4430999999999994</v>
          </cell>
          <cell r="BR28">
            <v>9.1216999999999988</v>
          </cell>
          <cell r="BS28">
            <v>8.94</v>
          </cell>
          <cell r="BT28">
            <v>8.5579999999999998</v>
          </cell>
          <cell r="BU28">
            <v>8.1760000000000002</v>
          </cell>
          <cell r="BV28">
            <v>8.1760000000000002</v>
          </cell>
          <cell r="BW28">
            <v>7.8109999999999999</v>
          </cell>
          <cell r="BX28">
            <v>7.4459999999999997</v>
          </cell>
          <cell r="BY28">
            <v>7.4459999999999997</v>
          </cell>
          <cell r="BZ28">
            <v>7.0809999999999995</v>
          </cell>
          <cell r="CA28">
            <v>6.7159999999999993</v>
          </cell>
          <cell r="CB28">
            <v>6.7159999999999993</v>
          </cell>
          <cell r="CC28">
            <v>6.3509999999999991</v>
          </cell>
          <cell r="CD28">
            <v>5.9859999999999989</v>
          </cell>
          <cell r="CE28">
            <v>5.9859999999999989</v>
          </cell>
          <cell r="CF28">
            <v>5.5844999999999985</v>
          </cell>
          <cell r="CG28">
            <v>5.1829999999999981</v>
          </cell>
          <cell r="CH28">
            <v>5.1829999999999981</v>
          </cell>
          <cell r="CI28">
            <v>4.7814999999999976</v>
          </cell>
          <cell r="CJ28">
            <v>4.3799999999999972</v>
          </cell>
          <cell r="CK28">
            <v>4.3799999999999972</v>
          </cell>
          <cell r="CL28">
            <v>3.9784999999999973</v>
          </cell>
          <cell r="CM28">
            <v>3.5769999999999973</v>
          </cell>
          <cell r="CN28">
            <v>3.5769999999999973</v>
          </cell>
          <cell r="CO28">
            <v>3.1754999999999973</v>
          </cell>
          <cell r="CP28">
            <v>2.7739999999999974</v>
          </cell>
          <cell r="CQ28">
            <v>2.7739999999999974</v>
          </cell>
          <cell r="CR28">
            <v>2.3724999999999974</v>
          </cell>
          <cell r="CS28">
            <v>1.9709999999999974</v>
          </cell>
          <cell r="CT28">
            <v>1.9709999999999974</v>
          </cell>
          <cell r="CU28">
            <v>1.5694999999999975</v>
          </cell>
          <cell r="CV28">
            <v>1.1679999999999975</v>
          </cell>
          <cell r="CW28">
            <v>1.1679999999999975</v>
          </cell>
        </row>
        <row r="29">
          <cell r="A29" t="str">
            <v>HM Grade</v>
          </cell>
          <cell r="B29" t="str">
            <v>%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4.3098461538461537E-2</v>
          </cell>
          <cell r="M29">
            <v>4.1134228187919467E-2</v>
          </cell>
          <cell r="N29">
            <v>4.1134228187919467E-2</v>
          </cell>
          <cell r="O29">
            <v>4.1134228187919467E-2</v>
          </cell>
          <cell r="P29">
            <v>4.1134228187919467E-2</v>
          </cell>
          <cell r="Q29">
            <v>4.1134228187919467E-2</v>
          </cell>
          <cell r="R29">
            <v>4.1134228187919467E-2</v>
          </cell>
          <cell r="S29">
            <v>4.1134228187919467E-2</v>
          </cell>
          <cell r="T29">
            <v>4.1134228187919467E-2</v>
          </cell>
          <cell r="U29">
            <v>4.1134228187919467E-2</v>
          </cell>
          <cell r="V29">
            <v>4.1134228187919467E-2</v>
          </cell>
          <cell r="W29">
            <v>4.1134228187919467E-2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BP29">
            <v>4.3098461538461537E-2</v>
          </cell>
          <cell r="BQ29">
            <v>4.3098461538461537E-2</v>
          </cell>
          <cell r="BR29">
            <v>4.3098461538461537E-2</v>
          </cell>
          <cell r="BS29">
            <v>4.1134228187919467E-2</v>
          </cell>
          <cell r="BT29">
            <v>4.1134228187919467E-2</v>
          </cell>
          <cell r="BU29">
            <v>4.1134228187919467E-2</v>
          </cell>
          <cell r="BV29">
            <v>4.1134228187919467E-2</v>
          </cell>
          <cell r="BW29">
            <v>4.1134228187919467E-2</v>
          </cell>
          <cell r="BX29">
            <v>4.1134228187919467E-2</v>
          </cell>
          <cell r="BY29">
            <v>4.1134228187919467E-2</v>
          </cell>
          <cell r="BZ29">
            <v>4.1134228187919467E-2</v>
          </cell>
          <cell r="CA29">
            <v>4.1134228187919467E-2</v>
          </cell>
          <cell r="CB29">
            <v>4.1134228187919467E-2</v>
          </cell>
          <cell r="CC29">
            <v>4.1134228187919467E-2</v>
          </cell>
          <cell r="CD29">
            <v>4.1134228187919467E-2</v>
          </cell>
          <cell r="CE29">
            <v>4.1134228187919467E-2</v>
          </cell>
          <cell r="CF29">
            <v>4.1134228187919467E-2</v>
          </cell>
          <cell r="CG29">
            <v>4.1134228187919467E-2</v>
          </cell>
          <cell r="CH29">
            <v>4.1134228187919467E-2</v>
          </cell>
          <cell r="CI29">
            <v>4.1134228187919467E-2</v>
          </cell>
          <cell r="CJ29">
            <v>4.1134228187919467E-2</v>
          </cell>
          <cell r="CK29">
            <v>4.1134228187919467E-2</v>
          </cell>
          <cell r="CL29">
            <v>4.1134228187919467E-2</v>
          </cell>
          <cell r="CM29">
            <v>4.1134228187919467E-2</v>
          </cell>
          <cell r="CN29">
            <v>4.1134228187919467E-2</v>
          </cell>
          <cell r="CO29">
            <v>4.1134228187919467E-2</v>
          </cell>
          <cell r="CP29">
            <v>4.1134228187919467E-2</v>
          </cell>
          <cell r="CQ29">
            <v>4.1134228187919467E-2</v>
          </cell>
          <cell r="CR29">
            <v>4.1134228187919467E-2</v>
          </cell>
          <cell r="CS29">
            <v>4.1134228187919467E-2</v>
          </cell>
          <cell r="CT29">
            <v>4.1134228187919467E-2</v>
          </cell>
          <cell r="CU29">
            <v>4.1134228187919467E-2</v>
          </cell>
          <cell r="CV29">
            <v>4.1134228187919467E-2</v>
          </cell>
          <cell r="CW29">
            <v>4.1134228187919467E-2</v>
          </cell>
        </row>
        <row r="30">
          <cell r="A30" t="str">
            <v>Ilmenite grade</v>
          </cell>
          <cell r="B30" t="str">
            <v>%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0.26855384615384614</v>
          </cell>
          <cell r="M30">
            <v>0.26680089485458613</v>
          </cell>
          <cell r="N30">
            <v>0.26680089485458613</v>
          </cell>
          <cell r="O30">
            <v>0.26680089485458613</v>
          </cell>
          <cell r="P30">
            <v>0.26680089485458613</v>
          </cell>
          <cell r="Q30">
            <v>0.26680089485458613</v>
          </cell>
          <cell r="R30">
            <v>0.26680089485458613</v>
          </cell>
          <cell r="S30">
            <v>0.26680089485458613</v>
          </cell>
          <cell r="T30">
            <v>0.26680089485458613</v>
          </cell>
          <cell r="U30">
            <v>0.26680089485458613</v>
          </cell>
          <cell r="V30">
            <v>0.26680089485458613</v>
          </cell>
          <cell r="W30">
            <v>0.26680089485458613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BP30">
            <v>0.26855384615384614</v>
          </cell>
          <cell r="BQ30">
            <v>0.26855384615384614</v>
          </cell>
          <cell r="BR30">
            <v>0.26855384615384614</v>
          </cell>
          <cell r="BS30">
            <v>0.26680089485458613</v>
          </cell>
          <cell r="BT30">
            <v>0.26680089485458613</v>
          </cell>
          <cell r="BU30">
            <v>0.26680089485458613</v>
          </cell>
          <cell r="BV30">
            <v>0.26680089485458613</v>
          </cell>
          <cell r="BW30">
            <v>0.26680089485458613</v>
          </cell>
          <cell r="BX30">
            <v>0.26680089485458613</v>
          </cell>
          <cell r="BY30">
            <v>0.26680089485458613</v>
          </cell>
          <cell r="BZ30">
            <v>0.26680089485458613</v>
          </cell>
          <cell r="CA30">
            <v>0.26680089485458613</v>
          </cell>
          <cell r="CB30">
            <v>0.26680089485458613</v>
          </cell>
          <cell r="CC30">
            <v>0.26680089485458613</v>
          </cell>
          <cell r="CD30">
            <v>0.26680089485458613</v>
          </cell>
          <cell r="CE30">
            <v>0.26680089485458613</v>
          </cell>
          <cell r="CF30">
            <v>0.26680089485458613</v>
          </cell>
          <cell r="CG30">
            <v>0.26680089485458613</v>
          </cell>
          <cell r="CH30">
            <v>0.26680089485458613</v>
          </cell>
          <cell r="CI30">
            <v>0.26680089485458613</v>
          </cell>
          <cell r="CJ30">
            <v>0.26680089485458613</v>
          </cell>
          <cell r="CK30">
            <v>0.26680089485458613</v>
          </cell>
          <cell r="CL30">
            <v>0.26680089485458613</v>
          </cell>
          <cell r="CM30">
            <v>0.26680089485458613</v>
          </cell>
          <cell r="CN30">
            <v>0.26680089485458613</v>
          </cell>
          <cell r="CO30">
            <v>0.26680089485458613</v>
          </cell>
          <cell r="CP30">
            <v>0.26680089485458613</v>
          </cell>
          <cell r="CQ30">
            <v>0.26680089485458613</v>
          </cell>
          <cell r="CR30">
            <v>0.26680089485458613</v>
          </cell>
          <cell r="CS30">
            <v>0.26680089485458613</v>
          </cell>
          <cell r="CT30">
            <v>0.26680089485458613</v>
          </cell>
          <cell r="CU30">
            <v>0.26680089485458613</v>
          </cell>
          <cell r="CV30">
            <v>0.26680089485458613</v>
          </cell>
          <cell r="CW30">
            <v>0.26680089485458613</v>
          </cell>
        </row>
        <row r="31">
          <cell r="A31" t="str">
            <v>Zircon grade</v>
          </cell>
          <cell r="B31" t="str">
            <v>%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0.50639999999999996</v>
          </cell>
          <cell r="M31">
            <v>0.50774049217002237</v>
          </cell>
          <cell r="N31">
            <v>0.50774049217002237</v>
          </cell>
          <cell r="O31">
            <v>0.50774049217002237</v>
          </cell>
          <cell r="P31">
            <v>0.50774049217002237</v>
          </cell>
          <cell r="Q31">
            <v>0.50774049217002237</v>
          </cell>
          <cell r="R31">
            <v>0.50774049217002237</v>
          </cell>
          <cell r="S31">
            <v>0.50774049217002237</v>
          </cell>
          <cell r="T31">
            <v>0.50774049217002237</v>
          </cell>
          <cell r="U31">
            <v>0.50774049217002237</v>
          </cell>
          <cell r="V31">
            <v>0.50774049217002237</v>
          </cell>
          <cell r="W31">
            <v>0.50774049217002237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BP31">
            <v>0.50639999999999996</v>
          </cell>
          <cell r="BQ31">
            <v>0.50639999999999996</v>
          </cell>
          <cell r="BR31">
            <v>0.50639999999999996</v>
          </cell>
          <cell r="BS31">
            <v>0.50774049217002237</v>
          </cell>
          <cell r="BT31">
            <v>0.50774049217002237</v>
          </cell>
          <cell r="BU31">
            <v>0.50774049217002237</v>
          </cell>
          <cell r="BV31">
            <v>0.50774049217002237</v>
          </cell>
          <cell r="BW31">
            <v>0.50774049217002237</v>
          </cell>
          <cell r="BX31">
            <v>0.50774049217002237</v>
          </cell>
          <cell r="BY31">
            <v>0.50774049217002237</v>
          </cell>
          <cell r="BZ31">
            <v>0.50774049217002237</v>
          </cell>
          <cell r="CA31">
            <v>0.50774049217002237</v>
          </cell>
          <cell r="CB31">
            <v>0.50774049217002237</v>
          </cell>
          <cell r="CC31">
            <v>0.50774049217002237</v>
          </cell>
          <cell r="CD31">
            <v>0.50774049217002237</v>
          </cell>
          <cell r="CE31">
            <v>0.50774049217002237</v>
          </cell>
          <cell r="CF31">
            <v>0.50774049217002237</v>
          </cell>
          <cell r="CG31">
            <v>0.50774049217002237</v>
          </cell>
          <cell r="CH31">
            <v>0.50774049217002237</v>
          </cell>
          <cell r="CI31">
            <v>0.50774049217002237</v>
          </cell>
          <cell r="CJ31">
            <v>0.50774049217002237</v>
          </cell>
          <cell r="CK31">
            <v>0.50774049217002237</v>
          </cell>
          <cell r="CL31">
            <v>0.50774049217002237</v>
          </cell>
          <cell r="CM31">
            <v>0.50774049217002237</v>
          </cell>
          <cell r="CN31">
            <v>0.50774049217002237</v>
          </cell>
          <cell r="CO31">
            <v>0.50774049217002237</v>
          </cell>
          <cell r="CP31">
            <v>0.50774049217002237</v>
          </cell>
          <cell r="CQ31">
            <v>0.50774049217002237</v>
          </cell>
          <cell r="CR31">
            <v>0.50774049217002237</v>
          </cell>
          <cell r="CS31">
            <v>0.50774049217002237</v>
          </cell>
          <cell r="CT31">
            <v>0.50774049217002237</v>
          </cell>
          <cell r="CU31">
            <v>0.50774049217002237</v>
          </cell>
          <cell r="CV31">
            <v>0.50774049217002237</v>
          </cell>
          <cell r="CW31">
            <v>0.50774049217002237</v>
          </cell>
        </row>
        <row r="32">
          <cell r="A32" t="str">
            <v>Rutile grade</v>
          </cell>
          <cell r="B32" t="str">
            <v>%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4.9999999999999996E-2</v>
          </cell>
          <cell r="M32">
            <v>0.05</v>
          </cell>
          <cell r="N32">
            <v>0.05</v>
          </cell>
          <cell r="O32">
            <v>0.05</v>
          </cell>
          <cell r="P32">
            <v>0.05</v>
          </cell>
          <cell r="Q32">
            <v>0.05</v>
          </cell>
          <cell r="R32">
            <v>0.05</v>
          </cell>
          <cell r="S32">
            <v>0.05</v>
          </cell>
          <cell r="T32">
            <v>0.05</v>
          </cell>
          <cell r="U32">
            <v>0.05</v>
          </cell>
          <cell r="V32">
            <v>0.05</v>
          </cell>
          <cell r="W32">
            <v>0.05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BP32">
            <v>4.9999999999999996E-2</v>
          </cell>
          <cell r="BQ32">
            <v>4.9999999999999996E-2</v>
          </cell>
          <cell r="BR32">
            <v>4.9999999999999996E-2</v>
          </cell>
          <cell r="BS32">
            <v>0.05</v>
          </cell>
          <cell r="BT32">
            <v>0.05</v>
          </cell>
          <cell r="BU32">
            <v>0.05</v>
          </cell>
          <cell r="BV32">
            <v>0.05</v>
          </cell>
          <cell r="BW32">
            <v>0.05</v>
          </cell>
          <cell r="BX32">
            <v>0.05</v>
          </cell>
          <cell r="BY32">
            <v>0.05</v>
          </cell>
          <cell r="BZ32">
            <v>0.05</v>
          </cell>
          <cell r="CA32">
            <v>0.05</v>
          </cell>
          <cell r="CB32">
            <v>0.05</v>
          </cell>
          <cell r="CC32">
            <v>0.05</v>
          </cell>
          <cell r="CD32">
            <v>0.05</v>
          </cell>
          <cell r="CE32">
            <v>0.05</v>
          </cell>
          <cell r="CF32">
            <v>0.05</v>
          </cell>
          <cell r="CG32">
            <v>0.05</v>
          </cell>
          <cell r="CH32">
            <v>0.05</v>
          </cell>
          <cell r="CI32">
            <v>0.05</v>
          </cell>
          <cell r="CJ32">
            <v>0.05</v>
          </cell>
          <cell r="CK32">
            <v>0.05</v>
          </cell>
          <cell r="CL32">
            <v>0.05</v>
          </cell>
          <cell r="CM32">
            <v>0.05</v>
          </cell>
          <cell r="CN32">
            <v>0.05</v>
          </cell>
          <cell r="CO32">
            <v>0.05</v>
          </cell>
          <cell r="CP32">
            <v>0.05</v>
          </cell>
          <cell r="CQ32">
            <v>0.05</v>
          </cell>
          <cell r="CR32">
            <v>0.05</v>
          </cell>
          <cell r="CS32">
            <v>0.05</v>
          </cell>
          <cell r="CT32">
            <v>0.05</v>
          </cell>
          <cell r="CU32">
            <v>0.05</v>
          </cell>
          <cell r="CV32">
            <v>0.05</v>
          </cell>
          <cell r="CW32">
            <v>0.05</v>
          </cell>
        </row>
        <row r="34">
          <cell r="A34" t="str">
            <v xml:space="preserve">Eucla Operations </v>
          </cell>
          <cell r="B34" t="str">
            <v>.</v>
          </cell>
          <cell r="C34" t="str">
            <v>.</v>
          </cell>
          <cell r="D34" t="str">
            <v>.</v>
          </cell>
          <cell r="E34" t="str">
            <v>.</v>
          </cell>
          <cell r="F34" t="str">
            <v>.</v>
          </cell>
          <cell r="G34" t="str">
            <v>.</v>
          </cell>
          <cell r="H34" t="str">
            <v>.</v>
          </cell>
          <cell r="I34" t="str">
            <v>.</v>
          </cell>
          <cell r="J34" t="str">
            <v>.</v>
          </cell>
          <cell r="K34" t="str">
            <v>.</v>
          </cell>
          <cell r="L34" t="str">
            <v>.</v>
          </cell>
          <cell r="M34" t="str">
            <v>.</v>
          </cell>
          <cell r="N34" t="str">
            <v>.</v>
          </cell>
          <cell r="O34" t="str">
            <v>.</v>
          </cell>
          <cell r="P34" t="str">
            <v>.</v>
          </cell>
          <cell r="Q34" t="str">
            <v>.</v>
          </cell>
          <cell r="R34" t="str">
            <v>.</v>
          </cell>
          <cell r="S34" t="str">
            <v>.</v>
          </cell>
          <cell r="T34" t="str">
            <v>.</v>
          </cell>
          <cell r="U34" t="str">
            <v>.</v>
          </cell>
          <cell r="V34" t="str">
            <v>.</v>
          </cell>
          <cell r="W34" t="str">
            <v>.</v>
          </cell>
          <cell r="X34" t="str">
            <v>.</v>
          </cell>
          <cell r="Y34" t="str">
            <v>.</v>
          </cell>
          <cell r="Z34" t="str">
            <v>.</v>
          </cell>
          <cell r="AA34" t="str">
            <v>.</v>
          </cell>
          <cell r="AB34" t="str">
            <v>.</v>
          </cell>
          <cell r="AC34" t="str">
            <v>.</v>
          </cell>
          <cell r="AD34" t="str">
            <v>.</v>
          </cell>
          <cell r="AE34" t="str">
            <v>.</v>
          </cell>
          <cell r="AF34" t="str">
            <v>.</v>
          </cell>
          <cell r="AG34" t="str">
            <v>.</v>
          </cell>
          <cell r="AH34" t="str">
            <v>.</v>
          </cell>
          <cell r="AI34" t="str">
            <v>.</v>
          </cell>
          <cell r="AJ34" t="str">
            <v>.</v>
          </cell>
          <cell r="AK34" t="str">
            <v>.</v>
          </cell>
          <cell r="AL34" t="str">
            <v>.</v>
          </cell>
          <cell r="AM34" t="str">
            <v>.</v>
          </cell>
          <cell r="AN34" t="str">
            <v>.</v>
          </cell>
          <cell r="AO34" t="str">
            <v>.</v>
          </cell>
          <cell r="AP34" t="str">
            <v>.</v>
          </cell>
          <cell r="AQ34" t="str">
            <v>.</v>
          </cell>
          <cell r="AR34" t="str">
            <v>.</v>
          </cell>
          <cell r="AS34" t="str">
            <v>.</v>
          </cell>
          <cell r="AT34" t="str">
            <v>.</v>
          </cell>
          <cell r="AU34" t="str">
            <v>.</v>
          </cell>
          <cell r="AV34" t="str">
            <v>.</v>
          </cell>
          <cell r="AW34" t="str">
            <v>.</v>
          </cell>
          <cell r="AX34" t="str">
            <v>.</v>
          </cell>
          <cell r="AY34" t="str">
            <v>.</v>
          </cell>
          <cell r="AZ34" t="str">
            <v>.</v>
          </cell>
          <cell r="BA34" t="str">
            <v>.</v>
          </cell>
          <cell r="BB34" t="str">
            <v>.</v>
          </cell>
          <cell r="BC34" t="str">
            <v>.</v>
          </cell>
          <cell r="BD34" t="str">
            <v>.</v>
          </cell>
          <cell r="BE34" t="str">
            <v>.</v>
          </cell>
          <cell r="BF34" t="str">
            <v>.</v>
          </cell>
          <cell r="BG34" t="str">
            <v>.</v>
          </cell>
          <cell r="BH34" t="str">
            <v>.</v>
          </cell>
          <cell r="BI34" t="str">
            <v>.</v>
          </cell>
          <cell r="BJ34" t="str">
            <v>.</v>
          </cell>
          <cell r="BK34" t="str">
            <v>.</v>
          </cell>
          <cell r="BL34" t="str">
            <v>.</v>
          </cell>
          <cell r="BM34" t="str">
            <v>.</v>
          </cell>
          <cell r="BN34" t="str">
            <v>.</v>
          </cell>
          <cell r="BO34" t="str">
            <v>.</v>
          </cell>
          <cell r="BP34" t="str">
            <v>.</v>
          </cell>
          <cell r="BQ34" t="str">
            <v>.</v>
          </cell>
          <cell r="BR34" t="str">
            <v>.</v>
          </cell>
          <cell r="BS34" t="str">
            <v>.</v>
          </cell>
          <cell r="BT34" t="str">
            <v>.</v>
          </cell>
          <cell r="BU34" t="str">
            <v>.</v>
          </cell>
          <cell r="BV34" t="str">
            <v>.</v>
          </cell>
          <cell r="BW34" t="str">
            <v>.</v>
          </cell>
          <cell r="BX34" t="str">
            <v>.</v>
          </cell>
          <cell r="BY34" t="str">
            <v>.</v>
          </cell>
          <cell r="BZ34" t="str">
            <v>.</v>
          </cell>
          <cell r="CA34" t="str">
            <v>.</v>
          </cell>
          <cell r="CB34" t="str">
            <v>.</v>
          </cell>
          <cell r="CC34" t="str">
            <v>.</v>
          </cell>
          <cell r="CD34" t="str">
            <v>.</v>
          </cell>
          <cell r="CE34" t="str">
            <v>.</v>
          </cell>
          <cell r="CF34" t="str">
            <v>.</v>
          </cell>
          <cell r="CG34" t="str">
            <v>.</v>
          </cell>
          <cell r="CH34" t="str">
            <v>.</v>
          </cell>
          <cell r="CI34" t="str">
            <v>.</v>
          </cell>
          <cell r="CJ34" t="str">
            <v>.</v>
          </cell>
          <cell r="CK34" t="str">
            <v>.</v>
          </cell>
          <cell r="CL34" t="str">
            <v>.</v>
          </cell>
          <cell r="CM34" t="str">
            <v>.</v>
          </cell>
          <cell r="CN34" t="str">
            <v>.</v>
          </cell>
          <cell r="CO34" t="str">
            <v>.</v>
          </cell>
          <cell r="CP34" t="str">
            <v>.</v>
          </cell>
          <cell r="CQ34" t="str">
            <v>.</v>
          </cell>
          <cell r="CR34" t="str">
            <v>.</v>
          </cell>
          <cell r="CS34" t="str">
            <v>.</v>
          </cell>
          <cell r="CT34" t="str">
            <v>.</v>
          </cell>
          <cell r="CU34" t="str">
            <v>.</v>
          </cell>
          <cell r="CV34" t="str">
            <v>.</v>
          </cell>
          <cell r="CW34" t="str">
            <v>.</v>
          </cell>
          <cell r="DS34" t="str">
            <v>.</v>
          </cell>
          <cell r="DT34" t="str">
            <v>.</v>
          </cell>
          <cell r="DU34" t="str">
            <v>.</v>
          </cell>
          <cell r="DV34" t="str">
            <v>.</v>
          </cell>
          <cell r="DW34" t="str">
            <v>.</v>
          </cell>
          <cell r="DX34" t="str">
            <v>.</v>
          </cell>
          <cell r="DY34" t="str">
            <v>.</v>
          </cell>
          <cell r="DZ34" t="str">
            <v>.</v>
          </cell>
          <cell r="EA34" t="str">
            <v>.</v>
          </cell>
          <cell r="EB34" t="str">
            <v>.</v>
          </cell>
          <cell r="EC34" t="str">
            <v>.</v>
          </cell>
          <cell r="ED34" t="str">
            <v>.</v>
          </cell>
          <cell r="EE34" t="str">
            <v>.</v>
          </cell>
          <cell r="EF34" t="str">
            <v>.</v>
          </cell>
          <cell r="EG34" t="str">
            <v>.</v>
          </cell>
          <cell r="EH34" t="str">
            <v>.</v>
          </cell>
          <cell r="EI34" t="str">
            <v>.</v>
          </cell>
          <cell r="EJ34" t="str">
            <v>.</v>
          </cell>
          <cell r="EK34" t="str">
            <v>.</v>
          </cell>
          <cell r="EL34" t="str">
            <v>.</v>
          </cell>
          <cell r="EM34" t="str">
            <v>.</v>
          </cell>
          <cell r="EN34" t="str">
            <v>.</v>
          </cell>
          <cell r="EO34" t="str">
            <v>.</v>
          </cell>
          <cell r="EP34" t="str">
            <v>.</v>
          </cell>
        </row>
        <row r="35">
          <cell r="A35" t="str">
            <v>Overburden moved</v>
          </cell>
          <cell r="B35" t="str">
            <v>bcm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1276</v>
          </cell>
          <cell r="N35">
            <v>2133.6</v>
          </cell>
          <cell r="O35">
            <v>2133.6</v>
          </cell>
          <cell r="P35">
            <v>2133.6</v>
          </cell>
          <cell r="Q35">
            <v>2133.6</v>
          </cell>
          <cell r="R35">
            <v>2133.6</v>
          </cell>
          <cell r="S35">
            <v>2133.6</v>
          </cell>
          <cell r="T35">
            <v>2133.6</v>
          </cell>
          <cell r="U35">
            <v>2133.6</v>
          </cell>
          <cell r="V35">
            <v>2133.6</v>
          </cell>
          <cell r="W35">
            <v>2133.6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BQ35">
            <v>820.7</v>
          </cell>
          <cell r="BR35">
            <v>455.29999999999995</v>
          </cell>
          <cell r="BS35">
            <v>1276</v>
          </cell>
          <cell r="BT35">
            <v>1066.8</v>
          </cell>
          <cell r="BU35">
            <v>1066.8</v>
          </cell>
          <cell r="BV35">
            <v>2133.6</v>
          </cell>
          <cell r="BW35">
            <v>1066.8</v>
          </cell>
          <cell r="BX35">
            <v>1066.8</v>
          </cell>
          <cell r="BY35">
            <v>2133.6</v>
          </cell>
          <cell r="BZ35">
            <v>1066.8</v>
          </cell>
          <cell r="CA35">
            <v>1066.8</v>
          </cell>
          <cell r="CB35">
            <v>2133.6</v>
          </cell>
          <cell r="CC35">
            <v>1066.8</v>
          </cell>
          <cell r="CD35">
            <v>1066.8</v>
          </cell>
          <cell r="CE35">
            <v>2133.6</v>
          </cell>
          <cell r="CF35">
            <v>1066.8</v>
          </cell>
          <cell r="CG35">
            <v>1066.8</v>
          </cell>
          <cell r="CH35">
            <v>2133.6</v>
          </cell>
          <cell r="CI35">
            <v>1066.8</v>
          </cell>
          <cell r="CJ35">
            <v>1066.8</v>
          </cell>
          <cell r="CK35">
            <v>2133.6</v>
          </cell>
          <cell r="CL35">
            <v>1066.8</v>
          </cell>
          <cell r="CM35">
            <v>1066.8</v>
          </cell>
          <cell r="CN35">
            <v>2133.6</v>
          </cell>
          <cell r="CO35">
            <v>1066.8</v>
          </cell>
          <cell r="CP35">
            <v>1066.8</v>
          </cell>
          <cell r="CQ35">
            <v>2133.6</v>
          </cell>
          <cell r="CR35">
            <v>1066.8</v>
          </cell>
          <cell r="CS35">
            <v>1066.8</v>
          </cell>
          <cell r="CT35">
            <v>2133.6</v>
          </cell>
          <cell r="CU35">
            <v>1066.8</v>
          </cell>
          <cell r="CV35">
            <v>1066.8</v>
          </cell>
          <cell r="CW35">
            <v>2133.6</v>
          </cell>
        </row>
        <row r="36">
          <cell r="A36" t="str">
            <v>Ore mined</v>
          </cell>
          <cell r="B36" t="str">
            <v>kt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9621.6</v>
          </cell>
          <cell r="N36">
            <v>9256</v>
          </cell>
          <cell r="O36">
            <v>9256</v>
          </cell>
          <cell r="P36">
            <v>9256</v>
          </cell>
          <cell r="Q36">
            <v>9256</v>
          </cell>
          <cell r="R36">
            <v>9256</v>
          </cell>
          <cell r="S36">
            <v>9256</v>
          </cell>
          <cell r="T36">
            <v>9256</v>
          </cell>
          <cell r="U36">
            <v>9256</v>
          </cell>
          <cell r="V36">
            <v>9256</v>
          </cell>
          <cell r="W36">
            <v>9256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BQ36">
            <v>4590.6000000000004</v>
          </cell>
          <cell r="BR36">
            <v>5031</v>
          </cell>
          <cell r="BS36">
            <v>9621.6</v>
          </cell>
          <cell r="BT36">
            <v>4628</v>
          </cell>
          <cell r="BU36">
            <v>4628</v>
          </cell>
          <cell r="BV36">
            <v>9256</v>
          </cell>
          <cell r="BW36">
            <v>4628</v>
          </cell>
          <cell r="BX36">
            <v>4628</v>
          </cell>
          <cell r="BY36">
            <v>9256</v>
          </cell>
          <cell r="BZ36">
            <v>4628</v>
          </cell>
          <cell r="CA36">
            <v>4628</v>
          </cell>
          <cell r="CB36">
            <v>9256</v>
          </cell>
          <cell r="CC36">
            <v>4628</v>
          </cell>
          <cell r="CD36">
            <v>4628</v>
          </cell>
          <cell r="CE36">
            <v>9256</v>
          </cell>
          <cell r="CF36">
            <v>4628</v>
          </cell>
          <cell r="CG36">
            <v>4628</v>
          </cell>
          <cell r="CH36">
            <v>9256</v>
          </cell>
          <cell r="CI36">
            <v>4628</v>
          </cell>
          <cell r="CJ36">
            <v>4628</v>
          </cell>
          <cell r="CK36">
            <v>9256</v>
          </cell>
          <cell r="CL36">
            <v>4628</v>
          </cell>
          <cell r="CM36">
            <v>4628</v>
          </cell>
          <cell r="CN36">
            <v>9256</v>
          </cell>
          <cell r="CO36">
            <v>4628</v>
          </cell>
          <cell r="CP36">
            <v>4628</v>
          </cell>
          <cell r="CQ36">
            <v>9256</v>
          </cell>
          <cell r="CR36">
            <v>4628</v>
          </cell>
          <cell r="CS36">
            <v>4628</v>
          </cell>
          <cell r="CT36">
            <v>9256</v>
          </cell>
          <cell r="CU36">
            <v>4628</v>
          </cell>
          <cell r="CV36">
            <v>4628</v>
          </cell>
          <cell r="CW36">
            <v>9256</v>
          </cell>
        </row>
        <row r="37">
          <cell r="A37" t="str">
            <v>Ore grade</v>
          </cell>
          <cell r="B37" t="str">
            <v>%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7.5999999999999998E-2</v>
          </cell>
          <cell r="N37">
            <v>8.2714285714285712E-2</v>
          </cell>
          <cell r="O37">
            <v>7.1428571428571425E-2</v>
          </cell>
          <cell r="P37">
            <v>7.1428571428571425E-2</v>
          </cell>
          <cell r="Q37">
            <v>7.1428571428571425E-2</v>
          </cell>
          <cell r="R37">
            <v>7.1428571428571425E-2</v>
          </cell>
          <cell r="S37">
            <v>7.1428571428571425E-2</v>
          </cell>
          <cell r="T37">
            <v>7.1428571428571425E-2</v>
          </cell>
          <cell r="U37">
            <v>7.1428571428571425E-2</v>
          </cell>
          <cell r="V37">
            <v>7.1428571428571425E-2</v>
          </cell>
          <cell r="W37">
            <v>7.1428571428571425E-2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BQ37">
            <v>7.5999999999999998E-2</v>
          </cell>
          <cell r="BR37">
            <v>7.6000000000000012E-2</v>
          </cell>
          <cell r="BS37">
            <v>7.5999999999999998E-2</v>
          </cell>
          <cell r="BT37">
            <v>9.4E-2</v>
          </cell>
          <cell r="BU37">
            <v>7.1428571428571425E-2</v>
          </cell>
          <cell r="BV37">
            <v>8.2714285714285712E-2</v>
          </cell>
          <cell r="BW37">
            <v>7.1428571428571425E-2</v>
          </cell>
          <cell r="BX37">
            <v>7.1428571428571425E-2</v>
          </cell>
          <cell r="BY37">
            <v>7.1428571428571425E-2</v>
          </cell>
          <cell r="BZ37">
            <v>7.1428571428571425E-2</v>
          </cell>
          <cell r="CA37">
            <v>7.1428571428571425E-2</v>
          </cell>
          <cell r="CB37">
            <v>7.1428571428571425E-2</v>
          </cell>
          <cell r="CC37">
            <v>7.1428571428571425E-2</v>
          </cell>
          <cell r="CD37">
            <v>7.1428571428571425E-2</v>
          </cell>
          <cell r="CE37">
            <v>7.1428571428571425E-2</v>
          </cell>
          <cell r="CF37">
            <v>7.1428571428571425E-2</v>
          </cell>
          <cell r="CG37">
            <v>7.1428571428571425E-2</v>
          </cell>
          <cell r="CH37">
            <v>7.1428571428571425E-2</v>
          </cell>
          <cell r="CI37">
            <v>7.1428571428571425E-2</v>
          </cell>
          <cell r="CJ37">
            <v>7.1428571428571425E-2</v>
          </cell>
          <cell r="CK37">
            <v>7.1428571428571425E-2</v>
          </cell>
          <cell r="CL37">
            <v>7.1428571428571425E-2</v>
          </cell>
          <cell r="CM37">
            <v>7.1428571428571425E-2</v>
          </cell>
          <cell r="CN37">
            <v>7.1428571428571425E-2</v>
          </cell>
          <cell r="CO37">
            <v>7.1428571428571425E-2</v>
          </cell>
          <cell r="CP37">
            <v>7.1428571428571425E-2</v>
          </cell>
          <cell r="CQ37">
            <v>7.1428571428571425E-2</v>
          </cell>
          <cell r="CR37">
            <v>7.1428571428571425E-2</v>
          </cell>
          <cell r="CS37">
            <v>7.1428571428571425E-2</v>
          </cell>
          <cell r="CT37">
            <v>7.1428571428571425E-2</v>
          </cell>
          <cell r="CU37">
            <v>7.1428571428571425E-2</v>
          </cell>
          <cell r="CV37">
            <v>7.1428571428571425E-2</v>
          </cell>
          <cell r="CW37">
            <v>7.1428571428571425E-2</v>
          </cell>
        </row>
        <row r="38">
          <cell r="A38" t="str">
            <v>VHM grade</v>
          </cell>
          <cell r="B38" t="str">
            <v>%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6.0999999999999999E-2</v>
          </cell>
          <cell r="N38">
            <v>6.8500000000000005E-2</v>
          </cell>
          <cell r="O38">
            <v>0.06</v>
          </cell>
          <cell r="P38">
            <v>0.06</v>
          </cell>
          <cell r="Q38">
            <v>0.06</v>
          </cell>
          <cell r="R38">
            <v>0.06</v>
          </cell>
          <cell r="S38">
            <v>0.06</v>
          </cell>
          <cell r="T38">
            <v>0.06</v>
          </cell>
          <cell r="U38">
            <v>0.06</v>
          </cell>
          <cell r="V38">
            <v>0.06</v>
          </cell>
          <cell r="W38">
            <v>0.06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BQ38">
            <v>6.2E-2</v>
          </cell>
          <cell r="BR38">
            <v>6.0087537268932609E-2</v>
          </cell>
          <cell r="BS38">
            <v>6.0999999999999999E-2</v>
          </cell>
          <cell r="BT38">
            <v>7.6999999999999999E-2</v>
          </cell>
          <cell r="BU38">
            <v>0.06</v>
          </cell>
          <cell r="BV38">
            <v>6.8500000000000005E-2</v>
          </cell>
          <cell r="BW38">
            <v>0.06</v>
          </cell>
          <cell r="BX38">
            <v>0.06</v>
          </cell>
          <cell r="BY38">
            <v>0.06</v>
          </cell>
          <cell r="BZ38">
            <v>0.06</v>
          </cell>
          <cell r="CA38">
            <v>0.06</v>
          </cell>
          <cell r="CB38">
            <v>0.06</v>
          </cell>
          <cell r="CC38">
            <v>0.06</v>
          </cell>
          <cell r="CD38">
            <v>0.06</v>
          </cell>
          <cell r="CE38">
            <v>0.06</v>
          </cell>
          <cell r="CF38">
            <v>0.06</v>
          </cell>
          <cell r="CG38">
            <v>0.06</v>
          </cell>
          <cell r="CH38">
            <v>0.06</v>
          </cell>
          <cell r="CI38">
            <v>0.06</v>
          </cell>
          <cell r="CJ38">
            <v>0.06</v>
          </cell>
          <cell r="CK38">
            <v>0.06</v>
          </cell>
          <cell r="CL38">
            <v>0.06</v>
          </cell>
          <cell r="CM38">
            <v>0.06</v>
          </cell>
          <cell r="CN38">
            <v>0.06</v>
          </cell>
          <cell r="CO38">
            <v>0.06</v>
          </cell>
          <cell r="CP38">
            <v>0.06</v>
          </cell>
          <cell r="CQ38">
            <v>0.06</v>
          </cell>
          <cell r="CR38">
            <v>0.06</v>
          </cell>
          <cell r="CS38">
            <v>0.06</v>
          </cell>
          <cell r="CT38">
            <v>0.06</v>
          </cell>
          <cell r="CU38">
            <v>0.06</v>
          </cell>
          <cell r="CV38">
            <v>0.06</v>
          </cell>
          <cell r="CW38">
            <v>0.06</v>
          </cell>
        </row>
        <row r="40">
          <cell r="A40" t="str">
            <v>HMC produced</v>
          </cell>
          <cell r="B40" t="str">
            <v>kt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628.29999999999995</v>
          </cell>
          <cell r="N40">
            <v>764</v>
          </cell>
          <cell r="O40">
            <v>730</v>
          </cell>
          <cell r="P40">
            <v>730</v>
          </cell>
          <cell r="Q40">
            <v>730</v>
          </cell>
          <cell r="R40">
            <v>803.00000000000011</v>
          </cell>
          <cell r="S40">
            <v>803.00000000000011</v>
          </cell>
          <cell r="T40">
            <v>803.00000000000011</v>
          </cell>
          <cell r="U40">
            <v>803.00000000000011</v>
          </cell>
          <cell r="V40">
            <v>803.00000000000011</v>
          </cell>
          <cell r="W40">
            <v>803.00000000000011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BQ40">
            <v>306.89999999999998</v>
          </cell>
          <cell r="BR40">
            <v>321.39999999999998</v>
          </cell>
          <cell r="BS40">
            <v>628.29999999999995</v>
          </cell>
          <cell r="BT40">
            <v>382</v>
          </cell>
          <cell r="BU40">
            <v>382</v>
          </cell>
          <cell r="BV40">
            <v>764</v>
          </cell>
          <cell r="BW40">
            <v>365</v>
          </cell>
          <cell r="BX40">
            <v>365</v>
          </cell>
          <cell r="BY40">
            <v>730</v>
          </cell>
          <cell r="BZ40">
            <v>365</v>
          </cell>
          <cell r="CA40">
            <v>365</v>
          </cell>
          <cell r="CB40">
            <v>730</v>
          </cell>
          <cell r="CC40">
            <v>365</v>
          </cell>
          <cell r="CD40">
            <v>365</v>
          </cell>
          <cell r="CE40">
            <v>730</v>
          </cell>
          <cell r="CF40">
            <v>401.50000000000006</v>
          </cell>
          <cell r="CG40">
            <v>401.50000000000006</v>
          </cell>
          <cell r="CH40">
            <v>803.00000000000011</v>
          </cell>
          <cell r="CI40">
            <v>401.50000000000006</v>
          </cell>
          <cell r="CJ40">
            <v>401.50000000000006</v>
          </cell>
          <cell r="CK40">
            <v>803.00000000000011</v>
          </cell>
          <cell r="CL40">
            <v>401.50000000000006</v>
          </cell>
          <cell r="CM40">
            <v>401.50000000000006</v>
          </cell>
          <cell r="CN40">
            <v>803.00000000000011</v>
          </cell>
          <cell r="CO40">
            <v>401.50000000000006</v>
          </cell>
          <cell r="CP40">
            <v>401.50000000000006</v>
          </cell>
          <cell r="CQ40">
            <v>803.00000000000011</v>
          </cell>
          <cell r="CR40">
            <v>401.50000000000006</v>
          </cell>
          <cell r="CS40">
            <v>401.50000000000006</v>
          </cell>
          <cell r="CT40">
            <v>803.00000000000011</v>
          </cell>
          <cell r="CU40">
            <v>401.50000000000006</v>
          </cell>
          <cell r="CV40">
            <v>401.50000000000006</v>
          </cell>
          <cell r="CW40">
            <v>803.00000000000011</v>
          </cell>
        </row>
        <row r="41">
          <cell r="A41" t="str">
            <v>VHM produced</v>
          </cell>
          <cell r="B41" t="str">
            <v>kt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520.20000000000005</v>
          </cell>
          <cell r="N41">
            <v>582.88</v>
          </cell>
          <cell r="O41">
            <v>555.36</v>
          </cell>
          <cell r="P41">
            <v>555.36</v>
          </cell>
          <cell r="Q41">
            <v>555.36</v>
          </cell>
          <cell r="R41">
            <v>555.36</v>
          </cell>
          <cell r="S41">
            <v>555.36</v>
          </cell>
          <cell r="T41">
            <v>555.36</v>
          </cell>
          <cell r="U41">
            <v>555.36</v>
          </cell>
          <cell r="V41">
            <v>555.36</v>
          </cell>
          <cell r="W41">
            <v>555.36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BQ41">
            <v>249.2</v>
          </cell>
          <cell r="BR41">
            <v>271.00000000000006</v>
          </cell>
          <cell r="BS41">
            <v>520.20000000000005</v>
          </cell>
          <cell r="BT41">
            <v>305.2</v>
          </cell>
          <cell r="BU41">
            <v>277.68</v>
          </cell>
          <cell r="BV41">
            <v>582.88</v>
          </cell>
          <cell r="BW41">
            <v>277.68</v>
          </cell>
          <cell r="BX41">
            <v>277.68</v>
          </cell>
          <cell r="BY41">
            <v>555.36</v>
          </cell>
          <cell r="BZ41">
            <v>277.68</v>
          </cell>
          <cell r="CA41">
            <v>277.68</v>
          </cell>
          <cell r="CB41">
            <v>555.36</v>
          </cell>
          <cell r="CC41">
            <v>277.68</v>
          </cell>
          <cell r="CD41">
            <v>277.68</v>
          </cell>
          <cell r="CE41">
            <v>555.36</v>
          </cell>
          <cell r="CF41">
            <v>277.68</v>
          </cell>
          <cell r="CG41">
            <v>277.68</v>
          </cell>
          <cell r="CH41">
            <v>555.36</v>
          </cell>
          <cell r="CI41">
            <v>277.68</v>
          </cell>
          <cell r="CJ41">
            <v>277.68</v>
          </cell>
          <cell r="CK41">
            <v>555.36</v>
          </cell>
          <cell r="CL41">
            <v>277.68</v>
          </cell>
          <cell r="CM41">
            <v>277.68</v>
          </cell>
          <cell r="CN41">
            <v>555.36</v>
          </cell>
          <cell r="CO41">
            <v>277.68</v>
          </cell>
          <cell r="CP41">
            <v>277.68</v>
          </cell>
          <cell r="CQ41">
            <v>555.36</v>
          </cell>
          <cell r="CR41">
            <v>277.68</v>
          </cell>
          <cell r="CS41">
            <v>277.68</v>
          </cell>
          <cell r="CT41">
            <v>555.36</v>
          </cell>
          <cell r="CU41">
            <v>277.68</v>
          </cell>
          <cell r="CV41">
            <v>277.68</v>
          </cell>
          <cell r="CW41">
            <v>555.36</v>
          </cell>
        </row>
        <row r="42">
          <cell r="A42" t="str">
            <v>VHM in HMC assemblage</v>
          </cell>
          <cell r="B42" t="str">
            <v>%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0.82799999999999996</v>
          </cell>
          <cell r="N42">
            <v>0.81950000000000012</v>
          </cell>
          <cell r="O42">
            <v>0.84000000000000008</v>
          </cell>
          <cell r="P42">
            <v>0.84000000000000008</v>
          </cell>
          <cell r="Q42">
            <v>0.84000000000000008</v>
          </cell>
          <cell r="R42">
            <v>0.84000000000000008</v>
          </cell>
          <cell r="S42">
            <v>0.84000000000000008</v>
          </cell>
          <cell r="T42">
            <v>0.84000000000000008</v>
          </cell>
          <cell r="U42">
            <v>0.84000000000000008</v>
          </cell>
          <cell r="V42">
            <v>0.84000000000000008</v>
          </cell>
          <cell r="W42">
            <v>0.84000000000000008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BQ42">
            <v>0.81200000000000006</v>
          </cell>
          <cell r="BR42">
            <v>0.84271291512915125</v>
          </cell>
          <cell r="BS42">
            <v>0.82799999999999996</v>
          </cell>
          <cell r="BT42">
            <v>0.79900000000000004</v>
          </cell>
          <cell r="BU42">
            <v>0.84000000000000008</v>
          </cell>
          <cell r="BV42">
            <v>0.81950000000000012</v>
          </cell>
          <cell r="BW42">
            <v>0.84000000000000008</v>
          </cell>
          <cell r="BX42">
            <v>0.84000000000000008</v>
          </cell>
          <cell r="BY42">
            <v>0.84000000000000008</v>
          </cell>
          <cell r="BZ42">
            <v>0.84000000000000008</v>
          </cell>
          <cell r="CA42">
            <v>0.84000000000000008</v>
          </cell>
          <cell r="CB42">
            <v>0.84000000000000008</v>
          </cell>
          <cell r="CC42">
            <v>0.84000000000000008</v>
          </cell>
          <cell r="CD42">
            <v>0.84000000000000008</v>
          </cell>
          <cell r="CE42">
            <v>0.84000000000000008</v>
          </cell>
          <cell r="CF42">
            <v>0.84000000000000008</v>
          </cell>
          <cell r="CG42">
            <v>0.84000000000000008</v>
          </cell>
          <cell r="CH42">
            <v>0.84000000000000008</v>
          </cell>
          <cell r="CI42">
            <v>0.84000000000000008</v>
          </cell>
          <cell r="CJ42">
            <v>0.84000000000000008</v>
          </cell>
          <cell r="CK42">
            <v>0.84000000000000008</v>
          </cell>
          <cell r="CL42">
            <v>0.84000000000000008</v>
          </cell>
          <cell r="CM42">
            <v>0.84000000000000008</v>
          </cell>
          <cell r="CN42">
            <v>0.84000000000000008</v>
          </cell>
          <cell r="CO42">
            <v>0.84000000000000008</v>
          </cell>
          <cell r="CP42">
            <v>0.84000000000000008</v>
          </cell>
          <cell r="CQ42">
            <v>0.84000000000000008</v>
          </cell>
          <cell r="CR42">
            <v>0.84000000000000008</v>
          </cell>
          <cell r="CS42">
            <v>0.84000000000000008</v>
          </cell>
          <cell r="CT42">
            <v>0.84000000000000008</v>
          </cell>
          <cell r="CU42">
            <v>0.84000000000000008</v>
          </cell>
          <cell r="CV42">
            <v>0.84000000000000008</v>
          </cell>
          <cell r="CW42">
            <v>0.84000000000000008</v>
          </cell>
        </row>
        <row r="43">
          <cell r="A43" t="str">
            <v>Zircon</v>
          </cell>
          <cell r="B43" t="str">
            <v>%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0.51500000000000001</v>
          </cell>
          <cell r="N43">
            <v>0.54400000000000004</v>
          </cell>
          <cell r="O43">
            <v>0.51</v>
          </cell>
          <cell r="P43">
            <v>0.51</v>
          </cell>
          <cell r="Q43">
            <v>0.51</v>
          </cell>
          <cell r="R43">
            <v>0.51</v>
          </cell>
          <cell r="S43">
            <v>0.51</v>
          </cell>
          <cell r="T43">
            <v>0.51</v>
          </cell>
          <cell r="U43">
            <v>0.51</v>
          </cell>
          <cell r="V43">
            <v>0.51</v>
          </cell>
          <cell r="W43">
            <v>0.51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BQ43">
            <v>0.49</v>
          </cell>
          <cell r="BR43">
            <v>0.53798892988929881</v>
          </cell>
          <cell r="BS43">
            <v>0.51500000000000001</v>
          </cell>
          <cell r="BT43">
            <v>0.57799999999999996</v>
          </cell>
          <cell r="BU43">
            <v>0.51</v>
          </cell>
          <cell r="BV43">
            <v>0.54400000000000004</v>
          </cell>
          <cell r="BW43">
            <v>0.51</v>
          </cell>
          <cell r="BX43">
            <v>0.51</v>
          </cell>
          <cell r="BY43">
            <v>0.51</v>
          </cell>
          <cell r="BZ43">
            <v>0.51</v>
          </cell>
          <cell r="CA43">
            <v>0.51</v>
          </cell>
          <cell r="CB43">
            <v>0.51</v>
          </cell>
          <cell r="CC43">
            <v>0.51</v>
          </cell>
          <cell r="CD43">
            <v>0.51</v>
          </cell>
          <cell r="CE43">
            <v>0.51</v>
          </cell>
          <cell r="CF43">
            <v>0.51</v>
          </cell>
          <cell r="CG43">
            <v>0.51</v>
          </cell>
          <cell r="CH43">
            <v>0.51</v>
          </cell>
          <cell r="CI43">
            <v>0.51</v>
          </cell>
          <cell r="CJ43">
            <v>0.51</v>
          </cell>
          <cell r="CK43">
            <v>0.51</v>
          </cell>
          <cell r="CL43">
            <v>0.51</v>
          </cell>
          <cell r="CM43">
            <v>0.51</v>
          </cell>
          <cell r="CN43">
            <v>0.51</v>
          </cell>
          <cell r="CO43">
            <v>0.51</v>
          </cell>
          <cell r="CP43">
            <v>0.51</v>
          </cell>
          <cell r="CQ43">
            <v>0.51</v>
          </cell>
          <cell r="CR43">
            <v>0.51</v>
          </cell>
          <cell r="CS43">
            <v>0.51</v>
          </cell>
          <cell r="CT43">
            <v>0.51</v>
          </cell>
          <cell r="CU43">
            <v>0.51</v>
          </cell>
          <cell r="CV43">
            <v>0.51</v>
          </cell>
          <cell r="CW43">
            <v>0.51</v>
          </cell>
        </row>
        <row r="44">
          <cell r="A44" t="str">
            <v>Rutile</v>
          </cell>
          <cell r="B44" t="str">
            <v>%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6.7000000000000004E-2</v>
          </cell>
          <cell r="N44">
            <v>5.3500000000000006E-2</v>
          </cell>
          <cell r="O44">
            <v>0.04</v>
          </cell>
          <cell r="P44">
            <v>0.04</v>
          </cell>
          <cell r="Q44">
            <v>0.04</v>
          </cell>
          <cell r="R44">
            <v>0.04</v>
          </cell>
          <cell r="S44">
            <v>0.04</v>
          </cell>
          <cell r="T44">
            <v>0.04</v>
          </cell>
          <cell r="U44">
            <v>0.04</v>
          </cell>
          <cell r="V44">
            <v>0.04</v>
          </cell>
          <cell r="W44">
            <v>0.04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BQ44">
            <v>6.5000000000000002E-2</v>
          </cell>
          <cell r="BR44">
            <v>6.883911439114393E-2</v>
          </cell>
          <cell r="BS44">
            <v>6.7000000000000004E-2</v>
          </cell>
          <cell r="BT44">
            <v>6.7000000000000004E-2</v>
          </cell>
          <cell r="BU44">
            <v>0.04</v>
          </cell>
          <cell r="BV44">
            <v>5.3500000000000006E-2</v>
          </cell>
          <cell r="BW44">
            <v>0.04</v>
          </cell>
          <cell r="BX44">
            <v>0.04</v>
          </cell>
          <cell r="BY44">
            <v>0.04</v>
          </cell>
          <cell r="BZ44">
            <v>0.04</v>
          </cell>
          <cell r="CA44">
            <v>0.04</v>
          </cell>
          <cell r="CB44">
            <v>0.04</v>
          </cell>
          <cell r="CC44">
            <v>0.04</v>
          </cell>
          <cell r="CD44">
            <v>0.04</v>
          </cell>
          <cell r="CE44">
            <v>0.04</v>
          </cell>
          <cell r="CF44">
            <v>0.04</v>
          </cell>
          <cell r="CG44">
            <v>0.04</v>
          </cell>
          <cell r="CH44">
            <v>0.04</v>
          </cell>
          <cell r="CI44">
            <v>0.04</v>
          </cell>
          <cell r="CJ44">
            <v>0.04</v>
          </cell>
          <cell r="CK44">
            <v>0.04</v>
          </cell>
          <cell r="CL44">
            <v>0.04</v>
          </cell>
          <cell r="CM44">
            <v>0.04</v>
          </cell>
          <cell r="CN44">
            <v>0.04</v>
          </cell>
          <cell r="CO44">
            <v>0.04</v>
          </cell>
          <cell r="CP44">
            <v>0.04</v>
          </cell>
          <cell r="CQ44">
            <v>0.04</v>
          </cell>
          <cell r="CR44">
            <v>0.04</v>
          </cell>
          <cell r="CS44">
            <v>0.04</v>
          </cell>
          <cell r="CT44">
            <v>0.04</v>
          </cell>
          <cell r="CU44">
            <v>0.04</v>
          </cell>
          <cell r="CV44">
            <v>0.04</v>
          </cell>
          <cell r="CW44">
            <v>0.04</v>
          </cell>
        </row>
        <row r="45">
          <cell r="A45" t="str">
            <v>Ilmenite saleable</v>
          </cell>
          <cell r="B45" t="str">
            <v>%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0.24099999999999999</v>
          </cell>
          <cell r="N45">
            <v>0.22999999999999998</v>
          </cell>
          <cell r="O45">
            <v>0.28999999999999998</v>
          </cell>
          <cell r="P45">
            <v>0.28999999999999998</v>
          </cell>
          <cell r="Q45">
            <v>0.28999999999999998</v>
          </cell>
          <cell r="R45">
            <v>0.28999999999999998</v>
          </cell>
          <cell r="S45">
            <v>0.28999999999999998</v>
          </cell>
          <cell r="T45">
            <v>0.28999999999999998</v>
          </cell>
          <cell r="U45">
            <v>0.28999999999999998</v>
          </cell>
          <cell r="V45">
            <v>0.28999999999999998</v>
          </cell>
          <cell r="W45">
            <v>0.28999999999999998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BQ45">
            <v>0.247</v>
          </cell>
          <cell r="BR45">
            <v>0.23548265682656822</v>
          </cell>
          <cell r="BS45">
            <v>0.24099999999999999</v>
          </cell>
          <cell r="BT45">
            <v>0.17</v>
          </cell>
          <cell r="BU45">
            <v>0.28999999999999998</v>
          </cell>
          <cell r="BV45">
            <v>0.22999999999999998</v>
          </cell>
          <cell r="BW45">
            <v>0.28999999999999998</v>
          </cell>
          <cell r="BX45">
            <v>0.28999999999999998</v>
          </cell>
          <cell r="BY45">
            <v>0.28999999999999998</v>
          </cell>
          <cell r="BZ45">
            <v>0.28999999999999998</v>
          </cell>
          <cell r="CA45">
            <v>0.28999999999999998</v>
          </cell>
          <cell r="CB45">
            <v>0.28999999999999998</v>
          </cell>
          <cell r="CC45">
            <v>0.28999999999999998</v>
          </cell>
          <cell r="CD45">
            <v>0.28999999999999998</v>
          </cell>
          <cell r="CE45">
            <v>0.28999999999999998</v>
          </cell>
          <cell r="CF45">
            <v>0.28999999999999998</v>
          </cell>
          <cell r="CG45">
            <v>0.28999999999999998</v>
          </cell>
          <cell r="CH45">
            <v>0.28999999999999998</v>
          </cell>
          <cell r="CI45">
            <v>0.28999999999999998</v>
          </cell>
          <cell r="CJ45">
            <v>0.28999999999999998</v>
          </cell>
          <cell r="CK45">
            <v>0.28999999999999998</v>
          </cell>
          <cell r="CL45">
            <v>0.28999999999999998</v>
          </cell>
          <cell r="CM45">
            <v>0.28999999999999998</v>
          </cell>
          <cell r="CN45">
            <v>0.28999999999999998</v>
          </cell>
          <cell r="CO45">
            <v>0.28999999999999998</v>
          </cell>
          <cell r="CP45">
            <v>0.28999999999999998</v>
          </cell>
          <cell r="CQ45">
            <v>0.28999999999999998</v>
          </cell>
          <cell r="CR45">
            <v>0.28999999999999998</v>
          </cell>
          <cell r="CS45">
            <v>0.28999999999999998</v>
          </cell>
          <cell r="CT45">
            <v>0.28999999999999998</v>
          </cell>
          <cell r="CU45">
            <v>0.28999999999999998</v>
          </cell>
          <cell r="CV45">
            <v>0.28999999999999998</v>
          </cell>
          <cell r="CW45">
            <v>0.28999999999999998</v>
          </cell>
        </row>
        <row r="47">
          <cell r="A47" t="str">
            <v>Zircon recovery</v>
          </cell>
          <cell r="B47" t="str">
            <v>%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0.69236698662066176</v>
          </cell>
          <cell r="N47">
            <v>0.69793960364894625</v>
          </cell>
          <cell r="O47">
            <v>0.69793960364894625</v>
          </cell>
          <cell r="P47">
            <v>0.69793960364894625</v>
          </cell>
          <cell r="Q47">
            <v>0.69793960364894625</v>
          </cell>
          <cell r="R47">
            <v>0.69793960364894625</v>
          </cell>
          <cell r="S47">
            <v>0.69793960364894625</v>
          </cell>
          <cell r="T47">
            <v>0.69793960364894625</v>
          </cell>
          <cell r="U47">
            <v>0.69793960364894625</v>
          </cell>
          <cell r="V47">
            <v>0.69793960364894625</v>
          </cell>
          <cell r="W47">
            <v>0.69793960364894625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BQ47">
            <v>0.76928518374420829</v>
          </cell>
          <cell r="BR47">
            <v>0.64857816928586831</v>
          </cell>
          <cell r="BS47">
            <v>0.69236698662066176</v>
          </cell>
          <cell r="BT47">
            <v>0.69793960364894625</v>
          </cell>
          <cell r="BU47">
            <v>0.69793960364894625</v>
          </cell>
          <cell r="BV47">
            <v>0.69793960364894625</v>
          </cell>
          <cell r="BW47">
            <v>0.69793960364894625</v>
          </cell>
          <cell r="BX47">
            <v>0.69793960364894625</v>
          </cell>
          <cell r="BY47">
            <v>0.69793960364894625</v>
          </cell>
          <cell r="BZ47">
            <v>0.69793960364894625</v>
          </cell>
          <cell r="CA47">
            <v>0.69793960364894625</v>
          </cell>
          <cell r="CB47">
            <v>0.69793960364894625</v>
          </cell>
          <cell r="CC47">
            <v>0.69793960364894625</v>
          </cell>
          <cell r="CD47">
            <v>0.69793960364894625</v>
          </cell>
          <cell r="CE47">
            <v>0.69793960364894625</v>
          </cell>
          <cell r="CF47">
            <v>0.69793960364894625</v>
          </cell>
          <cell r="CG47">
            <v>0.69793960364894625</v>
          </cell>
          <cell r="CH47">
            <v>0.69793960364894625</v>
          </cell>
          <cell r="CI47">
            <v>0.69793960364894625</v>
          </cell>
          <cell r="CJ47">
            <v>0.69793960364894625</v>
          </cell>
          <cell r="CK47">
            <v>0.69793960364894625</v>
          </cell>
          <cell r="CL47">
            <v>0.69793960364894625</v>
          </cell>
          <cell r="CM47">
            <v>0.69793960364894625</v>
          </cell>
          <cell r="CN47">
            <v>0.69793960364894625</v>
          </cell>
          <cell r="CO47">
            <v>0.69793960364894625</v>
          </cell>
          <cell r="CP47">
            <v>0.69793960364894625</v>
          </cell>
          <cell r="CQ47">
            <v>0.69793960364894625</v>
          </cell>
          <cell r="CR47">
            <v>0.69793960364894625</v>
          </cell>
          <cell r="CS47">
            <v>0.69793960364894625</v>
          </cell>
          <cell r="CT47">
            <v>0.69793960364894625</v>
          </cell>
          <cell r="CU47">
            <v>0.69793960364894625</v>
          </cell>
          <cell r="CV47">
            <v>0.69793960364894625</v>
          </cell>
          <cell r="CW47">
            <v>0.69793960364894625</v>
          </cell>
        </row>
        <row r="48">
          <cell r="A48" t="str">
            <v>Rutile recovery</v>
          </cell>
          <cell r="B48" t="str">
            <v>%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0.35973252828485169</v>
          </cell>
          <cell r="N48">
            <v>0.91163500678426035</v>
          </cell>
          <cell r="O48">
            <v>0.91163500678426035</v>
          </cell>
          <cell r="P48">
            <v>0.91163500678426035</v>
          </cell>
          <cell r="Q48">
            <v>0.91163500678426035</v>
          </cell>
          <cell r="R48">
            <v>0.91163500678426035</v>
          </cell>
          <cell r="S48">
            <v>0.91163500678426035</v>
          </cell>
          <cell r="T48">
            <v>0.91163500678426035</v>
          </cell>
          <cell r="U48">
            <v>0.91163500678426035</v>
          </cell>
          <cell r="V48">
            <v>0.91163500678426035</v>
          </cell>
          <cell r="W48">
            <v>0.91163500678426035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BQ48">
            <v>0.69324090121317161</v>
          </cell>
          <cell r="BR48">
            <v>0.23597506495548898</v>
          </cell>
          <cell r="BS48">
            <v>0.35973252828485169</v>
          </cell>
          <cell r="BT48">
            <v>0.91163500678426035</v>
          </cell>
          <cell r="BU48">
            <v>0.91163500678426035</v>
          </cell>
          <cell r="BV48">
            <v>0.91163500678426035</v>
          </cell>
          <cell r="BW48">
            <v>0.91163500678426035</v>
          </cell>
          <cell r="BX48">
            <v>0.91163500678426035</v>
          </cell>
          <cell r="BY48">
            <v>0.91163500678426035</v>
          </cell>
          <cell r="BZ48">
            <v>0.91163500678426035</v>
          </cell>
          <cell r="CA48">
            <v>0.91163500678426035</v>
          </cell>
          <cell r="CB48">
            <v>0.91163500678426035</v>
          </cell>
          <cell r="CC48">
            <v>0.91163500678426035</v>
          </cell>
          <cell r="CD48">
            <v>0.91163500678426035</v>
          </cell>
          <cell r="CE48">
            <v>0.91163500678426035</v>
          </cell>
          <cell r="CF48">
            <v>0.91163500678426035</v>
          </cell>
          <cell r="CG48">
            <v>0.91163500678426035</v>
          </cell>
          <cell r="CH48">
            <v>0.91163500678426035</v>
          </cell>
          <cell r="CI48">
            <v>0.91163500678426035</v>
          </cell>
          <cell r="CJ48">
            <v>0.91163500678426035</v>
          </cell>
          <cell r="CK48">
            <v>0.91163500678426035</v>
          </cell>
          <cell r="CL48">
            <v>0.91163500678426035</v>
          </cell>
          <cell r="CM48">
            <v>0.91163500678426035</v>
          </cell>
          <cell r="CN48">
            <v>0.91163500678426035</v>
          </cell>
          <cell r="CO48">
            <v>0.91163500678426035</v>
          </cell>
          <cell r="CP48">
            <v>0.91163500678426035</v>
          </cell>
          <cell r="CQ48">
            <v>0.91163500678426035</v>
          </cell>
          <cell r="CR48">
            <v>0.91163500678426035</v>
          </cell>
          <cell r="CS48">
            <v>0.91163500678426035</v>
          </cell>
          <cell r="CT48">
            <v>0.91163500678426035</v>
          </cell>
          <cell r="CU48">
            <v>0.91163500678426035</v>
          </cell>
          <cell r="CV48">
            <v>0.91163500678426035</v>
          </cell>
          <cell r="CW48">
            <v>0.91163500678426035</v>
          </cell>
        </row>
        <row r="49">
          <cell r="A49" t="str">
            <v>Ilmenite saleable recovery</v>
          </cell>
          <cell r="B49" t="str">
            <v>%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0.77261567664661268</v>
          </cell>
          <cell r="N49">
            <v>1.3786764705882353</v>
          </cell>
          <cell r="O49">
            <v>1.3786764705882353</v>
          </cell>
          <cell r="P49">
            <v>1.3786764705882353</v>
          </cell>
          <cell r="Q49">
            <v>1.3786764705882353</v>
          </cell>
          <cell r="R49">
            <v>1.3786764705882353</v>
          </cell>
          <cell r="S49">
            <v>1.3786764705882353</v>
          </cell>
          <cell r="T49">
            <v>1.3786764705882353</v>
          </cell>
          <cell r="U49">
            <v>1.3786764705882353</v>
          </cell>
          <cell r="V49">
            <v>1.3786764705882353</v>
          </cell>
          <cell r="W49">
            <v>1.3786764705882353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BQ49">
            <v>1.0033749885980114</v>
          </cell>
          <cell r="BR49">
            <v>0.69258993285012715</v>
          </cell>
          <cell r="BS49">
            <v>0.77261567664661268</v>
          </cell>
          <cell r="BT49">
            <v>1.3786764705882353</v>
          </cell>
          <cell r="BU49">
            <v>1.3786764705882353</v>
          </cell>
          <cell r="BV49">
            <v>1.3786764705882353</v>
          </cell>
          <cell r="BW49">
            <v>1.3786764705882353</v>
          </cell>
          <cell r="BX49">
            <v>1.3786764705882353</v>
          </cell>
          <cell r="BY49">
            <v>1.3786764705882353</v>
          </cell>
          <cell r="BZ49">
            <v>1.3786764705882353</v>
          </cell>
          <cell r="CA49">
            <v>1.3786764705882353</v>
          </cell>
          <cell r="CB49">
            <v>1.3786764705882353</v>
          </cell>
          <cell r="CC49">
            <v>1.3786764705882353</v>
          </cell>
          <cell r="CD49">
            <v>1.3786764705882353</v>
          </cell>
          <cell r="CE49">
            <v>1.3786764705882353</v>
          </cell>
          <cell r="CF49">
            <v>1.3786764705882353</v>
          </cell>
          <cell r="CG49">
            <v>1.3786764705882353</v>
          </cell>
          <cell r="CH49">
            <v>1.3786764705882353</v>
          </cell>
          <cell r="CI49">
            <v>1.3786764705882353</v>
          </cell>
          <cell r="CJ49">
            <v>1.3786764705882353</v>
          </cell>
          <cell r="CK49">
            <v>1.3786764705882353</v>
          </cell>
          <cell r="CL49">
            <v>1.3786764705882353</v>
          </cell>
          <cell r="CM49">
            <v>1.3786764705882353</v>
          </cell>
          <cell r="CN49">
            <v>1.3786764705882353</v>
          </cell>
          <cell r="CO49">
            <v>1.3786764705882353</v>
          </cell>
          <cell r="CP49">
            <v>1.3786764705882353</v>
          </cell>
          <cell r="CQ49">
            <v>1.3786764705882353</v>
          </cell>
          <cell r="CR49">
            <v>1.3786764705882353</v>
          </cell>
          <cell r="CS49">
            <v>1.3786764705882353</v>
          </cell>
          <cell r="CT49">
            <v>1.3786764705882353</v>
          </cell>
          <cell r="CU49">
            <v>1.3786764705882353</v>
          </cell>
          <cell r="CV49">
            <v>1.3786764705882353</v>
          </cell>
          <cell r="CW49">
            <v>1.3786764705882353</v>
          </cell>
        </row>
        <row r="51">
          <cell r="A51" t="str">
            <v>Eucla Processing</v>
          </cell>
          <cell r="B51" t="str">
            <v>.</v>
          </cell>
          <cell r="C51" t="str">
            <v>.</v>
          </cell>
          <cell r="D51" t="str">
            <v>.</v>
          </cell>
          <cell r="E51" t="str">
            <v>.</v>
          </cell>
          <cell r="F51" t="str">
            <v>.</v>
          </cell>
          <cell r="G51" t="str">
            <v>.</v>
          </cell>
          <cell r="H51" t="str">
            <v>.</v>
          </cell>
          <cell r="I51" t="str">
            <v>.</v>
          </cell>
          <cell r="J51" t="str">
            <v>.</v>
          </cell>
          <cell r="K51" t="str">
            <v>.</v>
          </cell>
          <cell r="L51" t="str">
            <v>.</v>
          </cell>
          <cell r="M51" t="str">
            <v>.</v>
          </cell>
          <cell r="N51" t="str">
            <v>.</v>
          </cell>
          <cell r="O51" t="str">
            <v>.</v>
          </cell>
          <cell r="P51" t="str">
            <v>.</v>
          </cell>
          <cell r="Q51" t="str">
            <v>.</v>
          </cell>
          <cell r="R51" t="str">
            <v>.</v>
          </cell>
          <cell r="S51" t="str">
            <v>.</v>
          </cell>
          <cell r="T51" t="str">
            <v>.</v>
          </cell>
          <cell r="U51" t="str">
            <v>.</v>
          </cell>
          <cell r="V51" t="str">
            <v>.</v>
          </cell>
          <cell r="W51" t="str">
            <v>.</v>
          </cell>
          <cell r="X51" t="str">
            <v>.</v>
          </cell>
          <cell r="Y51" t="str">
            <v>.</v>
          </cell>
          <cell r="Z51" t="str">
            <v>.</v>
          </cell>
          <cell r="AA51" t="str">
            <v>.</v>
          </cell>
          <cell r="AB51" t="str">
            <v>.</v>
          </cell>
          <cell r="AC51" t="str">
            <v>.</v>
          </cell>
          <cell r="AD51" t="str">
            <v>.</v>
          </cell>
          <cell r="AE51" t="str">
            <v>.</v>
          </cell>
          <cell r="AF51" t="str">
            <v>.</v>
          </cell>
          <cell r="AG51" t="str">
            <v>.</v>
          </cell>
          <cell r="AH51" t="str">
            <v>.</v>
          </cell>
          <cell r="AI51" t="str">
            <v>.</v>
          </cell>
          <cell r="AJ51" t="str">
            <v>.</v>
          </cell>
          <cell r="AK51" t="str">
            <v>.</v>
          </cell>
          <cell r="AL51" t="str">
            <v>.</v>
          </cell>
          <cell r="AM51" t="str">
            <v>.</v>
          </cell>
          <cell r="AN51" t="str">
            <v>.</v>
          </cell>
          <cell r="AO51" t="str">
            <v>.</v>
          </cell>
          <cell r="AP51" t="str">
            <v>.</v>
          </cell>
          <cell r="AQ51" t="str">
            <v>.</v>
          </cell>
          <cell r="AR51" t="str">
            <v>.</v>
          </cell>
          <cell r="AS51" t="str">
            <v>.</v>
          </cell>
          <cell r="AT51" t="str">
            <v>.</v>
          </cell>
          <cell r="AU51" t="str">
            <v>.</v>
          </cell>
          <cell r="AV51" t="str">
            <v>.</v>
          </cell>
          <cell r="AW51" t="str">
            <v>.</v>
          </cell>
          <cell r="AX51" t="str">
            <v>.</v>
          </cell>
          <cell r="AY51" t="str">
            <v>.</v>
          </cell>
          <cell r="AZ51" t="str">
            <v>.</v>
          </cell>
          <cell r="BA51" t="str">
            <v>.</v>
          </cell>
          <cell r="BB51" t="str">
            <v>.</v>
          </cell>
          <cell r="BC51" t="str">
            <v>.</v>
          </cell>
          <cell r="BD51" t="str">
            <v>.</v>
          </cell>
          <cell r="BE51" t="str">
            <v>.</v>
          </cell>
          <cell r="BF51" t="str">
            <v>.</v>
          </cell>
          <cell r="BG51" t="str">
            <v>.</v>
          </cell>
          <cell r="BH51" t="str">
            <v>.</v>
          </cell>
          <cell r="BI51" t="str">
            <v>.</v>
          </cell>
          <cell r="BJ51" t="str">
            <v>.</v>
          </cell>
          <cell r="BK51" t="str">
            <v>.</v>
          </cell>
          <cell r="BL51" t="str">
            <v>.</v>
          </cell>
          <cell r="BM51" t="str">
            <v>.</v>
          </cell>
          <cell r="BN51" t="str">
            <v>.</v>
          </cell>
          <cell r="BO51" t="str">
            <v>.</v>
          </cell>
          <cell r="BP51" t="str">
            <v>.</v>
          </cell>
          <cell r="BQ51" t="str">
            <v>.</v>
          </cell>
          <cell r="BR51" t="str">
            <v>.</v>
          </cell>
          <cell r="BS51" t="str">
            <v>.</v>
          </cell>
          <cell r="BT51" t="str">
            <v>.</v>
          </cell>
          <cell r="BU51" t="str">
            <v>.</v>
          </cell>
          <cell r="BV51" t="str">
            <v>.</v>
          </cell>
          <cell r="BW51" t="str">
            <v>.</v>
          </cell>
          <cell r="BX51" t="str">
            <v>.</v>
          </cell>
          <cell r="BY51" t="str">
            <v>.</v>
          </cell>
          <cell r="BZ51" t="str">
            <v>.</v>
          </cell>
          <cell r="CA51" t="str">
            <v>.</v>
          </cell>
          <cell r="CB51" t="str">
            <v>.</v>
          </cell>
          <cell r="CC51" t="str">
            <v>.</v>
          </cell>
          <cell r="CD51" t="str">
            <v>.</v>
          </cell>
          <cell r="CE51" t="str">
            <v>.</v>
          </cell>
          <cell r="CF51" t="str">
            <v>.</v>
          </cell>
          <cell r="CG51" t="str">
            <v>.</v>
          </cell>
          <cell r="CH51" t="str">
            <v>.</v>
          </cell>
          <cell r="CI51" t="str">
            <v>.</v>
          </cell>
          <cell r="CJ51" t="str">
            <v>.</v>
          </cell>
          <cell r="CK51" t="str">
            <v>.</v>
          </cell>
          <cell r="CL51" t="str">
            <v>.</v>
          </cell>
          <cell r="CM51" t="str">
            <v>.</v>
          </cell>
          <cell r="CN51" t="str">
            <v>.</v>
          </cell>
          <cell r="CO51" t="str">
            <v>.</v>
          </cell>
          <cell r="CP51" t="str">
            <v>.</v>
          </cell>
          <cell r="CQ51" t="str">
            <v>.</v>
          </cell>
          <cell r="CR51" t="str">
            <v>.</v>
          </cell>
          <cell r="CS51" t="str">
            <v>.</v>
          </cell>
          <cell r="CT51" t="str">
            <v>.</v>
          </cell>
          <cell r="CU51" t="str">
            <v>.</v>
          </cell>
          <cell r="CV51" t="str">
            <v>.</v>
          </cell>
          <cell r="CW51" t="str">
            <v>.</v>
          </cell>
          <cell r="DS51" t="str">
            <v>.</v>
          </cell>
          <cell r="DT51" t="str">
            <v>.</v>
          </cell>
          <cell r="DU51" t="str">
            <v>.</v>
          </cell>
          <cell r="DV51" t="str">
            <v>.</v>
          </cell>
          <cell r="DW51" t="str">
            <v>.</v>
          </cell>
          <cell r="DX51" t="str">
            <v>.</v>
          </cell>
          <cell r="DY51" t="str">
            <v>.</v>
          </cell>
          <cell r="DZ51" t="str">
            <v>.</v>
          </cell>
          <cell r="EA51" t="str">
            <v>.</v>
          </cell>
          <cell r="EB51" t="str">
            <v>.</v>
          </cell>
          <cell r="EC51" t="str">
            <v>.</v>
          </cell>
          <cell r="ED51" t="str">
            <v>.</v>
          </cell>
          <cell r="EE51" t="str">
            <v>.</v>
          </cell>
          <cell r="EF51" t="str">
            <v>.</v>
          </cell>
          <cell r="EG51" t="str">
            <v>.</v>
          </cell>
          <cell r="EH51" t="str">
            <v>.</v>
          </cell>
          <cell r="EI51" t="str">
            <v>.</v>
          </cell>
          <cell r="EJ51" t="str">
            <v>.</v>
          </cell>
          <cell r="EK51" t="str">
            <v>.</v>
          </cell>
          <cell r="EL51" t="str">
            <v>.</v>
          </cell>
          <cell r="EM51" t="str">
            <v>.</v>
          </cell>
          <cell r="EN51" t="str">
            <v>.</v>
          </cell>
          <cell r="EO51" t="str">
            <v>.</v>
          </cell>
          <cell r="EP51" t="str">
            <v>.</v>
          </cell>
        </row>
        <row r="52">
          <cell r="A52" t="str">
            <v>HMC processed</v>
          </cell>
          <cell r="B52" t="str">
            <v>kt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423.2</v>
          </cell>
          <cell r="N52">
            <v>734</v>
          </cell>
          <cell r="O52">
            <v>730</v>
          </cell>
          <cell r="P52">
            <v>730</v>
          </cell>
          <cell r="Q52">
            <v>730</v>
          </cell>
          <cell r="R52">
            <v>803.00000000000011</v>
          </cell>
          <cell r="S52">
            <v>803.00000000000011</v>
          </cell>
          <cell r="T52">
            <v>803.00000000000011</v>
          </cell>
          <cell r="U52">
            <v>803.00000000000011</v>
          </cell>
          <cell r="V52">
            <v>803.00000000000011</v>
          </cell>
          <cell r="W52">
            <v>803.00000000000011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BQ52">
            <v>115.4</v>
          </cell>
          <cell r="BR52">
            <v>307.79999999999995</v>
          </cell>
          <cell r="BS52">
            <v>423.2</v>
          </cell>
          <cell r="BT52">
            <v>352</v>
          </cell>
          <cell r="BU52">
            <v>382</v>
          </cell>
          <cell r="BV52">
            <v>734</v>
          </cell>
          <cell r="BW52">
            <v>365</v>
          </cell>
          <cell r="BX52">
            <v>365</v>
          </cell>
          <cell r="BY52">
            <v>730</v>
          </cell>
          <cell r="BZ52">
            <v>365</v>
          </cell>
          <cell r="CA52">
            <v>365</v>
          </cell>
          <cell r="CB52">
            <v>730</v>
          </cell>
          <cell r="CC52">
            <v>365</v>
          </cell>
          <cell r="CD52">
            <v>365</v>
          </cell>
          <cell r="CE52">
            <v>730</v>
          </cell>
          <cell r="CF52">
            <v>401.50000000000006</v>
          </cell>
          <cell r="CG52">
            <v>401.50000000000006</v>
          </cell>
          <cell r="CH52">
            <v>803.00000000000011</v>
          </cell>
          <cell r="CI52">
            <v>401.50000000000006</v>
          </cell>
          <cell r="CJ52">
            <v>401.50000000000006</v>
          </cell>
          <cell r="CK52">
            <v>803.00000000000011</v>
          </cell>
          <cell r="CL52">
            <v>401.50000000000006</v>
          </cell>
          <cell r="CM52">
            <v>401.50000000000006</v>
          </cell>
          <cell r="CN52">
            <v>803.00000000000011</v>
          </cell>
          <cell r="CO52">
            <v>401.50000000000006</v>
          </cell>
          <cell r="CP52">
            <v>401.50000000000006</v>
          </cell>
          <cell r="CQ52">
            <v>803.00000000000011</v>
          </cell>
          <cell r="CR52">
            <v>401.50000000000006</v>
          </cell>
          <cell r="CS52">
            <v>401.50000000000006</v>
          </cell>
          <cell r="CT52">
            <v>803.00000000000011</v>
          </cell>
          <cell r="CU52">
            <v>401.50000000000006</v>
          </cell>
          <cell r="CV52">
            <v>401.50000000000006</v>
          </cell>
          <cell r="CW52">
            <v>803.00000000000011</v>
          </cell>
        </row>
        <row r="53">
          <cell r="A53" t="str">
            <v>Zircon product</v>
          </cell>
          <cell r="B53" t="str">
            <v>kt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150.9</v>
          </cell>
          <cell r="N53">
            <v>277.97259358288773</v>
          </cell>
          <cell r="O53">
            <v>259.8429144385027</v>
          </cell>
          <cell r="P53">
            <v>259.8429144385027</v>
          </cell>
          <cell r="Q53">
            <v>259.8429144385027</v>
          </cell>
          <cell r="R53">
            <v>285.82720588235304</v>
          </cell>
          <cell r="S53">
            <v>285.82720588235304</v>
          </cell>
          <cell r="T53">
            <v>285.82720588235304</v>
          </cell>
          <cell r="U53">
            <v>285.82720588235304</v>
          </cell>
          <cell r="V53">
            <v>285.82720588235304</v>
          </cell>
          <cell r="W53">
            <v>285.82720588235304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BQ53">
            <v>43.5</v>
          </cell>
          <cell r="BR53">
            <v>107.4</v>
          </cell>
          <cell r="BS53">
            <v>150.9</v>
          </cell>
          <cell r="BT53">
            <v>142</v>
          </cell>
          <cell r="BU53">
            <v>135.9725935828877</v>
          </cell>
          <cell r="BV53">
            <v>277.97259358288773</v>
          </cell>
          <cell r="BW53">
            <v>129.92145721925135</v>
          </cell>
          <cell r="BX53">
            <v>129.92145721925135</v>
          </cell>
          <cell r="BY53">
            <v>259.8429144385027</v>
          </cell>
          <cell r="BZ53">
            <v>129.92145721925135</v>
          </cell>
          <cell r="CA53">
            <v>129.92145721925135</v>
          </cell>
          <cell r="CB53">
            <v>259.8429144385027</v>
          </cell>
          <cell r="CC53">
            <v>129.92145721925135</v>
          </cell>
          <cell r="CD53">
            <v>129.92145721925135</v>
          </cell>
          <cell r="CE53">
            <v>259.8429144385027</v>
          </cell>
          <cell r="CF53">
            <v>142.91360294117652</v>
          </cell>
          <cell r="CG53">
            <v>142.91360294117652</v>
          </cell>
          <cell r="CH53">
            <v>285.82720588235304</v>
          </cell>
          <cell r="CI53">
            <v>142.91360294117652</v>
          </cell>
          <cell r="CJ53">
            <v>142.91360294117652</v>
          </cell>
          <cell r="CK53">
            <v>285.82720588235304</v>
          </cell>
          <cell r="CL53">
            <v>142.91360294117652</v>
          </cell>
          <cell r="CM53">
            <v>142.91360294117652</v>
          </cell>
          <cell r="CN53">
            <v>285.82720588235304</v>
          </cell>
          <cell r="CO53">
            <v>142.91360294117652</v>
          </cell>
          <cell r="CP53">
            <v>142.91360294117652</v>
          </cell>
          <cell r="CQ53">
            <v>285.82720588235304</v>
          </cell>
          <cell r="CR53">
            <v>142.91360294117652</v>
          </cell>
          <cell r="CS53">
            <v>142.91360294117652</v>
          </cell>
          <cell r="CT53">
            <v>285.82720588235304</v>
          </cell>
          <cell r="CU53">
            <v>142.91360294117652</v>
          </cell>
          <cell r="CV53">
            <v>142.91360294117652</v>
          </cell>
          <cell r="CW53">
            <v>285.82720588235304</v>
          </cell>
        </row>
        <row r="54">
          <cell r="A54" t="str">
            <v>Rutile product</v>
          </cell>
          <cell r="B54" t="str">
            <v>kt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10.199999999999999</v>
          </cell>
          <cell r="N54">
            <v>35.429782903663501</v>
          </cell>
          <cell r="O54">
            <v>26.619742198100401</v>
          </cell>
          <cell r="P54">
            <v>26.619742198100401</v>
          </cell>
          <cell r="Q54">
            <v>26.619742198100401</v>
          </cell>
          <cell r="R54">
            <v>29.281716417910445</v>
          </cell>
          <cell r="S54">
            <v>29.281716417910445</v>
          </cell>
          <cell r="T54">
            <v>29.281716417910445</v>
          </cell>
          <cell r="U54">
            <v>29.281716417910445</v>
          </cell>
          <cell r="V54">
            <v>29.281716417910445</v>
          </cell>
          <cell r="W54">
            <v>29.281716417910445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BQ54">
            <v>5.2</v>
          </cell>
          <cell r="BR54">
            <v>4.9999999999999991</v>
          </cell>
          <cell r="BS54">
            <v>10.199999999999999</v>
          </cell>
          <cell r="BT54">
            <v>21.5</v>
          </cell>
          <cell r="BU54">
            <v>13.929782903663499</v>
          </cell>
          <cell r="BV54">
            <v>35.429782903663501</v>
          </cell>
          <cell r="BW54">
            <v>13.3098710990502</v>
          </cell>
          <cell r="BX54">
            <v>13.3098710990502</v>
          </cell>
          <cell r="BY54">
            <v>26.619742198100401</v>
          </cell>
          <cell r="BZ54">
            <v>13.3098710990502</v>
          </cell>
          <cell r="CA54">
            <v>13.3098710990502</v>
          </cell>
          <cell r="CB54">
            <v>26.619742198100401</v>
          </cell>
          <cell r="CC54">
            <v>13.3098710990502</v>
          </cell>
          <cell r="CD54">
            <v>13.3098710990502</v>
          </cell>
          <cell r="CE54">
            <v>26.619742198100401</v>
          </cell>
          <cell r="CF54">
            <v>14.640858208955223</v>
          </cell>
          <cell r="CG54">
            <v>14.640858208955223</v>
          </cell>
          <cell r="CH54">
            <v>29.281716417910445</v>
          </cell>
          <cell r="CI54">
            <v>14.640858208955223</v>
          </cell>
          <cell r="CJ54">
            <v>14.640858208955223</v>
          </cell>
          <cell r="CK54">
            <v>29.281716417910445</v>
          </cell>
          <cell r="CL54">
            <v>14.640858208955223</v>
          </cell>
          <cell r="CM54">
            <v>14.640858208955223</v>
          </cell>
          <cell r="CN54">
            <v>29.281716417910445</v>
          </cell>
          <cell r="CO54">
            <v>14.640858208955223</v>
          </cell>
          <cell r="CP54">
            <v>14.640858208955223</v>
          </cell>
          <cell r="CQ54">
            <v>29.281716417910445</v>
          </cell>
          <cell r="CR54">
            <v>14.640858208955223</v>
          </cell>
          <cell r="CS54">
            <v>14.640858208955223</v>
          </cell>
          <cell r="CT54">
            <v>29.281716417910445</v>
          </cell>
          <cell r="CU54">
            <v>14.640858208955223</v>
          </cell>
          <cell r="CV54">
            <v>14.640858208955223</v>
          </cell>
          <cell r="CW54">
            <v>29.281716417910445</v>
          </cell>
        </row>
        <row r="55">
          <cell r="A55" t="str">
            <v>Ilmenite Saleable</v>
          </cell>
          <cell r="B55" t="str">
            <v>kt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78.8</v>
          </cell>
          <cell r="N55">
            <v>235.2297794117647</v>
          </cell>
          <cell r="O55">
            <v>291.86580882352939</v>
          </cell>
          <cell r="P55">
            <v>291.86580882352939</v>
          </cell>
          <cell r="Q55">
            <v>291.86580882352939</v>
          </cell>
          <cell r="R55">
            <v>321.05238970588238</v>
          </cell>
          <cell r="S55">
            <v>321.05238970588238</v>
          </cell>
          <cell r="T55">
            <v>321.05238970588238</v>
          </cell>
          <cell r="U55">
            <v>321.05238970588238</v>
          </cell>
          <cell r="V55">
            <v>321.05238970588238</v>
          </cell>
          <cell r="W55">
            <v>321.05238970588238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BQ55">
            <v>28.6</v>
          </cell>
          <cell r="BR55">
            <v>50.199999999999996</v>
          </cell>
          <cell r="BS55">
            <v>78.8</v>
          </cell>
          <cell r="BT55">
            <v>82.5</v>
          </cell>
          <cell r="BU55">
            <v>152.7297794117647</v>
          </cell>
          <cell r="BV55">
            <v>235.2297794117647</v>
          </cell>
          <cell r="BW55">
            <v>145.9329044117647</v>
          </cell>
          <cell r="BX55">
            <v>145.9329044117647</v>
          </cell>
          <cell r="BY55">
            <v>291.86580882352939</v>
          </cell>
          <cell r="BZ55">
            <v>145.9329044117647</v>
          </cell>
          <cell r="CA55">
            <v>145.9329044117647</v>
          </cell>
          <cell r="CB55">
            <v>291.86580882352939</v>
          </cell>
          <cell r="CC55">
            <v>145.9329044117647</v>
          </cell>
          <cell r="CD55">
            <v>145.9329044117647</v>
          </cell>
          <cell r="CE55">
            <v>291.86580882352939</v>
          </cell>
          <cell r="CF55">
            <v>160.52619485294119</v>
          </cell>
          <cell r="CG55">
            <v>160.52619485294119</v>
          </cell>
          <cell r="CH55">
            <v>321.05238970588238</v>
          </cell>
          <cell r="CI55">
            <v>160.52619485294119</v>
          </cell>
          <cell r="CJ55">
            <v>160.52619485294119</v>
          </cell>
          <cell r="CK55">
            <v>321.05238970588238</v>
          </cell>
          <cell r="CL55">
            <v>160.52619485294119</v>
          </cell>
          <cell r="CM55">
            <v>160.52619485294119</v>
          </cell>
          <cell r="CN55">
            <v>321.05238970588238</v>
          </cell>
          <cell r="CO55">
            <v>160.52619485294119</v>
          </cell>
          <cell r="CP55">
            <v>160.52619485294119</v>
          </cell>
          <cell r="CQ55">
            <v>321.05238970588238</v>
          </cell>
          <cell r="CR55">
            <v>160.52619485294119</v>
          </cell>
          <cell r="CS55">
            <v>160.52619485294119</v>
          </cell>
          <cell r="CT55">
            <v>321.05238970588238</v>
          </cell>
          <cell r="CU55">
            <v>160.52619485294119</v>
          </cell>
          <cell r="CV55">
            <v>160.52619485294119</v>
          </cell>
          <cell r="CW55">
            <v>321.05238970588238</v>
          </cell>
        </row>
        <row r="56">
          <cell r="A56" t="str">
            <v>Ilmenite Upgradeable</v>
          </cell>
          <cell r="B56" t="str">
            <v>kt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42</v>
          </cell>
          <cell r="N56">
            <v>2.7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BQ56">
            <v>4.3</v>
          </cell>
          <cell r="BR56">
            <v>37.700000000000003</v>
          </cell>
          <cell r="BS56">
            <v>42</v>
          </cell>
          <cell r="BT56">
            <v>2.7</v>
          </cell>
          <cell r="BU56">
            <v>0</v>
          </cell>
          <cell r="BV56">
            <v>2.7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>
            <v>0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  <cell r="CH56">
            <v>0</v>
          </cell>
          <cell r="CI56">
            <v>0</v>
          </cell>
          <cell r="CJ56">
            <v>0</v>
          </cell>
          <cell r="CK56">
            <v>0</v>
          </cell>
          <cell r="CL56">
            <v>0</v>
          </cell>
          <cell r="CM56">
            <v>0</v>
          </cell>
          <cell r="CN56">
            <v>0</v>
          </cell>
          <cell r="CO56">
            <v>0</v>
          </cell>
          <cell r="CP56">
            <v>0</v>
          </cell>
          <cell r="CQ56">
            <v>0</v>
          </cell>
          <cell r="CR56">
            <v>0</v>
          </cell>
          <cell r="CS56">
            <v>0</v>
          </cell>
          <cell r="CT56">
            <v>0</v>
          </cell>
          <cell r="CU56">
            <v>0</v>
          </cell>
          <cell r="CV56">
            <v>0</v>
          </cell>
          <cell r="CW56">
            <v>0</v>
          </cell>
        </row>
        <row r="57">
          <cell r="A57" t="str">
            <v>Synthetic Rutile product</v>
          </cell>
          <cell r="B57" t="str">
            <v>kt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BQ57">
            <v>0</v>
          </cell>
          <cell r="BR57">
            <v>0</v>
          </cell>
          <cell r="BS57">
            <v>0</v>
          </cell>
          <cell r="BV57">
            <v>0</v>
          </cell>
          <cell r="BY57">
            <v>0</v>
          </cell>
          <cell r="CB57">
            <v>0</v>
          </cell>
          <cell r="CE57">
            <v>0</v>
          </cell>
          <cell r="CH57">
            <v>0</v>
          </cell>
          <cell r="CK57">
            <v>0</v>
          </cell>
          <cell r="CN57">
            <v>0</v>
          </cell>
          <cell r="CQ57">
            <v>0</v>
          </cell>
          <cell r="CT57">
            <v>0</v>
          </cell>
          <cell r="CW57">
            <v>0</v>
          </cell>
        </row>
        <row r="59">
          <cell r="A59" t="str">
            <v>Perth Reserves and Resources</v>
          </cell>
          <cell r="B59" t="str">
            <v>.</v>
          </cell>
          <cell r="C59" t="str">
            <v>.</v>
          </cell>
          <cell r="D59" t="str">
            <v>.</v>
          </cell>
          <cell r="E59" t="str">
            <v>.</v>
          </cell>
          <cell r="F59" t="str">
            <v>.</v>
          </cell>
          <cell r="G59" t="str">
            <v>.</v>
          </cell>
          <cell r="H59" t="str">
            <v>.</v>
          </cell>
          <cell r="I59" t="str">
            <v>.</v>
          </cell>
          <cell r="J59" t="str">
            <v>.</v>
          </cell>
          <cell r="K59" t="str">
            <v>.</v>
          </cell>
          <cell r="L59" t="str">
            <v>.</v>
          </cell>
          <cell r="M59" t="str">
            <v>.</v>
          </cell>
          <cell r="N59" t="str">
            <v>.</v>
          </cell>
          <cell r="O59" t="str">
            <v>.</v>
          </cell>
          <cell r="P59" t="str">
            <v>.</v>
          </cell>
          <cell r="Q59" t="str">
            <v>.</v>
          </cell>
          <cell r="R59" t="str">
            <v>.</v>
          </cell>
          <cell r="S59" t="str">
            <v>.</v>
          </cell>
          <cell r="T59" t="str">
            <v>.</v>
          </cell>
          <cell r="U59" t="str">
            <v>.</v>
          </cell>
          <cell r="V59" t="str">
            <v>.</v>
          </cell>
          <cell r="W59" t="str">
            <v>.</v>
          </cell>
          <cell r="X59" t="str">
            <v>.</v>
          </cell>
          <cell r="Y59" t="str">
            <v>.</v>
          </cell>
          <cell r="Z59" t="str">
            <v>.</v>
          </cell>
          <cell r="AA59" t="str">
            <v>.</v>
          </cell>
          <cell r="AB59" t="str">
            <v>.</v>
          </cell>
          <cell r="AC59" t="str">
            <v>.</v>
          </cell>
          <cell r="AD59" t="str">
            <v>.</v>
          </cell>
          <cell r="AE59" t="str">
            <v>.</v>
          </cell>
          <cell r="AF59" t="str">
            <v>.</v>
          </cell>
          <cell r="AG59" t="str">
            <v>.</v>
          </cell>
          <cell r="AH59" t="str">
            <v>.</v>
          </cell>
          <cell r="AI59" t="str">
            <v>.</v>
          </cell>
          <cell r="AJ59" t="str">
            <v>.</v>
          </cell>
          <cell r="AK59" t="str">
            <v>.</v>
          </cell>
          <cell r="AL59" t="str">
            <v>.</v>
          </cell>
          <cell r="AM59" t="str">
            <v>.</v>
          </cell>
          <cell r="AN59" t="str">
            <v>.</v>
          </cell>
          <cell r="AO59" t="str">
            <v>.</v>
          </cell>
          <cell r="AP59" t="str">
            <v>.</v>
          </cell>
          <cell r="AQ59" t="str">
            <v>.</v>
          </cell>
          <cell r="AR59" t="str">
            <v>.</v>
          </cell>
          <cell r="AS59" t="str">
            <v>.</v>
          </cell>
          <cell r="AT59" t="str">
            <v>.</v>
          </cell>
          <cell r="AU59" t="str">
            <v>.</v>
          </cell>
          <cell r="AV59" t="str">
            <v>.</v>
          </cell>
          <cell r="AW59" t="str">
            <v>.</v>
          </cell>
          <cell r="AX59" t="str">
            <v>.</v>
          </cell>
          <cell r="AY59" t="str">
            <v>.</v>
          </cell>
          <cell r="AZ59" t="str">
            <v>.</v>
          </cell>
          <cell r="BA59" t="str">
            <v>.</v>
          </cell>
          <cell r="BB59" t="str">
            <v>.</v>
          </cell>
          <cell r="BC59" t="str">
            <v>.</v>
          </cell>
          <cell r="BD59" t="str">
            <v>.</v>
          </cell>
          <cell r="BE59" t="str">
            <v>.</v>
          </cell>
          <cell r="BF59" t="str">
            <v>.</v>
          </cell>
          <cell r="BG59" t="str">
            <v>.</v>
          </cell>
          <cell r="BH59" t="str">
            <v>.</v>
          </cell>
          <cell r="BI59" t="str">
            <v>.</v>
          </cell>
          <cell r="BJ59" t="str">
            <v>.</v>
          </cell>
          <cell r="BK59" t="str">
            <v>.</v>
          </cell>
          <cell r="BL59" t="str">
            <v>.</v>
          </cell>
          <cell r="BM59" t="str">
            <v>.</v>
          </cell>
          <cell r="BN59" t="str">
            <v>.</v>
          </cell>
          <cell r="BO59" t="str">
            <v>.</v>
          </cell>
          <cell r="BP59" t="str">
            <v>.</v>
          </cell>
          <cell r="BQ59" t="str">
            <v>.</v>
          </cell>
          <cell r="BR59" t="str">
            <v>.</v>
          </cell>
          <cell r="BS59" t="str">
            <v>.</v>
          </cell>
          <cell r="BT59" t="str">
            <v>.</v>
          </cell>
          <cell r="BU59" t="str">
            <v>.</v>
          </cell>
          <cell r="BV59" t="str">
            <v>.</v>
          </cell>
          <cell r="BW59" t="str">
            <v>.</v>
          </cell>
          <cell r="BX59" t="str">
            <v>.</v>
          </cell>
          <cell r="BY59" t="str">
            <v>.</v>
          </cell>
          <cell r="BZ59" t="str">
            <v>.</v>
          </cell>
          <cell r="CA59" t="str">
            <v>.</v>
          </cell>
          <cell r="CB59" t="str">
            <v>.</v>
          </cell>
          <cell r="CC59" t="str">
            <v>.</v>
          </cell>
          <cell r="CD59" t="str">
            <v>.</v>
          </cell>
          <cell r="CE59" t="str">
            <v>.</v>
          </cell>
          <cell r="CF59" t="str">
            <v>.</v>
          </cell>
          <cell r="CG59" t="str">
            <v>.</v>
          </cell>
          <cell r="CH59" t="str">
            <v>.</v>
          </cell>
          <cell r="CI59" t="str">
            <v>.</v>
          </cell>
          <cell r="CJ59" t="str">
            <v>.</v>
          </cell>
          <cell r="CK59" t="str">
            <v>.</v>
          </cell>
          <cell r="CL59" t="str">
            <v>.</v>
          </cell>
          <cell r="CM59" t="str">
            <v>.</v>
          </cell>
          <cell r="CN59" t="str">
            <v>.</v>
          </cell>
          <cell r="CO59" t="str">
            <v>.</v>
          </cell>
          <cell r="CP59" t="str">
            <v>.</v>
          </cell>
          <cell r="CQ59" t="str">
            <v>.</v>
          </cell>
          <cell r="CR59" t="str">
            <v>.</v>
          </cell>
          <cell r="CS59" t="str">
            <v>.</v>
          </cell>
          <cell r="CT59" t="str">
            <v>.</v>
          </cell>
          <cell r="CU59" t="str">
            <v>.</v>
          </cell>
          <cell r="CV59" t="str">
            <v>.</v>
          </cell>
          <cell r="CW59" t="str">
            <v>.</v>
          </cell>
          <cell r="DS59" t="str">
            <v>.</v>
          </cell>
          <cell r="DT59" t="str">
            <v>.</v>
          </cell>
          <cell r="DU59" t="str">
            <v>.</v>
          </cell>
          <cell r="DV59" t="str">
            <v>.</v>
          </cell>
          <cell r="DW59" t="str">
            <v>.</v>
          </cell>
          <cell r="DX59" t="str">
            <v>.</v>
          </cell>
          <cell r="DY59" t="str">
            <v>.</v>
          </cell>
          <cell r="DZ59" t="str">
            <v>.</v>
          </cell>
          <cell r="EA59" t="str">
            <v>.</v>
          </cell>
          <cell r="EB59" t="str">
            <v>.</v>
          </cell>
          <cell r="EC59" t="str">
            <v>.</v>
          </cell>
          <cell r="ED59" t="str">
            <v>.</v>
          </cell>
          <cell r="EE59" t="str">
            <v>.</v>
          </cell>
          <cell r="EF59" t="str">
            <v>.</v>
          </cell>
          <cell r="EG59" t="str">
            <v>.</v>
          </cell>
          <cell r="EH59" t="str">
            <v>.</v>
          </cell>
          <cell r="EI59" t="str">
            <v>.</v>
          </cell>
          <cell r="EJ59" t="str">
            <v>.</v>
          </cell>
          <cell r="EK59" t="str">
            <v>.</v>
          </cell>
          <cell r="EL59" t="str">
            <v>.</v>
          </cell>
          <cell r="EM59" t="str">
            <v>.</v>
          </cell>
          <cell r="EN59" t="str">
            <v>.</v>
          </cell>
          <cell r="EO59" t="str">
            <v>.</v>
          </cell>
          <cell r="EP59" t="str">
            <v>.</v>
          </cell>
        </row>
        <row r="60">
          <cell r="A60" t="str">
            <v>Reserves</v>
          </cell>
        </row>
        <row r="61">
          <cell r="A61" t="str">
            <v>Ore Tonnes</v>
          </cell>
          <cell r="B61" t="str">
            <v>Mt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161.80000000000001</v>
          </cell>
          <cell r="M61">
            <v>175.6</v>
          </cell>
          <cell r="N61">
            <v>175.49099999999999</v>
          </cell>
          <cell r="O61">
            <v>175.49099999999999</v>
          </cell>
          <cell r="P61">
            <v>175.49099999999999</v>
          </cell>
          <cell r="Q61">
            <v>175.49099999999999</v>
          </cell>
          <cell r="R61">
            <v>175.49099999999999</v>
          </cell>
          <cell r="S61">
            <v>175.49099999999999</v>
          </cell>
          <cell r="T61">
            <v>175.49099999999999</v>
          </cell>
          <cell r="U61">
            <v>175.49099999999999</v>
          </cell>
          <cell r="V61">
            <v>175.49099999999999</v>
          </cell>
          <cell r="W61">
            <v>175.49099999999999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BP61">
            <v>161.80000000000001</v>
          </cell>
          <cell r="BQ61">
            <v>158.1739</v>
          </cell>
          <cell r="BR61">
            <v>158.1738</v>
          </cell>
          <cell r="BS61">
            <v>175.6</v>
          </cell>
          <cell r="BT61">
            <v>175.49099999999999</v>
          </cell>
          <cell r="BU61">
            <v>175.49099999999999</v>
          </cell>
          <cell r="BV61">
            <v>175.49099999999999</v>
          </cell>
          <cell r="BW61">
            <v>175.49099999999999</v>
          </cell>
          <cell r="BX61">
            <v>175.49099999999999</v>
          </cell>
          <cell r="BY61">
            <v>175.49099999999999</v>
          </cell>
          <cell r="BZ61">
            <v>175.49099999999999</v>
          </cell>
          <cell r="CA61">
            <v>175.49099999999999</v>
          </cell>
          <cell r="CB61">
            <v>175.49099999999999</v>
          </cell>
          <cell r="CC61">
            <v>175.49099999999999</v>
          </cell>
          <cell r="CD61">
            <v>175.49099999999999</v>
          </cell>
          <cell r="CE61">
            <v>175.49099999999999</v>
          </cell>
          <cell r="CF61">
            <v>175.49099999999999</v>
          </cell>
          <cell r="CG61">
            <v>175.49099999999999</v>
          </cell>
          <cell r="CH61">
            <v>175.49099999999999</v>
          </cell>
          <cell r="CI61">
            <v>175.49099999999999</v>
          </cell>
          <cell r="CJ61">
            <v>175.49099999999999</v>
          </cell>
          <cell r="CK61">
            <v>175.49099999999999</v>
          </cell>
          <cell r="CL61">
            <v>175.49099999999999</v>
          </cell>
          <cell r="CM61">
            <v>175.49099999999999</v>
          </cell>
          <cell r="CN61">
            <v>175.49099999999999</v>
          </cell>
          <cell r="CO61">
            <v>175.49099999999999</v>
          </cell>
          <cell r="CP61">
            <v>175.49099999999999</v>
          </cell>
          <cell r="CQ61">
            <v>175.49099999999999</v>
          </cell>
          <cell r="CR61">
            <v>175.49099999999999</v>
          </cell>
          <cell r="CS61">
            <v>175.49099999999999</v>
          </cell>
          <cell r="CT61">
            <v>175.49099999999999</v>
          </cell>
          <cell r="CU61">
            <v>175.49099999999999</v>
          </cell>
          <cell r="CV61">
            <v>175.49099999999999</v>
          </cell>
          <cell r="CW61">
            <v>175.49099999999999</v>
          </cell>
        </row>
        <row r="62">
          <cell r="A62" t="str">
            <v>HM Tonnes</v>
          </cell>
          <cell r="B62" t="str">
            <v>Mt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12.09</v>
          </cell>
          <cell r="M62">
            <v>12.71</v>
          </cell>
          <cell r="N62">
            <v>12.7057</v>
          </cell>
          <cell r="O62">
            <v>12.7057</v>
          </cell>
          <cell r="P62">
            <v>12.7057</v>
          </cell>
          <cell r="Q62">
            <v>12.7057</v>
          </cell>
          <cell r="R62">
            <v>12.7057</v>
          </cell>
          <cell r="S62">
            <v>12.7057</v>
          </cell>
          <cell r="T62">
            <v>12.7057</v>
          </cell>
          <cell r="U62">
            <v>12.7057</v>
          </cell>
          <cell r="V62">
            <v>12.7057</v>
          </cell>
          <cell r="W62">
            <v>12.7057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BP62">
            <v>12.09</v>
          </cell>
          <cell r="BQ62">
            <v>11.806799999999999</v>
          </cell>
          <cell r="BR62">
            <v>11.700099999999999</v>
          </cell>
          <cell r="BS62">
            <v>12.71</v>
          </cell>
          <cell r="BT62">
            <v>12.7057</v>
          </cell>
          <cell r="BU62">
            <v>12.7057</v>
          </cell>
          <cell r="BV62">
            <v>12.7057</v>
          </cell>
          <cell r="BW62">
            <v>12.7057</v>
          </cell>
          <cell r="BX62">
            <v>12.7057</v>
          </cell>
          <cell r="BY62">
            <v>12.7057</v>
          </cell>
          <cell r="BZ62">
            <v>12.7057</v>
          </cell>
          <cell r="CA62">
            <v>12.7057</v>
          </cell>
          <cell r="CB62">
            <v>12.7057</v>
          </cell>
          <cell r="CC62">
            <v>12.7057</v>
          </cell>
          <cell r="CD62">
            <v>12.7057</v>
          </cell>
          <cell r="CE62">
            <v>12.7057</v>
          </cell>
          <cell r="CF62">
            <v>12.7057</v>
          </cell>
          <cell r="CG62">
            <v>12.7057</v>
          </cell>
          <cell r="CH62">
            <v>12.7057</v>
          </cell>
          <cell r="CI62">
            <v>12.7057</v>
          </cell>
          <cell r="CJ62">
            <v>12.7057</v>
          </cell>
          <cell r="CK62">
            <v>12.7057</v>
          </cell>
          <cell r="CL62">
            <v>12.7057</v>
          </cell>
          <cell r="CM62">
            <v>12.7057</v>
          </cell>
          <cell r="CN62">
            <v>12.7057</v>
          </cell>
          <cell r="CO62">
            <v>12.7057</v>
          </cell>
          <cell r="CP62">
            <v>12.7057</v>
          </cell>
          <cell r="CQ62">
            <v>12.7057</v>
          </cell>
          <cell r="CR62">
            <v>12.7057</v>
          </cell>
          <cell r="CS62">
            <v>12.7057</v>
          </cell>
          <cell r="CT62">
            <v>12.7057</v>
          </cell>
          <cell r="CU62">
            <v>12.7057</v>
          </cell>
          <cell r="CV62">
            <v>12.7057</v>
          </cell>
          <cell r="CW62">
            <v>12.7057</v>
          </cell>
        </row>
        <row r="63">
          <cell r="A63" t="str">
            <v>HM Grade</v>
          </cell>
          <cell r="B63" t="str">
            <v>%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7.4999999999999997E-2</v>
          </cell>
          <cell r="M63">
            <v>7.1999999999999995E-2</v>
          </cell>
          <cell r="N63">
            <v>7.1999999999999995E-2</v>
          </cell>
          <cell r="O63">
            <v>7.1999999999999995E-2</v>
          </cell>
          <cell r="P63">
            <v>7.1999999999999995E-2</v>
          </cell>
          <cell r="Q63">
            <v>7.1999999999999995E-2</v>
          </cell>
          <cell r="R63">
            <v>7.1999999999999995E-2</v>
          </cell>
          <cell r="S63">
            <v>7.1999999999999995E-2</v>
          </cell>
          <cell r="T63">
            <v>7.1999999999999995E-2</v>
          </cell>
          <cell r="U63">
            <v>7.1999999999999995E-2</v>
          </cell>
          <cell r="V63">
            <v>7.1999999999999995E-2</v>
          </cell>
          <cell r="W63">
            <v>7.1999999999999995E-2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BP63">
            <v>7.4999999999999997E-2</v>
          </cell>
          <cell r="BQ63">
            <v>7.4999999999999997E-2</v>
          </cell>
          <cell r="BR63">
            <v>7.4999999999999997E-2</v>
          </cell>
          <cell r="BS63">
            <v>7.1999999999999995E-2</v>
          </cell>
          <cell r="BT63">
            <v>7.1999999999999995E-2</v>
          </cell>
          <cell r="BU63">
            <v>7.1999999999999995E-2</v>
          </cell>
          <cell r="BV63">
            <v>7.1999999999999995E-2</v>
          </cell>
          <cell r="BW63">
            <v>7.1999999999999995E-2</v>
          </cell>
          <cell r="BX63">
            <v>7.1999999999999995E-2</v>
          </cell>
          <cell r="BY63">
            <v>7.1999999999999995E-2</v>
          </cell>
          <cell r="BZ63">
            <v>7.1999999999999995E-2</v>
          </cell>
          <cell r="CA63">
            <v>7.1999999999999995E-2</v>
          </cell>
          <cell r="CB63">
            <v>7.1999999999999995E-2</v>
          </cell>
          <cell r="CC63">
            <v>7.1999999999999995E-2</v>
          </cell>
          <cell r="CD63">
            <v>7.1999999999999995E-2</v>
          </cell>
          <cell r="CE63">
            <v>7.1999999999999995E-2</v>
          </cell>
          <cell r="CF63">
            <v>7.1999999999999995E-2</v>
          </cell>
          <cell r="CG63">
            <v>7.1999999999999995E-2</v>
          </cell>
          <cell r="CH63">
            <v>7.1999999999999995E-2</v>
          </cell>
          <cell r="CI63">
            <v>7.1999999999999995E-2</v>
          </cell>
          <cell r="CJ63">
            <v>7.1999999999999995E-2</v>
          </cell>
          <cell r="CK63">
            <v>7.1999999999999995E-2</v>
          </cell>
          <cell r="CL63">
            <v>7.1999999999999995E-2</v>
          </cell>
          <cell r="CM63">
            <v>7.1999999999999995E-2</v>
          </cell>
          <cell r="CN63">
            <v>7.1999999999999995E-2</v>
          </cell>
          <cell r="CO63">
            <v>7.1999999999999995E-2</v>
          </cell>
          <cell r="CP63">
            <v>7.1999999999999995E-2</v>
          </cell>
          <cell r="CQ63">
            <v>7.1999999999999995E-2</v>
          </cell>
          <cell r="CR63">
            <v>7.1999999999999995E-2</v>
          </cell>
          <cell r="CS63">
            <v>7.1999999999999995E-2</v>
          </cell>
          <cell r="CT63">
            <v>7.1999999999999995E-2</v>
          </cell>
          <cell r="CU63">
            <v>7.1999999999999995E-2</v>
          </cell>
          <cell r="CV63">
            <v>7.1999999999999995E-2</v>
          </cell>
          <cell r="CW63">
            <v>7.1999999999999995E-2</v>
          </cell>
        </row>
        <row r="64">
          <cell r="A64" t="str">
            <v>Ilmenite grade</v>
          </cell>
          <cell r="B64" t="str">
            <v>%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0.63</v>
          </cell>
          <cell r="M64">
            <v>0.63</v>
          </cell>
          <cell r="N64">
            <v>0.63</v>
          </cell>
          <cell r="O64">
            <v>0.63</v>
          </cell>
          <cell r="P64">
            <v>0.63</v>
          </cell>
          <cell r="Q64">
            <v>0.63</v>
          </cell>
          <cell r="R64">
            <v>0.63</v>
          </cell>
          <cell r="S64">
            <v>0.63</v>
          </cell>
          <cell r="T64">
            <v>0.63</v>
          </cell>
          <cell r="U64">
            <v>0.63</v>
          </cell>
          <cell r="V64">
            <v>0.63</v>
          </cell>
          <cell r="W64">
            <v>0.63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BP64">
            <v>0.63</v>
          </cell>
          <cell r="BQ64">
            <v>0.63</v>
          </cell>
          <cell r="BR64">
            <v>0.63</v>
          </cell>
          <cell r="BS64">
            <v>0.63</v>
          </cell>
          <cell r="BT64">
            <v>0.63</v>
          </cell>
          <cell r="BU64">
            <v>0.63</v>
          </cell>
          <cell r="BV64">
            <v>0.63</v>
          </cell>
          <cell r="BW64">
            <v>0.63</v>
          </cell>
          <cell r="BX64">
            <v>0.63</v>
          </cell>
          <cell r="BY64">
            <v>0.63</v>
          </cell>
          <cell r="BZ64">
            <v>0.63</v>
          </cell>
          <cell r="CA64">
            <v>0.63</v>
          </cell>
          <cell r="CB64">
            <v>0.63</v>
          </cell>
          <cell r="CC64">
            <v>0.63</v>
          </cell>
          <cell r="CD64">
            <v>0.63</v>
          </cell>
          <cell r="CE64">
            <v>0.63</v>
          </cell>
          <cell r="CF64">
            <v>0.63</v>
          </cell>
          <cell r="CG64">
            <v>0.63</v>
          </cell>
          <cell r="CH64">
            <v>0.63</v>
          </cell>
          <cell r="CI64">
            <v>0.63</v>
          </cell>
          <cell r="CJ64">
            <v>0.63</v>
          </cell>
          <cell r="CK64">
            <v>0.63</v>
          </cell>
          <cell r="CL64">
            <v>0.63</v>
          </cell>
          <cell r="CM64">
            <v>0.63</v>
          </cell>
          <cell r="CN64">
            <v>0.63</v>
          </cell>
          <cell r="CO64">
            <v>0.63</v>
          </cell>
          <cell r="CP64">
            <v>0.63</v>
          </cell>
          <cell r="CQ64">
            <v>0.63</v>
          </cell>
          <cell r="CR64">
            <v>0.63</v>
          </cell>
          <cell r="CS64">
            <v>0.63</v>
          </cell>
          <cell r="CT64">
            <v>0.63</v>
          </cell>
          <cell r="CU64">
            <v>0.63</v>
          </cell>
          <cell r="CV64">
            <v>0.63</v>
          </cell>
          <cell r="CW64">
            <v>0.63</v>
          </cell>
        </row>
        <row r="65">
          <cell r="A65" t="str">
            <v>Zircon grade</v>
          </cell>
          <cell r="B65" t="str">
            <v>%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0.11</v>
          </cell>
          <cell r="M65">
            <v>0.11</v>
          </cell>
          <cell r="N65">
            <v>0.11</v>
          </cell>
          <cell r="O65">
            <v>0.11</v>
          </cell>
          <cell r="P65">
            <v>0.11</v>
          </cell>
          <cell r="Q65">
            <v>0.11</v>
          </cell>
          <cell r="R65">
            <v>0.11</v>
          </cell>
          <cell r="S65">
            <v>0.11</v>
          </cell>
          <cell r="T65">
            <v>0.11</v>
          </cell>
          <cell r="U65">
            <v>0.11</v>
          </cell>
          <cell r="V65">
            <v>0.11</v>
          </cell>
          <cell r="W65">
            <v>0.11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BP65">
            <v>0.11</v>
          </cell>
          <cell r="BQ65">
            <v>0.11</v>
          </cell>
          <cell r="BR65">
            <v>0.11</v>
          </cell>
          <cell r="BS65">
            <v>0.11</v>
          </cell>
          <cell r="BT65">
            <v>0.11</v>
          </cell>
          <cell r="BU65">
            <v>0.11</v>
          </cell>
          <cell r="BV65">
            <v>0.11</v>
          </cell>
          <cell r="BW65">
            <v>0.11</v>
          </cell>
          <cell r="BX65">
            <v>0.11</v>
          </cell>
          <cell r="BY65">
            <v>0.11</v>
          </cell>
          <cell r="BZ65">
            <v>0.11</v>
          </cell>
          <cell r="CA65">
            <v>0.11</v>
          </cell>
          <cell r="CB65">
            <v>0.11</v>
          </cell>
          <cell r="CC65">
            <v>0.11</v>
          </cell>
          <cell r="CD65">
            <v>0.11</v>
          </cell>
          <cell r="CE65">
            <v>0.11</v>
          </cell>
          <cell r="CF65">
            <v>0.11</v>
          </cell>
          <cell r="CG65">
            <v>0.11</v>
          </cell>
          <cell r="CH65">
            <v>0.11</v>
          </cell>
          <cell r="CI65">
            <v>0.11</v>
          </cell>
          <cell r="CJ65">
            <v>0.11</v>
          </cell>
          <cell r="CK65">
            <v>0.11</v>
          </cell>
          <cell r="CL65">
            <v>0.11</v>
          </cell>
          <cell r="CM65">
            <v>0.11</v>
          </cell>
          <cell r="CN65">
            <v>0.11</v>
          </cell>
          <cell r="CO65">
            <v>0.11</v>
          </cell>
          <cell r="CP65">
            <v>0.11</v>
          </cell>
          <cell r="CQ65">
            <v>0.11</v>
          </cell>
          <cell r="CR65">
            <v>0.11</v>
          </cell>
          <cell r="CS65">
            <v>0.11</v>
          </cell>
          <cell r="CT65">
            <v>0.11</v>
          </cell>
          <cell r="CU65">
            <v>0.11</v>
          </cell>
          <cell r="CV65">
            <v>0.11</v>
          </cell>
          <cell r="CW65">
            <v>0.11</v>
          </cell>
        </row>
        <row r="66">
          <cell r="A66" t="str">
            <v>Rutile grade</v>
          </cell>
          <cell r="B66" t="str">
            <v>%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0.04</v>
          </cell>
          <cell r="M66">
            <v>0.04</v>
          </cell>
          <cell r="N66">
            <v>0.04</v>
          </cell>
          <cell r="O66">
            <v>0.04</v>
          </cell>
          <cell r="P66">
            <v>0.04</v>
          </cell>
          <cell r="Q66">
            <v>0.04</v>
          </cell>
          <cell r="R66">
            <v>0.04</v>
          </cell>
          <cell r="S66">
            <v>0.04</v>
          </cell>
          <cell r="T66">
            <v>0.04</v>
          </cell>
          <cell r="U66">
            <v>0.04</v>
          </cell>
          <cell r="V66">
            <v>0.04</v>
          </cell>
          <cell r="W66">
            <v>0.04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BP66">
            <v>0.04</v>
          </cell>
          <cell r="BQ66">
            <v>0.04</v>
          </cell>
          <cell r="BR66">
            <v>0.04</v>
          </cell>
          <cell r="BS66">
            <v>0.04</v>
          </cell>
          <cell r="BT66">
            <v>0.04</v>
          </cell>
          <cell r="BU66">
            <v>0.04</v>
          </cell>
          <cell r="BV66">
            <v>0.04</v>
          </cell>
          <cell r="BW66">
            <v>0.04</v>
          </cell>
          <cell r="BX66">
            <v>0.04</v>
          </cell>
          <cell r="BY66">
            <v>0.04</v>
          </cell>
          <cell r="BZ66">
            <v>0.04</v>
          </cell>
          <cell r="CA66">
            <v>0.04</v>
          </cell>
          <cell r="CB66">
            <v>0.04</v>
          </cell>
          <cell r="CC66">
            <v>0.04</v>
          </cell>
          <cell r="CD66">
            <v>0.04</v>
          </cell>
          <cell r="CE66">
            <v>0.04</v>
          </cell>
          <cell r="CF66">
            <v>0.04</v>
          </cell>
          <cell r="CG66">
            <v>0.04</v>
          </cell>
          <cell r="CH66">
            <v>0.04</v>
          </cell>
          <cell r="CI66">
            <v>0.04</v>
          </cell>
          <cell r="CJ66">
            <v>0.04</v>
          </cell>
          <cell r="CK66">
            <v>0.04</v>
          </cell>
          <cell r="CL66">
            <v>0.04</v>
          </cell>
          <cell r="CM66">
            <v>0.04</v>
          </cell>
          <cell r="CN66">
            <v>0.04</v>
          </cell>
          <cell r="CO66">
            <v>0.04</v>
          </cell>
          <cell r="CP66">
            <v>0.04</v>
          </cell>
          <cell r="CQ66">
            <v>0.04</v>
          </cell>
          <cell r="CR66">
            <v>0.04</v>
          </cell>
          <cell r="CS66">
            <v>0.04</v>
          </cell>
          <cell r="CT66">
            <v>0.04</v>
          </cell>
          <cell r="CU66">
            <v>0.04</v>
          </cell>
          <cell r="CV66">
            <v>0.04</v>
          </cell>
          <cell r="CW66">
            <v>0.04</v>
          </cell>
        </row>
        <row r="68">
          <cell r="A68" t="str">
            <v>Resources</v>
          </cell>
        </row>
        <row r="69">
          <cell r="A69" t="str">
            <v>Ore Tonnes</v>
          </cell>
          <cell r="B69" t="str">
            <v>Mt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773.2</v>
          </cell>
          <cell r="M69">
            <v>763.8</v>
          </cell>
          <cell r="N69">
            <v>763.71859999999992</v>
          </cell>
          <cell r="O69">
            <v>763.71859999999992</v>
          </cell>
          <cell r="P69">
            <v>763.71859999999992</v>
          </cell>
          <cell r="Q69">
            <v>763.71859999999992</v>
          </cell>
          <cell r="R69">
            <v>763.71859999999992</v>
          </cell>
          <cell r="S69">
            <v>763.71859999999992</v>
          </cell>
          <cell r="T69">
            <v>763.71859999999992</v>
          </cell>
          <cell r="U69">
            <v>763.71859999999992</v>
          </cell>
          <cell r="V69">
            <v>763.71859999999992</v>
          </cell>
          <cell r="W69">
            <v>763.71859999999992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BP69">
            <v>773.2</v>
          </cell>
          <cell r="BQ69">
            <v>772.06770000000006</v>
          </cell>
          <cell r="BR69">
            <v>772.06770000000006</v>
          </cell>
          <cell r="BS69">
            <v>763.8</v>
          </cell>
          <cell r="BT69">
            <v>763.71859999999992</v>
          </cell>
          <cell r="BU69">
            <v>763.71859999999992</v>
          </cell>
          <cell r="BV69">
            <v>763.71859999999992</v>
          </cell>
          <cell r="BW69">
            <v>763.71859999999992</v>
          </cell>
          <cell r="BX69">
            <v>763.71859999999992</v>
          </cell>
          <cell r="BY69">
            <v>763.71859999999992</v>
          </cell>
          <cell r="BZ69">
            <v>763.71859999999992</v>
          </cell>
          <cell r="CA69">
            <v>763.71859999999992</v>
          </cell>
          <cell r="CB69">
            <v>763.71859999999992</v>
          </cell>
          <cell r="CC69">
            <v>763.71859999999992</v>
          </cell>
          <cell r="CD69">
            <v>763.71859999999992</v>
          </cell>
          <cell r="CE69">
            <v>763.71859999999992</v>
          </cell>
          <cell r="CF69">
            <v>763.71859999999992</v>
          </cell>
          <cell r="CG69">
            <v>763.71859999999992</v>
          </cell>
          <cell r="CH69">
            <v>763.71859999999992</v>
          </cell>
          <cell r="CI69">
            <v>763.71859999999992</v>
          </cell>
          <cell r="CJ69">
            <v>763.71859999999992</v>
          </cell>
          <cell r="CK69">
            <v>763.71859999999992</v>
          </cell>
          <cell r="CL69">
            <v>763.71859999999992</v>
          </cell>
          <cell r="CM69">
            <v>763.71859999999992</v>
          </cell>
          <cell r="CN69">
            <v>763.71859999999992</v>
          </cell>
          <cell r="CO69">
            <v>763.71859999999992</v>
          </cell>
          <cell r="CP69">
            <v>763.71859999999992</v>
          </cell>
          <cell r="CQ69">
            <v>763.71859999999992</v>
          </cell>
          <cell r="CR69">
            <v>763.71859999999992</v>
          </cell>
          <cell r="CS69">
            <v>763.71859999999992</v>
          </cell>
          <cell r="CT69">
            <v>763.71859999999992</v>
          </cell>
          <cell r="CU69">
            <v>763.71859999999992</v>
          </cell>
          <cell r="CV69">
            <v>763.71859999999992</v>
          </cell>
          <cell r="CW69">
            <v>763.71859999999992</v>
          </cell>
        </row>
        <row r="70">
          <cell r="A70" t="str">
            <v>HM Tonnes</v>
          </cell>
          <cell r="B70" t="str">
            <v>Mt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46.88</v>
          </cell>
          <cell r="M70">
            <v>46.519999999999996</v>
          </cell>
          <cell r="N70">
            <v>46.515699999999995</v>
          </cell>
          <cell r="O70">
            <v>46.515699999999995</v>
          </cell>
          <cell r="P70">
            <v>46.515699999999995</v>
          </cell>
          <cell r="Q70">
            <v>46.515699999999995</v>
          </cell>
          <cell r="R70">
            <v>46.515699999999995</v>
          </cell>
          <cell r="S70">
            <v>46.515699999999995</v>
          </cell>
          <cell r="T70">
            <v>46.515699999999995</v>
          </cell>
          <cell r="U70">
            <v>46.515699999999995</v>
          </cell>
          <cell r="V70">
            <v>46.515699999999995</v>
          </cell>
          <cell r="W70">
            <v>46.515699999999995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BP70">
            <v>46.88</v>
          </cell>
          <cell r="BQ70">
            <v>46.596800000000002</v>
          </cell>
          <cell r="BR70">
            <v>46.490100000000005</v>
          </cell>
          <cell r="BS70">
            <v>46.519999999999996</v>
          </cell>
          <cell r="BT70">
            <v>46.515699999999995</v>
          </cell>
          <cell r="BU70">
            <v>46.515699999999995</v>
          </cell>
          <cell r="BV70">
            <v>46.515699999999995</v>
          </cell>
          <cell r="BW70">
            <v>46.515699999999995</v>
          </cell>
          <cell r="BX70">
            <v>46.515699999999995</v>
          </cell>
          <cell r="BY70">
            <v>46.515699999999995</v>
          </cell>
          <cell r="BZ70">
            <v>46.515699999999995</v>
          </cell>
          <cell r="CA70">
            <v>46.515699999999995</v>
          </cell>
          <cell r="CB70">
            <v>46.515699999999995</v>
          </cell>
          <cell r="CC70">
            <v>46.515699999999995</v>
          </cell>
          <cell r="CD70">
            <v>46.515699999999995</v>
          </cell>
          <cell r="CE70">
            <v>46.515699999999995</v>
          </cell>
          <cell r="CF70">
            <v>46.515699999999995</v>
          </cell>
          <cell r="CG70">
            <v>46.515699999999995</v>
          </cell>
          <cell r="CH70">
            <v>46.515699999999995</v>
          </cell>
          <cell r="CI70">
            <v>46.515699999999995</v>
          </cell>
          <cell r="CJ70">
            <v>46.515699999999995</v>
          </cell>
          <cell r="CK70">
            <v>46.515699999999995</v>
          </cell>
          <cell r="CL70">
            <v>46.515699999999995</v>
          </cell>
          <cell r="CM70">
            <v>46.515699999999995</v>
          </cell>
          <cell r="CN70">
            <v>46.515699999999995</v>
          </cell>
          <cell r="CO70">
            <v>46.515699999999995</v>
          </cell>
          <cell r="CP70">
            <v>46.515699999999995</v>
          </cell>
          <cell r="CQ70">
            <v>46.515699999999995</v>
          </cell>
          <cell r="CR70">
            <v>46.515699999999995</v>
          </cell>
          <cell r="CS70">
            <v>46.515699999999995</v>
          </cell>
          <cell r="CT70">
            <v>46.515699999999995</v>
          </cell>
          <cell r="CU70">
            <v>46.515699999999995</v>
          </cell>
          <cell r="CV70">
            <v>46.515699999999995</v>
          </cell>
          <cell r="CW70">
            <v>46.515699999999995</v>
          </cell>
        </row>
        <row r="71">
          <cell r="A71" t="str">
            <v>HM Grade</v>
          </cell>
          <cell r="B71" t="str">
            <v>%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6.1067406143344716E-2</v>
          </cell>
          <cell r="M71">
            <v>6.1377257093723138E-2</v>
          </cell>
          <cell r="N71">
            <v>6.1377257093723138E-2</v>
          </cell>
          <cell r="O71">
            <v>6.1377257093723138E-2</v>
          </cell>
          <cell r="P71">
            <v>6.1377257093723138E-2</v>
          </cell>
          <cell r="Q71">
            <v>6.1377257093723138E-2</v>
          </cell>
          <cell r="R71">
            <v>6.1377257093723138E-2</v>
          </cell>
          <cell r="S71">
            <v>6.1377257093723138E-2</v>
          </cell>
          <cell r="T71">
            <v>6.1377257093723138E-2</v>
          </cell>
          <cell r="U71">
            <v>6.1377257093723138E-2</v>
          </cell>
          <cell r="V71">
            <v>6.1377257093723138E-2</v>
          </cell>
          <cell r="W71">
            <v>6.1377257093723138E-2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BP71">
            <v>6.1067406143344716E-2</v>
          </cell>
          <cell r="BQ71">
            <v>6.1067406143344716E-2</v>
          </cell>
          <cell r="BR71">
            <v>6.1067406143344716E-2</v>
          </cell>
          <cell r="BS71">
            <v>6.1377257093723138E-2</v>
          </cell>
          <cell r="BT71">
            <v>6.1377257093723138E-2</v>
          </cell>
          <cell r="BU71">
            <v>6.1377257093723138E-2</v>
          </cell>
          <cell r="BV71">
            <v>6.1377257093723138E-2</v>
          </cell>
          <cell r="BW71">
            <v>6.1377257093723138E-2</v>
          </cell>
          <cell r="BX71">
            <v>6.1377257093723138E-2</v>
          </cell>
          <cell r="BY71">
            <v>6.1377257093723138E-2</v>
          </cell>
          <cell r="BZ71">
            <v>6.1377257093723138E-2</v>
          </cell>
          <cell r="CA71">
            <v>6.1377257093723138E-2</v>
          </cell>
          <cell r="CB71">
            <v>6.1377257093723138E-2</v>
          </cell>
          <cell r="CC71">
            <v>6.1377257093723138E-2</v>
          </cell>
          <cell r="CD71">
            <v>6.1377257093723138E-2</v>
          </cell>
          <cell r="CE71">
            <v>6.1377257093723138E-2</v>
          </cell>
          <cell r="CF71">
            <v>6.1377257093723138E-2</v>
          </cell>
          <cell r="CG71">
            <v>6.1377257093723138E-2</v>
          </cell>
          <cell r="CH71">
            <v>6.1377257093723138E-2</v>
          </cell>
          <cell r="CI71">
            <v>6.1377257093723138E-2</v>
          </cell>
          <cell r="CJ71">
            <v>6.1377257093723138E-2</v>
          </cell>
          <cell r="CK71">
            <v>6.1377257093723138E-2</v>
          </cell>
          <cell r="CL71">
            <v>6.1377257093723138E-2</v>
          </cell>
          <cell r="CM71">
            <v>6.1377257093723138E-2</v>
          </cell>
          <cell r="CN71">
            <v>6.1377257093723138E-2</v>
          </cell>
          <cell r="CO71">
            <v>6.1377257093723138E-2</v>
          </cell>
          <cell r="CP71">
            <v>6.1377257093723138E-2</v>
          </cell>
          <cell r="CQ71">
            <v>6.1377257093723138E-2</v>
          </cell>
          <cell r="CR71">
            <v>6.1377257093723138E-2</v>
          </cell>
          <cell r="CS71">
            <v>6.1377257093723138E-2</v>
          </cell>
          <cell r="CT71">
            <v>6.1377257093723138E-2</v>
          </cell>
          <cell r="CU71">
            <v>6.1377257093723138E-2</v>
          </cell>
          <cell r="CV71">
            <v>6.1377257093723138E-2</v>
          </cell>
          <cell r="CW71">
            <v>6.1377257093723138E-2</v>
          </cell>
        </row>
        <row r="72">
          <cell r="A72" t="str">
            <v>Ilmenite grade</v>
          </cell>
          <cell r="B72" t="str">
            <v>%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0.57423208191126285</v>
          </cell>
          <cell r="M72">
            <v>0.57622742906276869</v>
          </cell>
          <cell r="N72">
            <v>0.57622742906276869</v>
          </cell>
          <cell r="O72">
            <v>0.57622742906276869</v>
          </cell>
          <cell r="P72">
            <v>0.57622742906276869</v>
          </cell>
          <cell r="Q72">
            <v>0.57622742906276869</v>
          </cell>
          <cell r="R72">
            <v>0.57622742906276869</v>
          </cell>
          <cell r="S72">
            <v>0.57622742906276869</v>
          </cell>
          <cell r="T72">
            <v>0.57622742906276869</v>
          </cell>
          <cell r="U72">
            <v>0.57622742906276869</v>
          </cell>
          <cell r="V72">
            <v>0.57622742906276869</v>
          </cell>
          <cell r="W72">
            <v>0.57622742906276869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BP72">
            <v>0.57423208191126285</v>
          </cell>
          <cell r="BQ72">
            <v>0.57423208191126285</v>
          </cell>
          <cell r="BR72">
            <v>0.57423208191126285</v>
          </cell>
          <cell r="BS72">
            <v>0.57622742906276869</v>
          </cell>
          <cell r="BT72">
            <v>0.57622742906276869</v>
          </cell>
          <cell r="BU72">
            <v>0.57622742906276869</v>
          </cell>
          <cell r="BV72">
            <v>0.57622742906276869</v>
          </cell>
          <cell r="BW72">
            <v>0.57622742906276869</v>
          </cell>
          <cell r="BX72">
            <v>0.57622742906276869</v>
          </cell>
          <cell r="BY72">
            <v>0.57622742906276869</v>
          </cell>
          <cell r="BZ72">
            <v>0.57622742906276869</v>
          </cell>
          <cell r="CA72">
            <v>0.57622742906276869</v>
          </cell>
          <cell r="CB72">
            <v>0.57622742906276869</v>
          </cell>
          <cell r="CC72">
            <v>0.57622742906276869</v>
          </cell>
          <cell r="CD72">
            <v>0.57622742906276869</v>
          </cell>
          <cell r="CE72">
            <v>0.57622742906276869</v>
          </cell>
          <cell r="CF72">
            <v>0.57622742906276869</v>
          </cell>
          <cell r="CG72">
            <v>0.57622742906276869</v>
          </cell>
          <cell r="CH72">
            <v>0.57622742906276869</v>
          </cell>
          <cell r="CI72">
            <v>0.57622742906276869</v>
          </cell>
          <cell r="CJ72">
            <v>0.57622742906276869</v>
          </cell>
          <cell r="CK72">
            <v>0.57622742906276869</v>
          </cell>
          <cell r="CL72">
            <v>0.57622742906276869</v>
          </cell>
          <cell r="CM72">
            <v>0.57622742906276869</v>
          </cell>
          <cell r="CN72">
            <v>0.57622742906276869</v>
          </cell>
          <cell r="CO72">
            <v>0.57622742906276869</v>
          </cell>
          <cell r="CP72">
            <v>0.57622742906276869</v>
          </cell>
          <cell r="CQ72">
            <v>0.57622742906276869</v>
          </cell>
          <cell r="CR72">
            <v>0.57622742906276869</v>
          </cell>
          <cell r="CS72">
            <v>0.57622742906276869</v>
          </cell>
          <cell r="CT72">
            <v>0.57622742906276869</v>
          </cell>
          <cell r="CU72">
            <v>0.57622742906276869</v>
          </cell>
          <cell r="CV72">
            <v>0.57622742906276869</v>
          </cell>
          <cell r="CW72">
            <v>0.57622742906276869</v>
          </cell>
        </row>
        <row r="73">
          <cell r="A73" t="str">
            <v>Zircon grade</v>
          </cell>
          <cell r="B73" t="str">
            <v>%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0.10677901023890785</v>
          </cell>
          <cell r="M73">
            <v>0.1</v>
          </cell>
          <cell r="N73">
            <v>0.1</v>
          </cell>
          <cell r="O73">
            <v>0.1</v>
          </cell>
          <cell r="P73">
            <v>0.1</v>
          </cell>
          <cell r="Q73">
            <v>0.1</v>
          </cell>
          <cell r="R73">
            <v>0.1</v>
          </cell>
          <cell r="S73">
            <v>0.1</v>
          </cell>
          <cell r="T73">
            <v>0.1</v>
          </cell>
          <cell r="U73">
            <v>0.1</v>
          </cell>
          <cell r="V73">
            <v>0.1</v>
          </cell>
          <cell r="W73">
            <v>0.1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BP73">
            <v>0.10677901023890785</v>
          </cell>
          <cell r="BQ73">
            <v>0.10677901023890785</v>
          </cell>
          <cell r="BR73">
            <v>0.10677901023890785</v>
          </cell>
          <cell r="BS73">
            <v>0.1</v>
          </cell>
          <cell r="BT73">
            <v>0.1</v>
          </cell>
          <cell r="BU73">
            <v>0.1</v>
          </cell>
          <cell r="BV73">
            <v>0.1</v>
          </cell>
          <cell r="BW73">
            <v>0.1</v>
          </cell>
          <cell r="BX73">
            <v>0.1</v>
          </cell>
          <cell r="BY73">
            <v>0.1</v>
          </cell>
          <cell r="BZ73">
            <v>0.1</v>
          </cell>
          <cell r="CA73">
            <v>0.1</v>
          </cell>
          <cell r="CB73">
            <v>0.1</v>
          </cell>
          <cell r="CC73">
            <v>0.1</v>
          </cell>
          <cell r="CD73">
            <v>0.1</v>
          </cell>
          <cell r="CE73">
            <v>0.1</v>
          </cell>
          <cell r="CF73">
            <v>0.1</v>
          </cell>
          <cell r="CG73">
            <v>0.1</v>
          </cell>
          <cell r="CH73">
            <v>0.1</v>
          </cell>
          <cell r="CI73">
            <v>0.1</v>
          </cell>
          <cell r="CJ73">
            <v>0.1</v>
          </cell>
          <cell r="CK73">
            <v>0.1</v>
          </cell>
          <cell r="CL73">
            <v>0.1</v>
          </cell>
          <cell r="CM73">
            <v>0.1</v>
          </cell>
          <cell r="CN73">
            <v>0.1</v>
          </cell>
          <cell r="CO73">
            <v>0.1</v>
          </cell>
          <cell r="CP73">
            <v>0.1</v>
          </cell>
          <cell r="CQ73">
            <v>0.1</v>
          </cell>
          <cell r="CR73">
            <v>0.1</v>
          </cell>
          <cell r="CS73">
            <v>0.1</v>
          </cell>
          <cell r="CT73">
            <v>0.1</v>
          </cell>
          <cell r="CU73">
            <v>0.1</v>
          </cell>
          <cell r="CV73">
            <v>0.1</v>
          </cell>
          <cell r="CW73">
            <v>0.1</v>
          </cell>
        </row>
        <row r="74">
          <cell r="A74" t="str">
            <v>Rutile grade</v>
          </cell>
          <cell r="B74" t="str">
            <v>%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0.05</v>
          </cell>
          <cell r="M74">
            <v>4.6227429062768707E-2</v>
          </cell>
          <cell r="N74">
            <v>4.6227429062768707E-2</v>
          </cell>
          <cell r="O74">
            <v>4.6227429062768707E-2</v>
          </cell>
          <cell r="P74">
            <v>4.6227429062768707E-2</v>
          </cell>
          <cell r="Q74">
            <v>4.6227429062768707E-2</v>
          </cell>
          <cell r="R74">
            <v>4.6227429062768707E-2</v>
          </cell>
          <cell r="S74">
            <v>4.6227429062768707E-2</v>
          </cell>
          <cell r="T74">
            <v>4.6227429062768707E-2</v>
          </cell>
          <cell r="U74">
            <v>4.6227429062768707E-2</v>
          </cell>
          <cell r="V74">
            <v>4.6227429062768707E-2</v>
          </cell>
          <cell r="W74">
            <v>4.6227429062768707E-2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BP74">
            <v>0.05</v>
          </cell>
          <cell r="BQ74">
            <v>0.05</v>
          </cell>
          <cell r="BR74">
            <v>0.05</v>
          </cell>
          <cell r="BS74">
            <v>4.6227429062768707E-2</v>
          </cell>
          <cell r="BT74">
            <v>4.6227429062768707E-2</v>
          </cell>
          <cell r="BU74">
            <v>4.6227429062768707E-2</v>
          </cell>
          <cell r="BV74">
            <v>4.6227429062768707E-2</v>
          </cell>
          <cell r="BW74">
            <v>4.6227429062768707E-2</v>
          </cell>
          <cell r="BX74">
            <v>4.6227429062768707E-2</v>
          </cell>
          <cell r="BY74">
            <v>4.6227429062768707E-2</v>
          </cell>
          <cell r="BZ74">
            <v>4.6227429062768707E-2</v>
          </cell>
          <cell r="CA74">
            <v>4.6227429062768707E-2</v>
          </cell>
          <cell r="CB74">
            <v>4.6227429062768707E-2</v>
          </cell>
          <cell r="CC74">
            <v>4.6227429062768707E-2</v>
          </cell>
          <cell r="CD74">
            <v>4.6227429062768707E-2</v>
          </cell>
          <cell r="CE74">
            <v>4.6227429062768707E-2</v>
          </cell>
          <cell r="CF74">
            <v>4.6227429062768707E-2</v>
          </cell>
          <cell r="CG74">
            <v>4.6227429062768707E-2</v>
          </cell>
          <cell r="CH74">
            <v>4.6227429062768707E-2</v>
          </cell>
          <cell r="CI74">
            <v>4.6227429062768707E-2</v>
          </cell>
          <cell r="CJ74">
            <v>4.6227429062768707E-2</v>
          </cell>
          <cell r="CK74">
            <v>4.6227429062768707E-2</v>
          </cell>
          <cell r="CL74">
            <v>4.6227429062768707E-2</v>
          </cell>
          <cell r="CM74">
            <v>4.6227429062768707E-2</v>
          </cell>
          <cell r="CN74">
            <v>4.6227429062768707E-2</v>
          </cell>
          <cell r="CO74">
            <v>4.6227429062768707E-2</v>
          </cell>
          <cell r="CP74">
            <v>4.6227429062768707E-2</v>
          </cell>
          <cell r="CQ74">
            <v>4.6227429062768707E-2</v>
          </cell>
          <cell r="CR74">
            <v>4.6227429062768707E-2</v>
          </cell>
          <cell r="CS74">
            <v>4.6227429062768707E-2</v>
          </cell>
          <cell r="CT74">
            <v>4.6227429062768707E-2</v>
          </cell>
          <cell r="CU74">
            <v>4.6227429062768707E-2</v>
          </cell>
          <cell r="CV74">
            <v>4.6227429062768707E-2</v>
          </cell>
          <cell r="CW74">
            <v>4.6227429062768707E-2</v>
          </cell>
        </row>
        <row r="76">
          <cell r="A76" t="str">
            <v xml:space="preserve">Perth Operations </v>
          </cell>
          <cell r="B76" t="str">
            <v>.</v>
          </cell>
          <cell r="C76" t="str">
            <v>.</v>
          </cell>
          <cell r="D76" t="str">
            <v>.</v>
          </cell>
          <cell r="E76" t="str">
            <v>.</v>
          </cell>
          <cell r="F76" t="str">
            <v>.</v>
          </cell>
          <cell r="G76" t="str">
            <v>.</v>
          </cell>
          <cell r="H76" t="str">
            <v>.</v>
          </cell>
          <cell r="I76" t="str">
            <v>.</v>
          </cell>
          <cell r="J76" t="str">
            <v>.</v>
          </cell>
          <cell r="K76" t="str">
            <v>.</v>
          </cell>
          <cell r="L76" t="str">
            <v>.</v>
          </cell>
          <cell r="M76" t="str">
            <v>.</v>
          </cell>
          <cell r="N76" t="str">
            <v>.</v>
          </cell>
          <cell r="O76" t="str">
            <v>.</v>
          </cell>
          <cell r="P76" t="str">
            <v>.</v>
          </cell>
          <cell r="Q76" t="str">
            <v>.</v>
          </cell>
          <cell r="R76" t="str">
            <v>.</v>
          </cell>
          <cell r="S76" t="str">
            <v>.</v>
          </cell>
          <cell r="T76" t="str">
            <v>.</v>
          </cell>
          <cell r="U76" t="str">
            <v>.</v>
          </cell>
          <cell r="V76" t="str">
            <v>.</v>
          </cell>
          <cell r="W76" t="str">
            <v>.</v>
          </cell>
          <cell r="X76" t="str">
            <v>.</v>
          </cell>
          <cell r="Y76" t="str">
            <v>.</v>
          </cell>
          <cell r="Z76" t="str">
            <v>.</v>
          </cell>
          <cell r="AA76" t="str">
            <v>.</v>
          </cell>
          <cell r="AB76" t="str">
            <v>.</v>
          </cell>
          <cell r="AC76" t="str">
            <v>.</v>
          </cell>
          <cell r="AD76" t="str">
            <v>.</v>
          </cell>
          <cell r="AE76" t="str">
            <v>.</v>
          </cell>
          <cell r="AF76" t="str">
            <v>.</v>
          </cell>
          <cell r="AG76" t="str">
            <v>.</v>
          </cell>
          <cell r="AH76" t="str">
            <v>.</v>
          </cell>
          <cell r="AI76" t="str">
            <v>.</v>
          </cell>
          <cell r="AJ76" t="str">
            <v>.</v>
          </cell>
          <cell r="AK76" t="str">
            <v>.</v>
          </cell>
          <cell r="AL76" t="str">
            <v>.</v>
          </cell>
          <cell r="AM76" t="str">
            <v>.</v>
          </cell>
          <cell r="AN76" t="str">
            <v>.</v>
          </cell>
          <cell r="AO76" t="str">
            <v>.</v>
          </cell>
          <cell r="AP76" t="str">
            <v>.</v>
          </cell>
          <cell r="AQ76" t="str">
            <v>.</v>
          </cell>
          <cell r="AR76" t="str">
            <v>.</v>
          </cell>
          <cell r="AS76" t="str">
            <v>.</v>
          </cell>
          <cell r="AT76" t="str">
            <v>.</v>
          </cell>
          <cell r="AU76" t="str">
            <v>.</v>
          </cell>
          <cell r="AV76" t="str">
            <v>.</v>
          </cell>
          <cell r="AW76" t="str">
            <v>.</v>
          </cell>
          <cell r="AX76" t="str">
            <v>.</v>
          </cell>
          <cell r="AY76" t="str">
            <v>.</v>
          </cell>
          <cell r="AZ76" t="str">
            <v>.</v>
          </cell>
          <cell r="BA76" t="str">
            <v>.</v>
          </cell>
          <cell r="BB76" t="str">
            <v>.</v>
          </cell>
          <cell r="BC76" t="str">
            <v>.</v>
          </cell>
          <cell r="BD76" t="str">
            <v>.</v>
          </cell>
          <cell r="BE76" t="str">
            <v>.</v>
          </cell>
          <cell r="BF76" t="str">
            <v>.</v>
          </cell>
          <cell r="BG76" t="str">
            <v>.</v>
          </cell>
          <cell r="BH76" t="str">
            <v>.</v>
          </cell>
          <cell r="BI76" t="str">
            <v>.</v>
          </cell>
          <cell r="BJ76" t="str">
            <v>.</v>
          </cell>
          <cell r="BK76" t="str">
            <v>.</v>
          </cell>
          <cell r="BL76" t="str">
            <v>.</v>
          </cell>
          <cell r="BM76" t="str">
            <v>.</v>
          </cell>
          <cell r="BN76" t="str">
            <v>.</v>
          </cell>
          <cell r="BO76" t="str">
            <v>.</v>
          </cell>
          <cell r="BP76" t="str">
            <v>.</v>
          </cell>
          <cell r="BQ76" t="str">
            <v>.</v>
          </cell>
          <cell r="BR76" t="str">
            <v>.</v>
          </cell>
          <cell r="BS76" t="str">
            <v>.</v>
          </cell>
          <cell r="BT76" t="str">
            <v>.</v>
          </cell>
          <cell r="BU76" t="str">
            <v>.</v>
          </cell>
          <cell r="BV76" t="str">
            <v>.</v>
          </cell>
          <cell r="BW76" t="str">
            <v>.</v>
          </cell>
          <cell r="BX76" t="str">
            <v>.</v>
          </cell>
          <cell r="BY76" t="str">
            <v>.</v>
          </cell>
          <cell r="BZ76" t="str">
            <v>.</v>
          </cell>
          <cell r="CA76" t="str">
            <v>.</v>
          </cell>
          <cell r="CB76" t="str">
            <v>.</v>
          </cell>
          <cell r="CC76" t="str">
            <v>.</v>
          </cell>
          <cell r="CD76" t="str">
            <v>.</v>
          </cell>
          <cell r="CE76" t="str">
            <v>.</v>
          </cell>
          <cell r="CF76" t="str">
            <v>.</v>
          </cell>
          <cell r="CG76" t="str">
            <v>.</v>
          </cell>
          <cell r="CH76" t="str">
            <v>.</v>
          </cell>
          <cell r="CI76" t="str">
            <v>.</v>
          </cell>
          <cell r="CJ76" t="str">
            <v>.</v>
          </cell>
          <cell r="CK76" t="str">
            <v>.</v>
          </cell>
          <cell r="CL76" t="str">
            <v>.</v>
          </cell>
          <cell r="CM76" t="str">
            <v>.</v>
          </cell>
          <cell r="CN76" t="str">
            <v>.</v>
          </cell>
          <cell r="CO76" t="str">
            <v>.</v>
          </cell>
          <cell r="CP76" t="str">
            <v>.</v>
          </cell>
          <cell r="CQ76" t="str">
            <v>.</v>
          </cell>
          <cell r="CR76" t="str">
            <v>.</v>
          </cell>
          <cell r="CS76" t="str">
            <v>.</v>
          </cell>
          <cell r="CT76" t="str">
            <v>.</v>
          </cell>
          <cell r="CU76" t="str">
            <v>.</v>
          </cell>
          <cell r="CV76" t="str">
            <v>.</v>
          </cell>
          <cell r="CW76" t="str">
            <v>.</v>
          </cell>
          <cell r="DS76" t="str">
            <v>.</v>
          </cell>
          <cell r="DT76" t="str">
            <v>.</v>
          </cell>
          <cell r="DU76" t="str">
            <v>.</v>
          </cell>
          <cell r="DV76" t="str">
            <v>.</v>
          </cell>
          <cell r="DW76" t="str">
            <v>.</v>
          </cell>
          <cell r="DX76" t="str">
            <v>.</v>
          </cell>
          <cell r="DY76" t="str">
            <v>.</v>
          </cell>
          <cell r="DZ76" t="str">
            <v>.</v>
          </cell>
          <cell r="EA76" t="str">
            <v>.</v>
          </cell>
          <cell r="EB76" t="str">
            <v>.</v>
          </cell>
          <cell r="EC76" t="str">
            <v>.</v>
          </cell>
          <cell r="ED76" t="str">
            <v>.</v>
          </cell>
          <cell r="EE76" t="str">
            <v>.</v>
          </cell>
          <cell r="EF76" t="str">
            <v>.</v>
          </cell>
          <cell r="EG76" t="str">
            <v>.</v>
          </cell>
          <cell r="EH76" t="str">
            <v>.</v>
          </cell>
          <cell r="EI76" t="str">
            <v>.</v>
          </cell>
          <cell r="EJ76" t="str">
            <v>.</v>
          </cell>
          <cell r="EK76" t="str">
            <v>.</v>
          </cell>
          <cell r="EL76" t="str">
            <v>.</v>
          </cell>
          <cell r="EM76" t="str">
            <v>.</v>
          </cell>
          <cell r="EN76" t="str">
            <v>.</v>
          </cell>
          <cell r="EO76" t="str">
            <v>.</v>
          </cell>
          <cell r="EP76" t="str">
            <v>.</v>
          </cell>
        </row>
        <row r="77">
          <cell r="A77" t="str">
            <v>Overburden moved</v>
          </cell>
          <cell r="B77" t="str">
            <v>bcm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1132.3</v>
          </cell>
          <cell r="N77">
            <v>81.400000000000006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BQ77">
            <v>1132.3</v>
          </cell>
          <cell r="BR77">
            <v>0</v>
          </cell>
          <cell r="BS77">
            <v>1132.3</v>
          </cell>
          <cell r="BT77">
            <v>81.400000000000006</v>
          </cell>
          <cell r="BU77">
            <v>0</v>
          </cell>
          <cell r="BV77">
            <v>81.400000000000006</v>
          </cell>
          <cell r="BW77">
            <v>0</v>
          </cell>
          <cell r="BX77">
            <v>0</v>
          </cell>
          <cell r="BY77">
            <v>0</v>
          </cell>
          <cell r="BZ77">
            <v>0</v>
          </cell>
          <cell r="CA77">
            <v>0</v>
          </cell>
          <cell r="CB77">
            <v>0</v>
          </cell>
          <cell r="CC77">
            <v>0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0</v>
          </cell>
          <cell r="CR77">
            <v>0</v>
          </cell>
          <cell r="CS77">
            <v>0</v>
          </cell>
          <cell r="CT77">
            <v>0</v>
          </cell>
          <cell r="CU77">
            <v>0</v>
          </cell>
          <cell r="CV77">
            <v>0</v>
          </cell>
          <cell r="CW77">
            <v>0</v>
          </cell>
        </row>
        <row r="78">
          <cell r="A78" t="str">
            <v>Ore mined</v>
          </cell>
          <cell r="B78" t="str">
            <v>kt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3626.2</v>
          </cell>
          <cell r="N78">
            <v>109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BQ78">
            <v>3626.1</v>
          </cell>
          <cell r="BR78">
            <v>9.9999999999909051E-2</v>
          </cell>
          <cell r="BS78">
            <v>3626.2</v>
          </cell>
          <cell r="BT78">
            <v>109</v>
          </cell>
          <cell r="BU78">
            <v>0</v>
          </cell>
          <cell r="BV78">
            <v>109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0</v>
          </cell>
          <cell r="CB78">
            <v>0</v>
          </cell>
          <cell r="CC78">
            <v>0</v>
          </cell>
          <cell r="CD78">
            <v>0</v>
          </cell>
          <cell r="CE78">
            <v>0</v>
          </cell>
          <cell r="CF78">
            <v>0</v>
          </cell>
          <cell r="CG78">
            <v>0</v>
          </cell>
          <cell r="CH78">
            <v>0</v>
          </cell>
          <cell r="CI78">
            <v>0</v>
          </cell>
          <cell r="CJ78">
            <v>0</v>
          </cell>
          <cell r="CK78">
            <v>0</v>
          </cell>
          <cell r="CL78">
            <v>0</v>
          </cell>
          <cell r="CM78">
            <v>0</v>
          </cell>
          <cell r="CN78">
            <v>0</v>
          </cell>
          <cell r="CO78">
            <v>0</v>
          </cell>
          <cell r="CP78">
            <v>0</v>
          </cell>
          <cell r="CQ78">
            <v>0</v>
          </cell>
          <cell r="CR78">
            <v>0</v>
          </cell>
          <cell r="CS78">
            <v>0</v>
          </cell>
          <cell r="CT78">
            <v>0</v>
          </cell>
          <cell r="CU78">
            <v>0</v>
          </cell>
          <cell r="CV78">
            <v>0</v>
          </cell>
          <cell r="CW78">
            <v>0</v>
          </cell>
        </row>
        <row r="79">
          <cell r="A79" t="str">
            <v>Ore grade</v>
          </cell>
          <cell r="B79" t="str">
            <v>%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9.9000000000000005E-2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BQ79">
            <v>9.9000000000000005E-2</v>
          </cell>
          <cell r="BR79">
            <v>9.900000000025011E-2</v>
          </cell>
          <cell r="BS79">
            <v>9.9000000000000005E-2</v>
          </cell>
          <cell r="BT79">
            <v>0</v>
          </cell>
          <cell r="BU79">
            <v>0</v>
          </cell>
          <cell r="BV79">
            <v>0</v>
          </cell>
          <cell r="BW79">
            <v>0</v>
          </cell>
          <cell r="BX79">
            <v>0</v>
          </cell>
          <cell r="BY79">
            <v>0</v>
          </cell>
          <cell r="BZ79">
            <v>0</v>
          </cell>
          <cell r="CA79">
            <v>0</v>
          </cell>
          <cell r="CB79">
            <v>0</v>
          </cell>
          <cell r="CC79">
            <v>0</v>
          </cell>
          <cell r="CD79">
            <v>0</v>
          </cell>
          <cell r="CE79">
            <v>0</v>
          </cell>
          <cell r="CF79">
            <v>0</v>
          </cell>
          <cell r="CG79">
            <v>0</v>
          </cell>
          <cell r="CH79">
            <v>0</v>
          </cell>
          <cell r="CI79">
            <v>0</v>
          </cell>
          <cell r="CJ79">
            <v>0</v>
          </cell>
          <cell r="CK79">
            <v>0</v>
          </cell>
          <cell r="CL79">
            <v>0</v>
          </cell>
          <cell r="CM79">
            <v>0</v>
          </cell>
          <cell r="CN79">
            <v>0</v>
          </cell>
          <cell r="CO79">
            <v>0</v>
          </cell>
          <cell r="CP79">
            <v>0</v>
          </cell>
          <cell r="CQ79">
            <v>0</v>
          </cell>
          <cell r="CR79">
            <v>0</v>
          </cell>
          <cell r="CS79">
            <v>0</v>
          </cell>
          <cell r="CT79">
            <v>0</v>
          </cell>
          <cell r="CU79">
            <v>0</v>
          </cell>
          <cell r="CV79">
            <v>0</v>
          </cell>
          <cell r="CW79">
            <v>0</v>
          </cell>
        </row>
        <row r="80">
          <cell r="A80" t="str">
            <v>VHM grade</v>
          </cell>
          <cell r="B80" t="str">
            <v>%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8.2000000000000003E-2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BQ80">
            <v>8.2000000000000003E-2</v>
          </cell>
          <cell r="BS80">
            <v>8.2000000000000003E-2</v>
          </cell>
          <cell r="BT80">
            <v>0</v>
          </cell>
          <cell r="BU80">
            <v>0</v>
          </cell>
          <cell r="BV80">
            <v>0</v>
          </cell>
          <cell r="BW80">
            <v>0</v>
          </cell>
          <cell r="BX80">
            <v>0</v>
          </cell>
          <cell r="BY80">
            <v>0</v>
          </cell>
          <cell r="BZ80">
            <v>0</v>
          </cell>
          <cell r="CA80">
            <v>0</v>
          </cell>
          <cell r="CB80">
            <v>0</v>
          </cell>
          <cell r="CC80">
            <v>0</v>
          </cell>
          <cell r="CD80">
            <v>0</v>
          </cell>
          <cell r="CE80">
            <v>0</v>
          </cell>
          <cell r="CF80">
            <v>0</v>
          </cell>
          <cell r="CG80">
            <v>0</v>
          </cell>
          <cell r="CH80">
            <v>0</v>
          </cell>
          <cell r="CI80">
            <v>0</v>
          </cell>
          <cell r="CJ80">
            <v>0</v>
          </cell>
          <cell r="CK80">
            <v>0</v>
          </cell>
          <cell r="CL80">
            <v>0</v>
          </cell>
          <cell r="CM80">
            <v>0</v>
          </cell>
          <cell r="CN80">
            <v>0</v>
          </cell>
          <cell r="CO80">
            <v>0</v>
          </cell>
          <cell r="CP80">
            <v>0</v>
          </cell>
          <cell r="CQ80">
            <v>0</v>
          </cell>
          <cell r="CR80">
            <v>0</v>
          </cell>
          <cell r="CS80">
            <v>0</v>
          </cell>
          <cell r="CT80">
            <v>0</v>
          </cell>
          <cell r="CU80">
            <v>0</v>
          </cell>
          <cell r="CV80">
            <v>0</v>
          </cell>
          <cell r="CW80">
            <v>0</v>
          </cell>
        </row>
        <row r="82">
          <cell r="A82" t="str">
            <v>HMC produced</v>
          </cell>
          <cell r="B82" t="str">
            <v>kt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389.9</v>
          </cell>
          <cell r="N82">
            <v>4.3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BQ82">
            <v>283.2</v>
          </cell>
          <cell r="BR82">
            <v>106.69999999999999</v>
          </cell>
          <cell r="BS82">
            <v>389.9</v>
          </cell>
          <cell r="BT82">
            <v>4.3</v>
          </cell>
          <cell r="BU82">
            <v>0</v>
          </cell>
          <cell r="BV82">
            <v>4.3</v>
          </cell>
          <cell r="BW82">
            <v>0</v>
          </cell>
          <cell r="BX82">
            <v>0</v>
          </cell>
          <cell r="BY82">
            <v>0</v>
          </cell>
          <cell r="BZ82">
            <v>0</v>
          </cell>
          <cell r="CA82">
            <v>0</v>
          </cell>
          <cell r="CB82">
            <v>0</v>
          </cell>
          <cell r="CC82">
            <v>0</v>
          </cell>
          <cell r="CD82">
            <v>0</v>
          </cell>
          <cell r="CE82">
            <v>0</v>
          </cell>
          <cell r="CF82">
            <v>0</v>
          </cell>
          <cell r="CG82">
            <v>0</v>
          </cell>
          <cell r="CH82">
            <v>0</v>
          </cell>
          <cell r="CI82">
            <v>0</v>
          </cell>
          <cell r="CJ82">
            <v>0</v>
          </cell>
          <cell r="CK82">
            <v>0</v>
          </cell>
          <cell r="CL82">
            <v>0</v>
          </cell>
          <cell r="CM82">
            <v>0</v>
          </cell>
          <cell r="CN82">
            <v>0</v>
          </cell>
          <cell r="CO82">
            <v>0</v>
          </cell>
          <cell r="CP82">
            <v>0</v>
          </cell>
          <cell r="CQ82">
            <v>0</v>
          </cell>
          <cell r="CR82">
            <v>0</v>
          </cell>
          <cell r="CS82">
            <v>0</v>
          </cell>
          <cell r="CT82">
            <v>0</v>
          </cell>
          <cell r="CU82">
            <v>0</v>
          </cell>
          <cell r="CV82">
            <v>0</v>
          </cell>
          <cell r="CW82">
            <v>0</v>
          </cell>
        </row>
        <row r="83">
          <cell r="A83" t="str">
            <v>VHM produced</v>
          </cell>
          <cell r="B83" t="str">
            <v>kt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329.6</v>
          </cell>
          <cell r="N83">
            <v>0.1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BQ83">
            <v>239.7</v>
          </cell>
          <cell r="BR83">
            <v>89.900000000000034</v>
          </cell>
          <cell r="BS83">
            <v>329.6</v>
          </cell>
          <cell r="BT83">
            <v>0.1</v>
          </cell>
          <cell r="BU83">
            <v>0</v>
          </cell>
          <cell r="BV83">
            <v>0.1</v>
          </cell>
          <cell r="BW83">
            <v>0</v>
          </cell>
          <cell r="BX83">
            <v>0</v>
          </cell>
          <cell r="BY83">
            <v>0</v>
          </cell>
          <cell r="BZ83">
            <v>0</v>
          </cell>
          <cell r="CA83">
            <v>0</v>
          </cell>
          <cell r="CB83">
            <v>0</v>
          </cell>
          <cell r="CC83">
            <v>0</v>
          </cell>
          <cell r="CD83">
            <v>0</v>
          </cell>
          <cell r="CE83">
            <v>0</v>
          </cell>
          <cell r="CF83">
            <v>0</v>
          </cell>
          <cell r="CG83">
            <v>0</v>
          </cell>
          <cell r="CH83">
            <v>0</v>
          </cell>
          <cell r="CI83">
            <v>0</v>
          </cell>
          <cell r="CJ83">
            <v>0</v>
          </cell>
          <cell r="CK83">
            <v>0</v>
          </cell>
          <cell r="CL83">
            <v>0</v>
          </cell>
          <cell r="CM83">
            <v>0</v>
          </cell>
          <cell r="CN83">
            <v>0</v>
          </cell>
          <cell r="CO83">
            <v>0</v>
          </cell>
          <cell r="CP83">
            <v>0</v>
          </cell>
          <cell r="CQ83">
            <v>0</v>
          </cell>
          <cell r="CR83">
            <v>0</v>
          </cell>
          <cell r="CS83">
            <v>0</v>
          </cell>
          <cell r="CT83">
            <v>0</v>
          </cell>
          <cell r="CU83">
            <v>0</v>
          </cell>
          <cell r="CV83">
            <v>0</v>
          </cell>
          <cell r="CW83">
            <v>0</v>
          </cell>
        </row>
        <row r="84">
          <cell r="A84" t="str">
            <v>VHM in HMC assemblage</v>
          </cell>
          <cell r="B84" t="str">
            <v>%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0.84499999999999997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BQ84">
            <v>0.84599999999999997</v>
          </cell>
          <cell r="BR84">
            <v>0.84233370411568398</v>
          </cell>
          <cell r="BS84">
            <v>0.84499999999999997</v>
          </cell>
          <cell r="BT84">
            <v>0</v>
          </cell>
          <cell r="BU84">
            <v>0</v>
          </cell>
          <cell r="BV84">
            <v>0</v>
          </cell>
          <cell r="BW84">
            <v>0</v>
          </cell>
          <cell r="BX84">
            <v>0</v>
          </cell>
          <cell r="BY84">
            <v>0</v>
          </cell>
          <cell r="BZ84">
            <v>0</v>
          </cell>
          <cell r="CA84">
            <v>0</v>
          </cell>
          <cell r="CB84">
            <v>0</v>
          </cell>
          <cell r="CC84">
            <v>0</v>
          </cell>
          <cell r="CD84">
            <v>0</v>
          </cell>
          <cell r="CE84">
            <v>0</v>
          </cell>
          <cell r="CF84">
            <v>0</v>
          </cell>
          <cell r="CG84">
            <v>0</v>
          </cell>
          <cell r="CH84">
            <v>0</v>
          </cell>
          <cell r="CI84">
            <v>0</v>
          </cell>
          <cell r="CJ84">
            <v>0</v>
          </cell>
          <cell r="CK84">
            <v>0</v>
          </cell>
          <cell r="CL84">
            <v>0</v>
          </cell>
          <cell r="CM84">
            <v>0</v>
          </cell>
          <cell r="CN84">
            <v>0</v>
          </cell>
          <cell r="CO84">
            <v>0</v>
          </cell>
          <cell r="CP84">
            <v>0</v>
          </cell>
          <cell r="CQ84">
            <v>0</v>
          </cell>
          <cell r="CR84">
            <v>0</v>
          </cell>
          <cell r="CS84">
            <v>0</v>
          </cell>
          <cell r="CT84">
            <v>0</v>
          </cell>
          <cell r="CU84">
            <v>0</v>
          </cell>
          <cell r="CV84">
            <v>0</v>
          </cell>
          <cell r="CW84">
            <v>0</v>
          </cell>
        </row>
        <row r="85">
          <cell r="A85" t="str">
            <v>Zircon</v>
          </cell>
          <cell r="B85" t="str">
            <v>%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0.128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BQ85">
            <v>0.14699999999999999</v>
          </cell>
          <cell r="BR85">
            <v>7.7340378197997828E-2</v>
          </cell>
          <cell r="BS85">
            <v>0.128</v>
          </cell>
          <cell r="BT85">
            <v>0</v>
          </cell>
          <cell r="BU85">
            <v>0</v>
          </cell>
          <cell r="BV85">
            <v>0</v>
          </cell>
          <cell r="BW85">
            <v>0</v>
          </cell>
          <cell r="BX85">
            <v>0</v>
          </cell>
          <cell r="BY85">
            <v>0</v>
          </cell>
          <cell r="BZ85">
            <v>0</v>
          </cell>
          <cell r="CA85">
            <v>0</v>
          </cell>
          <cell r="CB85">
            <v>0</v>
          </cell>
          <cell r="CC85">
            <v>0</v>
          </cell>
          <cell r="CD85">
            <v>0</v>
          </cell>
          <cell r="CE85">
            <v>0</v>
          </cell>
          <cell r="CF85">
            <v>0</v>
          </cell>
          <cell r="CG85">
            <v>0</v>
          </cell>
          <cell r="CH85">
            <v>0</v>
          </cell>
          <cell r="CI85">
            <v>0</v>
          </cell>
          <cell r="CJ85">
            <v>0</v>
          </cell>
          <cell r="CK85">
            <v>0</v>
          </cell>
          <cell r="CL85">
            <v>0</v>
          </cell>
          <cell r="CM85">
            <v>0</v>
          </cell>
          <cell r="CN85">
            <v>0</v>
          </cell>
          <cell r="CO85">
            <v>0</v>
          </cell>
          <cell r="CP85">
            <v>0</v>
          </cell>
          <cell r="CQ85">
            <v>0</v>
          </cell>
          <cell r="CR85">
            <v>0</v>
          </cell>
          <cell r="CS85">
            <v>0</v>
          </cell>
          <cell r="CT85">
            <v>0</v>
          </cell>
          <cell r="CU85">
            <v>0</v>
          </cell>
          <cell r="CV85">
            <v>0</v>
          </cell>
          <cell r="CW85">
            <v>0</v>
          </cell>
        </row>
        <row r="86">
          <cell r="A86" t="str">
            <v>Rutile</v>
          </cell>
          <cell r="B86" t="str">
            <v>%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0.1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BQ86">
            <v>0.10199999999999999</v>
          </cell>
          <cell r="BR86">
            <v>9.4667408231368197E-2</v>
          </cell>
          <cell r="BS86">
            <v>0.1</v>
          </cell>
          <cell r="BT86">
            <v>0</v>
          </cell>
          <cell r="BU86">
            <v>0</v>
          </cell>
          <cell r="BV86">
            <v>0</v>
          </cell>
          <cell r="BW86">
            <v>0</v>
          </cell>
          <cell r="BX86">
            <v>0</v>
          </cell>
          <cell r="BY86">
            <v>0</v>
          </cell>
          <cell r="BZ86">
            <v>0</v>
          </cell>
          <cell r="CA86">
            <v>0</v>
          </cell>
          <cell r="CB86">
            <v>0</v>
          </cell>
          <cell r="CC86">
            <v>0</v>
          </cell>
          <cell r="CD86">
            <v>0</v>
          </cell>
          <cell r="CE86">
            <v>0</v>
          </cell>
          <cell r="CF86">
            <v>0</v>
          </cell>
          <cell r="CG86">
            <v>0</v>
          </cell>
          <cell r="CH86">
            <v>0</v>
          </cell>
          <cell r="CI86">
            <v>0</v>
          </cell>
          <cell r="CJ86">
            <v>0</v>
          </cell>
          <cell r="CK86">
            <v>0</v>
          </cell>
          <cell r="CL86">
            <v>0</v>
          </cell>
          <cell r="CM86">
            <v>0</v>
          </cell>
          <cell r="CN86">
            <v>0</v>
          </cell>
          <cell r="CO86">
            <v>0</v>
          </cell>
          <cell r="CP86">
            <v>0</v>
          </cell>
          <cell r="CQ86">
            <v>0</v>
          </cell>
          <cell r="CR86">
            <v>0</v>
          </cell>
          <cell r="CS86">
            <v>0</v>
          </cell>
          <cell r="CT86">
            <v>0</v>
          </cell>
          <cell r="CU86">
            <v>0</v>
          </cell>
          <cell r="CV86">
            <v>0</v>
          </cell>
          <cell r="CW86">
            <v>0</v>
          </cell>
        </row>
        <row r="87">
          <cell r="A87" t="str">
            <v>Ilmenite saleable</v>
          </cell>
          <cell r="B87" t="str">
            <v>%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0.62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BQ87">
            <v>0.59899999999999998</v>
          </cell>
          <cell r="BR87">
            <v>0.67599221357063388</v>
          </cell>
          <cell r="BS87">
            <v>0.62</v>
          </cell>
          <cell r="BT87">
            <v>0</v>
          </cell>
          <cell r="BU87">
            <v>0</v>
          </cell>
          <cell r="BV87">
            <v>0</v>
          </cell>
          <cell r="BW87">
            <v>0</v>
          </cell>
          <cell r="BX87">
            <v>0</v>
          </cell>
          <cell r="BY87">
            <v>0</v>
          </cell>
          <cell r="BZ87">
            <v>0</v>
          </cell>
          <cell r="CA87">
            <v>0</v>
          </cell>
          <cell r="CB87">
            <v>0</v>
          </cell>
          <cell r="CC87">
            <v>0</v>
          </cell>
          <cell r="CD87">
            <v>0</v>
          </cell>
          <cell r="CE87">
            <v>0</v>
          </cell>
          <cell r="CF87">
            <v>0</v>
          </cell>
          <cell r="CG87">
            <v>0</v>
          </cell>
          <cell r="CH87">
            <v>0</v>
          </cell>
          <cell r="CI87">
            <v>0</v>
          </cell>
          <cell r="CJ87">
            <v>0</v>
          </cell>
          <cell r="CK87">
            <v>0</v>
          </cell>
          <cell r="CL87">
            <v>0</v>
          </cell>
          <cell r="CM87">
            <v>0</v>
          </cell>
          <cell r="CN87">
            <v>0</v>
          </cell>
          <cell r="CO87">
            <v>0</v>
          </cell>
          <cell r="CP87">
            <v>0</v>
          </cell>
          <cell r="CQ87">
            <v>0</v>
          </cell>
          <cell r="CR87">
            <v>0</v>
          </cell>
          <cell r="CS87">
            <v>0</v>
          </cell>
          <cell r="CT87">
            <v>0</v>
          </cell>
          <cell r="CU87">
            <v>0</v>
          </cell>
          <cell r="CV87">
            <v>0</v>
          </cell>
          <cell r="CW87">
            <v>0</v>
          </cell>
        </row>
        <row r="89">
          <cell r="A89" t="str">
            <v>Perth Processing</v>
          </cell>
          <cell r="B89" t="str">
            <v>.</v>
          </cell>
          <cell r="C89" t="str">
            <v>.</v>
          </cell>
          <cell r="D89" t="str">
            <v>.</v>
          </cell>
          <cell r="E89" t="str">
            <v>.</v>
          </cell>
          <cell r="F89" t="str">
            <v>.</v>
          </cell>
          <cell r="G89" t="str">
            <v>.</v>
          </cell>
          <cell r="H89" t="str">
            <v>.</v>
          </cell>
          <cell r="I89" t="str">
            <v>.</v>
          </cell>
          <cell r="J89" t="str">
            <v>.</v>
          </cell>
          <cell r="K89" t="str">
            <v>.</v>
          </cell>
          <cell r="L89" t="str">
            <v>.</v>
          </cell>
          <cell r="M89" t="str">
            <v>.</v>
          </cell>
          <cell r="N89" t="str">
            <v>.</v>
          </cell>
          <cell r="O89" t="str">
            <v>.</v>
          </cell>
          <cell r="P89" t="str">
            <v>.</v>
          </cell>
          <cell r="Q89" t="str">
            <v>.</v>
          </cell>
          <cell r="R89" t="str">
            <v>.</v>
          </cell>
          <cell r="S89" t="str">
            <v>.</v>
          </cell>
          <cell r="T89" t="str">
            <v>.</v>
          </cell>
          <cell r="U89" t="str">
            <v>.</v>
          </cell>
          <cell r="V89" t="str">
            <v>.</v>
          </cell>
          <cell r="W89" t="str">
            <v>.</v>
          </cell>
          <cell r="X89" t="str">
            <v>.</v>
          </cell>
          <cell r="Y89" t="str">
            <v>.</v>
          </cell>
          <cell r="Z89" t="str">
            <v>.</v>
          </cell>
          <cell r="AA89" t="str">
            <v>.</v>
          </cell>
          <cell r="AB89" t="str">
            <v>.</v>
          </cell>
          <cell r="AC89" t="str">
            <v>.</v>
          </cell>
          <cell r="AD89" t="str">
            <v>.</v>
          </cell>
          <cell r="AE89" t="str">
            <v>.</v>
          </cell>
          <cell r="AF89" t="str">
            <v>.</v>
          </cell>
          <cell r="AG89" t="str">
            <v>.</v>
          </cell>
          <cell r="AH89" t="str">
            <v>.</v>
          </cell>
          <cell r="AI89" t="str">
            <v>.</v>
          </cell>
          <cell r="AJ89" t="str">
            <v>.</v>
          </cell>
          <cell r="AK89" t="str">
            <v>.</v>
          </cell>
          <cell r="AL89" t="str">
            <v>.</v>
          </cell>
          <cell r="AM89" t="str">
            <v>.</v>
          </cell>
          <cell r="AN89" t="str">
            <v>.</v>
          </cell>
          <cell r="AO89" t="str">
            <v>.</v>
          </cell>
          <cell r="AP89" t="str">
            <v>.</v>
          </cell>
          <cell r="AQ89" t="str">
            <v>.</v>
          </cell>
          <cell r="AR89" t="str">
            <v>.</v>
          </cell>
          <cell r="AS89" t="str">
            <v>.</v>
          </cell>
          <cell r="AT89" t="str">
            <v>.</v>
          </cell>
          <cell r="AU89" t="str">
            <v>.</v>
          </cell>
          <cell r="AV89" t="str">
            <v>.</v>
          </cell>
          <cell r="AW89" t="str">
            <v>.</v>
          </cell>
          <cell r="AX89" t="str">
            <v>.</v>
          </cell>
          <cell r="AY89" t="str">
            <v>.</v>
          </cell>
          <cell r="AZ89" t="str">
            <v>.</v>
          </cell>
          <cell r="BA89" t="str">
            <v>.</v>
          </cell>
          <cell r="BB89" t="str">
            <v>.</v>
          </cell>
          <cell r="BC89" t="str">
            <v>.</v>
          </cell>
          <cell r="BD89" t="str">
            <v>.</v>
          </cell>
          <cell r="BE89" t="str">
            <v>.</v>
          </cell>
          <cell r="BF89" t="str">
            <v>.</v>
          </cell>
          <cell r="BG89" t="str">
            <v>.</v>
          </cell>
          <cell r="BH89" t="str">
            <v>.</v>
          </cell>
          <cell r="BI89" t="str">
            <v>.</v>
          </cell>
          <cell r="BJ89" t="str">
            <v>.</v>
          </cell>
          <cell r="BK89" t="str">
            <v>.</v>
          </cell>
          <cell r="BL89" t="str">
            <v>.</v>
          </cell>
          <cell r="BM89" t="str">
            <v>.</v>
          </cell>
          <cell r="BN89" t="str">
            <v>.</v>
          </cell>
          <cell r="BO89" t="str">
            <v>.</v>
          </cell>
          <cell r="BP89" t="str">
            <v>.</v>
          </cell>
          <cell r="BQ89" t="str">
            <v>.</v>
          </cell>
          <cell r="BR89" t="str">
            <v>.</v>
          </cell>
          <cell r="BS89" t="str">
            <v>.</v>
          </cell>
          <cell r="BT89" t="str">
            <v>.</v>
          </cell>
          <cell r="BU89" t="str">
            <v>.</v>
          </cell>
          <cell r="BV89" t="str">
            <v>.</v>
          </cell>
          <cell r="BW89" t="str">
            <v>.</v>
          </cell>
          <cell r="BX89" t="str">
            <v>.</v>
          </cell>
          <cell r="BY89" t="str">
            <v>.</v>
          </cell>
          <cell r="BZ89" t="str">
            <v>.</v>
          </cell>
          <cell r="CA89" t="str">
            <v>.</v>
          </cell>
          <cell r="CB89" t="str">
            <v>.</v>
          </cell>
          <cell r="CC89" t="str">
            <v>.</v>
          </cell>
          <cell r="CD89" t="str">
            <v>.</v>
          </cell>
          <cell r="CE89" t="str">
            <v>.</v>
          </cell>
          <cell r="CF89" t="str">
            <v>.</v>
          </cell>
          <cell r="CG89" t="str">
            <v>.</v>
          </cell>
          <cell r="CH89" t="str">
            <v>.</v>
          </cell>
          <cell r="CI89" t="str">
            <v>.</v>
          </cell>
          <cell r="CJ89" t="str">
            <v>.</v>
          </cell>
          <cell r="CK89" t="str">
            <v>.</v>
          </cell>
          <cell r="CL89" t="str">
            <v>.</v>
          </cell>
          <cell r="CM89" t="str">
            <v>.</v>
          </cell>
          <cell r="CN89" t="str">
            <v>.</v>
          </cell>
          <cell r="CO89" t="str">
            <v>.</v>
          </cell>
          <cell r="CP89" t="str">
            <v>.</v>
          </cell>
          <cell r="CQ89" t="str">
            <v>.</v>
          </cell>
          <cell r="CR89" t="str">
            <v>.</v>
          </cell>
          <cell r="CS89" t="str">
            <v>.</v>
          </cell>
          <cell r="CT89" t="str">
            <v>.</v>
          </cell>
          <cell r="CU89" t="str">
            <v>.</v>
          </cell>
          <cell r="CV89" t="str">
            <v>.</v>
          </cell>
          <cell r="CW89" t="str">
            <v>.</v>
          </cell>
          <cell r="DS89" t="str">
            <v>.</v>
          </cell>
          <cell r="DT89" t="str">
            <v>.</v>
          </cell>
          <cell r="DU89" t="str">
            <v>.</v>
          </cell>
          <cell r="DV89" t="str">
            <v>.</v>
          </cell>
          <cell r="DW89" t="str">
            <v>.</v>
          </cell>
          <cell r="DX89" t="str">
            <v>.</v>
          </cell>
          <cell r="DY89" t="str">
            <v>.</v>
          </cell>
          <cell r="DZ89" t="str">
            <v>.</v>
          </cell>
          <cell r="EA89" t="str">
            <v>.</v>
          </cell>
          <cell r="EB89" t="str">
            <v>.</v>
          </cell>
          <cell r="EC89" t="str">
            <v>.</v>
          </cell>
          <cell r="ED89" t="str">
            <v>.</v>
          </cell>
          <cell r="EE89" t="str">
            <v>.</v>
          </cell>
          <cell r="EF89" t="str">
            <v>.</v>
          </cell>
          <cell r="EG89" t="str">
            <v>.</v>
          </cell>
          <cell r="EH89" t="str">
            <v>.</v>
          </cell>
          <cell r="EI89" t="str">
            <v>.</v>
          </cell>
          <cell r="EJ89" t="str">
            <v>.</v>
          </cell>
          <cell r="EK89" t="str">
            <v>.</v>
          </cell>
          <cell r="EL89" t="str">
            <v>.</v>
          </cell>
          <cell r="EM89" t="str">
            <v>.</v>
          </cell>
          <cell r="EN89" t="str">
            <v>.</v>
          </cell>
          <cell r="EO89" t="str">
            <v>.</v>
          </cell>
          <cell r="EP89" t="str">
            <v>.</v>
          </cell>
        </row>
        <row r="90">
          <cell r="A90" t="str">
            <v>HMC processed</v>
          </cell>
          <cell r="B90" t="str">
            <v>kt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442.2</v>
          </cell>
          <cell r="N90">
            <v>50</v>
          </cell>
          <cell r="O90">
            <v>290</v>
          </cell>
          <cell r="P90">
            <v>290</v>
          </cell>
          <cell r="Q90">
            <v>290</v>
          </cell>
          <cell r="R90">
            <v>75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BQ90">
            <v>291.89999999999998</v>
          </cell>
          <cell r="BR90">
            <v>150.30000000000001</v>
          </cell>
          <cell r="BS90">
            <v>442.2</v>
          </cell>
          <cell r="BT90">
            <v>50</v>
          </cell>
          <cell r="BU90">
            <v>0</v>
          </cell>
          <cell r="BV90">
            <v>50</v>
          </cell>
          <cell r="BW90">
            <v>145</v>
          </cell>
          <cell r="BX90">
            <v>145</v>
          </cell>
          <cell r="BY90">
            <v>290</v>
          </cell>
          <cell r="BZ90">
            <v>145</v>
          </cell>
          <cell r="CA90">
            <v>145</v>
          </cell>
          <cell r="CB90">
            <v>290</v>
          </cell>
          <cell r="CC90">
            <v>145</v>
          </cell>
          <cell r="CD90">
            <v>145</v>
          </cell>
          <cell r="CE90">
            <v>290</v>
          </cell>
          <cell r="CF90">
            <v>75</v>
          </cell>
          <cell r="CG90">
            <v>0</v>
          </cell>
          <cell r="CH90">
            <v>75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  <cell r="CM90">
            <v>0</v>
          </cell>
          <cell r="CN90">
            <v>0</v>
          </cell>
          <cell r="CO90">
            <v>0</v>
          </cell>
          <cell r="CP90">
            <v>0</v>
          </cell>
          <cell r="CQ90">
            <v>0</v>
          </cell>
          <cell r="CR90">
            <v>0</v>
          </cell>
          <cell r="CS90">
            <v>0</v>
          </cell>
          <cell r="CT90">
            <v>0</v>
          </cell>
          <cell r="CU90">
            <v>0</v>
          </cell>
          <cell r="CV90">
            <v>0</v>
          </cell>
          <cell r="CW90">
            <v>0</v>
          </cell>
        </row>
        <row r="91">
          <cell r="A91" t="str">
            <v>Zircon product</v>
          </cell>
          <cell r="B91" t="str">
            <v>kt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46.2</v>
          </cell>
          <cell r="N91">
            <v>6</v>
          </cell>
          <cell r="O91">
            <v>25</v>
          </cell>
          <cell r="P91">
            <v>25</v>
          </cell>
          <cell r="Q91">
            <v>25</v>
          </cell>
          <cell r="R91">
            <v>5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BQ91">
            <v>30.3</v>
          </cell>
          <cell r="BR91">
            <v>15.900000000000002</v>
          </cell>
          <cell r="BS91">
            <v>46.2</v>
          </cell>
          <cell r="BT91">
            <v>6</v>
          </cell>
          <cell r="BU91">
            <v>0</v>
          </cell>
          <cell r="BV91">
            <v>6</v>
          </cell>
          <cell r="BW91">
            <v>12.5</v>
          </cell>
          <cell r="BX91">
            <v>12.5</v>
          </cell>
          <cell r="BY91">
            <v>25</v>
          </cell>
          <cell r="BZ91">
            <v>12.5</v>
          </cell>
          <cell r="CA91">
            <v>12.5</v>
          </cell>
          <cell r="CB91">
            <v>25</v>
          </cell>
          <cell r="CC91">
            <v>12.5</v>
          </cell>
          <cell r="CD91">
            <v>12.5</v>
          </cell>
          <cell r="CE91">
            <v>25</v>
          </cell>
          <cell r="CF91">
            <v>5</v>
          </cell>
          <cell r="CG91">
            <v>0</v>
          </cell>
          <cell r="CH91">
            <v>5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  <cell r="CM91">
            <v>0</v>
          </cell>
          <cell r="CN91">
            <v>0</v>
          </cell>
          <cell r="CO91">
            <v>0</v>
          </cell>
          <cell r="CP91">
            <v>0</v>
          </cell>
          <cell r="CQ91">
            <v>0</v>
          </cell>
          <cell r="CR91">
            <v>0</v>
          </cell>
          <cell r="CS91">
            <v>0</v>
          </cell>
          <cell r="CT91">
            <v>0</v>
          </cell>
          <cell r="CU91">
            <v>0</v>
          </cell>
          <cell r="CV91">
            <v>0</v>
          </cell>
          <cell r="CW91">
            <v>0</v>
          </cell>
        </row>
        <row r="92">
          <cell r="A92" t="str">
            <v>Rutile product</v>
          </cell>
          <cell r="B92" t="str">
            <v>kt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41.5</v>
          </cell>
          <cell r="N92">
            <v>0</v>
          </cell>
          <cell r="O92">
            <v>25</v>
          </cell>
          <cell r="P92">
            <v>25</v>
          </cell>
          <cell r="Q92">
            <v>25</v>
          </cell>
          <cell r="R92">
            <v>5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BQ92">
            <v>29.6</v>
          </cell>
          <cell r="BR92">
            <v>11.899999999999999</v>
          </cell>
          <cell r="BS92">
            <v>41.5</v>
          </cell>
          <cell r="BT92">
            <v>0</v>
          </cell>
          <cell r="BU92">
            <v>0</v>
          </cell>
          <cell r="BV92">
            <v>0</v>
          </cell>
          <cell r="BW92">
            <v>12.5</v>
          </cell>
          <cell r="BX92">
            <v>12.5</v>
          </cell>
          <cell r="BY92">
            <v>25</v>
          </cell>
          <cell r="BZ92">
            <v>12.5</v>
          </cell>
          <cell r="CA92">
            <v>12.5</v>
          </cell>
          <cell r="CB92">
            <v>25</v>
          </cell>
          <cell r="CC92">
            <v>12.5</v>
          </cell>
          <cell r="CD92">
            <v>12.5</v>
          </cell>
          <cell r="CE92">
            <v>25</v>
          </cell>
          <cell r="CF92">
            <v>5</v>
          </cell>
          <cell r="CG92">
            <v>0</v>
          </cell>
          <cell r="CH92">
            <v>5</v>
          </cell>
          <cell r="CI92">
            <v>0</v>
          </cell>
          <cell r="CJ92">
            <v>0</v>
          </cell>
          <cell r="CK92">
            <v>0</v>
          </cell>
          <cell r="CL92">
            <v>0</v>
          </cell>
          <cell r="CM92">
            <v>0</v>
          </cell>
          <cell r="CN92">
            <v>0</v>
          </cell>
          <cell r="CO92">
            <v>0</v>
          </cell>
          <cell r="CP92">
            <v>0</v>
          </cell>
          <cell r="CQ92">
            <v>0</v>
          </cell>
          <cell r="CR92">
            <v>0</v>
          </cell>
          <cell r="CS92">
            <v>0</v>
          </cell>
          <cell r="CT92">
            <v>0</v>
          </cell>
          <cell r="CU92">
            <v>0</v>
          </cell>
          <cell r="CV92">
            <v>0</v>
          </cell>
          <cell r="CW92">
            <v>0</v>
          </cell>
        </row>
        <row r="93">
          <cell r="A93" t="str">
            <v>Ilmenite Saleable</v>
          </cell>
          <cell r="B93" t="str">
            <v>kt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81.900000000000006</v>
          </cell>
          <cell r="N93">
            <v>0</v>
          </cell>
          <cell r="O93">
            <v>140</v>
          </cell>
          <cell r="P93">
            <v>140</v>
          </cell>
          <cell r="Q93">
            <v>140</v>
          </cell>
          <cell r="R93">
            <v>35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BQ93">
            <v>62.9</v>
          </cell>
          <cell r="BR93">
            <v>19.000000000000007</v>
          </cell>
          <cell r="BS93">
            <v>81.900000000000006</v>
          </cell>
          <cell r="BT93">
            <v>0</v>
          </cell>
          <cell r="BU93">
            <v>0</v>
          </cell>
          <cell r="BV93">
            <v>0</v>
          </cell>
          <cell r="BW93">
            <v>70</v>
          </cell>
          <cell r="BX93">
            <v>70</v>
          </cell>
          <cell r="BY93">
            <v>140</v>
          </cell>
          <cell r="BZ93">
            <v>70</v>
          </cell>
          <cell r="CA93">
            <v>70</v>
          </cell>
          <cell r="CB93">
            <v>140</v>
          </cell>
          <cell r="CC93">
            <v>70</v>
          </cell>
          <cell r="CD93">
            <v>70</v>
          </cell>
          <cell r="CE93">
            <v>140</v>
          </cell>
          <cell r="CF93">
            <v>35</v>
          </cell>
          <cell r="CG93">
            <v>0</v>
          </cell>
          <cell r="CH93">
            <v>35</v>
          </cell>
          <cell r="CI93">
            <v>0</v>
          </cell>
          <cell r="CJ93">
            <v>0</v>
          </cell>
          <cell r="CK93">
            <v>0</v>
          </cell>
          <cell r="CL93">
            <v>0</v>
          </cell>
          <cell r="CM93">
            <v>0</v>
          </cell>
          <cell r="CN93">
            <v>0</v>
          </cell>
          <cell r="CO93">
            <v>0</v>
          </cell>
          <cell r="CP93">
            <v>0</v>
          </cell>
          <cell r="CQ93">
            <v>0</v>
          </cell>
          <cell r="CR93">
            <v>0</v>
          </cell>
          <cell r="CS93">
            <v>0</v>
          </cell>
          <cell r="CT93">
            <v>0</v>
          </cell>
          <cell r="CU93">
            <v>0</v>
          </cell>
          <cell r="CV93">
            <v>0</v>
          </cell>
          <cell r="CW93">
            <v>0</v>
          </cell>
        </row>
        <row r="94">
          <cell r="A94" t="str">
            <v>Ilmenite Upgradeable</v>
          </cell>
          <cell r="B94" t="str">
            <v>kt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173.9</v>
          </cell>
          <cell r="N94">
            <v>33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BQ94">
            <v>113.8</v>
          </cell>
          <cell r="BR94">
            <v>60.100000000000009</v>
          </cell>
          <cell r="BS94">
            <v>173.9</v>
          </cell>
          <cell r="BT94">
            <v>33</v>
          </cell>
          <cell r="BU94">
            <v>0</v>
          </cell>
          <cell r="BV94">
            <v>33</v>
          </cell>
          <cell r="BW94">
            <v>0</v>
          </cell>
          <cell r="BX94">
            <v>0</v>
          </cell>
          <cell r="BY94">
            <v>0</v>
          </cell>
          <cell r="BZ94">
            <v>0</v>
          </cell>
          <cell r="CA94">
            <v>0</v>
          </cell>
          <cell r="CB94">
            <v>0</v>
          </cell>
          <cell r="CC94">
            <v>0</v>
          </cell>
          <cell r="CD94">
            <v>0</v>
          </cell>
          <cell r="CE94">
            <v>0</v>
          </cell>
          <cell r="CF94">
            <v>0</v>
          </cell>
          <cell r="CG94">
            <v>0</v>
          </cell>
          <cell r="CH94">
            <v>0</v>
          </cell>
          <cell r="CI94">
            <v>0</v>
          </cell>
          <cell r="CJ94">
            <v>0</v>
          </cell>
          <cell r="CK94">
            <v>0</v>
          </cell>
          <cell r="CL94">
            <v>0</v>
          </cell>
          <cell r="CM94">
            <v>0</v>
          </cell>
          <cell r="CN94">
            <v>0</v>
          </cell>
          <cell r="CO94">
            <v>0</v>
          </cell>
          <cell r="CP94">
            <v>0</v>
          </cell>
          <cell r="CQ94">
            <v>0</v>
          </cell>
          <cell r="CR94">
            <v>0</v>
          </cell>
          <cell r="CS94">
            <v>0</v>
          </cell>
          <cell r="CT94">
            <v>0</v>
          </cell>
          <cell r="CU94">
            <v>0</v>
          </cell>
          <cell r="CV94">
            <v>0</v>
          </cell>
          <cell r="CW94">
            <v>0</v>
          </cell>
        </row>
        <row r="95">
          <cell r="A95" t="str">
            <v>Synthetic Rutile product</v>
          </cell>
          <cell r="B95" t="str">
            <v>kt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347.5</v>
          </cell>
          <cell r="N95">
            <v>303</v>
          </cell>
          <cell r="O95">
            <v>320</v>
          </cell>
          <cell r="P95">
            <v>320</v>
          </cell>
          <cell r="Q95">
            <v>320</v>
          </cell>
          <cell r="R95">
            <v>320</v>
          </cell>
          <cell r="S95">
            <v>320</v>
          </cell>
          <cell r="T95">
            <v>320</v>
          </cell>
          <cell r="U95">
            <v>320</v>
          </cell>
          <cell r="V95">
            <v>320</v>
          </cell>
          <cell r="W95">
            <v>320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BQ95">
            <v>173.9</v>
          </cell>
          <cell r="BR95">
            <v>173.6</v>
          </cell>
          <cell r="BS95">
            <v>347.5</v>
          </cell>
          <cell r="BT95">
            <v>153</v>
          </cell>
          <cell r="BU95">
            <v>150</v>
          </cell>
          <cell r="BV95">
            <v>303</v>
          </cell>
          <cell r="BW95">
            <v>160</v>
          </cell>
          <cell r="BX95">
            <v>160</v>
          </cell>
          <cell r="BY95">
            <v>320</v>
          </cell>
          <cell r="BZ95">
            <v>160</v>
          </cell>
          <cell r="CA95">
            <v>160</v>
          </cell>
          <cell r="CB95">
            <v>320</v>
          </cell>
          <cell r="CC95">
            <v>160</v>
          </cell>
          <cell r="CD95">
            <v>160</v>
          </cell>
          <cell r="CE95">
            <v>320</v>
          </cell>
          <cell r="CF95">
            <v>160</v>
          </cell>
          <cell r="CG95">
            <v>160</v>
          </cell>
          <cell r="CH95">
            <v>320</v>
          </cell>
          <cell r="CI95">
            <v>160</v>
          </cell>
          <cell r="CJ95">
            <v>160</v>
          </cell>
          <cell r="CK95">
            <v>320</v>
          </cell>
          <cell r="CL95">
            <v>160</v>
          </cell>
          <cell r="CM95">
            <v>160</v>
          </cell>
          <cell r="CN95">
            <v>320</v>
          </cell>
          <cell r="CO95">
            <v>160</v>
          </cell>
          <cell r="CP95">
            <v>160</v>
          </cell>
          <cell r="CQ95">
            <v>320</v>
          </cell>
          <cell r="CR95">
            <v>160</v>
          </cell>
          <cell r="CS95">
            <v>160</v>
          </cell>
          <cell r="CT95">
            <v>320</v>
          </cell>
          <cell r="CU95">
            <v>160</v>
          </cell>
          <cell r="CV95">
            <v>160</v>
          </cell>
          <cell r="CW95">
            <v>320</v>
          </cell>
        </row>
        <row r="97">
          <cell r="A97" t="str">
            <v>Ilmenite required for SR</v>
          </cell>
          <cell r="B97" t="str">
            <v>kt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629.52898550724638</v>
          </cell>
          <cell r="N97">
            <v>548.91304347826087</v>
          </cell>
          <cell r="O97">
            <v>579.71014492753625</v>
          </cell>
          <cell r="P97">
            <v>579.71014492753625</v>
          </cell>
          <cell r="Q97">
            <v>579.71014492753625</v>
          </cell>
          <cell r="R97">
            <v>579.71014492753625</v>
          </cell>
          <cell r="S97">
            <v>579.71014492753625</v>
          </cell>
          <cell r="T97">
            <v>579.71014492753625</v>
          </cell>
          <cell r="U97">
            <v>579.71014492753625</v>
          </cell>
          <cell r="V97">
            <v>579.71014492753625</v>
          </cell>
          <cell r="W97">
            <v>579.71014492753625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BQ97">
            <v>315.036231884058</v>
          </cell>
          <cell r="BR97">
            <v>314.49275362318838</v>
          </cell>
          <cell r="BS97">
            <v>629.52898550724638</v>
          </cell>
          <cell r="BT97">
            <v>277.17391304347825</v>
          </cell>
          <cell r="BU97">
            <v>271.73913043478262</v>
          </cell>
          <cell r="BV97">
            <v>548.91304347826087</v>
          </cell>
          <cell r="BW97">
            <v>289.85507246376812</v>
          </cell>
          <cell r="BX97">
            <v>289.85507246376812</v>
          </cell>
          <cell r="BY97">
            <v>579.71014492753625</v>
          </cell>
          <cell r="BZ97">
            <v>289.85507246376812</v>
          </cell>
          <cell r="CA97">
            <v>289.85507246376812</v>
          </cell>
          <cell r="CB97">
            <v>579.71014492753625</v>
          </cell>
          <cell r="CC97">
            <v>289.85507246376812</v>
          </cell>
          <cell r="CD97">
            <v>289.85507246376812</v>
          </cell>
          <cell r="CE97">
            <v>579.71014492753625</v>
          </cell>
          <cell r="CF97">
            <v>289.85507246376812</v>
          </cell>
          <cell r="CG97">
            <v>289.85507246376812</v>
          </cell>
          <cell r="CH97">
            <v>579.71014492753625</v>
          </cell>
          <cell r="CI97">
            <v>289.85507246376812</v>
          </cell>
          <cell r="CJ97">
            <v>289.85507246376812</v>
          </cell>
          <cell r="CK97">
            <v>579.71014492753625</v>
          </cell>
          <cell r="CL97">
            <v>289.85507246376812</v>
          </cell>
          <cell r="CM97">
            <v>289.85507246376812</v>
          </cell>
          <cell r="CN97">
            <v>579.71014492753625</v>
          </cell>
          <cell r="CO97">
            <v>289.85507246376812</v>
          </cell>
          <cell r="CP97">
            <v>289.85507246376812</v>
          </cell>
          <cell r="CQ97">
            <v>579.71014492753625</v>
          </cell>
          <cell r="CR97">
            <v>289.85507246376812</v>
          </cell>
          <cell r="CS97">
            <v>289.85507246376812</v>
          </cell>
          <cell r="CT97">
            <v>579.71014492753625</v>
          </cell>
          <cell r="CU97">
            <v>289.85507246376812</v>
          </cell>
          <cell r="CV97">
            <v>289.85507246376812</v>
          </cell>
          <cell r="CW97">
            <v>579.71014492753625</v>
          </cell>
        </row>
        <row r="98">
          <cell r="A98" t="str">
            <v>Ilmenite Upgradeable from Murray Basin</v>
          </cell>
          <cell r="B98" t="str">
            <v>kt</v>
          </cell>
          <cell r="M98">
            <v>0</v>
          </cell>
          <cell r="N98">
            <v>0</v>
          </cell>
          <cell r="O98">
            <v>95</v>
          </cell>
          <cell r="P98">
            <v>95</v>
          </cell>
          <cell r="Q98">
            <v>95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BW98">
            <v>47.5</v>
          </cell>
          <cell r="BX98">
            <v>47.5</v>
          </cell>
          <cell r="BY98">
            <v>95</v>
          </cell>
          <cell r="BZ98">
            <v>47.5</v>
          </cell>
          <cell r="CA98">
            <v>47.5</v>
          </cell>
          <cell r="CB98">
            <v>95</v>
          </cell>
          <cell r="CC98">
            <v>47.5</v>
          </cell>
          <cell r="CD98">
            <v>47.5</v>
          </cell>
          <cell r="CE98">
            <v>95</v>
          </cell>
          <cell r="CF98">
            <v>0</v>
          </cell>
          <cell r="CG98">
            <v>0</v>
          </cell>
          <cell r="CH98">
            <v>0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  <cell r="CM98">
            <v>0</v>
          </cell>
          <cell r="CN98">
            <v>0</v>
          </cell>
          <cell r="CO98">
            <v>0</v>
          </cell>
          <cell r="CP98">
            <v>0</v>
          </cell>
          <cell r="CQ98">
            <v>0</v>
          </cell>
          <cell r="CR98">
            <v>0</v>
          </cell>
          <cell r="CS98">
            <v>0</v>
          </cell>
          <cell r="CT98">
            <v>0</v>
          </cell>
          <cell r="CU98">
            <v>0</v>
          </cell>
          <cell r="CV98">
            <v>0</v>
          </cell>
          <cell r="CW98">
            <v>0</v>
          </cell>
        </row>
        <row r="99">
          <cell r="A99" t="str">
            <v>Ilmeinte purchased</v>
          </cell>
          <cell r="B99" t="str">
            <v>kt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455.62898550724634</v>
          </cell>
          <cell r="N99">
            <v>515.91304347826087</v>
          </cell>
          <cell r="O99">
            <v>484.71014492753625</v>
          </cell>
          <cell r="P99">
            <v>484.71014492753625</v>
          </cell>
          <cell r="Q99">
            <v>484.71014492753625</v>
          </cell>
          <cell r="R99">
            <v>579.71014492753625</v>
          </cell>
          <cell r="S99">
            <v>579.71014492753625</v>
          </cell>
          <cell r="T99">
            <v>579.71014492753625</v>
          </cell>
          <cell r="U99">
            <v>579.71014492753625</v>
          </cell>
          <cell r="V99">
            <v>579.71014492753625</v>
          </cell>
          <cell r="W99">
            <v>579.71014492753625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BQ99">
            <v>201.23623188405799</v>
          </cell>
          <cell r="BR99">
            <v>254.39275362318836</v>
          </cell>
          <cell r="BS99">
            <v>455.62898550724634</v>
          </cell>
          <cell r="BT99">
            <v>244.17391304347825</v>
          </cell>
          <cell r="BU99">
            <v>271.73913043478262</v>
          </cell>
          <cell r="BV99">
            <v>515.91304347826087</v>
          </cell>
          <cell r="BW99">
            <v>242.35507246376812</v>
          </cell>
          <cell r="BX99">
            <v>242.35507246376812</v>
          </cell>
          <cell r="BY99">
            <v>484.71014492753625</v>
          </cell>
          <cell r="BZ99">
            <v>242.35507246376812</v>
          </cell>
          <cell r="CA99">
            <v>242.35507246376812</v>
          </cell>
          <cell r="CB99">
            <v>484.71014492753625</v>
          </cell>
          <cell r="CC99">
            <v>242.35507246376812</v>
          </cell>
          <cell r="CD99">
            <v>242.35507246376812</v>
          </cell>
          <cell r="CE99">
            <v>484.71014492753625</v>
          </cell>
          <cell r="CF99">
            <v>289.85507246376812</v>
          </cell>
          <cell r="CG99">
            <v>289.85507246376812</v>
          </cell>
          <cell r="CH99">
            <v>579.71014492753625</v>
          </cell>
          <cell r="CI99">
            <v>289.85507246376812</v>
          </cell>
          <cell r="CJ99">
            <v>289.85507246376812</v>
          </cell>
          <cell r="CK99">
            <v>579.71014492753625</v>
          </cell>
          <cell r="CL99">
            <v>289.85507246376812</v>
          </cell>
          <cell r="CM99">
            <v>289.85507246376812</v>
          </cell>
          <cell r="CN99">
            <v>579.71014492753625</v>
          </cell>
          <cell r="CO99">
            <v>289.85507246376812</v>
          </cell>
          <cell r="CP99">
            <v>289.85507246376812</v>
          </cell>
          <cell r="CQ99">
            <v>579.71014492753625</v>
          </cell>
          <cell r="CR99">
            <v>289.85507246376812</v>
          </cell>
          <cell r="CS99">
            <v>289.85507246376812</v>
          </cell>
          <cell r="CT99">
            <v>579.71014492753625</v>
          </cell>
          <cell r="CU99">
            <v>289.85507246376812</v>
          </cell>
          <cell r="CV99">
            <v>289.85507246376812</v>
          </cell>
          <cell r="CW99">
            <v>579.71014492753625</v>
          </cell>
        </row>
        <row r="101">
          <cell r="A101" t="str">
            <v>Eucla/Perth Basin volumes and costs</v>
          </cell>
          <cell r="B101" t="str">
            <v>.</v>
          </cell>
          <cell r="C101" t="str">
            <v>.</v>
          </cell>
          <cell r="D101" t="str">
            <v>.</v>
          </cell>
          <cell r="E101" t="str">
            <v>.</v>
          </cell>
          <cell r="F101" t="str">
            <v>.</v>
          </cell>
          <cell r="G101" t="str">
            <v>.</v>
          </cell>
          <cell r="H101" t="str">
            <v>.</v>
          </cell>
          <cell r="I101" t="str">
            <v>.</v>
          </cell>
          <cell r="J101" t="str">
            <v>.</v>
          </cell>
          <cell r="K101" t="str">
            <v>.</v>
          </cell>
          <cell r="L101" t="str">
            <v>.</v>
          </cell>
          <cell r="M101" t="str">
            <v>.</v>
          </cell>
          <cell r="N101" t="str">
            <v>.</v>
          </cell>
          <cell r="O101" t="str">
            <v>.</v>
          </cell>
          <cell r="P101" t="str">
            <v>.</v>
          </cell>
          <cell r="Q101" t="str">
            <v>.</v>
          </cell>
          <cell r="R101" t="str">
            <v>.</v>
          </cell>
          <cell r="S101" t="str">
            <v>.</v>
          </cell>
          <cell r="T101" t="str">
            <v>.</v>
          </cell>
          <cell r="U101" t="str">
            <v>.</v>
          </cell>
          <cell r="V101" t="str">
            <v>.</v>
          </cell>
          <cell r="W101" t="str">
            <v>.</v>
          </cell>
          <cell r="X101" t="str">
            <v>.</v>
          </cell>
          <cell r="Y101" t="str">
            <v>.</v>
          </cell>
          <cell r="Z101" t="str">
            <v>.</v>
          </cell>
          <cell r="AA101" t="str">
            <v>.</v>
          </cell>
          <cell r="AB101" t="str">
            <v>.</v>
          </cell>
          <cell r="AC101" t="str">
            <v>.</v>
          </cell>
          <cell r="AD101" t="str">
            <v>.</v>
          </cell>
          <cell r="AE101" t="str">
            <v>.</v>
          </cell>
          <cell r="AF101" t="str">
            <v>.</v>
          </cell>
          <cell r="AG101" t="str">
            <v>.</v>
          </cell>
          <cell r="AH101" t="str">
            <v>.</v>
          </cell>
          <cell r="AI101" t="str">
            <v>.</v>
          </cell>
          <cell r="AJ101" t="str">
            <v>.</v>
          </cell>
          <cell r="AK101" t="str">
            <v>.</v>
          </cell>
          <cell r="AL101" t="str">
            <v>.</v>
          </cell>
          <cell r="AM101" t="str">
            <v>.</v>
          </cell>
          <cell r="AN101" t="str">
            <v>.</v>
          </cell>
          <cell r="AO101" t="str">
            <v>.</v>
          </cell>
          <cell r="AP101" t="str">
            <v>.</v>
          </cell>
          <cell r="AQ101" t="str">
            <v>.</v>
          </cell>
          <cell r="AR101" t="str">
            <v>.</v>
          </cell>
          <cell r="AS101" t="str">
            <v>.</v>
          </cell>
          <cell r="AT101" t="str">
            <v>.</v>
          </cell>
          <cell r="AU101" t="str">
            <v>.</v>
          </cell>
          <cell r="AV101" t="str">
            <v>.</v>
          </cell>
          <cell r="AW101" t="str">
            <v>.</v>
          </cell>
          <cell r="AX101" t="str">
            <v>.</v>
          </cell>
          <cell r="AY101" t="str">
            <v>.</v>
          </cell>
          <cell r="AZ101" t="str">
            <v>.</v>
          </cell>
          <cell r="BA101" t="str">
            <v>.</v>
          </cell>
          <cell r="BB101" t="str">
            <v>.</v>
          </cell>
          <cell r="BC101" t="str">
            <v>.</v>
          </cell>
          <cell r="BD101" t="str">
            <v>.</v>
          </cell>
          <cell r="BE101" t="str">
            <v>.</v>
          </cell>
          <cell r="BF101" t="str">
            <v>.</v>
          </cell>
          <cell r="BG101" t="str">
            <v>.</v>
          </cell>
          <cell r="BH101" t="str">
            <v>.</v>
          </cell>
          <cell r="BI101" t="str">
            <v>.</v>
          </cell>
          <cell r="BJ101" t="str">
            <v>.</v>
          </cell>
          <cell r="BK101" t="str">
            <v>.</v>
          </cell>
          <cell r="BL101" t="str">
            <v>.</v>
          </cell>
          <cell r="BM101" t="str">
            <v>.</v>
          </cell>
          <cell r="BN101" t="str">
            <v>.</v>
          </cell>
          <cell r="BO101" t="str">
            <v>.</v>
          </cell>
          <cell r="BP101" t="str">
            <v>.</v>
          </cell>
          <cell r="BQ101" t="str">
            <v>.</v>
          </cell>
          <cell r="BR101" t="str">
            <v>.</v>
          </cell>
          <cell r="BS101" t="str">
            <v>.</v>
          </cell>
          <cell r="BT101" t="str">
            <v>.</v>
          </cell>
          <cell r="BU101" t="str">
            <v>.</v>
          </cell>
          <cell r="BV101" t="str">
            <v>.</v>
          </cell>
          <cell r="BW101" t="str">
            <v>.</v>
          </cell>
          <cell r="BX101" t="str">
            <v>.</v>
          </cell>
          <cell r="BY101" t="str">
            <v>.</v>
          </cell>
          <cell r="BZ101" t="str">
            <v>.</v>
          </cell>
          <cell r="CA101" t="str">
            <v>.</v>
          </cell>
          <cell r="CB101" t="str">
            <v>.</v>
          </cell>
          <cell r="CC101" t="str">
            <v>.</v>
          </cell>
          <cell r="CD101" t="str">
            <v>.</v>
          </cell>
          <cell r="CE101" t="str">
            <v>.</v>
          </cell>
          <cell r="CF101" t="str">
            <v>.</v>
          </cell>
          <cell r="CG101" t="str">
            <v>.</v>
          </cell>
          <cell r="CH101" t="str">
            <v>.</v>
          </cell>
          <cell r="CI101" t="str">
            <v>.</v>
          </cell>
          <cell r="CJ101" t="str">
            <v>.</v>
          </cell>
          <cell r="CK101" t="str">
            <v>.</v>
          </cell>
          <cell r="CL101" t="str">
            <v>.</v>
          </cell>
          <cell r="CM101" t="str">
            <v>.</v>
          </cell>
          <cell r="CN101" t="str">
            <v>.</v>
          </cell>
          <cell r="CO101" t="str">
            <v>.</v>
          </cell>
          <cell r="CP101" t="str">
            <v>.</v>
          </cell>
          <cell r="CQ101" t="str">
            <v>.</v>
          </cell>
          <cell r="CR101" t="str">
            <v>.</v>
          </cell>
          <cell r="CS101" t="str">
            <v>.</v>
          </cell>
          <cell r="CT101" t="str">
            <v>.</v>
          </cell>
          <cell r="CU101" t="str">
            <v>.</v>
          </cell>
          <cell r="CV101" t="str">
            <v>.</v>
          </cell>
          <cell r="CW101" t="str">
            <v>.</v>
          </cell>
          <cell r="DS101" t="str">
            <v>.</v>
          </cell>
          <cell r="DT101" t="str">
            <v>.</v>
          </cell>
          <cell r="DU101" t="str">
            <v>.</v>
          </cell>
          <cell r="DV101" t="str">
            <v>.</v>
          </cell>
          <cell r="DW101" t="str">
            <v>.</v>
          </cell>
          <cell r="DX101" t="str">
            <v>.</v>
          </cell>
          <cell r="DY101" t="str">
            <v>.</v>
          </cell>
          <cell r="DZ101" t="str">
            <v>.</v>
          </cell>
          <cell r="EA101" t="str">
            <v>.</v>
          </cell>
          <cell r="EB101" t="str">
            <v>.</v>
          </cell>
          <cell r="EC101" t="str">
            <v>.</v>
          </cell>
          <cell r="ED101" t="str">
            <v>.</v>
          </cell>
          <cell r="EE101" t="str">
            <v>.</v>
          </cell>
          <cell r="EF101" t="str">
            <v>.</v>
          </cell>
          <cell r="EG101" t="str">
            <v>.</v>
          </cell>
          <cell r="EH101" t="str">
            <v>.</v>
          </cell>
          <cell r="EI101" t="str">
            <v>.</v>
          </cell>
          <cell r="EJ101" t="str">
            <v>.</v>
          </cell>
          <cell r="EK101" t="str">
            <v>.</v>
          </cell>
          <cell r="EL101" t="str">
            <v>.</v>
          </cell>
          <cell r="EM101" t="str">
            <v>.</v>
          </cell>
          <cell r="EN101" t="str">
            <v>.</v>
          </cell>
          <cell r="EO101" t="str">
            <v>.</v>
          </cell>
          <cell r="EP101" t="str">
            <v>.</v>
          </cell>
        </row>
        <row r="102">
          <cell r="A102" t="str">
            <v>Total Production</v>
          </cell>
        </row>
        <row r="103">
          <cell r="A103" t="str">
            <v>Zircon</v>
          </cell>
          <cell r="B103" t="str">
            <v>kt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197.10000000000002</v>
          </cell>
          <cell r="N103">
            <v>283.97259358288773</v>
          </cell>
          <cell r="O103">
            <v>284.8429144385027</v>
          </cell>
          <cell r="P103">
            <v>284.8429144385027</v>
          </cell>
          <cell r="Q103">
            <v>284.8429144385027</v>
          </cell>
          <cell r="R103">
            <v>290.82720588235304</v>
          </cell>
          <cell r="S103">
            <v>285.82720588235304</v>
          </cell>
          <cell r="T103">
            <v>285.82720588235304</v>
          </cell>
          <cell r="U103">
            <v>285.82720588235304</v>
          </cell>
          <cell r="V103">
            <v>285.82720588235304</v>
          </cell>
          <cell r="W103">
            <v>285.82720588235304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BQ103">
            <v>73.8</v>
          </cell>
          <cell r="BR103">
            <v>123.30000000000001</v>
          </cell>
          <cell r="BS103">
            <v>197.10000000000002</v>
          </cell>
          <cell r="BT103">
            <v>148</v>
          </cell>
          <cell r="BU103">
            <v>135.9725935828877</v>
          </cell>
          <cell r="BV103">
            <v>283.97259358288773</v>
          </cell>
          <cell r="BW103">
            <v>142.42145721925135</v>
          </cell>
          <cell r="BX103">
            <v>142.42145721925135</v>
          </cell>
          <cell r="BY103">
            <v>284.8429144385027</v>
          </cell>
          <cell r="BZ103">
            <v>142.42145721925135</v>
          </cell>
          <cell r="CA103">
            <v>142.42145721925135</v>
          </cell>
          <cell r="CB103">
            <v>284.8429144385027</v>
          </cell>
          <cell r="CC103">
            <v>142.42145721925135</v>
          </cell>
          <cell r="CD103">
            <v>142.42145721925135</v>
          </cell>
          <cell r="CE103">
            <v>284.8429144385027</v>
          </cell>
          <cell r="CF103">
            <v>147.91360294117652</v>
          </cell>
          <cell r="CG103">
            <v>142.91360294117652</v>
          </cell>
          <cell r="CH103">
            <v>290.82720588235304</v>
          </cell>
          <cell r="CI103">
            <v>142.91360294117652</v>
          </cell>
          <cell r="CJ103">
            <v>142.91360294117652</v>
          </cell>
          <cell r="CK103">
            <v>285.82720588235304</v>
          </cell>
          <cell r="CL103">
            <v>142.91360294117652</v>
          </cell>
          <cell r="CM103">
            <v>142.91360294117652</v>
          </cell>
          <cell r="CN103">
            <v>285.82720588235304</v>
          </cell>
          <cell r="CO103">
            <v>142.91360294117652</v>
          </cell>
          <cell r="CP103">
            <v>142.91360294117652</v>
          </cell>
          <cell r="CQ103">
            <v>285.82720588235304</v>
          </cell>
          <cell r="CR103">
            <v>142.91360294117652</v>
          </cell>
          <cell r="CS103">
            <v>142.91360294117652</v>
          </cell>
          <cell r="CT103">
            <v>285.82720588235304</v>
          </cell>
          <cell r="CU103">
            <v>142.91360294117652</v>
          </cell>
          <cell r="CV103">
            <v>142.91360294117652</v>
          </cell>
          <cell r="CW103">
            <v>285.82720588235304</v>
          </cell>
        </row>
        <row r="104">
          <cell r="A104" t="str">
            <v>Rutile</v>
          </cell>
          <cell r="B104" t="str">
            <v>kt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51.7</v>
          </cell>
          <cell r="N104">
            <v>35.429782903663501</v>
          </cell>
          <cell r="O104">
            <v>51.619742198100397</v>
          </cell>
          <cell r="P104">
            <v>51.619742198100397</v>
          </cell>
          <cell r="Q104">
            <v>51.619742198100397</v>
          </cell>
          <cell r="R104">
            <v>34.281716417910445</v>
          </cell>
          <cell r="S104">
            <v>29.281716417910445</v>
          </cell>
          <cell r="T104">
            <v>29.281716417910445</v>
          </cell>
          <cell r="U104">
            <v>29.281716417910445</v>
          </cell>
          <cell r="V104">
            <v>29.281716417910445</v>
          </cell>
          <cell r="W104">
            <v>29.281716417910445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BQ104">
            <v>34.800000000000004</v>
          </cell>
          <cell r="BR104">
            <v>16.899999999999999</v>
          </cell>
          <cell r="BS104">
            <v>51.7</v>
          </cell>
          <cell r="BT104">
            <v>21.5</v>
          </cell>
          <cell r="BU104">
            <v>13.929782903663499</v>
          </cell>
          <cell r="BV104">
            <v>35.429782903663501</v>
          </cell>
          <cell r="BW104">
            <v>25.809871099050198</v>
          </cell>
          <cell r="BX104">
            <v>25.809871099050198</v>
          </cell>
          <cell r="BY104">
            <v>51.619742198100397</v>
          </cell>
          <cell r="BZ104">
            <v>25.809871099050198</v>
          </cell>
          <cell r="CA104">
            <v>25.809871099050198</v>
          </cell>
          <cell r="CB104">
            <v>51.619742198100397</v>
          </cell>
          <cell r="CC104">
            <v>25.809871099050198</v>
          </cell>
          <cell r="CD104">
            <v>25.809871099050198</v>
          </cell>
          <cell r="CE104">
            <v>51.619742198100397</v>
          </cell>
          <cell r="CF104">
            <v>19.640858208955223</v>
          </cell>
          <cell r="CG104">
            <v>14.640858208955223</v>
          </cell>
          <cell r="CH104">
            <v>34.281716417910445</v>
          </cell>
          <cell r="CI104">
            <v>14.640858208955223</v>
          </cell>
          <cell r="CJ104">
            <v>14.640858208955223</v>
          </cell>
          <cell r="CK104">
            <v>29.281716417910445</v>
          </cell>
          <cell r="CL104">
            <v>14.640858208955223</v>
          </cell>
          <cell r="CM104">
            <v>14.640858208955223</v>
          </cell>
          <cell r="CN104">
            <v>29.281716417910445</v>
          </cell>
          <cell r="CO104">
            <v>14.640858208955223</v>
          </cell>
          <cell r="CP104">
            <v>14.640858208955223</v>
          </cell>
          <cell r="CQ104">
            <v>29.281716417910445</v>
          </cell>
          <cell r="CR104">
            <v>14.640858208955223</v>
          </cell>
          <cell r="CS104">
            <v>14.640858208955223</v>
          </cell>
          <cell r="CT104">
            <v>29.281716417910445</v>
          </cell>
          <cell r="CU104">
            <v>14.640858208955223</v>
          </cell>
          <cell r="CV104">
            <v>14.640858208955223</v>
          </cell>
          <cell r="CW104">
            <v>29.281716417910445</v>
          </cell>
        </row>
        <row r="105">
          <cell r="A105" t="str">
            <v>Synthetic Rutile</v>
          </cell>
          <cell r="B105" t="str">
            <v>kt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347.5</v>
          </cell>
          <cell r="N105">
            <v>303</v>
          </cell>
          <cell r="O105">
            <v>320</v>
          </cell>
          <cell r="P105">
            <v>320</v>
          </cell>
          <cell r="Q105">
            <v>320</v>
          </cell>
          <cell r="R105">
            <v>320</v>
          </cell>
          <cell r="S105">
            <v>320</v>
          </cell>
          <cell r="T105">
            <v>320</v>
          </cell>
          <cell r="U105">
            <v>320</v>
          </cell>
          <cell r="V105">
            <v>320</v>
          </cell>
          <cell r="W105">
            <v>320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BQ105">
            <v>173.9</v>
          </cell>
          <cell r="BR105">
            <v>173.6</v>
          </cell>
          <cell r="BS105">
            <v>347.5</v>
          </cell>
          <cell r="BT105">
            <v>153</v>
          </cell>
          <cell r="BU105">
            <v>150</v>
          </cell>
          <cell r="BV105">
            <v>303</v>
          </cell>
          <cell r="BW105">
            <v>160</v>
          </cell>
          <cell r="BX105">
            <v>160</v>
          </cell>
          <cell r="BY105">
            <v>320</v>
          </cell>
          <cell r="BZ105">
            <v>160</v>
          </cell>
          <cell r="CA105">
            <v>160</v>
          </cell>
          <cell r="CB105">
            <v>320</v>
          </cell>
          <cell r="CC105">
            <v>160</v>
          </cell>
          <cell r="CD105">
            <v>160</v>
          </cell>
          <cell r="CE105">
            <v>320</v>
          </cell>
          <cell r="CF105">
            <v>160</v>
          </cell>
          <cell r="CG105">
            <v>160</v>
          </cell>
          <cell r="CH105">
            <v>320</v>
          </cell>
          <cell r="CI105">
            <v>160</v>
          </cell>
          <cell r="CJ105">
            <v>160</v>
          </cell>
          <cell r="CK105">
            <v>320</v>
          </cell>
          <cell r="CL105">
            <v>160</v>
          </cell>
          <cell r="CM105">
            <v>160</v>
          </cell>
          <cell r="CN105">
            <v>320</v>
          </cell>
          <cell r="CO105">
            <v>160</v>
          </cell>
          <cell r="CP105">
            <v>160</v>
          </cell>
          <cell r="CQ105">
            <v>320</v>
          </cell>
          <cell r="CR105">
            <v>160</v>
          </cell>
          <cell r="CS105">
            <v>160</v>
          </cell>
          <cell r="CT105">
            <v>320</v>
          </cell>
          <cell r="CU105">
            <v>160</v>
          </cell>
          <cell r="CV105">
            <v>160</v>
          </cell>
          <cell r="CW105">
            <v>320</v>
          </cell>
        </row>
        <row r="106">
          <cell r="A106" t="str">
            <v>Ilmenite - saleable</v>
          </cell>
          <cell r="B106" t="str">
            <v>kt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160.69999999999999</v>
          </cell>
          <cell r="N106">
            <v>235.2297794117647</v>
          </cell>
          <cell r="O106">
            <v>431.86580882352939</v>
          </cell>
          <cell r="P106">
            <v>431.86580882352939</v>
          </cell>
          <cell r="Q106">
            <v>431.86580882352939</v>
          </cell>
          <cell r="R106">
            <v>356.05238970588238</v>
          </cell>
          <cell r="S106">
            <v>321.05238970588238</v>
          </cell>
          <cell r="T106">
            <v>321.05238970588238</v>
          </cell>
          <cell r="U106">
            <v>321.05238970588238</v>
          </cell>
          <cell r="V106">
            <v>321.05238970588238</v>
          </cell>
          <cell r="W106">
            <v>321.05238970588238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BQ106">
            <v>91.5</v>
          </cell>
          <cell r="BR106">
            <v>69.2</v>
          </cell>
          <cell r="BS106">
            <v>160.69999999999999</v>
          </cell>
          <cell r="BT106">
            <v>82.5</v>
          </cell>
          <cell r="BU106">
            <v>152.7297794117647</v>
          </cell>
          <cell r="BV106">
            <v>235.2297794117647</v>
          </cell>
          <cell r="BW106">
            <v>215.9329044117647</v>
          </cell>
          <cell r="BX106">
            <v>215.9329044117647</v>
          </cell>
          <cell r="BY106">
            <v>431.86580882352939</v>
          </cell>
          <cell r="BZ106">
            <v>215.9329044117647</v>
          </cell>
          <cell r="CA106">
            <v>215.9329044117647</v>
          </cell>
          <cell r="CB106">
            <v>431.86580882352939</v>
          </cell>
          <cell r="CC106">
            <v>215.9329044117647</v>
          </cell>
          <cell r="CD106">
            <v>215.9329044117647</v>
          </cell>
          <cell r="CE106">
            <v>431.86580882352939</v>
          </cell>
          <cell r="CF106">
            <v>195.52619485294119</v>
          </cell>
          <cell r="CG106">
            <v>160.52619485294119</v>
          </cell>
          <cell r="CH106">
            <v>356.05238970588238</v>
          </cell>
          <cell r="CI106">
            <v>160.52619485294119</v>
          </cell>
          <cell r="CJ106">
            <v>160.52619485294119</v>
          </cell>
          <cell r="CK106">
            <v>321.05238970588238</v>
          </cell>
          <cell r="CL106">
            <v>160.52619485294119</v>
          </cell>
          <cell r="CM106">
            <v>160.52619485294119</v>
          </cell>
          <cell r="CN106">
            <v>321.05238970588238</v>
          </cell>
          <cell r="CO106">
            <v>160.52619485294119</v>
          </cell>
          <cell r="CP106">
            <v>160.52619485294119</v>
          </cell>
          <cell r="CQ106">
            <v>321.05238970588238</v>
          </cell>
          <cell r="CR106">
            <v>160.52619485294119</v>
          </cell>
          <cell r="CS106">
            <v>160.52619485294119</v>
          </cell>
          <cell r="CT106">
            <v>321.05238970588238</v>
          </cell>
          <cell r="CU106">
            <v>160.52619485294119</v>
          </cell>
          <cell r="CV106">
            <v>160.52619485294119</v>
          </cell>
          <cell r="CW106">
            <v>321.05238970588238</v>
          </cell>
        </row>
        <row r="107">
          <cell r="A107" t="str">
            <v>Ilmenite - upgrade to Syn. Rut.</v>
          </cell>
          <cell r="B107" t="str">
            <v>kt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215.9</v>
          </cell>
          <cell r="N107">
            <v>35.700000000000003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BQ107">
            <v>118.1</v>
          </cell>
          <cell r="BR107">
            <v>97.800000000000011</v>
          </cell>
          <cell r="BS107">
            <v>215.9</v>
          </cell>
          <cell r="BT107">
            <v>35.700000000000003</v>
          </cell>
          <cell r="BU107">
            <v>0</v>
          </cell>
          <cell r="BV107">
            <v>35.700000000000003</v>
          </cell>
          <cell r="BW107">
            <v>0</v>
          </cell>
          <cell r="BX107">
            <v>0</v>
          </cell>
          <cell r="BY107">
            <v>0</v>
          </cell>
          <cell r="BZ107">
            <v>0</v>
          </cell>
          <cell r="CA107">
            <v>0</v>
          </cell>
          <cell r="CB107">
            <v>0</v>
          </cell>
          <cell r="CC107">
            <v>0</v>
          </cell>
          <cell r="CD107">
            <v>0</v>
          </cell>
          <cell r="CE107">
            <v>0</v>
          </cell>
          <cell r="CF107">
            <v>0</v>
          </cell>
          <cell r="CG107">
            <v>0</v>
          </cell>
          <cell r="CH107">
            <v>0</v>
          </cell>
          <cell r="CI107">
            <v>0</v>
          </cell>
          <cell r="CJ107">
            <v>0</v>
          </cell>
          <cell r="CK107">
            <v>0</v>
          </cell>
          <cell r="CL107">
            <v>0</v>
          </cell>
          <cell r="CM107">
            <v>0</v>
          </cell>
          <cell r="CN107">
            <v>0</v>
          </cell>
          <cell r="CO107">
            <v>0</v>
          </cell>
          <cell r="CP107">
            <v>0</v>
          </cell>
          <cell r="CQ107">
            <v>0</v>
          </cell>
          <cell r="CR107">
            <v>0</v>
          </cell>
          <cell r="CS107">
            <v>0</v>
          </cell>
          <cell r="CT107">
            <v>0</v>
          </cell>
          <cell r="CU107">
            <v>0</v>
          </cell>
          <cell r="CV107">
            <v>0</v>
          </cell>
          <cell r="CW107">
            <v>0</v>
          </cell>
        </row>
        <row r="108">
          <cell r="A108" t="str">
            <v>Total Saleable Product</v>
          </cell>
          <cell r="B108" t="str">
            <v>kt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757</v>
          </cell>
          <cell r="N108">
            <v>857.63215589831589</v>
          </cell>
          <cell r="O108">
            <v>1088.3284654601325</v>
          </cell>
          <cell r="P108">
            <v>1088.3284654601325</v>
          </cell>
          <cell r="Q108">
            <v>1088.3284654601325</v>
          </cell>
          <cell r="R108">
            <v>1001.1613120061459</v>
          </cell>
          <cell r="S108">
            <v>956.16131200614586</v>
          </cell>
          <cell r="T108">
            <v>956.16131200614586</v>
          </cell>
          <cell r="U108">
            <v>956.16131200614586</v>
          </cell>
          <cell r="V108">
            <v>956.16131200614586</v>
          </cell>
          <cell r="W108">
            <v>956.16131200614586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BQ108">
            <v>374</v>
          </cell>
          <cell r="BR108">
            <v>383</v>
          </cell>
          <cell r="BS108">
            <v>757</v>
          </cell>
          <cell r="BT108">
            <v>405</v>
          </cell>
          <cell r="BU108">
            <v>452.63215589831589</v>
          </cell>
          <cell r="BV108">
            <v>857.63215589831589</v>
          </cell>
          <cell r="BW108">
            <v>544.16423273006626</v>
          </cell>
          <cell r="BX108">
            <v>544.16423273006626</v>
          </cell>
          <cell r="BY108">
            <v>1088.3284654601325</v>
          </cell>
          <cell r="BZ108">
            <v>544.16423273006626</v>
          </cell>
          <cell r="CA108">
            <v>544.16423273006626</v>
          </cell>
          <cell r="CB108">
            <v>1088.3284654601325</v>
          </cell>
          <cell r="CC108">
            <v>544.16423273006626</v>
          </cell>
          <cell r="CD108">
            <v>544.16423273006626</v>
          </cell>
          <cell r="CE108">
            <v>1088.3284654601325</v>
          </cell>
          <cell r="CF108">
            <v>523.08065600307293</v>
          </cell>
          <cell r="CG108">
            <v>478.08065600307293</v>
          </cell>
          <cell r="CH108">
            <v>1001.1613120061459</v>
          </cell>
          <cell r="CI108">
            <v>478.08065600307293</v>
          </cell>
          <cell r="CJ108">
            <v>478.08065600307293</v>
          </cell>
          <cell r="CK108">
            <v>956.16131200614586</v>
          </cell>
          <cell r="CL108">
            <v>478.08065600307293</v>
          </cell>
          <cell r="CM108">
            <v>478.08065600307293</v>
          </cell>
          <cell r="CN108">
            <v>956.16131200614586</v>
          </cell>
          <cell r="CO108">
            <v>478.08065600307293</v>
          </cell>
          <cell r="CP108">
            <v>478.08065600307293</v>
          </cell>
          <cell r="CQ108">
            <v>956.16131200614586</v>
          </cell>
          <cell r="CR108">
            <v>478.08065600307293</v>
          </cell>
          <cell r="CS108">
            <v>478.08065600307293</v>
          </cell>
          <cell r="CT108">
            <v>956.16131200614586</v>
          </cell>
          <cell r="CU108">
            <v>478.08065600307293</v>
          </cell>
          <cell r="CV108">
            <v>478.08065600307293</v>
          </cell>
          <cell r="CW108">
            <v>956.16131200614586</v>
          </cell>
        </row>
        <row r="110">
          <cell r="A110" t="str">
            <v>Total Sales</v>
          </cell>
        </row>
        <row r="111">
          <cell r="A111" t="str">
            <v>Zircon</v>
          </cell>
          <cell r="B111" t="str">
            <v>kt</v>
          </cell>
          <cell r="BQ111">
            <v>126.6</v>
          </cell>
          <cell r="BR111">
            <v>136.30000000000001</v>
          </cell>
          <cell r="BS111">
            <v>262.89999999999998</v>
          </cell>
          <cell r="BT111">
            <v>114.8</v>
          </cell>
          <cell r="BU111">
            <v>135.9725935828877</v>
          </cell>
          <cell r="BV111">
            <v>250.77259358288768</v>
          </cell>
          <cell r="BW111">
            <v>142.42145721925135</v>
          </cell>
          <cell r="BX111">
            <v>142.42145721925135</v>
          </cell>
          <cell r="BY111">
            <v>284.8429144385027</v>
          </cell>
          <cell r="BZ111">
            <v>142.42145721925135</v>
          </cell>
          <cell r="CA111">
            <v>142.42145721925135</v>
          </cell>
          <cell r="CB111">
            <v>284.8429144385027</v>
          </cell>
          <cell r="CC111">
            <v>142.42145721925135</v>
          </cell>
          <cell r="CD111">
            <v>142.42145721925135</v>
          </cell>
          <cell r="CE111">
            <v>284.8429144385027</v>
          </cell>
          <cell r="CF111">
            <v>147.91360294117652</v>
          </cell>
          <cell r="CG111">
            <v>142.91360294117652</v>
          </cell>
          <cell r="CH111">
            <v>290.82720588235304</v>
          </cell>
          <cell r="CI111">
            <v>142.91360294117652</v>
          </cell>
          <cell r="CJ111">
            <v>142.91360294117652</v>
          </cell>
          <cell r="CK111">
            <v>285.82720588235304</v>
          </cell>
          <cell r="CL111">
            <v>142.91360294117652</v>
          </cell>
          <cell r="CM111">
            <v>142.91360294117652</v>
          </cell>
          <cell r="CN111">
            <v>285.82720588235304</v>
          </cell>
          <cell r="CO111">
            <v>142.91360294117652</v>
          </cell>
          <cell r="CP111">
            <v>142.91360294117652</v>
          </cell>
          <cell r="CQ111">
            <v>285.82720588235304</v>
          </cell>
          <cell r="CR111">
            <v>142.91360294117652</v>
          </cell>
          <cell r="CS111">
            <v>142.91360294117652</v>
          </cell>
          <cell r="CT111">
            <v>285.82720588235304</v>
          </cell>
          <cell r="CU111">
            <v>142.91360294117652</v>
          </cell>
          <cell r="CV111">
            <v>142.91360294117652</v>
          </cell>
          <cell r="CW111">
            <v>285.82720588235304</v>
          </cell>
        </row>
        <row r="112">
          <cell r="A112" t="str">
            <v>Rutile</v>
          </cell>
          <cell r="B112" t="str">
            <v>kt</v>
          </cell>
          <cell r="BQ112">
            <v>34.800000000000004</v>
          </cell>
          <cell r="BR112">
            <v>16.899999999999999</v>
          </cell>
          <cell r="BS112">
            <v>51.7</v>
          </cell>
          <cell r="BT112">
            <v>21.5</v>
          </cell>
          <cell r="BU112">
            <v>13.929782903663499</v>
          </cell>
          <cell r="BV112">
            <v>35.429782903663501</v>
          </cell>
          <cell r="BW112">
            <v>25.809871099050198</v>
          </cell>
          <cell r="BX112">
            <v>25.809871099050198</v>
          </cell>
          <cell r="BY112">
            <v>51.619742198100397</v>
          </cell>
          <cell r="BZ112">
            <v>25.809871099050198</v>
          </cell>
          <cell r="CA112">
            <v>25.809871099050198</v>
          </cell>
          <cell r="CB112">
            <v>51.619742198100397</v>
          </cell>
          <cell r="CC112">
            <v>25.809871099050198</v>
          </cell>
          <cell r="CD112">
            <v>25.809871099050198</v>
          </cell>
          <cell r="CE112">
            <v>51.619742198100397</v>
          </cell>
          <cell r="CF112">
            <v>19.640858208955223</v>
          </cell>
          <cell r="CG112">
            <v>14.640858208955223</v>
          </cell>
          <cell r="CH112">
            <v>34.281716417910445</v>
          </cell>
          <cell r="CI112">
            <v>14.640858208955223</v>
          </cell>
          <cell r="CJ112">
            <v>14.640858208955223</v>
          </cell>
          <cell r="CK112">
            <v>29.281716417910445</v>
          </cell>
          <cell r="CL112">
            <v>14.640858208955223</v>
          </cell>
          <cell r="CM112">
            <v>14.640858208955223</v>
          </cell>
          <cell r="CN112">
            <v>29.281716417910445</v>
          </cell>
          <cell r="CO112">
            <v>14.640858208955223</v>
          </cell>
          <cell r="CP112">
            <v>14.640858208955223</v>
          </cell>
          <cell r="CQ112">
            <v>29.281716417910445</v>
          </cell>
          <cell r="CR112">
            <v>14.640858208955223</v>
          </cell>
          <cell r="CS112">
            <v>14.640858208955223</v>
          </cell>
          <cell r="CT112">
            <v>29.281716417910445</v>
          </cell>
          <cell r="CU112">
            <v>14.640858208955223</v>
          </cell>
          <cell r="CV112">
            <v>14.640858208955223</v>
          </cell>
          <cell r="CW112">
            <v>29.281716417910445</v>
          </cell>
        </row>
        <row r="113">
          <cell r="A113" t="str">
            <v>Synthetic Rutile</v>
          </cell>
          <cell r="B113" t="str">
            <v>kt</v>
          </cell>
          <cell r="BQ113">
            <v>166.4</v>
          </cell>
          <cell r="BR113">
            <v>196.1</v>
          </cell>
          <cell r="BS113">
            <v>362.5</v>
          </cell>
          <cell r="BT113">
            <v>138.30000000000001</v>
          </cell>
          <cell r="BU113">
            <v>150</v>
          </cell>
          <cell r="BV113">
            <v>288.3</v>
          </cell>
          <cell r="BW113">
            <v>160</v>
          </cell>
          <cell r="BX113">
            <v>160</v>
          </cell>
          <cell r="BY113">
            <v>320</v>
          </cell>
          <cell r="BZ113">
            <v>160</v>
          </cell>
          <cell r="CA113">
            <v>160</v>
          </cell>
          <cell r="CB113">
            <v>320</v>
          </cell>
          <cell r="CC113">
            <v>160</v>
          </cell>
          <cell r="CD113">
            <v>160</v>
          </cell>
          <cell r="CE113">
            <v>320</v>
          </cell>
          <cell r="CF113">
            <v>160</v>
          </cell>
          <cell r="CG113">
            <v>160</v>
          </cell>
          <cell r="CH113">
            <v>320</v>
          </cell>
          <cell r="CI113">
            <v>160</v>
          </cell>
          <cell r="CJ113">
            <v>160</v>
          </cell>
          <cell r="CK113">
            <v>320</v>
          </cell>
          <cell r="CL113">
            <v>160</v>
          </cell>
          <cell r="CM113">
            <v>160</v>
          </cell>
          <cell r="CN113">
            <v>320</v>
          </cell>
          <cell r="CO113">
            <v>160</v>
          </cell>
          <cell r="CP113">
            <v>160</v>
          </cell>
          <cell r="CQ113">
            <v>320</v>
          </cell>
          <cell r="CR113">
            <v>160</v>
          </cell>
          <cell r="CS113">
            <v>160</v>
          </cell>
          <cell r="CT113">
            <v>320</v>
          </cell>
          <cell r="CU113">
            <v>160</v>
          </cell>
          <cell r="CV113">
            <v>160</v>
          </cell>
          <cell r="CW113">
            <v>320</v>
          </cell>
        </row>
        <row r="114">
          <cell r="A114" t="str">
            <v>Ilmenite - saleable</v>
          </cell>
          <cell r="B114" t="str">
            <v>kt</v>
          </cell>
          <cell r="BQ114">
            <v>91.5</v>
          </cell>
          <cell r="BR114">
            <v>69.2</v>
          </cell>
          <cell r="BS114">
            <v>160.69999999999999</v>
          </cell>
          <cell r="BT114">
            <v>82.5</v>
          </cell>
          <cell r="BU114">
            <v>152.7297794117647</v>
          </cell>
          <cell r="BV114">
            <v>235.2297794117647</v>
          </cell>
          <cell r="BW114">
            <v>215.9329044117647</v>
          </cell>
          <cell r="BX114">
            <v>215.9329044117647</v>
          </cell>
          <cell r="BY114">
            <v>431.86580882352939</v>
          </cell>
          <cell r="BZ114">
            <v>215.9329044117647</v>
          </cell>
          <cell r="CA114">
            <v>215.9329044117647</v>
          </cell>
          <cell r="CB114">
            <v>431.86580882352939</v>
          </cell>
          <cell r="CC114">
            <v>215.9329044117647</v>
          </cell>
          <cell r="CD114">
            <v>215.9329044117647</v>
          </cell>
          <cell r="CE114">
            <v>431.86580882352939</v>
          </cell>
          <cell r="CF114">
            <v>195.52619485294119</v>
          </cell>
          <cell r="CG114">
            <v>160.52619485294119</v>
          </cell>
          <cell r="CH114">
            <v>356.05238970588238</v>
          </cell>
          <cell r="CI114">
            <v>160.52619485294119</v>
          </cell>
          <cell r="CJ114">
            <v>160.52619485294119</v>
          </cell>
          <cell r="CK114">
            <v>321.05238970588238</v>
          </cell>
          <cell r="CL114">
            <v>160.52619485294119</v>
          </cell>
          <cell r="CM114">
            <v>160.52619485294119</v>
          </cell>
          <cell r="CN114">
            <v>321.05238970588238</v>
          </cell>
          <cell r="CO114">
            <v>160.52619485294119</v>
          </cell>
          <cell r="CP114">
            <v>160.52619485294119</v>
          </cell>
          <cell r="CQ114">
            <v>321.05238970588238</v>
          </cell>
          <cell r="CR114">
            <v>160.52619485294119</v>
          </cell>
          <cell r="CS114">
            <v>160.52619485294119</v>
          </cell>
          <cell r="CT114">
            <v>321.05238970588238</v>
          </cell>
          <cell r="CU114">
            <v>160.52619485294119</v>
          </cell>
          <cell r="CV114">
            <v>160.52619485294119</v>
          </cell>
          <cell r="CW114">
            <v>321.05238970588238</v>
          </cell>
        </row>
        <row r="115">
          <cell r="A115" t="str">
            <v>Total Sales</v>
          </cell>
          <cell r="B115" t="str">
            <v>kt</v>
          </cell>
          <cell r="BQ115">
            <v>419.3</v>
          </cell>
          <cell r="BR115">
            <v>418.5</v>
          </cell>
          <cell r="BS115">
            <v>418.89524438573318</v>
          </cell>
          <cell r="BT115">
            <v>357.1</v>
          </cell>
          <cell r="BU115">
            <v>452.63215589831589</v>
          </cell>
          <cell r="BV115">
            <v>407.51896503586266</v>
          </cell>
          <cell r="BW115">
            <v>544.16423273006626</v>
          </cell>
          <cell r="BX115">
            <v>544.16423273006626</v>
          </cell>
          <cell r="BY115">
            <v>544.16423273006626</v>
          </cell>
          <cell r="BZ115">
            <v>544.16423273006626</v>
          </cell>
          <cell r="CA115">
            <v>544.16423273006626</v>
          </cell>
          <cell r="CB115">
            <v>544.16423273006626</v>
          </cell>
          <cell r="CC115">
            <v>544.16423273006626</v>
          </cell>
          <cell r="CD115">
            <v>544.16423273006626</v>
          </cell>
          <cell r="CE115">
            <v>544.16423273006626</v>
          </cell>
          <cell r="CF115">
            <v>523.08065600307293</v>
          </cell>
          <cell r="CG115">
            <v>478.08065600307293</v>
          </cell>
          <cell r="CH115">
            <v>501.59198153858642</v>
          </cell>
          <cell r="CI115">
            <v>478.08065600307293</v>
          </cell>
          <cell r="CJ115">
            <v>478.08065600307293</v>
          </cell>
          <cell r="CK115">
            <v>478.08065600307293</v>
          </cell>
          <cell r="CL115">
            <v>478.08065600307293</v>
          </cell>
          <cell r="CM115">
            <v>478.08065600307293</v>
          </cell>
          <cell r="CN115">
            <v>478.08065600307293</v>
          </cell>
          <cell r="CO115">
            <v>478.08065600307293</v>
          </cell>
          <cell r="CP115">
            <v>478.08065600307293</v>
          </cell>
          <cell r="CQ115">
            <v>478.08065600307293</v>
          </cell>
          <cell r="CR115">
            <v>478.08065600307293</v>
          </cell>
          <cell r="CS115">
            <v>478.08065600307293</v>
          </cell>
          <cell r="CT115">
            <v>478.08065600307293</v>
          </cell>
          <cell r="CU115">
            <v>478.08065600307293</v>
          </cell>
          <cell r="CV115">
            <v>478.08065600307293</v>
          </cell>
          <cell r="CW115">
            <v>478.08065600307293</v>
          </cell>
        </row>
        <row r="117">
          <cell r="A117" t="str">
            <v>Unit cash cost of production</v>
          </cell>
          <cell r="B117" t="str">
            <v>A$/t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405.01981505944525</v>
          </cell>
          <cell r="N117">
            <v>375.62391964770563</v>
          </cell>
          <cell r="O117">
            <v>297.4309962844132</v>
          </cell>
          <cell r="P117">
            <v>297.4309962844132</v>
          </cell>
          <cell r="Q117">
            <v>312.40568522321246</v>
          </cell>
          <cell r="R117">
            <v>334.07506938306443</v>
          </cell>
          <cell r="S117">
            <v>346.7623266855162</v>
          </cell>
          <cell r="T117">
            <v>346.7623266855162</v>
          </cell>
          <cell r="U117">
            <v>346.7623266855162</v>
          </cell>
          <cell r="V117">
            <v>346.7623266855162</v>
          </cell>
          <cell r="W117">
            <v>346.7623266855162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BQ117">
            <v>431.81818181818181</v>
          </cell>
          <cell r="BR117">
            <v>378.85117493472592</v>
          </cell>
          <cell r="BS117">
            <v>405.01981505944525</v>
          </cell>
          <cell r="BT117">
            <v>391.11111111111109</v>
          </cell>
          <cell r="BU117">
            <v>361.76650262387341</v>
          </cell>
          <cell r="BV117">
            <v>375.62391964770563</v>
          </cell>
          <cell r="BW117">
            <v>297.4309962844132</v>
          </cell>
          <cell r="BX117">
            <v>297.4309962844132</v>
          </cell>
          <cell r="BY117">
            <v>297.4309962844132</v>
          </cell>
          <cell r="BZ117">
            <v>297.4309962844132</v>
          </cell>
          <cell r="CA117">
            <v>297.4309962844132</v>
          </cell>
          <cell r="CB117">
            <v>297.4309962844132</v>
          </cell>
          <cell r="CC117">
            <v>312.40568522321246</v>
          </cell>
          <cell r="CD117">
            <v>312.40568522321246</v>
          </cell>
          <cell r="CE117">
            <v>312.40568522321246</v>
          </cell>
          <cell r="CF117">
            <v>322.47928157400361</v>
          </cell>
          <cell r="CG117">
            <v>346.7623266855162</v>
          </cell>
          <cell r="CH117">
            <v>334.07506938306443</v>
          </cell>
          <cell r="CI117">
            <v>346.7623266855162</v>
          </cell>
          <cell r="CJ117">
            <v>346.7623266855162</v>
          </cell>
          <cell r="CK117">
            <v>346.7623266855162</v>
          </cell>
          <cell r="CL117">
            <v>346.7623266855162</v>
          </cell>
          <cell r="CM117">
            <v>346.7623266855162</v>
          </cell>
          <cell r="CN117">
            <v>346.7623266855162</v>
          </cell>
          <cell r="CO117">
            <v>346.7623266855162</v>
          </cell>
          <cell r="CP117">
            <v>346.7623266855162</v>
          </cell>
          <cell r="CQ117">
            <v>346.7623266855162</v>
          </cell>
          <cell r="CR117">
            <v>346.7623266855162</v>
          </cell>
          <cell r="CS117">
            <v>346.7623266855162</v>
          </cell>
          <cell r="CT117">
            <v>346.7623266855162</v>
          </cell>
          <cell r="CU117">
            <v>346.7623266855162</v>
          </cell>
          <cell r="CV117">
            <v>346.7623266855162</v>
          </cell>
          <cell r="CW117">
            <v>346.7623266855162</v>
          </cell>
        </row>
        <row r="118">
          <cell r="A118" t="str">
            <v>Unit cash cost of Zr/Ru/SR</v>
          </cell>
          <cell r="B118" t="str">
            <v>A$/t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514.17071943652536</v>
          </cell>
          <cell r="N118">
            <v>517.5866355667722</v>
          </cell>
          <cell r="O118">
            <v>493.10134627457614</v>
          </cell>
          <cell r="P118">
            <v>493.10134627457614</v>
          </cell>
          <cell r="Q118">
            <v>517.9274046478065</v>
          </cell>
          <cell r="R118">
            <v>518.45978750301401</v>
          </cell>
          <cell r="S118">
            <v>522.05331966848576</v>
          </cell>
          <cell r="T118">
            <v>522.05331966848576</v>
          </cell>
          <cell r="U118">
            <v>522.05331966848576</v>
          </cell>
          <cell r="V118">
            <v>522.05331966848576</v>
          </cell>
          <cell r="W118">
            <v>522.05331966848576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BQ118">
            <v>571.68141592920347</v>
          </cell>
          <cell r="BR118">
            <v>462.39643084767374</v>
          </cell>
          <cell r="BS118">
            <v>514.17071943652536</v>
          </cell>
          <cell r="BT118">
            <v>491.16279069767432</v>
          </cell>
          <cell r="BU118">
            <v>546.00151533571011</v>
          </cell>
          <cell r="BV118">
            <v>517.5866355667722</v>
          </cell>
          <cell r="BW118">
            <v>493.10134627457614</v>
          </cell>
          <cell r="BX118">
            <v>493.10134627457614</v>
          </cell>
          <cell r="BY118">
            <v>493.10134627457614</v>
          </cell>
          <cell r="BZ118">
            <v>493.10134627457614</v>
          </cell>
          <cell r="CA118">
            <v>493.10134627457614</v>
          </cell>
          <cell r="CB118">
            <v>493.10134627457614</v>
          </cell>
          <cell r="CC118">
            <v>517.9274046478065</v>
          </cell>
          <cell r="CD118">
            <v>517.9274046478065</v>
          </cell>
          <cell r="CE118">
            <v>517.9274046478065</v>
          </cell>
          <cell r="CF118">
            <v>514.97596326680855</v>
          </cell>
          <cell r="CG118">
            <v>522.05331966848576</v>
          </cell>
          <cell r="CH118">
            <v>518.45978750301401</v>
          </cell>
          <cell r="CI118">
            <v>522.05331966848576</v>
          </cell>
          <cell r="CJ118">
            <v>522.05331966848576</v>
          </cell>
          <cell r="CK118">
            <v>522.05331966848576</v>
          </cell>
          <cell r="CL118">
            <v>522.05331966848576</v>
          </cell>
          <cell r="CM118">
            <v>522.05331966848576</v>
          </cell>
          <cell r="CN118">
            <v>522.05331966848576</v>
          </cell>
          <cell r="CO118">
            <v>522.05331966848576</v>
          </cell>
          <cell r="CP118">
            <v>522.05331966848576</v>
          </cell>
          <cell r="CQ118">
            <v>522.05331966848576</v>
          </cell>
          <cell r="CR118">
            <v>522.05331966848576</v>
          </cell>
          <cell r="CS118">
            <v>522.05331966848576</v>
          </cell>
          <cell r="CT118">
            <v>522.05331966848576</v>
          </cell>
          <cell r="CU118">
            <v>522.05331966848576</v>
          </cell>
          <cell r="CV118">
            <v>522.05331966848576</v>
          </cell>
          <cell r="CW118">
            <v>522.05331966848576</v>
          </cell>
        </row>
        <row r="119">
          <cell r="A119" t="str">
            <v>Mineral Sands revenue</v>
          </cell>
          <cell r="B119" t="str">
            <v>A$m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468.7</v>
          </cell>
          <cell r="N119">
            <v>774.47402679511094</v>
          </cell>
          <cell r="O119">
            <v>1201.58390207099</v>
          </cell>
          <cell r="P119">
            <v>1480.6504380076203</v>
          </cell>
          <cell r="Q119">
            <v>1565.5763320108583</v>
          </cell>
          <cell r="R119">
            <v>1467.4398090914376</v>
          </cell>
          <cell r="S119">
            <v>1227.1095246894854</v>
          </cell>
          <cell r="T119">
            <v>1064.3327294647008</v>
          </cell>
          <cell r="U119">
            <v>1064.3327294647008</v>
          </cell>
          <cell r="V119">
            <v>1064.3327294647008</v>
          </cell>
          <cell r="W119">
            <v>1064.3327294647008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BQ119">
            <v>204.2</v>
          </cell>
          <cell r="BR119">
            <v>264.5</v>
          </cell>
          <cell r="BS119">
            <v>468.7</v>
          </cell>
          <cell r="BT119">
            <v>288.48992823034308</v>
          </cell>
          <cell r="BU119">
            <v>485.98409856476786</v>
          </cell>
          <cell r="BV119">
            <v>774.47402679511094</v>
          </cell>
          <cell r="BW119">
            <v>586.4985240252721</v>
          </cell>
          <cell r="BX119">
            <v>615.08537804571779</v>
          </cell>
          <cell r="BY119">
            <v>1201.58390207099</v>
          </cell>
          <cell r="BZ119">
            <v>740.75649316144961</v>
          </cell>
          <cell r="CA119">
            <v>739.89394484617071</v>
          </cell>
          <cell r="CB119">
            <v>1480.6504380076203</v>
          </cell>
          <cell r="CC119">
            <v>782.78816600542916</v>
          </cell>
          <cell r="CD119">
            <v>782.78816600542916</v>
          </cell>
          <cell r="CE119">
            <v>1565.5763320108583</v>
          </cell>
          <cell r="CF119">
            <v>749.48461042807173</v>
          </cell>
          <cell r="CG119">
            <v>717.95519866336588</v>
          </cell>
          <cell r="CH119">
            <v>1467.4398090914376</v>
          </cell>
          <cell r="CI119">
            <v>613.5547623447427</v>
          </cell>
          <cell r="CJ119">
            <v>613.5547623447427</v>
          </cell>
          <cell r="CK119">
            <v>1227.1095246894854</v>
          </cell>
          <cell r="CL119">
            <v>532.16636473235042</v>
          </cell>
          <cell r="CM119">
            <v>532.16636473235042</v>
          </cell>
          <cell r="CN119">
            <v>1064.3327294647008</v>
          </cell>
          <cell r="CO119">
            <v>532.16636473235042</v>
          </cell>
          <cell r="CP119">
            <v>532.16636473235042</v>
          </cell>
          <cell r="CQ119">
            <v>1064.3327294647008</v>
          </cell>
          <cell r="CR119">
            <v>532.16636473235042</v>
          </cell>
          <cell r="CS119">
            <v>532.16636473235042</v>
          </cell>
          <cell r="CT119">
            <v>1064.3327294647008</v>
          </cell>
          <cell r="CU119">
            <v>532.16636473235042</v>
          </cell>
          <cell r="CV119">
            <v>532.16636473235042</v>
          </cell>
          <cell r="CW119">
            <v>1064.3327294647008</v>
          </cell>
        </row>
        <row r="120">
          <cell r="A120" t="str">
            <v>Cash cost of production</v>
          </cell>
          <cell r="B120" t="str">
            <v>A$m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-306.60000000000002</v>
          </cell>
          <cell r="N120">
            <v>-322.14715201443755</v>
          </cell>
          <cell r="O120">
            <v>-323.7026197664938</v>
          </cell>
          <cell r="P120">
            <v>-323.7026197664938</v>
          </cell>
          <cell r="Q120">
            <v>-340</v>
          </cell>
          <cell r="R120">
            <v>-334.46303477209295</v>
          </cell>
          <cell r="S120">
            <v>-331.56072123792694</v>
          </cell>
          <cell r="T120">
            <v>-331.56072123792694</v>
          </cell>
          <cell r="U120">
            <v>-331.56072123792694</v>
          </cell>
          <cell r="V120">
            <v>-331.56072123792694</v>
          </cell>
          <cell r="W120">
            <v>-331.56072123792694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BQ120">
            <v>-161.5</v>
          </cell>
          <cell r="BR120">
            <v>-145.10000000000002</v>
          </cell>
          <cell r="BS120">
            <v>-306.60000000000002</v>
          </cell>
          <cell r="BT120">
            <v>-158.39999999999998</v>
          </cell>
          <cell r="BU120">
            <v>-163.74715201443757</v>
          </cell>
          <cell r="BV120">
            <v>-322.14715201443755</v>
          </cell>
          <cell r="BW120">
            <v>-161.8513098832469</v>
          </cell>
          <cell r="BX120">
            <v>-161.8513098832469</v>
          </cell>
          <cell r="BY120">
            <v>-323.7026197664938</v>
          </cell>
          <cell r="BZ120">
            <v>-161.8513098832469</v>
          </cell>
          <cell r="CA120">
            <v>-161.8513098832469</v>
          </cell>
          <cell r="CB120">
            <v>-323.7026197664938</v>
          </cell>
          <cell r="CC120">
            <v>-170</v>
          </cell>
          <cell r="CD120">
            <v>-170</v>
          </cell>
          <cell r="CE120">
            <v>-340</v>
          </cell>
          <cell r="CF120">
            <v>-168.68267415312948</v>
          </cell>
          <cell r="CG120">
            <v>-165.78036061896347</v>
          </cell>
          <cell r="CH120">
            <v>-334.46303477209295</v>
          </cell>
          <cell r="CI120">
            <v>-165.78036061896347</v>
          </cell>
          <cell r="CJ120">
            <v>-165.78036061896347</v>
          </cell>
          <cell r="CK120">
            <v>-331.56072123792694</v>
          </cell>
          <cell r="CL120">
            <v>-165.78036061896347</v>
          </cell>
          <cell r="CM120">
            <v>-165.78036061896347</v>
          </cell>
          <cell r="CN120">
            <v>-331.56072123792694</v>
          </cell>
          <cell r="CO120">
            <v>-165.78036061896347</v>
          </cell>
          <cell r="CP120">
            <v>-165.78036061896347</v>
          </cell>
          <cell r="CQ120">
            <v>-331.56072123792694</v>
          </cell>
          <cell r="CR120">
            <v>-165.78036061896347</v>
          </cell>
          <cell r="CS120">
            <v>-165.78036061896347</v>
          </cell>
          <cell r="CT120">
            <v>-331.56072123792694</v>
          </cell>
          <cell r="CU120">
            <v>-165.78036061896347</v>
          </cell>
          <cell r="CV120">
            <v>-165.78036061896347</v>
          </cell>
          <cell r="CW120">
            <v>-331.56072123792694</v>
          </cell>
        </row>
        <row r="121">
          <cell r="A121" t="str">
            <v>Inventory movements</v>
          </cell>
          <cell r="B121" t="str">
            <v>A$m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-9.5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BQ121">
            <v>18</v>
          </cell>
          <cell r="BR121">
            <v>-27.5</v>
          </cell>
          <cell r="BS121">
            <v>-9.5</v>
          </cell>
          <cell r="BT121">
            <v>0</v>
          </cell>
          <cell r="BU121">
            <v>0</v>
          </cell>
          <cell r="BV121">
            <v>0</v>
          </cell>
          <cell r="BW121">
            <v>0</v>
          </cell>
          <cell r="BX121">
            <v>0</v>
          </cell>
          <cell r="BY121">
            <v>0</v>
          </cell>
          <cell r="BZ121">
            <v>0</v>
          </cell>
          <cell r="CA121">
            <v>0</v>
          </cell>
          <cell r="CB121">
            <v>0</v>
          </cell>
          <cell r="CC121">
            <v>0</v>
          </cell>
          <cell r="CD121">
            <v>0</v>
          </cell>
          <cell r="CE121">
            <v>0</v>
          </cell>
          <cell r="CF121">
            <v>0</v>
          </cell>
          <cell r="CG121">
            <v>0</v>
          </cell>
          <cell r="CH121">
            <v>0</v>
          </cell>
          <cell r="CI121">
            <v>0</v>
          </cell>
          <cell r="CJ121">
            <v>0</v>
          </cell>
          <cell r="CK121">
            <v>0</v>
          </cell>
          <cell r="CL121">
            <v>0</v>
          </cell>
          <cell r="CM121">
            <v>0</v>
          </cell>
          <cell r="CN121">
            <v>0</v>
          </cell>
          <cell r="CO121">
            <v>0</v>
          </cell>
          <cell r="CP121">
            <v>0</v>
          </cell>
          <cell r="CQ121">
            <v>0</v>
          </cell>
          <cell r="CR121">
            <v>0</v>
          </cell>
          <cell r="CS121">
            <v>0</v>
          </cell>
          <cell r="CT121">
            <v>0</v>
          </cell>
          <cell r="CU121">
            <v>0</v>
          </cell>
          <cell r="CV121">
            <v>0</v>
          </cell>
          <cell r="CW121">
            <v>0</v>
          </cell>
        </row>
        <row r="122">
          <cell r="A122" t="str">
            <v>Restructure and idling</v>
          </cell>
          <cell r="B122" t="str">
            <v>A$m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-15</v>
          </cell>
          <cell r="N122">
            <v>-5</v>
          </cell>
          <cell r="O122">
            <v>-5</v>
          </cell>
          <cell r="P122">
            <v>-5</v>
          </cell>
          <cell r="Q122">
            <v>-5</v>
          </cell>
          <cell r="R122">
            <v>-5</v>
          </cell>
          <cell r="S122">
            <v>-5</v>
          </cell>
          <cell r="T122">
            <v>-5</v>
          </cell>
          <cell r="U122">
            <v>-5</v>
          </cell>
          <cell r="V122">
            <v>-5</v>
          </cell>
          <cell r="W122">
            <v>-5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BQ122">
            <v>-8.4</v>
          </cell>
          <cell r="BR122">
            <v>-6.6</v>
          </cell>
          <cell r="BS122">
            <v>-15</v>
          </cell>
          <cell r="BT122">
            <v>-2.5</v>
          </cell>
          <cell r="BU122">
            <v>-2.5</v>
          </cell>
          <cell r="BV122">
            <v>-5</v>
          </cell>
          <cell r="BW122">
            <v>-2.5</v>
          </cell>
          <cell r="BX122">
            <v>-2.5</v>
          </cell>
          <cell r="BY122">
            <v>-5</v>
          </cell>
          <cell r="BZ122">
            <v>-2.5</v>
          </cell>
          <cell r="CA122">
            <v>-2.5</v>
          </cell>
          <cell r="CB122">
            <v>-5</v>
          </cell>
          <cell r="CC122">
            <v>-2.5</v>
          </cell>
          <cell r="CD122">
            <v>-2.5</v>
          </cell>
          <cell r="CE122">
            <v>-5</v>
          </cell>
          <cell r="CF122">
            <v>-2.5</v>
          </cell>
          <cell r="CG122">
            <v>-2.5</v>
          </cell>
          <cell r="CH122">
            <v>-5</v>
          </cell>
          <cell r="CI122">
            <v>-2.5</v>
          </cell>
          <cell r="CJ122">
            <v>-2.5</v>
          </cell>
          <cell r="CK122">
            <v>-5</v>
          </cell>
          <cell r="CL122">
            <v>-2.5</v>
          </cell>
          <cell r="CM122">
            <v>-2.5</v>
          </cell>
          <cell r="CN122">
            <v>-5</v>
          </cell>
          <cell r="CO122">
            <v>-2.5</v>
          </cell>
          <cell r="CP122">
            <v>-2.5</v>
          </cell>
          <cell r="CQ122">
            <v>-5</v>
          </cell>
          <cell r="CR122">
            <v>-2.5</v>
          </cell>
          <cell r="CS122">
            <v>-2.5</v>
          </cell>
          <cell r="CT122">
            <v>-5</v>
          </cell>
          <cell r="CU122">
            <v>-2.5</v>
          </cell>
          <cell r="CV122">
            <v>-2.5</v>
          </cell>
          <cell r="CW122">
            <v>-5</v>
          </cell>
        </row>
        <row r="123">
          <cell r="A123" t="str">
            <v>Government royalties</v>
          </cell>
          <cell r="B123" t="str">
            <v>A$m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-9.8000000000000007</v>
          </cell>
          <cell r="N123">
            <v>-10.400000000000002</v>
          </cell>
          <cell r="O123">
            <v>-10.400000000000002</v>
          </cell>
          <cell r="P123">
            <v>-10.400000000000002</v>
          </cell>
          <cell r="Q123">
            <v>-10.400000000000002</v>
          </cell>
          <cell r="R123">
            <v>-10.400000000000002</v>
          </cell>
          <cell r="S123">
            <v>-10.400000000000002</v>
          </cell>
          <cell r="T123">
            <v>-10.400000000000002</v>
          </cell>
          <cell r="U123">
            <v>-10.400000000000002</v>
          </cell>
          <cell r="V123">
            <v>-10.400000000000002</v>
          </cell>
          <cell r="W123">
            <v>-10.400000000000002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BQ123">
            <v>-4.5999999999999996</v>
          </cell>
          <cell r="BR123">
            <v>-5.2000000000000011</v>
          </cell>
          <cell r="BS123">
            <v>-9.8000000000000007</v>
          </cell>
          <cell r="BT123">
            <v>-5.2000000000000011</v>
          </cell>
          <cell r="BU123">
            <v>-5.2000000000000011</v>
          </cell>
          <cell r="BV123">
            <v>-10.400000000000002</v>
          </cell>
          <cell r="BW123">
            <v>-5.2000000000000011</v>
          </cell>
          <cell r="BX123">
            <v>-5.2000000000000011</v>
          </cell>
          <cell r="BY123">
            <v>-10.400000000000002</v>
          </cell>
          <cell r="BZ123">
            <v>-5.2000000000000011</v>
          </cell>
          <cell r="CA123">
            <v>-5.2000000000000011</v>
          </cell>
          <cell r="CB123">
            <v>-10.400000000000002</v>
          </cell>
          <cell r="CC123">
            <v>-5.2000000000000011</v>
          </cell>
          <cell r="CD123">
            <v>-5.2000000000000011</v>
          </cell>
          <cell r="CE123">
            <v>-10.400000000000002</v>
          </cell>
          <cell r="CF123">
            <v>-5.2000000000000011</v>
          </cell>
          <cell r="CG123">
            <v>-5.2000000000000011</v>
          </cell>
          <cell r="CH123">
            <v>-10.400000000000002</v>
          </cell>
          <cell r="CI123">
            <v>-5.2000000000000011</v>
          </cell>
          <cell r="CJ123">
            <v>-5.2000000000000011</v>
          </cell>
          <cell r="CK123">
            <v>-10.400000000000002</v>
          </cell>
          <cell r="CL123">
            <v>-5.2000000000000011</v>
          </cell>
          <cell r="CM123">
            <v>-5.2000000000000011</v>
          </cell>
          <cell r="CN123">
            <v>-10.400000000000002</v>
          </cell>
          <cell r="CO123">
            <v>-5.2000000000000011</v>
          </cell>
          <cell r="CP123">
            <v>-5.2000000000000011</v>
          </cell>
          <cell r="CQ123">
            <v>-10.400000000000002</v>
          </cell>
          <cell r="CR123">
            <v>-5.2000000000000011</v>
          </cell>
          <cell r="CS123">
            <v>-5.2000000000000011</v>
          </cell>
          <cell r="CT123">
            <v>-10.400000000000002</v>
          </cell>
          <cell r="CU123">
            <v>-5.2000000000000011</v>
          </cell>
          <cell r="CV123">
            <v>-5.2000000000000011</v>
          </cell>
          <cell r="CW123">
            <v>-10.400000000000002</v>
          </cell>
        </row>
        <row r="124">
          <cell r="A124" t="str">
            <v>Marketing and technical costs</v>
          </cell>
          <cell r="B124" t="str">
            <v>A$m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-10</v>
          </cell>
          <cell r="N124">
            <v>-14</v>
          </cell>
          <cell r="O124">
            <v>-14</v>
          </cell>
          <cell r="P124">
            <v>-14</v>
          </cell>
          <cell r="Q124">
            <v>-14</v>
          </cell>
          <cell r="R124">
            <v>-14</v>
          </cell>
          <cell r="S124">
            <v>-14</v>
          </cell>
          <cell r="T124">
            <v>-14</v>
          </cell>
          <cell r="U124">
            <v>-14</v>
          </cell>
          <cell r="V124">
            <v>-14</v>
          </cell>
          <cell r="W124">
            <v>-14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BQ124">
            <v>-3</v>
          </cell>
          <cell r="BR124">
            <v>-7</v>
          </cell>
          <cell r="BS124">
            <v>-10</v>
          </cell>
          <cell r="BT124">
            <v>-7</v>
          </cell>
          <cell r="BU124">
            <v>-7</v>
          </cell>
          <cell r="BV124">
            <v>-14</v>
          </cell>
          <cell r="BW124">
            <v>-7</v>
          </cell>
          <cell r="BX124">
            <v>-7</v>
          </cell>
          <cell r="BY124">
            <v>-14</v>
          </cell>
          <cell r="BZ124">
            <v>-7</v>
          </cell>
          <cell r="CA124">
            <v>-7</v>
          </cell>
          <cell r="CB124">
            <v>-14</v>
          </cell>
          <cell r="CC124">
            <v>-7</v>
          </cell>
          <cell r="CD124">
            <v>-7</v>
          </cell>
          <cell r="CE124">
            <v>-14</v>
          </cell>
          <cell r="CF124">
            <v>-7</v>
          </cell>
          <cell r="CG124">
            <v>-7</v>
          </cell>
          <cell r="CH124">
            <v>-14</v>
          </cell>
          <cell r="CI124">
            <v>-7</v>
          </cell>
          <cell r="CJ124">
            <v>-7</v>
          </cell>
          <cell r="CK124">
            <v>-14</v>
          </cell>
          <cell r="CL124">
            <v>-7</v>
          </cell>
          <cell r="CM124">
            <v>-7</v>
          </cell>
          <cell r="CN124">
            <v>-14</v>
          </cell>
          <cell r="CO124">
            <v>-7</v>
          </cell>
          <cell r="CP124">
            <v>-7</v>
          </cell>
          <cell r="CQ124">
            <v>-14</v>
          </cell>
          <cell r="CR124">
            <v>-7</v>
          </cell>
          <cell r="CS124">
            <v>-7</v>
          </cell>
          <cell r="CT124">
            <v>-14</v>
          </cell>
          <cell r="CU124">
            <v>-7</v>
          </cell>
          <cell r="CV124">
            <v>-7</v>
          </cell>
          <cell r="CW124">
            <v>-14</v>
          </cell>
        </row>
        <row r="125">
          <cell r="A125" t="str">
            <v>Asset Sales and other income</v>
          </cell>
          <cell r="B125" t="str">
            <v>A$m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2.1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BQ125">
            <v>1.5</v>
          </cell>
          <cell r="BR125">
            <v>0.60000000000000009</v>
          </cell>
          <cell r="BS125">
            <v>2.1</v>
          </cell>
          <cell r="BT125">
            <v>0</v>
          </cell>
          <cell r="BU125">
            <v>0</v>
          </cell>
          <cell r="BV125">
            <v>0</v>
          </cell>
          <cell r="BW125">
            <v>0</v>
          </cell>
          <cell r="BX125">
            <v>0</v>
          </cell>
          <cell r="BY125">
            <v>0</v>
          </cell>
          <cell r="BZ125">
            <v>0</v>
          </cell>
          <cell r="CA125">
            <v>0</v>
          </cell>
          <cell r="CB125">
            <v>0</v>
          </cell>
          <cell r="CC125">
            <v>0</v>
          </cell>
          <cell r="CD125">
            <v>0</v>
          </cell>
          <cell r="CE125">
            <v>0</v>
          </cell>
          <cell r="CF125">
            <v>0</v>
          </cell>
          <cell r="CG125">
            <v>0</v>
          </cell>
          <cell r="CH125">
            <v>0</v>
          </cell>
          <cell r="CI125">
            <v>0</v>
          </cell>
          <cell r="CJ125">
            <v>0</v>
          </cell>
          <cell r="CK125">
            <v>0</v>
          </cell>
          <cell r="CL125">
            <v>0</v>
          </cell>
          <cell r="CM125">
            <v>0</v>
          </cell>
          <cell r="CN125">
            <v>0</v>
          </cell>
          <cell r="CO125">
            <v>0</v>
          </cell>
          <cell r="CP125">
            <v>0</v>
          </cell>
          <cell r="CQ125">
            <v>0</v>
          </cell>
          <cell r="CR125">
            <v>0</v>
          </cell>
          <cell r="CS125">
            <v>0</v>
          </cell>
          <cell r="CT125">
            <v>0</v>
          </cell>
          <cell r="CU125">
            <v>0</v>
          </cell>
          <cell r="CV125">
            <v>0</v>
          </cell>
          <cell r="CW125">
            <v>0</v>
          </cell>
        </row>
        <row r="126">
          <cell r="A126" t="str">
            <v>EBITDA</v>
          </cell>
          <cell r="B126" t="str">
            <v>A$m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119.89999999999996</v>
          </cell>
          <cell r="N126">
            <v>422.92687478067342</v>
          </cell>
          <cell r="O126">
            <v>848.48128230449618</v>
          </cell>
          <cell r="P126">
            <v>1127.5478182411264</v>
          </cell>
          <cell r="Q126">
            <v>1196.1763320108582</v>
          </cell>
          <cell r="R126">
            <v>1103.5767743193446</v>
          </cell>
          <cell r="S126">
            <v>866.14880345155848</v>
          </cell>
          <cell r="T126">
            <v>703.37200822677391</v>
          </cell>
          <cell r="U126">
            <v>703.37200822677391</v>
          </cell>
          <cell r="V126">
            <v>703.37200822677391</v>
          </cell>
          <cell r="W126">
            <v>703.37200822677391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BQ126">
            <v>46.199999999999989</v>
          </cell>
          <cell r="BR126">
            <v>73.699999999999974</v>
          </cell>
          <cell r="BS126">
            <v>119.89999999999996</v>
          </cell>
          <cell r="BT126">
            <v>115.3899282303431</v>
          </cell>
          <cell r="BU126">
            <v>307.5369465503303</v>
          </cell>
          <cell r="BV126">
            <v>422.92687478067342</v>
          </cell>
          <cell r="BW126">
            <v>409.94721414202519</v>
          </cell>
          <cell r="BX126">
            <v>438.53406816247087</v>
          </cell>
          <cell r="BY126">
            <v>848.48128230449618</v>
          </cell>
          <cell r="BZ126">
            <v>564.20518327820264</v>
          </cell>
          <cell r="CA126">
            <v>563.34263496292374</v>
          </cell>
          <cell r="CB126">
            <v>1127.5478182411264</v>
          </cell>
          <cell r="CC126">
            <v>598.08816600542912</v>
          </cell>
          <cell r="CD126">
            <v>598.08816600542912</v>
          </cell>
          <cell r="CE126">
            <v>1196.1763320108582</v>
          </cell>
          <cell r="CF126">
            <v>566.1019362749422</v>
          </cell>
          <cell r="CG126">
            <v>537.4748380444023</v>
          </cell>
          <cell r="CH126">
            <v>1103.5767743193446</v>
          </cell>
          <cell r="CI126">
            <v>433.07440172577924</v>
          </cell>
          <cell r="CJ126">
            <v>433.07440172577924</v>
          </cell>
          <cell r="CK126">
            <v>866.14880345155848</v>
          </cell>
          <cell r="CL126">
            <v>351.68600411338696</v>
          </cell>
          <cell r="CM126">
            <v>351.68600411338696</v>
          </cell>
          <cell r="CN126">
            <v>703.37200822677391</v>
          </cell>
          <cell r="CO126">
            <v>351.68600411338696</v>
          </cell>
          <cell r="CP126">
            <v>351.68600411338696</v>
          </cell>
          <cell r="CQ126">
            <v>703.37200822677391</v>
          </cell>
          <cell r="CR126">
            <v>351.68600411338696</v>
          </cell>
          <cell r="CS126">
            <v>351.68600411338696</v>
          </cell>
          <cell r="CT126">
            <v>703.37200822677391</v>
          </cell>
          <cell r="CU126">
            <v>351.68600411338696</v>
          </cell>
          <cell r="CV126">
            <v>351.68600411338696</v>
          </cell>
          <cell r="CW126">
            <v>703.37200822677391</v>
          </cell>
        </row>
        <row r="127">
          <cell r="A127" t="str">
            <v>Depreciation and Amortisation</v>
          </cell>
          <cell r="B127" t="str">
            <v>A$m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-86.1</v>
          </cell>
          <cell r="N127">
            <v>-80</v>
          </cell>
          <cell r="O127">
            <v>-60</v>
          </cell>
          <cell r="P127">
            <v>-60</v>
          </cell>
          <cell r="Q127">
            <v>-60</v>
          </cell>
          <cell r="R127">
            <v>-60</v>
          </cell>
          <cell r="S127">
            <v>-60</v>
          </cell>
          <cell r="T127">
            <v>-60</v>
          </cell>
          <cell r="U127">
            <v>-60</v>
          </cell>
          <cell r="V127">
            <v>-60</v>
          </cell>
          <cell r="W127">
            <v>-60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BQ127">
            <v>-43</v>
          </cell>
          <cell r="BR127">
            <v>-43.099999999999994</v>
          </cell>
          <cell r="BS127">
            <v>-86.1</v>
          </cell>
          <cell r="BT127">
            <v>-40</v>
          </cell>
          <cell r="BU127">
            <v>-40</v>
          </cell>
          <cell r="BV127">
            <v>-80</v>
          </cell>
          <cell r="BW127">
            <v>-30</v>
          </cell>
          <cell r="BX127">
            <v>-30</v>
          </cell>
          <cell r="BY127">
            <v>-60</v>
          </cell>
          <cell r="BZ127">
            <v>-30</v>
          </cell>
          <cell r="CA127">
            <v>-30</v>
          </cell>
          <cell r="CB127">
            <v>-60</v>
          </cell>
          <cell r="CC127">
            <v>-30</v>
          </cell>
          <cell r="CD127">
            <v>-30</v>
          </cell>
          <cell r="CE127">
            <v>-60</v>
          </cell>
          <cell r="CF127">
            <v>-30</v>
          </cell>
          <cell r="CG127">
            <v>-30</v>
          </cell>
          <cell r="CH127">
            <v>-60</v>
          </cell>
          <cell r="CI127">
            <v>-30</v>
          </cell>
          <cell r="CJ127">
            <v>-30</v>
          </cell>
          <cell r="CK127">
            <v>-60</v>
          </cell>
          <cell r="CL127">
            <v>-30</v>
          </cell>
          <cell r="CM127">
            <v>-30</v>
          </cell>
          <cell r="CN127">
            <v>-60</v>
          </cell>
          <cell r="CO127">
            <v>-30</v>
          </cell>
          <cell r="CP127">
            <v>-30</v>
          </cell>
          <cell r="CQ127">
            <v>-60</v>
          </cell>
          <cell r="CR127">
            <v>-30</v>
          </cell>
          <cell r="CS127">
            <v>-30</v>
          </cell>
          <cell r="CT127">
            <v>-60</v>
          </cell>
          <cell r="CU127">
            <v>-30</v>
          </cell>
          <cell r="CV127">
            <v>-30</v>
          </cell>
          <cell r="CW127">
            <v>-60</v>
          </cell>
        </row>
        <row r="128">
          <cell r="A128" t="str">
            <v>EBIT</v>
          </cell>
          <cell r="B128" t="str">
            <v>A$m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33.799999999999969</v>
          </cell>
          <cell r="N128">
            <v>342.92687478067342</v>
          </cell>
          <cell r="O128">
            <v>788.48128230449618</v>
          </cell>
          <cell r="P128">
            <v>1067.5478182411264</v>
          </cell>
          <cell r="Q128">
            <v>1136.1763320108582</v>
          </cell>
          <cell r="R128">
            <v>1043.5767743193446</v>
          </cell>
          <cell r="S128">
            <v>806.14880345155848</v>
          </cell>
          <cell r="T128">
            <v>643.37200822677391</v>
          </cell>
          <cell r="U128">
            <v>643.37200822677391</v>
          </cell>
          <cell r="V128">
            <v>643.37200822677391</v>
          </cell>
          <cell r="W128">
            <v>643.37200822677391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BQ128">
            <v>3.1999999999999886</v>
          </cell>
          <cell r="BR128">
            <v>30.59999999999998</v>
          </cell>
          <cell r="BS128">
            <v>33.799999999999969</v>
          </cell>
          <cell r="BT128">
            <v>75.389928230343102</v>
          </cell>
          <cell r="BU128">
            <v>267.5369465503303</v>
          </cell>
          <cell r="BV128">
            <v>342.92687478067342</v>
          </cell>
          <cell r="BW128">
            <v>379.94721414202519</v>
          </cell>
          <cell r="BX128">
            <v>408.53406816247087</v>
          </cell>
          <cell r="BY128">
            <v>788.48128230449618</v>
          </cell>
          <cell r="BZ128">
            <v>534.20518327820264</v>
          </cell>
          <cell r="CA128">
            <v>533.34263496292374</v>
          </cell>
          <cell r="CB128">
            <v>1067.5478182411264</v>
          </cell>
          <cell r="CC128">
            <v>568.08816600542912</v>
          </cell>
          <cell r="CD128">
            <v>568.08816600542912</v>
          </cell>
          <cell r="CE128">
            <v>1136.1763320108582</v>
          </cell>
          <cell r="CF128">
            <v>536.1019362749422</v>
          </cell>
          <cell r="CG128">
            <v>507.4748380444023</v>
          </cell>
          <cell r="CH128">
            <v>1043.5767743193446</v>
          </cell>
          <cell r="CI128">
            <v>403.07440172577924</v>
          </cell>
          <cell r="CJ128">
            <v>403.07440172577924</v>
          </cell>
          <cell r="CK128">
            <v>806.14880345155848</v>
          </cell>
          <cell r="CL128">
            <v>321.68600411338696</v>
          </cell>
          <cell r="CM128">
            <v>321.68600411338696</v>
          </cell>
          <cell r="CN128">
            <v>643.37200822677391</v>
          </cell>
          <cell r="CO128">
            <v>321.68600411338696</v>
          </cell>
          <cell r="CP128">
            <v>321.68600411338696</v>
          </cell>
          <cell r="CQ128">
            <v>643.37200822677391</v>
          </cell>
          <cell r="CR128">
            <v>321.68600411338696</v>
          </cell>
          <cell r="CS128">
            <v>321.68600411338696</v>
          </cell>
          <cell r="CT128">
            <v>643.37200822677391</v>
          </cell>
          <cell r="CU128">
            <v>321.68600411338696</v>
          </cell>
          <cell r="CV128">
            <v>321.68600411338696</v>
          </cell>
          <cell r="CW128">
            <v>643.37200822677391</v>
          </cell>
        </row>
        <row r="130">
          <cell r="A130" t="str">
            <v>Tax Rate</v>
          </cell>
          <cell r="D130">
            <v>0.3</v>
          </cell>
          <cell r="E130">
            <v>0.3</v>
          </cell>
          <cell r="F130">
            <v>0.3</v>
          </cell>
          <cell r="G130">
            <v>0.3</v>
          </cell>
          <cell r="H130">
            <v>0.3</v>
          </cell>
          <cell r="I130">
            <v>0.3</v>
          </cell>
          <cell r="J130">
            <v>0.3</v>
          </cell>
          <cell r="K130">
            <v>0.3</v>
          </cell>
          <cell r="L130">
            <v>0.3</v>
          </cell>
          <cell r="M130">
            <v>0.3</v>
          </cell>
          <cell r="N130">
            <v>0.3</v>
          </cell>
          <cell r="O130">
            <v>0.3</v>
          </cell>
          <cell r="P130">
            <v>0.3</v>
          </cell>
          <cell r="Q130">
            <v>0.3</v>
          </cell>
          <cell r="R130">
            <v>0.3</v>
          </cell>
          <cell r="S130">
            <v>0.3</v>
          </cell>
          <cell r="T130">
            <v>0.3</v>
          </cell>
          <cell r="U130">
            <v>0.3</v>
          </cell>
          <cell r="V130">
            <v>0.3</v>
          </cell>
          <cell r="W130">
            <v>0.3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Q130">
            <v>0.3</v>
          </cell>
          <cell r="AR130">
            <v>0.3</v>
          </cell>
          <cell r="AS130">
            <v>0.3</v>
          </cell>
          <cell r="AT130">
            <v>0.3</v>
          </cell>
          <cell r="AU130">
            <v>0.3</v>
          </cell>
          <cell r="AV130">
            <v>0.3</v>
          </cell>
          <cell r="AW130">
            <v>0.3</v>
          </cell>
          <cell r="AX130">
            <v>0.3</v>
          </cell>
          <cell r="AY130">
            <v>0.3</v>
          </cell>
          <cell r="AZ130">
            <v>0.3</v>
          </cell>
          <cell r="BA130">
            <v>0.3</v>
          </cell>
          <cell r="BB130">
            <v>0.3</v>
          </cell>
          <cell r="BC130">
            <v>0.3</v>
          </cell>
          <cell r="BD130">
            <v>0.3</v>
          </cell>
          <cell r="BE130">
            <v>0.3</v>
          </cell>
          <cell r="BF130">
            <v>0.3</v>
          </cell>
          <cell r="BG130">
            <v>0.3</v>
          </cell>
          <cell r="BH130">
            <v>0.3</v>
          </cell>
          <cell r="BI130">
            <v>0.3</v>
          </cell>
          <cell r="BJ130">
            <v>0.3</v>
          </cell>
          <cell r="BK130">
            <v>0.3</v>
          </cell>
          <cell r="BL130">
            <v>0.3</v>
          </cell>
          <cell r="BM130">
            <v>0.3</v>
          </cell>
          <cell r="BN130">
            <v>0.3</v>
          </cell>
          <cell r="BO130">
            <v>0.3</v>
          </cell>
          <cell r="BP130">
            <v>0.3</v>
          </cell>
          <cell r="BQ130">
            <v>0.3</v>
          </cell>
          <cell r="BR130">
            <v>0.3</v>
          </cell>
          <cell r="BS130">
            <v>0.3</v>
          </cell>
          <cell r="BT130">
            <v>0.3</v>
          </cell>
          <cell r="BU130">
            <v>0.3</v>
          </cell>
          <cell r="BV130">
            <v>0.3</v>
          </cell>
          <cell r="BW130">
            <v>0.3</v>
          </cell>
          <cell r="BX130">
            <v>0.3</v>
          </cell>
          <cell r="BY130">
            <v>0.3</v>
          </cell>
          <cell r="BZ130">
            <v>0.3</v>
          </cell>
          <cell r="CA130">
            <v>0.3</v>
          </cell>
          <cell r="CB130">
            <v>0.3</v>
          </cell>
          <cell r="CC130">
            <v>0.3</v>
          </cell>
          <cell r="CD130">
            <v>0.3</v>
          </cell>
          <cell r="CE130">
            <v>0.3</v>
          </cell>
          <cell r="CF130">
            <v>0.3</v>
          </cell>
          <cell r="CG130">
            <v>0.3</v>
          </cell>
          <cell r="CH130">
            <v>0.3</v>
          </cell>
          <cell r="CI130">
            <v>0.3</v>
          </cell>
          <cell r="CJ130">
            <v>0.3</v>
          </cell>
          <cell r="CK130">
            <v>0.3</v>
          </cell>
          <cell r="CL130">
            <v>0.3</v>
          </cell>
          <cell r="CM130">
            <v>0.3</v>
          </cell>
          <cell r="CN130">
            <v>0.3</v>
          </cell>
          <cell r="CO130">
            <v>0.3</v>
          </cell>
          <cell r="CP130">
            <v>0.3</v>
          </cell>
          <cell r="CQ130">
            <v>0.3</v>
          </cell>
          <cell r="CR130">
            <v>0.3</v>
          </cell>
          <cell r="CS130">
            <v>0.3</v>
          </cell>
          <cell r="CT130">
            <v>0.3</v>
          </cell>
          <cell r="CU130">
            <v>0.3</v>
          </cell>
          <cell r="CV130">
            <v>0.3</v>
          </cell>
          <cell r="CW130">
            <v>0.3</v>
          </cell>
        </row>
        <row r="131">
          <cell r="A131" t="str">
            <v>Nominal Tax</v>
          </cell>
          <cell r="B131" t="str">
            <v>A$m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10.139999999999992</v>
          </cell>
          <cell r="N131">
            <v>102.87806243420202</v>
          </cell>
          <cell r="O131">
            <v>236.5443846913488</v>
          </cell>
          <cell r="P131">
            <v>320.26434547233794</v>
          </cell>
          <cell r="Q131">
            <v>340.85289960325747</v>
          </cell>
          <cell r="R131">
            <v>313.07303229580333</v>
          </cell>
          <cell r="S131">
            <v>241.84464103546753</v>
          </cell>
          <cell r="T131">
            <v>193.01160246803218</v>
          </cell>
          <cell r="U131">
            <v>193.01160246803218</v>
          </cell>
          <cell r="V131">
            <v>193.01160246803218</v>
          </cell>
          <cell r="W131">
            <v>193.01160246803218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P131">
            <v>0</v>
          </cell>
          <cell r="BQ131">
            <v>0.95999999999999652</v>
          </cell>
          <cell r="BR131">
            <v>9.1799999999999944</v>
          </cell>
          <cell r="BS131">
            <v>10.139999999999992</v>
          </cell>
          <cell r="BT131">
            <v>22.616978469102929</v>
          </cell>
          <cell r="BU131">
            <v>80.26108396509909</v>
          </cell>
          <cell r="BV131">
            <v>102.87806243420202</v>
          </cell>
          <cell r="BW131">
            <v>113.98416424260755</v>
          </cell>
          <cell r="BX131">
            <v>122.56022044874126</v>
          </cell>
          <cell r="BY131">
            <v>236.5443846913488</v>
          </cell>
          <cell r="BZ131">
            <v>160.2615549834608</v>
          </cell>
          <cell r="CA131">
            <v>160.00279048887711</v>
          </cell>
          <cell r="CB131">
            <v>320.26434547233794</v>
          </cell>
          <cell r="CC131">
            <v>170.42644980162873</v>
          </cell>
          <cell r="CD131">
            <v>170.42644980162873</v>
          </cell>
          <cell r="CE131">
            <v>340.85289960325747</v>
          </cell>
          <cell r="CF131">
            <v>160.83058088248265</v>
          </cell>
          <cell r="CG131">
            <v>152.24245141332068</v>
          </cell>
          <cell r="CH131">
            <v>313.07303229580333</v>
          </cell>
          <cell r="CI131">
            <v>120.92232051773377</v>
          </cell>
          <cell r="CJ131">
            <v>120.92232051773377</v>
          </cell>
          <cell r="CK131">
            <v>241.84464103546753</v>
          </cell>
          <cell r="CL131">
            <v>96.50580123401609</v>
          </cell>
          <cell r="CM131">
            <v>96.50580123401609</v>
          </cell>
          <cell r="CN131">
            <v>193.01160246803218</v>
          </cell>
          <cell r="CO131">
            <v>96.50580123401609</v>
          </cell>
          <cell r="CP131">
            <v>96.50580123401609</v>
          </cell>
          <cell r="CQ131">
            <v>193.01160246803218</v>
          </cell>
          <cell r="CR131">
            <v>96.50580123401609</v>
          </cell>
          <cell r="CS131">
            <v>96.50580123401609</v>
          </cell>
          <cell r="CT131">
            <v>193.01160246803218</v>
          </cell>
          <cell r="CU131">
            <v>96.50580123401609</v>
          </cell>
          <cell r="CV131">
            <v>96.50580123401609</v>
          </cell>
          <cell r="CW131">
            <v>193.01160246803218</v>
          </cell>
        </row>
        <row r="132">
          <cell r="A132" t="str">
            <v>NOPAT</v>
          </cell>
          <cell r="B132" t="str">
            <v>A$m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23.659999999999979</v>
          </cell>
          <cell r="N132">
            <v>240.04881234647138</v>
          </cell>
          <cell r="O132">
            <v>551.93689761314727</v>
          </cell>
          <cell r="P132">
            <v>747.28347276878844</v>
          </cell>
          <cell r="Q132">
            <v>795.32343240760076</v>
          </cell>
          <cell r="R132">
            <v>730.50374202354124</v>
          </cell>
          <cell r="S132">
            <v>564.304162416091</v>
          </cell>
          <cell r="T132">
            <v>450.36040575874176</v>
          </cell>
          <cell r="U132">
            <v>450.36040575874176</v>
          </cell>
          <cell r="V132">
            <v>450.36040575874176</v>
          </cell>
          <cell r="W132">
            <v>450.36040575874176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P132">
            <v>0</v>
          </cell>
          <cell r="BQ132">
            <v>2.2399999999999922</v>
          </cell>
          <cell r="BR132">
            <v>21.419999999999987</v>
          </cell>
          <cell r="BS132">
            <v>23.659999999999979</v>
          </cell>
          <cell r="BT132">
            <v>52.77294976124017</v>
          </cell>
          <cell r="BU132">
            <v>187.27586258523121</v>
          </cell>
          <cell r="BV132">
            <v>240.04881234647138</v>
          </cell>
          <cell r="BW132">
            <v>265.96304989941763</v>
          </cell>
          <cell r="BX132">
            <v>285.97384771372958</v>
          </cell>
          <cell r="BY132">
            <v>551.93689761314727</v>
          </cell>
          <cell r="BZ132">
            <v>373.94362829474187</v>
          </cell>
          <cell r="CA132">
            <v>373.33984447404663</v>
          </cell>
          <cell r="CB132">
            <v>747.28347276878844</v>
          </cell>
          <cell r="CC132">
            <v>397.66171620380038</v>
          </cell>
          <cell r="CD132">
            <v>397.66171620380038</v>
          </cell>
          <cell r="CE132">
            <v>795.32343240760076</v>
          </cell>
          <cell r="CF132">
            <v>375.27135539245955</v>
          </cell>
          <cell r="CG132">
            <v>355.23238663108162</v>
          </cell>
          <cell r="CH132">
            <v>730.50374202354124</v>
          </cell>
          <cell r="CI132">
            <v>282.1520812080455</v>
          </cell>
          <cell r="CJ132">
            <v>282.1520812080455</v>
          </cell>
          <cell r="CK132">
            <v>564.304162416091</v>
          </cell>
          <cell r="CL132">
            <v>225.18020287937088</v>
          </cell>
          <cell r="CM132">
            <v>225.18020287937088</v>
          </cell>
          <cell r="CN132">
            <v>450.36040575874176</v>
          </cell>
          <cell r="CO132">
            <v>225.18020287937088</v>
          </cell>
          <cell r="CP132">
            <v>225.18020287937088</v>
          </cell>
          <cell r="CQ132">
            <v>450.36040575874176</v>
          </cell>
          <cell r="CR132">
            <v>225.18020287937088</v>
          </cell>
          <cell r="CS132">
            <v>225.18020287937088</v>
          </cell>
          <cell r="CT132">
            <v>450.36040575874176</v>
          </cell>
          <cell r="CU132">
            <v>225.18020287937088</v>
          </cell>
          <cell r="CV132">
            <v>225.18020287937088</v>
          </cell>
          <cell r="CW132">
            <v>450.36040575874176</v>
          </cell>
        </row>
        <row r="134">
          <cell r="A134" t="str">
            <v>CAPITAL EXPENDITURE</v>
          </cell>
          <cell r="B134" t="str">
            <v>.</v>
          </cell>
          <cell r="C134" t="str">
            <v>.</v>
          </cell>
          <cell r="D134" t="str">
            <v>.</v>
          </cell>
          <cell r="E134" t="str">
            <v>.</v>
          </cell>
          <cell r="F134" t="str">
            <v>.</v>
          </cell>
          <cell r="G134" t="str">
            <v>.</v>
          </cell>
          <cell r="H134" t="str">
            <v>.</v>
          </cell>
          <cell r="I134" t="str">
            <v>.</v>
          </cell>
          <cell r="J134" t="str">
            <v>.</v>
          </cell>
          <cell r="K134" t="str">
            <v>.</v>
          </cell>
          <cell r="L134" t="str">
            <v>.</v>
          </cell>
          <cell r="M134" t="str">
            <v>.</v>
          </cell>
          <cell r="N134" t="str">
            <v>.</v>
          </cell>
          <cell r="O134" t="str">
            <v>.</v>
          </cell>
          <cell r="P134" t="str">
            <v>.</v>
          </cell>
          <cell r="Q134" t="str">
            <v>.</v>
          </cell>
          <cell r="R134" t="str">
            <v>.</v>
          </cell>
          <cell r="S134" t="str">
            <v>.</v>
          </cell>
          <cell r="T134" t="str">
            <v>.</v>
          </cell>
          <cell r="U134" t="str">
            <v>.</v>
          </cell>
          <cell r="V134" t="str">
            <v>.</v>
          </cell>
          <cell r="W134" t="str">
            <v>.</v>
          </cell>
          <cell r="X134" t="str">
            <v>.</v>
          </cell>
          <cell r="Y134" t="str">
            <v>.</v>
          </cell>
          <cell r="Z134" t="str">
            <v>.</v>
          </cell>
          <cell r="AA134" t="str">
            <v>.</v>
          </cell>
          <cell r="AB134" t="str">
            <v>.</v>
          </cell>
          <cell r="AC134" t="str">
            <v>.</v>
          </cell>
          <cell r="AD134" t="str">
            <v>.</v>
          </cell>
          <cell r="AE134" t="str">
            <v>.</v>
          </cell>
          <cell r="AF134" t="str">
            <v>.</v>
          </cell>
          <cell r="AG134" t="str">
            <v>.</v>
          </cell>
          <cell r="AH134" t="str">
            <v>.</v>
          </cell>
          <cell r="AI134" t="str">
            <v>.</v>
          </cell>
          <cell r="AJ134" t="str">
            <v>.</v>
          </cell>
          <cell r="AK134" t="str">
            <v>.</v>
          </cell>
          <cell r="AL134" t="str">
            <v>.</v>
          </cell>
          <cell r="AM134" t="str">
            <v>.</v>
          </cell>
          <cell r="AN134" t="str">
            <v>.</v>
          </cell>
          <cell r="AO134" t="str">
            <v>.</v>
          </cell>
          <cell r="AP134" t="str">
            <v>.</v>
          </cell>
          <cell r="AQ134" t="str">
            <v>.</v>
          </cell>
          <cell r="AR134" t="str">
            <v>.</v>
          </cell>
          <cell r="AS134" t="str">
            <v>.</v>
          </cell>
          <cell r="AT134" t="str">
            <v>.</v>
          </cell>
          <cell r="AU134" t="str">
            <v>.</v>
          </cell>
          <cell r="AV134" t="str">
            <v>.</v>
          </cell>
          <cell r="AW134" t="str">
            <v>.</v>
          </cell>
          <cell r="AX134" t="str">
            <v>.</v>
          </cell>
          <cell r="AY134" t="str">
            <v>.</v>
          </cell>
          <cell r="AZ134" t="str">
            <v>.</v>
          </cell>
          <cell r="BA134" t="str">
            <v>.</v>
          </cell>
          <cell r="BB134" t="str">
            <v>.</v>
          </cell>
          <cell r="BC134" t="str">
            <v>.</v>
          </cell>
          <cell r="BD134" t="str">
            <v>.</v>
          </cell>
          <cell r="BE134" t="str">
            <v>.</v>
          </cell>
          <cell r="BF134" t="str">
            <v>.</v>
          </cell>
          <cell r="BG134" t="str">
            <v>.</v>
          </cell>
          <cell r="BH134" t="str">
            <v>.</v>
          </cell>
          <cell r="BI134" t="str">
            <v>.</v>
          </cell>
          <cell r="BJ134" t="str">
            <v>.</v>
          </cell>
          <cell r="BK134" t="str">
            <v>.</v>
          </cell>
          <cell r="BL134" t="str">
            <v>.</v>
          </cell>
          <cell r="BM134" t="str">
            <v>.</v>
          </cell>
          <cell r="BN134" t="str">
            <v>.</v>
          </cell>
          <cell r="BO134" t="str">
            <v>.</v>
          </cell>
          <cell r="BP134" t="str">
            <v>.</v>
          </cell>
          <cell r="BQ134" t="str">
            <v>.</v>
          </cell>
          <cell r="BR134" t="str">
            <v>.</v>
          </cell>
          <cell r="BS134" t="str">
            <v>.</v>
          </cell>
          <cell r="BT134" t="str">
            <v>.</v>
          </cell>
          <cell r="BU134" t="str">
            <v>.</v>
          </cell>
          <cell r="BV134" t="str">
            <v>.</v>
          </cell>
          <cell r="BW134" t="str">
            <v>.</v>
          </cell>
          <cell r="BX134" t="str">
            <v>.</v>
          </cell>
          <cell r="BY134" t="str">
            <v>.</v>
          </cell>
          <cell r="BZ134" t="str">
            <v>.</v>
          </cell>
          <cell r="CA134" t="str">
            <v>.</v>
          </cell>
          <cell r="CB134" t="str">
            <v>.</v>
          </cell>
          <cell r="CC134" t="str">
            <v>.</v>
          </cell>
          <cell r="CD134" t="str">
            <v>.</v>
          </cell>
          <cell r="CE134" t="str">
            <v>.</v>
          </cell>
          <cell r="CF134" t="str">
            <v>.</v>
          </cell>
          <cell r="CG134" t="str">
            <v>.</v>
          </cell>
          <cell r="CH134" t="str">
            <v>.</v>
          </cell>
          <cell r="CI134" t="str">
            <v>.</v>
          </cell>
          <cell r="CJ134" t="str">
            <v>.</v>
          </cell>
          <cell r="CK134" t="str">
            <v>.</v>
          </cell>
          <cell r="CL134" t="str">
            <v>.</v>
          </cell>
          <cell r="CM134" t="str">
            <v>.</v>
          </cell>
          <cell r="CN134" t="str">
            <v>.</v>
          </cell>
          <cell r="CO134" t="str">
            <v>.</v>
          </cell>
          <cell r="CP134" t="str">
            <v>.</v>
          </cell>
          <cell r="CQ134" t="str">
            <v>.</v>
          </cell>
          <cell r="CR134" t="str">
            <v>.</v>
          </cell>
          <cell r="CS134" t="str">
            <v>.</v>
          </cell>
          <cell r="CT134" t="str">
            <v>.</v>
          </cell>
          <cell r="CU134" t="str">
            <v>.</v>
          </cell>
          <cell r="CV134" t="str">
            <v>.</v>
          </cell>
          <cell r="CW134" t="str">
            <v>.</v>
          </cell>
          <cell r="DS134" t="str">
            <v>.</v>
          </cell>
          <cell r="DT134" t="str">
            <v>.</v>
          </cell>
          <cell r="DU134" t="str">
            <v>.</v>
          </cell>
          <cell r="DV134" t="str">
            <v>.</v>
          </cell>
          <cell r="DW134" t="str">
            <v>.</v>
          </cell>
          <cell r="DX134" t="str">
            <v>.</v>
          </cell>
          <cell r="DY134" t="str">
            <v>.</v>
          </cell>
          <cell r="DZ134" t="str">
            <v>.</v>
          </cell>
          <cell r="EA134" t="str">
            <v>.</v>
          </cell>
          <cell r="EB134" t="str">
            <v>.</v>
          </cell>
          <cell r="EC134" t="str">
            <v>.</v>
          </cell>
          <cell r="ED134" t="str">
            <v>.</v>
          </cell>
          <cell r="EE134" t="str">
            <v>.</v>
          </cell>
          <cell r="EF134" t="str">
            <v>.</v>
          </cell>
          <cell r="EG134" t="str">
            <v>.</v>
          </cell>
          <cell r="EH134" t="str">
            <v>.</v>
          </cell>
          <cell r="EI134" t="str">
            <v>.</v>
          </cell>
          <cell r="EJ134" t="str">
            <v>.</v>
          </cell>
          <cell r="EK134" t="str">
            <v>.</v>
          </cell>
          <cell r="EL134" t="str">
            <v>.</v>
          </cell>
          <cell r="EM134" t="str">
            <v>.</v>
          </cell>
          <cell r="EN134" t="str">
            <v>.</v>
          </cell>
          <cell r="EO134" t="str">
            <v>.</v>
          </cell>
          <cell r="EP134" t="str">
            <v>.</v>
          </cell>
        </row>
        <row r="135">
          <cell r="A135" t="str">
            <v>Sustaining</v>
          </cell>
          <cell r="B135" t="str">
            <v>A$m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20</v>
          </cell>
          <cell r="N135">
            <v>50</v>
          </cell>
          <cell r="O135">
            <v>20</v>
          </cell>
          <cell r="P135">
            <v>20</v>
          </cell>
          <cell r="Q135">
            <v>20</v>
          </cell>
          <cell r="R135">
            <v>20</v>
          </cell>
          <cell r="S135">
            <v>20</v>
          </cell>
          <cell r="T135">
            <v>20</v>
          </cell>
          <cell r="U135">
            <v>20</v>
          </cell>
          <cell r="V135">
            <v>20</v>
          </cell>
          <cell r="W135">
            <v>20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BQ135">
            <v>10</v>
          </cell>
          <cell r="BR135">
            <v>10</v>
          </cell>
          <cell r="BS135">
            <v>20</v>
          </cell>
          <cell r="BT135">
            <v>25</v>
          </cell>
          <cell r="BU135">
            <v>25</v>
          </cell>
          <cell r="BV135">
            <v>50</v>
          </cell>
          <cell r="BW135">
            <v>10</v>
          </cell>
          <cell r="BX135">
            <v>10</v>
          </cell>
          <cell r="BY135">
            <v>20</v>
          </cell>
          <cell r="BZ135">
            <v>10</v>
          </cell>
          <cell r="CA135">
            <v>10</v>
          </cell>
          <cell r="CB135">
            <v>20</v>
          </cell>
          <cell r="CC135">
            <v>10</v>
          </cell>
          <cell r="CD135">
            <v>10</v>
          </cell>
          <cell r="CE135">
            <v>20</v>
          </cell>
          <cell r="CF135">
            <v>10</v>
          </cell>
          <cell r="CG135">
            <v>10</v>
          </cell>
          <cell r="CH135">
            <v>20</v>
          </cell>
          <cell r="CI135">
            <v>10</v>
          </cell>
          <cell r="CJ135">
            <v>10</v>
          </cell>
          <cell r="CK135">
            <v>20</v>
          </cell>
          <cell r="CL135">
            <v>10</v>
          </cell>
          <cell r="CM135">
            <v>10</v>
          </cell>
          <cell r="CN135">
            <v>20</v>
          </cell>
          <cell r="CO135">
            <v>10</v>
          </cell>
          <cell r="CP135">
            <v>10</v>
          </cell>
          <cell r="CQ135">
            <v>20</v>
          </cell>
          <cell r="CR135">
            <v>10</v>
          </cell>
          <cell r="CS135">
            <v>10</v>
          </cell>
          <cell r="CT135">
            <v>20</v>
          </cell>
          <cell r="CU135">
            <v>10</v>
          </cell>
          <cell r="CV135">
            <v>10</v>
          </cell>
          <cell r="CW135">
            <v>20</v>
          </cell>
        </row>
        <row r="136">
          <cell r="A136" t="str">
            <v>Developmemnt</v>
          </cell>
          <cell r="B136" t="str">
            <v>A$m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BQ136">
            <v>0</v>
          </cell>
          <cell r="BR136">
            <v>0</v>
          </cell>
          <cell r="BS136">
            <v>0</v>
          </cell>
          <cell r="BT136">
            <v>0</v>
          </cell>
          <cell r="BU136">
            <v>0</v>
          </cell>
          <cell r="BV136">
            <v>0</v>
          </cell>
          <cell r="BW136">
            <v>0</v>
          </cell>
          <cell r="BX136">
            <v>0</v>
          </cell>
          <cell r="BY136">
            <v>0</v>
          </cell>
          <cell r="BZ136">
            <v>0</v>
          </cell>
          <cell r="CA136">
            <v>0</v>
          </cell>
          <cell r="CB136">
            <v>0</v>
          </cell>
          <cell r="CC136">
            <v>0</v>
          </cell>
          <cell r="CD136">
            <v>0</v>
          </cell>
          <cell r="CE136">
            <v>0</v>
          </cell>
          <cell r="CF136">
            <v>0</v>
          </cell>
          <cell r="CG136">
            <v>0</v>
          </cell>
          <cell r="CH136">
            <v>0</v>
          </cell>
          <cell r="CI136">
            <v>0</v>
          </cell>
          <cell r="CJ136">
            <v>0</v>
          </cell>
          <cell r="CK136">
            <v>0</v>
          </cell>
          <cell r="CL136">
            <v>0</v>
          </cell>
          <cell r="CM136">
            <v>0</v>
          </cell>
          <cell r="CN136">
            <v>0</v>
          </cell>
          <cell r="CO136">
            <v>0</v>
          </cell>
          <cell r="CP136">
            <v>0</v>
          </cell>
          <cell r="CQ136">
            <v>0</v>
          </cell>
          <cell r="CR136">
            <v>0</v>
          </cell>
          <cell r="CS136">
            <v>0</v>
          </cell>
          <cell r="CT136">
            <v>0</v>
          </cell>
          <cell r="CU136">
            <v>0</v>
          </cell>
          <cell r="CV136">
            <v>0</v>
          </cell>
          <cell r="CW136">
            <v>0</v>
          </cell>
        </row>
        <row r="137">
          <cell r="A137" t="str">
            <v>TOTAL</v>
          </cell>
          <cell r="B137" t="str">
            <v>A$m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20</v>
          </cell>
          <cell r="N137">
            <v>50</v>
          </cell>
          <cell r="O137">
            <v>20</v>
          </cell>
          <cell r="P137">
            <v>20</v>
          </cell>
          <cell r="Q137">
            <v>20</v>
          </cell>
          <cell r="R137">
            <v>20</v>
          </cell>
          <cell r="S137">
            <v>20</v>
          </cell>
          <cell r="T137">
            <v>20</v>
          </cell>
          <cell r="U137">
            <v>20</v>
          </cell>
          <cell r="V137">
            <v>20</v>
          </cell>
          <cell r="W137">
            <v>20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BQ137">
            <v>10</v>
          </cell>
          <cell r="BR137">
            <v>10</v>
          </cell>
          <cell r="BS137">
            <v>20</v>
          </cell>
          <cell r="BT137">
            <v>25</v>
          </cell>
          <cell r="BU137">
            <v>25</v>
          </cell>
          <cell r="BV137">
            <v>50</v>
          </cell>
          <cell r="BW137">
            <v>10</v>
          </cell>
          <cell r="BX137">
            <v>10</v>
          </cell>
          <cell r="BY137">
            <v>20</v>
          </cell>
          <cell r="BZ137">
            <v>10</v>
          </cell>
          <cell r="CA137">
            <v>10</v>
          </cell>
          <cell r="CB137">
            <v>20</v>
          </cell>
          <cell r="CC137">
            <v>10</v>
          </cell>
          <cell r="CD137">
            <v>10</v>
          </cell>
          <cell r="CE137">
            <v>20</v>
          </cell>
          <cell r="CF137">
            <v>10</v>
          </cell>
          <cell r="CG137">
            <v>10</v>
          </cell>
          <cell r="CH137">
            <v>20</v>
          </cell>
          <cell r="CI137">
            <v>10</v>
          </cell>
          <cell r="CJ137">
            <v>10</v>
          </cell>
          <cell r="CK137">
            <v>20</v>
          </cell>
          <cell r="CL137">
            <v>10</v>
          </cell>
          <cell r="CM137">
            <v>10</v>
          </cell>
          <cell r="CN137">
            <v>20</v>
          </cell>
          <cell r="CO137">
            <v>10</v>
          </cell>
          <cell r="CP137">
            <v>10</v>
          </cell>
          <cell r="CQ137">
            <v>20</v>
          </cell>
          <cell r="CR137">
            <v>10</v>
          </cell>
          <cell r="CS137">
            <v>10</v>
          </cell>
          <cell r="CT137">
            <v>20</v>
          </cell>
          <cell r="CU137">
            <v>10</v>
          </cell>
          <cell r="CV137">
            <v>10</v>
          </cell>
          <cell r="CW137">
            <v>20</v>
          </cell>
        </row>
        <row r="139">
          <cell r="A139" t="str">
            <v>DCF ANLAYSIS</v>
          </cell>
          <cell r="B139" t="str">
            <v>.</v>
          </cell>
          <cell r="C139" t="str">
            <v>.</v>
          </cell>
          <cell r="D139" t="str">
            <v>.</v>
          </cell>
          <cell r="E139" t="str">
            <v>.</v>
          </cell>
          <cell r="F139" t="str">
            <v>.</v>
          </cell>
          <cell r="G139" t="str">
            <v>.</v>
          </cell>
          <cell r="H139" t="str">
            <v>.</v>
          </cell>
          <cell r="I139" t="str">
            <v>.</v>
          </cell>
          <cell r="J139" t="str">
            <v>.</v>
          </cell>
          <cell r="K139" t="str">
            <v>.</v>
          </cell>
          <cell r="L139" t="str">
            <v>.</v>
          </cell>
          <cell r="M139" t="str">
            <v>.</v>
          </cell>
          <cell r="N139" t="str">
            <v>.</v>
          </cell>
          <cell r="O139" t="str">
            <v>.</v>
          </cell>
          <cell r="P139" t="str">
            <v>.</v>
          </cell>
          <cell r="Q139" t="str">
            <v>.</v>
          </cell>
          <cell r="R139" t="str">
            <v>.</v>
          </cell>
          <cell r="S139" t="str">
            <v>.</v>
          </cell>
          <cell r="T139" t="str">
            <v>.</v>
          </cell>
          <cell r="U139" t="str">
            <v>.</v>
          </cell>
          <cell r="V139" t="str">
            <v>.</v>
          </cell>
          <cell r="W139" t="str">
            <v>.</v>
          </cell>
          <cell r="X139" t="str">
            <v>.</v>
          </cell>
          <cell r="Y139" t="str">
            <v>.</v>
          </cell>
          <cell r="Z139" t="str">
            <v>.</v>
          </cell>
          <cell r="AA139" t="str">
            <v>.</v>
          </cell>
          <cell r="AB139" t="str">
            <v>.</v>
          </cell>
          <cell r="AC139" t="str">
            <v>.</v>
          </cell>
          <cell r="AD139" t="str">
            <v>.</v>
          </cell>
          <cell r="AE139" t="str">
            <v>.</v>
          </cell>
          <cell r="AF139" t="str">
            <v>.</v>
          </cell>
          <cell r="AG139" t="str">
            <v>.</v>
          </cell>
          <cell r="AH139" t="str">
            <v>.</v>
          </cell>
          <cell r="AI139" t="str">
            <v>.</v>
          </cell>
          <cell r="AJ139" t="str">
            <v>.</v>
          </cell>
          <cell r="AK139" t="str">
            <v>.</v>
          </cell>
          <cell r="AL139" t="str">
            <v>.</v>
          </cell>
          <cell r="AM139" t="str">
            <v>.</v>
          </cell>
          <cell r="AN139" t="str">
            <v>.</v>
          </cell>
          <cell r="AO139" t="str">
            <v>.</v>
          </cell>
          <cell r="AP139" t="str">
            <v>.</v>
          </cell>
          <cell r="AQ139" t="str">
            <v>.</v>
          </cell>
          <cell r="AR139" t="str">
            <v>.</v>
          </cell>
          <cell r="AS139" t="str">
            <v>.</v>
          </cell>
          <cell r="AT139" t="str">
            <v>.</v>
          </cell>
          <cell r="AU139" t="str">
            <v>.</v>
          </cell>
          <cell r="AV139" t="str">
            <v>.</v>
          </cell>
          <cell r="AW139" t="str">
            <v>.</v>
          </cell>
          <cell r="AX139" t="str">
            <v>.</v>
          </cell>
          <cell r="AY139" t="str">
            <v>.</v>
          </cell>
          <cell r="AZ139" t="str">
            <v>.</v>
          </cell>
          <cell r="BA139" t="str">
            <v>.</v>
          </cell>
          <cell r="BB139" t="str">
            <v>.</v>
          </cell>
          <cell r="BC139" t="str">
            <v>.</v>
          </cell>
          <cell r="BD139" t="str">
            <v>.</v>
          </cell>
          <cell r="BE139" t="str">
            <v>.</v>
          </cell>
          <cell r="BF139" t="str">
            <v>.</v>
          </cell>
          <cell r="BG139" t="str">
            <v>.</v>
          </cell>
          <cell r="BH139" t="str">
            <v>.</v>
          </cell>
          <cell r="BI139" t="str">
            <v>.</v>
          </cell>
          <cell r="BJ139" t="str">
            <v>.</v>
          </cell>
          <cell r="BK139" t="str">
            <v>.</v>
          </cell>
          <cell r="BL139" t="str">
            <v>.</v>
          </cell>
          <cell r="BM139" t="str">
            <v>.</v>
          </cell>
          <cell r="BN139" t="str">
            <v>.</v>
          </cell>
          <cell r="BO139" t="str">
            <v>.</v>
          </cell>
          <cell r="BP139" t="str">
            <v>.</v>
          </cell>
          <cell r="BQ139" t="str">
            <v>.</v>
          </cell>
          <cell r="BR139" t="str">
            <v>.</v>
          </cell>
          <cell r="BS139" t="str">
            <v>.</v>
          </cell>
          <cell r="BT139" t="str">
            <v>.</v>
          </cell>
          <cell r="BU139" t="str">
            <v>.</v>
          </cell>
          <cell r="BV139" t="str">
            <v>.</v>
          </cell>
          <cell r="BW139" t="str">
            <v>.</v>
          </cell>
          <cell r="BX139" t="str">
            <v>.</v>
          </cell>
          <cell r="BY139" t="str">
            <v>.</v>
          </cell>
          <cell r="BZ139" t="str">
            <v>.</v>
          </cell>
          <cell r="CA139" t="str">
            <v>.</v>
          </cell>
          <cell r="CB139" t="str">
            <v>.</v>
          </cell>
          <cell r="CC139" t="str">
            <v>.</v>
          </cell>
          <cell r="CD139" t="str">
            <v>.</v>
          </cell>
          <cell r="CE139" t="str">
            <v>.</v>
          </cell>
          <cell r="CF139" t="str">
            <v>.</v>
          </cell>
          <cell r="CG139" t="str">
            <v>.</v>
          </cell>
          <cell r="CH139" t="str">
            <v>.</v>
          </cell>
          <cell r="CI139" t="str">
            <v>.</v>
          </cell>
          <cell r="CJ139" t="str">
            <v>.</v>
          </cell>
          <cell r="CK139" t="str">
            <v>.</v>
          </cell>
          <cell r="CL139" t="str">
            <v>.</v>
          </cell>
          <cell r="CM139" t="str">
            <v>.</v>
          </cell>
          <cell r="CN139" t="str">
            <v>.</v>
          </cell>
          <cell r="CO139" t="str">
            <v>.</v>
          </cell>
          <cell r="CP139" t="str">
            <v>.</v>
          </cell>
          <cell r="CQ139" t="str">
            <v>.</v>
          </cell>
          <cell r="CR139" t="str">
            <v>.</v>
          </cell>
          <cell r="CS139" t="str">
            <v>.</v>
          </cell>
          <cell r="CT139" t="str">
            <v>.</v>
          </cell>
          <cell r="CU139" t="str">
            <v>.</v>
          </cell>
          <cell r="CV139" t="str">
            <v>.</v>
          </cell>
          <cell r="CW139" t="str">
            <v>.</v>
          </cell>
          <cell r="DS139" t="str">
            <v>.</v>
          </cell>
          <cell r="DT139" t="str">
            <v>.</v>
          </cell>
          <cell r="DU139" t="str">
            <v>.</v>
          </cell>
          <cell r="DV139" t="str">
            <v>.</v>
          </cell>
          <cell r="DW139" t="str">
            <v>.</v>
          </cell>
          <cell r="DX139" t="str">
            <v>.</v>
          </cell>
          <cell r="DY139" t="str">
            <v>.</v>
          </cell>
          <cell r="DZ139" t="str">
            <v>.</v>
          </cell>
          <cell r="EA139" t="str">
            <v>.</v>
          </cell>
          <cell r="EB139" t="str">
            <v>.</v>
          </cell>
          <cell r="EC139" t="str">
            <v>.</v>
          </cell>
          <cell r="ED139" t="str">
            <v>.</v>
          </cell>
          <cell r="EE139" t="str">
            <v>.</v>
          </cell>
          <cell r="EF139" t="str">
            <v>.</v>
          </cell>
          <cell r="EG139" t="str">
            <v>.</v>
          </cell>
          <cell r="EH139" t="str">
            <v>.</v>
          </cell>
          <cell r="EI139" t="str">
            <v>.</v>
          </cell>
          <cell r="EJ139" t="str">
            <v>.</v>
          </cell>
          <cell r="EK139" t="str">
            <v>.</v>
          </cell>
          <cell r="EL139" t="str">
            <v>.</v>
          </cell>
          <cell r="EM139" t="str">
            <v>.</v>
          </cell>
          <cell r="EN139" t="str">
            <v>.</v>
          </cell>
          <cell r="EO139" t="str">
            <v>.</v>
          </cell>
          <cell r="EP139" t="str">
            <v>.</v>
          </cell>
        </row>
        <row r="140">
          <cell r="A140" t="str">
            <v>WACC</v>
          </cell>
          <cell r="B140">
            <v>8.9950000000000002E-2</v>
          </cell>
        </row>
        <row r="141">
          <cell r="A141" t="str">
            <v>Yr end date</v>
          </cell>
          <cell r="B141">
            <v>40765</v>
          </cell>
          <cell r="D141">
            <v>37256</v>
          </cell>
          <cell r="E141">
            <v>37621</v>
          </cell>
          <cell r="F141">
            <v>37986</v>
          </cell>
          <cell r="G141">
            <v>38352</v>
          </cell>
          <cell r="H141">
            <v>38717</v>
          </cell>
          <cell r="I141">
            <v>39082</v>
          </cell>
          <cell r="J141">
            <v>39447</v>
          </cell>
          <cell r="K141">
            <v>39813</v>
          </cell>
          <cell r="L141">
            <v>40178</v>
          </cell>
          <cell r="M141">
            <v>40543</v>
          </cell>
          <cell r="N141">
            <v>40908</v>
          </cell>
          <cell r="O141">
            <v>41274</v>
          </cell>
          <cell r="P141">
            <v>41639</v>
          </cell>
          <cell r="Q141">
            <v>42004</v>
          </cell>
          <cell r="R141">
            <v>42369</v>
          </cell>
          <cell r="S141">
            <v>42735</v>
          </cell>
          <cell r="T141">
            <v>43100</v>
          </cell>
          <cell r="U141">
            <v>43465</v>
          </cell>
          <cell r="V141">
            <v>43830</v>
          </cell>
          <cell r="W141">
            <v>44196</v>
          </cell>
          <cell r="X141">
            <v>44561</v>
          </cell>
          <cell r="Y141">
            <v>44926</v>
          </cell>
          <cell r="Z141">
            <v>45291</v>
          </cell>
          <cell r="AA141">
            <v>45657</v>
          </cell>
          <cell r="AB141">
            <v>46022</v>
          </cell>
          <cell r="AC141">
            <v>46387</v>
          </cell>
          <cell r="AD141">
            <v>46752</v>
          </cell>
          <cell r="AE141">
            <v>47118</v>
          </cell>
          <cell r="AF141">
            <v>47483</v>
          </cell>
          <cell r="AG141">
            <v>47848</v>
          </cell>
          <cell r="AH141">
            <v>48213</v>
          </cell>
          <cell r="AI141">
            <v>48579</v>
          </cell>
          <cell r="AJ141">
            <v>48944</v>
          </cell>
          <cell r="AK141">
            <v>49309</v>
          </cell>
          <cell r="AL141">
            <v>49674</v>
          </cell>
          <cell r="AP141">
            <v>37072</v>
          </cell>
          <cell r="AQ141">
            <v>37256</v>
          </cell>
          <cell r="AR141">
            <v>37256</v>
          </cell>
          <cell r="AS141">
            <v>37437</v>
          </cell>
          <cell r="AT141">
            <v>37621</v>
          </cell>
          <cell r="AU141">
            <v>37621</v>
          </cell>
          <cell r="AV141">
            <v>37802</v>
          </cell>
          <cell r="AW141">
            <v>37986</v>
          </cell>
          <cell r="AX141">
            <v>37986</v>
          </cell>
          <cell r="AY141">
            <v>38168</v>
          </cell>
          <cell r="AZ141">
            <v>38352</v>
          </cell>
          <cell r="BA141">
            <v>38352</v>
          </cell>
          <cell r="BB141">
            <v>38533</v>
          </cell>
          <cell r="BC141">
            <v>38717</v>
          </cell>
          <cell r="BD141">
            <v>38717</v>
          </cell>
          <cell r="BE141">
            <v>38898</v>
          </cell>
          <cell r="BF141">
            <v>39082</v>
          </cell>
          <cell r="BG141">
            <v>39082</v>
          </cell>
          <cell r="BH141">
            <v>39263</v>
          </cell>
          <cell r="BI141">
            <v>39447</v>
          </cell>
          <cell r="BJ141">
            <v>39447</v>
          </cell>
          <cell r="BK141">
            <v>39629</v>
          </cell>
          <cell r="BL141">
            <v>39813</v>
          </cell>
          <cell r="BM141">
            <v>39813</v>
          </cell>
          <cell r="BN141">
            <v>39994</v>
          </cell>
          <cell r="BO141">
            <v>40178</v>
          </cell>
          <cell r="BP141">
            <v>40178</v>
          </cell>
          <cell r="BQ141">
            <v>40359</v>
          </cell>
          <cell r="BR141">
            <v>40543</v>
          </cell>
          <cell r="BS141">
            <v>40543</v>
          </cell>
          <cell r="BT141">
            <v>40724</v>
          </cell>
          <cell r="BU141">
            <v>40908</v>
          </cell>
          <cell r="BV141">
            <v>40908</v>
          </cell>
          <cell r="BW141">
            <v>41090</v>
          </cell>
          <cell r="BX141">
            <v>41274</v>
          </cell>
          <cell r="BY141">
            <v>41274</v>
          </cell>
          <cell r="BZ141">
            <v>41455</v>
          </cell>
          <cell r="CA141">
            <v>41639</v>
          </cell>
          <cell r="CB141">
            <v>41639</v>
          </cell>
          <cell r="CC141">
            <v>41820</v>
          </cell>
          <cell r="CD141">
            <v>42004</v>
          </cell>
          <cell r="CE141">
            <v>42004</v>
          </cell>
          <cell r="CF141">
            <v>42185</v>
          </cell>
          <cell r="CG141">
            <v>42369</v>
          </cell>
          <cell r="CH141">
            <v>42369</v>
          </cell>
          <cell r="CI141">
            <v>42551</v>
          </cell>
          <cell r="CJ141">
            <v>42735</v>
          </cell>
          <cell r="CK141">
            <v>42735</v>
          </cell>
          <cell r="CL141">
            <v>42916</v>
          </cell>
          <cell r="CM141">
            <v>43100</v>
          </cell>
          <cell r="CN141">
            <v>43100</v>
          </cell>
          <cell r="CO141">
            <v>43281</v>
          </cell>
          <cell r="CP141">
            <v>43465</v>
          </cell>
          <cell r="CQ141">
            <v>43465</v>
          </cell>
          <cell r="CR141">
            <v>43646</v>
          </cell>
          <cell r="CS141">
            <v>43830</v>
          </cell>
          <cell r="CT141">
            <v>43830</v>
          </cell>
          <cell r="CU141">
            <v>44012</v>
          </cell>
          <cell r="CV141">
            <v>44196</v>
          </cell>
          <cell r="CW141">
            <v>44196</v>
          </cell>
          <cell r="CX141">
            <v>44377</v>
          </cell>
          <cell r="CY141">
            <v>44561</v>
          </cell>
          <cell r="CZ141">
            <v>44561</v>
          </cell>
          <cell r="DA141">
            <v>44742</v>
          </cell>
          <cell r="DB141">
            <v>44926</v>
          </cell>
          <cell r="DC141">
            <v>44926</v>
          </cell>
          <cell r="DD141">
            <v>45107</v>
          </cell>
          <cell r="DE141">
            <v>45291</v>
          </cell>
          <cell r="DF141">
            <v>45291</v>
          </cell>
          <cell r="DG141">
            <v>45473</v>
          </cell>
          <cell r="DH141">
            <v>45657</v>
          </cell>
          <cell r="DI141">
            <v>45657</v>
          </cell>
          <cell r="DJ141">
            <v>45838</v>
          </cell>
          <cell r="DK141">
            <v>46022</v>
          </cell>
          <cell r="DL141">
            <v>46022</v>
          </cell>
          <cell r="DM141">
            <v>46203</v>
          </cell>
          <cell r="DN141">
            <v>46387</v>
          </cell>
          <cell r="DO141">
            <v>46387</v>
          </cell>
          <cell r="DP141">
            <v>46568</v>
          </cell>
          <cell r="DQ141">
            <v>46752</v>
          </cell>
          <cell r="DR141">
            <v>46752</v>
          </cell>
          <cell r="DS141">
            <v>46934</v>
          </cell>
          <cell r="DT141">
            <v>47118</v>
          </cell>
          <cell r="DU141">
            <v>47118</v>
          </cell>
          <cell r="DV141">
            <v>47299</v>
          </cell>
          <cell r="DW141">
            <v>47483</v>
          </cell>
          <cell r="DX141">
            <v>47483</v>
          </cell>
          <cell r="DY141">
            <v>47664</v>
          </cell>
          <cell r="DZ141">
            <v>47848</v>
          </cell>
          <cell r="EA141">
            <v>47848</v>
          </cell>
          <cell r="EB141">
            <v>48029</v>
          </cell>
          <cell r="EC141">
            <v>48213</v>
          </cell>
          <cell r="ED141">
            <v>48213</v>
          </cell>
          <cell r="EE141">
            <v>48395</v>
          </cell>
          <cell r="EF141">
            <v>48579</v>
          </cell>
          <cell r="EG141">
            <v>48579</v>
          </cell>
          <cell r="EH141">
            <v>48760</v>
          </cell>
          <cell r="EI141">
            <v>48944</v>
          </cell>
          <cell r="EJ141">
            <v>48944</v>
          </cell>
          <cell r="EK141">
            <v>49125</v>
          </cell>
          <cell r="EL141">
            <v>49309</v>
          </cell>
          <cell r="EM141">
            <v>49309</v>
          </cell>
          <cell r="EN141">
            <v>49490</v>
          </cell>
          <cell r="EO141">
            <v>49674</v>
          </cell>
          <cell r="EP141">
            <v>49674</v>
          </cell>
        </row>
        <row r="142">
          <cell r="A142" t="str">
            <v>Contribution to 12mth rolling NPV</v>
          </cell>
          <cell r="B142" t="str">
            <v>%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0.39178082191780822</v>
          </cell>
          <cell r="O142">
            <v>0.60821917808219172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</row>
        <row r="143">
          <cell r="A143" t="str">
            <v>EBITDA</v>
          </cell>
          <cell r="B143" t="str">
            <v>A$m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119.89999999999996</v>
          </cell>
          <cell r="N143">
            <v>422.92687478067342</v>
          </cell>
          <cell r="O143">
            <v>848.48128230449618</v>
          </cell>
          <cell r="P143">
            <v>1127.5478182411264</v>
          </cell>
          <cell r="Q143">
            <v>1196.1763320108582</v>
          </cell>
          <cell r="R143">
            <v>1103.5767743193446</v>
          </cell>
          <cell r="S143">
            <v>866.14880345155848</v>
          </cell>
          <cell r="T143">
            <v>703.37200822677391</v>
          </cell>
          <cell r="U143">
            <v>703.37200822677391</v>
          </cell>
          <cell r="V143">
            <v>703.37200822677391</v>
          </cell>
          <cell r="W143">
            <v>703.37200822677391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0</v>
          </cell>
          <cell r="BJ143">
            <v>0</v>
          </cell>
          <cell r="BK143">
            <v>0</v>
          </cell>
          <cell r="BL143">
            <v>0</v>
          </cell>
          <cell r="BM143">
            <v>0</v>
          </cell>
          <cell r="BN143">
            <v>0</v>
          </cell>
          <cell r="BO143">
            <v>0</v>
          </cell>
          <cell r="BP143">
            <v>0</v>
          </cell>
          <cell r="BQ143">
            <v>46.199999999999989</v>
          </cell>
          <cell r="BR143">
            <v>73.699999999999974</v>
          </cell>
          <cell r="BS143">
            <v>119.89999999999996</v>
          </cell>
          <cell r="BT143">
            <v>115.3899282303431</v>
          </cell>
          <cell r="BU143">
            <v>307.5369465503303</v>
          </cell>
          <cell r="BV143">
            <v>422.92687478067342</v>
          </cell>
          <cell r="BW143">
            <v>409.94721414202519</v>
          </cell>
          <cell r="BX143">
            <v>438.53406816247087</v>
          </cell>
          <cell r="BY143">
            <v>848.48128230449618</v>
          </cell>
          <cell r="BZ143">
            <v>564.20518327820264</v>
          </cell>
          <cell r="CA143">
            <v>563.34263496292374</v>
          </cell>
          <cell r="CB143">
            <v>1127.5478182411264</v>
          </cell>
          <cell r="CC143">
            <v>598.08816600542912</v>
          </cell>
          <cell r="CD143">
            <v>598.08816600542912</v>
          </cell>
          <cell r="CE143">
            <v>1196.1763320108582</v>
          </cell>
          <cell r="CF143">
            <v>566.1019362749422</v>
          </cell>
          <cell r="CG143">
            <v>537.4748380444023</v>
          </cell>
          <cell r="CH143">
            <v>1103.5767743193446</v>
          </cell>
          <cell r="CI143">
            <v>433.07440172577924</v>
          </cell>
          <cell r="CJ143">
            <v>433.07440172577924</v>
          </cell>
          <cell r="CK143">
            <v>866.14880345155848</v>
          </cell>
          <cell r="CL143">
            <v>351.68600411338696</v>
          </cell>
          <cell r="CM143">
            <v>351.68600411338696</v>
          </cell>
          <cell r="CN143">
            <v>703.37200822677391</v>
          </cell>
          <cell r="CO143">
            <v>351.68600411338696</v>
          </cell>
          <cell r="CP143">
            <v>351.68600411338696</v>
          </cell>
          <cell r="CQ143">
            <v>703.37200822677391</v>
          </cell>
          <cell r="CR143">
            <v>351.68600411338696</v>
          </cell>
          <cell r="CS143">
            <v>351.68600411338696</v>
          </cell>
          <cell r="CT143">
            <v>703.37200822677391</v>
          </cell>
          <cell r="CU143">
            <v>351.68600411338696</v>
          </cell>
          <cell r="CV143">
            <v>351.68600411338696</v>
          </cell>
          <cell r="CW143">
            <v>703.37200822677391</v>
          </cell>
          <cell r="DS143">
            <v>0</v>
          </cell>
          <cell r="DT143">
            <v>0</v>
          </cell>
          <cell r="DU143">
            <v>0</v>
          </cell>
          <cell r="DV143">
            <v>0</v>
          </cell>
          <cell r="DW143">
            <v>0</v>
          </cell>
          <cell r="DX143">
            <v>0</v>
          </cell>
          <cell r="DY143">
            <v>0</v>
          </cell>
          <cell r="DZ143">
            <v>0</v>
          </cell>
          <cell r="EA143">
            <v>0</v>
          </cell>
          <cell r="EB143">
            <v>0</v>
          </cell>
          <cell r="EC143">
            <v>0</v>
          </cell>
          <cell r="ED143">
            <v>0</v>
          </cell>
          <cell r="EE143">
            <v>0</v>
          </cell>
          <cell r="EF143">
            <v>0</v>
          </cell>
          <cell r="EG143">
            <v>0</v>
          </cell>
          <cell r="EH143">
            <v>0</v>
          </cell>
          <cell r="EI143">
            <v>0</v>
          </cell>
          <cell r="EJ143">
            <v>0</v>
          </cell>
          <cell r="EK143">
            <v>0</v>
          </cell>
          <cell r="EL143">
            <v>0</v>
          </cell>
          <cell r="EM143">
            <v>0</v>
          </cell>
          <cell r="EN143">
            <v>0</v>
          </cell>
          <cell r="EO143">
            <v>0</v>
          </cell>
          <cell r="EP143">
            <v>0</v>
          </cell>
        </row>
        <row r="144">
          <cell r="A144" t="str">
            <v>Tax</v>
          </cell>
          <cell r="B144" t="str">
            <v>A$m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10.139999999999992</v>
          </cell>
          <cell r="N144">
            <v>102.87806243420202</v>
          </cell>
          <cell r="O144">
            <v>236.5443846913488</v>
          </cell>
          <cell r="P144">
            <v>320.26434547233794</v>
          </cell>
          <cell r="Q144">
            <v>340.85289960325747</v>
          </cell>
          <cell r="R144">
            <v>313.07303229580333</v>
          </cell>
          <cell r="S144">
            <v>241.84464103546753</v>
          </cell>
          <cell r="T144">
            <v>193.01160246803218</v>
          </cell>
          <cell r="U144">
            <v>193.01160246803218</v>
          </cell>
          <cell r="V144">
            <v>193.01160246803218</v>
          </cell>
          <cell r="W144">
            <v>193.01160246803218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  <cell r="BK144">
            <v>0</v>
          </cell>
          <cell r="BL144">
            <v>0</v>
          </cell>
          <cell r="BM144">
            <v>0</v>
          </cell>
          <cell r="BN144">
            <v>0</v>
          </cell>
          <cell r="BO144">
            <v>0</v>
          </cell>
          <cell r="BP144">
            <v>0</v>
          </cell>
          <cell r="BQ144">
            <v>0.95999999999999652</v>
          </cell>
          <cell r="BR144">
            <v>9.1799999999999944</v>
          </cell>
          <cell r="BS144">
            <v>10.139999999999992</v>
          </cell>
          <cell r="BT144">
            <v>22.616978469102929</v>
          </cell>
          <cell r="BU144">
            <v>80.26108396509909</v>
          </cell>
          <cell r="BV144">
            <v>102.87806243420202</v>
          </cell>
          <cell r="BW144">
            <v>113.98416424260755</v>
          </cell>
          <cell r="BX144">
            <v>122.56022044874126</v>
          </cell>
          <cell r="BY144">
            <v>236.5443846913488</v>
          </cell>
          <cell r="BZ144">
            <v>160.2615549834608</v>
          </cell>
          <cell r="CA144">
            <v>160.00279048887711</v>
          </cell>
          <cell r="CB144">
            <v>320.26434547233794</v>
          </cell>
          <cell r="CC144">
            <v>170.42644980162873</v>
          </cell>
          <cell r="CD144">
            <v>170.42644980162873</v>
          </cell>
          <cell r="CE144">
            <v>340.85289960325747</v>
          </cell>
          <cell r="CF144">
            <v>160.83058088248265</v>
          </cell>
          <cell r="CG144">
            <v>152.24245141332068</v>
          </cell>
          <cell r="CH144">
            <v>313.07303229580333</v>
          </cell>
          <cell r="CI144">
            <v>120.92232051773377</v>
          </cell>
          <cell r="CJ144">
            <v>120.92232051773377</v>
          </cell>
          <cell r="CK144">
            <v>241.84464103546753</v>
          </cell>
          <cell r="CL144">
            <v>96.50580123401609</v>
          </cell>
          <cell r="CM144">
            <v>96.50580123401609</v>
          </cell>
          <cell r="CN144">
            <v>193.01160246803218</v>
          </cell>
          <cell r="CO144">
            <v>96.50580123401609</v>
          </cell>
          <cell r="CP144">
            <v>96.50580123401609</v>
          </cell>
          <cell r="CQ144">
            <v>193.01160246803218</v>
          </cell>
          <cell r="CR144">
            <v>96.50580123401609</v>
          </cell>
          <cell r="CS144">
            <v>96.50580123401609</v>
          </cell>
          <cell r="CT144">
            <v>193.01160246803218</v>
          </cell>
          <cell r="CU144">
            <v>96.50580123401609</v>
          </cell>
          <cell r="CV144">
            <v>96.50580123401609</v>
          </cell>
          <cell r="CW144">
            <v>193.01160246803218</v>
          </cell>
          <cell r="DS144">
            <v>0</v>
          </cell>
          <cell r="DT144">
            <v>0</v>
          </cell>
          <cell r="DU144">
            <v>0</v>
          </cell>
          <cell r="DV144">
            <v>0</v>
          </cell>
          <cell r="DW144">
            <v>0</v>
          </cell>
          <cell r="DX144">
            <v>0</v>
          </cell>
          <cell r="DY144">
            <v>0</v>
          </cell>
          <cell r="DZ144">
            <v>0</v>
          </cell>
          <cell r="EA144">
            <v>0</v>
          </cell>
          <cell r="EB144">
            <v>0</v>
          </cell>
          <cell r="EC144">
            <v>0</v>
          </cell>
          <cell r="ED144">
            <v>0</v>
          </cell>
          <cell r="EE144">
            <v>0</v>
          </cell>
          <cell r="EF144">
            <v>0</v>
          </cell>
          <cell r="EG144">
            <v>0</v>
          </cell>
          <cell r="EH144">
            <v>0</v>
          </cell>
          <cell r="EI144">
            <v>0</v>
          </cell>
          <cell r="EJ144">
            <v>0</v>
          </cell>
          <cell r="EK144">
            <v>0</v>
          </cell>
          <cell r="EL144">
            <v>0</v>
          </cell>
          <cell r="EM144">
            <v>0</v>
          </cell>
          <cell r="EN144">
            <v>0</v>
          </cell>
          <cell r="EO144">
            <v>0</v>
          </cell>
          <cell r="EP144">
            <v>0</v>
          </cell>
        </row>
        <row r="145">
          <cell r="A145" t="str">
            <v>Capex</v>
          </cell>
          <cell r="B145" t="str">
            <v>A$m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20</v>
          </cell>
          <cell r="N145">
            <v>50</v>
          </cell>
          <cell r="O145">
            <v>20</v>
          </cell>
          <cell r="P145">
            <v>20</v>
          </cell>
          <cell r="Q145">
            <v>20</v>
          </cell>
          <cell r="R145">
            <v>20</v>
          </cell>
          <cell r="S145">
            <v>20</v>
          </cell>
          <cell r="T145">
            <v>20</v>
          </cell>
          <cell r="U145">
            <v>20</v>
          </cell>
          <cell r="V145">
            <v>20</v>
          </cell>
          <cell r="W145">
            <v>20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  <cell r="BK145">
            <v>0</v>
          </cell>
          <cell r="BL145">
            <v>0</v>
          </cell>
          <cell r="BM145">
            <v>0</v>
          </cell>
          <cell r="BN145">
            <v>0</v>
          </cell>
          <cell r="BO145">
            <v>0</v>
          </cell>
          <cell r="BP145">
            <v>0</v>
          </cell>
          <cell r="BQ145">
            <v>10</v>
          </cell>
          <cell r="BR145">
            <v>10</v>
          </cell>
          <cell r="BS145">
            <v>20</v>
          </cell>
          <cell r="BT145">
            <v>25</v>
          </cell>
          <cell r="BU145">
            <v>25</v>
          </cell>
          <cell r="BV145">
            <v>50</v>
          </cell>
          <cell r="BW145">
            <v>10</v>
          </cell>
          <cell r="BX145">
            <v>10</v>
          </cell>
          <cell r="BY145">
            <v>20</v>
          </cell>
          <cell r="BZ145">
            <v>10</v>
          </cell>
          <cell r="CA145">
            <v>10</v>
          </cell>
          <cell r="CB145">
            <v>20</v>
          </cell>
          <cell r="CC145">
            <v>10</v>
          </cell>
          <cell r="CD145">
            <v>10</v>
          </cell>
          <cell r="CE145">
            <v>20</v>
          </cell>
          <cell r="CF145">
            <v>10</v>
          </cell>
          <cell r="CG145">
            <v>10</v>
          </cell>
          <cell r="CH145">
            <v>20</v>
          </cell>
          <cell r="CI145">
            <v>10</v>
          </cell>
          <cell r="CJ145">
            <v>10</v>
          </cell>
          <cell r="CK145">
            <v>20</v>
          </cell>
          <cell r="CL145">
            <v>10</v>
          </cell>
          <cell r="CM145">
            <v>10</v>
          </cell>
          <cell r="CN145">
            <v>20</v>
          </cell>
          <cell r="CO145">
            <v>10</v>
          </cell>
          <cell r="CP145">
            <v>10</v>
          </cell>
          <cell r="CQ145">
            <v>20</v>
          </cell>
          <cell r="CR145">
            <v>10</v>
          </cell>
          <cell r="CS145">
            <v>10</v>
          </cell>
          <cell r="CT145">
            <v>20</v>
          </cell>
          <cell r="CU145">
            <v>10</v>
          </cell>
          <cell r="CV145">
            <v>10</v>
          </cell>
          <cell r="CW145">
            <v>20</v>
          </cell>
          <cell r="DS145">
            <v>0</v>
          </cell>
          <cell r="DT145">
            <v>0</v>
          </cell>
          <cell r="DU145">
            <v>0</v>
          </cell>
          <cell r="DV145">
            <v>0</v>
          </cell>
          <cell r="DW145">
            <v>0</v>
          </cell>
          <cell r="DX145">
            <v>0</v>
          </cell>
          <cell r="DY145">
            <v>0</v>
          </cell>
          <cell r="DZ145">
            <v>0</v>
          </cell>
          <cell r="EA145">
            <v>0</v>
          </cell>
          <cell r="EB145">
            <v>0</v>
          </cell>
          <cell r="EC145">
            <v>0</v>
          </cell>
          <cell r="ED145">
            <v>0</v>
          </cell>
          <cell r="EE145">
            <v>0</v>
          </cell>
          <cell r="EF145">
            <v>0</v>
          </cell>
          <cell r="EG145">
            <v>0</v>
          </cell>
          <cell r="EH145">
            <v>0</v>
          </cell>
          <cell r="EI145">
            <v>0</v>
          </cell>
          <cell r="EJ145">
            <v>0</v>
          </cell>
          <cell r="EK145">
            <v>0</v>
          </cell>
          <cell r="EL145">
            <v>0</v>
          </cell>
          <cell r="EM145">
            <v>0</v>
          </cell>
          <cell r="EN145">
            <v>0</v>
          </cell>
          <cell r="EO145">
            <v>0</v>
          </cell>
          <cell r="EP145">
            <v>0</v>
          </cell>
        </row>
        <row r="146">
          <cell r="A146" t="str">
            <v>Cash Flow</v>
          </cell>
          <cell r="B146" t="str">
            <v>A$m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89.759999999999977</v>
          </cell>
          <cell r="N146">
            <v>270.04881234647138</v>
          </cell>
          <cell r="O146">
            <v>591.93689761314738</v>
          </cell>
          <cell r="P146">
            <v>787.28347276878844</v>
          </cell>
          <cell r="Q146">
            <v>835.32343240760076</v>
          </cell>
          <cell r="R146">
            <v>770.50374202354124</v>
          </cell>
          <cell r="S146">
            <v>604.304162416091</v>
          </cell>
          <cell r="T146">
            <v>490.36040575874176</v>
          </cell>
          <cell r="U146">
            <v>490.36040575874176</v>
          </cell>
          <cell r="V146">
            <v>490.36040575874176</v>
          </cell>
          <cell r="W146">
            <v>490.36040575874176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  <cell r="BK146">
            <v>0</v>
          </cell>
          <cell r="BL146">
            <v>0</v>
          </cell>
          <cell r="BM146">
            <v>0</v>
          </cell>
          <cell r="BN146">
            <v>0</v>
          </cell>
          <cell r="BO146">
            <v>0</v>
          </cell>
          <cell r="BP146">
            <v>0</v>
          </cell>
          <cell r="BQ146">
            <v>35.239999999999995</v>
          </cell>
          <cell r="BR146">
            <v>54.519999999999982</v>
          </cell>
          <cell r="BS146">
            <v>89.759999999999977</v>
          </cell>
          <cell r="BT146">
            <v>67.77294976124017</v>
          </cell>
          <cell r="BU146">
            <v>202.27586258523121</v>
          </cell>
          <cell r="BV146">
            <v>270.04881234647138</v>
          </cell>
          <cell r="BW146">
            <v>285.96304989941763</v>
          </cell>
          <cell r="BX146">
            <v>305.97384771372958</v>
          </cell>
          <cell r="BY146">
            <v>591.93689761314738</v>
          </cell>
          <cell r="BZ146">
            <v>393.94362829474187</v>
          </cell>
          <cell r="CA146">
            <v>393.33984447404663</v>
          </cell>
          <cell r="CB146">
            <v>787.28347276878844</v>
          </cell>
          <cell r="CC146">
            <v>417.66171620380038</v>
          </cell>
          <cell r="CD146">
            <v>417.66171620380038</v>
          </cell>
          <cell r="CE146">
            <v>835.32343240760076</v>
          </cell>
          <cell r="CF146">
            <v>395.27135539245955</v>
          </cell>
          <cell r="CG146">
            <v>375.23238663108162</v>
          </cell>
          <cell r="CH146">
            <v>770.50374202354124</v>
          </cell>
          <cell r="CI146">
            <v>302.1520812080455</v>
          </cell>
          <cell r="CJ146">
            <v>302.1520812080455</v>
          </cell>
          <cell r="CK146">
            <v>604.304162416091</v>
          </cell>
          <cell r="CL146">
            <v>245.18020287937088</v>
          </cell>
          <cell r="CM146">
            <v>245.18020287937088</v>
          </cell>
          <cell r="CN146">
            <v>490.36040575874176</v>
          </cell>
          <cell r="CO146">
            <v>245.18020287937088</v>
          </cell>
          <cell r="CP146">
            <v>245.18020287937088</v>
          </cell>
          <cell r="CQ146">
            <v>490.36040575874176</v>
          </cell>
          <cell r="CR146">
            <v>245.18020287937088</v>
          </cell>
          <cell r="CS146">
            <v>245.18020287937088</v>
          </cell>
          <cell r="CT146">
            <v>490.36040575874176</v>
          </cell>
          <cell r="CU146">
            <v>245.18020287937088</v>
          </cell>
          <cell r="CV146">
            <v>245.18020287937088</v>
          </cell>
          <cell r="CW146">
            <v>490.36040575874176</v>
          </cell>
          <cell r="DS146">
            <v>0</v>
          </cell>
          <cell r="DT146">
            <v>0</v>
          </cell>
          <cell r="DU146">
            <v>0</v>
          </cell>
          <cell r="DV146">
            <v>0</v>
          </cell>
          <cell r="DW146">
            <v>0</v>
          </cell>
          <cell r="DX146">
            <v>0</v>
          </cell>
          <cell r="DY146">
            <v>0</v>
          </cell>
          <cell r="DZ146">
            <v>0</v>
          </cell>
          <cell r="EA146">
            <v>0</v>
          </cell>
          <cell r="EB146">
            <v>0</v>
          </cell>
          <cell r="EC146">
            <v>0</v>
          </cell>
          <cell r="ED146">
            <v>0</v>
          </cell>
          <cell r="EE146">
            <v>0</v>
          </cell>
          <cell r="EF146">
            <v>0</v>
          </cell>
          <cell r="EG146">
            <v>0</v>
          </cell>
          <cell r="EH146">
            <v>0</v>
          </cell>
          <cell r="EI146">
            <v>0</v>
          </cell>
          <cell r="EJ146">
            <v>0</v>
          </cell>
          <cell r="EK146">
            <v>0</v>
          </cell>
          <cell r="EL146">
            <v>0</v>
          </cell>
          <cell r="EM146">
            <v>0</v>
          </cell>
          <cell r="EN146">
            <v>0</v>
          </cell>
          <cell r="EO146">
            <v>0</v>
          </cell>
          <cell r="EP146">
            <v>0</v>
          </cell>
        </row>
        <row r="148">
          <cell r="A148" t="str">
            <v>NPV</v>
          </cell>
          <cell r="B148" t="str">
            <v>A$m</v>
          </cell>
          <cell r="D148">
            <v>1624.7465895566954</v>
          </cell>
          <cell r="E148">
            <v>1770.89254528732</v>
          </cell>
          <cell r="F148">
            <v>1930.1843297359144</v>
          </cell>
          <cell r="G148">
            <v>2103.8044101956602</v>
          </cell>
          <cell r="H148">
            <v>2293.0416168927595</v>
          </cell>
          <cell r="I148">
            <v>2499.3007103322639</v>
          </cell>
          <cell r="J148">
            <v>2724.1128092266508</v>
          </cell>
          <cell r="K148">
            <v>2969.1467564165882</v>
          </cell>
          <cell r="L148">
            <v>3236.22150715626</v>
          </cell>
          <cell r="M148">
            <v>3527.3196317249653</v>
          </cell>
          <cell r="N148">
            <v>3754.8420325986262</v>
          </cell>
          <cell r="O148">
            <v>3822.5412610844005</v>
          </cell>
          <cell r="P148">
            <v>3574.4419499057954</v>
          </cell>
          <cell r="Q148">
            <v>3108.6795305310334</v>
          </cell>
          <cell r="R148">
            <v>2552.9818218946984</v>
          </cell>
          <cell r="S148">
            <v>2012.118794750585</v>
          </cell>
          <cell r="T148">
            <v>1588.8047179223092</v>
          </cell>
          <cell r="U148">
            <v>1241.357296540679</v>
          </cell>
          <cell r="V148">
            <v>862.65697960577131</v>
          </cell>
          <cell r="W148">
            <v>449.89256916256869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</row>
        <row r="149">
          <cell r="A149" t="str">
            <v>Residual</v>
          </cell>
          <cell r="B149" t="str">
            <v>A$m</v>
          </cell>
        </row>
        <row r="150">
          <cell r="A150" t="str">
            <v>12mth rolling NPV, A$M</v>
          </cell>
          <cell r="B150">
            <v>3796.018001705042</v>
          </cell>
        </row>
        <row r="151">
          <cell r="A151" t="str">
            <v>12mth rolling NPV, A$/sh</v>
          </cell>
          <cell r="B151">
            <v>9.1075174978850661</v>
          </cell>
        </row>
        <row r="153">
          <cell r="A153" t="str">
            <v>Carbon</v>
          </cell>
          <cell r="B153" t="str">
            <v>.</v>
          </cell>
          <cell r="C153" t="str">
            <v>.</v>
          </cell>
          <cell r="D153" t="str">
            <v>.</v>
          </cell>
          <cell r="E153" t="str">
            <v>.</v>
          </cell>
          <cell r="F153" t="str">
            <v>.</v>
          </cell>
          <cell r="G153" t="str">
            <v>.</v>
          </cell>
          <cell r="H153" t="str">
            <v>.</v>
          </cell>
          <cell r="I153" t="str">
            <v>.</v>
          </cell>
          <cell r="J153" t="str">
            <v>.</v>
          </cell>
          <cell r="K153" t="str">
            <v>.</v>
          </cell>
          <cell r="L153" t="str">
            <v>.</v>
          </cell>
          <cell r="M153" t="str">
            <v>.</v>
          </cell>
          <cell r="N153" t="str">
            <v>.</v>
          </cell>
          <cell r="O153" t="str">
            <v>.</v>
          </cell>
          <cell r="P153" t="str">
            <v>.</v>
          </cell>
          <cell r="Q153" t="str">
            <v>.</v>
          </cell>
          <cell r="R153" t="str">
            <v>.</v>
          </cell>
          <cell r="S153" t="str">
            <v>.</v>
          </cell>
          <cell r="T153" t="str">
            <v>.</v>
          </cell>
          <cell r="U153" t="str">
            <v>.</v>
          </cell>
          <cell r="V153" t="str">
            <v>.</v>
          </cell>
          <cell r="W153" t="str">
            <v>.</v>
          </cell>
          <cell r="X153" t="str">
            <v>.</v>
          </cell>
          <cell r="Y153" t="str">
            <v>.</v>
          </cell>
          <cell r="Z153" t="str">
            <v>.</v>
          </cell>
          <cell r="AA153" t="str">
            <v>.</v>
          </cell>
          <cell r="AB153" t="str">
            <v>.</v>
          </cell>
          <cell r="AC153" t="str">
            <v>.</v>
          </cell>
          <cell r="AD153" t="str">
            <v>.</v>
          </cell>
          <cell r="AE153" t="str">
            <v>.</v>
          </cell>
          <cell r="AF153" t="str">
            <v>.</v>
          </cell>
          <cell r="AG153" t="str">
            <v>.</v>
          </cell>
          <cell r="AH153" t="str">
            <v>.</v>
          </cell>
          <cell r="AI153" t="str">
            <v>.</v>
          </cell>
          <cell r="AJ153" t="str">
            <v>.</v>
          </cell>
          <cell r="AK153" t="str">
            <v>.</v>
          </cell>
          <cell r="AL153" t="str">
            <v>.</v>
          </cell>
          <cell r="AM153" t="str">
            <v>.</v>
          </cell>
          <cell r="AN153" t="str">
            <v>.</v>
          </cell>
          <cell r="AO153" t="str">
            <v>.</v>
          </cell>
          <cell r="AP153" t="str">
            <v>.</v>
          </cell>
          <cell r="AQ153" t="str">
            <v>.</v>
          </cell>
          <cell r="AR153" t="str">
            <v>.</v>
          </cell>
          <cell r="AS153" t="str">
            <v>.</v>
          </cell>
          <cell r="AT153" t="str">
            <v>.</v>
          </cell>
          <cell r="AU153" t="str">
            <v>.</v>
          </cell>
          <cell r="AV153" t="str">
            <v>.</v>
          </cell>
          <cell r="AW153" t="str">
            <v>.</v>
          </cell>
          <cell r="AX153" t="str">
            <v>.</v>
          </cell>
          <cell r="AY153" t="str">
            <v>.</v>
          </cell>
          <cell r="AZ153" t="str">
            <v>.</v>
          </cell>
          <cell r="BA153" t="str">
            <v>.</v>
          </cell>
          <cell r="BB153" t="str">
            <v>.</v>
          </cell>
          <cell r="BC153" t="str">
            <v>.</v>
          </cell>
          <cell r="BD153" t="str">
            <v>.</v>
          </cell>
          <cell r="BE153" t="str">
            <v>.</v>
          </cell>
          <cell r="BF153" t="str">
            <v>.</v>
          </cell>
          <cell r="BG153" t="str">
            <v>.</v>
          </cell>
          <cell r="BH153" t="str">
            <v>.</v>
          </cell>
          <cell r="BI153" t="str">
            <v>.</v>
          </cell>
          <cell r="BJ153" t="str">
            <v>.</v>
          </cell>
          <cell r="BK153" t="str">
            <v>.</v>
          </cell>
          <cell r="BL153" t="str">
            <v>.</v>
          </cell>
          <cell r="BM153" t="str">
            <v>.</v>
          </cell>
          <cell r="BN153" t="str">
            <v>.</v>
          </cell>
          <cell r="BO153" t="str">
            <v>.</v>
          </cell>
          <cell r="BP153" t="str">
            <v>.</v>
          </cell>
          <cell r="BQ153" t="str">
            <v>.</v>
          </cell>
          <cell r="BR153" t="str">
            <v>.</v>
          </cell>
          <cell r="BS153" t="str">
            <v>.</v>
          </cell>
          <cell r="BT153" t="str">
            <v>.</v>
          </cell>
          <cell r="BU153" t="str">
            <v>.</v>
          </cell>
          <cell r="BV153" t="str">
            <v>.</v>
          </cell>
          <cell r="BW153" t="str">
            <v>.</v>
          </cell>
          <cell r="BX153" t="str">
            <v>.</v>
          </cell>
          <cell r="BY153" t="str">
            <v>.</v>
          </cell>
          <cell r="BZ153" t="str">
            <v>.</v>
          </cell>
          <cell r="CA153" t="str">
            <v>.</v>
          </cell>
          <cell r="CB153" t="str">
            <v>.</v>
          </cell>
          <cell r="CC153" t="str">
            <v>.</v>
          </cell>
          <cell r="CD153" t="str">
            <v>.</v>
          </cell>
          <cell r="CE153" t="str">
            <v>.</v>
          </cell>
          <cell r="CF153" t="str">
            <v>.</v>
          </cell>
          <cell r="CG153" t="str">
            <v>.</v>
          </cell>
          <cell r="CH153" t="str">
            <v>.</v>
          </cell>
          <cell r="CI153" t="str">
            <v>.</v>
          </cell>
          <cell r="CJ153" t="str">
            <v>.</v>
          </cell>
          <cell r="CK153" t="str">
            <v>.</v>
          </cell>
          <cell r="CL153" t="str">
            <v>.</v>
          </cell>
          <cell r="CM153" t="str">
            <v>.</v>
          </cell>
          <cell r="CN153" t="str">
            <v>.</v>
          </cell>
          <cell r="CO153" t="str">
            <v>.</v>
          </cell>
          <cell r="CP153" t="str">
            <v>.</v>
          </cell>
          <cell r="CQ153" t="str">
            <v>.</v>
          </cell>
          <cell r="CR153" t="str">
            <v>.</v>
          </cell>
          <cell r="CS153" t="str">
            <v>.</v>
          </cell>
          <cell r="CT153" t="str">
            <v>.</v>
          </cell>
          <cell r="CU153" t="str">
            <v>.</v>
          </cell>
          <cell r="CV153" t="str">
            <v>.</v>
          </cell>
          <cell r="CW153" t="str">
            <v>.</v>
          </cell>
          <cell r="DS153" t="str">
            <v>.</v>
          </cell>
          <cell r="DT153" t="str">
            <v>.</v>
          </cell>
          <cell r="DU153" t="str">
            <v>.</v>
          </cell>
          <cell r="DV153" t="str">
            <v>.</v>
          </cell>
          <cell r="DW153" t="str">
            <v>.</v>
          </cell>
          <cell r="DX153" t="str">
            <v>.</v>
          </cell>
          <cell r="DY153" t="str">
            <v>.</v>
          </cell>
          <cell r="DZ153" t="str">
            <v>.</v>
          </cell>
          <cell r="EA153" t="str">
            <v>.</v>
          </cell>
          <cell r="EB153" t="str">
            <v>.</v>
          </cell>
          <cell r="EC153" t="str">
            <v>.</v>
          </cell>
          <cell r="ED153" t="str">
            <v>.</v>
          </cell>
          <cell r="EE153" t="str">
            <v>.</v>
          </cell>
          <cell r="EF153" t="str">
            <v>.</v>
          </cell>
          <cell r="EG153" t="str">
            <v>.</v>
          </cell>
          <cell r="EH153" t="str">
            <v>.</v>
          </cell>
          <cell r="EI153" t="str">
            <v>.</v>
          </cell>
          <cell r="EJ153" t="str">
            <v>.</v>
          </cell>
          <cell r="EK153" t="str">
            <v>.</v>
          </cell>
          <cell r="EL153" t="str">
            <v>.</v>
          </cell>
          <cell r="EM153" t="str">
            <v>.</v>
          </cell>
          <cell r="EN153" t="str">
            <v>.</v>
          </cell>
          <cell r="EO153" t="str">
            <v>.</v>
          </cell>
          <cell r="EP153" t="str">
            <v>.</v>
          </cell>
        </row>
        <row r="155">
          <cell r="A155" t="str">
            <v>CO2 Price - Base</v>
          </cell>
          <cell r="B155" t="str">
            <v>A$/t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23</v>
          </cell>
          <cell r="P155">
            <v>24.15</v>
          </cell>
          <cell r="Q155">
            <v>25.4</v>
          </cell>
          <cell r="R155">
            <v>40</v>
          </cell>
          <cell r="S155">
            <v>40</v>
          </cell>
          <cell r="T155">
            <v>40</v>
          </cell>
          <cell r="U155">
            <v>40</v>
          </cell>
          <cell r="V155">
            <v>40</v>
          </cell>
          <cell r="W155">
            <v>40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BW155">
            <v>23</v>
          </cell>
          <cell r="BX155">
            <v>23</v>
          </cell>
          <cell r="BY155">
            <v>23</v>
          </cell>
          <cell r="BZ155">
            <v>24.15</v>
          </cell>
          <cell r="CA155">
            <v>24.15</v>
          </cell>
          <cell r="CB155">
            <v>24.15</v>
          </cell>
          <cell r="CC155">
            <v>25.4</v>
          </cell>
          <cell r="CD155">
            <v>25.4</v>
          </cell>
          <cell r="CE155">
            <v>25.4</v>
          </cell>
          <cell r="CF155">
            <v>40</v>
          </cell>
          <cell r="CG155">
            <v>40</v>
          </cell>
          <cell r="CH155">
            <v>40</v>
          </cell>
          <cell r="CI155">
            <v>40</v>
          </cell>
          <cell r="CJ155">
            <v>40</v>
          </cell>
          <cell r="CK155">
            <v>40</v>
          </cell>
          <cell r="CL155">
            <v>40</v>
          </cell>
          <cell r="CM155">
            <v>40</v>
          </cell>
          <cell r="CN155">
            <v>40</v>
          </cell>
          <cell r="CO155">
            <v>40</v>
          </cell>
          <cell r="CP155">
            <v>40</v>
          </cell>
          <cell r="CQ155">
            <v>40</v>
          </cell>
          <cell r="CR155">
            <v>40</v>
          </cell>
          <cell r="CS155">
            <v>40</v>
          </cell>
          <cell r="CT155">
            <v>40</v>
          </cell>
          <cell r="CU155">
            <v>40</v>
          </cell>
          <cell r="CV155">
            <v>40</v>
          </cell>
          <cell r="CW155">
            <v>40</v>
          </cell>
        </row>
        <row r="156">
          <cell r="A156" t="str">
            <v>CO2 Price - Bull</v>
          </cell>
          <cell r="BW156">
            <v>23</v>
          </cell>
          <cell r="BX156">
            <v>23</v>
          </cell>
          <cell r="BY156">
            <v>23</v>
          </cell>
          <cell r="BZ156">
            <v>24.15</v>
          </cell>
          <cell r="CA156">
            <v>24.15</v>
          </cell>
          <cell r="CB156">
            <v>24.15</v>
          </cell>
          <cell r="CC156">
            <v>25.4</v>
          </cell>
          <cell r="CD156">
            <v>25.4</v>
          </cell>
          <cell r="CE156">
            <v>25.4</v>
          </cell>
          <cell r="CF156">
            <v>15</v>
          </cell>
          <cell r="CG156">
            <v>15</v>
          </cell>
          <cell r="CH156">
            <v>15</v>
          </cell>
          <cell r="CI156">
            <v>15</v>
          </cell>
          <cell r="CJ156">
            <v>15</v>
          </cell>
          <cell r="CK156">
            <v>15</v>
          </cell>
          <cell r="CL156">
            <v>15</v>
          </cell>
          <cell r="CM156">
            <v>15</v>
          </cell>
          <cell r="CN156">
            <v>15</v>
          </cell>
          <cell r="CO156">
            <v>15</v>
          </cell>
          <cell r="CP156">
            <v>15</v>
          </cell>
          <cell r="CQ156">
            <v>15</v>
          </cell>
          <cell r="CR156">
            <v>15</v>
          </cell>
          <cell r="CS156">
            <v>15</v>
          </cell>
          <cell r="CT156">
            <v>15</v>
          </cell>
          <cell r="CU156">
            <v>15</v>
          </cell>
          <cell r="CV156">
            <v>15</v>
          </cell>
          <cell r="CW156">
            <v>15</v>
          </cell>
        </row>
        <row r="157">
          <cell r="A157" t="str">
            <v>CO2 Price - Bear</v>
          </cell>
          <cell r="BW157">
            <v>23</v>
          </cell>
          <cell r="BX157">
            <v>23</v>
          </cell>
          <cell r="BY157">
            <v>23</v>
          </cell>
          <cell r="BZ157">
            <v>24.15</v>
          </cell>
          <cell r="CA157">
            <v>24.15</v>
          </cell>
          <cell r="CB157">
            <v>24.15</v>
          </cell>
          <cell r="CC157">
            <v>25.4</v>
          </cell>
          <cell r="CD157">
            <v>25.4</v>
          </cell>
          <cell r="CE157">
            <v>25.4</v>
          </cell>
          <cell r="CF157">
            <v>60</v>
          </cell>
          <cell r="CG157">
            <v>60</v>
          </cell>
          <cell r="CH157">
            <v>60</v>
          </cell>
          <cell r="CI157">
            <v>60</v>
          </cell>
          <cell r="CJ157">
            <v>60</v>
          </cell>
          <cell r="CK157">
            <v>60</v>
          </cell>
          <cell r="CL157">
            <v>60</v>
          </cell>
          <cell r="CM157">
            <v>60</v>
          </cell>
          <cell r="CN157">
            <v>60</v>
          </cell>
          <cell r="CO157">
            <v>60</v>
          </cell>
          <cell r="CP157">
            <v>60</v>
          </cell>
          <cell r="CQ157">
            <v>60</v>
          </cell>
          <cell r="CR157">
            <v>60</v>
          </cell>
          <cell r="CS157">
            <v>60</v>
          </cell>
          <cell r="CT157">
            <v>60</v>
          </cell>
          <cell r="CU157">
            <v>60</v>
          </cell>
          <cell r="CV157">
            <v>60</v>
          </cell>
          <cell r="CW157">
            <v>60</v>
          </cell>
        </row>
        <row r="158">
          <cell r="A158" t="str">
            <v>Pass through of Scope 1 to Scope 2</v>
          </cell>
          <cell r="B158" t="str">
            <v>%</v>
          </cell>
          <cell r="M158">
            <v>0</v>
          </cell>
          <cell r="N158">
            <v>0</v>
          </cell>
          <cell r="O158">
            <v>1</v>
          </cell>
          <cell r="P158">
            <v>1</v>
          </cell>
          <cell r="Q158">
            <v>1</v>
          </cell>
          <cell r="R158">
            <v>1</v>
          </cell>
          <cell r="S158">
            <v>1</v>
          </cell>
          <cell r="T158">
            <v>1</v>
          </cell>
          <cell r="U158">
            <v>1</v>
          </cell>
          <cell r="V158">
            <v>1</v>
          </cell>
          <cell r="W158">
            <v>1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BW158">
            <v>1</v>
          </cell>
          <cell r="BX158">
            <v>1</v>
          </cell>
          <cell r="BY158">
            <v>1</v>
          </cell>
          <cell r="BZ158">
            <v>1</v>
          </cell>
          <cell r="CA158">
            <v>1</v>
          </cell>
          <cell r="CB158">
            <v>1</v>
          </cell>
          <cell r="CC158">
            <v>1</v>
          </cell>
          <cell r="CD158">
            <v>1</v>
          </cell>
          <cell r="CE158">
            <v>1</v>
          </cell>
          <cell r="CF158">
            <v>1</v>
          </cell>
          <cell r="CG158">
            <v>1</v>
          </cell>
          <cell r="CH158">
            <v>1</v>
          </cell>
          <cell r="CI158">
            <v>1</v>
          </cell>
          <cell r="CJ158">
            <v>1</v>
          </cell>
          <cell r="CK158">
            <v>1</v>
          </cell>
          <cell r="CL158">
            <v>1</v>
          </cell>
          <cell r="CM158">
            <v>1</v>
          </cell>
          <cell r="CN158">
            <v>1</v>
          </cell>
          <cell r="CO158">
            <v>1</v>
          </cell>
          <cell r="CP158">
            <v>1</v>
          </cell>
          <cell r="CQ158">
            <v>1</v>
          </cell>
          <cell r="CR158">
            <v>1</v>
          </cell>
          <cell r="CS158">
            <v>1</v>
          </cell>
          <cell r="CT158">
            <v>1</v>
          </cell>
          <cell r="CU158">
            <v>1</v>
          </cell>
          <cell r="CV158">
            <v>1</v>
          </cell>
          <cell r="CW158">
            <v>1</v>
          </cell>
        </row>
        <row r="159">
          <cell r="A159" t="str">
            <v>CO2 Price - Scope 2 Base</v>
          </cell>
          <cell r="B159" t="str">
            <v>A$/t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23</v>
          </cell>
          <cell r="P159">
            <v>24.15</v>
          </cell>
          <cell r="Q159">
            <v>25.4</v>
          </cell>
          <cell r="R159">
            <v>40</v>
          </cell>
          <cell r="S159">
            <v>40</v>
          </cell>
          <cell r="T159">
            <v>40</v>
          </cell>
          <cell r="U159">
            <v>40</v>
          </cell>
          <cell r="V159">
            <v>40</v>
          </cell>
          <cell r="W159">
            <v>40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BW159">
            <v>23</v>
          </cell>
          <cell r="BX159">
            <v>23</v>
          </cell>
          <cell r="BY159">
            <v>23</v>
          </cell>
          <cell r="BZ159">
            <v>24.15</v>
          </cell>
          <cell r="CA159">
            <v>24.15</v>
          </cell>
          <cell r="CB159">
            <v>24.15</v>
          </cell>
          <cell r="CC159">
            <v>25.4</v>
          </cell>
          <cell r="CD159">
            <v>25.4</v>
          </cell>
          <cell r="CE159">
            <v>25.4</v>
          </cell>
          <cell r="CF159">
            <v>40</v>
          </cell>
          <cell r="CG159">
            <v>40</v>
          </cell>
          <cell r="CH159">
            <v>40</v>
          </cell>
          <cell r="CI159">
            <v>40</v>
          </cell>
          <cell r="CJ159">
            <v>40</v>
          </cell>
          <cell r="CK159">
            <v>40</v>
          </cell>
          <cell r="CL159">
            <v>40</v>
          </cell>
          <cell r="CM159">
            <v>40</v>
          </cell>
          <cell r="CN159">
            <v>40</v>
          </cell>
          <cell r="CO159">
            <v>40</v>
          </cell>
          <cell r="CP159">
            <v>40</v>
          </cell>
          <cell r="CQ159">
            <v>40</v>
          </cell>
          <cell r="CR159">
            <v>40</v>
          </cell>
          <cell r="CS159">
            <v>40</v>
          </cell>
          <cell r="CT159">
            <v>40</v>
          </cell>
          <cell r="CU159">
            <v>40</v>
          </cell>
          <cell r="CV159">
            <v>40</v>
          </cell>
          <cell r="CW159">
            <v>40</v>
          </cell>
        </row>
        <row r="160">
          <cell r="A160" t="str">
            <v>CO2 Price - Scope 2 Bull</v>
          </cell>
          <cell r="B160" t="str">
            <v>A$/t</v>
          </cell>
          <cell r="BW160">
            <v>23</v>
          </cell>
          <cell r="BX160">
            <v>23</v>
          </cell>
          <cell r="BY160">
            <v>23</v>
          </cell>
          <cell r="BZ160">
            <v>24.15</v>
          </cell>
          <cell r="CA160">
            <v>24.15</v>
          </cell>
          <cell r="CB160">
            <v>24.15</v>
          </cell>
          <cell r="CC160">
            <v>25.4</v>
          </cell>
          <cell r="CD160">
            <v>25.4</v>
          </cell>
          <cell r="CE160">
            <v>25.4</v>
          </cell>
          <cell r="CF160">
            <v>15</v>
          </cell>
          <cell r="CG160">
            <v>15</v>
          </cell>
          <cell r="CH160">
            <v>15</v>
          </cell>
          <cell r="CI160">
            <v>15</v>
          </cell>
          <cell r="CJ160">
            <v>15</v>
          </cell>
          <cell r="CK160">
            <v>15</v>
          </cell>
          <cell r="CL160">
            <v>15</v>
          </cell>
          <cell r="CM160">
            <v>15</v>
          </cell>
          <cell r="CN160">
            <v>15</v>
          </cell>
          <cell r="CO160">
            <v>15</v>
          </cell>
          <cell r="CP160">
            <v>15</v>
          </cell>
          <cell r="CQ160">
            <v>15</v>
          </cell>
          <cell r="CR160">
            <v>15</v>
          </cell>
          <cell r="CS160">
            <v>15</v>
          </cell>
          <cell r="CT160">
            <v>15</v>
          </cell>
          <cell r="CU160">
            <v>15</v>
          </cell>
          <cell r="CV160">
            <v>15</v>
          </cell>
          <cell r="CW160">
            <v>15</v>
          </cell>
        </row>
        <row r="161">
          <cell r="A161" t="str">
            <v>CO2 Price - Scope 2 Bear</v>
          </cell>
          <cell r="B161" t="str">
            <v>A$/t</v>
          </cell>
          <cell r="BW161">
            <v>23</v>
          </cell>
          <cell r="BX161">
            <v>23</v>
          </cell>
          <cell r="BY161">
            <v>23</v>
          </cell>
          <cell r="BZ161">
            <v>24.15</v>
          </cell>
          <cell r="CA161">
            <v>24.15</v>
          </cell>
          <cell r="CB161">
            <v>24.15</v>
          </cell>
          <cell r="CC161">
            <v>25.4</v>
          </cell>
          <cell r="CD161">
            <v>25.4</v>
          </cell>
          <cell r="CE161">
            <v>25.4</v>
          </cell>
          <cell r="CF161">
            <v>60</v>
          </cell>
          <cell r="CG161">
            <v>60</v>
          </cell>
          <cell r="CH161">
            <v>60</v>
          </cell>
          <cell r="CI161">
            <v>60</v>
          </cell>
          <cell r="CJ161">
            <v>60</v>
          </cell>
          <cell r="CK161">
            <v>60</v>
          </cell>
          <cell r="CL161">
            <v>60</v>
          </cell>
          <cell r="CM161">
            <v>60</v>
          </cell>
          <cell r="CN161">
            <v>60</v>
          </cell>
          <cell r="CO161">
            <v>60</v>
          </cell>
          <cell r="CP161">
            <v>60</v>
          </cell>
          <cell r="CQ161">
            <v>60</v>
          </cell>
          <cell r="CR161">
            <v>60</v>
          </cell>
          <cell r="CS161">
            <v>60</v>
          </cell>
          <cell r="CT161">
            <v>60</v>
          </cell>
          <cell r="CU161">
            <v>60</v>
          </cell>
          <cell r="CV161">
            <v>60</v>
          </cell>
          <cell r="CW161">
            <v>60</v>
          </cell>
        </row>
        <row r="163">
          <cell r="A163" t="str">
            <v>SCOPE 1</v>
          </cell>
        </row>
        <row r="164">
          <cell r="A164" t="str">
            <v>Output</v>
          </cell>
          <cell r="B164" t="str">
            <v>kt</v>
          </cell>
          <cell r="J164">
            <v>0</v>
          </cell>
          <cell r="K164">
            <v>0</v>
          </cell>
          <cell r="L164">
            <v>0</v>
          </cell>
          <cell r="M164">
            <v>757</v>
          </cell>
          <cell r="N164">
            <v>857.63215589831589</v>
          </cell>
          <cell r="O164">
            <v>1088.3284654601325</v>
          </cell>
          <cell r="P164">
            <v>1088.3284654601325</v>
          </cell>
          <cell r="Q164">
            <v>1088.3284654601325</v>
          </cell>
          <cell r="R164">
            <v>1001.1613120061459</v>
          </cell>
          <cell r="S164">
            <v>956.16131200614586</v>
          </cell>
          <cell r="T164">
            <v>956.16131200614586</v>
          </cell>
          <cell r="U164">
            <v>956.16131200614586</v>
          </cell>
          <cell r="V164">
            <v>956.16131200614586</v>
          </cell>
          <cell r="W164">
            <v>956.16131200614586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BQ164">
            <v>374</v>
          </cell>
          <cell r="BR164">
            <v>383</v>
          </cell>
          <cell r="BS164">
            <v>757</v>
          </cell>
          <cell r="BT164">
            <v>405</v>
          </cell>
          <cell r="BU164">
            <v>452.63215589831589</v>
          </cell>
          <cell r="BV164">
            <v>857.63215589831589</v>
          </cell>
          <cell r="BW164">
            <v>544.16423273006626</v>
          </cell>
          <cell r="BX164">
            <v>544.16423273006626</v>
          </cell>
          <cell r="BY164">
            <v>1088.3284654601325</v>
          </cell>
          <cell r="BZ164">
            <v>544.16423273006626</v>
          </cell>
          <cell r="CA164">
            <v>544.16423273006626</v>
          </cell>
          <cell r="CB164">
            <v>1088.3284654601325</v>
          </cell>
          <cell r="CC164">
            <v>544.16423273006626</v>
          </cell>
          <cell r="CD164">
            <v>544.16423273006626</v>
          </cell>
          <cell r="CE164">
            <v>1088.3284654601325</v>
          </cell>
          <cell r="CF164">
            <v>523.08065600307293</v>
          </cell>
          <cell r="CG164">
            <v>478.08065600307293</v>
          </cell>
          <cell r="CH164">
            <v>1001.1613120061459</v>
          </cell>
          <cell r="CI164">
            <v>478.08065600307293</v>
          </cell>
          <cell r="CJ164">
            <v>478.08065600307293</v>
          </cell>
          <cell r="CK164">
            <v>956.16131200614586</v>
          </cell>
          <cell r="CL164">
            <v>478.08065600307293</v>
          </cell>
          <cell r="CM164">
            <v>478.08065600307293</v>
          </cell>
          <cell r="CN164">
            <v>956.16131200614586</v>
          </cell>
          <cell r="CO164">
            <v>478.08065600307293</v>
          </cell>
          <cell r="CP164">
            <v>478.08065600307293</v>
          </cell>
          <cell r="CQ164">
            <v>956.16131200614586</v>
          </cell>
          <cell r="CR164">
            <v>478.08065600307293</v>
          </cell>
          <cell r="CS164">
            <v>478.08065600307293</v>
          </cell>
          <cell r="CT164">
            <v>956.16131200614586</v>
          </cell>
          <cell r="CU164">
            <v>478.08065600307293</v>
          </cell>
          <cell r="CV164">
            <v>478.08065600307293</v>
          </cell>
          <cell r="CW164">
            <v>956.16131200614586</v>
          </cell>
        </row>
        <row r="165">
          <cell r="A165" t="str">
            <v>CO2</v>
          </cell>
          <cell r="B165" t="str">
            <v>kt</v>
          </cell>
          <cell r="J165">
            <v>0</v>
          </cell>
          <cell r="K165">
            <v>0</v>
          </cell>
          <cell r="L165">
            <v>0</v>
          </cell>
          <cell r="M165">
            <v>744</v>
          </cell>
          <cell r="N165">
            <v>842.9039947005906</v>
          </cell>
          <cell r="O165">
            <v>1069.6385446530232</v>
          </cell>
          <cell r="P165">
            <v>1069.6385446530232</v>
          </cell>
          <cell r="Q165">
            <v>1069.6385446530232</v>
          </cell>
          <cell r="R165">
            <v>983.96831721607987</v>
          </cell>
          <cell r="S165">
            <v>939.741104534442</v>
          </cell>
          <cell r="T165">
            <v>939.741104534442</v>
          </cell>
          <cell r="U165">
            <v>939.741104534442</v>
          </cell>
          <cell r="V165">
            <v>939.741104534442</v>
          </cell>
          <cell r="W165">
            <v>939.741104534442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BQ165">
            <v>367.5772787318362</v>
          </cell>
          <cell r="BR165">
            <v>376.4227212681638</v>
          </cell>
          <cell r="BS165">
            <v>744</v>
          </cell>
          <cell r="BT165">
            <v>398.04491413474244</v>
          </cell>
          <cell r="BU165">
            <v>444.8590805658481</v>
          </cell>
          <cell r="BV165">
            <v>842.9039947005906</v>
          </cell>
          <cell r="BW165">
            <v>534.81927232651162</v>
          </cell>
          <cell r="BX165">
            <v>534.81927232651162</v>
          </cell>
          <cell r="BY165">
            <v>1069.6385446530232</v>
          </cell>
          <cell r="BZ165">
            <v>534.81927232651162</v>
          </cell>
          <cell r="CA165">
            <v>534.81927232651162</v>
          </cell>
          <cell r="CB165">
            <v>1069.6385446530232</v>
          </cell>
          <cell r="CC165">
            <v>534.81927232651162</v>
          </cell>
          <cell r="CD165">
            <v>534.81927232651162</v>
          </cell>
          <cell r="CE165">
            <v>1069.6385446530232</v>
          </cell>
          <cell r="CF165">
            <v>514.09776494885898</v>
          </cell>
          <cell r="CG165">
            <v>469.87055226722094</v>
          </cell>
          <cell r="CH165">
            <v>983.96831721607987</v>
          </cell>
          <cell r="CI165">
            <v>469.870552267221</v>
          </cell>
          <cell r="CJ165">
            <v>469.87055226722094</v>
          </cell>
          <cell r="CK165">
            <v>939.741104534442</v>
          </cell>
          <cell r="CL165">
            <v>469.870552267221</v>
          </cell>
          <cell r="CM165">
            <v>469.87055226722094</v>
          </cell>
          <cell r="CN165">
            <v>939.741104534442</v>
          </cell>
          <cell r="CO165">
            <v>469.870552267221</v>
          </cell>
          <cell r="CP165">
            <v>469.87055226722094</v>
          </cell>
          <cell r="CQ165">
            <v>939.741104534442</v>
          </cell>
          <cell r="CR165">
            <v>469.870552267221</v>
          </cell>
          <cell r="CS165">
            <v>469.87055226722094</v>
          </cell>
          <cell r="CT165">
            <v>939.741104534442</v>
          </cell>
          <cell r="CU165">
            <v>469.870552267221</v>
          </cell>
          <cell r="CV165">
            <v>469.87055226722094</v>
          </cell>
          <cell r="CW165">
            <v>939.741104534442</v>
          </cell>
        </row>
        <row r="166">
          <cell r="A166" t="str">
            <v>CO2 Intensity</v>
          </cell>
          <cell r="B166" t="str">
            <v>t/t</v>
          </cell>
          <cell r="J166">
            <v>0</v>
          </cell>
          <cell r="K166">
            <v>0</v>
          </cell>
          <cell r="L166">
            <v>0</v>
          </cell>
          <cell r="M166">
            <v>0.9828269484808454</v>
          </cell>
          <cell r="N166">
            <v>0.98282694848084551</v>
          </cell>
          <cell r="O166">
            <v>0.9828269484808454</v>
          </cell>
          <cell r="P166">
            <v>0.9828269484808454</v>
          </cell>
          <cell r="Q166">
            <v>0.9828269484808454</v>
          </cell>
          <cell r="R166">
            <v>0.9828269484808454</v>
          </cell>
          <cell r="S166">
            <v>0.98282694848084551</v>
          </cell>
          <cell r="T166">
            <v>0.98282694848084551</v>
          </cell>
          <cell r="U166">
            <v>0.98282694848084551</v>
          </cell>
          <cell r="V166">
            <v>0.98282694848084551</v>
          </cell>
          <cell r="W166">
            <v>0.98282694848084551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BQ166">
            <v>0.98282694848084551</v>
          </cell>
          <cell r="BR166">
            <v>0.9828269484808454</v>
          </cell>
          <cell r="BS166">
            <v>0.9828269484808454</v>
          </cell>
          <cell r="BT166">
            <v>0.98282694848084551</v>
          </cell>
          <cell r="BU166">
            <v>0.9828269484808454</v>
          </cell>
          <cell r="BV166">
            <v>0.98282694848084551</v>
          </cell>
          <cell r="BW166">
            <v>0.98282694848084551</v>
          </cell>
          <cell r="BX166">
            <v>0.9828269484808454</v>
          </cell>
          <cell r="BY166">
            <v>0.9828269484808454</v>
          </cell>
          <cell r="BZ166">
            <v>0.98282694848084551</v>
          </cell>
          <cell r="CA166">
            <v>0.9828269484808454</v>
          </cell>
          <cell r="CB166">
            <v>0.9828269484808454</v>
          </cell>
          <cell r="CC166">
            <v>0.98282694848084551</v>
          </cell>
          <cell r="CD166">
            <v>0.9828269484808454</v>
          </cell>
          <cell r="CE166">
            <v>0.9828269484808454</v>
          </cell>
          <cell r="CF166">
            <v>0.98282694848084551</v>
          </cell>
          <cell r="CG166">
            <v>0.9828269484808454</v>
          </cell>
          <cell r="CH166">
            <v>0.9828269484808454</v>
          </cell>
          <cell r="CI166">
            <v>0.98282694848084551</v>
          </cell>
          <cell r="CJ166">
            <v>0.9828269484808454</v>
          </cell>
          <cell r="CK166">
            <v>0.98282694848084551</v>
          </cell>
          <cell r="CL166">
            <v>0.98282694848084551</v>
          </cell>
          <cell r="CM166">
            <v>0.9828269484808454</v>
          </cell>
          <cell r="CN166">
            <v>0.98282694848084551</v>
          </cell>
          <cell r="CO166">
            <v>0.98282694848084551</v>
          </cell>
          <cell r="CP166">
            <v>0.9828269484808454</v>
          </cell>
          <cell r="CQ166">
            <v>0.98282694848084551</v>
          </cell>
          <cell r="CR166">
            <v>0.98282694848084551</v>
          </cell>
          <cell r="CS166">
            <v>0.9828269484808454</v>
          </cell>
          <cell r="CT166">
            <v>0.98282694848084551</v>
          </cell>
          <cell r="CU166">
            <v>0.98282694848084551</v>
          </cell>
          <cell r="CV166">
            <v>0.9828269484808454</v>
          </cell>
          <cell r="CW166">
            <v>0.98282694848084551</v>
          </cell>
        </row>
        <row r="167">
          <cell r="A167" t="str">
            <v>Revenue</v>
          </cell>
          <cell r="B167" t="str">
            <v>A$m</v>
          </cell>
          <cell r="J167">
            <v>0</v>
          </cell>
          <cell r="K167">
            <v>0</v>
          </cell>
          <cell r="L167">
            <v>0</v>
          </cell>
          <cell r="M167">
            <v>468.7</v>
          </cell>
          <cell r="N167">
            <v>774.47402679511094</v>
          </cell>
          <cell r="O167">
            <v>1201.58390207099</v>
          </cell>
          <cell r="P167">
            <v>1480.6504380076203</v>
          </cell>
          <cell r="Q167">
            <v>1565.5763320108583</v>
          </cell>
          <cell r="R167">
            <v>1467.4398090914376</v>
          </cell>
          <cell r="S167">
            <v>1227.1095246894854</v>
          </cell>
          <cell r="T167">
            <v>1064.3327294647008</v>
          </cell>
          <cell r="U167">
            <v>1064.3327294647008</v>
          </cell>
          <cell r="V167">
            <v>1064.3327294647008</v>
          </cell>
          <cell r="W167">
            <v>1064.3327294647008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BQ167">
            <v>204.2</v>
          </cell>
          <cell r="BR167">
            <v>264.5</v>
          </cell>
          <cell r="BS167">
            <v>468.7</v>
          </cell>
          <cell r="BT167">
            <v>288.48992823034308</v>
          </cell>
          <cell r="BU167">
            <v>485.98409856476786</v>
          </cell>
          <cell r="BV167">
            <v>774.47402679511094</v>
          </cell>
          <cell r="BW167">
            <v>586.4985240252721</v>
          </cell>
          <cell r="BX167">
            <v>615.08537804571779</v>
          </cell>
          <cell r="BY167">
            <v>1201.58390207099</v>
          </cell>
          <cell r="BZ167">
            <v>740.75649316144961</v>
          </cell>
          <cell r="CA167">
            <v>739.89394484617071</v>
          </cell>
          <cell r="CB167">
            <v>1480.6504380076203</v>
          </cell>
          <cell r="CC167">
            <v>782.78816600542916</v>
          </cell>
          <cell r="CD167">
            <v>782.78816600542916</v>
          </cell>
          <cell r="CE167">
            <v>1565.5763320108583</v>
          </cell>
          <cell r="CF167">
            <v>749.48461042807173</v>
          </cell>
          <cell r="CG167">
            <v>717.95519866336588</v>
          </cell>
          <cell r="CH167">
            <v>1467.4398090914376</v>
          </cell>
          <cell r="CI167">
            <v>613.5547623447427</v>
          </cell>
          <cell r="CJ167">
            <v>613.5547623447427</v>
          </cell>
          <cell r="CK167">
            <v>1227.1095246894854</v>
          </cell>
          <cell r="CL167">
            <v>532.16636473235042</v>
          </cell>
          <cell r="CM167">
            <v>532.16636473235042</v>
          </cell>
          <cell r="CN167">
            <v>1064.3327294647008</v>
          </cell>
          <cell r="CO167">
            <v>532.16636473235042</v>
          </cell>
          <cell r="CP167">
            <v>532.16636473235042</v>
          </cell>
          <cell r="CQ167">
            <v>1064.3327294647008</v>
          </cell>
          <cell r="CR167">
            <v>532.16636473235042</v>
          </cell>
          <cell r="CS167">
            <v>532.16636473235042</v>
          </cell>
          <cell r="CT167">
            <v>1064.3327294647008</v>
          </cell>
          <cell r="CU167">
            <v>532.16636473235042</v>
          </cell>
          <cell r="CV167">
            <v>532.16636473235042</v>
          </cell>
          <cell r="CW167">
            <v>1064.3327294647008</v>
          </cell>
        </row>
        <row r="168">
          <cell r="A168" t="str">
            <v>CO2 per Million $ Revenue</v>
          </cell>
          <cell r="J168">
            <v>0</v>
          </cell>
          <cell r="K168">
            <v>0</v>
          </cell>
          <cell r="L168">
            <v>0</v>
          </cell>
          <cell r="M168">
            <v>1587.3693193940687</v>
          </cell>
          <cell r="N168">
            <v>1088.3566982725722</v>
          </cell>
          <cell r="O168">
            <v>890.19047509661846</v>
          </cell>
          <cell r="P168">
            <v>722.4112573743879</v>
          </cell>
          <cell r="Q168">
            <v>683.22350228631626</v>
          </cell>
          <cell r="R168">
            <v>670.5340219884738</v>
          </cell>
          <cell r="S168">
            <v>765.81681229492483</v>
          </cell>
          <cell r="T168">
            <v>882.93921488919977</v>
          </cell>
          <cell r="U168">
            <v>882.93921488919977</v>
          </cell>
          <cell r="V168">
            <v>882.93921488919977</v>
          </cell>
          <cell r="W168">
            <v>882.93921488919977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BQ168">
            <v>1800.0846167083066</v>
          </cell>
          <cell r="BR168">
            <v>1423.1482845677269</v>
          </cell>
          <cell r="BS168">
            <v>1587.3693193940687</v>
          </cell>
          <cell r="BT168">
            <v>1379.7532432984137</v>
          </cell>
          <cell r="BU168">
            <v>915.37785264914601</v>
          </cell>
          <cell r="BV168">
            <v>1088.3566982725722</v>
          </cell>
          <cell r="BW168">
            <v>911.88511209870728</v>
          </cell>
          <cell r="BX168">
            <v>869.50412319305667</v>
          </cell>
          <cell r="BY168">
            <v>890.19047509661846</v>
          </cell>
          <cell r="BZ168">
            <v>721.99066395486386</v>
          </cell>
          <cell r="CA168">
            <v>722.8323411103255</v>
          </cell>
          <cell r="CB168">
            <v>722.4112573743879</v>
          </cell>
          <cell r="CC168">
            <v>683.22350228631626</v>
          </cell>
          <cell r="CD168">
            <v>683.22350228631626</v>
          </cell>
          <cell r="CE168">
            <v>683.22350228631626</v>
          </cell>
          <cell r="CF168">
            <v>685.93505162865131</v>
          </cell>
          <cell r="CG168">
            <v>654.45664735346998</v>
          </cell>
          <cell r="CH168">
            <v>670.5340219884738</v>
          </cell>
          <cell r="CI168">
            <v>765.81681229492483</v>
          </cell>
          <cell r="CJ168">
            <v>765.81681229492472</v>
          </cell>
          <cell r="CK168">
            <v>765.81681229492483</v>
          </cell>
          <cell r="CL168">
            <v>882.93921488919977</v>
          </cell>
          <cell r="CM168">
            <v>882.93921488919966</v>
          </cell>
          <cell r="CN168">
            <v>882.93921488919977</v>
          </cell>
          <cell r="CO168">
            <v>882.93921488919977</v>
          </cell>
          <cell r="CP168">
            <v>882.93921488919966</v>
          </cell>
          <cell r="CQ168">
            <v>882.93921488919977</v>
          </cell>
          <cell r="CR168">
            <v>882.93921488919977</v>
          </cell>
          <cell r="CS168">
            <v>882.93921488919966</v>
          </cell>
          <cell r="CT168">
            <v>882.93921488919977</v>
          </cell>
          <cell r="CU168">
            <v>882.93921488919977</v>
          </cell>
          <cell r="CV168">
            <v>882.93921488919966</v>
          </cell>
          <cell r="CW168">
            <v>882.93921488919977</v>
          </cell>
        </row>
        <row r="170">
          <cell r="A170" t="str">
            <v>EITE Permit Thresholds</v>
          </cell>
        </row>
        <row r="171">
          <cell r="A171" t="str">
            <v>EITE decay</v>
          </cell>
          <cell r="B171" t="str">
            <v>%</v>
          </cell>
          <cell r="BZ171">
            <v>1.2999999999999999E-2</v>
          </cell>
          <cell r="CA171">
            <v>1.2999999999999999E-2</v>
          </cell>
          <cell r="CB171">
            <v>1.2999999999999999E-2</v>
          </cell>
          <cell r="CC171">
            <v>1.2999999999999999E-2</v>
          </cell>
          <cell r="CD171">
            <v>1.2999999999999999E-2</v>
          </cell>
          <cell r="CE171">
            <v>1.2999999999999999E-2</v>
          </cell>
          <cell r="CF171">
            <v>1.2999999999999999E-2</v>
          </cell>
          <cell r="CG171">
            <v>1.2999999999999999E-2</v>
          </cell>
          <cell r="CH171">
            <v>1.2999999999999999E-2</v>
          </cell>
          <cell r="CI171">
            <v>1.2999999999999999E-2</v>
          </cell>
          <cell r="CJ171">
            <v>1.2999999999999999E-2</v>
          </cell>
          <cell r="CK171">
            <v>1.2999999999999999E-2</v>
          </cell>
          <cell r="CL171">
            <v>1.2999999999999999E-2</v>
          </cell>
          <cell r="CM171">
            <v>1.2999999999999999E-2</v>
          </cell>
          <cell r="CN171">
            <v>1.2999999999999999E-2</v>
          </cell>
          <cell r="CO171">
            <v>1.2999999999999999E-2</v>
          </cell>
          <cell r="CP171">
            <v>1.2999999999999999E-2</v>
          </cell>
          <cell r="CQ171">
            <v>1.2999999999999999E-2</v>
          </cell>
          <cell r="CR171">
            <v>1.2999999999999999E-2</v>
          </cell>
          <cell r="CS171">
            <v>1.2999999999999999E-2</v>
          </cell>
          <cell r="CT171">
            <v>1.2999999999999999E-2</v>
          </cell>
          <cell r="CU171">
            <v>1.2999999999999999E-2</v>
          </cell>
          <cell r="CV171">
            <v>1.2999999999999999E-2</v>
          </cell>
          <cell r="CW171">
            <v>1.2999999999999999E-2</v>
          </cell>
        </row>
        <row r="172">
          <cell r="A172" t="str">
            <v>Coverage at 2,000t/$m revenue</v>
          </cell>
          <cell r="B172" t="str">
            <v>%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0.94499999999999995</v>
          </cell>
          <cell r="P172">
            <v>0.93271499999999996</v>
          </cell>
          <cell r="Q172">
            <v>0.92058970499999992</v>
          </cell>
          <cell r="R172">
            <v>0.90862203883499992</v>
          </cell>
          <cell r="S172">
            <v>0.89680995233014493</v>
          </cell>
          <cell r="T172">
            <v>0.88515142294985305</v>
          </cell>
          <cell r="U172">
            <v>0.87364445445150496</v>
          </cell>
          <cell r="V172">
            <v>0.86228707654363534</v>
          </cell>
          <cell r="W172">
            <v>0.85107734454856809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BW172">
            <v>0.94499999999999995</v>
          </cell>
          <cell r="BX172">
            <v>0.94499999999999995</v>
          </cell>
          <cell r="BY172">
            <v>0.94499999999999995</v>
          </cell>
          <cell r="BZ172">
            <v>0.93271499999999996</v>
          </cell>
          <cell r="CA172">
            <v>0.93271499999999996</v>
          </cell>
          <cell r="CB172">
            <v>0.93271499999999996</v>
          </cell>
          <cell r="CC172">
            <v>0.92058970499999992</v>
          </cell>
          <cell r="CD172">
            <v>0.92058970499999992</v>
          </cell>
          <cell r="CE172">
            <v>0.92058970499999992</v>
          </cell>
          <cell r="CF172">
            <v>0.90862203883499992</v>
          </cell>
          <cell r="CG172">
            <v>0.90862203883499992</v>
          </cell>
          <cell r="CH172">
            <v>0.90862203883499992</v>
          </cell>
          <cell r="CI172">
            <v>0.89680995233014493</v>
          </cell>
          <cell r="CJ172">
            <v>0.89680995233014493</v>
          </cell>
          <cell r="CK172">
            <v>0.89680995233014493</v>
          </cell>
          <cell r="CL172">
            <v>0.88515142294985305</v>
          </cell>
          <cell r="CM172">
            <v>0.88515142294985305</v>
          </cell>
          <cell r="CN172">
            <v>0.88515142294985305</v>
          </cell>
          <cell r="CO172">
            <v>0.87364445445150496</v>
          </cell>
          <cell r="CP172">
            <v>0.87364445445150496</v>
          </cell>
          <cell r="CQ172">
            <v>0.87364445445150496</v>
          </cell>
          <cell r="CR172">
            <v>0.86228707654363534</v>
          </cell>
          <cell r="CS172">
            <v>0.86228707654363534</v>
          </cell>
          <cell r="CT172">
            <v>0.86228707654363534</v>
          </cell>
          <cell r="CU172">
            <v>0.85107734454856809</v>
          </cell>
          <cell r="CV172">
            <v>0.85107734454856809</v>
          </cell>
          <cell r="CW172">
            <v>0.85107734454856809</v>
          </cell>
        </row>
        <row r="173">
          <cell r="A173" t="str">
            <v>Coverage at 1,500-2,000 t/A$m revenue</v>
          </cell>
          <cell r="B173" t="str">
            <v>%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0.66</v>
          </cell>
          <cell r="P173">
            <v>0.66</v>
          </cell>
          <cell r="Q173">
            <v>0.66</v>
          </cell>
          <cell r="R173">
            <v>0.66</v>
          </cell>
          <cell r="S173">
            <v>0.66</v>
          </cell>
          <cell r="T173">
            <v>0.66</v>
          </cell>
          <cell r="U173">
            <v>0.66</v>
          </cell>
          <cell r="V173">
            <v>0.66</v>
          </cell>
          <cell r="W173">
            <v>0.66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BW173">
            <v>0.66</v>
          </cell>
          <cell r="BX173">
            <v>0.66</v>
          </cell>
          <cell r="BY173">
            <v>0.66</v>
          </cell>
          <cell r="BZ173">
            <v>0.66</v>
          </cell>
          <cell r="CA173">
            <v>0.66</v>
          </cell>
          <cell r="CB173">
            <v>0.66</v>
          </cell>
          <cell r="CC173">
            <v>0.66</v>
          </cell>
          <cell r="CD173">
            <v>0.66</v>
          </cell>
          <cell r="CE173">
            <v>0.66</v>
          </cell>
          <cell r="CF173">
            <v>0.66</v>
          </cell>
          <cell r="CG173">
            <v>0.66</v>
          </cell>
          <cell r="CH173">
            <v>0.66</v>
          </cell>
          <cell r="CI173">
            <v>0.66</v>
          </cell>
          <cell r="CJ173">
            <v>0.66</v>
          </cell>
          <cell r="CK173">
            <v>0.66</v>
          </cell>
          <cell r="CL173">
            <v>0.66</v>
          </cell>
          <cell r="CM173">
            <v>0.66</v>
          </cell>
          <cell r="CN173">
            <v>0.66</v>
          </cell>
          <cell r="CO173">
            <v>0.66</v>
          </cell>
          <cell r="CP173">
            <v>0.66</v>
          </cell>
          <cell r="CQ173">
            <v>0.66</v>
          </cell>
          <cell r="CR173">
            <v>0.66</v>
          </cell>
          <cell r="CS173">
            <v>0.66</v>
          </cell>
          <cell r="CT173">
            <v>0.66</v>
          </cell>
          <cell r="CU173">
            <v>0.66</v>
          </cell>
          <cell r="CV173">
            <v>0.66</v>
          </cell>
          <cell r="CW173">
            <v>0.66</v>
          </cell>
        </row>
        <row r="174">
          <cell r="A174" t="str">
            <v>Coverage under 1,500t/A$m revenue</v>
          </cell>
          <cell r="B174" t="str">
            <v>%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BW174">
            <v>0</v>
          </cell>
          <cell r="BX174">
            <v>0</v>
          </cell>
          <cell r="BY174">
            <v>0</v>
          </cell>
          <cell r="BZ174">
            <v>0</v>
          </cell>
          <cell r="CA174">
            <v>0</v>
          </cell>
          <cell r="CB174">
            <v>0</v>
          </cell>
          <cell r="CC174">
            <v>0</v>
          </cell>
          <cell r="CD174">
            <v>0</v>
          </cell>
          <cell r="CE174">
            <v>0</v>
          </cell>
          <cell r="CF174">
            <v>0</v>
          </cell>
          <cell r="CG174">
            <v>0</v>
          </cell>
          <cell r="CH174">
            <v>0</v>
          </cell>
          <cell r="CI174">
            <v>0</v>
          </cell>
          <cell r="CJ174">
            <v>0</v>
          </cell>
          <cell r="CK174">
            <v>0</v>
          </cell>
          <cell r="CL174">
            <v>0</v>
          </cell>
          <cell r="CM174">
            <v>0</v>
          </cell>
          <cell r="CN174">
            <v>0</v>
          </cell>
          <cell r="CO174">
            <v>0</v>
          </cell>
          <cell r="CP174">
            <v>0</v>
          </cell>
          <cell r="CQ174">
            <v>0</v>
          </cell>
          <cell r="CR174">
            <v>0</v>
          </cell>
          <cell r="CS174">
            <v>0</v>
          </cell>
          <cell r="CT174">
            <v>0</v>
          </cell>
          <cell r="CU174">
            <v>0</v>
          </cell>
          <cell r="CV174">
            <v>0</v>
          </cell>
          <cell r="CW174">
            <v>0</v>
          </cell>
        </row>
        <row r="175">
          <cell r="A175" t="str">
            <v>Permit Coverage factor</v>
          </cell>
          <cell r="B175" t="str">
            <v>%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BW175">
            <v>0</v>
          </cell>
          <cell r="BX175">
            <v>0</v>
          </cell>
          <cell r="BY175">
            <v>0</v>
          </cell>
          <cell r="BZ175">
            <v>0</v>
          </cell>
          <cell r="CA175">
            <v>0</v>
          </cell>
          <cell r="CB175">
            <v>0</v>
          </cell>
          <cell r="CC175">
            <v>0</v>
          </cell>
          <cell r="CD175">
            <v>0</v>
          </cell>
          <cell r="CE175">
            <v>0</v>
          </cell>
          <cell r="CF175">
            <v>0</v>
          </cell>
          <cell r="CG175">
            <v>0</v>
          </cell>
          <cell r="CH175">
            <v>0</v>
          </cell>
          <cell r="CI175">
            <v>0</v>
          </cell>
          <cell r="CJ175">
            <v>0</v>
          </cell>
          <cell r="CK175">
            <v>0</v>
          </cell>
          <cell r="CL175">
            <v>0</v>
          </cell>
          <cell r="CM175">
            <v>0</v>
          </cell>
          <cell r="CN175">
            <v>0</v>
          </cell>
          <cell r="CO175">
            <v>0</v>
          </cell>
          <cell r="CP175">
            <v>0</v>
          </cell>
          <cell r="CQ175">
            <v>0</v>
          </cell>
          <cell r="CR175">
            <v>0</v>
          </cell>
          <cell r="CS175">
            <v>0</v>
          </cell>
          <cell r="CT175">
            <v>0</v>
          </cell>
          <cell r="CU175">
            <v>0</v>
          </cell>
          <cell r="CV175">
            <v>0</v>
          </cell>
          <cell r="CW175">
            <v>0</v>
          </cell>
        </row>
        <row r="176">
          <cell r="A176" t="str">
            <v>Costs - Base</v>
          </cell>
          <cell r="B176" t="str">
            <v>A$m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24.601686527019535</v>
          </cell>
          <cell r="P176">
            <v>25.831770853370507</v>
          </cell>
          <cell r="Q176">
            <v>27.168819034186789</v>
          </cell>
          <cell r="R176">
            <v>39.358732688643201</v>
          </cell>
          <cell r="S176">
            <v>37.589644181377679</v>
          </cell>
          <cell r="T176">
            <v>37.589644181377679</v>
          </cell>
          <cell r="U176">
            <v>37.589644181377679</v>
          </cell>
          <cell r="V176">
            <v>37.589644181377679</v>
          </cell>
          <cell r="W176">
            <v>37.589644181377679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BW176">
            <v>12.300843263509767</v>
          </cell>
          <cell r="BX176">
            <v>12.300843263509767</v>
          </cell>
          <cell r="BY176">
            <v>24.601686527019535</v>
          </cell>
          <cell r="BZ176">
            <v>12.915885426685254</v>
          </cell>
          <cell r="CA176">
            <v>12.915885426685254</v>
          </cell>
          <cell r="CB176">
            <v>25.831770853370507</v>
          </cell>
          <cell r="CC176">
            <v>13.584409517093395</v>
          </cell>
          <cell r="CD176">
            <v>13.584409517093395</v>
          </cell>
          <cell r="CE176">
            <v>27.168819034186789</v>
          </cell>
          <cell r="CF176">
            <v>20.563910597954361</v>
          </cell>
          <cell r="CG176">
            <v>18.794822090688839</v>
          </cell>
          <cell r="CH176">
            <v>39.358732688643201</v>
          </cell>
          <cell r="CI176">
            <v>18.794822090688839</v>
          </cell>
          <cell r="CJ176">
            <v>18.794822090688839</v>
          </cell>
          <cell r="CK176">
            <v>37.589644181377679</v>
          </cell>
          <cell r="CL176">
            <v>18.794822090688839</v>
          </cell>
          <cell r="CM176">
            <v>18.794822090688839</v>
          </cell>
          <cell r="CN176">
            <v>37.589644181377679</v>
          </cell>
          <cell r="CO176">
            <v>18.794822090688839</v>
          </cell>
          <cell r="CP176">
            <v>18.794822090688839</v>
          </cell>
          <cell r="CQ176">
            <v>37.589644181377679</v>
          </cell>
          <cell r="CR176">
            <v>18.794822090688839</v>
          </cell>
          <cell r="CS176">
            <v>18.794822090688839</v>
          </cell>
          <cell r="CT176">
            <v>37.589644181377679</v>
          </cell>
          <cell r="CU176">
            <v>18.794822090688839</v>
          </cell>
          <cell r="CV176">
            <v>18.794822090688839</v>
          </cell>
          <cell r="CW176">
            <v>37.589644181377679</v>
          </cell>
        </row>
        <row r="177">
          <cell r="A177" t="str">
            <v>Costs - Bull</v>
          </cell>
          <cell r="B177" t="str">
            <v>A$m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24.601686527019535</v>
          </cell>
          <cell r="P177">
            <v>25.831770853370507</v>
          </cell>
          <cell r="Q177">
            <v>27.168819034186789</v>
          </cell>
          <cell r="R177">
            <v>14.759524758241197</v>
          </cell>
          <cell r="S177">
            <v>14.09611656801663</v>
          </cell>
          <cell r="T177">
            <v>14.09611656801663</v>
          </cell>
          <cell r="U177">
            <v>14.09611656801663</v>
          </cell>
          <cell r="V177">
            <v>14.09611656801663</v>
          </cell>
          <cell r="W177">
            <v>14.09611656801663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BW177">
            <v>12.300843263509767</v>
          </cell>
          <cell r="BX177">
            <v>12.300843263509767</v>
          </cell>
          <cell r="BY177">
            <v>24.601686527019535</v>
          </cell>
          <cell r="BZ177">
            <v>12.915885426685254</v>
          </cell>
          <cell r="CA177">
            <v>12.915885426685254</v>
          </cell>
          <cell r="CB177">
            <v>25.831770853370507</v>
          </cell>
          <cell r="CC177">
            <v>13.584409517093395</v>
          </cell>
          <cell r="CD177">
            <v>13.584409517093395</v>
          </cell>
          <cell r="CE177">
            <v>27.168819034186789</v>
          </cell>
          <cell r="CF177">
            <v>7.7114664742328847</v>
          </cell>
          <cell r="CG177">
            <v>7.0480582840083139</v>
          </cell>
          <cell r="CH177">
            <v>14.759524758241197</v>
          </cell>
          <cell r="CI177">
            <v>7.0480582840083148</v>
          </cell>
          <cell r="CJ177">
            <v>7.0480582840083139</v>
          </cell>
          <cell r="CK177">
            <v>14.09611656801663</v>
          </cell>
          <cell r="CL177">
            <v>7.0480582840083148</v>
          </cell>
          <cell r="CM177">
            <v>7.0480582840083139</v>
          </cell>
          <cell r="CN177">
            <v>14.09611656801663</v>
          </cell>
          <cell r="CO177">
            <v>7.0480582840083148</v>
          </cell>
          <cell r="CP177">
            <v>7.0480582840083139</v>
          </cell>
          <cell r="CQ177">
            <v>14.09611656801663</v>
          </cell>
          <cell r="CR177">
            <v>7.0480582840083148</v>
          </cell>
          <cell r="CS177">
            <v>7.0480582840083139</v>
          </cell>
          <cell r="CT177">
            <v>14.09611656801663</v>
          </cell>
          <cell r="CU177">
            <v>7.0480582840083148</v>
          </cell>
          <cell r="CV177">
            <v>7.0480582840083139</v>
          </cell>
          <cell r="CW177">
            <v>14.09611656801663</v>
          </cell>
        </row>
        <row r="178">
          <cell r="A178" t="str">
            <v>Costs - Bear</v>
          </cell>
          <cell r="B178" t="str">
            <v>A$m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24.601686527019535</v>
          </cell>
          <cell r="P178">
            <v>25.831770853370507</v>
          </cell>
          <cell r="Q178">
            <v>27.168819034186789</v>
          </cell>
          <cell r="R178">
            <v>59.038099032964787</v>
          </cell>
          <cell r="S178">
            <v>56.384466272066518</v>
          </cell>
          <cell r="T178">
            <v>56.384466272066518</v>
          </cell>
          <cell r="U178">
            <v>56.384466272066518</v>
          </cell>
          <cell r="V178">
            <v>56.384466272066518</v>
          </cell>
          <cell r="W178">
            <v>56.384466272066518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BW178">
            <v>12.300843263509767</v>
          </cell>
          <cell r="BX178">
            <v>12.300843263509767</v>
          </cell>
          <cell r="BY178">
            <v>24.601686527019535</v>
          </cell>
          <cell r="BZ178">
            <v>12.915885426685254</v>
          </cell>
          <cell r="CA178">
            <v>12.915885426685254</v>
          </cell>
          <cell r="CB178">
            <v>25.831770853370507</v>
          </cell>
          <cell r="CC178">
            <v>13.584409517093395</v>
          </cell>
          <cell r="CD178">
            <v>13.584409517093395</v>
          </cell>
          <cell r="CE178">
            <v>27.168819034186789</v>
          </cell>
          <cell r="CF178">
            <v>30.845865896931539</v>
          </cell>
          <cell r="CG178">
            <v>28.192233136033256</v>
          </cell>
          <cell r="CH178">
            <v>59.038099032964787</v>
          </cell>
          <cell r="CI178">
            <v>28.192233136033259</v>
          </cell>
          <cell r="CJ178">
            <v>28.192233136033256</v>
          </cell>
          <cell r="CK178">
            <v>56.384466272066518</v>
          </cell>
          <cell r="CL178">
            <v>28.192233136033259</v>
          </cell>
          <cell r="CM178">
            <v>28.192233136033256</v>
          </cell>
          <cell r="CN178">
            <v>56.384466272066518</v>
          </cell>
          <cell r="CO178">
            <v>28.192233136033259</v>
          </cell>
          <cell r="CP178">
            <v>28.192233136033256</v>
          </cell>
          <cell r="CQ178">
            <v>56.384466272066518</v>
          </cell>
          <cell r="CR178">
            <v>28.192233136033259</v>
          </cell>
          <cell r="CS178">
            <v>28.192233136033256</v>
          </cell>
          <cell r="CT178">
            <v>56.384466272066518</v>
          </cell>
          <cell r="CU178">
            <v>28.192233136033259</v>
          </cell>
          <cell r="CV178">
            <v>28.192233136033256</v>
          </cell>
          <cell r="CW178">
            <v>56.384466272066518</v>
          </cell>
        </row>
        <row r="180">
          <cell r="A180" t="str">
            <v>SCOPE 2</v>
          </cell>
        </row>
        <row r="181">
          <cell r="A181" t="str">
            <v>Energy usage</v>
          </cell>
          <cell r="B181" t="str">
            <v>TJ</v>
          </cell>
          <cell r="M181">
            <v>7581</v>
          </cell>
          <cell r="N181">
            <v>8588.7838492273877</v>
          </cell>
          <cell r="O181">
            <v>10899.099202976571</v>
          </cell>
          <cell r="P181">
            <v>10899.099202976571</v>
          </cell>
          <cell r="Q181">
            <v>10899.099202976571</v>
          </cell>
          <cell r="R181">
            <v>10026.161038729977</v>
          </cell>
          <cell r="S181">
            <v>9575.5071417682848</v>
          </cell>
          <cell r="T181">
            <v>9575.5071417682848</v>
          </cell>
          <cell r="U181">
            <v>9575.5071417682848</v>
          </cell>
          <cell r="V181">
            <v>9575.5071417682848</v>
          </cell>
          <cell r="W181">
            <v>9575.5071417682848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BQ181">
            <v>3745.4346103038311</v>
          </cell>
          <cell r="BR181">
            <v>3835.5653896961689</v>
          </cell>
          <cell r="BS181">
            <v>7581</v>
          </cell>
          <cell r="BT181">
            <v>4055.8850726552178</v>
          </cell>
          <cell r="BU181">
            <v>4532.8987765721704</v>
          </cell>
          <cell r="BV181">
            <v>8588.7838492273877</v>
          </cell>
          <cell r="BW181">
            <v>5449.5496014882856</v>
          </cell>
          <cell r="BX181">
            <v>5449.5496014882856</v>
          </cell>
          <cell r="BY181">
            <v>10899.099202976571</v>
          </cell>
          <cell r="BZ181">
            <v>5449.5496014882856</v>
          </cell>
          <cell r="CA181">
            <v>5449.5496014882856</v>
          </cell>
          <cell r="CB181">
            <v>10899.099202976571</v>
          </cell>
          <cell r="CC181">
            <v>5449.5496014882856</v>
          </cell>
          <cell r="CD181">
            <v>5449.5496014882856</v>
          </cell>
          <cell r="CE181">
            <v>10899.099202976571</v>
          </cell>
          <cell r="CF181">
            <v>5238.4074678458337</v>
          </cell>
          <cell r="CG181">
            <v>4787.7535708841424</v>
          </cell>
          <cell r="CH181">
            <v>10026.161038729977</v>
          </cell>
          <cell r="CI181">
            <v>4787.7535708841433</v>
          </cell>
          <cell r="CJ181">
            <v>4787.7535708841424</v>
          </cell>
          <cell r="CK181">
            <v>9575.5071417682848</v>
          </cell>
          <cell r="CL181">
            <v>4787.7535708841424</v>
          </cell>
          <cell r="CM181">
            <v>4787.7535708841424</v>
          </cell>
          <cell r="CN181">
            <v>9575.5071417682848</v>
          </cell>
          <cell r="CO181">
            <v>4787.7535708841424</v>
          </cell>
          <cell r="CP181">
            <v>4787.7535708841424</v>
          </cell>
          <cell r="CQ181">
            <v>9575.5071417682848</v>
          </cell>
          <cell r="CR181">
            <v>4787.7535708841424</v>
          </cell>
          <cell r="CS181">
            <v>4787.7535708841424</v>
          </cell>
          <cell r="CT181">
            <v>9575.5071417682848</v>
          </cell>
          <cell r="CU181">
            <v>4787.7535708841424</v>
          </cell>
          <cell r="CV181">
            <v>4787.7535708841424</v>
          </cell>
          <cell r="CW181">
            <v>9575.5071417682848</v>
          </cell>
        </row>
        <row r="182">
          <cell r="A182" t="str">
            <v>TJ/t of product</v>
          </cell>
          <cell r="B182" t="str">
            <v>TJ/t</v>
          </cell>
          <cell r="M182">
            <v>10.014531043593131</v>
          </cell>
          <cell r="N182">
            <v>10.014531043593131</v>
          </cell>
          <cell r="O182">
            <v>10.014531043593131</v>
          </cell>
          <cell r="P182">
            <v>10.014531043593131</v>
          </cell>
          <cell r="Q182">
            <v>10.014531043593131</v>
          </cell>
          <cell r="R182">
            <v>10.014531043593133</v>
          </cell>
          <cell r="S182">
            <v>10.014531043593131</v>
          </cell>
          <cell r="T182">
            <v>10.014531043593131</v>
          </cell>
          <cell r="U182">
            <v>10.014531043593131</v>
          </cell>
          <cell r="V182">
            <v>10.014531043593131</v>
          </cell>
          <cell r="W182">
            <v>10.014531043593131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BQ182">
            <v>10.014531043593131</v>
          </cell>
          <cell r="BR182">
            <v>10.014531043593131</v>
          </cell>
          <cell r="BS182">
            <v>10.014531043593131</v>
          </cell>
          <cell r="BT182">
            <v>10.014531043593131</v>
          </cell>
          <cell r="BU182">
            <v>10.014531043593131</v>
          </cell>
          <cell r="BV182">
            <v>10.014531043593131</v>
          </cell>
          <cell r="BW182">
            <v>10.014531043593131</v>
          </cell>
          <cell r="BX182">
            <v>10.014531043593131</v>
          </cell>
          <cell r="BY182">
            <v>10.014531043593131</v>
          </cell>
          <cell r="BZ182">
            <v>10.014531043593131</v>
          </cell>
          <cell r="CA182">
            <v>10.014531043593131</v>
          </cell>
          <cell r="CB182">
            <v>10.014531043593131</v>
          </cell>
          <cell r="CC182">
            <v>10.014531043593131</v>
          </cell>
          <cell r="CD182">
            <v>10.014531043593131</v>
          </cell>
          <cell r="CE182">
            <v>10.014531043593131</v>
          </cell>
          <cell r="CF182">
            <v>10.014531043593131</v>
          </cell>
          <cell r="CG182">
            <v>10.014531043593131</v>
          </cell>
          <cell r="CH182">
            <v>10.014531043593133</v>
          </cell>
          <cell r="CI182">
            <v>10.014531043593133</v>
          </cell>
          <cell r="CJ182">
            <v>10.014531043593131</v>
          </cell>
          <cell r="CK182">
            <v>10.014531043593131</v>
          </cell>
          <cell r="CL182">
            <v>10.014531043593131</v>
          </cell>
          <cell r="CM182">
            <v>10.014531043593131</v>
          </cell>
          <cell r="CN182">
            <v>10.014531043593131</v>
          </cell>
          <cell r="CO182">
            <v>10.014531043593131</v>
          </cell>
          <cell r="CP182">
            <v>10.014531043593131</v>
          </cell>
          <cell r="CQ182">
            <v>10.014531043593131</v>
          </cell>
          <cell r="CR182">
            <v>10.014531043593131</v>
          </cell>
          <cell r="CS182">
            <v>10.014531043593131</v>
          </cell>
          <cell r="CT182">
            <v>10.014531043593131</v>
          </cell>
          <cell r="CU182">
            <v>10.014531043593131</v>
          </cell>
          <cell r="CV182">
            <v>10.014531043593131</v>
          </cell>
          <cell r="CW182">
            <v>10.014531043593131</v>
          </cell>
        </row>
        <row r="183">
          <cell r="A183" t="str">
            <v>CO2e/TJ</v>
          </cell>
          <cell r="B183" t="str">
            <v>t</v>
          </cell>
          <cell r="M183">
            <v>50</v>
          </cell>
          <cell r="N183">
            <v>50</v>
          </cell>
          <cell r="O183">
            <v>50</v>
          </cell>
          <cell r="P183">
            <v>50</v>
          </cell>
          <cell r="Q183">
            <v>50</v>
          </cell>
          <cell r="R183">
            <v>50</v>
          </cell>
          <cell r="S183">
            <v>50</v>
          </cell>
          <cell r="T183">
            <v>50</v>
          </cell>
          <cell r="U183">
            <v>50</v>
          </cell>
          <cell r="V183">
            <v>50</v>
          </cell>
          <cell r="W183">
            <v>50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BQ183">
            <v>50</v>
          </cell>
          <cell r="BR183">
            <v>50</v>
          </cell>
          <cell r="BS183">
            <v>50</v>
          </cell>
          <cell r="BT183">
            <v>50</v>
          </cell>
          <cell r="BU183">
            <v>50</v>
          </cell>
          <cell r="BV183">
            <v>50</v>
          </cell>
          <cell r="BW183">
            <v>50</v>
          </cell>
          <cell r="BX183">
            <v>50</v>
          </cell>
          <cell r="BY183">
            <v>50</v>
          </cell>
          <cell r="BZ183">
            <v>50</v>
          </cell>
          <cell r="CA183">
            <v>50</v>
          </cell>
          <cell r="CB183">
            <v>50</v>
          </cell>
          <cell r="CC183">
            <v>50</v>
          </cell>
          <cell r="CD183">
            <v>50</v>
          </cell>
          <cell r="CE183">
            <v>50</v>
          </cell>
          <cell r="CF183">
            <v>50</v>
          </cell>
          <cell r="CG183">
            <v>50</v>
          </cell>
          <cell r="CH183">
            <v>50</v>
          </cell>
          <cell r="CI183">
            <v>50</v>
          </cell>
          <cell r="CJ183">
            <v>50</v>
          </cell>
          <cell r="CK183">
            <v>50</v>
          </cell>
          <cell r="CL183">
            <v>50</v>
          </cell>
          <cell r="CM183">
            <v>50</v>
          </cell>
          <cell r="CN183">
            <v>50</v>
          </cell>
          <cell r="CO183">
            <v>50</v>
          </cell>
          <cell r="CP183">
            <v>50</v>
          </cell>
          <cell r="CQ183">
            <v>50</v>
          </cell>
          <cell r="CR183">
            <v>50</v>
          </cell>
          <cell r="CS183">
            <v>50</v>
          </cell>
          <cell r="CT183">
            <v>50</v>
          </cell>
          <cell r="CU183">
            <v>50</v>
          </cell>
          <cell r="CV183">
            <v>50</v>
          </cell>
          <cell r="CW183">
            <v>50</v>
          </cell>
        </row>
        <row r="184">
          <cell r="A184" t="str">
            <v>CO2</v>
          </cell>
          <cell r="B184" t="str">
            <v>kt</v>
          </cell>
          <cell r="M184">
            <v>379.05</v>
          </cell>
          <cell r="N184">
            <v>429.43919246136937</v>
          </cell>
          <cell r="O184">
            <v>544.9549601488286</v>
          </cell>
          <cell r="P184">
            <v>544.9549601488286</v>
          </cell>
          <cell r="Q184">
            <v>544.9549601488286</v>
          </cell>
          <cell r="R184">
            <v>501.30805193649883</v>
          </cell>
          <cell r="S184">
            <v>478.77535708841424</v>
          </cell>
          <cell r="T184">
            <v>478.77535708841424</v>
          </cell>
          <cell r="U184">
            <v>478.77535708841424</v>
          </cell>
          <cell r="V184">
            <v>478.77535708841424</v>
          </cell>
          <cell r="W184">
            <v>478.77535708841424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BQ184">
            <v>187.27173051519156</v>
          </cell>
          <cell r="BR184">
            <v>191.77826948480848</v>
          </cell>
          <cell r="BS184">
            <v>379.05</v>
          </cell>
          <cell r="BT184">
            <v>202.7942536327609</v>
          </cell>
          <cell r="BU184">
            <v>226.6449388286085</v>
          </cell>
          <cell r="BV184">
            <v>429.43919246136937</v>
          </cell>
          <cell r="BW184">
            <v>272.4774800744143</v>
          </cell>
          <cell r="BX184">
            <v>272.4774800744143</v>
          </cell>
          <cell r="BY184">
            <v>544.9549601488286</v>
          </cell>
          <cell r="BZ184">
            <v>272.4774800744143</v>
          </cell>
          <cell r="CA184">
            <v>272.4774800744143</v>
          </cell>
          <cell r="CB184">
            <v>544.9549601488286</v>
          </cell>
          <cell r="CC184">
            <v>272.4774800744143</v>
          </cell>
          <cell r="CD184">
            <v>272.4774800744143</v>
          </cell>
          <cell r="CE184">
            <v>544.9549601488286</v>
          </cell>
          <cell r="CF184">
            <v>261.92037339229171</v>
          </cell>
          <cell r="CG184">
            <v>239.38767854420715</v>
          </cell>
          <cell r="CH184">
            <v>501.30805193649883</v>
          </cell>
          <cell r="CI184">
            <v>239.38767854420715</v>
          </cell>
          <cell r="CJ184">
            <v>239.38767854420715</v>
          </cell>
          <cell r="CK184">
            <v>478.77535708841424</v>
          </cell>
          <cell r="CL184">
            <v>239.38767854420715</v>
          </cell>
          <cell r="CM184">
            <v>239.38767854420715</v>
          </cell>
          <cell r="CN184">
            <v>478.77535708841424</v>
          </cell>
          <cell r="CO184">
            <v>239.38767854420715</v>
          </cell>
          <cell r="CP184">
            <v>239.38767854420715</v>
          </cell>
          <cell r="CQ184">
            <v>478.77535708841424</v>
          </cell>
          <cell r="CR184">
            <v>239.38767854420715</v>
          </cell>
          <cell r="CS184">
            <v>239.38767854420715</v>
          </cell>
          <cell r="CT184">
            <v>478.77535708841424</v>
          </cell>
          <cell r="CU184">
            <v>239.38767854420715</v>
          </cell>
          <cell r="CV184">
            <v>239.38767854420715</v>
          </cell>
          <cell r="CW184">
            <v>478.77535708841424</v>
          </cell>
        </row>
        <row r="185">
          <cell r="A185" t="str">
            <v>Costs - Base</v>
          </cell>
          <cell r="B185" t="str">
            <v>A$m</v>
          </cell>
          <cell r="M185">
            <v>0</v>
          </cell>
          <cell r="N185">
            <v>0</v>
          </cell>
          <cell r="O185">
            <v>12.533964083423058</v>
          </cell>
          <cell r="P185">
            <v>13.16066228759421</v>
          </cell>
          <cell r="Q185">
            <v>13.841855987780246</v>
          </cell>
          <cell r="R185">
            <v>20.052322077459955</v>
          </cell>
          <cell r="S185">
            <v>19.151014283536568</v>
          </cell>
          <cell r="T185">
            <v>19.151014283536568</v>
          </cell>
          <cell r="U185">
            <v>19.151014283536568</v>
          </cell>
          <cell r="V185">
            <v>19.151014283536568</v>
          </cell>
          <cell r="W185">
            <v>19.151014283536568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BW185">
            <v>6.266982041711529</v>
          </cell>
          <cell r="BX185">
            <v>6.266982041711529</v>
          </cell>
          <cell r="BY185">
            <v>12.533964083423058</v>
          </cell>
          <cell r="BZ185">
            <v>6.580331143797105</v>
          </cell>
          <cell r="CA185">
            <v>6.580331143797105</v>
          </cell>
          <cell r="CB185">
            <v>13.16066228759421</v>
          </cell>
          <cell r="CC185">
            <v>6.9209279938901229</v>
          </cell>
          <cell r="CD185">
            <v>6.9209279938901229</v>
          </cell>
          <cell r="CE185">
            <v>13.841855987780246</v>
          </cell>
          <cell r="CF185">
            <v>10.476814935691669</v>
          </cell>
          <cell r="CG185">
            <v>9.575507141768286</v>
          </cell>
          <cell r="CH185">
            <v>20.052322077459955</v>
          </cell>
          <cell r="CI185">
            <v>9.575507141768286</v>
          </cell>
          <cell r="CJ185">
            <v>9.575507141768286</v>
          </cell>
          <cell r="CK185">
            <v>19.151014283536568</v>
          </cell>
          <cell r="CL185">
            <v>9.575507141768286</v>
          </cell>
          <cell r="CM185">
            <v>9.575507141768286</v>
          </cell>
          <cell r="CN185">
            <v>19.151014283536568</v>
          </cell>
          <cell r="CO185">
            <v>9.575507141768286</v>
          </cell>
          <cell r="CP185">
            <v>9.575507141768286</v>
          </cell>
          <cell r="CQ185">
            <v>19.151014283536568</v>
          </cell>
          <cell r="CR185">
            <v>9.575507141768286</v>
          </cell>
          <cell r="CS185">
            <v>9.575507141768286</v>
          </cell>
          <cell r="CT185">
            <v>19.151014283536568</v>
          </cell>
          <cell r="CU185">
            <v>9.575507141768286</v>
          </cell>
          <cell r="CV185">
            <v>9.575507141768286</v>
          </cell>
          <cell r="CW185">
            <v>19.151014283536568</v>
          </cell>
        </row>
        <row r="186">
          <cell r="A186" t="str">
            <v>Costs - Bull</v>
          </cell>
          <cell r="B186" t="str">
            <v>A$m</v>
          </cell>
          <cell r="M186">
            <v>0</v>
          </cell>
          <cell r="N186">
            <v>0</v>
          </cell>
          <cell r="O186">
            <v>12.533964083423058</v>
          </cell>
          <cell r="P186">
            <v>13.16066228759421</v>
          </cell>
          <cell r="Q186">
            <v>13.841855987780246</v>
          </cell>
          <cell r="R186">
            <v>7.5196207790474832</v>
          </cell>
          <cell r="S186">
            <v>7.1816303563262132</v>
          </cell>
          <cell r="T186">
            <v>7.1816303563262132</v>
          </cell>
          <cell r="U186">
            <v>7.1816303563262132</v>
          </cell>
          <cell r="V186">
            <v>7.1816303563262132</v>
          </cell>
          <cell r="W186">
            <v>7.1816303563262132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BW186">
            <v>6.266982041711529</v>
          </cell>
          <cell r="BX186">
            <v>6.266982041711529</v>
          </cell>
          <cell r="BY186">
            <v>12.533964083423058</v>
          </cell>
          <cell r="BZ186">
            <v>6.580331143797105</v>
          </cell>
          <cell r="CA186">
            <v>6.580331143797105</v>
          </cell>
          <cell r="CB186">
            <v>13.16066228759421</v>
          </cell>
          <cell r="CC186">
            <v>6.9209279938901229</v>
          </cell>
          <cell r="CD186">
            <v>6.9209279938901229</v>
          </cell>
          <cell r="CE186">
            <v>13.841855987780246</v>
          </cell>
          <cell r="CF186">
            <v>3.9288056008843757</v>
          </cell>
          <cell r="CG186">
            <v>3.5908151781631075</v>
          </cell>
          <cell r="CH186">
            <v>7.5196207790474832</v>
          </cell>
          <cell r="CI186">
            <v>3.5908151781631075</v>
          </cell>
          <cell r="CJ186">
            <v>3.5908151781631075</v>
          </cell>
          <cell r="CK186">
            <v>7.1816303563262132</v>
          </cell>
          <cell r="CL186">
            <v>3.5908151781631075</v>
          </cell>
          <cell r="CM186">
            <v>3.5908151781631075</v>
          </cell>
          <cell r="CN186">
            <v>7.1816303563262132</v>
          </cell>
          <cell r="CO186">
            <v>3.5908151781631075</v>
          </cell>
          <cell r="CP186">
            <v>3.5908151781631075</v>
          </cell>
          <cell r="CQ186">
            <v>7.1816303563262132</v>
          </cell>
          <cell r="CR186">
            <v>3.5908151781631075</v>
          </cell>
          <cell r="CS186">
            <v>3.5908151781631075</v>
          </cell>
          <cell r="CT186">
            <v>7.1816303563262132</v>
          </cell>
          <cell r="CU186">
            <v>3.5908151781631075</v>
          </cell>
          <cell r="CV186">
            <v>3.5908151781631075</v>
          </cell>
          <cell r="CW186">
            <v>7.1816303563262132</v>
          </cell>
        </row>
        <row r="187">
          <cell r="A187" t="str">
            <v>Costs - Bear</v>
          </cell>
          <cell r="B187" t="str">
            <v>A$m</v>
          </cell>
          <cell r="M187">
            <v>0</v>
          </cell>
          <cell r="N187">
            <v>0</v>
          </cell>
          <cell r="O187">
            <v>12.533964083423058</v>
          </cell>
          <cell r="P187">
            <v>13.16066228759421</v>
          </cell>
          <cell r="Q187">
            <v>13.841855987780246</v>
          </cell>
          <cell r="R187">
            <v>30.078483116189933</v>
          </cell>
          <cell r="S187">
            <v>28.726521425304853</v>
          </cell>
          <cell r="T187">
            <v>28.726521425304853</v>
          </cell>
          <cell r="U187">
            <v>28.726521425304853</v>
          </cell>
          <cell r="V187">
            <v>28.726521425304853</v>
          </cell>
          <cell r="W187">
            <v>28.726521425304853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BW187">
            <v>6.266982041711529</v>
          </cell>
          <cell r="BX187">
            <v>6.266982041711529</v>
          </cell>
          <cell r="BY187">
            <v>12.533964083423058</v>
          </cell>
          <cell r="BZ187">
            <v>6.580331143797105</v>
          </cell>
          <cell r="CA187">
            <v>6.580331143797105</v>
          </cell>
          <cell r="CB187">
            <v>13.16066228759421</v>
          </cell>
          <cell r="CC187">
            <v>6.9209279938901229</v>
          </cell>
          <cell r="CD187">
            <v>6.9209279938901229</v>
          </cell>
          <cell r="CE187">
            <v>13.841855987780246</v>
          </cell>
          <cell r="CF187">
            <v>15.715222403537503</v>
          </cell>
          <cell r="CG187">
            <v>14.36326071265243</v>
          </cell>
          <cell r="CH187">
            <v>30.078483116189933</v>
          </cell>
          <cell r="CI187">
            <v>14.36326071265243</v>
          </cell>
          <cell r="CJ187">
            <v>14.36326071265243</v>
          </cell>
          <cell r="CK187">
            <v>28.726521425304853</v>
          </cell>
          <cell r="CL187">
            <v>14.36326071265243</v>
          </cell>
          <cell r="CM187">
            <v>14.36326071265243</v>
          </cell>
          <cell r="CN187">
            <v>28.726521425304853</v>
          </cell>
          <cell r="CO187">
            <v>14.36326071265243</v>
          </cell>
          <cell r="CP187">
            <v>14.36326071265243</v>
          </cell>
          <cell r="CQ187">
            <v>28.726521425304853</v>
          </cell>
          <cell r="CR187">
            <v>14.36326071265243</v>
          </cell>
          <cell r="CS187">
            <v>14.36326071265243</v>
          </cell>
          <cell r="CT187">
            <v>28.726521425304853</v>
          </cell>
          <cell r="CU187">
            <v>14.36326071265243</v>
          </cell>
          <cell r="CV187">
            <v>14.36326071265243</v>
          </cell>
          <cell r="CW187">
            <v>28.726521425304853</v>
          </cell>
        </row>
        <row r="189">
          <cell r="A189" t="str">
            <v>Total Costs - Base</v>
          </cell>
          <cell r="B189" t="str">
            <v>A$m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37.135650610442596</v>
          </cell>
          <cell r="P189">
            <v>38.992433140964721</v>
          </cell>
          <cell r="Q189">
            <v>41.010675021967032</v>
          </cell>
          <cell r="R189">
            <v>59.411054766103156</v>
          </cell>
          <cell r="S189">
            <v>56.740658464914247</v>
          </cell>
          <cell r="T189">
            <v>56.740658464914247</v>
          </cell>
          <cell r="U189">
            <v>56.740658464914247</v>
          </cell>
          <cell r="V189">
            <v>56.740658464914247</v>
          </cell>
          <cell r="W189">
            <v>56.740658464914247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BW189">
            <v>18.567825305221298</v>
          </cell>
          <cell r="BX189">
            <v>18.567825305221298</v>
          </cell>
          <cell r="BY189">
            <v>37.135650610442596</v>
          </cell>
          <cell r="BZ189">
            <v>19.49621657048236</v>
          </cell>
          <cell r="CA189">
            <v>19.49621657048236</v>
          </cell>
          <cell r="CB189">
            <v>38.992433140964721</v>
          </cell>
          <cell r="CC189">
            <v>20.505337510983516</v>
          </cell>
          <cell r="CD189">
            <v>20.505337510983516</v>
          </cell>
          <cell r="CE189">
            <v>41.010675021967032</v>
          </cell>
          <cell r="CF189">
            <v>31.040725533646032</v>
          </cell>
          <cell r="CG189">
            <v>28.370329232457124</v>
          </cell>
          <cell r="CH189">
            <v>59.411054766103156</v>
          </cell>
          <cell r="CI189">
            <v>28.370329232457124</v>
          </cell>
          <cell r="CJ189">
            <v>28.370329232457124</v>
          </cell>
          <cell r="CK189">
            <v>56.740658464914247</v>
          </cell>
          <cell r="CL189">
            <v>28.370329232457124</v>
          </cell>
          <cell r="CM189">
            <v>28.370329232457124</v>
          </cell>
          <cell r="CN189">
            <v>56.740658464914247</v>
          </cell>
          <cell r="CO189">
            <v>28.370329232457124</v>
          </cell>
          <cell r="CP189">
            <v>28.370329232457124</v>
          </cell>
          <cell r="CQ189">
            <v>56.740658464914247</v>
          </cell>
          <cell r="CR189">
            <v>28.370329232457124</v>
          </cell>
          <cell r="CS189">
            <v>28.370329232457124</v>
          </cell>
          <cell r="CT189">
            <v>56.740658464914247</v>
          </cell>
          <cell r="CU189">
            <v>28.370329232457124</v>
          </cell>
          <cell r="CV189">
            <v>28.370329232457124</v>
          </cell>
          <cell r="CW189">
            <v>56.740658464914247</v>
          </cell>
        </row>
        <row r="190">
          <cell r="A190" t="str">
            <v>Less tax adjustment</v>
          </cell>
          <cell r="B190" t="str">
            <v>A$m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-11.140695183132779</v>
          </cell>
          <cell r="P190">
            <v>-11.697729942289415</v>
          </cell>
          <cell r="Q190">
            <v>-12.303202506590109</v>
          </cell>
          <cell r="R190">
            <v>-17.823316429830946</v>
          </cell>
          <cell r="S190">
            <v>-17.022197539474273</v>
          </cell>
          <cell r="T190">
            <v>-17.022197539474273</v>
          </cell>
          <cell r="U190">
            <v>-17.022197539474273</v>
          </cell>
          <cell r="V190">
            <v>-17.022197539474273</v>
          </cell>
          <cell r="W190">
            <v>-17.022197539474273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BW190">
            <v>-5.5703475915663896</v>
          </cell>
          <cell r="BX190">
            <v>-5.5703475915663896</v>
          </cell>
          <cell r="BY190">
            <v>-11.140695183132779</v>
          </cell>
          <cell r="BZ190">
            <v>-5.8488649711447076</v>
          </cell>
          <cell r="CA190">
            <v>-5.8488649711447076</v>
          </cell>
          <cell r="CB190">
            <v>-11.697729942289415</v>
          </cell>
          <cell r="CC190">
            <v>-6.1516012532950546</v>
          </cell>
          <cell r="CD190">
            <v>-6.1516012532950546</v>
          </cell>
          <cell r="CE190">
            <v>-12.303202506590109</v>
          </cell>
          <cell r="CF190">
            <v>-9.3122176600938094</v>
          </cell>
          <cell r="CG190">
            <v>-8.5110987697371367</v>
          </cell>
          <cell r="CH190">
            <v>-17.823316429830946</v>
          </cell>
          <cell r="CI190">
            <v>-8.5110987697371367</v>
          </cell>
          <cell r="CJ190">
            <v>-8.5110987697371367</v>
          </cell>
          <cell r="CK190">
            <v>-17.022197539474273</v>
          </cell>
          <cell r="CL190">
            <v>-8.5110987697371367</v>
          </cell>
          <cell r="CM190">
            <v>-8.5110987697371367</v>
          </cell>
          <cell r="CN190">
            <v>-17.022197539474273</v>
          </cell>
          <cell r="CO190">
            <v>-8.5110987697371367</v>
          </cell>
          <cell r="CP190">
            <v>-8.5110987697371367</v>
          </cell>
          <cell r="CQ190">
            <v>-17.022197539474273</v>
          </cell>
          <cell r="CR190">
            <v>-8.5110987697371367</v>
          </cell>
          <cell r="CS190">
            <v>-8.5110987697371367</v>
          </cell>
          <cell r="CT190">
            <v>-17.022197539474273</v>
          </cell>
          <cell r="CU190">
            <v>-8.5110987697371367</v>
          </cell>
          <cell r="CV190">
            <v>-8.5110987697371367</v>
          </cell>
          <cell r="CW190">
            <v>-17.022197539474273</v>
          </cell>
        </row>
        <row r="191">
          <cell r="A191" t="str">
            <v>NPAT Impact</v>
          </cell>
          <cell r="B191" t="str">
            <v>A$m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-25.994955427309819</v>
          </cell>
          <cell r="P191">
            <v>-27.294703198675307</v>
          </cell>
          <cell r="Q191">
            <v>-28.707472515376921</v>
          </cell>
          <cell r="R191">
            <v>-41.58773833627221</v>
          </cell>
          <cell r="S191">
            <v>-39.71846092543997</v>
          </cell>
          <cell r="T191">
            <v>-39.71846092543997</v>
          </cell>
          <cell r="U191">
            <v>-39.71846092543997</v>
          </cell>
          <cell r="V191">
            <v>-39.71846092543997</v>
          </cell>
          <cell r="W191">
            <v>-39.71846092543997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BW191">
            <v>-12.997477713654909</v>
          </cell>
          <cell r="BX191">
            <v>-12.997477713654909</v>
          </cell>
          <cell r="BY191">
            <v>-25.994955427309819</v>
          </cell>
          <cell r="BZ191">
            <v>-13.647351599337654</v>
          </cell>
          <cell r="CA191">
            <v>-13.647351599337654</v>
          </cell>
          <cell r="CB191">
            <v>-27.294703198675307</v>
          </cell>
          <cell r="CC191">
            <v>-14.35373625768846</v>
          </cell>
          <cell r="CD191">
            <v>-14.35373625768846</v>
          </cell>
          <cell r="CE191">
            <v>-28.707472515376921</v>
          </cell>
          <cell r="CF191">
            <v>-21.728507873552225</v>
          </cell>
          <cell r="CG191">
            <v>-19.859230462719985</v>
          </cell>
          <cell r="CH191">
            <v>-41.58773833627221</v>
          </cell>
          <cell r="CI191">
            <v>-19.859230462719985</v>
          </cell>
          <cell r="CJ191">
            <v>-19.859230462719985</v>
          </cell>
          <cell r="CK191">
            <v>-39.71846092543997</v>
          </cell>
          <cell r="CL191">
            <v>-19.859230462719985</v>
          </cell>
          <cell r="CM191">
            <v>-19.859230462719985</v>
          </cell>
          <cell r="CN191">
            <v>-39.71846092543997</v>
          </cell>
          <cell r="CO191">
            <v>-19.859230462719985</v>
          </cell>
          <cell r="CP191">
            <v>-19.859230462719985</v>
          </cell>
          <cell r="CQ191">
            <v>-39.71846092543997</v>
          </cell>
          <cell r="CR191">
            <v>-19.859230462719985</v>
          </cell>
          <cell r="CS191">
            <v>-19.859230462719985</v>
          </cell>
          <cell r="CT191">
            <v>-39.71846092543997</v>
          </cell>
          <cell r="CU191">
            <v>-19.859230462719985</v>
          </cell>
          <cell r="CV191">
            <v>-19.859230462719985</v>
          </cell>
          <cell r="CW191">
            <v>-39.71846092543997</v>
          </cell>
        </row>
        <row r="193">
          <cell r="A193" t="str">
            <v>Discounted Cashflow</v>
          </cell>
        </row>
        <row r="194">
          <cell r="A194" t="str">
            <v>NPV impact</v>
          </cell>
          <cell r="B194" t="str">
            <v>A$m</v>
          </cell>
          <cell r="J194">
            <v>-57.934001209861528</v>
          </cell>
          <cell r="K194">
            <v>-63.145164618688561</v>
          </cell>
          <cell r="L194">
            <v>-68.825072176139599</v>
          </cell>
          <cell r="M194">
            <v>-175.03707064289449</v>
          </cell>
          <cell r="N194">
            <v>-190.78165514722286</v>
          </cell>
          <cell r="O194">
            <v>-207.94246502771554</v>
          </cell>
          <cell r="P194">
            <v>-200.65193432964872</v>
          </cell>
          <cell r="Q194">
            <v>-191.40587262392532</v>
          </cell>
          <cell r="R194">
            <v>-179.91535835107047</v>
          </cell>
          <cell r="S194">
            <v>-154.51100649847703</v>
          </cell>
          <cell r="T194">
            <v>-128.69081060757509</v>
          </cell>
          <cell r="U194">
            <v>-100.54808809628651</v>
          </cell>
          <cell r="V194">
            <v>-69.873927695107483</v>
          </cell>
          <cell r="W194">
            <v>-36.440626565842443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</row>
        <row r="195">
          <cell r="A195" t="str">
            <v>DCF Impact CO2, A$M</v>
          </cell>
          <cell r="B195">
            <v>-201.21918882796086</v>
          </cell>
        </row>
        <row r="196">
          <cell r="A196" t="str">
            <v>DCF Impact CO2, A$/sh</v>
          </cell>
          <cell r="B196">
            <v>-0.48277096745530396</v>
          </cell>
        </row>
        <row r="198">
          <cell r="A198" t="str">
            <v>Total Costs - Bull</v>
          </cell>
          <cell r="B198" t="str">
            <v>A$m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37.135650610442596</v>
          </cell>
          <cell r="P198">
            <v>38.992433140964721</v>
          </cell>
          <cell r="Q198">
            <v>41.010675021967032</v>
          </cell>
          <cell r="R198">
            <v>22.279145537288681</v>
          </cell>
          <cell r="S198">
            <v>21.277746924342843</v>
          </cell>
          <cell r="T198">
            <v>21.277746924342843</v>
          </cell>
          <cell r="U198">
            <v>21.277746924342843</v>
          </cell>
          <cell r="V198">
            <v>21.277746924342843</v>
          </cell>
          <cell r="W198">
            <v>21.277746924342843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BW198">
            <v>18.567825305221298</v>
          </cell>
          <cell r="BX198">
            <v>18.567825305221298</v>
          </cell>
          <cell r="BY198">
            <v>37.135650610442596</v>
          </cell>
          <cell r="BZ198">
            <v>19.49621657048236</v>
          </cell>
          <cell r="CA198">
            <v>19.49621657048236</v>
          </cell>
          <cell r="CB198">
            <v>38.992433140964721</v>
          </cell>
          <cell r="CC198">
            <v>20.505337510983516</v>
          </cell>
          <cell r="CD198">
            <v>20.505337510983516</v>
          </cell>
          <cell r="CE198">
            <v>41.010675021967032</v>
          </cell>
          <cell r="CF198">
            <v>11.640272075117259</v>
          </cell>
          <cell r="CG198">
            <v>10.638873462171421</v>
          </cell>
          <cell r="CH198">
            <v>22.279145537288681</v>
          </cell>
          <cell r="CI198">
            <v>10.638873462171421</v>
          </cell>
          <cell r="CJ198">
            <v>10.638873462171421</v>
          </cell>
          <cell r="CK198">
            <v>21.277746924342843</v>
          </cell>
          <cell r="CL198">
            <v>10.638873462171421</v>
          </cell>
          <cell r="CM198">
            <v>10.638873462171421</v>
          </cell>
          <cell r="CN198">
            <v>21.277746924342843</v>
          </cell>
          <cell r="CO198">
            <v>10.638873462171421</v>
          </cell>
          <cell r="CP198">
            <v>10.638873462171421</v>
          </cell>
          <cell r="CQ198">
            <v>21.277746924342843</v>
          </cell>
          <cell r="CR198">
            <v>10.638873462171421</v>
          </cell>
          <cell r="CS198">
            <v>10.638873462171421</v>
          </cell>
          <cell r="CT198">
            <v>21.277746924342843</v>
          </cell>
          <cell r="CU198">
            <v>10.638873462171421</v>
          </cell>
          <cell r="CV198">
            <v>10.638873462171421</v>
          </cell>
          <cell r="CW198">
            <v>21.277746924342843</v>
          </cell>
        </row>
        <row r="199">
          <cell r="A199" t="str">
            <v>Less tax adjustment</v>
          </cell>
          <cell r="B199" t="str">
            <v>A$m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-11.140695183132779</v>
          </cell>
          <cell r="P199">
            <v>-11.697729942289415</v>
          </cell>
          <cell r="Q199">
            <v>-12.303202506590109</v>
          </cell>
          <cell r="R199">
            <v>-6.6837436611866039</v>
          </cell>
          <cell r="S199">
            <v>-6.383324077302853</v>
          </cell>
          <cell r="T199">
            <v>-6.383324077302853</v>
          </cell>
          <cell r="U199">
            <v>-6.383324077302853</v>
          </cell>
          <cell r="V199">
            <v>-6.383324077302853</v>
          </cell>
          <cell r="W199">
            <v>-6.383324077302853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BW199">
            <v>-5.5703475915663896</v>
          </cell>
          <cell r="BX199">
            <v>-5.5703475915663896</v>
          </cell>
          <cell r="BY199">
            <v>-11.140695183132779</v>
          </cell>
          <cell r="BZ199">
            <v>-5.8488649711447076</v>
          </cell>
          <cell r="CA199">
            <v>-5.8488649711447076</v>
          </cell>
          <cell r="CB199">
            <v>-11.697729942289415</v>
          </cell>
          <cell r="CC199">
            <v>-6.1516012532950546</v>
          </cell>
          <cell r="CD199">
            <v>-6.1516012532950546</v>
          </cell>
          <cell r="CE199">
            <v>-12.303202506590109</v>
          </cell>
          <cell r="CF199">
            <v>-3.4920816225351778</v>
          </cell>
          <cell r="CG199">
            <v>-3.1916620386514265</v>
          </cell>
          <cell r="CH199">
            <v>-6.6837436611866039</v>
          </cell>
          <cell r="CI199">
            <v>-3.1916620386514265</v>
          </cell>
          <cell r="CJ199">
            <v>-3.1916620386514265</v>
          </cell>
          <cell r="CK199">
            <v>-6.383324077302853</v>
          </cell>
          <cell r="CL199">
            <v>-3.1916620386514265</v>
          </cell>
          <cell r="CM199">
            <v>-3.1916620386514265</v>
          </cell>
          <cell r="CN199">
            <v>-6.383324077302853</v>
          </cell>
          <cell r="CO199">
            <v>-3.1916620386514265</v>
          </cell>
          <cell r="CP199">
            <v>-3.1916620386514265</v>
          </cell>
          <cell r="CQ199">
            <v>-6.383324077302853</v>
          </cell>
          <cell r="CR199">
            <v>-3.1916620386514265</v>
          </cell>
          <cell r="CS199">
            <v>-3.1916620386514265</v>
          </cell>
          <cell r="CT199">
            <v>-6.383324077302853</v>
          </cell>
          <cell r="CU199">
            <v>-3.1916620386514265</v>
          </cell>
          <cell r="CV199">
            <v>-3.1916620386514265</v>
          </cell>
          <cell r="CW199">
            <v>-6.383324077302853</v>
          </cell>
        </row>
        <row r="200">
          <cell r="A200" t="str">
            <v>NPAT Impact</v>
          </cell>
          <cell r="B200" t="str">
            <v>A$m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-25.994955427309819</v>
          </cell>
          <cell r="P200">
            <v>-27.294703198675307</v>
          </cell>
          <cell r="Q200">
            <v>-28.707472515376921</v>
          </cell>
          <cell r="R200">
            <v>-15.595401876102077</v>
          </cell>
          <cell r="S200">
            <v>-14.894422847039991</v>
          </cell>
          <cell r="T200">
            <v>-14.894422847039991</v>
          </cell>
          <cell r="U200">
            <v>-14.894422847039991</v>
          </cell>
          <cell r="V200">
            <v>-14.894422847039991</v>
          </cell>
          <cell r="W200">
            <v>-14.894422847039991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BW200">
            <v>-12.997477713654909</v>
          </cell>
          <cell r="BX200">
            <v>-12.997477713654909</v>
          </cell>
          <cell r="BY200">
            <v>-25.994955427309819</v>
          </cell>
          <cell r="BZ200">
            <v>-13.647351599337654</v>
          </cell>
          <cell r="CA200">
            <v>-13.647351599337654</v>
          </cell>
          <cell r="CB200">
            <v>-27.294703198675307</v>
          </cell>
          <cell r="CC200">
            <v>-14.35373625768846</v>
          </cell>
          <cell r="CD200">
            <v>-14.35373625768846</v>
          </cell>
          <cell r="CE200">
            <v>-28.707472515376921</v>
          </cell>
          <cell r="CF200">
            <v>-8.1481904525820816</v>
          </cell>
          <cell r="CG200">
            <v>-7.4472114235199953</v>
          </cell>
          <cell r="CH200">
            <v>-15.595401876102077</v>
          </cell>
          <cell r="CI200">
            <v>-7.4472114235199953</v>
          </cell>
          <cell r="CJ200">
            <v>-7.4472114235199953</v>
          </cell>
          <cell r="CK200">
            <v>-14.894422847039991</v>
          </cell>
          <cell r="CL200">
            <v>-7.4472114235199953</v>
          </cell>
          <cell r="CM200">
            <v>-7.4472114235199953</v>
          </cell>
          <cell r="CN200">
            <v>-14.894422847039991</v>
          </cell>
          <cell r="CO200">
            <v>-7.4472114235199953</v>
          </cell>
          <cell r="CP200">
            <v>-7.4472114235199953</v>
          </cell>
          <cell r="CQ200">
            <v>-14.894422847039991</v>
          </cell>
          <cell r="CR200">
            <v>-7.4472114235199953</v>
          </cell>
          <cell r="CS200">
            <v>-7.4472114235199953</v>
          </cell>
          <cell r="CT200">
            <v>-14.894422847039991</v>
          </cell>
          <cell r="CU200">
            <v>-7.4472114235199953</v>
          </cell>
          <cell r="CV200">
            <v>-7.4472114235199953</v>
          </cell>
          <cell r="CW200">
            <v>-14.894422847039991</v>
          </cell>
        </row>
        <row r="202">
          <cell r="A202" t="str">
            <v>Discounted Cashflow</v>
          </cell>
        </row>
        <row r="203">
          <cell r="A203" t="str">
            <v>NPV impact</v>
          </cell>
          <cell r="B203" t="str">
            <v>A$m</v>
          </cell>
          <cell r="J203">
            <v>-33.739377923047272</v>
          </cell>
          <cell r="K203">
            <v>-36.774234967225382</v>
          </cell>
          <cell r="L203">
            <v>-40.082077402527304</v>
          </cell>
          <cell r="M203">
            <v>-101.93740728473081</v>
          </cell>
          <cell r="N203">
            <v>-111.10667706999234</v>
          </cell>
          <cell r="O203">
            <v>-121.10072267243814</v>
          </cell>
          <cell r="P203">
            <v>-105.99877724951415</v>
          </cell>
          <cell r="Q203">
            <v>-88.238664064432626</v>
          </cell>
          <cell r="R203">
            <v>-67.468259381651421</v>
          </cell>
          <cell r="S203">
            <v>-57.941627436928904</v>
          </cell>
          <cell r="T203">
            <v>-48.259053977840665</v>
          </cell>
          <cell r="U203">
            <v>-37.70553303610744</v>
          </cell>
          <cell r="V203">
            <v>-26.202722885665313</v>
          </cell>
          <cell r="W203">
            <v>-13.665234962190917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</row>
        <row r="204">
          <cell r="A204" t="str">
            <v>DCF Impact CO2, A$M</v>
          </cell>
          <cell r="B204">
            <v>-117.18524727202785</v>
          </cell>
        </row>
        <row r="205">
          <cell r="A205" t="str">
            <v>DCF Impact CO2, A$/sh</v>
          </cell>
          <cell r="B205">
            <v>-0.28115427522856901</v>
          </cell>
        </row>
        <row r="207">
          <cell r="A207" t="str">
            <v>Total Costs - Bear</v>
          </cell>
          <cell r="B207" t="str">
            <v>A$m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37.135650610442596</v>
          </cell>
          <cell r="P207">
            <v>38.992433140964721</v>
          </cell>
          <cell r="Q207">
            <v>41.010675021967032</v>
          </cell>
          <cell r="R207">
            <v>89.116582149154723</v>
          </cell>
          <cell r="S207">
            <v>85.110987697371371</v>
          </cell>
          <cell r="T207">
            <v>85.110987697371371</v>
          </cell>
          <cell r="U207">
            <v>85.110987697371371</v>
          </cell>
          <cell r="V207">
            <v>85.110987697371371</v>
          </cell>
          <cell r="W207">
            <v>85.110987697371371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BW207">
            <v>18.567825305221298</v>
          </cell>
          <cell r="BX207">
            <v>18.567825305221298</v>
          </cell>
          <cell r="BY207">
            <v>37.135650610442596</v>
          </cell>
          <cell r="BZ207">
            <v>19.49621657048236</v>
          </cell>
          <cell r="CA207">
            <v>19.49621657048236</v>
          </cell>
          <cell r="CB207">
            <v>38.992433140964721</v>
          </cell>
          <cell r="CC207">
            <v>20.505337510983516</v>
          </cell>
          <cell r="CD207">
            <v>20.505337510983516</v>
          </cell>
          <cell r="CE207">
            <v>41.010675021967032</v>
          </cell>
          <cell r="CF207">
            <v>46.561088300469038</v>
          </cell>
          <cell r="CG207">
            <v>42.555493848685686</v>
          </cell>
          <cell r="CH207">
            <v>89.116582149154723</v>
          </cell>
          <cell r="CI207">
            <v>42.555493848685686</v>
          </cell>
          <cell r="CJ207">
            <v>42.555493848685686</v>
          </cell>
          <cell r="CK207">
            <v>85.110987697371371</v>
          </cell>
          <cell r="CL207">
            <v>42.555493848685686</v>
          </cell>
          <cell r="CM207">
            <v>42.555493848685686</v>
          </cell>
          <cell r="CN207">
            <v>85.110987697371371</v>
          </cell>
          <cell r="CO207">
            <v>42.555493848685686</v>
          </cell>
          <cell r="CP207">
            <v>42.555493848685686</v>
          </cell>
          <cell r="CQ207">
            <v>85.110987697371371</v>
          </cell>
          <cell r="CR207">
            <v>42.555493848685686</v>
          </cell>
          <cell r="CS207">
            <v>42.555493848685686</v>
          </cell>
          <cell r="CT207">
            <v>85.110987697371371</v>
          </cell>
          <cell r="CU207">
            <v>42.555493848685686</v>
          </cell>
          <cell r="CV207">
            <v>42.555493848685686</v>
          </cell>
          <cell r="CW207">
            <v>85.110987697371371</v>
          </cell>
        </row>
        <row r="208">
          <cell r="A208" t="str">
            <v>Less tax adjustment</v>
          </cell>
          <cell r="B208" t="str">
            <v>A$m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-11.140695183132779</v>
          </cell>
          <cell r="P208">
            <v>-11.697729942289415</v>
          </cell>
          <cell r="Q208">
            <v>-12.303202506590109</v>
          </cell>
          <cell r="R208">
            <v>-26.734974644746416</v>
          </cell>
          <cell r="S208">
            <v>-25.533296309211412</v>
          </cell>
          <cell r="T208">
            <v>-25.533296309211412</v>
          </cell>
          <cell r="U208">
            <v>-25.533296309211412</v>
          </cell>
          <cell r="V208">
            <v>-25.533296309211412</v>
          </cell>
          <cell r="W208">
            <v>-25.533296309211412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BW208">
            <v>-5.5703475915663896</v>
          </cell>
          <cell r="BX208">
            <v>-5.5703475915663896</v>
          </cell>
          <cell r="BY208">
            <v>-11.140695183132779</v>
          </cell>
          <cell r="BZ208">
            <v>-5.8488649711447076</v>
          </cell>
          <cell r="CA208">
            <v>-5.8488649711447076</v>
          </cell>
          <cell r="CB208">
            <v>-11.697729942289415</v>
          </cell>
          <cell r="CC208">
            <v>-6.1516012532950546</v>
          </cell>
          <cell r="CD208">
            <v>-6.1516012532950546</v>
          </cell>
          <cell r="CE208">
            <v>-12.303202506590109</v>
          </cell>
          <cell r="CF208">
            <v>-13.968326490140711</v>
          </cell>
          <cell r="CG208">
            <v>-12.766648154605706</v>
          </cell>
          <cell r="CH208">
            <v>-26.734974644746416</v>
          </cell>
          <cell r="CI208">
            <v>-12.766648154605706</v>
          </cell>
          <cell r="CJ208">
            <v>-12.766648154605706</v>
          </cell>
          <cell r="CK208">
            <v>-25.533296309211412</v>
          </cell>
          <cell r="CL208">
            <v>-12.766648154605706</v>
          </cell>
          <cell r="CM208">
            <v>-12.766648154605706</v>
          </cell>
          <cell r="CN208">
            <v>-25.533296309211412</v>
          </cell>
          <cell r="CO208">
            <v>-12.766648154605706</v>
          </cell>
          <cell r="CP208">
            <v>-12.766648154605706</v>
          </cell>
          <cell r="CQ208">
            <v>-25.533296309211412</v>
          </cell>
          <cell r="CR208">
            <v>-12.766648154605706</v>
          </cell>
          <cell r="CS208">
            <v>-12.766648154605706</v>
          </cell>
          <cell r="CT208">
            <v>-25.533296309211412</v>
          </cell>
          <cell r="CU208">
            <v>-12.766648154605706</v>
          </cell>
          <cell r="CV208">
            <v>-12.766648154605706</v>
          </cell>
          <cell r="CW208">
            <v>-25.533296309211412</v>
          </cell>
        </row>
        <row r="209">
          <cell r="A209" t="str">
            <v>NPAT Impact</v>
          </cell>
          <cell r="B209" t="str">
            <v>A$m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-25.994955427309819</v>
          </cell>
          <cell r="P209">
            <v>-27.294703198675307</v>
          </cell>
          <cell r="Q209">
            <v>-28.707472515376921</v>
          </cell>
          <cell r="R209">
            <v>-62.381607504408308</v>
          </cell>
          <cell r="S209">
            <v>-59.577691388159963</v>
          </cell>
          <cell r="T209">
            <v>-59.577691388159963</v>
          </cell>
          <cell r="U209">
            <v>-59.577691388159963</v>
          </cell>
          <cell r="V209">
            <v>-59.577691388159963</v>
          </cell>
          <cell r="W209">
            <v>-59.577691388159963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BW209">
            <v>-12.997477713654909</v>
          </cell>
          <cell r="BX209">
            <v>-12.997477713654909</v>
          </cell>
          <cell r="BY209">
            <v>-25.994955427309819</v>
          </cell>
          <cell r="BZ209">
            <v>-13.647351599337654</v>
          </cell>
          <cell r="CA209">
            <v>-13.647351599337654</v>
          </cell>
          <cell r="CB209">
            <v>-27.294703198675307</v>
          </cell>
          <cell r="CC209">
            <v>-14.35373625768846</v>
          </cell>
          <cell r="CD209">
            <v>-14.35373625768846</v>
          </cell>
          <cell r="CE209">
            <v>-28.707472515376921</v>
          </cell>
          <cell r="CF209">
            <v>-32.592761810328327</v>
          </cell>
          <cell r="CG209">
            <v>-29.788845694079981</v>
          </cell>
          <cell r="CH209">
            <v>-62.381607504408308</v>
          </cell>
          <cell r="CI209">
            <v>-29.788845694079981</v>
          </cell>
          <cell r="CJ209">
            <v>-29.788845694079981</v>
          </cell>
          <cell r="CK209">
            <v>-59.577691388159963</v>
          </cell>
          <cell r="CL209">
            <v>-29.788845694079981</v>
          </cell>
          <cell r="CM209">
            <v>-29.788845694079981</v>
          </cell>
          <cell r="CN209">
            <v>-59.577691388159963</v>
          </cell>
          <cell r="CO209">
            <v>-29.788845694079981</v>
          </cell>
          <cell r="CP209">
            <v>-29.788845694079981</v>
          </cell>
          <cell r="CQ209">
            <v>-59.577691388159963</v>
          </cell>
          <cell r="CR209">
            <v>-29.788845694079981</v>
          </cell>
          <cell r="CS209">
            <v>-29.788845694079981</v>
          </cell>
          <cell r="CT209">
            <v>-59.577691388159963</v>
          </cell>
          <cell r="CU209">
            <v>-29.788845694079981</v>
          </cell>
          <cell r="CV209">
            <v>-29.788845694079981</v>
          </cell>
          <cell r="CW209">
            <v>-59.577691388159963</v>
          </cell>
        </row>
        <row r="211">
          <cell r="A211" t="str">
            <v>Discounted Cashflow</v>
          </cell>
        </row>
        <row r="212">
          <cell r="A212" t="str">
            <v>NPV impact</v>
          </cell>
          <cell r="B212" t="str">
            <v>A$m</v>
          </cell>
          <cell r="J212">
            <v>-77.289699839312902</v>
          </cell>
          <cell r="K212">
            <v>-84.241908339859123</v>
          </cell>
          <cell r="L212">
            <v>-91.819467995029441</v>
          </cell>
          <cell r="M212">
            <v>-233.51680132942548</v>
          </cell>
          <cell r="N212">
            <v>-254.52163760900731</v>
          </cell>
          <cell r="O212">
            <v>-277.41585891193745</v>
          </cell>
          <cell r="P212">
            <v>-276.37445999375649</v>
          </cell>
          <cell r="Q212">
            <v>-273.93963947151946</v>
          </cell>
          <cell r="R212">
            <v>-269.87303752660569</v>
          </cell>
          <cell r="S212">
            <v>-231.76650974771562</v>
          </cell>
          <cell r="T212">
            <v>-193.03621591136266</v>
          </cell>
          <cell r="U212">
            <v>-150.82213214442976</v>
          </cell>
          <cell r="V212">
            <v>-104.81089154266125</v>
          </cell>
          <cell r="W212">
            <v>-54.660939848763668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</row>
        <row r="213">
          <cell r="A213" t="str">
            <v>DCF Impact CO2, A$M</v>
          </cell>
          <cell r="B213">
            <v>-268.4463420727073</v>
          </cell>
        </row>
        <row r="214">
          <cell r="A214" t="str">
            <v>DCF Impact CO2, A$/sh</v>
          </cell>
          <cell r="B214">
            <v>-0.64406432123669199</v>
          </cell>
        </row>
      </sheetData>
      <sheetData sheetId="12"/>
      <sheetData sheetId="13"/>
      <sheetData sheetId="14"/>
      <sheetData sheetId="15"/>
      <sheetData sheetId="16" refreshError="1">
        <row r="2">
          <cell r="B2" t="str">
            <v>Ticker</v>
          </cell>
          <cell r="C2" t="str">
            <v>Prior ModelWare EPS (Published)</v>
          </cell>
          <cell r="J2" t="str">
            <v>Target</v>
          </cell>
        </row>
        <row r="3">
          <cell r="C3">
            <v>2010</v>
          </cell>
          <cell r="D3">
            <v>2011</v>
          </cell>
          <cell r="E3">
            <v>2012</v>
          </cell>
          <cell r="F3">
            <v>2013</v>
          </cell>
          <cell r="G3">
            <v>2014</v>
          </cell>
          <cell r="H3">
            <v>2015</v>
          </cell>
        </row>
        <row r="4">
          <cell r="B4" t="str">
            <v>ILU.AX</v>
          </cell>
          <cell r="C4">
            <v>8.6612176635087995E-2</v>
          </cell>
          <cell r="D4">
            <v>0.97541895188434702</v>
          </cell>
          <cell r="E4">
            <v>1.8878898584721</v>
          </cell>
          <cell r="F4">
            <v>2.6338051088097401</v>
          </cell>
          <cell r="G4">
            <v>2.8969830090289301</v>
          </cell>
          <cell r="H4">
            <v>2.9135258042132</v>
          </cell>
          <cell r="J4">
            <v>19.799999237060501</v>
          </cell>
        </row>
        <row r="5">
          <cell r="B5" t="str">
            <v>New forecasts</v>
          </cell>
          <cell r="C5">
            <v>8.6612176635088106E-2</v>
          </cell>
          <cell r="D5">
            <v>1.0162764310852159</v>
          </cell>
          <cell r="E5">
            <v>2.1086075018403232</v>
          </cell>
          <cell r="F5">
            <v>2.9876586757577979</v>
          </cell>
          <cell r="G5">
            <v>3.2917885553112383</v>
          </cell>
          <cell r="H5">
            <v>3.1354780366804262</v>
          </cell>
          <cell r="J5">
            <v>21.200000000000003</v>
          </cell>
        </row>
        <row r="6">
          <cell r="B6" t="str">
            <v>% Change</v>
          </cell>
          <cell r="C6">
            <v>0</v>
          </cell>
          <cell r="D6">
            <v>4.188710822353725E-2</v>
          </cell>
          <cell r="E6">
            <v>0.11691235183966375</v>
          </cell>
          <cell r="F6">
            <v>0.13435070262581816</v>
          </cell>
          <cell r="G6">
            <v>0.13628162300290714</v>
          </cell>
          <cell r="H6">
            <v>7.6179943951848683E-2</v>
          </cell>
          <cell r="J6">
            <v>7.0707111963876246E-2</v>
          </cell>
        </row>
        <row r="8">
          <cell r="B8" t="str">
            <v>Consensus comps</v>
          </cell>
          <cell r="J8" t="str">
            <v>Target</v>
          </cell>
        </row>
        <row r="9">
          <cell r="D9">
            <v>2011</v>
          </cell>
          <cell r="E9">
            <v>2012</v>
          </cell>
          <cell r="F9">
            <v>2013</v>
          </cell>
          <cell r="G9">
            <v>2014</v>
          </cell>
          <cell r="L9" t="str">
            <v>ILU Guidance comps</v>
          </cell>
          <cell r="N9">
            <v>2011</v>
          </cell>
          <cell r="O9">
            <v>2012</v>
          </cell>
          <cell r="P9">
            <v>2013</v>
          </cell>
          <cell r="Q9">
            <v>2014</v>
          </cell>
        </row>
        <row r="10">
          <cell r="B10" t="str">
            <v>Sales</v>
          </cell>
          <cell r="D10">
            <v>1518.654</v>
          </cell>
          <cell r="E10">
            <v>2200.665</v>
          </cell>
          <cell r="F10">
            <v>2327.665</v>
          </cell>
          <cell r="G10">
            <v>2042.576</v>
          </cell>
          <cell r="J10">
            <v>19.822560000000003</v>
          </cell>
          <cell r="L10" t="str">
            <v>Zircon production</v>
          </cell>
          <cell r="M10" t="str">
            <v>kt</v>
          </cell>
          <cell r="N10">
            <v>500</v>
          </cell>
          <cell r="O10">
            <v>500</v>
          </cell>
        </row>
        <row r="11">
          <cell r="B11" t="str">
            <v>MS Sales</v>
          </cell>
          <cell r="D11">
            <v>1502.4539452012082</v>
          </cell>
          <cell r="E11">
            <v>2057.5460781721958</v>
          </cell>
          <cell r="F11">
            <v>2529.9951120123587</v>
          </cell>
          <cell r="G11">
            <v>2668.8558729793522</v>
          </cell>
          <cell r="J11">
            <v>21.200000000000003</v>
          </cell>
          <cell r="L11" t="str">
            <v>MS estimate</v>
          </cell>
          <cell r="M11" t="str">
            <v>kt</v>
          </cell>
          <cell r="N11">
            <v>535.75216707667346</v>
          </cell>
          <cell r="O11">
            <v>531.20206142607401</v>
          </cell>
          <cell r="P11">
            <v>531.20206142607401</v>
          </cell>
          <cell r="Q11">
            <v>531.20206142607401</v>
          </cell>
        </row>
        <row r="12">
          <cell r="B12" t="str">
            <v>% Change</v>
          </cell>
          <cell r="D12">
            <v>-1.0667377031760905E-2</v>
          </cell>
          <cell r="E12">
            <v>-6.5034397251650833E-2</v>
          </cell>
          <cell r="F12">
            <v>8.6924068546100353E-2</v>
          </cell>
          <cell r="G12">
            <v>0.30661276397027692</v>
          </cell>
          <cell r="J12">
            <v>6.9488501989652285E-2</v>
          </cell>
          <cell r="N12">
            <v>7.1504334153347004E-2</v>
          </cell>
          <cell r="O12">
            <v>6.2404122852147914E-2</v>
          </cell>
        </row>
        <row r="14">
          <cell r="B14" t="str">
            <v>EBITDA</v>
          </cell>
          <cell r="D14">
            <v>875.08750000000009</v>
          </cell>
          <cell r="E14">
            <v>1539.8000000000002</v>
          </cell>
          <cell r="F14">
            <v>1686.538</v>
          </cell>
          <cell r="G14">
            <v>1552.048</v>
          </cell>
          <cell r="L14" t="str">
            <v>Rutile production</v>
          </cell>
          <cell r="M14" t="str">
            <v>kt</v>
          </cell>
          <cell r="N14">
            <v>250</v>
          </cell>
          <cell r="O14">
            <v>200</v>
          </cell>
        </row>
        <row r="15">
          <cell r="B15" t="str">
            <v>MS EBITDA</v>
          </cell>
          <cell r="D15">
            <v>817.7167931867707</v>
          </cell>
          <cell r="E15">
            <v>1371.0634584057018</v>
          </cell>
          <cell r="F15">
            <v>1837.7324922458649</v>
          </cell>
          <cell r="G15">
            <v>1960.295872979352</v>
          </cell>
          <cell r="L15" t="str">
            <v>MS estimate</v>
          </cell>
          <cell r="M15" t="str">
            <v>kt</v>
          </cell>
          <cell r="N15">
            <v>254.79424011813367</v>
          </cell>
          <cell r="O15">
            <v>219.46564093111684</v>
          </cell>
          <cell r="P15">
            <v>219.46564093111684</v>
          </cell>
          <cell r="Q15">
            <v>219.46564093111684</v>
          </cell>
        </row>
        <row r="16">
          <cell r="B16" t="str">
            <v>% Change</v>
          </cell>
          <cell r="D16">
            <v>-6.5559966075654619E-2</v>
          </cell>
          <cell r="E16">
            <v>-0.10958341446570874</v>
          </cell>
          <cell r="F16">
            <v>8.9647842056250759E-2</v>
          </cell>
          <cell r="G16">
            <v>0.26303817470809676</v>
          </cell>
          <cell r="N16">
            <v>1.9176960472534699E-2</v>
          </cell>
          <cell r="O16">
            <v>9.7328204655584116E-2</v>
          </cell>
        </row>
        <row r="18">
          <cell r="B18" t="str">
            <v>EBIT</v>
          </cell>
          <cell r="D18">
            <v>675.44960000000003</v>
          </cell>
          <cell r="E18">
            <v>1388.903</v>
          </cell>
          <cell r="F18">
            <v>1577.172</v>
          </cell>
          <cell r="G18">
            <v>1402.3150000000001</v>
          </cell>
          <cell r="L18" t="str">
            <v>Syn Rutile production</v>
          </cell>
          <cell r="M18" t="str">
            <v>kt</v>
          </cell>
          <cell r="N18">
            <v>220</v>
          </cell>
          <cell r="O18">
            <v>320</v>
          </cell>
        </row>
        <row r="19">
          <cell r="B19" t="str">
            <v>MS EBIT</v>
          </cell>
          <cell r="D19">
            <v>622.51679318677066</v>
          </cell>
          <cell r="E19">
            <v>1221.8634584057017</v>
          </cell>
          <cell r="F19">
            <v>1688.5324922458649</v>
          </cell>
          <cell r="G19">
            <v>1811.095872979352</v>
          </cell>
          <cell r="L19" t="str">
            <v>MS estimate</v>
          </cell>
          <cell r="M19" t="str">
            <v>kt</v>
          </cell>
          <cell r="N19">
            <v>303</v>
          </cell>
          <cell r="O19">
            <v>320</v>
          </cell>
          <cell r="P19">
            <v>320</v>
          </cell>
          <cell r="Q19">
            <v>320</v>
          </cell>
        </row>
        <row r="20">
          <cell r="B20" t="str">
            <v>% Change</v>
          </cell>
          <cell r="D20">
            <v>-7.8366774979553466E-2</v>
          </cell>
          <cell r="E20">
            <v>-0.12026724803265476</v>
          </cell>
          <cell r="F20">
            <v>7.060770305703179E-2</v>
          </cell>
          <cell r="G20">
            <v>0.29150431463640625</v>
          </cell>
          <cell r="N20">
            <v>0.3772727272727272</v>
          </cell>
          <cell r="O20">
            <v>0</v>
          </cell>
        </row>
        <row r="22">
          <cell r="B22" t="str">
            <v>Net Income (Adj.)</v>
          </cell>
          <cell r="D22">
            <v>477.98880000000003</v>
          </cell>
          <cell r="E22">
            <v>984.39670000000001</v>
          </cell>
          <cell r="F22">
            <v>1116.904</v>
          </cell>
          <cell r="G22">
            <v>964.84</v>
          </cell>
          <cell r="L22" t="str">
            <v>Illmenite Saleable</v>
          </cell>
          <cell r="M22" t="str">
            <v>kt</v>
          </cell>
          <cell r="N22">
            <v>430</v>
          </cell>
          <cell r="O22">
            <v>420</v>
          </cell>
        </row>
        <row r="23">
          <cell r="B23" t="str">
            <v>MS Net Income (Adj.)</v>
          </cell>
          <cell r="D23">
            <v>423.5845418912329</v>
          </cell>
          <cell r="E23">
            <v>878.86869691712513</v>
          </cell>
          <cell r="F23">
            <v>1245.2576806753855</v>
          </cell>
          <cell r="G23">
            <v>1372.0191717084072</v>
          </cell>
          <cell r="L23" t="str">
            <v>MS estimate</v>
          </cell>
          <cell r="M23" t="str">
            <v>kt</v>
          </cell>
          <cell r="N23">
            <v>482.49060890485225</v>
          </cell>
          <cell r="O23">
            <v>633.58746780970455</v>
          </cell>
          <cell r="P23">
            <v>633.58746780970455</v>
          </cell>
          <cell r="Q23">
            <v>633.58746780970455</v>
          </cell>
        </row>
        <row r="24">
          <cell r="B24" t="str">
            <v>% Change</v>
          </cell>
          <cell r="D24">
            <v>-0.11381910644928739</v>
          </cell>
          <cell r="E24">
            <v>-0.10720068757125545</v>
          </cell>
          <cell r="F24">
            <v>0.11491917002301499</v>
          </cell>
          <cell r="G24">
            <v>0.42201729997554738</v>
          </cell>
          <cell r="N24">
            <v>0.1220711834996564</v>
          </cell>
          <cell r="O24">
            <v>0.50854159002310606</v>
          </cell>
        </row>
        <row r="26">
          <cell r="B26" t="str">
            <v>EPS</v>
          </cell>
          <cell r="D26">
            <v>1.1379539999999999</v>
          </cell>
          <cell r="E26">
            <v>2.3281619999999998</v>
          </cell>
          <cell r="F26">
            <v>2.6501700000000001</v>
          </cell>
          <cell r="G26">
            <v>2.515279</v>
          </cell>
          <cell r="L26" t="str">
            <v>Production costs</v>
          </cell>
          <cell r="M26" t="str">
            <v>A$M</v>
          </cell>
          <cell r="N26">
            <v>540</v>
          </cell>
          <cell r="O26">
            <v>530</v>
          </cell>
        </row>
        <row r="27">
          <cell r="B27" t="str">
            <v>MS EPS</v>
          </cell>
          <cell r="D27">
            <v>1.0162764310852159</v>
          </cell>
          <cell r="E27">
            <v>2.1086075018403232</v>
          </cell>
          <cell r="F27">
            <v>2.9876586757577979</v>
          </cell>
          <cell r="G27">
            <v>3.2917885553112383</v>
          </cell>
          <cell r="L27" t="str">
            <v>MS estimate</v>
          </cell>
          <cell r="M27" t="str">
            <v>A$M</v>
          </cell>
          <cell r="N27">
            <v>627.72715201443759</v>
          </cell>
          <cell r="O27">
            <v>629.28261976649389</v>
          </cell>
          <cell r="P27">
            <v>635.06261976649387</v>
          </cell>
          <cell r="Q27">
            <v>651.36</v>
          </cell>
        </row>
        <row r="28">
          <cell r="B28" t="str">
            <v>% Change</v>
          </cell>
          <cell r="D28">
            <v>-0.10692661470919207</v>
          </cell>
          <cell r="E28">
            <v>-9.4303789066085941E-2</v>
          </cell>
          <cell r="F28">
            <v>0.12734604789798309</v>
          </cell>
          <cell r="G28">
            <v>0.3087170668984387</v>
          </cell>
          <cell r="N28">
            <v>0.16245768891562506</v>
          </cell>
          <cell r="O28">
            <v>0.18732569767263008</v>
          </cell>
        </row>
        <row r="30">
          <cell r="B30" t="str">
            <v>CFPS</v>
          </cell>
          <cell r="D30">
            <v>1.7204619999999999</v>
          </cell>
          <cell r="E30">
            <v>2.8870309999999999</v>
          </cell>
          <cell r="F30">
            <v>3.2364649999999999</v>
          </cell>
          <cell r="G30">
            <v>3.4029769999999999</v>
          </cell>
          <cell r="L30" t="str">
            <v>Z-R-SR unit costs</v>
          </cell>
          <cell r="M30" t="str">
            <v>A$/t</v>
          </cell>
          <cell r="N30">
            <v>560</v>
          </cell>
          <cell r="O30">
            <v>550</v>
          </cell>
        </row>
        <row r="31">
          <cell r="B31" t="str">
            <v>MS CFPS</v>
          </cell>
          <cell r="D31">
            <v>1.859922556491179</v>
          </cell>
          <cell r="E31">
            <v>2.7061441790224796</v>
          </cell>
          <cell r="F31">
            <v>3.621835496301848</v>
          </cell>
          <cell r="G31">
            <v>3.9530377081380932</v>
          </cell>
          <cell r="L31" t="str">
            <v>MS estimate</v>
          </cell>
          <cell r="M31" t="str">
            <v>A$/t</v>
          </cell>
          <cell r="N31">
            <v>572.99230919353465</v>
          </cell>
          <cell r="O31">
            <v>590.55391747529279</v>
          </cell>
          <cell r="P31">
            <v>596.76376806631038</v>
          </cell>
          <cell r="Q31">
            <v>610.74492255875282</v>
          </cell>
        </row>
        <row r="32">
          <cell r="B32" t="str">
            <v>% Change</v>
          </cell>
          <cell r="D32">
            <v>8.1059945811752243E-2</v>
          </cell>
          <cell r="E32">
            <v>-6.2654963170648448E-2</v>
          </cell>
          <cell r="F32">
            <v>0.11907142400793713</v>
          </cell>
          <cell r="G32">
            <v>0.16164103023267362</v>
          </cell>
          <cell r="N32">
            <v>2.3200552131311891E-2</v>
          </cell>
          <cell r="O32">
            <v>7.3734395409623232E-2</v>
          </cell>
        </row>
        <row r="34">
          <cell r="L34" t="str">
            <v>Other Cash costs</v>
          </cell>
          <cell r="M34" t="str">
            <v>A$M</v>
          </cell>
          <cell r="N34">
            <v>115</v>
          </cell>
          <cell r="O34">
            <v>115</v>
          </cell>
        </row>
        <row r="35">
          <cell r="L35" t="str">
            <v>MS estimate</v>
          </cell>
          <cell r="M35" t="str">
            <v>A$M</v>
          </cell>
          <cell r="N35">
            <v>84.800000000000011</v>
          </cell>
          <cell r="O35">
            <v>84.800000000000011</v>
          </cell>
          <cell r="P35">
            <v>84.800000000000011</v>
          </cell>
          <cell r="Q35">
            <v>84.800000000000011</v>
          </cell>
        </row>
        <row r="36">
          <cell r="N36">
            <v>-0.26260869565217382</v>
          </cell>
          <cell r="O36">
            <v>-0.26260869565217382</v>
          </cell>
        </row>
        <row r="38">
          <cell r="L38" t="str">
            <v>Restructure and rehab</v>
          </cell>
          <cell r="M38" t="str">
            <v>A$M</v>
          </cell>
          <cell r="N38">
            <v>5</v>
          </cell>
          <cell r="O38">
            <v>5</v>
          </cell>
        </row>
        <row r="39">
          <cell r="L39" t="str">
            <v>MS estimate</v>
          </cell>
          <cell r="M39" t="str">
            <v>A$M</v>
          </cell>
          <cell r="N39">
            <v>5</v>
          </cell>
          <cell r="O39">
            <v>5</v>
          </cell>
          <cell r="P39">
            <v>5</v>
          </cell>
          <cell r="Q39">
            <v>5</v>
          </cell>
        </row>
        <row r="40">
          <cell r="N40">
            <v>0</v>
          </cell>
          <cell r="O40">
            <v>0</v>
          </cell>
        </row>
        <row r="42">
          <cell r="L42" t="str">
            <v>Dep &amp; Amort</v>
          </cell>
          <cell r="M42" t="str">
            <v>A$M</v>
          </cell>
          <cell r="N42">
            <v>195</v>
          </cell>
          <cell r="O42">
            <v>150</v>
          </cell>
        </row>
        <row r="43">
          <cell r="L43" t="str">
            <v>MS estimate</v>
          </cell>
          <cell r="M43" t="str">
            <v>A$M</v>
          </cell>
          <cell r="N43">
            <v>195.2</v>
          </cell>
          <cell r="O43">
            <v>149.19999999999999</v>
          </cell>
          <cell r="P43">
            <v>149.19999999999999</v>
          </cell>
          <cell r="Q43">
            <v>149.19999999999999</v>
          </cell>
        </row>
        <row r="44">
          <cell r="N44">
            <v>1.0256410256410664E-3</v>
          </cell>
          <cell r="O44">
            <v>-5.3333333333334121E-3</v>
          </cell>
        </row>
        <row r="46">
          <cell r="L46" t="str">
            <v>Other</v>
          </cell>
          <cell r="M46" t="str">
            <v>A$M</v>
          </cell>
          <cell r="N46">
            <v>15</v>
          </cell>
          <cell r="O46">
            <v>15</v>
          </cell>
        </row>
        <row r="47">
          <cell r="L47" t="str">
            <v>MS estimate</v>
          </cell>
          <cell r="M47" t="str">
            <v>A$M</v>
          </cell>
          <cell r="N47">
            <v>10</v>
          </cell>
          <cell r="O47">
            <v>10</v>
          </cell>
          <cell r="P47">
            <v>10</v>
          </cell>
          <cell r="Q47">
            <v>10</v>
          </cell>
        </row>
        <row r="48">
          <cell r="N48">
            <v>-0.33333333333333337</v>
          </cell>
          <cell r="O48">
            <v>-0.33333333333333337</v>
          </cell>
        </row>
        <row r="50">
          <cell r="L50" t="str">
            <v>Operating cashflow</v>
          </cell>
          <cell r="M50" t="str">
            <v>A$M</v>
          </cell>
          <cell r="N50" t="str">
            <v>&gt;165</v>
          </cell>
        </row>
        <row r="51">
          <cell r="L51" t="str">
            <v>MS estimate</v>
          </cell>
          <cell r="M51" t="str">
            <v>A$M</v>
          </cell>
          <cell r="N51">
            <v>775.21668312548513</v>
          </cell>
          <cell r="O51">
            <v>1127.9222928931101</v>
          </cell>
          <cell r="P51">
            <v>1509.5829073475618</v>
          </cell>
          <cell r="Q51">
            <v>1647.6281604724525</v>
          </cell>
        </row>
        <row r="53">
          <cell r="L53" t="str">
            <v>Net Debt</v>
          </cell>
          <cell r="M53" t="str">
            <v>A$M</v>
          </cell>
          <cell r="N53" t="str">
            <v>&lt;300</v>
          </cell>
        </row>
        <row r="54">
          <cell r="L54" t="str">
            <v>MS estimate</v>
          </cell>
          <cell r="M54" t="str">
            <v>A$M</v>
          </cell>
          <cell r="N54">
            <v>216.00302681394453</v>
          </cell>
          <cell r="O54">
            <v>580.5214946949078</v>
          </cell>
          <cell r="P54">
            <v>872.0449953369714</v>
          </cell>
          <cell r="Q54">
            <v>872.0449953369714</v>
          </cell>
        </row>
        <row r="56">
          <cell r="L56" t="str">
            <v>Gearing (ND/ND+E)</v>
          </cell>
          <cell r="M56" t="str">
            <v>%</v>
          </cell>
          <cell r="N56" t="str">
            <v>&lt;22%</v>
          </cell>
        </row>
        <row r="57">
          <cell r="L57" t="str">
            <v>MS estimate</v>
          </cell>
          <cell r="M57" t="str">
            <v>%</v>
          </cell>
          <cell r="N57">
            <v>-0.12457518255714928</v>
          </cell>
          <cell r="O57">
            <v>-0.45204360095161239</v>
          </cell>
          <cell r="P57">
            <v>-0.78494193207627305</v>
          </cell>
          <cell r="Q57">
            <v>-1.0687842108185657</v>
          </cell>
        </row>
        <row r="60">
          <cell r="L60" t="str">
            <v>ILU Guidance comps</v>
          </cell>
          <cell r="N60">
            <v>2011</v>
          </cell>
          <cell r="O60">
            <v>2012</v>
          </cell>
        </row>
        <row r="61">
          <cell r="L61" t="str">
            <v>Zircon production</v>
          </cell>
          <cell r="M61" t="str">
            <v>kt</v>
          </cell>
          <cell r="N61">
            <v>500</v>
          </cell>
          <cell r="O61">
            <v>500</v>
          </cell>
        </row>
        <row r="62">
          <cell r="L62" t="str">
            <v>MS estimate</v>
          </cell>
          <cell r="M62" t="str">
            <v>kt</v>
          </cell>
          <cell r="N62">
            <v>535.75216707667346</v>
          </cell>
          <cell r="O62">
            <v>531.20206142607401</v>
          </cell>
        </row>
        <row r="63">
          <cell r="N63">
            <v>7.1504334153347004E-2</v>
          </cell>
          <cell r="O63">
            <v>6.2404122852147914E-2</v>
          </cell>
        </row>
        <row r="64">
          <cell r="L64" t="str">
            <v>Rutile production</v>
          </cell>
          <cell r="M64" t="str">
            <v>kt</v>
          </cell>
          <cell r="N64">
            <v>250</v>
          </cell>
          <cell r="O64">
            <v>200</v>
          </cell>
        </row>
        <row r="65">
          <cell r="L65" t="str">
            <v>MS estimate</v>
          </cell>
          <cell r="M65" t="str">
            <v>kt</v>
          </cell>
          <cell r="N65">
            <v>254.79424011813367</v>
          </cell>
          <cell r="O65">
            <v>219.46564093111684</v>
          </cell>
        </row>
        <row r="66">
          <cell r="N66">
            <v>1.9176960472534699E-2</v>
          </cell>
          <cell r="O66">
            <v>9.7328204655584116E-2</v>
          </cell>
        </row>
        <row r="67">
          <cell r="L67" t="str">
            <v>Syn Rutile production</v>
          </cell>
          <cell r="M67" t="str">
            <v>kt</v>
          </cell>
          <cell r="N67">
            <v>220</v>
          </cell>
          <cell r="O67">
            <v>320</v>
          </cell>
        </row>
        <row r="68">
          <cell r="L68" t="str">
            <v>MS estimate</v>
          </cell>
          <cell r="M68" t="str">
            <v>kt</v>
          </cell>
          <cell r="N68">
            <v>303</v>
          </cell>
          <cell r="O68">
            <v>320</v>
          </cell>
        </row>
        <row r="69">
          <cell r="N69">
            <v>0.3772727272727272</v>
          </cell>
          <cell r="O69">
            <v>0</v>
          </cell>
        </row>
        <row r="70">
          <cell r="L70" t="str">
            <v>Production costs</v>
          </cell>
          <cell r="M70" t="str">
            <v>A$M</v>
          </cell>
          <cell r="N70">
            <v>540</v>
          </cell>
          <cell r="O70">
            <v>530</v>
          </cell>
        </row>
        <row r="71">
          <cell r="L71" t="str">
            <v>MS estimate</v>
          </cell>
          <cell r="M71" t="str">
            <v>A$M</v>
          </cell>
          <cell r="N71">
            <v>627.72715201443759</v>
          </cell>
          <cell r="O71">
            <v>629.28261976649389</v>
          </cell>
        </row>
        <row r="72">
          <cell r="N72">
            <v>0.16245768891562506</v>
          </cell>
          <cell r="O72">
            <v>0.18732569767263008</v>
          </cell>
        </row>
        <row r="73">
          <cell r="L73" t="str">
            <v>Z-R-SR unit costs</v>
          </cell>
          <cell r="M73" t="str">
            <v>A$/t</v>
          </cell>
          <cell r="N73">
            <v>560</v>
          </cell>
          <cell r="O73">
            <v>550</v>
          </cell>
        </row>
        <row r="74">
          <cell r="L74" t="str">
            <v>MS estimate</v>
          </cell>
          <cell r="M74" t="str">
            <v>A$/t</v>
          </cell>
          <cell r="N74">
            <v>572.99230919353465</v>
          </cell>
          <cell r="O74">
            <v>590.55391747529279</v>
          </cell>
        </row>
        <row r="75">
          <cell r="N75">
            <v>2.3200552131311891E-2</v>
          </cell>
          <cell r="O75">
            <v>7.3734395409623232E-2</v>
          </cell>
        </row>
        <row r="76">
          <cell r="L76" t="str">
            <v>Other Cash costs</v>
          </cell>
          <cell r="M76" t="str">
            <v>A$M</v>
          </cell>
          <cell r="N76">
            <v>115</v>
          </cell>
          <cell r="O76">
            <v>115</v>
          </cell>
        </row>
        <row r="77">
          <cell r="L77" t="str">
            <v>MS estimate</v>
          </cell>
          <cell r="M77" t="str">
            <v>A$M</v>
          </cell>
          <cell r="N77">
            <v>84.800000000000011</v>
          </cell>
          <cell r="O77">
            <v>84.800000000000011</v>
          </cell>
        </row>
        <row r="78">
          <cell r="N78">
            <v>-0.26260869565217382</v>
          </cell>
          <cell r="O78">
            <v>-0.26260869565217382</v>
          </cell>
        </row>
        <row r="79">
          <cell r="L79" t="str">
            <v>Dep &amp; Amort</v>
          </cell>
          <cell r="M79" t="str">
            <v>A$M</v>
          </cell>
          <cell r="N79">
            <v>195</v>
          </cell>
          <cell r="O79">
            <v>150</v>
          </cell>
        </row>
        <row r="80">
          <cell r="L80" t="str">
            <v>MS estimate</v>
          </cell>
          <cell r="M80" t="str">
            <v>A$M</v>
          </cell>
          <cell r="N80">
            <v>195.2</v>
          </cell>
          <cell r="O80">
            <v>149.19999999999999</v>
          </cell>
        </row>
        <row r="81">
          <cell r="N81">
            <v>1.0256410256410664E-3</v>
          </cell>
          <cell r="O81">
            <v>-5.3333333333334121E-3</v>
          </cell>
        </row>
      </sheetData>
      <sheetData sheetId="17" refreshError="1">
        <row r="1">
          <cell r="A1" t="str">
            <v>RRS-5.13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  <cell r="G2" t="str">
            <v>Is refreshing chart data too slow? Read below to improve performance.</v>
          </cell>
          <cell r="AQ2" t="str">
            <v>Refer to cell G2 to learn about improving chart refresh performance</v>
          </cell>
        </row>
        <row r="4">
          <cell r="B4" t="str">
            <v>Ticker:</v>
          </cell>
          <cell r="C4" t="str">
            <v>ILU.AX</v>
          </cell>
          <cell r="E4" t="str">
            <v>Company Name:</v>
          </cell>
          <cell r="F4" t="str">
            <v>Iluka Resources</v>
          </cell>
          <cell r="I4" t="str">
            <v>Sedol:</v>
          </cell>
          <cell r="J4">
            <v>6957575</v>
          </cell>
          <cell r="K4">
            <v>6957575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26</v>
          </cell>
          <cell r="AA6" t="str">
            <v>mstag:bullCaseValueEstimatePerShare</v>
          </cell>
          <cell r="AB6">
            <v>0</v>
          </cell>
          <cell r="AC6" t="str">
            <v>ISO4217:AUD</v>
          </cell>
          <cell r="AD6" t="b">
            <v>0</v>
          </cell>
        </row>
        <row r="7">
          <cell r="B7" t="str">
            <v>Base Case</v>
          </cell>
          <cell r="C7">
            <v>19.900000000000002</v>
          </cell>
          <cell r="AA7" t="str">
            <v>mstag:met_12monthIntrinsicValueEstimate</v>
          </cell>
          <cell r="AB7">
            <v>0</v>
          </cell>
          <cell r="AC7" t="str">
            <v>ISO4217:AUD</v>
          </cell>
          <cell r="AD7" t="b">
            <v>0</v>
          </cell>
        </row>
        <row r="8">
          <cell r="B8" t="str">
            <v>Bear Case</v>
          </cell>
          <cell r="C8">
            <v>14.700000000000001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ISO4217:AUD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ISO4217:AUD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ISO4217:AUD</v>
          </cell>
          <cell r="AD10" t="b">
            <v>0</v>
          </cell>
        </row>
        <row r="11">
          <cell r="B11" t="str">
            <v>Price Target</v>
          </cell>
          <cell r="C11">
            <v>21.200000000000003</v>
          </cell>
          <cell r="O11" t="b">
            <v>1</v>
          </cell>
        </row>
        <row r="12">
          <cell r="B12" t="str">
            <v>Currency</v>
          </cell>
          <cell r="C12" t="str">
            <v>AUD Australian Dollar</v>
          </cell>
          <cell r="F12">
            <v>0</v>
          </cell>
        </row>
        <row r="13">
          <cell r="B13" t="str">
            <v>Currency Symbol</v>
          </cell>
          <cell r="C13" t="str">
            <v>A$</v>
          </cell>
          <cell r="F13">
            <v>0</v>
          </cell>
          <cell r="I13" t="str">
            <v xml:space="preserve">WARNINGDONOTEDIT_RRS4RL~ILU.AX~ 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40019</v>
          </cell>
          <cell r="E15">
            <v>19.799999237060501</v>
          </cell>
          <cell r="F15" t="str">
            <v>AUD</v>
          </cell>
        </row>
        <row r="16">
          <cell r="B16" t="str">
            <v>End Date (+1 Yr)</v>
          </cell>
          <cell r="C16">
            <v>41115</v>
          </cell>
          <cell r="E16" t="str">
            <v>AUD</v>
          </cell>
          <cell r="F16" t="str">
            <v>AUD</v>
          </cell>
          <cell r="J16" t="str">
            <v>N.B. if chart data labels aren't updating click into the relevant cell and hit F2</v>
          </cell>
        </row>
        <row r="17">
          <cell r="B17">
            <v>19.25</v>
          </cell>
          <cell r="C17" t="str">
            <v>Hand entert Share Price</v>
          </cell>
          <cell r="H17" t="str">
            <v>2007-FY</v>
          </cell>
        </row>
        <row r="18">
          <cell r="B18" t="b">
            <v>1</v>
          </cell>
          <cell r="C18" t="str">
            <v>25/07/2011</v>
          </cell>
        </row>
        <row r="19">
          <cell r="C19" t="str">
            <v>2010-FY</v>
          </cell>
        </row>
        <row r="34">
          <cell r="A34" t="str">
            <v>BullCase</v>
          </cell>
        </row>
        <row r="52">
          <cell r="A52">
            <v>41115</v>
          </cell>
          <cell r="B52">
            <v>784</v>
          </cell>
          <cell r="N52" t="str">
            <v>Jul-12</v>
          </cell>
          <cell r="R52" t="b">
            <v>1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Price(Jul-12)</v>
          </cell>
          <cell r="K53" t="str">
            <v>Bull Price(Jul-12)</v>
          </cell>
          <cell r="L53" t="str">
            <v>Bear Price(Jul-12)</v>
          </cell>
          <cell r="M53" t="str">
            <v>Extreme Downside Price(Jul-12)</v>
          </cell>
          <cell r="N53" t="str">
            <v>Price Target (Jul-12)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Case(Jul-12)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40018</v>
          </cell>
          <cell r="B54">
            <v>40018</v>
          </cell>
          <cell r="C54" t="str">
            <v>Past</v>
          </cell>
          <cell r="D54">
            <v>3.14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3.14</v>
          </cell>
          <cell r="Q54">
            <v>1.1067200000000001</v>
          </cell>
          <cell r="R54" t="e">
            <v>#N/A</v>
          </cell>
          <cell r="S54" t="str">
            <v>Count</v>
          </cell>
          <cell r="T54">
            <v>784</v>
          </cell>
          <cell r="U54">
            <v>26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40021</v>
          </cell>
          <cell r="B55">
            <v>40021</v>
          </cell>
          <cell r="C55" t="str">
            <v>Past</v>
          </cell>
          <cell r="D55">
            <v>3.12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3.12</v>
          </cell>
          <cell r="Q55">
            <v>0.58444200000000002</v>
          </cell>
          <cell r="R55" t="e">
            <v>#N/A</v>
          </cell>
          <cell r="S55" t="str">
            <v>Curr Price</v>
          </cell>
          <cell r="T55">
            <v>19.25</v>
          </cell>
          <cell r="U55">
            <v>523</v>
          </cell>
          <cell r="V55">
            <v>164.85345000000001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40022</v>
          </cell>
          <cell r="B56">
            <v>40022</v>
          </cell>
          <cell r="C56" t="str">
            <v>Past</v>
          </cell>
          <cell r="D56">
            <v>3.18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3.18</v>
          </cell>
          <cell r="Q56">
            <v>1.5543819999999999</v>
          </cell>
          <cell r="R56" t="e">
            <v>#N/A</v>
          </cell>
          <cell r="S56" t="str">
            <v>Curr Price Date</v>
          </cell>
          <cell r="T56">
            <v>40750.776967592596</v>
          </cell>
          <cell r="U56">
            <v>40750.776967592596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40023</v>
          </cell>
          <cell r="B57">
            <v>40023</v>
          </cell>
          <cell r="C57" t="str">
            <v>Past</v>
          </cell>
          <cell r="D57">
            <v>3.06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3.06</v>
          </cell>
          <cell r="Q57">
            <v>1.7587409999999999</v>
          </cell>
          <cell r="R57" t="e">
            <v>#N/A</v>
          </cell>
          <cell r="S57" t="str">
            <v>Bull-Curr</v>
          </cell>
          <cell r="T57">
            <v>6.75</v>
          </cell>
          <cell r="U57">
            <v>2.5763358778625955E-2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40024</v>
          </cell>
          <cell r="B58">
            <v>40024</v>
          </cell>
          <cell r="C58" t="str">
            <v>Past</v>
          </cell>
          <cell r="D58">
            <v>3.04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3.04</v>
          </cell>
          <cell r="Q58">
            <v>1.8200049999999999</v>
          </cell>
          <cell r="R58" t="e">
            <v>#N/A</v>
          </cell>
          <cell r="S58" t="str">
            <v>Upp-Cur</v>
          </cell>
          <cell r="T58">
            <v>-19.25</v>
          </cell>
          <cell r="U58">
            <v>-7.3473282442748089E-2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40025</v>
          </cell>
          <cell r="B59">
            <v>40025</v>
          </cell>
          <cell r="C59" t="str">
            <v>Past</v>
          </cell>
          <cell r="D59">
            <v>3.15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3.15</v>
          </cell>
          <cell r="Q59">
            <v>1.881141</v>
          </cell>
          <cell r="R59" t="e">
            <v>#N/A</v>
          </cell>
          <cell r="S59" t="str">
            <v>Curr-Bear</v>
          </cell>
          <cell r="T59">
            <v>4.5499999999999989</v>
          </cell>
          <cell r="U59">
            <v>1.7366412213740454E-2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40028</v>
          </cell>
          <cell r="B60">
            <v>40028</v>
          </cell>
          <cell r="C60" t="str">
            <v>Past</v>
          </cell>
          <cell r="D60">
            <v>3.26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3.26</v>
          </cell>
          <cell r="Q60">
            <v>1.0599149999999999</v>
          </cell>
          <cell r="R60" t="e">
            <v>#N/A</v>
          </cell>
          <cell r="S60" t="str">
            <v>Curr-Lower</v>
          </cell>
          <cell r="T60">
            <v>19.25</v>
          </cell>
          <cell r="U60">
            <v>7.3473282442748089E-2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40029</v>
          </cell>
          <cell r="B61">
            <v>40029</v>
          </cell>
          <cell r="C61" t="str">
            <v>Past</v>
          </cell>
          <cell r="D61">
            <v>3.36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3.36</v>
          </cell>
          <cell r="Q61">
            <v>1.667252</v>
          </cell>
          <cell r="R61" t="e">
            <v>#N/A</v>
          </cell>
          <cell r="S61" t="str">
            <v>PriceFoundAt</v>
          </cell>
          <cell r="T61">
            <v>523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40030</v>
          </cell>
          <cell r="B62">
            <v>40030</v>
          </cell>
          <cell r="C62" t="str">
            <v>Past</v>
          </cell>
          <cell r="D62">
            <v>3.3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3.3</v>
          </cell>
          <cell r="Q62">
            <v>0.83283799999999997</v>
          </cell>
          <cell r="R62" t="e">
            <v>#N/A</v>
          </cell>
          <cell r="S62" t="str">
            <v>Starting Point</v>
          </cell>
          <cell r="T62">
            <v>576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40031</v>
          </cell>
          <cell r="B63">
            <v>40031</v>
          </cell>
          <cell r="C63" t="str">
            <v>Past</v>
          </cell>
          <cell r="D63">
            <v>3.3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3.3</v>
          </cell>
          <cell r="Q63">
            <v>1.199371</v>
          </cell>
          <cell r="R63" t="e">
            <v>#N/A</v>
          </cell>
          <cell r="S63" t="str">
            <v>Saved</v>
          </cell>
          <cell r="T63">
            <v>262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40032</v>
          </cell>
          <cell r="B64">
            <v>40032</v>
          </cell>
          <cell r="C64" t="str">
            <v>Past</v>
          </cell>
          <cell r="D64">
            <v>3.25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3.25</v>
          </cell>
          <cell r="Q64">
            <v>0.79799599999999993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40035</v>
          </cell>
          <cell r="B65">
            <v>40035</v>
          </cell>
          <cell r="C65" t="str">
            <v>Past</v>
          </cell>
          <cell r="D65">
            <v>3.39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3.39</v>
          </cell>
          <cell r="Q65">
            <v>1.058082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40036</v>
          </cell>
          <cell r="B66">
            <v>40036</v>
          </cell>
          <cell r="C66" t="str">
            <v>Past</v>
          </cell>
          <cell r="D66">
            <v>3.5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3.5</v>
          </cell>
          <cell r="Q66">
            <v>1.5727469999999999</v>
          </cell>
          <cell r="R66" t="e">
            <v>#N/A</v>
          </cell>
          <cell r="S66" t="str">
            <v>default StartDate</v>
          </cell>
          <cell r="T66">
            <v>40019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40037</v>
          </cell>
          <cell r="B67">
            <v>40037</v>
          </cell>
          <cell r="C67" t="str">
            <v>Past</v>
          </cell>
          <cell r="D67">
            <v>3.41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3.41</v>
          </cell>
          <cell r="Q67">
            <v>0.96982099999999993</v>
          </cell>
          <cell r="R67" t="e">
            <v>#N/A</v>
          </cell>
          <cell r="S67" t="str">
            <v>default EndDate</v>
          </cell>
          <cell r="T67">
            <v>41115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40038</v>
          </cell>
          <cell r="B68">
            <v>40038</v>
          </cell>
          <cell r="C68" t="str">
            <v>Past</v>
          </cell>
          <cell r="D68">
            <v>3.45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3.45</v>
          </cell>
          <cell r="Q68">
            <v>0.87287099999999995</v>
          </cell>
          <cell r="R68" t="e">
            <v>#N/A</v>
          </cell>
          <cell r="S68" t="str">
            <v>Max sharePrice</v>
          </cell>
          <cell r="T68">
            <v>19.25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40039</v>
          </cell>
          <cell r="B69">
            <v>40039</v>
          </cell>
          <cell r="C69" t="str">
            <v>Past</v>
          </cell>
          <cell r="D69">
            <v>3.45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3.45</v>
          </cell>
          <cell r="Q69">
            <v>1.6553739999999999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40042</v>
          </cell>
          <cell r="B70">
            <v>40042</v>
          </cell>
          <cell r="C70" t="str">
            <v>Past</v>
          </cell>
          <cell r="D70">
            <v>3.47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3.47</v>
          </cell>
          <cell r="Q70">
            <v>1.431983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40043</v>
          </cell>
          <cell r="B71">
            <v>40043</v>
          </cell>
          <cell r="C71" t="str">
            <v>Past</v>
          </cell>
          <cell r="D71">
            <v>3.35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3.35</v>
          </cell>
          <cell r="Q71">
            <v>1.745779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40044</v>
          </cell>
          <cell r="B72">
            <v>40044</v>
          </cell>
          <cell r="C72" t="str">
            <v>Past</v>
          </cell>
          <cell r="D72">
            <v>3.65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3.65</v>
          </cell>
          <cell r="Q72">
            <v>5.6100029999999999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40045</v>
          </cell>
          <cell r="B73">
            <v>40045</v>
          </cell>
          <cell r="C73" t="str">
            <v>Past</v>
          </cell>
          <cell r="D73">
            <v>3.66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3.66</v>
          </cell>
          <cell r="Q73">
            <v>4.270232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40046</v>
          </cell>
          <cell r="B74">
            <v>40046</v>
          </cell>
          <cell r="C74" t="str">
            <v>Past</v>
          </cell>
          <cell r="D74">
            <v>3.47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3.47</v>
          </cell>
          <cell r="Q74">
            <v>2.7388509999999999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40049</v>
          </cell>
          <cell r="B75">
            <v>40049</v>
          </cell>
          <cell r="C75" t="str">
            <v>Past</v>
          </cell>
          <cell r="D75">
            <v>3.46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3.46</v>
          </cell>
          <cell r="Q75">
            <v>3.275468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40050</v>
          </cell>
          <cell r="B76">
            <v>40050</v>
          </cell>
          <cell r="C76" t="str">
            <v>Past</v>
          </cell>
          <cell r="D76">
            <v>3.45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3.45</v>
          </cell>
          <cell r="Q76">
            <v>1.2124509999999999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40051</v>
          </cell>
          <cell r="B77">
            <v>40051</v>
          </cell>
          <cell r="C77" t="str">
            <v>Past</v>
          </cell>
          <cell r="D77">
            <v>3.73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3.73</v>
          </cell>
          <cell r="Q77">
            <v>1.276154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40052</v>
          </cell>
          <cell r="B78">
            <v>40052</v>
          </cell>
          <cell r="C78" t="str">
            <v>Past</v>
          </cell>
          <cell r="D78">
            <v>3.64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3.64</v>
          </cell>
          <cell r="Q78">
            <v>1.4777209999999998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40053</v>
          </cell>
          <cell r="B79">
            <v>40053</v>
          </cell>
          <cell r="C79" t="str">
            <v>Past</v>
          </cell>
          <cell r="D79">
            <v>3.96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3.96</v>
          </cell>
          <cell r="Q79">
            <v>3.6613039999999999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40056</v>
          </cell>
          <cell r="B80">
            <v>40056</v>
          </cell>
          <cell r="C80" t="str">
            <v>Past</v>
          </cell>
          <cell r="D80">
            <v>3.95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3.95</v>
          </cell>
          <cell r="Q80">
            <v>1.835081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40057</v>
          </cell>
          <cell r="B81">
            <v>40057</v>
          </cell>
          <cell r="C81" t="str">
            <v>Past</v>
          </cell>
          <cell r="D81">
            <v>4.05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4.05</v>
          </cell>
          <cell r="Q81">
            <v>3.5656469999999998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40058</v>
          </cell>
          <cell r="B82">
            <v>40058</v>
          </cell>
          <cell r="C82" t="str">
            <v>Past</v>
          </cell>
          <cell r="D82">
            <v>3.82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3.82</v>
          </cell>
          <cell r="Q82">
            <v>3.8784839999999998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40059</v>
          </cell>
          <cell r="B83">
            <v>40059</v>
          </cell>
          <cell r="C83" t="str">
            <v>Past</v>
          </cell>
          <cell r="D83">
            <v>4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4</v>
          </cell>
          <cell r="Q83">
            <v>1.411527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40060</v>
          </cell>
          <cell r="B84">
            <v>40060</v>
          </cell>
          <cell r="C84" t="str">
            <v>Past</v>
          </cell>
          <cell r="D84">
            <v>3.82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3.82</v>
          </cell>
          <cell r="Q84">
            <v>2.3314119999999998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40063</v>
          </cell>
          <cell r="B85">
            <v>40063</v>
          </cell>
          <cell r="C85" t="str">
            <v>Past</v>
          </cell>
          <cell r="D85">
            <v>3.97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3.97</v>
          </cell>
          <cell r="Q85">
            <v>0.78168199999999999</v>
          </cell>
          <cell r="R85" t="e">
            <v>#N/A</v>
          </cell>
          <cell r="AI85" t="str">
            <v>KWf Kuwaiti Fills</v>
          </cell>
          <cell r="AJ85" t="str">
            <v>KWf</v>
          </cell>
          <cell r="AK85" t="str">
            <v>KWf</v>
          </cell>
          <cell r="AL85" t="str">
            <v>KWf</v>
          </cell>
          <cell r="AM85">
            <v>0</v>
          </cell>
          <cell r="AN85">
            <v>0</v>
          </cell>
        </row>
        <row r="86">
          <cell r="A86">
            <v>40064</v>
          </cell>
          <cell r="B86">
            <v>40064</v>
          </cell>
          <cell r="C86" t="str">
            <v>Past</v>
          </cell>
          <cell r="D86">
            <v>3.92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3.92</v>
          </cell>
          <cell r="Q86">
            <v>1.5473000000000001</v>
          </cell>
          <cell r="R86" t="e">
            <v>#N/A</v>
          </cell>
          <cell r="AI86" t="str">
            <v>KYD Cayman Dollars</v>
          </cell>
          <cell r="AJ86" t="str">
            <v>KYD</v>
          </cell>
          <cell r="AK86" t="str">
            <v>KYD</v>
          </cell>
          <cell r="AL86" t="str">
            <v>KYD</v>
          </cell>
          <cell r="AM86">
            <v>0</v>
          </cell>
          <cell r="AN86">
            <v>2</v>
          </cell>
        </row>
        <row r="87">
          <cell r="A87">
            <v>40065</v>
          </cell>
          <cell r="B87">
            <v>40065</v>
          </cell>
          <cell r="C87" t="str">
            <v>Past</v>
          </cell>
          <cell r="D87">
            <v>3.9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3.9</v>
          </cell>
          <cell r="Q87">
            <v>1.2601229999999999</v>
          </cell>
          <cell r="R87" t="e">
            <v>#N/A</v>
          </cell>
          <cell r="AI87" t="str">
            <v>LKR Sri Lankan Rupee</v>
          </cell>
          <cell r="AJ87" t="str">
            <v>LKR</v>
          </cell>
          <cell r="AK87" t="str">
            <v>LKR</v>
          </cell>
          <cell r="AL87" t="str">
            <v>LKR</v>
          </cell>
          <cell r="AM87">
            <v>0</v>
          </cell>
          <cell r="AN87">
            <v>2</v>
          </cell>
        </row>
        <row r="88">
          <cell r="A88">
            <v>40066</v>
          </cell>
          <cell r="B88">
            <v>40066</v>
          </cell>
          <cell r="C88" t="str">
            <v>Past</v>
          </cell>
          <cell r="D88">
            <v>4.1100000000000003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4.1100000000000003</v>
          </cell>
          <cell r="Q88">
            <v>1.6608179999999999</v>
          </cell>
          <cell r="R88" t="e">
            <v>#N/A</v>
          </cell>
          <cell r="AI88" t="str">
            <v>MAD Moroccan Dirham</v>
          </cell>
          <cell r="AJ88" t="str">
            <v>MAD</v>
          </cell>
          <cell r="AK88" t="str">
            <v>MAD</v>
          </cell>
          <cell r="AL88" t="str">
            <v>MAD</v>
          </cell>
          <cell r="AM88">
            <v>0</v>
          </cell>
          <cell r="AN88">
            <v>2</v>
          </cell>
        </row>
        <row r="89">
          <cell r="A89">
            <v>40067</v>
          </cell>
          <cell r="B89">
            <v>40067</v>
          </cell>
          <cell r="C89" t="str">
            <v>Past</v>
          </cell>
          <cell r="D89">
            <v>4.1900000000000004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4.1900000000000004</v>
          </cell>
          <cell r="Q89">
            <v>1.8880469999999998</v>
          </cell>
          <cell r="R89" t="e">
            <v>#N/A</v>
          </cell>
          <cell r="AI89" t="str">
            <v>MXN Mexican Pesos (new)</v>
          </cell>
          <cell r="AJ89" t="str">
            <v>M$</v>
          </cell>
          <cell r="AK89" t="str">
            <v>MXN</v>
          </cell>
          <cell r="AL89" t="str">
            <v>MXN</v>
          </cell>
          <cell r="AM89">
            <v>0</v>
          </cell>
          <cell r="AN89">
            <v>2</v>
          </cell>
        </row>
        <row r="90">
          <cell r="A90">
            <v>40070</v>
          </cell>
          <cell r="B90">
            <v>40070</v>
          </cell>
          <cell r="C90" t="str">
            <v>Past</v>
          </cell>
          <cell r="D90">
            <v>4.03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4.03</v>
          </cell>
          <cell r="Q90">
            <v>1.2514189999999998</v>
          </cell>
          <cell r="R90" t="e">
            <v>#N/A</v>
          </cell>
          <cell r="AI90" t="str">
            <v>MYR Malaysian Ringgit</v>
          </cell>
          <cell r="AJ90" t="str">
            <v>RM</v>
          </cell>
          <cell r="AK90" t="str">
            <v>MYR</v>
          </cell>
          <cell r="AL90" t="str">
            <v>MYR</v>
          </cell>
          <cell r="AM90">
            <v>0</v>
          </cell>
          <cell r="AN90">
            <v>2</v>
          </cell>
        </row>
        <row r="91">
          <cell r="A91">
            <v>40071</v>
          </cell>
          <cell r="B91">
            <v>40071</v>
          </cell>
          <cell r="C91" t="str">
            <v>Past</v>
          </cell>
          <cell r="D91">
            <v>3.93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3.93</v>
          </cell>
          <cell r="Q91">
            <v>1.845208</v>
          </cell>
          <cell r="R91" t="e">
            <v>#N/A</v>
          </cell>
          <cell r="AI91" t="str">
            <v>NGN Nigerian Naira</v>
          </cell>
          <cell r="AJ91" t="str">
            <v>NGN</v>
          </cell>
          <cell r="AK91" t="str">
            <v>NGN</v>
          </cell>
          <cell r="AL91" t="str">
            <v>NGN</v>
          </cell>
          <cell r="AM91">
            <v>0</v>
          </cell>
          <cell r="AN91">
            <v>2</v>
          </cell>
        </row>
        <row r="92">
          <cell r="A92">
            <v>40072</v>
          </cell>
          <cell r="B92">
            <v>40072</v>
          </cell>
          <cell r="C92" t="str">
            <v>Past</v>
          </cell>
          <cell r="D92">
            <v>3.98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3.98</v>
          </cell>
          <cell r="Q92">
            <v>1.6691100000000001</v>
          </cell>
          <cell r="R92" t="e">
            <v>#N/A</v>
          </cell>
          <cell r="AI92" t="str">
            <v>NOK Norwegian Krone</v>
          </cell>
          <cell r="AJ92" t="str">
            <v>NKr</v>
          </cell>
          <cell r="AK92" t="str">
            <v>NOK</v>
          </cell>
          <cell r="AL92" t="str">
            <v>NOK</v>
          </cell>
          <cell r="AM92">
            <v>0</v>
          </cell>
          <cell r="AN92">
            <v>2</v>
          </cell>
        </row>
        <row r="93">
          <cell r="A93">
            <v>40073</v>
          </cell>
          <cell r="B93">
            <v>40073</v>
          </cell>
          <cell r="C93" t="str">
            <v>Past</v>
          </cell>
          <cell r="D93">
            <v>4.03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4.03</v>
          </cell>
          <cell r="Q93">
            <v>2.0177519999999998</v>
          </cell>
          <cell r="R93" t="e">
            <v>#N/A</v>
          </cell>
          <cell r="AI93" t="str">
            <v>NZD New Zealand Dollars</v>
          </cell>
          <cell r="AJ93" t="str">
            <v>NZ$</v>
          </cell>
          <cell r="AK93" t="str">
            <v>NZD</v>
          </cell>
          <cell r="AL93" t="str">
            <v>NZD</v>
          </cell>
          <cell r="AM93">
            <v>0</v>
          </cell>
          <cell r="AN93">
            <v>2</v>
          </cell>
        </row>
        <row r="94">
          <cell r="A94">
            <v>40074</v>
          </cell>
          <cell r="B94">
            <v>40074</v>
          </cell>
          <cell r="C94" t="str">
            <v>Past</v>
          </cell>
          <cell r="D94">
            <v>3.98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3.98</v>
          </cell>
          <cell r="Q94">
            <v>1.590403</v>
          </cell>
          <cell r="R94" t="e">
            <v>#N/A</v>
          </cell>
          <cell r="AI94" t="str">
            <v>OMR Rial Omani</v>
          </cell>
          <cell r="AJ94" t="str">
            <v>OMR</v>
          </cell>
          <cell r="AK94" t="str">
            <v>OMR</v>
          </cell>
          <cell r="AL94" t="str">
            <v>OMR</v>
          </cell>
          <cell r="AM94">
            <v>0</v>
          </cell>
          <cell r="AN94">
            <v>2</v>
          </cell>
        </row>
        <row r="95">
          <cell r="A95">
            <v>40077</v>
          </cell>
          <cell r="B95">
            <v>40077</v>
          </cell>
          <cell r="C95" t="str">
            <v>Past</v>
          </cell>
          <cell r="D95">
            <v>3.92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3.92</v>
          </cell>
          <cell r="Q95">
            <v>0.431425</v>
          </cell>
          <cell r="R95" t="e">
            <v>#N/A</v>
          </cell>
          <cell r="AI95" t="str">
            <v>PAB Panamanian Balboa</v>
          </cell>
          <cell r="AJ95" t="str">
            <v>PAB</v>
          </cell>
          <cell r="AK95" t="str">
            <v>PAB</v>
          </cell>
          <cell r="AL95" t="str">
            <v>PAB</v>
          </cell>
          <cell r="AM95">
            <v>0</v>
          </cell>
          <cell r="AN95">
            <v>2</v>
          </cell>
        </row>
        <row r="96">
          <cell r="A96">
            <v>40078</v>
          </cell>
          <cell r="B96">
            <v>40078</v>
          </cell>
          <cell r="C96" t="str">
            <v>Past</v>
          </cell>
          <cell r="D96">
            <v>3.85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3.85</v>
          </cell>
          <cell r="Q96">
            <v>0.97222299999999995</v>
          </cell>
          <cell r="R96" t="e">
            <v>#N/A</v>
          </cell>
          <cell r="AI96" t="str">
            <v>PEN Peruvian PEN</v>
          </cell>
          <cell r="AJ96" t="str">
            <v>PEN</v>
          </cell>
          <cell r="AK96" t="str">
            <v>PEN</v>
          </cell>
          <cell r="AL96" t="str">
            <v>PEN</v>
          </cell>
          <cell r="AM96">
            <v>0</v>
          </cell>
          <cell r="AN96">
            <v>2</v>
          </cell>
        </row>
        <row r="97">
          <cell r="A97">
            <v>40079</v>
          </cell>
          <cell r="B97">
            <v>40079</v>
          </cell>
          <cell r="C97" t="str">
            <v>Past</v>
          </cell>
          <cell r="D97">
            <v>4.0199999999999996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4.0199999999999996</v>
          </cell>
          <cell r="Q97">
            <v>0.85317399999999999</v>
          </cell>
          <cell r="R97" t="e">
            <v>#N/A</v>
          </cell>
          <cell r="AI97" t="str">
            <v>PHP Philippino Peso</v>
          </cell>
          <cell r="AJ97" t="str">
            <v>PP</v>
          </cell>
          <cell r="AK97" t="str">
            <v>PHP</v>
          </cell>
          <cell r="AL97" t="str">
            <v>PHP</v>
          </cell>
          <cell r="AM97">
            <v>0</v>
          </cell>
          <cell r="AN97">
            <v>2</v>
          </cell>
        </row>
        <row r="98">
          <cell r="A98">
            <v>40080</v>
          </cell>
          <cell r="B98">
            <v>40080</v>
          </cell>
          <cell r="C98" t="str">
            <v>Past</v>
          </cell>
          <cell r="D98">
            <v>3.93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3.93</v>
          </cell>
          <cell r="Q98">
            <v>0.56798399999999993</v>
          </cell>
          <cell r="R98" t="e">
            <v>#N/A</v>
          </cell>
          <cell r="AI98" t="str">
            <v>PKR Pakistani Rupee</v>
          </cell>
          <cell r="AJ98" t="str">
            <v>Rs.</v>
          </cell>
          <cell r="AK98" t="str">
            <v>PKR</v>
          </cell>
          <cell r="AL98" t="str">
            <v>PKR</v>
          </cell>
          <cell r="AM98">
            <v>0</v>
          </cell>
          <cell r="AN98">
            <v>2</v>
          </cell>
        </row>
        <row r="99">
          <cell r="A99">
            <v>40081</v>
          </cell>
          <cell r="B99">
            <v>40081</v>
          </cell>
          <cell r="C99" t="str">
            <v>Past</v>
          </cell>
          <cell r="D99">
            <v>3.9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3.9</v>
          </cell>
          <cell r="Q99">
            <v>1.0203329999999999</v>
          </cell>
          <cell r="R99" t="e">
            <v>#N/A</v>
          </cell>
          <cell r="AI99" t="str">
            <v>PLN Polish Zloty</v>
          </cell>
          <cell r="AJ99" t="str">
            <v>zł</v>
          </cell>
          <cell r="AK99" t="str">
            <v>PLN</v>
          </cell>
          <cell r="AL99" t="str">
            <v>PLN</v>
          </cell>
          <cell r="AM99">
            <v>0</v>
          </cell>
          <cell r="AN99">
            <v>2</v>
          </cell>
        </row>
        <row r="100">
          <cell r="A100">
            <v>40084</v>
          </cell>
          <cell r="B100">
            <v>40084</v>
          </cell>
          <cell r="C100" t="str">
            <v>Past</v>
          </cell>
          <cell r="D100">
            <v>3.86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3.86</v>
          </cell>
          <cell r="Q100">
            <v>0.98179000000000005</v>
          </cell>
          <cell r="R100" t="e">
            <v>#N/A</v>
          </cell>
          <cell r="AI100" t="str">
            <v>QAR Qatari Riyal</v>
          </cell>
          <cell r="AJ100" t="str">
            <v>QAR</v>
          </cell>
          <cell r="AK100" t="str">
            <v>QAR</v>
          </cell>
          <cell r="AL100" t="str">
            <v>QAR</v>
          </cell>
          <cell r="AM100">
            <v>0</v>
          </cell>
          <cell r="AN100">
            <v>2</v>
          </cell>
        </row>
        <row r="101">
          <cell r="A101">
            <v>40085</v>
          </cell>
          <cell r="B101">
            <v>40085</v>
          </cell>
          <cell r="C101" t="str">
            <v>Past</v>
          </cell>
          <cell r="D101">
            <v>3.86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3.86</v>
          </cell>
          <cell r="Q101">
            <v>0.45323000000000002</v>
          </cell>
          <cell r="R101" t="e">
            <v>#N/A</v>
          </cell>
          <cell r="AI101" t="str">
            <v>RUB Russian Rouble</v>
          </cell>
          <cell r="AJ101" t="str">
            <v>RUB</v>
          </cell>
          <cell r="AK101" t="str">
            <v>RUB</v>
          </cell>
          <cell r="AL101" t="str">
            <v>RUB</v>
          </cell>
          <cell r="AM101">
            <v>0</v>
          </cell>
          <cell r="AN101">
            <v>2</v>
          </cell>
        </row>
        <row r="102">
          <cell r="A102">
            <v>40086</v>
          </cell>
          <cell r="B102">
            <v>40086</v>
          </cell>
          <cell r="C102" t="str">
            <v>Past</v>
          </cell>
          <cell r="D102">
            <v>3.98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3.98</v>
          </cell>
          <cell r="Q102">
            <v>0.81800600000000001</v>
          </cell>
          <cell r="R102" t="e">
            <v>#N/A</v>
          </cell>
          <cell r="AI102" t="str">
            <v>SAR Saudi Riyal</v>
          </cell>
          <cell r="AJ102" t="str">
            <v>SAR</v>
          </cell>
          <cell r="AK102" t="str">
            <v>SAR</v>
          </cell>
          <cell r="AL102" t="str">
            <v>SAR</v>
          </cell>
          <cell r="AM102">
            <v>0</v>
          </cell>
          <cell r="AN102">
            <v>2</v>
          </cell>
        </row>
        <row r="103">
          <cell r="A103">
            <v>40087</v>
          </cell>
          <cell r="B103">
            <v>40087</v>
          </cell>
          <cell r="C103" t="str">
            <v>Past</v>
          </cell>
          <cell r="D103">
            <v>3.87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3.87</v>
          </cell>
          <cell r="Q103">
            <v>0.73356599999999994</v>
          </cell>
          <cell r="R103" t="e">
            <v>#N/A</v>
          </cell>
          <cell r="AI103" t="str">
            <v>SEK Swedish Krona</v>
          </cell>
          <cell r="AJ103" t="str">
            <v>SKr</v>
          </cell>
          <cell r="AK103" t="str">
            <v>SEK</v>
          </cell>
          <cell r="AL103" t="str">
            <v>SEK</v>
          </cell>
          <cell r="AM103">
            <v>0</v>
          </cell>
          <cell r="AN103">
            <v>2</v>
          </cell>
        </row>
        <row r="104">
          <cell r="A104">
            <v>40088</v>
          </cell>
          <cell r="B104">
            <v>40088</v>
          </cell>
          <cell r="C104" t="str">
            <v>Past</v>
          </cell>
          <cell r="D104">
            <v>3.76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3.76</v>
          </cell>
          <cell r="Q104">
            <v>1.3524619999999998</v>
          </cell>
          <cell r="R104" t="e">
            <v>#N/A</v>
          </cell>
          <cell r="AI104" t="str">
            <v>SGD Singapore Dollar</v>
          </cell>
          <cell r="AJ104" t="str">
            <v>S$</v>
          </cell>
          <cell r="AK104" t="str">
            <v>SGD</v>
          </cell>
          <cell r="AL104" t="str">
            <v>SGD</v>
          </cell>
          <cell r="AM104">
            <v>0</v>
          </cell>
          <cell r="AN104">
            <v>2</v>
          </cell>
        </row>
        <row r="105">
          <cell r="A105">
            <v>40091</v>
          </cell>
          <cell r="B105">
            <v>40091</v>
          </cell>
          <cell r="C105" t="str">
            <v>Past</v>
          </cell>
          <cell r="D105">
            <v>3.76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3.76</v>
          </cell>
          <cell r="Q105">
            <v>0.52377799999999997</v>
          </cell>
          <cell r="R105" t="e">
            <v>#N/A</v>
          </cell>
          <cell r="AI105" t="str">
            <v>THB Thailand Baht</v>
          </cell>
          <cell r="AJ105" t="str">
            <v>Bt</v>
          </cell>
          <cell r="AK105" t="str">
            <v>THB</v>
          </cell>
          <cell r="AL105" t="str">
            <v>THB</v>
          </cell>
          <cell r="AM105">
            <v>0</v>
          </cell>
          <cell r="AN105">
            <v>2</v>
          </cell>
        </row>
        <row r="106">
          <cell r="A106">
            <v>40092</v>
          </cell>
          <cell r="B106">
            <v>40092</v>
          </cell>
          <cell r="C106" t="str">
            <v>Past</v>
          </cell>
          <cell r="D106">
            <v>3.76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3.76</v>
          </cell>
          <cell r="Q106">
            <v>0.94341900000000001</v>
          </cell>
          <cell r="R106" t="e">
            <v>#N/A</v>
          </cell>
          <cell r="AI106" t="str">
            <v>TND Tunisian Dinar</v>
          </cell>
          <cell r="AJ106" t="str">
            <v>TND</v>
          </cell>
          <cell r="AK106" t="str">
            <v>TND</v>
          </cell>
          <cell r="AL106" t="str">
            <v>TND</v>
          </cell>
          <cell r="AM106">
            <v>0</v>
          </cell>
          <cell r="AN106">
            <v>2</v>
          </cell>
        </row>
        <row r="107">
          <cell r="A107">
            <v>40093</v>
          </cell>
          <cell r="B107">
            <v>40093</v>
          </cell>
          <cell r="C107" t="str">
            <v>Past</v>
          </cell>
          <cell r="D107">
            <v>3.81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3.81</v>
          </cell>
          <cell r="Q107">
            <v>2.1791579999999997</v>
          </cell>
          <cell r="R107" t="e">
            <v>#N/A</v>
          </cell>
          <cell r="AI107" t="str">
            <v>TRY Turkish Lira</v>
          </cell>
          <cell r="AJ107" t="str">
            <v>TL</v>
          </cell>
          <cell r="AK107" t="str">
            <v>TRY</v>
          </cell>
          <cell r="AL107" t="str">
            <v>TRY</v>
          </cell>
          <cell r="AM107">
            <v>0</v>
          </cell>
          <cell r="AN107">
            <v>2</v>
          </cell>
        </row>
        <row r="108">
          <cell r="A108">
            <v>40094</v>
          </cell>
          <cell r="B108">
            <v>40094</v>
          </cell>
          <cell r="C108" t="str">
            <v>Past</v>
          </cell>
          <cell r="D108">
            <v>3.85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3.85</v>
          </cell>
          <cell r="Q108">
            <v>1.8480129999999999</v>
          </cell>
          <cell r="R108" t="e">
            <v>#N/A</v>
          </cell>
          <cell r="AI108" t="str">
            <v>TWD New Taiwan Dollar</v>
          </cell>
          <cell r="AJ108" t="str">
            <v>NT$</v>
          </cell>
          <cell r="AK108" t="str">
            <v>TWD</v>
          </cell>
          <cell r="AL108" t="str">
            <v>TWD</v>
          </cell>
          <cell r="AM108">
            <v>0</v>
          </cell>
          <cell r="AN108">
            <v>2</v>
          </cell>
        </row>
        <row r="109">
          <cell r="A109">
            <v>40095</v>
          </cell>
          <cell r="B109">
            <v>40095</v>
          </cell>
          <cell r="C109" t="str">
            <v>Past</v>
          </cell>
          <cell r="D109">
            <v>3.91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3.91</v>
          </cell>
          <cell r="Q109">
            <v>2.6993779999999998</v>
          </cell>
          <cell r="R109" t="e">
            <v>#N/A</v>
          </cell>
          <cell r="AI109" t="str">
            <v>UAH Ukrainian Hryvnia</v>
          </cell>
          <cell r="AJ109" t="str">
            <v>UAH</v>
          </cell>
          <cell r="AK109" t="str">
            <v>UAH</v>
          </cell>
          <cell r="AL109" t="str">
            <v>UAH</v>
          </cell>
          <cell r="AM109">
            <v>0</v>
          </cell>
          <cell r="AN109">
            <v>2</v>
          </cell>
        </row>
        <row r="110">
          <cell r="A110">
            <v>40098</v>
          </cell>
          <cell r="B110">
            <v>40098</v>
          </cell>
          <cell r="C110" t="str">
            <v>Past</v>
          </cell>
          <cell r="D110">
            <v>3.93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3.93</v>
          </cell>
          <cell r="Q110">
            <v>2.0100519999999999</v>
          </cell>
          <cell r="R110" t="e">
            <v>#N/A</v>
          </cell>
          <cell r="AI110" t="str">
            <v>USD American Dollar</v>
          </cell>
          <cell r="AJ110" t="str">
            <v>$</v>
          </cell>
          <cell r="AK110" t="str">
            <v>USD</v>
          </cell>
          <cell r="AL110" t="str">
            <v>USD</v>
          </cell>
          <cell r="AM110">
            <v>0</v>
          </cell>
          <cell r="AN110">
            <v>2</v>
          </cell>
        </row>
        <row r="111">
          <cell r="A111">
            <v>40099</v>
          </cell>
          <cell r="B111">
            <v>40099</v>
          </cell>
          <cell r="C111" t="str">
            <v>Past</v>
          </cell>
          <cell r="D111">
            <v>3.97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3.97</v>
          </cell>
          <cell r="Q111">
            <v>2.4921479999999998</v>
          </cell>
          <cell r="R111" t="e">
            <v>#N/A</v>
          </cell>
          <cell r="AI111" t="str">
            <v>VEB Venezuelan Bolivar</v>
          </cell>
          <cell r="AJ111" t="str">
            <v>VEB</v>
          </cell>
          <cell r="AK111" t="str">
            <v>VEB</v>
          </cell>
          <cell r="AL111" t="str">
            <v>VEB</v>
          </cell>
          <cell r="AM111">
            <v>0</v>
          </cell>
          <cell r="AN111">
            <v>2</v>
          </cell>
        </row>
        <row r="112">
          <cell r="A112">
            <v>40100</v>
          </cell>
          <cell r="B112">
            <v>40100</v>
          </cell>
          <cell r="C112" t="str">
            <v>Past</v>
          </cell>
          <cell r="D112">
            <v>3.86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3.86</v>
          </cell>
          <cell r="Q112">
            <v>2.1409659999999997</v>
          </cell>
          <cell r="R112" t="e">
            <v>#N/A</v>
          </cell>
          <cell r="AI112" t="str">
            <v>ZAc South African Cent</v>
          </cell>
          <cell r="AJ112" t="str">
            <v>ZAc</v>
          </cell>
          <cell r="AK112" t="str">
            <v>ZAc</v>
          </cell>
          <cell r="AL112" t="str">
            <v>ZAc</v>
          </cell>
          <cell r="AM112">
            <v>0</v>
          </cell>
          <cell r="AN112">
            <v>0</v>
          </cell>
        </row>
        <row r="113">
          <cell r="A113">
            <v>40101</v>
          </cell>
          <cell r="B113">
            <v>40101</v>
          </cell>
          <cell r="C113" t="str">
            <v>Past</v>
          </cell>
          <cell r="D113">
            <v>3.86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3.86</v>
          </cell>
          <cell r="Q113">
            <v>2.9057219999999999</v>
          </cell>
          <cell r="R113" t="e">
            <v>#N/A</v>
          </cell>
          <cell r="AI113" t="str">
            <v>ZAR South African rand</v>
          </cell>
          <cell r="AJ113" t="str">
            <v>ZAR</v>
          </cell>
          <cell r="AK113" t="str">
            <v>ZAR</v>
          </cell>
          <cell r="AL113" t="str">
            <v>ZAR</v>
          </cell>
          <cell r="AM113">
            <v>0</v>
          </cell>
          <cell r="AN113">
            <v>2</v>
          </cell>
        </row>
        <row r="114">
          <cell r="A114">
            <v>40102</v>
          </cell>
          <cell r="B114">
            <v>40102</v>
          </cell>
          <cell r="C114" t="str">
            <v>Past</v>
          </cell>
          <cell r="D114">
            <v>3.81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3.81</v>
          </cell>
          <cell r="Q114">
            <v>1.3747469999999999</v>
          </cell>
          <cell r="R114" t="e">
            <v>#N/A</v>
          </cell>
          <cell r="AI114" t="str">
            <v xml:space="preserve">ZMK Zambian Kwacha </v>
          </cell>
          <cell r="AJ114" t="str">
            <v>ZMK</v>
          </cell>
          <cell r="AK114" t="str">
            <v>ZMK</v>
          </cell>
          <cell r="AL114" t="str">
            <v>ZMK</v>
          </cell>
          <cell r="AM114">
            <v>0</v>
          </cell>
          <cell r="AN114">
            <v>2</v>
          </cell>
        </row>
        <row r="115">
          <cell r="A115">
            <v>40105</v>
          </cell>
          <cell r="B115">
            <v>40105</v>
          </cell>
          <cell r="C115" t="str">
            <v>Past</v>
          </cell>
          <cell r="D115">
            <v>3.8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3.8</v>
          </cell>
          <cell r="Q115">
            <v>1.1120140000000001</v>
          </cell>
          <cell r="R115" t="e">
            <v>#N/A</v>
          </cell>
        </row>
        <row r="116">
          <cell r="A116">
            <v>40106</v>
          </cell>
          <cell r="B116">
            <v>40106</v>
          </cell>
          <cell r="C116" t="str">
            <v>Past</v>
          </cell>
          <cell r="D116">
            <v>3.88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3.88</v>
          </cell>
          <cell r="Q116">
            <v>3.2768900000000003</v>
          </cell>
          <cell r="R116" t="e">
            <v>#N/A</v>
          </cell>
        </row>
        <row r="117">
          <cell r="A117">
            <v>40107</v>
          </cell>
          <cell r="B117">
            <v>40107</v>
          </cell>
          <cell r="C117" t="str">
            <v>Past</v>
          </cell>
          <cell r="D117">
            <v>3.85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3.85</v>
          </cell>
          <cell r="Q117">
            <v>2.324697</v>
          </cell>
          <cell r="R117" t="e">
            <v>#N/A</v>
          </cell>
        </row>
        <row r="118">
          <cell r="A118">
            <v>40108</v>
          </cell>
          <cell r="B118">
            <v>40108</v>
          </cell>
          <cell r="C118" t="str">
            <v>Past</v>
          </cell>
          <cell r="D118">
            <v>3.79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3.79</v>
          </cell>
          <cell r="Q118">
            <v>0.92293700000000001</v>
          </cell>
          <cell r="R118" t="e">
            <v>#N/A</v>
          </cell>
        </row>
        <row r="119">
          <cell r="A119">
            <v>40109</v>
          </cell>
          <cell r="B119">
            <v>40109</v>
          </cell>
          <cell r="C119" t="str">
            <v>Past</v>
          </cell>
          <cell r="D119">
            <v>3.78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3.78</v>
          </cell>
          <cell r="Q119">
            <v>1.097618</v>
          </cell>
          <cell r="R119" t="e">
            <v>#N/A</v>
          </cell>
        </row>
        <row r="120">
          <cell r="A120">
            <v>40112</v>
          </cell>
          <cell r="B120">
            <v>40112</v>
          </cell>
          <cell r="C120" t="str">
            <v>Past</v>
          </cell>
          <cell r="D120">
            <v>3.68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3.68</v>
          </cell>
          <cell r="Q120">
            <v>1.0199069999999999</v>
          </cell>
          <cell r="R120" t="e">
            <v>#N/A</v>
          </cell>
        </row>
        <row r="121">
          <cell r="A121">
            <v>40113</v>
          </cell>
          <cell r="B121">
            <v>40113</v>
          </cell>
          <cell r="C121" t="str">
            <v>Past</v>
          </cell>
          <cell r="D121">
            <v>3.6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3.6</v>
          </cell>
          <cell r="Q121">
            <v>0.97304000000000013</v>
          </cell>
          <cell r="R121" t="e">
            <v>#N/A</v>
          </cell>
        </row>
        <row r="122">
          <cell r="A122">
            <v>40114</v>
          </cell>
          <cell r="B122">
            <v>40114</v>
          </cell>
          <cell r="C122" t="str">
            <v>Past</v>
          </cell>
          <cell r="D122">
            <v>3.56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3.56</v>
          </cell>
          <cell r="Q122">
            <v>1.34528</v>
          </cell>
          <cell r="R122" t="e">
            <v>#N/A</v>
          </cell>
        </row>
        <row r="123">
          <cell r="A123">
            <v>40115</v>
          </cell>
          <cell r="B123">
            <v>40115</v>
          </cell>
          <cell r="C123" t="str">
            <v>Past</v>
          </cell>
          <cell r="D123">
            <v>3.38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3.38</v>
          </cell>
          <cell r="Q123">
            <v>2.0853929999999998</v>
          </cell>
          <cell r="R123" t="e">
            <v>#N/A</v>
          </cell>
        </row>
        <row r="124">
          <cell r="A124">
            <v>40116</v>
          </cell>
          <cell r="B124">
            <v>40116</v>
          </cell>
          <cell r="C124" t="str">
            <v>Past</v>
          </cell>
          <cell r="D124">
            <v>3.5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3.5</v>
          </cell>
          <cell r="Q124">
            <v>1.4927189999999999</v>
          </cell>
          <cell r="R124" t="e">
            <v>#N/A</v>
          </cell>
        </row>
        <row r="125">
          <cell r="A125">
            <v>40119</v>
          </cell>
          <cell r="B125">
            <v>40119</v>
          </cell>
          <cell r="C125" t="str">
            <v>Past</v>
          </cell>
          <cell r="D125">
            <v>3.42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3.42</v>
          </cell>
          <cell r="Q125">
            <v>1.9654809999999998</v>
          </cell>
          <cell r="R125" t="e">
            <v>#N/A</v>
          </cell>
        </row>
        <row r="126">
          <cell r="A126">
            <v>40120</v>
          </cell>
          <cell r="B126">
            <v>40120</v>
          </cell>
          <cell r="C126" t="str">
            <v>Past</v>
          </cell>
          <cell r="D126">
            <v>3.28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3.28</v>
          </cell>
          <cell r="Q126">
            <v>2.128117</v>
          </cell>
          <cell r="R126" t="e">
            <v>#N/A</v>
          </cell>
        </row>
        <row r="127">
          <cell r="A127">
            <v>40121</v>
          </cell>
          <cell r="B127">
            <v>40121</v>
          </cell>
          <cell r="C127" t="str">
            <v>Past</v>
          </cell>
          <cell r="D127">
            <v>3.26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3.26</v>
          </cell>
          <cell r="Q127">
            <v>1.467738</v>
          </cell>
          <cell r="R127" t="e">
            <v>#N/A</v>
          </cell>
        </row>
        <row r="128">
          <cell r="A128">
            <v>40122</v>
          </cell>
          <cell r="B128">
            <v>40122</v>
          </cell>
          <cell r="C128" t="str">
            <v>Past</v>
          </cell>
          <cell r="D128">
            <v>3.27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3.27</v>
          </cell>
          <cell r="Q128">
            <v>1.409222</v>
          </cell>
          <cell r="R128" t="e">
            <v>#N/A</v>
          </cell>
        </row>
        <row r="129">
          <cell r="A129">
            <v>40123</v>
          </cell>
          <cell r="B129">
            <v>40123</v>
          </cell>
          <cell r="C129" t="str">
            <v>Past</v>
          </cell>
          <cell r="D129">
            <v>3.4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3.4</v>
          </cell>
          <cell r="Q129">
            <v>1.1796579999999999</v>
          </cell>
          <cell r="R129" t="e">
            <v>#N/A</v>
          </cell>
        </row>
        <row r="130">
          <cell r="A130">
            <v>40126</v>
          </cell>
          <cell r="B130">
            <v>40126</v>
          </cell>
          <cell r="C130" t="str">
            <v>Past</v>
          </cell>
          <cell r="D130">
            <v>3.43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3.43</v>
          </cell>
          <cell r="Q130">
            <v>0.82283799999999996</v>
          </cell>
          <cell r="R130" t="e">
            <v>#N/A</v>
          </cell>
        </row>
        <row r="131">
          <cell r="A131">
            <v>40127</v>
          </cell>
          <cell r="B131">
            <v>40127</v>
          </cell>
          <cell r="C131" t="str">
            <v>Past</v>
          </cell>
          <cell r="D131">
            <v>3.53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3.53</v>
          </cell>
          <cell r="Q131">
            <v>1.3050400000000002</v>
          </cell>
          <cell r="R131" t="e">
            <v>#N/A</v>
          </cell>
        </row>
        <row r="132">
          <cell r="A132">
            <v>40128</v>
          </cell>
          <cell r="B132">
            <v>40128</v>
          </cell>
          <cell r="C132" t="str">
            <v>Past</v>
          </cell>
          <cell r="D132">
            <v>3.46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3.46</v>
          </cell>
          <cell r="Q132">
            <v>1.1207879999999999</v>
          </cell>
          <cell r="R132" t="e">
            <v>#N/A</v>
          </cell>
        </row>
        <row r="133">
          <cell r="A133">
            <v>40129</v>
          </cell>
          <cell r="B133">
            <v>40129</v>
          </cell>
          <cell r="C133" t="str">
            <v>Past</v>
          </cell>
          <cell r="D133">
            <v>3.38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3.38</v>
          </cell>
          <cell r="Q133">
            <v>1.0461659999999999</v>
          </cell>
          <cell r="R133" t="e">
            <v>#N/A</v>
          </cell>
        </row>
        <row r="134">
          <cell r="A134">
            <v>40130</v>
          </cell>
          <cell r="B134">
            <v>40130</v>
          </cell>
          <cell r="C134" t="str">
            <v>Past</v>
          </cell>
          <cell r="D134">
            <v>3.33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3.33</v>
          </cell>
          <cell r="Q134">
            <v>1.08935</v>
          </cell>
          <cell r="R134" t="e">
            <v>#N/A</v>
          </cell>
        </row>
        <row r="135">
          <cell r="A135">
            <v>40133</v>
          </cell>
          <cell r="B135">
            <v>40133</v>
          </cell>
          <cell r="C135" t="str">
            <v>Past</v>
          </cell>
          <cell r="D135">
            <v>3.44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3.44</v>
          </cell>
          <cell r="Q135">
            <v>0.57980900000000002</v>
          </cell>
          <cell r="R135" t="e">
            <v>#N/A</v>
          </cell>
        </row>
        <row r="136">
          <cell r="A136">
            <v>40134</v>
          </cell>
          <cell r="B136">
            <v>40134</v>
          </cell>
          <cell r="C136" t="str">
            <v>Past</v>
          </cell>
          <cell r="D136">
            <v>3.43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3.43</v>
          </cell>
          <cell r="Q136">
            <v>0.35352600000000001</v>
          </cell>
          <cell r="R136" t="e">
            <v>#N/A</v>
          </cell>
        </row>
        <row r="137">
          <cell r="A137">
            <v>40135</v>
          </cell>
          <cell r="B137">
            <v>40135</v>
          </cell>
          <cell r="C137" t="str">
            <v>Past</v>
          </cell>
          <cell r="D137">
            <v>3.4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3.4</v>
          </cell>
          <cell r="Q137">
            <v>0.72786699999999993</v>
          </cell>
          <cell r="R137" t="e">
            <v>#N/A</v>
          </cell>
        </row>
        <row r="138">
          <cell r="A138">
            <v>40136</v>
          </cell>
          <cell r="B138">
            <v>40136</v>
          </cell>
          <cell r="C138" t="str">
            <v>Past</v>
          </cell>
          <cell r="D138">
            <v>3.4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3.4</v>
          </cell>
          <cell r="Q138">
            <v>1.7685000000000002</v>
          </cell>
          <cell r="R138" t="e">
            <v>#N/A</v>
          </cell>
        </row>
        <row r="139">
          <cell r="A139">
            <v>40137</v>
          </cell>
          <cell r="B139">
            <v>40137</v>
          </cell>
          <cell r="C139" t="str">
            <v>Past</v>
          </cell>
          <cell r="D139">
            <v>3.4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3.4</v>
          </cell>
          <cell r="Q139">
            <v>0.57286199999999998</v>
          </cell>
          <cell r="R139" t="e">
            <v>#N/A</v>
          </cell>
        </row>
        <row r="140">
          <cell r="A140">
            <v>40140</v>
          </cell>
          <cell r="B140">
            <v>40140</v>
          </cell>
          <cell r="C140" t="str">
            <v>Past</v>
          </cell>
          <cell r="D140">
            <v>3.57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3.57</v>
          </cell>
          <cell r="Q140">
            <v>1.6520000000000001</v>
          </cell>
          <cell r="R140" t="e">
            <v>#N/A</v>
          </cell>
        </row>
        <row r="141">
          <cell r="A141">
            <v>40141</v>
          </cell>
          <cell r="B141">
            <v>40141</v>
          </cell>
          <cell r="C141" t="str">
            <v>Past</v>
          </cell>
          <cell r="D141">
            <v>3.59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3.59</v>
          </cell>
          <cell r="Q141">
            <v>1.1770509999999998</v>
          </cell>
          <cell r="R141" t="e">
            <v>#N/A</v>
          </cell>
        </row>
        <row r="142">
          <cell r="A142">
            <v>40142</v>
          </cell>
          <cell r="B142">
            <v>40142</v>
          </cell>
          <cell r="C142" t="str">
            <v>Past</v>
          </cell>
          <cell r="D142">
            <v>3.57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3.57</v>
          </cell>
          <cell r="Q142">
            <v>1.9790179999999999</v>
          </cell>
          <cell r="R142" t="e">
            <v>#N/A</v>
          </cell>
        </row>
        <row r="143">
          <cell r="A143">
            <v>40143</v>
          </cell>
          <cell r="B143">
            <v>40143</v>
          </cell>
          <cell r="C143" t="str">
            <v>Past</v>
          </cell>
          <cell r="D143">
            <v>3.58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3.58</v>
          </cell>
          <cell r="Q143">
            <v>0.909829</v>
          </cell>
          <cell r="R143" t="e">
            <v>#N/A</v>
          </cell>
        </row>
        <row r="144">
          <cell r="A144">
            <v>40144</v>
          </cell>
          <cell r="B144">
            <v>40144</v>
          </cell>
          <cell r="C144" t="str">
            <v>Past</v>
          </cell>
          <cell r="D144">
            <v>3.44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3.44</v>
          </cell>
          <cell r="Q144">
            <v>0.98741699999999999</v>
          </cell>
          <cell r="R144" t="e">
            <v>#N/A</v>
          </cell>
        </row>
        <row r="145">
          <cell r="A145">
            <v>40147</v>
          </cell>
          <cell r="B145">
            <v>40147</v>
          </cell>
          <cell r="C145" t="str">
            <v>Past</v>
          </cell>
          <cell r="D145">
            <v>3.59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3.59</v>
          </cell>
          <cell r="Q145">
            <v>1.059653</v>
          </cell>
          <cell r="R145" t="e">
            <v>#N/A</v>
          </cell>
        </row>
        <row r="146">
          <cell r="A146">
            <v>40148</v>
          </cell>
          <cell r="B146">
            <v>40148</v>
          </cell>
          <cell r="C146" t="str">
            <v>Past</v>
          </cell>
          <cell r="D146">
            <v>3.52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3.52</v>
          </cell>
          <cell r="Q146">
            <v>0.54913899999999993</v>
          </cell>
          <cell r="R146" t="e">
            <v>#N/A</v>
          </cell>
        </row>
        <row r="147">
          <cell r="A147">
            <v>40149</v>
          </cell>
          <cell r="B147">
            <v>40149</v>
          </cell>
          <cell r="C147" t="str">
            <v>Past</v>
          </cell>
          <cell r="D147">
            <v>3.66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3.66</v>
          </cell>
          <cell r="Q147">
            <v>0.94231000000000009</v>
          </cell>
          <cell r="R147" t="e">
            <v>#N/A</v>
          </cell>
        </row>
        <row r="148">
          <cell r="A148">
            <v>40150</v>
          </cell>
          <cell r="B148">
            <v>40150</v>
          </cell>
          <cell r="C148" t="str">
            <v>Past</v>
          </cell>
          <cell r="D148">
            <v>3.63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3.63</v>
          </cell>
          <cell r="Q148">
            <v>2.948051</v>
          </cell>
          <cell r="R148" t="e">
            <v>#N/A</v>
          </cell>
        </row>
        <row r="149">
          <cell r="A149">
            <v>40151</v>
          </cell>
          <cell r="B149">
            <v>40151</v>
          </cell>
          <cell r="C149" t="str">
            <v>Past</v>
          </cell>
          <cell r="D149">
            <v>3.59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3.59</v>
          </cell>
          <cell r="Q149">
            <v>1.4751000000000001</v>
          </cell>
          <cell r="R149" t="e">
            <v>#N/A</v>
          </cell>
        </row>
        <row r="150">
          <cell r="A150">
            <v>40154</v>
          </cell>
          <cell r="B150">
            <v>40154</v>
          </cell>
          <cell r="C150" t="str">
            <v>Past</v>
          </cell>
          <cell r="D150">
            <v>3.59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3.59</v>
          </cell>
          <cell r="Q150">
            <v>1.3168149999999998</v>
          </cell>
          <cell r="R150" t="e">
            <v>#N/A</v>
          </cell>
        </row>
        <row r="151">
          <cell r="A151">
            <v>40155</v>
          </cell>
          <cell r="B151">
            <v>40155</v>
          </cell>
          <cell r="C151" t="str">
            <v>Past</v>
          </cell>
          <cell r="D151">
            <v>3.63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3.63</v>
          </cell>
          <cell r="Q151">
            <v>2.1841159999999999</v>
          </cell>
          <cell r="R151" t="e">
            <v>#N/A</v>
          </cell>
        </row>
        <row r="152">
          <cell r="A152">
            <v>40156</v>
          </cell>
          <cell r="B152">
            <v>40156</v>
          </cell>
          <cell r="C152" t="str">
            <v>Past</v>
          </cell>
          <cell r="D152">
            <v>3.58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3.58</v>
          </cell>
          <cell r="Q152">
            <v>0.92574099999999993</v>
          </cell>
          <cell r="R152" t="e">
            <v>#N/A</v>
          </cell>
        </row>
        <row r="153">
          <cell r="A153">
            <v>40157</v>
          </cell>
          <cell r="B153">
            <v>40157</v>
          </cell>
          <cell r="C153" t="str">
            <v>Past</v>
          </cell>
          <cell r="D153">
            <v>3.47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3.47</v>
          </cell>
          <cell r="Q153">
            <v>1.970928</v>
          </cell>
          <cell r="R153" t="e">
            <v>#N/A</v>
          </cell>
        </row>
        <row r="154">
          <cell r="A154">
            <v>40158</v>
          </cell>
          <cell r="B154">
            <v>40158</v>
          </cell>
          <cell r="C154" t="str">
            <v>Past</v>
          </cell>
          <cell r="D154">
            <v>3.51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3.51</v>
          </cell>
          <cell r="Q154">
            <v>1.957765</v>
          </cell>
          <cell r="R154" t="e">
            <v>#N/A</v>
          </cell>
        </row>
        <row r="155">
          <cell r="A155">
            <v>40161</v>
          </cell>
          <cell r="B155">
            <v>40161</v>
          </cell>
          <cell r="C155" t="str">
            <v>Past</v>
          </cell>
          <cell r="D155">
            <v>3.51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3.51</v>
          </cell>
          <cell r="Q155">
            <v>0.81160399999999999</v>
          </cell>
          <cell r="R155" t="e">
            <v>#N/A</v>
          </cell>
        </row>
        <row r="156">
          <cell r="A156">
            <v>40162</v>
          </cell>
          <cell r="B156">
            <v>40162</v>
          </cell>
          <cell r="C156" t="str">
            <v>Past</v>
          </cell>
          <cell r="D156">
            <v>3.42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3.42</v>
          </cell>
          <cell r="Q156">
            <v>1.908866</v>
          </cell>
          <cell r="R156" t="e">
            <v>#N/A</v>
          </cell>
        </row>
        <row r="157">
          <cell r="A157">
            <v>40163</v>
          </cell>
          <cell r="B157">
            <v>40163</v>
          </cell>
          <cell r="C157" t="str">
            <v>Past</v>
          </cell>
          <cell r="D157">
            <v>3.48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3.48</v>
          </cell>
          <cell r="Q157">
            <v>2.3568530000000001</v>
          </cell>
          <cell r="R157" t="e">
            <v>#N/A</v>
          </cell>
        </row>
        <row r="158">
          <cell r="A158">
            <v>40164</v>
          </cell>
          <cell r="B158">
            <v>40164</v>
          </cell>
          <cell r="C158" t="str">
            <v>Past</v>
          </cell>
          <cell r="D158">
            <v>3.47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3.47</v>
          </cell>
          <cell r="Q158">
            <v>3.3993359999999999</v>
          </cell>
          <cell r="R158" t="e">
            <v>#N/A</v>
          </cell>
        </row>
        <row r="159">
          <cell r="A159">
            <v>40165</v>
          </cell>
          <cell r="B159">
            <v>40165</v>
          </cell>
          <cell r="C159" t="str">
            <v>Past</v>
          </cell>
          <cell r="D159">
            <v>3.54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3.54</v>
          </cell>
          <cell r="Q159">
            <v>1.9527800000000002</v>
          </cell>
          <cell r="R159" t="e">
            <v>#N/A</v>
          </cell>
        </row>
        <row r="160">
          <cell r="A160">
            <v>40168</v>
          </cell>
          <cell r="B160">
            <v>40168</v>
          </cell>
          <cell r="C160" t="str">
            <v>Past</v>
          </cell>
          <cell r="D160">
            <v>3.6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3.6</v>
          </cell>
          <cell r="Q160">
            <v>1.259641</v>
          </cell>
          <cell r="R160" t="e">
            <v>#N/A</v>
          </cell>
        </row>
        <row r="161">
          <cell r="A161">
            <v>40169</v>
          </cell>
          <cell r="B161">
            <v>40169</v>
          </cell>
          <cell r="C161" t="str">
            <v>Past</v>
          </cell>
          <cell r="D161">
            <v>3.59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3.59</v>
          </cell>
          <cell r="Q161">
            <v>1.145462</v>
          </cell>
          <cell r="R161" t="e">
            <v>#N/A</v>
          </cell>
        </row>
        <row r="162">
          <cell r="A162">
            <v>40170</v>
          </cell>
          <cell r="B162">
            <v>40170</v>
          </cell>
          <cell r="C162" t="str">
            <v>Past</v>
          </cell>
          <cell r="D162">
            <v>3.66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3.66</v>
          </cell>
          <cell r="Q162">
            <v>0.422684</v>
          </cell>
          <cell r="R162" t="e">
            <v>#N/A</v>
          </cell>
        </row>
        <row r="163">
          <cell r="A163">
            <v>40171</v>
          </cell>
          <cell r="B163">
            <v>40171</v>
          </cell>
          <cell r="C163" t="str">
            <v>Past</v>
          </cell>
          <cell r="D163">
            <v>3.63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3.63</v>
          </cell>
          <cell r="Q163">
            <v>1.091621</v>
          </cell>
          <cell r="R163" t="e">
            <v>#N/A</v>
          </cell>
        </row>
        <row r="164">
          <cell r="A164">
            <v>40172</v>
          </cell>
          <cell r="B164">
            <v>40172</v>
          </cell>
          <cell r="C164" t="str">
            <v>Past</v>
          </cell>
          <cell r="D164">
            <v>3.63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3.63</v>
          </cell>
          <cell r="Q164">
            <v>0</v>
          </cell>
          <cell r="R164" t="e">
            <v>#N/A</v>
          </cell>
        </row>
        <row r="165">
          <cell r="A165">
            <v>40175</v>
          </cell>
          <cell r="B165">
            <v>40175</v>
          </cell>
          <cell r="C165" t="str">
            <v>Past</v>
          </cell>
          <cell r="D165">
            <v>3.63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3.63</v>
          </cell>
          <cell r="Q165">
            <v>0</v>
          </cell>
          <cell r="R165" t="e">
            <v>#N/A</v>
          </cell>
        </row>
        <row r="166">
          <cell r="A166">
            <v>40176</v>
          </cell>
          <cell r="B166">
            <v>40176</v>
          </cell>
          <cell r="C166" t="str">
            <v>Past</v>
          </cell>
          <cell r="D166">
            <v>3.67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3.67</v>
          </cell>
          <cell r="Q166">
            <v>0.54372000000000009</v>
          </cell>
          <cell r="R166" t="e">
            <v>#N/A</v>
          </cell>
        </row>
        <row r="167">
          <cell r="A167">
            <v>40177</v>
          </cell>
          <cell r="B167">
            <v>40177</v>
          </cell>
          <cell r="C167" t="str">
            <v>Past</v>
          </cell>
          <cell r="D167">
            <v>3.65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3.65</v>
          </cell>
          <cell r="Q167">
            <v>0.24187599999999998</v>
          </cell>
          <cell r="R167" t="e">
            <v>#N/A</v>
          </cell>
        </row>
        <row r="168">
          <cell r="A168">
            <v>40178</v>
          </cell>
          <cell r="B168">
            <v>40178</v>
          </cell>
          <cell r="C168" t="str">
            <v>Past</v>
          </cell>
          <cell r="D168">
            <v>3.58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3.58</v>
          </cell>
          <cell r="Q168">
            <v>0.51287899999999997</v>
          </cell>
          <cell r="R168" t="e">
            <v>#N/A</v>
          </cell>
        </row>
        <row r="169">
          <cell r="A169">
            <v>40179</v>
          </cell>
          <cell r="B169">
            <v>40179</v>
          </cell>
          <cell r="C169" t="str">
            <v>Past</v>
          </cell>
          <cell r="D169">
            <v>3.58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3.58</v>
          </cell>
          <cell r="Q169">
            <v>0</v>
          </cell>
          <cell r="R169" t="e">
            <v>#N/A</v>
          </cell>
        </row>
        <row r="170">
          <cell r="A170">
            <v>40182</v>
          </cell>
          <cell r="B170">
            <v>40182</v>
          </cell>
          <cell r="C170" t="str">
            <v>Past</v>
          </cell>
          <cell r="D170">
            <v>3.59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3.59</v>
          </cell>
          <cell r="Q170">
            <v>0.65819399999999995</v>
          </cell>
          <cell r="R170" t="e">
            <v>#N/A</v>
          </cell>
        </row>
        <row r="171">
          <cell r="A171">
            <v>40183</v>
          </cell>
          <cell r="B171">
            <v>40183</v>
          </cell>
          <cell r="C171" t="str">
            <v>Past</v>
          </cell>
          <cell r="D171">
            <v>3.72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3.72</v>
          </cell>
          <cell r="Q171">
            <v>0.64424499999999996</v>
          </cell>
          <cell r="R171" t="e">
            <v>#N/A</v>
          </cell>
        </row>
        <row r="172">
          <cell r="A172">
            <v>40184</v>
          </cell>
          <cell r="B172">
            <v>40184</v>
          </cell>
          <cell r="C172" t="str">
            <v>Past</v>
          </cell>
          <cell r="D172">
            <v>3.73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3.73</v>
          </cell>
          <cell r="Q172">
            <v>0.52295099999999994</v>
          </cell>
          <cell r="R172" t="e">
            <v>#N/A</v>
          </cell>
        </row>
        <row r="173">
          <cell r="A173">
            <v>40185</v>
          </cell>
          <cell r="B173">
            <v>40185</v>
          </cell>
          <cell r="C173" t="str">
            <v>Past</v>
          </cell>
          <cell r="D173">
            <v>3.79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3.79</v>
          </cell>
          <cell r="Q173">
            <v>0.92285299999999992</v>
          </cell>
          <cell r="R173" t="e">
            <v>#N/A</v>
          </cell>
        </row>
        <row r="174">
          <cell r="A174">
            <v>40186</v>
          </cell>
          <cell r="B174">
            <v>40186</v>
          </cell>
          <cell r="C174" t="str">
            <v>Past</v>
          </cell>
          <cell r="D174">
            <v>3.81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3.81</v>
          </cell>
          <cell r="Q174">
            <v>0.87413399999999997</v>
          </cell>
          <cell r="R174" t="e">
            <v>#N/A</v>
          </cell>
        </row>
        <row r="175">
          <cell r="A175">
            <v>40189</v>
          </cell>
          <cell r="B175">
            <v>40189</v>
          </cell>
          <cell r="C175" t="str">
            <v>Past</v>
          </cell>
          <cell r="D175">
            <v>3.7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3.7</v>
          </cell>
          <cell r="Q175">
            <v>0.62909499999999996</v>
          </cell>
          <cell r="R175" t="e">
            <v>#N/A</v>
          </cell>
        </row>
        <row r="176">
          <cell r="A176">
            <v>40190</v>
          </cell>
          <cell r="B176">
            <v>40190</v>
          </cell>
          <cell r="C176" t="str">
            <v>Past</v>
          </cell>
          <cell r="D176">
            <v>3.72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3.72</v>
          </cell>
          <cell r="Q176">
            <v>1.3633200000000001</v>
          </cell>
          <cell r="R176" t="e">
            <v>#N/A</v>
          </cell>
        </row>
        <row r="177">
          <cell r="A177">
            <v>40191</v>
          </cell>
          <cell r="B177">
            <v>40191</v>
          </cell>
          <cell r="C177" t="str">
            <v>Past</v>
          </cell>
          <cell r="D177">
            <v>3.5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3.5</v>
          </cell>
          <cell r="Q177">
            <v>2.4005400000000003</v>
          </cell>
          <cell r="R177" t="e">
            <v>#N/A</v>
          </cell>
        </row>
        <row r="178">
          <cell r="A178">
            <v>40192</v>
          </cell>
          <cell r="B178">
            <v>40192</v>
          </cell>
          <cell r="C178" t="str">
            <v>Past</v>
          </cell>
          <cell r="D178">
            <v>3.66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3.66</v>
          </cell>
          <cell r="Q178">
            <v>1.0413049999999999</v>
          </cell>
          <cell r="R178" t="e">
            <v>#N/A</v>
          </cell>
        </row>
        <row r="179">
          <cell r="A179">
            <v>40193</v>
          </cell>
          <cell r="B179">
            <v>40193</v>
          </cell>
          <cell r="C179" t="str">
            <v>Past</v>
          </cell>
          <cell r="D179">
            <v>3.58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3.58</v>
          </cell>
          <cell r="Q179">
            <v>0.82210699999999992</v>
          </cell>
          <cell r="R179" t="e">
            <v>#N/A</v>
          </cell>
        </row>
        <row r="180">
          <cell r="A180">
            <v>40196</v>
          </cell>
          <cell r="B180">
            <v>40196</v>
          </cell>
          <cell r="C180" t="str">
            <v>Past</v>
          </cell>
          <cell r="D180">
            <v>3.55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3.55</v>
          </cell>
          <cell r="Q180">
            <v>1.392072</v>
          </cell>
          <cell r="R180" t="e">
            <v>#N/A</v>
          </cell>
        </row>
        <row r="181">
          <cell r="A181">
            <v>40197</v>
          </cell>
          <cell r="B181">
            <v>40197</v>
          </cell>
          <cell r="C181" t="str">
            <v>Past</v>
          </cell>
          <cell r="D181">
            <v>3.49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3.49</v>
          </cell>
          <cell r="Q181">
            <v>0.93117000000000005</v>
          </cell>
          <cell r="R181" t="e">
            <v>#N/A</v>
          </cell>
        </row>
        <row r="182">
          <cell r="A182">
            <v>40198</v>
          </cell>
          <cell r="B182">
            <v>40198</v>
          </cell>
          <cell r="C182" t="str">
            <v>Past</v>
          </cell>
          <cell r="D182">
            <v>3.49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3.49</v>
          </cell>
          <cell r="Q182">
            <v>1.051032</v>
          </cell>
          <cell r="R182" t="e">
            <v>#N/A</v>
          </cell>
        </row>
        <row r="183">
          <cell r="A183">
            <v>40199</v>
          </cell>
          <cell r="B183">
            <v>40199</v>
          </cell>
          <cell r="C183" t="str">
            <v>Past</v>
          </cell>
          <cell r="D183">
            <v>3.37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3.37</v>
          </cell>
          <cell r="Q183">
            <v>3.907365</v>
          </cell>
          <cell r="R183" t="e">
            <v>#N/A</v>
          </cell>
        </row>
        <row r="184">
          <cell r="A184">
            <v>40200</v>
          </cell>
          <cell r="B184">
            <v>40200</v>
          </cell>
          <cell r="C184" t="str">
            <v>Past</v>
          </cell>
          <cell r="D184">
            <v>3.35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3.35</v>
          </cell>
          <cell r="Q184">
            <v>2.391486</v>
          </cell>
          <cell r="R184" t="e">
            <v>#N/A</v>
          </cell>
        </row>
        <row r="185">
          <cell r="A185">
            <v>40203</v>
          </cell>
          <cell r="B185">
            <v>40203</v>
          </cell>
          <cell r="C185" t="str">
            <v>Past</v>
          </cell>
          <cell r="D185">
            <v>3.38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3.38</v>
          </cell>
          <cell r="Q185">
            <v>1.1791289999999999</v>
          </cell>
          <cell r="R185" t="e">
            <v>#N/A</v>
          </cell>
        </row>
        <row r="186">
          <cell r="A186">
            <v>40204</v>
          </cell>
          <cell r="B186">
            <v>40204</v>
          </cell>
          <cell r="C186" t="str">
            <v>Past</v>
          </cell>
          <cell r="D186">
            <v>3.38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3.38</v>
          </cell>
          <cell r="Q186">
            <v>0</v>
          </cell>
          <cell r="R186" t="e">
            <v>#N/A</v>
          </cell>
        </row>
        <row r="187">
          <cell r="A187">
            <v>40205</v>
          </cell>
          <cell r="B187">
            <v>40205</v>
          </cell>
          <cell r="C187" t="str">
            <v>Past</v>
          </cell>
          <cell r="D187">
            <v>3.31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3.31</v>
          </cell>
          <cell r="Q187">
            <v>1.796235</v>
          </cell>
          <cell r="R187" t="e">
            <v>#N/A</v>
          </cell>
        </row>
        <row r="188">
          <cell r="A188">
            <v>40206</v>
          </cell>
          <cell r="B188">
            <v>40206</v>
          </cell>
          <cell r="C188" t="str">
            <v>Past</v>
          </cell>
          <cell r="D188">
            <v>3.4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3.4</v>
          </cell>
          <cell r="Q188">
            <v>1.935352</v>
          </cell>
          <cell r="R188" t="e">
            <v>#N/A</v>
          </cell>
        </row>
        <row r="189">
          <cell r="A189">
            <v>40207</v>
          </cell>
          <cell r="B189">
            <v>40207</v>
          </cell>
          <cell r="C189" t="str">
            <v>Past</v>
          </cell>
          <cell r="D189">
            <v>3.3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3.3</v>
          </cell>
          <cell r="Q189">
            <v>0.96683399999999997</v>
          </cell>
          <cell r="R189" t="e">
            <v>#N/A</v>
          </cell>
        </row>
        <row r="190">
          <cell r="A190">
            <v>40210</v>
          </cell>
          <cell r="B190">
            <v>40210</v>
          </cell>
          <cell r="C190" t="str">
            <v>Past</v>
          </cell>
          <cell r="D190">
            <v>3.28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3.28</v>
          </cell>
          <cell r="Q190">
            <v>0.72931800000000002</v>
          </cell>
          <cell r="R190" t="e">
            <v>#N/A</v>
          </cell>
        </row>
        <row r="191">
          <cell r="A191">
            <v>40211</v>
          </cell>
          <cell r="B191">
            <v>40211</v>
          </cell>
          <cell r="C191" t="str">
            <v>Past</v>
          </cell>
          <cell r="D191">
            <v>3.3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3.3</v>
          </cell>
          <cell r="Q191">
            <v>12.00665</v>
          </cell>
          <cell r="R191" t="e">
            <v>#N/A</v>
          </cell>
        </row>
        <row r="192">
          <cell r="A192">
            <v>40212</v>
          </cell>
          <cell r="B192">
            <v>40212</v>
          </cell>
          <cell r="C192" t="str">
            <v>Past</v>
          </cell>
          <cell r="D192">
            <v>3.32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3.32</v>
          </cell>
          <cell r="Q192">
            <v>1.3844109999999998</v>
          </cell>
          <cell r="R192" t="e">
            <v>#N/A</v>
          </cell>
        </row>
        <row r="193">
          <cell r="A193">
            <v>40213</v>
          </cell>
          <cell r="B193">
            <v>40213</v>
          </cell>
          <cell r="C193" t="str">
            <v>Past</v>
          </cell>
          <cell r="D193">
            <v>3.38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3.38</v>
          </cell>
          <cell r="Q193">
            <v>1.1239400000000002</v>
          </cell>
          <cell r="R193" t="e">
            <v>#N/A</v>
          </cell>
        </row>
        <row r="194">
          <cell r="A194">
            <v>40214</v>
          </cell>
          <cell r="B194">
            <v>40214</v>
          </cell>
          <cell r="C194" t="str">
            <v>Past</v>
          </cell>
          <cell r="D194">
            <v>3.42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3.42</v>
          </cell>
          <cell r="Q194">
            <v>1.6689959999999999</v>
          </cell>
          <cell r="R194" t="e">
            <v>#N/A</v>
          </cell>
        </row>
        <row r="195">
          <cell r="A195">
            <v>40217</v>
          </cell>
          <cell r="B195">
            <v>40217</v>
          </cell>
          <cell r="C195" t="str">
            <v>Past</v>
          </cell>
          <cell r="D195">
            <v>3.45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3.45</v>
          </cell>
          <cell r="Q195">
            <v>1.0412939999999999</v>
          </cell>
          <cell r="R195" t="e">
            <v>#N/A</v>
          </cell>
        </row>
        <row r="196">
          <cell r="A196">
            <v>40218</v>
          </cell>
          <cell r="B196">
            <v>40218</v>
          </cell>
          <cell r="C196" t="str">
            <v>Past</v>
          </cell>
          <cell r="D196">
            <v>3.39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3.39</v>
          </cell>
          <cell r="Q196">
            <v>1.157586</v>
          </cell>
          <cell r="R196" t="e">
            <v>#N/A</v>
          </cell>
        </row>
        <row r="197">
          <cell r="A197">
            <v>40219</v>
          </cell>
          <cell r="B197">
            <v>40219</v>
          </cell>
          <cell r="C197" t="str">
            <v>Past</v>
          </cell>
          <cell r="D197">
            <v>3.51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3.51</v>
          </cell>
          <cell r="Q197">
            <v>2.080965</v>
          </cell>
          <cell r="R197" t="e">
            <v>#N/A</v>
          </cell>
        </row>
        <row r="198">
          <cell r="A198">
            <v>40220</v>
          </cell>
          <cell r="B198">
            <v>40220</v>
          </cell>
          <cell r="C198" t="str">
            <v>Past</v>
          </cell>
          <cell r="D198">
            <v>3.59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3.59</v>
          </cell>
          <cell r="Q198">
            <v>1.065266</v>
          </cell>
          <cell r="R198" t="e">
            <v>#N/A</v>
          </cell>
        </row>
        <row r="199">
          <cell r="A199">
            <v>40221</v>
          </cell>
          <cell r="B199">
            <v>40221</v>
          </cell>
          <cell r="C199" t="str">
            <v>Past</v>
          </cell>
          <cell r="D199">
            <v>3.6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3.6</v>
          </cell>
          <cell r="Q199">
            <v>0.70916499999999993</v>
          </cell>
          <cell r="R199" t="e">
            <v>#N/A</v>
          </cell>
        </row>
        <row r="200">
          <cell r="A200">
            <v>40224</v>
          </cell>
          <cell r="B200">
            <v>40224</v>
          </cell>
          <cell r="C200" t="str">
            <v>Past</v>
          </cell>
          <cell r="D200">
            <v>3.65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3.65</v>
          </cell>
          <cell r="Q200">
            <v>1.1829400000000001</v>
          </cell>
          <cell r="R200" t="e">
            <v>#N/A</v>
          </cell>
        </row>
        <row r="201">
          <cell r="A201">
            <v>40225</v>
          </cell>
          <cell r="B201">
            <v>40225</v>
          </cell>
          <cell r="C201" t="str">
            <v>Past</v>
          </cell>
          <cell r="D201">
            <v>3.54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3.54</v>
          </cell>
          <cell r="Q201">
            <v>1.0897569999999999</v>
          </cell>
          <cell r="R201" t="e">
            <v>#N/A</v>
          </cell>
        </row>
        <row r="202">
          <cell r="A202">
            <v>40226</v>
          </cell>
          <cell r="B202">
            <v>40226</v>
          </cell>
          <cell r="C202" t="str">
            <v>Past</v>
          </cell>
          <cell r="D202">
            <v>3.65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3.65</v>
          </cell>
          <cell r="Q202">
            <v>0.84393000000000007</v>
          </cell>
          <cell r="R202" t="e">
            <v>#N/A</v>
          </cell>
        </row>
        <row r="203">
          <cell r="A203">
            <v>40227</v>
          </cell>
          <cell r="B203">
            <v>40227</v>
          </cell>
          <cell r="C203" t="str">
            <v>Past</v>
          </cell>
          <cell r="D203">
            <v>3.66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3.66</v>
          </cell>
          <cell r="Q203">
            <v>1.5575619999999999</v>
          </cell>
          <cell r="R203" t="e">
            <v>#N/A</v>
          </cell>
        </row>
        <row r="204">
          <cell r="A204">
            <v>40228</v>
          </cell>
          <cell r="B204">
            <v>40228</v>
          </cell>
          <cell r="C204" t="str">
            <v>Past</v>
          </cell>
          <cell r="D204">
            <v>3.65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3.65</v>
          </cell>
          <cell r="Q204">
            <v>1.636833</v>
          </cell>
          <cell r="R204" t="e">
            <v>#N/A</v>
          </cell>
        </row>
        <row r="205">
          <cell r="A205">
            <v>40231</v>
          </cell>
          <cell r="B205">
            <v>40231</v>
          </cell>
          <cell r="C205" t="str">
            <v>Past</v>
          </cell>
          <cell r="D205">
            <v>3.78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3.78</v>
          </cell>
          <cell r="Q205">
            <v>0.69452499999999995</v>
          </cell>
          <cell r="R205" t="e">
            <v>#N/A</v>
          </cell>
        </row>
        <row r="206">
          <cell r="A206">
            <v>40232</v>
          </cell>
          <cell r="B206">
            <v>40232</v>
          </cell>
          <cell r="C206" t="str">
            <v>Past</v>
          </cell>
          <cell r="D206">
            <v>3.76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3.76</v>
          </cell>
          <cell r="Q206">
            <v>0.54088700000000001</v>
          </cell>
          <cell r="R206" t="e">
            <v>#N/A</v>
          </cell>
        </row>
        <row r="207">
          <cell r="A207">
            <v>40233</v>
          </cell>
          <cell r="B207">
            <v>40233</v>
          </cell>
          <cell r="C207" t="str">
            <v>Past</v>
          </cell>
          <cell r="D207">
            <v>3.75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3.75</v>
          </cell>
          <cell r="Q207">
            <v>2.2914309999999998</v>
          </cell>
          <cell r="R207" t="e">
            <v>#N/A</v>
          </cell>
        </row>
        <row r="208">
          <cell r="A208">
            <v>40234</v>
          </cell>
          <cell r="B208">
            <v>40234</v>
          </cell>
          <cell r="C208" t="str">
            <v>Past</v>
          </cell>
          <cell r="D208">
            <v>3.62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3.62</v>
          </cell>
          <cell r="Q208">
            <v>2.4987140000000001</v>
          </cell>
          <cell r="R208" t="e">
            <v>#N/A</v>
          </cell>
        </row>
        <row r="209">
          <cell r="A209">
            <v>40235</v>
          </cell>
          <cell r="B209">
            <v>40235</v>
          </cell>
          <cell r="C209" t="str">
            <v>Past</v>
          </cell>
          <cell r="D209">
            <v>3.58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3.58</v>
          </cell>
          <cell r="Q209">
            <v>2.6017669999999997</v>
          </cell>
          <cell r="R209" t="e">
            <v>#N/A</v>
          </cell>
        </row>
        <row r="210">
          <cell r="A210">
            <v>40238</v>
          </cell>
          <cell r="B210">
            <v>40238</v>
          </cell>
          <cell r="C210" t="str">
            <v>Past</v>
          </cell>
          <cell r="D210">
            <v>3.67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3.67</v>
          </cell>
          <cell r="Q210">
            <v>2.0494749999999997</v>
          </cell>
          <cell r="R210" t="e">
            <v>#N/A</v>
          </cell>
        </row>
        <row r="211">
          <cell r="A211">
            <v>40239</v>
          </cell>
          <cell r="B211">
            <v>40239</v>
          </cell>
          <cell r="C211" t="str">
            <v>Past</v>
          </cell>
          <cell r="D211">
            <v>3.7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3.7</v>
          </cell>
          <cell r="Q211">
            <v>1.491525</v>
          </cell>
          <cell r="R211" t="e">
            <v>#N/A</v>
          </cell>
        </row>
        <row r="212">
          <cell r="A212">
            <v>40240</v>
          </cell>
          <cell r="B212">
            <v>40240</v>
          </cell>
          <cell r="C212" t="str">
            <v>Past</v>
          </cell>
          <cell r="D212">
            <v>3.74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3.74</v>
          </cell>
          <cell r="Q212">
            <v>3.1061859999999997</v>
          </cell>
          <cell r="R212" t="e">
            <v>#N/A</v>
          </cell>
        </row>
        <row r="213">
          <cell r="A213">
            <v>40241</v>
          </cell>
          <cell r="B213">
            <v>40241</v>
          </cell>
          <cell r="C213" t="str">
            <v>Past</v>
          </cell>
          <cell r="D213">
            <v>3.74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3.74</v>
          </cell>
          <cell r="Q213">
            <v>1.286322</v>
          </cell>
          <cell r="R213" t="e">
            <v>#N/A</v>
          </cell>
        </row>
        <row r="214">
          <cell r="A214">
            <v>40242</v>
          </cell>
          <cell r="B214">
            <v>40242</v>
          </cell>
          <cell r="C214" t="str">
            <v>Past</v>
          </cell>
          <cell r="D214">
            <v>3.7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3.7</v>
          </cell>
          <cell r="Q214">
            <v>4.2396000000000003</v>
          </cell>
          <cell r="R214" t="e">
            <v>#N/A</v>
          </cell>
        </row>
        <row r="215">
          <cell r="A215">
            <v>40245</v>
          </cell>
          <cell r="B215">
            <v>40245</v>
          </cell>
          <cell r="C215" t="str">
            <v>Past</v>
          </cell>
          <cell r="D215">
            <v>3.72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3.72</v>
          </cell>
          <cell r="Q215">
            <v>1.5765309999999999</v>
          </cell>
          <cell r="R215" t="e">
            <v>#N/A</v>
          </cell>
        </row>
        <row r="216">
          <cell r="A216">
            <v>40246</v>
          </cell>
          <cell r="B216">
            <v>40246</v>
          </cell>
          <cell r="C216" t="str">
            <v>Past</v>
          </cell>
          <cell r="D216">
            <v>3.66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3.66</v>
          </cell>
          <cell r="Q216">
            <v>4.3290739999999994</v>
          </cell>
          <cell r="R216" t="e">
            <v>#N/A</v>
          </cell>
        </row>
        <row r="217">
          <cell r="A217">
            <v>40247</v>
          </cell>
          <cell r="B217">
            <v>40247</v>
          </cell>
          <cell r="C217" t="str">
            <v>Past</v>
          </cell>
          <cell r="D217">
            <v>3.64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3.64</v>
          </cell>
          <cell r="Q217">
            <v>0.95152300000000001</v>
          </cell>
          <cell r="R217" t="e">
            <v>#N/A</v>
          </cell>
        </row>
        <row r="218">
          <cell r="A218">
            <v>40248</v>
          </cell>
          <cell r="B218">
            <v>40248</v>
          </cell>
          <cell r="C218" t="str">
            <v>Past</v>
          </cell>
          <cell r="D218">
            <v>3.66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3.66</v>
          </cell>
          <cell r="Q218">
            <v>1.321861</v>
          </cell>
          <cell r="R218" t="e">
            <v>#N/A</v>
          </cell>
        </row>
        <row r="219">
          <cell r="A219">
            <v>40249</v>
          </cell>
          <cell r="B219">
            <v>40249</v>
          </cell>
          <cell r="C219" t="str">
            <v>Past</v>
          </cell>
          <cell r="D219">
            <v>3.74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3.74</v>
          </cell>
          <cell r="Q219">
            <v>1.12351</v>
          </cell>
          <cell r="R219" t="e">
            <v>#N/A</v>
          </cell>
        </row>
        <row r="220">
          <cell r="A220">
            <v>40252</v>
          </cell>
          <cell r="B220">
            <v>40252</v>
          </cell>
          <cell r="C220" t="str">
            <v>Past</v>
          </cell>
          <cell r="D220">
            <v>3.78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3.78</v>
          </cell>
          <cell r="Q220">
            <v>2.0616339999999997</v>
          </cell>
          <cell r="R220" t="e">
            <v>#N/A</v>
          </cell>
        </row>
        <row r="221">
          <cell r="A221">
            <v>40253</v>
          </cell>
          <cell r="B221">
            <v>40253</v>
          </cell>
          <cell r="C221" t="str">
            <v>Past</v>
          </cell>
          <cell r="D221">
            <v>3.78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3.78</v>
          </cell>
          <cell r="Q221">
            <v>4.6456909999999993</v>
          </cell>
          <cell r="R221" t="e">
            <v>#N/A</v>
          </cell>
        </row>
        <row r="222">
          <cell r="A222">
            <v>40254</v>
          </cell>
          <cell r="B222">
            <v>40254</v>
          </cell>
          <cell r="C222" t="str">
            <v>Past</v>
          </cell>
          <cell r="D222">
            <v>3.91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3.91</v>
          </cell>
          <cell r="Q222">
            <v>1.9762800000000003</v>
          </cell>
          <cell r="R222" t="e">
            <v>#N/A</v>
          </cell>
        </row>
        <row r="223">
          <cell r="A223">
            <v>40255</v>
          </cell>
          <cell r="B223">
            <v>40255</v>
          </cell>
          <cell r="C223" t="str">
            <v>Past</v>
          </cell>
          <cell r="D223">
            <v>4.1399999999999997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4.1399999999999997</v>
          </cell>
          <cell r="Q223">
            <v>6.1181779999999995</v>
          </cell>
          <cell r="R223" t="e">
            <v>#N/A</v>
          </cell>
        </row>
        <row r="224">
          <cell r="A224">
            <v>40256</v>
          </cell>
          <cell r="B224">
            <v>40256</v>
          </cell>
          <cell r="C224" t="str">
            <v>Past</v>
          </cell>
          <cell r="D224">
            <v>4.1500000000000004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4.1500000000000004</v>
          </cell>
          <cell r="Q224">
            <v>3.3616500000000005</v>
          </cell>
          <cell r="R224" t="e">
            <v>#N/A</v>
          </cell>
        </row>
        <row r="225">
          <cell r="A225">
            <v>40259</v>
          </cell>
          <cell r="B225">
            <v>40259</v>
          </cell>
          <cell r="C225" t="str">
            <v>Past</v>
          </cell>
          <cell r="D225">
            <v>4.1399999999999997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4.1399999999999997</v>
          </cell>
          <cell r="Q225">
            <v>0.91978699999999991</v>
          </cell>
          <cell r="R225" t="e">
            <v>#N/A</v>
          </cell>
        </row>
        <row r="226">
          <cell r="A226">
            <v>40260</v>
          </cell>
          <cell r="B226">
            <v>40260</v>
          </cell>
          <cell r="C226" t="str">
            <v>Past</v>
          </cell>
          <cell r="D226">
            <v>4.12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4.12</v>
          </cell>
          <cell r="Q226">
            <v>1.709938</v>
          </cell>
          <cell r="R226" t="e">
            <v>#N/A</v>
          </cell>
        </row>
        <row r="227">
          <cell r="A227">
            <v>40261</v>
          </cell>
          <cell r="B227">
            <v>40261</v>
          </cell>
          <cell r="C227" t="str">
            <v>Past</v>
          </cell>
          <cell r="D227">
            <v>4.2300000000000004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4.2300000000000004</v>
          </cell>
          <cell r="Q227">
            <v>1.4208100000000001</v>
          </cell>
          <cell r="R227" t="e">
            <v>#N/A</v>
          </cell>
        </row>
        <row r="228">
          <cell r="A228">
            <v>40262</v>
          </cell>
          <cell r="B228">
            <v>40262</v>
          </cell>
          <cell r="C228" t="str">
            <v>Past</v>
          </cell>
          <cell r="D228">
            <v>4.3600000000000003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4.3600000000000003</v>
          </cell>
          <cell r="Q228">
            <v>2.821545</v>
          </cell>
          <cell r="R228" t="e">
            <v>#N/A</v>
          </cell>
        </row>
        <row r="229">
          <cell r="A229">
            <v>40263</v>
          </cell>
          <cell r="B229">
            <v>40263</v>
          </cell>
          <cell r="C229" t="str">
            <v>Past</v>
          </cell>
          <cell r="D229">
            <v>4.34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4.34</v>
          </cell>
          <cell r="Q229">
            <v>2.6971419999999999</v>
          </cell>
          <cell r="R229" t="e">
            <v>#N/A</v>
          </cell>
        </row>
        <row r="230">
          <cell r="A230">
            <v>40266</v>
          </cell>
          <cell r="B230">
            <v>40266</v>
          </cell>
          <cell r="C230" t="str">
            <v>Past</v>
          </cell>
          <cell r="D230">
            <v>4.37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4.37</v>
          </cell>
          <cell r="Q230">
            <v>2.0266519999999999</v>
          </cell>
          <cell r="R230" t="e">
            <v>#N/A</v>
          </cell>
        </row>
        <row r="231">
          <cell r="A231">
            <v>40267</v>
          </cell>
          <cell r="B231">
            <v>40267</v>
          </cell>
          <cell r="C231" t="str">
            <v>Past</v>
          </cell>
          <cell r="D231">
            <v>4.41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4.41</v>
          </cell>
          <cell r="Q231">
            <v>0.97201799999999994</v>
          </cell>
          <cell r="R231" t="e">
            <v>#N/A</v>
          </cell>
        </row>
        <row r="232">
          <cell r="A232">
            <v>40268</v>
          </cell>
          <cell r="B232">
            <v>40268</v>
          </cell>
          <cell r="C232" t="str">
            <v>Past</v>
          </cell>
          <cell r="D232">
            <v>4.38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4.38</v>
          </cell>
          <cell r="Q232">
            <v>1.2686300000000001</v>
          </cell>
          <cell r="R232" t="e">
            <v>#N/A</v>
          </cell>
        </row>
        <row r="233">
          <cell r="A233">
            <v>40269</v>
          </cell>
          <cell r="B233">
            <v>40269</v>
          </cell>
          <cell r="C233" t="str">
            <v>Past</v>
          </cell>
          <cell r="D233">
            <v>4.53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4.53</v>
          </cell>
          <cell r="Q233">
            <v>1.5240339999999999</v>
          </cell>
          <cell r="R233" t="e">
            <v>#N/A</v>
          </cell>
        </row>
        <row r="234">
          <cell r="A234">
            <v>40270</v>
          </cell>
          <cell r="B234">
            <v>40270</v>
          </cell>
          <cell r="C234" t="str">
            <v>Past</v>
          </cell>
          <cell r="D234">
            <v>4.53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4.53</v>
          </cell>
          <cell r="Q234">
            <v>0</v>
          </cell>
          <cell r="R234" t="e">
            <v>#N/A</v>
          </cell>
        </row>
        <row r="235">
          <cell r="A235">
            <v>40273</v>
          </cell>
          <cell r="B235">
            <v>40273</v>
          </cell>
          <cell r="C235" t="str">
            <v>Past</v>
          </cell>
          <cell r="D235">
            <v>4.53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4.53</v>
          </cell>
          <cell r="Q235">
            <v>0</v>
          </cell>
          <cell r="R235" t="e">
            <v>#N/A</v>
          </cell>
        </row>
        <row r="236">
          <cell r="A236">
            <v>40274</v>
          </cell>
          <cell r="B236">
            <v>40274</v>
          </cell>
          <cell r="C236" t="str">
            <v>Past</v>
          </cell>
          <cell r="D236">
            <v>4.53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4.53</v>
          </cell>
          <cell r="Q236">
            <v>1.641451</v>
          </cell>
          <cell r="R236" t="e">
            <v>#N/A</v>
          </cell>
        </row>
        <row r="237">
          <cell r="A237">
            <v>40275</v>
          </cell>
          <cell r="B237">
            <v>40275</v>
          </cell>
          <cell r="C237" t="str">
            <v>Past</v>
          </cell>
          <cell r="D237">
            <v>4.57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4.57</v>
          </cell>
          <cell r="Q237">
            <v>1.5950439999999999</v>
          </cell>
          <cell r="R237" t="e">
            <v>#N/A</v>
          </cell>
        </row>
        <row r="238">
          <cell r="A238">
            <v>40276</v>
          </cell>
          <cell r="B238">
            <v>40276</v>
          </cell>
          <cell r="C238" t="str">
            <v>Past</v>
          </cell>
          <cell r="D238">
            <v>4.66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4.66</v>
          </cell>
          <cell r="Q238">
            <v>1.4709319999999999</v>
          </cell>
          <cell r="R238" t="e">
            <v>#N/A</v>
          </cell>
        </row>
        <row r="239">
          <cell r="A239">
            <v>40277</v>
          </cell>
          <cell r="B239">
            <v>40277</v>
          </cell>
          <cell r="C239" t="str">
            <v>Past</v>
          </cell>
          <cell r="D239">
            <v>4.9000000000000004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4.9000000000000004</v>
          </cell>
          <cell r="Q239">
            <v>2.6747779999999999</v>
          </cell>
          <cell r="R239" t="e">
            <v>#N/A</v>
          </cell>
        </row>
        <row r="240">
          <cell r="A240">
            <v>40280</v>
          </cell>
          <cell r="B240">
            <v>40280</v>
          </cell>
          <cell r="C240" t="str">
            <v>Past</v>
          </cell>
          <cell r="D240">
            <v>4.9800000000000004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4.9800000000000004</v>
          </cell>
          <cell r="Q240">
            <v>2.4565489999999999</v>
          </cell>
          <cell r="R240" t="e">
            <v>#N/A</v>
          </cell>
        </row>
        <row r="241">
          <cell r="A241">
            <v>40281</v>
          </cell>
          <cell r="B241">
            <v>40281</v>
          </cell>
          <cell r="C241" t="str">
            <v>Past</v>
          </cell>
          <cell r="D241">
            <v>4.78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4.78</v>
          </cell>
          <cell r="Q241">
            <v>3.1311049999999998</v>
          </cell>
          <cell r="R241" t="e">
            <v>#N/A</v>
          </cell>
        </row>
        <row r="242">
          <cell r="A242">
            <v>40282</v>
          </cell>
          <cell r="B242">
            <v>40282</v>
          </cell>
          <cell r="C242" t="str">
            <v>Past</v>
          </cell>
          <cell r="D242">
            <v>4.92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4.92</v>
          </cell>
          <cell r="Q242">
            <v>1.4913179999999999</v>
          </cell>
          <cell r="R242" t="e">
            <v>#N/A</v>
          </cell>
        </row>
        <row r="243">
          <cell r="A243">
            <v>40283</v>
          </cell>
          <cell r="B243">
            <v>40283</v>
          </cell>
          <cell r="C243" t="str">
            <v>Past</v>
          </cell>
          <cell r="D243">
            <v>4.83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4.83</v>
          </cell>
          <cell r="Q243">
            <v>2.1561819999999998</v>
          </cell>
          <cell r="R243" t="e">
            <v>#N/A</v>
          </cell>
        </row>
        <row r="244">
          <cell r="A244">
            <v>40284</v>
          </cell>
          <cell r="B244">
            <v>40284</v>
          </cell>
          <cell r="C244" t="str">
            <v>Past</v>
          </cell>
          <cell r="D244">
            <v>4.83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4.83</v>
          </cell>
          <cell r="Q244">
            <v>1.1882470000000001</v>
          </cell>
          <cell r="R244" t="e">
            <v>#N/A</v>
          </cell>
        </row>
        <row r="245">
          <cell r="A245">
            <v>40287</v>
          </cell>
          <cell r="B245">
            <v>40287</v>
          </cell>
          <cell r="C245" t="str">
            <v>Past</v>
          </cell>
          <cell r="D245">
            <v>4.7699999999999996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4.7699999999999996</v>
          </cell>
          <cell r="Q245">
            <v>0.76280300000000001</v>
          </cell>
          <cell r="R245" t="e">
            <v>#N/A</v>
          </cell>
        </row>
        <row r="246">
          <cell r="A246">
            <v>40288</v>
          </cell>
          <cell r="B246">
            <v>40288</v>
          </cell>
          <cell r="C246" t="str">
            <v>Past</v>
          </cell>
          <cell r="D246">
            <v>4.83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4.83</v>
          </cell>
          <cell r="Q246">
            <v>1.342787</v>
          </cell>
          <cell r="R246" t="e">
            <v>#N/A</v>
          </cell>
        </row>
        <row r="247">
          <cell r="A247">
            <v>40289</v>
          </cell>
          <cell r="B247">
            <v>40289</v>
          </cell>
          <cell r="C247" t="str">
            <v>Past</v>
          </cell>
          <cell r="D247">
            <v>4.87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4.87</v>
          </cell>
          <cell r="Q247">
            <v>1.4623629999999999</v>
          </cell>
          <cell r="R247" t="e">
            <v>#N/A</v>
          </cell>
        </row>
        <row r="248">
          <cell r="A248">
            <v>40290</v>
          </cell>
          <cell r="B248">
            <v>40290</v>
          </cell>
          <cell r="C248" t="str">
            <v>Past</v>
          </cell>
          <cell r="D248">
            <v>4.83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4.83</v>
          </cell>
          <cell r="Q248">
            <v>2.3356100000000004</v>
          </cell>
          <cell r="R248" t="e">
            <v>#N/A</v>
          </cell>
        </row>
        <row r="249">
          <cell r="A249">
            <v>40291</v>
          </cell>
          <cell r="B249">
            <v>40291</v>
          </cell>
          <cell r="C249" t="str">
            <v>Past</v>
          </cell>
          <cell r="D249">
            <v>4.84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4.84</v>
          </cell>
          <cell r="Q249">
            <v>1.4139349999999999</v>
          </cell>
          <cell r="R249" t="e">
            <v>#N/A</v>
          </cell>
        </row>
        <row r="250">
          <cell r="A250">
            <v>40294</v>
          </cell>
          <cell r="B250">
            <v>40294</v>
          </cell>
          <cell r="C250" t="str">
            <v>Past</v>
          </cell>
          <cell r="D250">
            <v>4.84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4.84</v>
          </cell>
          <cell r="Q250">
            <v>0</v>
          </cell>
          <cell r="R250" t="e">
            <v>#N/A</v>
          </cell>
        </row>
        <row r="251">
          <cell r="A251">
            <v>40295</v>
          </cell>
          <cell r="B251">
            <v>40295</v>
          </cell>
          <cell r="C251" t="str">
            <v>Past</v>
          </cell>
          <cell r="D251">
            <v>4.8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4.8</v>
          </cell>
          <cell r="Q251">
            <v>3.5871079999999997</v>
          </cell>
          <cell r="R251" t="e">
            <v>#N/A</v>
          </cell>
        </row>
        <row r="252">
          <cell r="A252">
            <v>40296</v>
          </cell>
          <cell r="B252">
            <v>40296</v>
          </cell>
          <cell r="C252" t="str">
            <v>Past</v>
          </cell>
          <cell r="D252">
            <v>4.72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4.72</v>
          </cell>
          <cell r="Q252">
            <v>3.5813519999999999</v>
          </cell>
          <cell r="R252" t="e">
            <v>#N/A</v>
          </cell>
        </row>
        <row r="253">
          <cell r="A253">
            <v>40297</v>
          </cell>
          <cell r="B253">
            <v>40297</v>
          </cell>
          <cell r="C253" t="str">
            <v>Past</v>
          </cell>
          <cell r="D253">
            <v>4.67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4.67</v>
          </cell>
          <cell r="Q253">
            <v>4.219214</v>
          </cell>
          <cell r="R253" t="e">
            <v>#N/A</v>
          </cell>
        </row>
        <row r="254">
          <cell r="A254">
            <v>40298</v>
          </cell>
          <cell r="B254">
            <v>40298</v>
          </cell>
          <cell r="C254" t="str">
            <v>Past</v>
          </cell>
          <cell r="D254">
            <v>4.6500000000000004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4.6500000000000004</v>
          </cell>
          <cell r="Q254">
            <v>5.4613000000000005</v>
          </cell>
          <cell r="R254" t="e">
            <v>#N/A</v>
          </cell>
        </row>
        <row r="255">
          <cell r="A255">
            <v>40301</v>
          </cell>
          <cell r="B255">
            <v>40301</v>
          </cell>
          <cell r="C255" t="str">
            <v>Past</v>
          </cell>
          <cell r="D255">
            <v>4.37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4.37</v>
          </cell>
          <cell r="Q255">
            <v>4.9350869999999993</v>
          </cell>
          <cell r="R255" t="e">
            <v>#N/A</v>
          </cell>
        </row>
        <row r="256">
          <cell r="A256">
            <v>40302</v>
          </cell>
          <cell r="B256">
            <v>40302</v>
          </cell>
          <cell r="C256" t="str">
            <v>Past</v>
          </cell>
          <cell r="D256">
            <v>4.38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4.38</v>
          </cell>
          <cell r="Q256">
            <v>1.8704049999999999</v>
          </cell>
          <cell r="R256" t="e">
            <v>#N/A</v>
          </cell>
        </row>
        <row r="257">
          <cell r="A257">
            <v>40303</v>
          </cell>
          <cell r="B257">
            <v>40303</v>
          </cell>
          <cell r="C257" t="str">
            <v>Past</v>
          </cell>
          <cell r="D257">
            <v>4.32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4.32</v>
          </cell>
          <cell r="Q257">
            <v>3.8087169999999997</v>
          </cell>
          <cell r="R257" t="e">
            <v>#N/A</v>
          </cell>
        </row>
        <row r="258">
          <cell r="A258">
            <v>40304</v>
          </cell>
          <cell r="B258">
            <v>40304</v>
          </cell>
          <cell r="C258" t="str">
            <v>Past</v>
          </cell>
          <cell r="D258">
            <v>4.3099999999999996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4.3099999999999996</v>
          </cell>
          <cell r="Q258">
            <v>1.6467049999999999</v>
          </cell>
          <cell r="R258" t="e">
            <v>#N/A</v>
          </cell>
        </row>
        <row r="259">
          <cell r="A259">
            <v>40305</v>
          </cell>
          <cell r="B259">
            <v>40305</v>
          </cell>
          <cell r="C259" t="str">
            <v>Past</v>
          </cell>
          <cell r="D259">
            <v>4.24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4.24</v>
          </cell>
          <cell r="Q259">
            <v>2.1922459999999999</v>
          </cell>
          <cell r="R259" t="e">
            <v>#N/A</v>
          </cell>
        </row>
        <row r="260">
          <cell r="A260">
            <v>40308</v>
          </cell>
          <cell r="B260">
            <v>40308</v>
          </cell>
          <cell r="C260" t="str">
            <v>Past</v>
          </cell>
          <cell r="D260">
            <v>4.3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4.3</v>
          </cell>
          <cell r="Q260">
            <v>3.0404059999999999</v>
          </cell>
          <cell r="R260" t="e">
            <v>#N/A</v>
          </cell>
        </row>
        <row r="261">
          <cell r="A261">
            <v>40309</v>
          </cell>
          <cell r="B261">
            <v>40309</v>
          </cell>
          <cell r="C261" t="str">
            <v>Past</v>
          </cell>
          <cell r="D261">
            <v>4.29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4.29</v>
          </cell>
          <cell r="Q261">
            <v>1.119651</v>
          </cell>
          <cell r="R261" t="e">
            <v>#N/A</v>
          </cell>
        </row>
        <row r="262">
          <cell r="A262">
            <v>40310</v>
          </cell>
          <cell r="B262">
            <v>40310</v>
          </cell>
          <cell r="C262" t="str">
            <v>Past</v>
          </cell>
          <cell r="D262">
            <v>4.43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4.43</v>
          </cell>
          <cell r="Q262">
            <v>1.4911109999999999</v>
          </cell>
          <cell r="R262" t="e">
            <v>#N/A</v>
          </cell>
        </row>
        <row r="263">
          <cell r="A263">
            <v>40311</v>
          </cell>
          <cell r="B263">
            <v>40311</v>
          </cell>
          <cell r="C263" t="str">
            <v>Past</v>
          </cell>
          <cell r="D263">
            <v>4.3899999999999997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4.3899999999999997</v>
          </cell>
          <cell r="Q263">
            <v>1.614681</v>
          </cell>
          <cell r="R263" t="e">
            <v>#N/A</v>
          </cell>
        </row>
        <row r="264">
          <cell r="A264">
            <v>40312</v>
          </cell>
          <cell r="B264">
            <v>40312</v>
          </cell>
          <cell r="C264" t="str">
            <v>Past</v>
          </cell>
          <cell r="D264">
            <v>4.5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4.5</v>
          </cell>
          <cell r="Q264">
            <v>2.1659129999999998</v>
          </cell>
          <cell r="R264" t="e">
            <v>#N/A</v>
          </cell>
        </row>
        <row r="265">
          <cell r="A265">
            <v>40315</v>
          </cell>
          <cell r="B265">
            <v>40315</v>
          </cell>
          <cell r="C265" t="str">
            <v>Past</v>
          </cell>
          <cell r="D265">
            <v>4.38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4.38</v>
          </cell>
          <cell r="Q265">
            <v>1.546683</v>
          </cell>
          <cell r="R265" t="e">
            <v>#N/A</v>
          </cell>
        </row>
        <row r="266">
          <cell r="A266">
            <v>40316</v>
          </cell>
          <cell r="B266">
            <v>40316</v>
          </cell>
          <cell r="C266" t="str">
            <v>Past</v>
          </cell>
          <cell r="D266">
            <v>4.51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4.51</v>
          </cell>
          <cell r="Q266">
            <v>2.4277219999999997</v>
          </cell>
          <cell r="R266" t="e">
            <v>#N/A</v>
          </cell>
        </row>
        <row r="267">
          <cell r="A267">
            <v>40317</v>
          </cell>
          <cell r="B267">
            <v>40317</v>
          </cell>
          <cell r="C267" t="str">
            <v>Past</v>
          </cell>
          <cell r="D267">
            <v>4.45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4.45</v>
          </cell>
          <cell r="Q267">
            <v>1.7547189999999999</v>
          </cell>
          <cell r="R267" t="e">
            <v>#N/A</v>
          </cell>
        </row>
        <row r="268">
          <cell r="A268">
            <v>40318</v>
          </cell>
          <cell r="B268">
            <v>40318</v>
          </cell>
          <cell r="C268" t="str">
            <v>Past</v>
          </cell>
          <cell r="D268">
            <v>4.3899999999999997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4.3899999999999997</v>
          </cell>
          <cell r="Q268">
            <v>2.2883689999999999</v>
          </cell>
          <cell r="R268" t="e">
            <v>#N/A</v>
          </cell>
        </row>
        <row r="269">
          <cell r="A269">
            <v>40319</v>
          </cell>
          <cell r="B269">
            <v>40319</v>
          </cell>
          <cell r="C269" t="str">
            <v>Past</v>
          </cell>
          <cell r="D269">
            <v>4.33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4.33</v>
          </cell>
          <cell r="Q269">
            <v>1.226923</v>
          </cell>
          <cell r="R269" t="e">
            <v>#N/A</v>
          </cell>
        </row>
        <row r="270">
          <cell r="A270">
            <v>40322</v>
          </cell>
          <cell r="B270">
            <v>40322</v>
          </cell>
          <cell r="C270" t="str">
            <v>Past</v>
          </cell>
          <cell r="D270">
            <v>4.45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4.45</v>
          </cell>
          <cell r="Q270">
            <v>2.9887219999999997</v>
          </cell>
          <cell r="R270" t="e">
            <v>#N/A</v>
          </cell>
        </row>
        <row r="271">
          <cell r="A271">
            <v>40323</v>
          </cell>
          <cell r="B271">
            <v>40323</v>
          </cell>
          <cell r="C271" t="str">
            <v>Past</v>
          </cell>
          <cell r="D271">
            <v>4.3499999999999996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4.3499999999999996</v>
          </cell>
          <cell r="Q271">
            <v>2.528035</v>
          </cell>
          <cell r="R271" t="e">
            <v>#N/A</v>
          </cell>
        </row>
        <row r="272">
          <cell r="A272">
            <v>40324</v>
          </cell>
          <cell r="B272">
            <v>40324</v>
          </cell>
          <cell r="C272" t="str">
            <v>Past</v>
          </cell>
          <cell r="D272">
            <v>4.5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4.5</v>
          </cell>
          <cell r="Q272">
            <v>5.4032629999999999</v>
          </cell>
          <cell r="R272" t="e">
            <v>#N/A</v>
          </cell>
        </row>
        <row r="273">
          <cell r="A273">
            <v>40325</v>
          </cell>
          <cell r="B273">
            <v>40325</v>
          </cell>
          <cell r="C273" t="str">
            <v>Past</v>
          </cell>
          <cell r="D273">
            <v>4.7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4.7</v>
          </cell>
          <cell r="Q273">
            <v>5.8756689999999994</v>
          </cell>
          <cell r="R273" t="e">
            <v>#N/A</v>
          </cell>
        </row>
        <row r="274">
          <cell r="A274">
            <v>40326</v>
          </cell>
          <cell r="B274">
            <v>40326</v>
          </cell>
          <cell r="C274" t="str">
            <v>Past</v>
          </cell>
          <cell r="D274">
            <v>4.7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4.7</v>
          </cell>
          <cell r="Q274">
            <v>7.3897879999999994</v>
          </cell>
          <cell r="R274" t="e">
            <v>#N/A</v>
          </cell>
        </row>
        <row r="275">
          <cell r="A275">
            <v>40329</v>
          </cell>
          <cell r="B275">
            <v>40329</v>
          </cell>
          <cell r="C275" t="str">
            <v>Past</v>
          </cell>
          <cell r="D275">
            <v>4.79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4.79</v>
          </cell>
          <cell r="Q275">
            <v>2.2400100000000003</v>
          </cell>
          <cell r="R275" t="e">
            <v>#N/A</v>
          </cell>
        </row>
        <row r="276">
          <cell r="A276">
            <v>40330</v>
          </cell>
          <cell r="B276">
            <v>40330</v>
          </cell>
          <cell r="C276" t="str">
            <v>Past</v>
          </cell>
          <cell r="D276">
            <v>4.87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4.87</v>
          </cell>
          <cell r="Q276">
            <v>1.7013969999999998</v>
          </cell>
          <cell r="R276" t="e">
            <v>#N/A</v>
          </cell>
        </row>
        <row r="277">
          <cell r="A277">
            <v>40331</v>
          </cell>
          <cell r="B277">
            <v>40331</v>
          </cell>
          <cell r="C277" t="str">
            <v>Past</v>
          </cell>
          <cell r="D277">
            <v>4.78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4.78</v>
          </cell>
          <cell r="Q277">
            <v>2.443962</v>
          </cell>
          <cell r="R277" t="e">
            <v>#N/A</v>
          </cell>
        </row>
        <row r="278">
          <cell r="A278">
            <v>40332</v>
          </cell>
          <cell r="B278">
            <v>40332</v>
          </cell>
          <cell r="C278" t="str">
            <v>Past</v>
          </cell>
          <cell r="D278">
            <v>4.8600000000000003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4.8600000000000003</v>
          </cell>
          <cell r="Q278">
            <v>2.829142</v>
          </cell>
          <cell r="R278" t="e">
            <v>#N/A</v>
          </cell>
        </row>
        <row r="279">
          <cell r="A279">
            <v>40333</v>
          </cell>
          <cell r="B279">
            <v>40333</v>
          </cell>
          <cell r="C279" t="str">
            <v>Past</v>
          </cell>
          <cell r="D279">
            <v>5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5</v>
          </cell>
          <cell r="Q279">
            <v>3.583221</v>
          </cell>
          <cell r="R279" t="e">
            <v>#N/A</v>
          </cell>
        </row>
        <row r="280">
          <cell r="A280">
            <v>40336</v>
          </cell>
          <cell r="B280">
            <v>40336</v>
          </cell>
          <cell r="C280" t="str">
            <v>Past</v>
          </cell>
          <cell r="D280">
            <v>4.9000000000000004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4.9000000000000004</v>
          </cell>
          <cell r="Q280">
            <v>4.608282</v>
          </cell>
          <cell r="R280" t="e">
            <v>#N/A</v>
          </cell>
        </row>
        <row r="281">
          <cell r="A281">
            <v>40337</v>
          </cell>
          <cell r="B281">
            <v>40337</v>
          </cell>
          <cell r="C281" t="str">
            <v>Past</v>
          </cell>
          <cell r="D281">
            <v>5.0599999999999996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5.0599999999999996</v>
          </cell>
          <cell r="Q281">
            <v>2.1608860000000001</v>
          </cell>
          <cell r="R281" t="e">
            <v>#N/A</v>
          </cell>
        </row>
        <row r="282">
          <cell r="A282">
            <v>40338</v>
          </cell>
          <cell r="B282">
            <v>40338</v>
          </cell>
          <cell r="C282" t="str">
            <v>Past</v>
          </cell>
          <cell r="D282">
            <v>5.0199999999999996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5.0199999999999996</v>
          </cell>
          <cell r="Q282">
            <v>2.3655339999999998</v>
          </cell>
          <cell r="R282" t="e">
            <v>#N/A</v>
          </cell>
        </row>
        <row r="283">
          <cell r="A283">
            <v>40339</v>
          </cell>
          <cell r="B283">
            <v>40339</v>
          </cell>
          <cell r="C283" t="str">
            <v>Past</v>
          </cell>
          <cell r="D283">
            <v>4.93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4.93</v>
          </cell>
          <cell r="Q283">
            <v>2.4771239999999999</v>
          </cell>
          <cell r="R283" t="e">
            <v>#N/A</v>
          </cell>
        </row>
        <row r="284">
          <cell r="A284">
            <v>40340</v>
          </cell>
          <cell r="B284">
            <v>40340</v>
          </cell>
          <cell r="C284" t="str">
            <v>Past</v>
          </cell>
          <cell r="D284">
            <v>5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5</v>
          </cell>
          <cell r="Q284">
            <v>2.0476769999999997</v>
          </cell>
          <cell r="R284" t="e">
            <v>#N/A</v>
          </cell>
        </row>
        <row r="285">
          <cell r="A285">
            <v>40343</v>
          </cell>
          <cell r="B285">
            <v>40343</v>
          </cell>
          <cell r="C285" t="str">
            <v>Past</v>
          </cell>
          <cell r="D285">
            <v>5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5</v>
          </cell>
          <cell r="Q285">
            <v>0</v>
          </cell>
          <cell r="R285" t="e">
            <v>#N/A</v>
          </cell>
        </row>
        <row r="286">
          <cell r="A286">
            <v>40344</v>
          </cell>
          <cell r="B286">
            <v>40344</v>
          </cell>
          <cell r="C286" t="str">
            <v>Past</v>
          </cell>
          <cell r="D286">
            <v>4.8899999999999997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4.8899999999999997</v>
          </cell>
          <cell r="Q286">
            <v>2.164825</v>
          </cell>
          <cell r="R286" t="e">
            <v>#N/A</v>
          </cell>
        </row>
        <row r="287">
          <cell r="A287">
            <v>40345</v>
          </cell>
          <cell r="B287">
            <v>40345</v>
          </cell>
          <cell r="C287" t="str">
            <v>Past</v>
          </cell>
          <cell r="D287">
            <v>5.03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5.03</v>
          </cell>
          <cell r="Q287">
            <v>3.027434</v>
          </cell>
          <cell r="R287" t="e">
            <v>#N/A</v>
          </cell>
        </row>
        <row r="288">
          <cell r="A288">
            <v>40346</v>
          </cell>
          <cell r="B288">
            <v>40346</v>
          </cell>
          <cell r="C288" t="str">
            <v>Past</v>
          </cell>
          <cell r="D288">
            <v>5.01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5.01</v>
          </cell>
          <cell r="Q288">
            <v>3.4349400000000001</v>
          </cell>
          <cell r="R288" t="e">
            <v>#N/A</v>
          </cell>
        </row>
        <row r="289">
          <cell r="A289">
            <v>40347</v>
          </cell>
          <cell r="B289">
            <v>40347</v>
          </cell>
          <cell r="C289" t="str">
            <v>Past</v>
          </cell>
          <cell r="D289">
            <v>5.05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5.05</v>
          </cell>
          <cell r="Q289">
            <v>2.4870800000000002</v>
          </cell>
          <cell r="R289" t="e">
            <v>#N/A</v>
          </cell>
        </row>
        <row r="290">
          <cell r="A290">
            <v>40350</v>
          </cell>
          <cell r="B290">
            <v>40350</v>
          </cell>
          <cell r="C290" t="str">
            <v>Past</v>
          </cell>
          <cell r="D290">
            <v>5.0999999999999996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5.0999999999999996</v>
          </cell>
          <cell r="Q290">
            <v>1.1825330000000001</v>
          </cell>
          <cell r="R290" t="e">
            <v>#N/A</v>
          </cell>
        </row>
        <row r="291">
          <cell r="A291">
            <v>40351</v>
          </cell>
          <cell r="B291">
            <v>40351</v>
          </cell>
          <cell r="C291" t="str">
            <v>Past</v>
          </cell>
          <cell r="D291">
            <v>4.93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4.93</v>
          </cell>
          <cell r="Q291">
            <v>1.916647</v>
          </cell>
          <cell r="R291" t="e">
            <v>#N/A</v>
          </cell>
        </row>
        <row r="292">
          <cell r="A292">
            <v>40352</v>
          </cell>
          <cell r="B292">
            <v>40352</v>
          </cell>
          <cell r="C292" t="str">
            <v>Past</v>
          </cell>
          <cell r="D292">
            <v>4.6900000000000004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4.6900000000000004</v>
          </cell>
          <cell r="Q292">
            <v>3.9416339999999996</v>
          </cell>
          <cell r="R292" t="e">
            <v>#N/A</v>
          </cell>
        </row>
        <row r="293">
          <cell r="A293">
            <v>40353</v>
          </cell>
          <cell r="B293">
            <v>40353</v>
          </cell>
          <cell r="C293" t="str">
            <v>Past</v>
          </cell>
          <cell r="D293">
            <v>4.8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4.8</v>
          </cell>
          <cell r="Q293">
            <v>2.2082459999999999</v>
          </cell>
          <cell r="R293" t="e">
            <v>#N/A</v>
          </cell>
        </row>
        <row r="294">
          <cell r="A294">
            <v>40354</v>
          </cell>
          <cell r="B294">
            <v>40354</v>
          </cell>
          <cell r="C294" t="str">
            <v>Past</v>
          </cell>
          <cell r="D294">
            <v>4.83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4.83</v>
          </cell>
          <cell r="Q294">
            <v>1.6233389999999999</v>
          </cell>
          <cell r="R294" t="e">
            <v>#N/A</v>
          </cell>
        </row>
        <row r="295">
          <cell r="A295">
            <v>40357</v>
          </cell>
          <cell r="B295">
            <v>40357</v>
          </cell>
          <cell r="C295" t="str">
            <v>Past</v>
          </cell>
          <cell r="D295">
            <v>4.75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4.75</v>
          </cell>
          <cell r="Q295">
            <v>2.385964</v>
          </cell>
          <cell r="R295" t="e">
            <v>#N/A</v>
          </cell>
        </row>
        <row r="296">
          <cell r="A296">
            <v>40358</v>
          </cell>
          <cell r="B296">
            <v>40358</v>
          </cell>
          <cell r="C296" t="str">
            <v>Past</v>
          </cell>
          <cell r="D296">
            <v>4.75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4.75</v>
          </cell>
          <cell r="Q296">
            <v>1.9129259999999999</v>
          </cell>
          <cell r="R296" t="e">
            <v>#N/A</v>
          </cell>
        </row>
        <row r="297">
          <cell r="A297">
            <v>40359</v>
          </cell>
          <cell r="B297">
            <v>40359</v>
          </cell>
          <cell r="C297" t="str">
            <v>Past</v>
          </cell>
          <cell r="D297">
            <v>4.6500000000000004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4.6500000000000004</v>
          </cell>
          <cell r="Q297">
            <v>2.3071609999999998</v>
          </cell>
          <cell r="R297" t="e">
            <v>#N/A</v>
          </cell>
        </row>
        <row r="298">
          <cell r="A298">
            <v>40360</v>
          </cell>
          <cell r="B298">
            <v>40360</v>
          </cell>
          <cell r="C298" t="str">
            <v>Past</v>
          </cell>
          <cell r="D298">
            <v>4.68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4.68</v>
          </cell>
          <cell r="Q298">
            <v>1.1091839999999999</v>
          </cell>
          <cell r="R298" t="e">
            <v>#N/A</v>
          </cell>
        </row>
        <row r="299">
          <cell r="A299">
            <v>40361</v>
          </cell>
          <cell r="B299">
            <v>40361</v>
          </cell>
          <cell r="C299" t="str">
            <v>Past</v>
          </cell>
          <cell r="D299">
            <v>4.67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4.67</v>
          </cell>
          <cell r="Q299">
            <v>0.90230699999999997</v>
          </cell>
          <cell r="R299" t="e">
            <v>#N/A</v>
          </cell>
        </row>
        <row r="300">
          <cell r="A300">
            <v>40364</v>
          </cell>
          <cell r="B300">
            <v>40364</v>
          </cell>
          <cell r="C300" t="str">
            <v>Past</v>
          </cell>
          <cell r="D300">
            <v>4.66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4.66</v>
          </cell>
          <cell r="Q300">
            <v>0.96630099999999997</v>
          </cell>
          <cell r="R300" t="e">
            <v>#N/A</v>
          </cell>
        </row>
        <row r="301">
          <cell r="A301">
            <v>40365</v>
          </cell>
          <cell r="B301">
            <v>40365</v>
          </cell>
          <cell r="C301" t="str">
            <v>Past</v>
          </cell>
          <cell r="D301">
            <v>4.75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4.75</v>
          </cell>
          <cell r="Q301">
            <v>0.83896199999999999</v>
          </cell>
          <cell r="R301" t="e">
            <v>#N/A</v>
          </cell>
        </row>
        <row r="302">
          <cell r="A302">
            <v>40366</v>
          </cell>
          <cell r="B302">
            <v>40366</v>
          </cell>
          <cell r="C302" t="str">
            <v>Past</v>
          </cell>
          <cell r="D302">
            <v>4.87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4.87</v>
          </cell>
          <cell r="Q302">
            <v>2.4739339999999999</v>
          </cell>
          <cell r="R302" t="e">
            <v>#N/A</v>
          </cell>
        </row>
        <row r="303">
          <cell r="A303">
            <v>40367</v>
          </cell>
          <cell r="B303">
            <v>40367</v>
          </cell>
          <cell r="C303" t="str">
            <v>Past</v>
          </cell>
          <cell r="D303">
            <v>4.9800000000000004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4.9800000000000004</v>
          </cell>
          <cell r="Q303">
            <v>3.0079669999999998</v>
          </cell>
          <cell r="R303" t="e">
            <v>#N/A</v>
          </cell>
        </row>
        <row r="304">
          <cell r="A304">
            <v>40368</v>
          </cell>
          <cell r="B304">
            <v>40368</v>
          </cell>
          <cell r="C304" t="str">
            <v>Past</v>
          </cell>
          <cell r="D304">
            <v>5.03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5.03</v>
          </cell>
          <cell r="Q304">
            <v>2.1128100000000001</v>
          </cell>
          <cell r="R304" t="e">
            <v>#N/A</v>
          </cell>
        </row>
        <row r="305">
          <cell r="A305">
            <v>40371</v>
          </cell>
          <cell r="B305">
            <v>40371</v>
          </cell>
          <cell r="C305" t="str">
            <v>Past</v>
          </cell>
          <cell r="D305">
            <v>5.31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5.31</v>
          </cell>
          <cell r="Q305">
            <v>4.5105259999999996</v>
          </cell>
          <cell r="R305" t="e">
            <v>#N/A</v>
          </cell>
        </row>
        <row r="306">
          <cell r="A306">
            <v>40372</v>
          </cell>
          <cell r="B306">
            <v>40372</v>
          </cell>
          <cell r="C306" t="str">
            <v>Past</v>
          </cell>
          <cell r="D306">
            <v>5.35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5.35</v>
          </cell>
          <cell r="Q306">
            <v>4.644158</v>
          </cell>
          <cell r="R306" t="e">
            <v>#N/A</v>
          </cell>
        </row>
        <row r="307">
          <cell r="A307">
            <v>40373</v>
          </cell>
          <cell r="B307">
            <v>40373</v>
          </cell>
          <cell r="C307" t="str">
            <v>Past</v>
          </cell>
          <cell r="D307">
            <v>5.42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5.42</v>
          </cell>
          <cell r="Q307">
            <v>2.904379</v>
          </cell>
          <cell r="R307" t="e">
            <v>#N/A</v>
          </cell>
        </row>
        <row r="308">
          <cell r="A308">
            <v>40374</v>
          </cell>
          <cell r="B308">
            <v>40374</v>
          </cell>
          <cell r="C308" t="str">
            <v>Past</v>
          </cell>
          <cell r="D308">
            <v>5.46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5.46</v>
          </cell>
          <cell r="Q308">
            <v>1.6172579999999999</v>
          </cell>
          <cell r="R308" t="e">
            <v>#N/A</v>
          </cell>
        </row>
        <row r="309">
          <cell r="A309">
            <v>40375</v>
          </cell>
          <cell r="B309">
            <v>40375</v>
          </cell>
          <cell r="C309" t="str">
            <v>Past</v>
          </cell>
          <cell r="D309">
            <v>5.43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5.43</v>
          </cell>
          <cell r="Q309">
            <v>0.76615699999999998</v>
          </cell>
          <cell r="R309" t="e">
            <v>#N/A</v>
          </cell>
        </row>
        <row r="310">
          <cell r="A310">
            <v>40378</v>
          </cell>
          <cell r="B310">
            <v>40378</v>
          </cell>
          <cell r="C310" t="str">
            <v>Past</v>
          </cell>
          <cell r="D310">
            <v>5.35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5.35</v>
          </cell>
          <cell r="Q310">
            <v>2.8341629999999998</v>
          </cell>
          <cell r="R310" t="e">
            <v>#N/A</v>
          </cell>
        </row>
        <row r="311">
          <cell r="A311">
            <v>40379</v>
          </cell>
          <cell r="B311">
            <v>40379</v>
          </cell>
          <cell r="C311" t="str">
            <v>Past</v>
          </cell>
          <cell r="D311">
            <v>5.41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5.41</v>
          </cell>
          <cell r="Q311">
            <v>1.281795</v>
          </cell>
          <cell r="R311" t="e">
            <v>#N/A</v>
          </cell>
        </row>
        <row r="312">
          <cell r="A312">
            <v>40380</v>
          </cell>
          <cell r="B312">
            <v>40380</v>
          </cell>
          <cell r="C312" t="str">
            <v>Past</v>
          </cell>
          <cell r="D312">
            <v>5.5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5.5</v>
          </cell>
          <cell r="Q312">
            <v>2.5656529999999997</v>
          </cell>
          <cell r="R312" t="e">
            <v>#N/A</v>
          </cell>
        </row>
        <row r="313">
          <cell r="A313">
            <v>40381</v>
          </cell>
          <cell r="B313">
            <v>40381</v>
          </cell>
          <cell r="C313" t="str">
            <v>Past</v>
          </cell>
          <cell r="D313">
            <v>5.45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5.45</v>
          </cell>
          <cell r="Q313">
            <v>0.77053099999999997</v>
          </cell>
          <cell r="R313" t="e">
            <v>#N/A</v>
          </cell>
        </row>
        <row r="314">
          <cell r="A314">
            <v>40382</v>
          </cell>
          <cell r="B314">
            <v>40382</v>
          </cell>
          <cell r="C314" t="str">
            <v>Past</v>
          </cell>
          <cell r="D314">
            <v>5.48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5.48</v>
          </cell>
          <cell r="Q314">
            <v>2.9059400000000002</v>
          </cell>
          <cell r="R314" t="e">
            <v>#N/A</v>
          </cell>
        </row>
        <row r="315">
          <cell r="A315">
            <v>40385</v>
          </cell>
          <cell r="B315">
            <v>40385</v>
          </cell>
          <cell r="C315" t="str">
            <v>Past</v>
          </cell>
          <cell r="D315">
            <v>5.46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5.46</v>
          </cell>
          <cell r="Q315">
            <v>1.6778259999999998</v>
          </cell>
          <cell r="R315" t="e">
            <v>#N/A</v>
          </cell>
        </row>
        <row r="316">
          <cell r="A316">
            <v>40386</v>
          </cell>
          <cell r="B316">
            <v>40386</v>
          </cell>
          <cell r="C316" t="str">
            <v>Past</v>
          </cell>
          <cell r="D316">
            <v>5.5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5.5</v>
          </cell>
          <cell r="Q316">
            <v>1.0174289999999999</v>
          </cell>
          <cell r="R316" t="e">
            <v>#N/A</v>
          </cell>
        </row>
        <row r="317">
          <cell r="A317">
            <v>40387</v>
          </cell>
          <cell r="B317">
            <v>40387</v>
          </cell>
          <cell r="C317" t="str">
            <v>Past</v>
          </cell>
          <cell r="D317">
            <v>5.48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5.48</v>
          </cell>
          <cell r="Q317">
            <v>1.8215649999999999</v>
          </cell>
          <cell r="R317" t="e">
            <v>#N/A</v>
          </cell>
        </row>
        <row r="318">
          <cell r="A318">
            <v>40388</v>
          </cell>
          <cell r="B318">
            <v>40388</v>
          </cell>
          <cell r="C318" t="str">
            <v>Past</v>
          </cell>
          <cell r="D318">
            <v>5.49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5.49</v>
          </cell>
          <cell r="Q318">
            <v>1.540278</v>
          </cell>
          <cell r="R318" t="e">
            <v>#N/A</v>
          </cell>
        </row>
        <row r="319">
          <cell r="A319">
            <v>40389</v>
          </cell>
          <cell r="B319">
            <v>40389</v>
          </cell>
          <cell r="C319" t="str">
            <v>Past</v>
          </cell>
          <cell r="D319">
            <v>5.5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5.5</v>
          </cell>
          <cell r="Q319">
            <v>0.82639099999999999</v>
          </cell>
          <cell r="R319" t="e">
            <v>#N/A</v>
          </cell>
        </row>
        <row r="320">
          <cell r="A320">
            <v>40392</v>
          </cell>
          <cell r="B320">
            <v>40392</v>
          </cell>
          <cell r="C320" t="str">
            <v>Past</v>
          </cell>
          <cell r="D320">
            <v>5.47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5.47</v>
          </cell>
          <cell r="Q320">
            <v>0.63659699999999997</v>
          </cell>
          <cell r="R320" t="e">
            <v>#N/A</v>
          </cell>
        </row>
        <row r="321">
          <cell r="A321">
            <v>40393</v>
          </cell>
          <cell r="B321">
            <v>40393</v>
          </cell>
          <cell r="C321" t="str">
            <v>Past</v>
          </cell>
          <cell r="D321">
            <v>5.44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5.44</v>
          </cell>
          <cell r="Q321">
            <v>1.748918</v>
          </cell>
          <cell r="R321" t="e">
            <v>#N/A</v>
          </cell>
        </row>
        <row r="322">
          <cell r="A322">
            <v>40394</v>
          </cell>
          <cell r="B322">
            <v>40394</v>
          </cell>
          <cell r="C322" t="str">
            <v>Past</v>
          </cell>
          <cell r="D322">
            <v>5.45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5.45</v>
          </cell>
          <cell r="Q322">
            <v>1.3766500000000002</v>
          </cell>
          <cell r="R322" t="e">
            <v>#N/A</v>
          </cell>
        </row>
        <row r="323">
          <cell r="A323">
            <v>40395</v>
          </cell>
          <cell r="B323">
            <v>40395</v>
          </cell>
          <cell r="C323" t="str">
            <v>Past</v>
          </cell>
          <cell r="D323">
            <v>5.43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5.43</v>
          </cell>
          <cell r="Q323">
            <v>1.2704789999999999</v>
          </cell>
          <cell r="R323" t="e">
            <v>#N/A</v>
          </cell>
        </row>
        <row r="324">
          <cell r="A324">
            <v>40396</v>
          </cell>
          <cell r="B324">
            <v>40396</v>
          </cell>
          <cell r="C324" t="str">
            <v>Past</v>
          </cell>
          <cell r="D324">
            <v>5.47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5.47</v>
          </cell>
          <cell r="Q324">
            <v>1.9334</v>
          </cell>
          <cell r="R324" t="e">
            <v>#N/A</v>
          </cell>
        </row>
        <row r="325">
          <cell r="A325">
            <v>40399</v>
          </cell>
          <cell r="B325">
            <v>40399</v>
          </cell>
          <cell r="C325" t="str">
            <v>Past</v>
          </cell>
          <cell r="D325">
            <v>5.43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5.43</v>
          </cell>
          <cell r="Q325">
            <v>1.1346159999999998</v>
          </cell>
          <cell r="R325" t="e">
            <v>#N/A</v>
          </cell>
        </row>
        <row r="326">
          <cell r="A326">
            <v>40400</v>
          </cell>
          <cell r="B326">
            <v>40400</v>
          </cell>
          <cell r="C326" t="str">
            <v>Past</v>
          </cell>
          <cell r="D326">
            <v>5.42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5.42</v>
          </cell>
          <cell r="Q326">
            <v>1.3678839999999999</v>
          </cell>
          <cell r="R326" t="e">
            <v>#N/A</v>
          </cell>
        </row>
        <row r="327">
          <cell r="A327">
            <v>40401</v>
          </cell>
          <cell r="B327">
            <v>40401</v>
          </cell>
          <cell r="C327" t="str">
            <v>Past</v>
          </cell>
          <cell r="D327">
            <v>5.4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5.4</v>
          </cell>
          <cell r="Q327">
            <v>2.3028869999999997</v>
          </cell>
          <cell r="R327" t="e">
            <v>#N/A</v>
          </cell>
        </row>
        <row r="328">
          <cell r="A328">
            <v>40402</v>
          </cell>
          <cell r="B328">
            <v>40402</v>
          </cell>
          <cell r="C328" t="str">
            <v>Past</v>
          </cell>
          <cell r="D328">
            <v>5.29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5.29</v>
          </cell>
          <cell r="Q328">
            <v>1.452196</v>
          </cell>
          <cell r="R328" t="e">
            <v>#N/A</v>
          </cell>
        </row>
        <row r="329">
          <cell r="A329">
            <v>40403</v>
          </cell>
          <cell r="B329">
            <v>40403</v>
          </cell>
          <cell r="C329" t="str">
            <v>Past</v>
          </cell>
          <cell r="D329">
            <v>5.36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5.36</v>
          </cell>
          <cell r="Q329">
            <v>1.322951</v>
          </cell>
          <cell r="R329" t="e">
            <v>#N/A</v>
          </cell>
        </row>
        <row r="330">
          <cell r="A330">
            <v>40406</v>
          </cell>
          <cell r="B330">
            <v>40406</v>
          </cell>
          <cell r="C330" t="str">
            <v>Past</v>
          </cell>
          <cell r="D330">
            <v>5.3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5.3</v>
          </cell>
          <cell r="Q330">
            <v>1.237881</v>
          </cell>
          <cell r="R330" t="e">
            <v>#N/A</v>
          </cell>
        </row>
        <row r="331">
          <cell r="A331">
            <v>40407</v>
          </cell>
          <cell r="B331">
            <v>40407</v>
          </cell>
          <cell r="C331" t="str">
            <v>Past</v>
          </cell>
          <cell r="D331">
            <v>5.47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5.47</v>
          </cell>
          <cell r="Q331">
            <v>1.9407129999999999</v>
          </cell>
          <cell r="R331" t="e">
            <v>#N/A</v>
          </cell>
        </row>
        <row r="332">
          <cell r="A332">
            <v>40408</v>
          </cell>
          <cell r="B332">
            <v>40408</v>
          </cell>
          <cell r="C332" t="str">
            <v>Past</v>
          </cell>
          <cell r="D332">
            <v>5.48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5.48</v>
          </cell>
          <cell r="Q332">
            <v>0.88127699999999998</v>
          </cell>
          <cell r="R332" t="e">
            <v>#N/A</v>
          </cell>
        </row>
        <row r="333">
          <cell r="A333">
            <v>40409</v>
          </cell>
          <cell r="B333">
            <v>40409</v>
          </cell>
          <cell r="C333" t="str">
            <v>Past</v>
          </cell>
          <cell r="D333">
            <v>5.51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5.51</v>
          </cell>
          <cell r="Q333">
            <v>1.5792729999999999</v>
          </cell>
          <cell r="R333" t="e">
            <v>#N/A</v>
          </cell>
        </row>
        <row r="334">
          <cell r="A334">
            <v>40410</v>
          </cell>
          <cell r="B334">
            <v>40410</v>
          </cell>
          <cell r="C334" t="str">
            <v>Past</v>
          </cell>
          <cell r="D334">
            <v>5.36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5.36</v>
          </cell>
          <cell r="Q334">
            <v>2.1429389999999997</v>
          </cell>
          <cell r="R334" t="e">
            <v>#N/A</v>
          </cell>
        </row>
        <row r="335">
          <cell r="A335">
            <v>40413</v>
          </cell>
          <cell r="B335">
            <v>40413</v>
          </cell>
          <cell r="C335" t="str">
            <v>Past</v>
          </cell>
          <cell r="D335">
            <v>5.38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5.38</v>
          </cell>
          <cell r="Q335">
            <v>0.73979499999999998</v>
          </cell>
          <cell r="R335" t="e">
            <v>#N/A</v>
          </cell>
        </row>
        <row r="336">
          <cell r="A336">
            <v>40414</v>
          </cell>
          <cell r="B336">
            <v>40414</v>
          </cell>
          <cell r="C336" t="str">
            <v>Past</v>
          </cell>
          <cell r="D336">
            <v>5.23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5.23</v>
          </cell>
          <cell r="Q336">
            <v>1.1307039999999999</v>
          </cell>
          <cell r="R336" t="e">
            <v>#N/A</v>
          </cell>
        </row>
        <row r="337">
          <cell r="A337">
            <v>40415</v>
          </cell>
          <cell r="B337">
            <v>40415</v>
          </cell>
          <cell r="C337" t="str">
            <v>Past</v>
          </cell>
          <cell r="D337">
            <v>5.25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5.25</v>
          </cell>
          <cell r="Q337">
            <v>1.6921079999999999</v>
          </cell>
          <cell r="R337" t="e">
            <v>#N/A</v>
          </cell>
        </row>
        <row r="338">
          <cell r="A338">
            <v>40416</v>
          </cell>
          <cell r="B338">
            <v>40416</v>
          </cell>
          <cell r="C338" t="str">
            <v>Past</v>
          </cell>
          <cell r="D338">
            <v>5.24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5.24</v>
          </cell>
          <cell r="Q338">
            <v>1.7341719999999998</v>
          </cell>
          <cell r="R338" t="e">
            <v>#N/A</v>
          </cell>
        </row>
        <row r="339">
          <cell r="A339">
            <v>40417</v>
          </cell>
          <cell r="B339">
            <v>40417</v>
          </cell>
          <cell r="C339" t="str">
            <v>Past</v>
          </cell>
          <cell r="D339">
            <v>5.39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5.39</v>
          </cell>
          <cell r="Q339">
            <v>1.1009869999999999</v>
          </cell>
          <cell r="R339" t="e">
            <v>#N/A</v>
          </cell>
        </row>
        <row r="340">
          <cell r="A340">
            <v>40420</v>
          </cell>
          <cell r="B340">
            <v>40420</v>
          </cell>
          <cell r="C340" t="str">
            <v>Past</v>
          </cell>
          <cell r="D340">
            <v>5.49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5.49</v>
          </cell>
          <cell r="Q340">
            <v>1.456013</v>
          </cell>
          <cell r="R340" t="e">
            <v>#N/A</v>
          </cell>
        </row>
        <row r="341">
          <cell r="A341">
            <v>40421</v>
          </cell>
          <cell r="B341">
            <v>40421</v>
          </cell>
          <cell r="C341" t="str">
            <v>Past</v>
          </cell>
          <cell r="D341">
            <v>5.55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5.55</v>
          </cell>
          <cell r="Q341">
            <v>1.8088659999999999</v>
          </cell>
          <cell r="R341" t="e">
            <v>#N/A</v>
          </cell>
        </row>
        <row r="342">
          <cell r="A342">
            <v>40422</v>
          </cell>
          <cell r="B342">
            <v>40422</v>
          </cell>
          <cell r="C342" t="str">
            <v>Past</v>
          </cell>
          <cell r="D342">
            <v>5.6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5.6</v>
          </cell>
          <cell r="Q342">
            <v>1.430329</v>
          </cell>
          <cell r="R342" t="e">
            <v>#N/A</v>
          </cell>
        </row>
        <row r="343">
          <cell r="A343">
            <v>40423</v>
          </cell>
          <cell r="B343">
            <v>40423</v>
          </cell>
          <cell r="C343" t="str">
            <v>Past</v>
          </cell>
          <cell r="D343">
            <v>5.66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5.66</v>
          </cell>
          <cell r="Q343">
            <v>0.57293499999999997</v>
          </cell>
          <cell r="R343" t="e">
            <v>#N/A</v>
          </cell>
        </row>
        <row r="344">
          <cell r="A344">
            <v>40424</v>
          </cell>
          <cell r="B344">
            <v>40424</v>
          </cell>
          <cell r="C344" t="str">
            <v>Past</v>
          </cell>
          <cell r="D344">
            <v>5.94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5.94</v>
          </cell>
          <cell r="Q344">
            <v>2.484639</v>
          </cell>
          <cell r="R344" t="e">
            <v>#N/A</v>
          </cell>
        </row>
        <row r="345">
          <cell r="A345">
            <v>40427</v>
          </cell>
          <cell r="B345">
            <v>40427</v>
          </cell>
          <cell r="C345" t="str">
            <v>Past</v>
          </cell>
          <cell r="D345">
            <v>6.09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6.09</v>
          </cell>
          <cell r="Q345">
            <v>2.391524</v>
          </cell>
          <cell r="R345" t="e">
            <v>#N/A</v>
          </cell>
        </row>
        <row r="346">
          <cell r="A346">
            <v>40428</v>
          </cell>
          <cell r="B346">
            <v>40428</v>
          </cell>
          <cell r="C346" t="str">
            <v>Past</v>
          </cell>
          <cell r="D346">
            <v>6.04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6.04</v>
          </cell>
          <cell r="Q346">
            <v>1.639119</v>
          </cell>
          <cell r="R346" t="e">
            <v>#N/A</v>
          </cell>
        </row>
        <row r="347">
          <cell r="A347">
            <v>40429</v>
          </cell>
          <cell r="B347">
            <v>40429</v>
          </cell>
          <cell r="C347" t="str">
            <v>Past</v>
          </cell>
          <cell r="D347">
            <v>6.07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6.07</v>
          </cell>
          <cell r="Q347">
            <v>2.4832300000000003</v>
          </cell>
          <cell r="R347" t="e">
            <v>#N/A</v>
          </cell>
        </row>
        <row r="348">
          <cell r="A348">
            <v>40430</v>
          </cell>
          <cell r="B348">
            <v>40430</v>
          </cell>
          <cell r="C348" t="str">
            <v>Past</v>
          </cell>
          <cell r="D348">
            <v>6.26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6.26</v>
          </cell>
          <cell r="Q348">
            <v>2.6518250000000001</v>
          </cell>
          <cell r="R348" t="e">
            <v>#N/A</v>
          </cell>
        </row>
        <row r="349">
          <cell r="A349">
            <v>40431</v>
          </cell>
          <cell r="B349">
            <v>40431</v>
          </cell>
          <cell r="C349" t="str">
            <v>Past</v>
          </cell>
          <cell r="D349">
            <v>5.95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5.95</v>
          </cell>
          <cell r="Q349">
            <v>4.094468</v>
          </cell>
          <cell r="R349" t="e">
            <v>#N/A</v>
          </cell>
        </row>
        <row r="350">
          <cell r="A350">
            <v>40434</v>
          </cell>
          <cell r="B350">
            <v>40434</v>
          </cell>
          <cell r="C350" t="str">
            <v>Past</v>
          </cell>
          <cell r="D350">
            <v>6.1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6.1</v>
          </cell>
          <cell r="Q350">
            <v>1.6738849999999998</v>
          </cell>
          <cell r="R350" t="e">
            <v>#N/A</v>
          </cell>
        </row>
        <row r="351">
          <cell r="A351">
            <v>40435</v>
          </cell>
          <cell r="B351">
            <v>40435</v>
          </cell>
          <cell r="C351" t="str">
            <v>Past</v>
          </cell>
          <cell r="D351">
            <v>6.1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6.1</v>
          </cell>
          <cell r="Q351">
            <v>3.4633319999999999</v>
          </cell>
          <cell r="R351" t="e">
            <v>#N/A</v>
          </cell>
        </row>
        <row r="352">
          <cell r="A352">
            <v>40436</v>
          </cell>
          <cell r="B352">
            <v>40436</v>
          </cell>
          <cell r="C352" t="str">
            <v>Past</v>
          </cell>
          <cell r="D352">
            <v>6.08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6.08</v>
          </cell>
          <cell r="Q352">
            <v>2.5963539999999998</v>
          </cell>
          <cell r="R352" t="e">
            <v>#N/A</v>
          </cell>
        </row>
        <row r="353">
          <cell r="A353">
            <v>40437</v>
          </cell>
          <cell r="B353">
            <v>40437</v>
          </cell>
          <cell r="C353" t="str">
            <v>Past</v>
          </cell>
          <cell r="D353">
            <v>6.09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6.09</v>
          </cell>
          <cell r="Q353">
            <v>2.6648510000000001</v>
          </cell>
          <cell r="R353" t="e">
            <v>#N/A</v>
          </cell>
        </row>
        <row r="354">
          <cell r="A354">
            <v>40438</v>
          </cell>
          <cell r="B354">
            <v>40438</v>
          </cell>
          <cell r="C354" t="str">
            <v>Past</v>
          </cell>
          <cell r="D354">
            <v>6.06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6.06</v>
          </cell>
          <cell r="Q354">
            <v>1.7653889999999999</v>
          </cell>
          <cell r="R354" t="e">
            <v>#N/A</v>
          </cell>
        </row>
        <row r="355">
          <cell r="A355">
            <v>40441</v>
          </cell>
          <cell r="B355">
            <v>40441</v>
          </cell>
          <cell r="C355" t="str">
            <v>Past</v>
          </cell>
          <cell r="D355">
            <v>6.09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6.09</v>
          </cell>
          <cell r="Q355">
            <v>1.586827</v>
          </cell>
          <cell r="R355" t="e">
            <v>#N/A</v>
          </cell>
        </row>
        <row r="356">
          <cell r="A356">
            <v>40442</v>
          </cell>
          <cell r="B356">
            <v>40442</v>
          </cell>
          <cell r="C356" t="str">
            <v>Past</v>
          </cell>
          <cell r="D356">
            <v>6.06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6.06</v>
          </cell>
          <cell r="Q356">
            <v>1.8272689999999998</v>
          </cell>
          <cell r="R356" t="e">
            <v>#N/A</v>
          </cell>
        </row>
        <row r="357">
          <cell r="A357">
            <v>40443</v>
          </cell>
          <cell r="B357">
            <v>40443</v>
          </cell>
          <cell r="C357" t="str">
            <v>Past</v>
          </cell>
          <cell r="D357">
            <v>5.99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5.99</v>
          </cell>
          <cell r="Q357">
            <v>3.0427589999999998</v>
          </cell>
          <cell r="R357" t="e">
            <v>#N/A</v>
          </cell>
        </row>
        <row r="358">
          <cell r="A358">
            <v>40444</v>
          </cell>
          <cell r="B358">
            <v>40444</v>
          </cell>
          <cell r="C358" t="str">
            <v>Past</v>
          </cell>
          <cell r="D358">
            <v>5.98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5.98</v>
          </cell>
          <cell r="Q358">
            <v>1.7640749999999998</v>
          </cell>
          <cell r="R358" t="e">
            <v>#N/A</v>
          </cell>
        </row>
        <row r="359">
          <cell r="A359">
            <v>40445</v>
          </cell>
          <cell r="B359">
            <v>40445</v>
          </cell>
          <cell r="C359" t="str">
            <v>Past</v>
          </cell>
          <cell r="D359">
            <v>6.08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6.08</v>
          </cell>
          <cell r="Q359">
            <v>2.095761</v>
          </cell>
          <cell r="R359" t="e">
            <v>#N/A</v>
          </cell>
        </row>
        <row r="360">
          <cell r="A360">
            <v>40448</v>
          </cell>
          <cell r="B360">
            <v>40448</v>
          </cell>
          <cell r="C360" t="str">
            <v>Past</v>
          </cell>
          <cell r="D360">
            <v>6.34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6.34</v>
          </cell>
          <cell r="Q360">
            <v>3.6261900000000002</v>
          </cell>
          <cell r="R360" t="e">
            <v>#N/A</v>
          </cell>
        </row>
        <row r="361">
          <cell r="A361">
            <v>40449</v>
          </cell>
          <cell r="B361">
            <v>40449</v>
          </cell>
          <cell r="C361" t="str">
            <v>Past</v>
          </cell>
          <cell r="D361">
            <v>6.19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6.19</v>
          </cell>
          <cell r="Q361">
            <v>2.7788089999999999</v>
          </cell>
          <cell r="R361" t="e">
            <v>#N/A</v>
          </cell>
        </row>
        <row r="362">
          <cell r="A362">
            <v>40450</v>
          </cell>
          <cell r="B362">
            <v>40450</v>
          </cell>
          <cell r="C362" t="str">
            <v>Past</v>
          </cell>
          <cell r="D362">
            <v>6.11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6.11</v>
          </cell>
          <cell r="Q362">
            <v>1.9520629999999999</v>
          </cell>
          <cell r="R362" t="e">
            <v>#N/A</v>
          </cell>
        </row>
        <row r="363">
          <cell r="A363">
            <v>40451</v>
          </cell>
          <cell r="B363">
            <v>40451</v>
          </cell>
          <cell r="C363" t="str">
            <v>Past</v>
          </cell>
          <cell r="D363">
            <v>6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6</v>
          </cell>
          <cell r="Q363">
            <v>6.4320870000000001</v>
          </cell>
          <cell r="R363" t="e">
            <v>#N/A</v>
          </cell>
        </row>
        <row r="364">
          <cell r="A364">
            <v>40452</v>
          </cell>
          <cell r="B364">
            <v>40452</v>
          </cell>
          <cell r="C364" t="str">
            <v>Past</v>
          </cell>
          <cell r="D364">
            <v>6.03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6.03</v>
          </cell>
          <cell r="Q364">
            <v>2.2777000000000003</v>
          </cell>
          <cell r="R364" t="e">
            <v>#N/A</v>
          </cell>
        </row>
        <row r="365">
          <cell r="A365">
            <v>40455</v>
          </cell>
          <cell r="B365">
            <v>40455</v>
          </cell>
          <cell r="C365" t="str">
            <v>Past</v>
          </cell>
          <cell r="D365">
            <v>6.13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6.13</v>
          </cell>
          <cell r="Q365">
            <v>1.1121939999999999</v>
          </cell>
          <cell r="R365" t="e">
            <v>#N/A</v>
          </cell>
        </row>
        <row r="366">
          <cell r="A366">
            <v>40456</v>
          </cell>
          <cell r="B366">
            <v>40456</v>
          </cell>
          <cell r="C366" t="str">
            <v>Past</v>
          </cell>
          <cell r="D366">
            <v>6.28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6.28</v>
          </cell>
          <cell r="Q366">
            <v>3.7968449999999998</v>
          </cell>
          <cell r="R366" t="e">
            <v>#N/A</v>
          </cell>
        </row>
        <row r="367">
          <cell r="A367">
            <v>40457</v>
          </cell>
          <cell r="B367">
            <v>40457</v>
          </cell>
          <cell r="C367" t="str">
            <v>Past</v>
          </cell>
          <cell r="D367">
            <v>6.48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6.48</v>
          </cell>
          <cell r="Q367">
            <v>3.2164539999999997</v>
          </cell>
          <cell r="R367" t="e">
            <v>#N/A</v>
          </cell>
        </row>
        <row r="368">
          <cell r="A368">
            <v>40458</v>
          </cell>
          <cell r="B368">
            <v>40458</v>
          </cell>
          <cell r="C368" t="str">
            <v>Past</v>
          </cell>
          <cell r="D368">
            <v>6.53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6.53</v>
          </cell>
          <cell r="Q368">
            <v>2.6183929999999997</v>
          </cell>
          <cell r="R368" t="e">
            <v>#N/A</v>
          </cell>
        </row>
        <row r="369">
          <cell r="A369">
            <v>40459</v>
          </cell>
          <cell r="B369">
            <v>40459</v>
          </cell>
          <cell r="C369" t="str">
            <v>Past</v>
          </cell>
          <cell r="D369">
            <v>6.45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6.45</v>
          </cell>
          <cell r="Q369">
            <v>1.7604500000000001</v>
          </cell>
          <cell r="R369" t="e">
            <v>#N/A</v>
          </cell>
        </row>
        <row r="370">
          <cell r="A370">
            <v>40462</v>
          </cell>
          <cell r="B370">
            <v>40462</v>
          </cell>
          <cell r="C370" t="str">
            <v>Past</v>
          </cell>
          <cell r="D370">
            <v>6.51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6.51</v>
          </cell>
          <cell r="Q370">
            <v>2.778149</v>
          </cell>
          <cell r="R370" t="e">
            <v>#N/A</v>
          </cell>
        </row>
        <row r="371">
          <cell r="A371">
            <v>40463</v>
          </cell>
          <cell r="B371">
            <v>40463</v>
          </cell>
          <cell r="C371" t="str">
            <v>Past</v>
          </cell>
          <cell r="D371">
            <v>6.5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6.5</v>
          </cell>
          <cell r="Q371">
            <v>3.3901529999999998</v>
          </cell>
          <cell r="R371" t="e">
            <v>#N/A</v>
          </cell>
        </row>
        <row r="372">
          <cell r="A372">
            <v>40464</v>
          </cell>
          <cell r="B372">
            <v>40464</v>
          </cell>
          <cell r="C372" t="str">
            <v>Past</v>
          </cell>
          <cell r="D372">
            <v>6.65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6.65</v>
          </cell>
          <cell r="Q372">
            <v>5.1253169999999999</v>
          </cell>
          <cell r="R372" t="e">
            <v>#N/A</v>
          </cell>
        </row>
        <row r="373">
          <cell r="A373">
            <v>40465</v>
          </cell>
          <cell r="B373">
            <v>40465</v>
          </cell>
          <cell r="C373" t="str">
            <v>Past</v>
          </cell>
          <cell r="D373">
            <v>6.9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6.9</v>
          </cell>
          <cell r="Q373">
            <v>3.0610580000000001</v>
          </cell>
          <cell r="R373" t="e">
            <v>#N/A</v>
          </cell>
        </row>
        <row r="374">
          <cell r="A374">
            <v>40466</v>
          </cell>
          <cell r="B374">
            <v>40466</v>
          </cell>
          <cell r="C374" t="str">
            <v>Past</v>
          </cell>
          <cell r="D374">
            <v>6.85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6.85</v>
          </cell>
          <cell r="Q374">
            <v>1.7546839999999999</v>
          </cell>
          <cell r="R374" t="e">
            <v>#N/A</v>
          </cell>
        </row>
        <row r="375">
          <cell r="A375">
            <v>40469</v>
          </cell>
          <cell r="B375">
            <v>40469</v>
          </cell>
          <cell r="C375" t="str">
            <v>Past</v>
          </cell>
          <cell r="D375">
            <v>6.75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6.75</v>
          </cell>
          <cell r="Q375">
            <v>1.3684609999999999</v>
          </cell>
          <cell r="R375" t="e">
            <v>#N/A</v>
          </cell>
        </row>
        <row r="376">
          <cell r="A376">
            <v>40470</v>
          </cell>
          <cell r="B376">
            <v>40470</v>
          </cell>
          <cell r="C376" t="str">
            <v>Past</v>
          </cell>
          <cell r="D376">
            <v>6.55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6.55</v>
          </cell>
          <cell r="Q376">
            <v>2.9557149999999996</v>
          </cell>
          <cell r="R376" t="e">
            <v>#N/A</v>
          </cell>
        </row>
        <row r="377">
          <cell r="A377">
            <v>40471</v>
          </cell>
          <cell r="B377">
            <v>40471</v>
          </cell>
          <cell r="C377" t="str">
            <v>Past</v>
          </cell>
          <cell r="D377">
            <v>6.63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6.63</v>
          </cell>
          <cell r="Q377">
            <v>1.3084229999999999</v>
          </cell>
          <cell r="R377" t="e">
            <v>#N/A</v>
          </cell>
        </row>
        <row r="378">
          <cell r="A378">
            <v>40472</v>
          </cell>
          <cell r="B378">
            <v>40472</v>
          </cell>
          <cell r="C378" t="str">
            <v>Past</v>
          </cell>
          <cell r="D378">
            <v>6.8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6.8</v>
          </cell>
          <cell r="Q378">
            <v>2.2162919999999997</v>
          </cell>
          <cell r="R378" t="e">
            <v>#N/A</v>
          </cell>
        </row>
        <row r="379">
          <cell r="A379">
            <v>40473</v>
          </cell>
          <cell r="B379">
            <v>40473</v>
          </cell>
          <cell r="C379" t="str">
            <v>Past</v>
          </cell>
          <cell r="D379">
            <v>6.87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6.87</v>
          </cell>
          <cell r="Q379">
            <v>1.532815</v>
          </cell>
          <cell r="R379" t="e">
            <v>#N/A</v>
          </cell>
        </row>
        <row r="380">
          <cell r="A380">
            <v>40476</v>
          </cell>
          <cell r="B380">
            <v>40476</v>
          </cell>
          <cell r="C380" t="str">
            <v>Past</v>
          </cell>
          <cell r="D380">
            <v>6.98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6.98</v>
          </cell>
          <cell r="Q380">
            <v>1.3014569999999999</v>
          </cell>
          <cell r="R380" t="e">
            <v>#N/A</v>
          </cell>
        </row>
        <row r="381">
          <cell r="A381">
            <v>40477</v>
          </cell>
          <cell r="B381">
            <v>40477</v>
          </cell>
          <cell r="C381" t="str">
            <v>Past</v>
          </cell>
          <cell r="D381">
            <v>7.2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7.2</v>
          </cell>
          <cell r="Q381">
            <v>3.9091900000000002</v>
          </cell>
          <cell r="R381" t="e">
            <v>#N/A</v>
          </cell>
        </row>
        <row r="382">
          <cell r="A382">
            <v>40478</v>
          </cell>
          <cell r="B382">
            <v>40478</v>
          </cell>
          <cell r="C382" t="str">
            <v>Past</v>
          </cell>
          <cell r="D382">
            <v>6.77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6.77</v>
          </cell>
          <cell r="Q382">
            <v>3.179322</v>
          </cell>
          <cell r="R382" t="e">
            <v>#N/A</v>
          </cell>
        </row>
        <row r="383">
          <cell r="A383">
            <v>40479</v>
          </cell>
          <cell r="B383">
            <v>40479</v>
          </cell>
          <cell r="C383" t="str">
            <v>Past</v>
          </cell>
          <cell r="D383">
            <v>6.77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6.77</v>
          </cell>
          <cell r="Q383">
            <v>2.3705509999999999</v>
          </cell>
          <cell r="R383" t="e">
            <v>#N/A</v>
          </cell>
        </row>
        <row r="384">
          <cell r="A384">
            <v>40480</v>
          </cell>
          <cell r="B384">
            <v>40480</v>
          </cell>
          <cell r="C384" t="str">
            <v>Past</v>
          </cell>
          <cell r="D384">
            <v>6.73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6.73</v>
          </cell>
          <cell r="Q384">
            <v>2.0902000000000003</v>
          </cell>
          <cell r="R384" t="e">
            <v>#N/A</v>
          </cell>
        </row>
        <row r="385">
          <cell r="A385">
            <v>40483</v>
          </cell>
          <cell r="B385">
            <v>40483</v>
          </cell>
          <cell r="C385" t="str">
            <v>Past</v>
          </cell>
          <cell r="D385">
            <v>6.72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6.72</v>
          </cell>
          <cell r="Q385">
            <v>1.5825900000000002</v>
          </cell>
          <cell r="R385" t="e">
            <v>#N/A</v>
          </cell>
        </row>
        <row r="386">
          <cell r="A386">
            <v>40484</v>
          </cell>
          <cell r="B386">
            <v>40484</v>
          </cell>
          <cell r="C386" t="str">
            <v>Past</v>
          </cell>
          <cell r="D386">
            <v>6.69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6.69</v>
          </cell>
          <cell r="Q386">
            <v>0.865421</v>
          </cell>
          <cell r="R386" t="e">
            <v>#N/A</v>
          </cell>
        </row>
        <row r="387">
          <cell r="A387">
            <v>40485</v>
          </cell>
          <cell r="B387">
            <v>40485</v>
          </cell>
          <cell r="C387" t="str">
            <v>Past</v>
          </cell>
          <cell r="D387">
            <v>6.73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6.73</v>
          </cell>
          <cell r="Q387">
            <v>1.0977889999999999</v>
          </cell>
          <cell r="R387" t="e">
            <v>#N/A</v>
          </cell>
        </row>
        <row r="388">
          <cell r="A388">
            <v>40486</v>
          </cell>
          <cell r="B388">
            <v>40486</v>
          </cell>
          <cell r="C388" t="str">
            <v>Past</v>
          </cell>
          <cell r="D388">
            <v>6.83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6.83</v>
          </cell>
          <cell r="Q388">
            <v>1.1199759999999999</v>
          </cell>
          <cell r="R388" t="e">
            <v>#N/A</v>
          </cell>
        </row>
        <row r="389">
          <cell r="A389">
            <v>40487</v>
          </cell>
          <cell r="B389">
            <v>40487</v>
          </cell>
          <cell r="C389" t="str">
            <v>Past</v>
          </cell>
          <cell r="D389">
            <v>7.1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7.1</v>
          </cell>
          <cell r="Q389">
            <v>5.938021</v>
          </cell>
          <cell r="R389" t="e">
            <v>#N/A</v>
          </cell>
        </row>
        <row r="390">
          <cell r="A390">
            <v>40490</v>
          </cell>
          <cell r="B390">
            <v>40490</v>
          </cell>
          <cell r="C390" t="str">
            <v>Past</v>
          </cell>
          <cell r="D390">
            <v>7.32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7.32</v>
          </cell>
          <cell r="Q390">
            <v>2.138592</v>
          </cell>
          <cell r="R390" t="e">
            <v>#N/A</v>
          </cell>
        </row>
        <row r="391">
          <cell r="A391">
            <v>40491</v>
          </cell>
          <cell r="B391">
            <v>40491</v>
          </cell>
          <cell r="C391" t="str">
            <v>Past</v>
          </cell>
          <cell r="D391">
            <v>7.53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7.53</v>
          </cell>
          <cell r="Q391">
            <v>5.6231149999999994</v>
          </cell>
          <cell r="R391" t="e">
            <v>#N/A</v>
          </cell>
        </row>
        <row r="392">
          <cell r="A392">
            <v>40492</v>
          </cell>
          <cell r="B392">
            <v>40492</v>
          </cell>
          <cell r="C392" t="str">
            <v>Past</v>
          </cell>
          <cell r="D392">
            <v>7.85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7.85</v>
          </cell>
          <cell r="Q392">
            <v>5.8981709999999996</v>
          </cell>
          <cell r="R392" t="e">
            <v>#N/A</v>
          </cell>
        </row>
        <row r="393">
          <cell r="A393">
            <v>40493</v>
          </cell>
          <cell r="B393">
            <v>40493</v>
          </cell>
          <cell r="C393" t="str">
            <v>Past</v>
          </cell>
          <cell r="D393">
            <v>8.01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8.01</v>
          </cell>
          <cell r="Q393">
            <v>3.8383239999999996</v>
          </cell>
          <cell r="R393" t="e">
            <v>#N/A</v>
          </cell>
        </row>
        <row r="394">
          <cell r="A394">
            <v>40494</v>
          </cell>
          <cell r="B394">
            <v>40494</v>
          </cell>
          <cell r="C394" t="str">
            <v>Past</v>
          </cell>
          <cell r="D394">
            <v>8.0500000000000007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8.0500000000000007</v>
          </cell>
          <cell r="Q394">
            <v>2.9168369999999997</v>
          </cell>
          <cell r="R394" t="e">
            <v>#N/A</v>
          </cell>
        </row>
        <row r="395">
          <cell r="A395">
            <v>40497</v>
          </cell>
          <cell r="B395">
            <v>40497</v>
          </cell>
          <cell r="C395" t="str">
            <v>Past</v>
          </cell>
          <cell r="D395">
            <v>7.9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7.9</v>
          </cell>
          <cell r="Q395">
            <v>1.3093409999999999</v>
          </cell>
          <cell r="R395" t="e">
            <v>#N/A</v>
          </cell>
        </row>
        <row r="396">
          <cell r="A396">
            <v>40498</v>
          </cell>
          <cell r="B396">
            <v>40498</v>
          </cell>
          <cell r="C396" t="str">
            <v>Past</v>
          </cell>
          <cell r="D396">
            <v>7.77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7.77</v>
          </cell>
          <cell r="Q396">
            <v>1.5887200000000001</v>
          </cell>
          <cell r="R396" t="e">
            <v>#N/A</v>
          </cell>
        </row>
        <row r="397">
          <cell r="A397">
            <v>40499</v>
          </cell>
          <cell r="B397">
            <v>40499</v>
          </cell>
          <cell r="C397" t="str">
            <v>Past</v>
          </cell>
          <cell r="D397">
            <v>7.41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7.41</v>
          </cell>
          <cell r="Q397">
            <v>2.3820259999999998</v>
          </cell>
          <cell r="R397" t="e">
            <v>#N/A</v>
          </cell>
        </row>
        <row r="398">
          <cell r="A398">
            <v>40500</v>
          </cell>
          <cell r="B398">
            <v>40500</v>
          </cell>
          <cell r="C398" t="str">
            <v>Past</v>
          </cell>
          <cell r="D398">
            <v>7.78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7.78</v>
          </cell>
          <cell r="Q398">
            <v>3.4283600000000001</v>
          </cell>
          <cell r="R398" t="e">
            <v>#N/A</v>
          </cell>
        </row>
        <row r="399">
          <cell r="A399">
            <v>40501</v>
          </cell>
          <cell r="B399">
            <v>40501</v>
          </cell>
          <cell r="C399" t="str">
            <v>Past</v>
          </cell>
          <cell r="D399">
            <v>7.76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7.76</v>
          </cell>
          <cell r="Q399">
            <v>1.1246479999999999</v>
          </cell>
          <cell r="R399" t="e">
            <v>#N/A</v>
          </cell>
        </row>
        <row r="400">
          <cell r="A400">
            <v>40504</v>
          </cell>
          <cell r="B400">
            <v>40504</v>
          </cell>
          <cell r="C400" t="str">
            <v>Past</v>
          </cell>
          <cell r="D400">
            <v>7.85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7.85</v>
          </cell>
          <cell r="Q400">
            <v>1.3266200000000001</v>
          </cell>
          <cell r="R400" t="e">
            <v>#N/A</v>
          </cell>
        </row>
        <row r="401">
          <cell r="A401">
            <v>40505</v>
          </cell>
          <cell r="B401">
            <v>40505</v>
          </cell>
          <cell r="C401" t="str">
            <v>Past</v>
          </cell>
          <cell r="D401">
            <v>7.75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7.75</v>
          </cell>
          <cell r="Q401">
            <v>2.0061909999999998</v>
          </cell>
          <cell r="R401" t="e">
            <v>#N/A</v>
          </cell>
        </row>
        <row r="402">
          <cell r="A402">
            <v>40506</v>
          </cell>
          <cell r="B402">
            <v>40506</v>
          </cell>
          <cell r="C402" t="str">
            <v>Past</v>
          </cell>
          <cell r="D402">
            <v>7.69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7.69</v>
          </cell>
          <cell r="Q402">
            <v>2.3422209999999999</v>
          </cell>
          <cell r="R402" t="e">
            <v>#N/A</v>
          </cell>
        </row>
        <row r="403">
          <cell r="A403">
            <v>40507</v>
          </cell>
          <cell r="B403">
            <v>40507</v>
          </cell>
          <cell r="C403" t="str">
            <v>Past</v>
          </cell>
          <cell r="D403">
            <v>7.61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7.61</v>
          </cell>
          <cell r="Q403">
            <v>2.0105</v>
          </cell>
          <cell r="R403" t="e">
            <v>#N/A</v>
          </cell>
        </row>
        <row r="404">
          <cell r="A404">
            <v>40508</v>
          </cell>
          <cell r="B404">
            <v>40508</v>
          </cell>
          <cell r="C404" t="str">
            <v>Past</v>
          </cell>
          <cell r="D404">
            <v>7.65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7.65</v>
          </cell>
          <cell r="Q404">
            <v>1.44371</v>
          </cell>
          <cell r="R404" t="e">
            <v>#N/A</v>
          </cell>
        </row>
        <row r="405">
          <cell r="A405">
            <v>40511</v>
          </cell>
          <cell r="B405">
            <v>40511</v>
          </cell>
          <cell r="C405" t="str">
            <v>Past</v>
          </cell>
          <cell r="D405">
            <v>7.59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7.59</v>
          </cell>
          <cell r="Q405">
            <v>1.267155</v>
          </cell>
          <cell r="R405" t="e">
            <v>#N/A</v>
          </cell>
        </row>
        <row r="406">
          <cell r="A406">
            <v>40512</v>
          </cell>
          <cell r="B406">
            <v>40512</v>
          </cell>
          <cell r="C406" t="str">
            <v>Past</v>
          </cell>
          <cell r="D406">
            <v>7.55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7.55</v>
          </cell>
          <cell r="Q406">
            <v>1.767261</v>
          </cell>
          <cell r="R406" t="e">
            <v>#N/A</v>
          </cell>
        </row>
        <row r="407">
          <cell r="A407">
            <v>40513</v>
          </cell>
          <cell r="B407">
            <v>40513</v>
          </cell>
          <cell r="C407" t="str">
            <v>Past</v>
          </cell>
          <cell r="D407">
            <v>7.59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7.59</v>
          </cell>
          <cell r="Q407">
            <v>2.248834</v>
          </cell>
          <cell r="R407" t="e">
            <v>#N/A</v>
          </cell>
        </row>
        <row r="408">
          <cell r="A408">
            <v>40514</v>
          </cell>
          <cell r="B408">
            <v>40514</v>
          </cell>
          <cell r="C408" t="str">
            <v>Past</v>
          </cell>
          <cell r="D408">
            <v>8.01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8.01</v>
          </cell>
          <cell r="Q408">
            <v>5.6119849999999998</v>
          </cell>
          <cell r="R408" t="e">
            <v>#N/A</v>
          </cell>
        </row>
        <row r="409">
          <cell r="A409">
            <v>40515</v>
          </cell>
          <cell r="B409">
            <v>40515</v>
          </cell>
          <cell r="C409" t="str">
            <v>Past</v>
          </cell>
          <cell r="D409">
            <v>8.16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8.16</v>
          </cell>
          <cell r="Q409">
            <v>3.0549100000000005</v>
          </cell>
          <cell r="R409" t="e">
            <v>#N/A</v>
          </cell>
        </row>
        <row r="410">
          <cell r="A410">
            <v>40518</v>
          </cell>
          <cell r="B410">
            <v>40518</v>
          </cell>
          <cell r="C410" t="str">
            <v>Past</v>
          </cell>
          <cell r="D410">
            <v>8.01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8.01</v>
          </cell>
          <cell r="Q410">
            <v>1.6718249999999999</v>
          </cell>
          <cell r="R410" t="e">
            <v>#N/A</v>
          </cell>
        </row>
        <row r="411">
          <cell r="A411">
            <v>40519</v>
          </cell>
          <cell r="B411">
            <v>40519</v>
          </cell>
          <cell r="C411" t="str">
            <v>Past</v>
          </cell>
          <cell r="D411">
            <v>8.15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8.15</v>
          </cell>
          <cell r="Q411">
            <v>1.4898559999999998</v>
          </cell>
          <cell r="R411" t="e">
            <v>#N/A</v>
          </cell>
        </row>
        <row r="412">
          <cell r="A412">
            <v>40520</v>
          </cell>
          <cell r="B412">
            <v>40520</v>
          </cell>
          <cell r="C412" t="str">
            <v>Past</v>
          </cell>
          <cell r="D412">
            <v>8.11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8.11</v>
          </cell>
          <cell r="Q412">
            <v>2.8899619999999997</v>
          </cell>
          <cell r="R412" t="e">
            <v>#N/A</v>
          </cell>
        </row>
        <row r="413">
          <cell r="A413">
            <v>40521</v>
          </cell>
          <cell r="B413">
            <v>40521</v>
          </cell>
          <cell r="C413" t="str">
            <v>Past</v>
          </cell>
          <cell r="D413">
            <v>8.4700000000000006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8.4700000000000006</v>
          </cell>
          <cell r="Q413">
            <v>3.2095759999999998</v>
          </cell>
          <cell r="R413" t="e">
            <v>#N/A</v>
          </cell>
        </row>
        <row r="414">
          <cell r="A414">
            <v>40522</v>
          </cell>
          <cell r="B414">
            <v>40522</v>
          </cell>
          <cell r="C414" t="str">
            <v>Past</v>
          </cell>
          <cell r="D414">
            <v>8.58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8.58</v>
          </cell>
          <cell r="Q414">
            <v>2.0813200000000003</v>
          </cell>
          <cell r="R414" t="e">
            <v>#N/A</v>
          </cell>
        </row>
        <row r="415">
          <cell r="A415">
            <v>40525</v>
          </cell>
          <cell r="B415">
            <v>40525</v>
          </cell>
          <cell r="C415" t="str">
            <v>Past</v>
          </cell>
          <cell r="D415">
            <v>8.4499999999999993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8.4499999999999993</v>
          </cell>
          <cell r="Q415">
            <v>1.626328</v>
          </cell>
          <cell r="R415" t="e">
            <v>#N/A</v>
          </cell>
        </row>
        <row r="416">
          <cell r="A416">
            <v>40526</v>
          </cell>
          <cell r="B416">
            <v>40526</v>
          </cell>
          <cell r="C416" t="str">
            <v>Past</v>
          </cell>
          <cell r="D416">
            <v>8.7100000000000009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8.7100000000000009</v>
          </cell>
          <cell r="Q416">
            <v>1.673271</v>
          </cell>
          <cell r="R416" t="e">
            <v>#N/A</v>
          </cell>
        </row>
        <row r="417">
          <cell r="A417">
            <v>40527</v>
          </cell>
          <cell r="B417">
            <v>40527</v>
          </cell>
          <cell r="C417" t="str">
            <v>Past</v>
          </cell>
          <cell r="D417">
            <v>8.51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8.51</v>
          </cell>
          <cell r="Q417">
            <v>2.1405259999999999</v>
          </cell>
          <cell r="R417" t="e">
            <v>#N/A</v>
          </cell>
        </row>
        <row r="418">
          <cell r="A418">
            <v>40528</v>
          </cell>
          <cell r="B418">
            <v>40528</v>
          </cell>
          <cell r="C418" t="str">
            <v>Past</v>
          </cell>
          <cell r="D418">
            <v>8.59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8.59</v>
          </cell>
          <cell r="Q418">
            <v>1.2815300000000001</v>
          </cell>
          <cell r="R418" t="e">
            <v>#N/A</v>
          </cell>
        </row>
        <row r="419">
          <cell r="A419">
            <v>40529</v>
          </cell>
          <cell r="B419">
            <v>40529</v>
          </cell>
          <cell r="C419" t="str">
            <v>Past</v>
          </cell>
          <cell r="D419">
            <v>8.52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8.52</v>
          </cell>
          <cell r="Q419">
            <v>1.1202369999999999</v>
          </cell>
          <cell r="R419" t="e">
            <v>#N/A</v>
          </cell>
        </row>
        <row r="420">
          <cell r="A420">
            <v>40532</v>
          </cell>
          <cell r="B420">
            <v>40532</v>
          </cell>
          <cell r="C420" t="str">
            <v>Past</v>
          </cell>
          <cell r="D420">
            <v>8.59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8.59</v>
          </cell>
          <cell r="Q420">
            <v>1.5376219999999998</v>
          </cell>
          <cell r="R420" t="e">
            <v>#N/A</v>
          </cell>
        </row>
        <row r="421">
          <cell r="A421">
            <v>40533</v>
          </cell>
          <cell r="B421">
            <v>40533</v>
          </cell>
          <cell r="C421" t="str">
            <v>Past</v>
          </cell>
          <cell r="D421">
            <v>8.73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8.73</v>
          </cell>
          <cell r="Q421">
            <v>0.98908499999999999</v>
          </cell>
          <cell r="R421" t="e">
            <v>#N/A</v>
          </cell>
        </row>
        <row r="422">
          <cell r="A422">
            <v>40534</v>
          </cell>
          <cell r="B422">
            <v>40534</v>
          </cell>
          <cell r="C422" t="str">
            <v>Past</v>
          </cell>
          <cell r="D422">
            <v>9.02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9.02</v>
          </cell>
          <cell r="Q422">
            <v>1.7129919999999998</v>
          </cell>
          <cell r="R422" t="e">
            <v>#N/A</v>
          </cell>
        </row>
        <row r="423">
          <cell r="A423">
            <v>40535</v>
          </cell>
          <cell r="B423">
            <v>40535</v>
          </cell>
          <cell r="C423" t="str">
            <v>Past</v>
          </cell>
          <cell r="D423">
            <v>9.24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9.24</v>
          </cell>
          <cell r="Q423">
            <v>1.862803</v>
          </cell>
          <cell r="R423" t="e">
            <v>#N/A</v>
          </cell>
        </row>
        <row r="424">
          <cell r="A424">
            <v>40536</v>
          </cell>
          <cell r="B424">
            <v>40536</v>
          </cell>
          <cell r="C424" t="str">
            <v>Past</v>
          </cell>
          <cell r="D424">
            <v>8.98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8.98</v>
          </cell>
          <cell r="Q424">
            <v>1.182156</v>
          </cell>
          <cell r="R424" t="e">
            <v>#N/A</v>
          </cell>
        </row>
        <row r="425">
          <cell r="A425">
            <v>40539</v>
          </cell>
          <cell r="B425">
            <v>40539</v>
          </cell>
          <cell r="C425" t="str">
            <v>Past</v>
          </cell>
          <cell r="D425">
            <v>8.98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8.98</v>
          </cell>
          <cell r="Q425">
            <v>0</v>
          </cell>
          <cell r="R425" t="e">
            <v>#N/A</v>
          </cell>
        </row>
        <row r="426">
          <cell r="A426">
            <v>40540</v>
          </cell>
          <cell r="B426">
            <v>40540</v>
          </cell>
          <cell r="C426" t="str">
            <v>Past</v>
          </cell>
          <cell r="D426">
            <v>8.98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8.98</v>
          </cell>
          <cell r="Q426">
            <v>0</v>
          </cell>
          <cell r="R426" t="e">
            <v>#N/A</v>
          </cell>
        </row>
        <row r="427">
          <cell r="A427">
            <v>40541</v>
          </cell>
          <cell r="B427">
            <v>40541</v>
          </cell>
          <cell r="C427" t="str">
            <v>Past</v>
          </cell>
          <cell r="D427">
            <v>9.08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9.08</v>
          </cell>
          <cell r="Q427">
            <v>0.72432299999999994</v>
          </cell>
          <cell r="R427" t="e">
            <v>#N/A</v>
          </cell>
        </row>
        <row r="428">
          <cell r="A428">
            <v>40542</v>
          </cell>
          <cell r="B428">
            <v>40542</v>
          </cell>
          <cell r="C428" t="str">
            <v>Past</v>
          </cell>
          <cell r="D428">
            <v>9.2200000000000006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9.2200000000000006</v>
          </cell>
          <cell r="Q428">
            <v>0.72252099999999997</v>
          </cell>
          <cell r="R428" t="e">
            <v>#N/A</v>
          </cell>
        </row>
        <row r="429">
          <cell r="A429">
            <v>40543</v>
          </cell>
          <cell r="B429">
            <v>40543</v>
          </cell>
          <cell r="C429" t="str">
            <v>Past</v>
          </cell>
          <cell r="D429">
            <v>9.14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9.14</v>
          </cell>
          <cell r="Q429">
            <v>0.46262599999999998</v>
          </cell>
          <cell r="R429" t="e">
            <v>#N/A</v>
          </cell>
        </row>
        <row r="430">
          <cell r="A430">
            <v>40546</v>
          </cell>
          <cell r="B430">
            <v>40546</v>
          </cell>
          <cell r="C430" t="str">
            <v>Past</v>
          </cell>
          <cell r="D430">
            <v>9.14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9.14</v>
          </cell>
          <cell r="Q430">
            <v>0</v>
          </cell>
          <cell r="R430" t="e">
            <v>#N/A</v>
          </cell>
        </row>
        <row r="431">
          <cell r="A431">
            <v>40547</v>
          </cell>
          <cell r="B431">
            <v>40547</v>
          </cell>
          <cell r="C431" t="str">
            <v>Past</v>
          </cell>
          <cell r="D431">
            <v>9.2100000000000009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9.2100000000000009</v>
          </cell>
          <cell r="Q431">
            <v>2.1119400000000002</v>
          </cell>
          <cell r="R431" t="e">
            <v>#N/A</v>
          </cell>
        </row>
        <row r="432">
          <cell r="A432">
            <v>40548</v>
          </cell>
          <cell r="B432">
            <v>40548</v>
          </cell>
          <cell r="C432" t="str">
            <v>Past</v>
          </cell>
          <cell r="D432">
            <v>9.01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9.01</v>
          </cell>
          <cell r="Q432">
            <v>2.1126</v>
          </cell>
          <cell r="R432" t="e">
            <v>#N/A</v>
          </cell>
        </row>
        <row r="433">
          <cell r="A433">
            <v>40549</v>
          </cell>
          <cell r="B433">
            <v>40549</v>
          </cell>
          <cell r="C433" t="str">
            <v>Past</v>
          </cell>
          <cell r="D433">
            <v>8.86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8.86</v>
          </cell>
          <cell r="Q433">
            <v>1.2396879999999999</v>
          </cell>
          <cell r="R433" t="e">
            <v>#N/A</v>
          </cell>
        </row>
        <row r="434">
          <cell r="A434">
            <v>40550</v>
          </cell>
          <cell r="B434">
            <v>40550</v>
          </cell>
          <cell r="C434" t="str">
            <v>Past</v>
          </cell>
          <cell r="D434">
            <v>8.6300000000000008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8.6300000000000008</v>
          </cell>
          <cell r="Q434">
            <v>2.4996229999999997</v>
          </cell>
          <cell r="R434" t="e">
            <v>#N/A</v>
          </cell>
        </row>
        <row r="435">
          <cell r="A435">
            <v>40553</v>
          </cell>
          <cell r="B435">
            <v>40553</v>
          </cell>
          <cell r="C435" t="str">
            <v>Past</v>
          </cell>
          <cell r="D435">
            <v>8.56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8.56</v>
          </cell>
          <cell r="Q435">
            <v>1.4214800000000001</v>
          </cell>
          <cell r="R435" t="e">
            <v>#N/A</v>
          </cell>
        </row>
        <row r="436">
          <cell r="A436">
            <v>40554</v>
          </cell>
          <cell r="B436">
            <v>40554</v>
          </cell>
          <cell r="C436" t="str">
            <v>Past</v>
          </cell>
          <cell r="D436">
            <v>8.44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8.44</v>
          </cell>
          <cell r="Q436">
            <v>1.853923</v>
          </cell>
          <cell r="R436" t="e">
            <v>#N/A</v>
          </cell>
        </row>
        <row r="437">
          <cell r="A437">
            <v>40555</v>
          </cell>
          <cell r="B437">
            <v>40555</v>
          </cell>
          <cell r="C437" t="str">
            <v>Past</v>
          </cell>
          <cell r="D437">
            <v>8.5299999999999994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8.5299999999999994</v>
          </cell>
          <cell r="Q437">
            <v>2.5748389999999999</v>
          </cell>
          <cell r="R437" t="e">
            <v>#N/A</v>
          </cell>
        </row>
        <row r="438">
          <cell r="A438">
            <v>40556</v>
          </cell>
          <cell r="B438">
            <v>40556</v>
          </cell>
          <cell r="C438" t="str">
            <v>Past</v>
          </cell>
          <cell r="D438">
            <v>8.8699999999999992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8.8699999999999992</v>
          </cell>
          <cell r="Q438">
            <v>3.5292749999999997</v>
          </cell>
          <cell r="R438" t="e">
            <v>#N/A</v>
          </cell>
        </row>
        <row r="439">
          <cell r="A439">
            <v>40557</v>
          </cell>
          <cell r="B439">
            <v>40557</v>
          </cell>
          <cell r="C439" t="str">
            <v>Past</v>
          </cell>
          <cell r="D439">
            <v>8.76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8.76</v>
          </cell>
          <cell r="Q439">
            <v>1.00332</v>
          </cell>
          <cell r="R439" t="e">
            <v>#N/A</v>
          </cell>
        </row>
        <row r="440">
          <cell r="A440">
            <v>40560</v>
          </cell>
          <cell r="B440">
            <v>40560</v>
          </cell>
          <cell r="C440" t="str">
            <v>Past</v>
          </cell>
          <cell r="D440">
            <v>8.7799999999999994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8.7799999999999994</v>
          </cell>
          <cell r="Q440">
            <v>2.6788800000000004</v>
          </cell>
          <cell r="R440" t="e">
            <v>#N/A</v>
          </cell>
        </row>
        <row r="441">
          <cell r="A441">
            <v>40561</v>
          </cell>
          <cell r="B441">
            <v>40561</v>
          </cell>
          <cell r="C441" t="str">
            <v>Past</v>
          </cell>
          <cell r="D441">
            <v>8.82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8.82</v>
          </cell>
          <cell r="Q441">
            <v>1.183433</v>
          </cell>
          <cell r="R441" t="e">
            <v>#N/A</v>
          </cell>
        </row>
        <row r="442">
          <cell r="A442">
            <v>40562</v>
          </cell>
          <cell r="B442">
            <v>40562</v>
          </cell>
          <cell r="C442" t="str">
            <v>Past</v>
          </cell>
          <cell r="D442">
            <v>9.02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9.02</v>
          </cell>
          <cell r="Q442">
            <v>1.6877659999999999</v>
          </cell>
          <cell r="R442" t="e">
            <v>#N/A</v>
          </cell>
        </row>
        <row r="443">
          <cell r="A443">
            <v>40563</v>
          </cell>
          <cell r="B443">
            <v>40563</v>
          </cell>
          <cell r="C443" t="str">
            <v>Past</v>
          </cell>
          <cell r="D443">
            <v>8.9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8.9</v>
          </cell>
          <cell r="Q443">
            <v>2.4058479999999998</v>
          </cell>
          <cell r="R443" t="e">
            <v>#N/A</v>
          </cell>
        </row>
        <row r="444">
          <cell r="A444">
            <v>40564</v>
          </cell>
          <cell r="B444">
            <v>40564</v>
          </cell>
          <cell r="C444" t="str">
            <v>Past</v>
          </cell>
          <cell r="D444">
            <v>8.7899999999999991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8.7899999999999991</v>
          </cell>
          <cell r="Q444">
            <v>2.2137129999999998</v>
          </cell>
          <cell r="R444" t="e">
            <v>#N/A</v>
          </cell>
        </row>
        <row r="445">
          <cell r="A445">
            <v>40567</v>
          </cell>
          <cell r="B445">
            <v>40567</v>
          </cell>
          <cell r="C445" t="str">
            <v>Past</v>
          </cell>
          <cell r="D445">
            <v>9.1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9.1</v>
          </cell>
          <cell r="Q445">
            <v>2.0834139999999999</v>
          </cell>
          <cell r="R445" t="e">
            <v>#N/A</v>
          </cell>
        </row>
        <row r="446">
          <cell r="A446">
            <v>40568</v>
          </cell>
          <cell r="B446">
            <v>40568</v>
          </cell>
          <cell r="C446" t="str">
            <v>Past</v>
          </cell>
          <cell r="D446">
            <v>9.0500000000000007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9.0500000000000007</v>
          </cell>
          <cell r="Q446">
            <v>1.0087869999999999</v>
          </cell>
          <cell r="R446" t="e">
            <v>#N/A</v>
          </cell>
        </row>
        <row r="447">
          <cell r="A447">
            <v>40569</v>
          </cell>
          <cell r="B447">
            <v>40569</v>
          </cell>
          <cell r="C447" t="str">
            <v>Past</v>
          </cell>
          <cell r="D447">
            <v>9.0500000000000007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9.0500000000000007</v>
          </cell>
          <cell r="Q447">
            <v>0</v>
          </cell>
          <cell r="R447" t="e">
            <v>#N/A</v>
          </cell>
        </row>
        <row r="448">
          <cell r="A448">
            <v>40570</v>
          </cell>
          <cell r="B448">
            <v>40570</v>
          </cell>
          <cell r="C448" t="str">
            <v>Past</v>
          </cell>
          <cell r="D448">
            <v>9.07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9.07</v>
          </cell>
          <cell r="Q448">
            <v>2.33589</v>
          </cell>
          <cell r="R448" t="e">
            <v>#N/A</v>
          </cell>
        </row>
        <row r="449">
          <cell r="A449">
            <v>40571</v>
          </cell>
          <cell r="B449">
            <v>40571</v>
          </cell>
          <cell r="C449" t="str">
            <v>Past</v>
          </cell>
          <cell r="D449">
            <v>8.69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8.69</v>
          </cell>
          <cell r="Q449">
            <v>1.730256</v>
          </cell>
          <cell r="R449" t="e">
            <v>#N/A</v>
          </cell>
        </row>
        <row r="450">
          <cell r="A450">
            <v>40574</v>
          </cell>
          <cell r="B450">
            <v>40574</v>
          </cell>
          <cell r="C450" t="str">
            <v>Past</v>
          </cell>
          <cell r="D450">
            <v>8.48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8.48</v>
          </cell>
          <cell r="Q450">
            <v>1.481954</v>
          </cell>
          <cell r="R450" t="e">
            <v>#N/A</v>
          </cell>
        </row>
        <row r="451">
          <cell r="A451">
            <v>40575</v>
          </cell>
          <cell r="B451">
            <v>40575</v>
          </cell>
          <cell r="C451" t="str">
            <v>Past</v>
          </cell>
          <cell r="D451">
            <v>8.6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8.6</v>
          </cell>
          <cell r="Q451">
            <v>2.2307999999999999</v>
          </cell>
          <cell r="R451" t="e">
            <v>#N/A</v>
          </cell>
        </row>
        <row r="452">
          <cell r="A452">
            <v>40576</v>
          </cell>
          <cell r="B452">
            <v>40576</v>
          </cell>
          <cell r="C452" t="str">
            <v>Past</v>
          </cell>
          <cell r="D452">
            <v>8.93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8.93</v>
          </cell>
          <cell r="Q452">
            <v>1.2758589999999999</v>
          </cell>
          <cell r="R452" t="e">
            <v>#N/A</v>
          </cell>
        </row>
        <row r="453">
          <cell r="A453">
            <v>40577</v>
          </cell>
          <cell r="B453">
            <v>40577</v>
          </cell>
          <cell r="C453" t="str">
            <v>Past</v>
          </cell>
          <cell r="D453">
            <v>9.2200000000000006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9.2200000000000006</v>
          </cell>
          <cell r="Q453">
            <v>1.8082900000000002</v>
          </cell>
          <cell r="R453" t="e">
            <v>#N/A</v>
          </cell>
        </row>
        <row r="454">
          <cell r="A454">
            <v>40578</v>
          </cell>
          <cell r="B454">
            <v>40578</v>
          </cell>
          <cell r="C454" t="str">
            <v>Past</v>
          </cell>
          <cell r="D454">
            <v>9.41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9.41</v>
          </cell>
          <cell r="Q454">
            <v>3.0958809999999999</v>
          </cell>
          <cell r="R454" t="e">
            <v>#N/A</v>
          </cell>
        </row>
        <row r="455">
          <cell r="A455">
            <v>40581</v>
          </cell>
          <cell r="B455">
            <v>40581</v>
          </cell>
          <cell r="C455" t="str">
            <v>Past</v>
          </cell>
          <cell r="D455">
            <v>9.42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9.42</v>
          </cell>
          <cell r="Q455">
            <v>1.9824000000000002</v>
          </cell>
          <cell r="R455" t="e">
            <v>#N/A</v>
          </cell>
        </row>
        <row r="456">
          <cell r="A456">
            <v>40582</v>
          </cell>
          <cell r="B456">
            <v>40582</v>
          </cell>
          <cell r="C456" t="str">
            <v>Past</v>
          </cell>
          <cell r="D456">
            <v>9.36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9.36</v>
          </cell>
          <cell r="Q456">
            <v>4.7612300000000003</v>
          </cell>
          <cell r="R456" t="e">
            <v>#N/A</v>
          </cell>
        </row>
        <row r="457">
          <cell r="A457">
            <v>40583</v>
          </cell>
          <cell r="B457">
            <v>40583</v>
          </cell>
          <cell r="C457" t="str">
            <v>Past</v>
          </cell>
          <cell r="D457">
            <v>9.44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9.44</v>
          </cell>
          <cell r="Q457">
            <v>1.576894</v>
          </cell>
          <cell r="R457" t="e">
            <v>#N/A</v>
          </cell>
        </row>
        <row r="458">
          <cell r="A458">
            <v>40584</v>
          </cell>
          <cell r="B458">
            <v>40584</v>
          </cell>
          <cell r="C458" t="str">
            <v>Past</v>
          </cell>
          <cell r="D458">
            <v>9.32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9.32</v>
          </cell>
          <cell r="Q458">
            <v>1.202331</v>
          </cell>
          <cell r="R458" t="e">
            <v>#N/A</v>
          </cell>
        </row>
        <row r="459">
          <cell r="A459">
            <v>40585</v>
          </cell>
          <cell r="B459">
            <v>40585</v>
          </cell>
          <cell r="C459" t="str">
            <v>Past</v>
          </cell>
          <cell r="D459">
            <v>9.15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9.15</v>
          </cell>
          <cell r="Q459">
            <v>1.4323809999999999</v>
          </cell>
          <cell r="R459" t="e">
            <v>#N/A</v>
          </cell>
        </row>
        <row r="460">
          <cell r="A460">
            <v>40588</v>
          </cell>
          <cell r="B460">
            <v>40588</v>
          </cell>
          <cell r="C460" t="str">
            <v>Past</v>
          </cell>
          <cell r="D460">
            <v>9.44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9.44</v>
          </cell>
          <cell r="Q460">
            <v>2.599764</v>
          </cell>
          <cell r="R460" t="e">
            <v>#N/A</v>
          </cell>
        </row>
        <row r="461">
          <cell r="A461">
            <v>40589</v>
          </cell>
          <cell r="B461">
            <v>40589</v>
          </cell>
          <cell r="C461" t="str">
            <v>Past</v>
          </cell>
          <cell r="D461">
            <v>9.64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9.64</v>
          </cell>
          <cell r="Q461">
            <v>2.7157809999999998</v>
          </cell>
          <cell r="R461" t="e">
            <v>#N/A</v>
          </cell>
        </row>
        <row r="462">
          <cell r="A462">
            <v>40590</v>
          </cell>
          <cell r="B462">
            <v>40590</v>
          </cell>
          <cell r="C462" t="str">
            <v>Past</v>
          </cell>
          <cell r="D462">
            <v>10.01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10.01</v>
          </cell>
          <cell r="Q462">
            <v>3.5493159999999997</v>
          </cell>
          <cell r="R462" t="e">
            <v>#N/A</v>
          </cell>
        </row>
        <row r="463">
          <cell r="A463">
            <v>40591</v>
          </cell>
          <cell r="B463">
            <v>40591</v>
          </cell>
          <cell r="C463" t="str">
            <v>Past</v>
          </cell>
          <cell r="D463">
            <v>10.16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10.16</v>
          </cell>
          <cell r="Q463">
            <v>2.5526500000000003</v>
          </cell>
          <cell r="R463" t="e">
            <v>#N/A</v>
          </cell>
        </row>
        <row r="464">
          <cell r="A464">
            <v>40592</v>
          </cell>
          <cell r="B464">
            <v>40592</v>
          </cell>
          <cell r="C464" t="str">
            <v>Past</v>
          </cell>
          <cell r="D464">
            <v>10.19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10.19</v>
          </cell>
          <cell r="Q464">
            <v>2.777339</v>
          </cell>
          <cell r="R464" t="e">
            <v>#N/A</v>
          </cell>
        </row>
        <row r="465">
          <cell r="A465">
            <v>40595</v>
          </cell>
          <cell r="B465">
            <v>40595</v>
          </cell>
          <cell r="C465" t="str">
            <v>Past</v>
          </cell>
          <cell r="D465">
            <v>10.08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10.08</v>
          </cell>
          <cell r="Q465">
            <v>1.869265</v>
          </cell>
          <cell r="R465" t="e">
            <v>#N/A</v>
          </cell>
        </row>
        <row r="466">
          <cell r="A466">
            <v>40596</v>
          </cell>
          <cell r="B466">
            <v>40596</v>
          </cell>
          <cell r="C466" t="str">
            <v>Past</v>
          </cell>
          <cell r="D466">
            <v>9.83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9.83</v>
          </cell>
          <cell r="Q466">
            <v>1.4278519999999999</v>
          </cell>
          <cell r="R466" t="e">
            <v>#N/A</v>
          </cell>
        </row>
        <row r="467">
          <cell r="A467">
            <v>40597</v>
          </cell>
          <cell r="B467">
            <v>40597</v>
          </cell>
          <cell r="C467" t="str">
            <v>Past</v>
          </cell>
          <cell r="D467">
            <v>9.8000000000000007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9.8000000000000007</v>
          </cell>
          <cell r="Q467">
            <v>2.5024300000000004</v>
          </cell>
          <cell r="R467" t="e">
            <v>#N/A</v>
          </cell>
        </row>
        <row r="468">
          <cell r="A468">
            <v>40598</v>
          </cell>
          <cell r="B468">
            <v>40598</v>
          </cell>
          <cell r="C468" t="str">
            <v>Past</v>
          </cell>
          <cell r="D468">
            <v>9.89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9.89</v>
          </cell>
          <cell r="Q468">
            <v>1.7903689999999999</v>
          </cell>
          <cell r="R468" t="e">
            <v>#N/A</v>
          </cell>
        </row>
        <row r="469">
          <cell r="A469">
            <v>40599</v>
          </cell>
          <cell r="B469">
            <v>40599</v>
          </cell>
          <cell r="C469" t="str">
            <v>Past</v>
          </cell>
          <cell r="D469">
            <v>10.66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10.66</v>
          </cell>
          <cell r="Q469">
            <v>2.2903039999999999</v>
          </cell>
          <cell r="R469" t="e">
            <v>#N/A</v>
          </cell>
        </row>
        <row r="470">
          <cell r="A470">
            <v>40602</v>
          </cell>
          <cell r="B470">
            <v>40602</v>
          </cell>
          <cell r="C470" t="str">
            <v>Past</v>
          </cell>
          <cell r="D470">
            <v>10.61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10.61</v>
          </cell>
          <cell r="Q470">
            <v>1.3924289999999999</v>
          </cell>
          <cell r="R470" t="e">
            <v>#N/A</v>
          </cell>
        </row>
        <row r="471">
          <cell r="A471">
            <v>40603</v>
          </cell>
          <cell r="B471">
            <v>40603</v>
          </cell>
          <cell r="C471" t="str">
            <v>Past</v>
          </cell>
          <cell r="D471">
            <v>10.69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10.69</v>
          </cell>
          <cell r="Q471">
            <v>2.751941</v>
          </cell>
          <cell r="R471" t="e">
            <v>#N/A</v>
          </cell>
        </row>
        <row r="472">
          <cell r="A472">
            <v>40604</v>
          </cell>
          <cell r="B472">
            <v>40604</v>
          </cell>
          <cell r="C472" t="str">
            <v>Past</v>
          </cell>
          <cell r="D472">
            <v>10.75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10.75</v>
          </cell>
          <cell r="Q472">
            <v>3.2832569999999999</v>
          </cell>
          <cell r="R472" t="e">
            <v>#N/A</v>
          </cell>
        </row>
        <row r="473">
          <cell r="A473">
            <v>40605</v>
          </cell>
          <cell r="B473">
            <v>40605</v>
          </cell>
          <cell r="C473" t="str">
            <v>Past</v>
          </cell>
          <cell r="D473">
            <v>10.66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10.66</v>
          </cell>
          <cell r="Q473">
            <v>1.1055139999999999</v>
          </cell>
          <cell r="R473" t="e">
            <v>#N/A</v>
          </cell>
        </row>
        <row r="474">
          <cell r="A474">
            <v>40606</v>
          </cell>
          <cell r="B474">
            <v>40606</v>
          </cell>
          <cell r="C474" t="str">
            <v>Past</v>
          </cell>
          <cell r="D474">
            <v>10.79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10.79</v>
          </cell>
          <cell r="Q474">
            <v>2.1001069999999999</v>
          </cell>
          <cell r="R474" t="e">
            <v>#N/A</v>
          </cell>
        </row>
        <row r="475">
          <cell r="A475">
            <v>40609</v>
          </cell>
          <cell r="B475">
            <v>40609</v>
          </cell>
          <cell r="C475" t="str">
            <v>Past</v>
          </cell>
          <cell r="D475">
            <v>10.59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10.59</v>
          </cell>
          <cell r="Q475">
            <v>3.214982</v>
          </cell>
          <cell r="R475" t="e">
            <v>#N/A</v>
          </cell>
        </row>
        <row r="476">
          <cell r="A476">
            <v>40610</v>
          </cell>
          <cell r="B476">
            <v>40610</v>
          </cell>
          <cell r="C476" t="str">
            <v>Past</v>
          </cell>
          <cell r="D476">
            <v>10.57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10.57</v>
          </cell>
          <cell r="Q476">
            <v>1.2352159999999999</v>
          </cell>
          <cell r="R476" t="e">
            <v>#N/A</v>
          </cell>
        </row>
        <row r="477">
          <cell r="A477">
            <v>40611</v>
          </cell>
          <cell r="B477">
            <v>40611</v>
          </cell>
          <cell r="C477" t="str">
            <v>Past</v>
          </cell>
          <cell r="D477">
            <v>10.42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10.42</v>
          </cell>
          <cell r="Q477">
            <v>2.2522229999999999</v>
          </cell>
          <cell r="R477" t="e">
            <v>#N/A</v>
          </cell>
        </row>
        <row r="478">
          <cell r="A478">
            <v>40612</v>
          </cell>
          <cell r="B478">
            <v>40612</v>
          </cell>
          <cell r="C478" t="str">
            <v>Past</v>
          </cell>
          <cell r="D478">
            <v>10.27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10.27</v>
          </cell>
          <cell r="Q478">
            <v>4.1188950000000002</v>
          </cell>
          <cell r="R478" t="e">
            <v>#N/A</v>
          </cell>
        </row>
        <row r="479">
          <cell r="A479">
            <v>40613</v>
          </cell>
          <cell r="B479">
            <v>40613</v>
          </cell>
          <cell r="C479" t="str">
            <v>Past</v>
          </cell>
          <cell r="D479">
            <v>10.39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10.39</v>
          </cell>
          <cell r="Q479">
            <v>4.0269119999999994</v>
          </cell>
          <cell r="R479" t="e">
            <v>#N/A</v>
          </cell>
        </row>
        <row r="480">
          <cell r="A480">
            <v>40616</v>
          </cell>
          <cell r="B480">
            <v>40616</v>
          </cell>
          <cell r="C480" t="str">
            <v>Past</v>
          </cell>
          <cell r="D480">
            <v>10.33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10.33</v>
          </cell>
          <cell r="Q480">
            <v>2.8663829999999999</v>
          </cell>
          <cell r="R480" t="e">
            <v>#N/A</v>
          </cell>
        </row>
        <row r="481">
          <cell r="A481">
            <v>40617</v>
          </cell>
          <cell r="B481">
            <v>40617</v>
          </cell>
          <cell r="C481" t="str">
            <v>Past</v>
          </cell>
          <cell r="D481">
            <v>9.9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9.9</v>
          </cell>
          <cell r="Q481">
            <v>3.2931879999999998</v>
          </cell>
          <cell r="R481" t="e">
            <v>#N/A</v>
          </cell>
        </row>
        <row r="482">
          <cell r="A482">
            <v>40618</v>
          </cell>
          <cell r="B482">
            <v>40618</v>
          </cell>
          <cell r="C482" t="str">
            <v>Past</v>
          </cell>
          <cell r="D482">
            <v>9.9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9.9</v>
          </cell>
          <cell r="Q482">
            <v>4.4080240000000002</v>
          </cell>
          <cell r="R482" t="e">
            <v>#N/A</v>
          </cell>
        </row>
        <row r="483">
          <cell r="A483">
            <v>40619</v>
          </cell>
          <cell r="B483">
            <v>40619</v>
          </cell>
          <cell r="C483" t="str">
            <v>Past</v>
          </cell>
          <cell r="D483">
            <v>10.130000000000001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10.130000000000001</v>
          </cell>
          <cell r="Q483">
            <v>3.9271719999999997</v>
          </cell>
          <cell r="R483" t="e">
            <v>#N/A</v>
          </cell>
        </row>
        <row r="484">
          <cell r="A484">
            <v>40620</v>
          </cell>
          <cell r="B484">
            <v>40620</v>
          </cell>
          <cell r="C484" t="str">
            <v>Past</v>
          </cell>
          <cell r="D484">
            <v>10.77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10.77</v>
          </cell>
          <cell r="Q484">
            <v>3.2556939999999996</v>
          </cell>
          <cell r="R484" t="e">
            <v>#N/A</v>
          </cell>
        </row>
        <row r="485">
          <cell r="A485">
            <v>40623</v>
          </cell>
          <cell r="B485">
            <v>40623</v>
          </cell>
          <cell r="C485" t="str">
            <v>Past</v>
          </cell>
          <cell r="D485">
            <v>10.86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10.86</v>
          </cell>
          <cell r="Q485">
            <v>3.3888249999999998</v>
          </cell>
          <cell r="R485" t="e">
            <v>#N/A</v>
          </cell>
        </row>
        <row r="486">
          <cell r="A486">
            <v>40624</v>
          </cell>
          <cell r="B486">
            <v>40624</v>
          </cell>
          <cell r="C486" t="str">
            <v>Past</v>
          </cell>
          <cell r="D486">
            <v>11.19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11.19</v>
          </cell>
          <cell r="Q486">
            <v>1.7560419999999999</v>
          </cell>
          <cell r="R486" t="e">
            <v>#N/A</v>
          </cell>
        </row>
        <row r="487">
          <cell r="A487">
            <v>40625</v>
          </cell>
          <cell r="B487">
            <v>40625</v>
          </cell>
          <cell r="C487" t="str">
            <v>Past</v>
          </cell>
          <cell r="D487">
            <v>11.49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11.49</v>
          </cell>
          <cell r="Q487">
            <v>2.4338359999999999</v>
          </cell>
          <cell r="R487" t="e">
            <v>#N/A</v>
          </cell>
        </row>
        <row r="488">
          <cell r="A488">
            <v>40626</v>
          </cell>
          <cell r="B488">
            <v>40626</v>
          </cell>
          <cell r="C488" t="str">
            <v>Past</v>
          </cell>
          <cell r="D488">
            <v>11.67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11.67</v>
          </cell>
          <cell r="Q488">
            <v>2.1795749999999998</v>
          </cell>
          <cell r="R488" t="e">
            <v>#N/A</v>
          </cell>
        </row>
        <row r="489">
          <cell r="A489">
            <v>40627</v>
          </cell>
          <cell r="B489">
            <v>40627</v>
          </cell>
          <cell r="C489" t="str">
            <v>Past</v>
          </cell>
          <cell r="D489">
            <v>11.75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11.75</v>
          </cell>
          <cell r="Q489">
            <v>4.3813430000000002</v>
          </cell>
          <cell r="R489" t="e">
            <v>#N/A</v>
          </cell>
        </row>
        <row r="490">
          <cell r="A490">
            <v>40630</v>
          </cell>
          <cell r="B490">
            <v>40630</v>
          </cell>
          <cell r="C490" t="str">
            <v>Past</v>
          </cell>
          <cell r="D490">
            <v>11.42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11.42</v>
          </cell>
          <cell r="Q490">
            <v>4.5853359999999999</v>
          </cell>
          <cell r="R490" t="e">
            <v>#N/A</v>
          </cell>
        </row>
        <row r="491">
          <cell r="A491">
            <v>40631</v>
          </cell>
          <cell r="B491">
            <v>40631</v>
          </cell>
          <cell r="C491" t="str">
            <v>Past</v>
          </cell>
          <cell r="D491">
            <v>11.4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11.4</v>
          </cell>
          <cell r="Q491">
            <v>2.9104190000000001</v>
          </cell>
          <cell r="R491" t="e">
            <v>#N/A</v>
          </cell>
        </row>
        <row r="492">
          <cell r="A492">
            <v>40632</v>
          </cell>
          <cell r="B492">
            <v>40632</v>
          </cell>
          <cell r="C492" t="str">
            <v>Past</v>
          </cell>
          <cell r="D492">
            <v>12.23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12.23</v>
          </cell>
          <cell r="Q492">
            <v>6.1986749999999997</v>
          </cell>
          <cell r="R492" t="e">
            <v>#N/A</v>
          </cell>
        </row>
        <row r="493">
          <cell r="A493">
            <v>40633</v>
          </cell>
          <cell r="B493">
            <v>40633</v>
          </cell>
          <cell r="C493" t="str">
            <v>Past</v>
          </cell>
          <cell r="D493">
            <v>13.3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13.3</v>
          </cell>
          <cell r="Q493">
            <v>5.9785949999999994</v>
          </cell>
          <cell r="R493" t="e">
            <v>#N/A</v>
          </cell>
        </row>
        <row r="494">
          <cell r="A494">
            <v>40634</v>
          </cell>
          <cell r="B494">
            <v>40634</v>
          </cell>
          <cell r="C494" t="str">
            <v>Past</v>
          </cell>
          <cell r="D494">
            <v>13.21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13.21</v>
          </cell>
          <cell r="Q494">
            <v>4.5918060000000001</v>
          </cell>
          <cell r="R494" t="e">
            <v>#N/A</v>
          </cell>
        </row>
        <row r="495">
          <cell r="A495">
            <v>40637</v>
          </cell>
          <cell r="B495">
            <v>40637</v>
          </cell>
          <cell r="C495" t="str">
            <v>Past</v>
          </cell>
          <cell r="D495">
            <v>13.43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13.43</v>
          </cell>
          <cell r="Q495">
            <v>5.5885359999999995</v>
          </cell>
          <cell r="R495" t="e">
            <v>#N/A</v>
          </cell>
        </row>
        <row r="496">
          <cell r="A496">
            <v>40638</v>
          </cell>
          <cell r="B496">
            <v>40638</v>
          </cell>
          <cell r="C496" t="str">
            <v>Past</v>
          </cell>
          <cell r="D496">
            <v>13.32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13.32</v>
          </cell>
          <cell r="Q496">
            <v>4.8598219999999994</v>
          </cell>
          <cell r="R496" t="e">
            <v>#N/A</v>
          </cell>
        </row>
        <row r="497">
          <cell r="A497">
            <v>40639</v>
          </cell>
          <cell r="B497">
            <v>40639</v>
          </cell>
          <cell r="C497" t="str">
            <v>Past</v>
          </cell>
          <cell r="D497">
            <v>13.09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13.09</v>
          </cell>
          <cell r="Q497">
            <v>5.0750419999999998</v>
          </cell>
          <cell r="R497" t="e">
            <v>#N/A</v>
          </cell>
        </row>
        <row r="498">
          <cell r="A498">
            <v>40640</v>
          </cell>
          <cell r="B498">
            <v>40640</v>
          </cell>
          <cell r="C498" t="str">
            <v>Past</v>
          </cell>
          <cell r="D498">
            <v>13.09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13.09</v>
          </cell>
          <cell r="Q498">
            <v>3.6876889999999998</v>
          </cell>
          <cell r="R498" t="e">
            <v>#N/A</v>
          </cell>
        </row>
        <row r="499">
          <cell r="A499">
            <v>40641</v>
          </cell>
          <cell r="B499">
            <v>40641</v>
          </cell>
          <cell r="C499" t="str">
            <v>Past</v>
          </cell>
          <cell r="D499">
            <v>13.5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13.5</v>
          </cell>
          <cell r="Q499">
            <v>4.6079349999999994</v>
          </cell>
          <cell r="R499" t="e">
            <v>#N/A</v>
          </cell>
        </row>
        <row r="500">
          <cell r="A500">
            <v>40644</v>
          </cell>
          <cell r="B500">
            <v>40644</v>
          </cell>
          <cell r="C500" t="str">
            <v>Past</v>
          </cell>
          <cell r="D500">
            <v>14.1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14.1</v>
          </cell>
          <cell r="Q500">
            <v>3.4189759999999998</v>
          </cell>
          <cell r="R500" t="e">
            <v>#N/A</v>
          </cell>
        </row>
        <row r="501">
          <cell r="A501">
            <v>40645</v>
          </cell>
          <cell r="B501">
            <v>40645</v>
          </cell>
          <cell r="C501" t="str">
            <v>Past</v>
          </cell>
          <cell r="D501">
            <v>13.79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13.79</v>
          </cell>
          <cell r="Q501">
            <v>5.4155889999999998</v>
          </cell>
          <cell r="R501" t="e">
            <v>#N/A</v>
          </cell>
        </row>
        <row r="502">
          <cell r="A502">
            <v>40646</v>
          </cell>
          <cell r="B502">
            <v>40646</v>
          </cell>
          <cell r="C502" t="str">
            <v>Past</v>
          </cell>
          <cell r="D502">
            <v>13.84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13.84</v>
          </cell>
          <cell r="Q502">
            <v>2.6343589999999999</v>
          </cell>
          <cell r="R502" t="e">
            <v>#N/A</v>
          </cell>
        </row>
        <row r="503">
          <cell r="A503">
            <v>40647</v>
          </cell>
          <cell r="B503">
            <v>40647</v>
          </cell>
          <cell r="C503" t="str">
            <v>Past</v>
          </cell>
          <cell r="D503">
            <v>13.93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13.93</v>
          </cell>
          <cell r="Q503">
            <v>3.4545049999999997</v>
          </cell>
          <cell r="R503" t="e">
            <v>#N/A</v>
          </cell>
        </row>
        <row r="504">
          <cell r="A504">
            <v>40648</v>
          </cell>
          <cell r="B504">
            <v>40648</v>
          </cell>
          <cell r="C504" t="str">
            <v>Past</v>
          </cell>
          <cell r="D504">
            <v>13.71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13.71</v>
          </cell>
          <cell r="Q504">
            <v>2.4306289999999997</v>
          </cell>
          <cell r="R504" t="e">
            <v>#N/A</v>
          </cell>
        </row>
        <row r="505">
          <cell r="A505">
            <v>40651</v>
          </cell>
          <cell r="B505">
            <v>40651</v>
          </cell>
          <cell r="C505" t="str">
            <v>Past</v>
          </cell>
          <cell r="D505">
            <v>13.68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13.68</v>
          </cell>
          <cell r="Q505">
            <v>3.3927359999999998</v>
          </cell>
          <cell r="R505" t="e">
            <v>#N/A</v>
          </cell>
        </row>
        <row r="506">
          <cell r="A506">
            <v>40652</v>
          </cell>
          <cell r="B506">
            <v>40652</v>
          </cell>
          <cell r="C506" t="str">
            <v>Past</v>
          </cell>
          <cell r="D506">
            <v>13.04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13.04</v>
          </cell>
          <cell r="Q506">
            <v>7.3919559999999995</v>
          </cell>
          <cell r="R506" t="e">
            <v>#N/A</v>
          </cell>
        </row>
        <row r="507">
          <cell r="A507">
            <v>40653</v>
          </cell>
          <cell r="B507">
            <v>40653</v>
          </cell>
          <cell r="C507" t="str">
            <v>Past</v>
          </cell>
          <cell r="D507">
            <v>12.91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12.91</v>
          </cell>
          <cell r="Q507">
            <v>5.0536629999999994</v>
          </cell>
          <cell r="R507" t="e">
            <v>#N/A</v>
          </cell>
        </row>
        <row r="508">
          <cell r="A508">
            <v>40654</v>
          </cell>
          <cell r="B508">
            <v>40654</v>
          </cell>
          <cell r="C508" t="str">
            <v>Past</v>
          </cell>
          <cell r="D508">
            <v>13.3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13.3</v>
          </cell>
          <cell r="Q508">
            <v>4.0028809999999995</v>
          </cell>
          <cell r="R508" t="e">
            <v>#N/A</v>
          </cell>
        </row>
        <row r="509">
          <cell r="A509">
            <v>40655</v>
          </cell>
          <cell r="B509">
            <v>40655</v>
          </cell>
          <cell r="C509" t="str">
            <v>Past</v>
          </cell>
          <cell r="D509">
            <v>13.3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13.3</v>
          </cell>
          <cell r="Q509">
            <v>0</v>
          </cell>
          <cell r="R509" t="e">
            <v>#N/A</v>
          </cell>
        </row>
        <row r="510">
          <cell r="A510">
            <v>40658</v>
          </cell>
          <cell r="B510">
            <v>40658</v>
          </cell>
          <cell r="C510" t="str">
            <v>Past</v>
          </cell>
          <cell r="D510">
            <v>13.3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13.3</v>
          </cell>
          <cell r="Q510">
            <v>0</v>
          </cell>
          <cell r="R510" t="e">
            <v>#N/A</v>
          </cell>
        </row>
        <row r="511">
          <cell r="A511">
            <v>40659</v>
          </cell>
          <cell r="B511">
            <v>40659</v>
          </cell>
          <cell r="C511" t="str">
            <v>Past</v>
          </cell>
          <cell r="D511">
            <v>13.3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13.3</v>
          </cell>
          <cell r="Q511">
            <v>0</v>
          </cell>
          <cell r="R511" t="e">
            <v>#N/A</v>
          </cell>
        </row>
        <row r="512">
          <cell r="A512">
            <v>40660</v>
          </cell>
          <cell r="B512">
            <v>40660</v>
          </cell>
          <cell r="C512" t="str">
            <v>Past</v>
          </cell>
          <cell r="D512">
            <v>12.88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12.88</v>
          </cell>
          <cell r="Q512">
            <v>5.6247340000000001</v>
          </cell>
          <cell r="R512" t="e">
            <v>#N/A</v>
          </cell>
        </row>
        <row r="513">
          <cell r="A513">
            <v>40661</v>
          </cell>
          <cell r="B513">
            <v>40661</v>
          </cell>
          <cell r="C513" t="str">
            <v>Past</v>
          </cell>
          <cell r="D513">
            <v>12.82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12.82</v>
          </cell>
          <cell r="Q513">
            <v>4.2749369999999995</v>
          </cell>
          <cell r="R513" t="e">
            <v>#N/A</v>
          </cell>
        </row>
        <row r="514">
          <cell r="A514">
            <v>40662</v>
          </cell>
          <cell r="B514">
            <v>40662</v>
          </cell>
          <cell r="C514" t="str">
            <v>Past</v>
          </cell>
          <cell r="D514">
            <v>12.51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12.51</v>
          </cell>
          <cell r="Q514">
            <v>4.1609959999999999</v>
          </cell>
          <cell r="R514" t="e">
            <v>#N/A</v>
          </cell>
        </row>
        <row r="515">
          <cell r="A515">
            <v>40665</v>
          </cell>
          <cell r="B515">
            <v>40665</v>
          </cell>
          <cell r="C515" t="str">
            <v>Past</v>
          </cell>
          <cell r="D515">
            <v>12.63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12.63</v>
          </cell>
          <cell r="Q515">
            <v>3.424652</v>
          </cell>
          <cell r="R515" t="e">
            <v>#N/A</v>
          </cell>
        </row>
        <row r="516">
          <cell r="A516">
            <v>40666</v>
          </cell>
          <cell r="B516">
            <v>40666</v>
          </cell>
          <cell r="C516" t="str">
            <v>Past</v>
          </cell>
          <cell r="D516">
            <v>12.18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12.18</v>
          </cell>
          <cell r="Q516">
            <v>2.4523269999999999</v>
          </cell>
          <cell r="R516" t="e">
            <v>#N/A</v>
          </cell>
        </row>
        <row r="517">
          <cell r="A517">
            <v>40667</v>
          </cell>
          <cell r="B517">
            <v>40667</v>
          </cell>
          <cell r="C517" t="str">
            <v>Past</v>
          </cell>
          <cell r="D517">
            <v>12.62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12.62</v>
          </cell>
          <cell r="Q517">
            <v>5.6682969999999999</v>
          </cell>
          <cell r="R517" t="e">
            <v>#N/A</v>
          </cell>
        </row>
        <row r="518">
          <cell r="A518">
            <v>40668</v>
          </cell>
          <cell r="B518">
            <v>40668</v>
          </cell>
          <cell r="C518" t="str">
            <v>Past</v>
          </cell>
          <cell r="D518">
            <v>13.22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13.22</v>
          </cell>
          <cell r="Q518">
            <v>4.5220459999999996</v>
          </cell>
          <cell r="R518" t="e">
            <v>#N/A</v>
          </cell>
        </row>
        <row r="519">
          <cell r="A519">
            <v>40669</v>
          </cell>
          <cell r="B519">
            <v>40669</v>
          </cell>
          <cell r="C519" t="str">
            <v>Past</v>
          </cell>
          <cell r="D519">
            <v>13.32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13.32</v>
          </cell>
          <cell r="Q519">
            <v>4.9232930000000001</v>
          </cell>
          <cell r="R519" t="e">
            <v>#N/A</v>
          </cell>
        </row>
        <row r="520">
          <cell r="A520">
            <v>40672</v>
          </cell>
          <cell r="B520">
            <v>40672</v>
          </cell>
          <cell r="C520" t="str">
            <v>Past</v>
          </cell>
          <cell r="D520">
            <v>13.43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13.43</v>
          </cell>
          <cell r="Q520">
            <v>2.9126849999999997</v>
          </cell>
          <cell r="R520" t="e">
            <v>#N/A</v>
          </cell>
        </row>
        <row r="521">
          <cell r="A521">
            <v>40673</v>
          </cell>
          <cell r="B521">
            <v>40673</v>
          </cell>
          <cell r="C521" t="str">
            <v>Past</v>
          </cell>
          <cell r="D521">
            <v>13.61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13.61</v>
          </cell>
          <cell r="Q521">
            <v>3.4703749999999998</v>
          </cell>
          <cell r="R521" t="e">
            <v>#N/A</v>
          </cell>
        </row>
        <row r="522">
          <cell r="A522">
            <v>40674</v>
          </cell>
          <cell r="B522">
            <v>40674</v>
          </cell>
          <cell r="C522" t="str">
            <v>Past</v>
          </cell>
          <cell r="D522">
            <v>13.84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13.84</v>
          </cell>
          <cell r="Q522">
            <v>2.6647569999999998</v>
          </cell>
          <cell r="R522" t="e">
            <v>#N/A</v>
          </cell>
        </row>
        <row r="523">
          <cell r="A523">
            <v>40675</v>
          </cell>
          <cell r="B523">
            <v>40675</v>
          </cell>
          <cell r="C523" t="str">
            <v>Past</v>
          </cell>
          <cell r="D523">
            <v>13.77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13.77</v>
          </cell>
          <cell r="Q523">
            <v>3.507193</v>
          </cell>
          <cell r="R523" t="e">
            <v>#N/A</v>
          </cell>
        </row>
        <row r="524">
          <cell r="A524">
            <v>40676</v>
          </cell>
          <cell r="B524">
            <v>40676</v>
          </cell>
          <cell r="C524" t="str">
            <v>Past</v>
          </cell>
          <cell r="D524">
            <v>14.28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14.28</v>
          </cell>
          <cell r="Q524">
            <v>3.670445</v>
          </cell>
          <cell r="R524" t="e">
            <v>#N/A</v>
          </cell>
        </row>
        <row r="525">
          <cell r="A525">
            <v>40679</v>
          </cell>
          <cell r="B525">
            <v>40679</v>
          </cell>
          <cell r="C525" t="str">
            <v>Past</v>
          </cell>
          <cell r="D525">
            <v>14.57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14.57</v>
          </cell>
          <cell r="Q525">
            <v>4.438974</v>
          </cell>
          <cell r="R525" t="e">
            <v>#N/A</v>
          </cell>
        </row>
        <row r="526">
          <cell r="A526">
            <v>40680</v>
          </cell>
          <cell r="B526">
            <v>40680</v>
          </cell>
          <cell r="C526" t="str">
            <v>Past</v>
          </cell>
          <cell r="D526">
            <v>14.6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14.6</v>
          </cell>
          <cell r="Q526">
            <v>7.710432</v>
          </cell>
          <cell r="R526" t="e">
            <v>#N/A</v>
          </cell>
        </row>
        <row r="527">
          <cell r="A527">
            <v>40681</v>
          </cell>
          <cell r="B527">
            <v>40681</v>
          </cell>
          <cell r="C527" t="str">
            <v>Past</v>
          </cell>
          <cell r="D527">
            <v>14.56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14.56</v>
          </cell>
          <cell r="Q527">
            <v>3.9846800000000004</v>
          </cell>
          <cell r="R527" t="e">
            <v>#N/A</v>
          </cell>
        </row>
        <row r="528">
          <cell r="A528">
            <v>40682</v>
          </cell>
          <cell r="B528">
            <v>40682</v>
          </cell>
          <cell r="C528" t="str">
            <v>Past</v>
          </cell>
          <cell r="D528">
            <v>14.95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14.95</v>
          </cell>
          <cell r="Q528">
            <v>8.7241939999999989</v>
          </cell>
          <cell r="R528" t="e">
            <v>#N/A</v>
          </cell>
        </row>
        <row r="529">
          <cell r="A529">
            <v>40683</v>
          </cell>
          <cell r="B529">
            <v>40683</v>
          </cell>
          <cell r="C529" t="str">
            <v>Past</v>
          </cell>
          <cell r="D529">
            <v>15.08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15.08</v>
          </cell>
          <cell r="Q529">
            <v>4.5408330000000001</v>
          </cell>
          <cell r="R529" t="e">
            <v>#N/A</v>
          </cell>
        </row>
        <row r="530">
          <cell r="A530">
            <v>40686</v>
          </cell>
          <cell r="B530">
            <v>40686</v>
          </cell>
          <cell r="C530" t="str">
            <v>Past</v>
          </cell>
          <cell r="D530">
            <v>14.53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14.53</v>
          </cell>
          <cell r="Q530">
            <v>3.0975639999999998</v>
          </cell>
          <cell r="R530" t="e">
            <v>#N/A</v>
          </cell>
        </row>
        <row r="531">
          <cell r="A531">
            <v>40687</v>
          </cell>
          <cell r="B531">
            <v>40687</v>
          </cell>
          <cell r="C531" t="str">
            <v>Past</v>
          </cell>
          <cell r="D531">
            <v>15.08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15.08</v>
          </cell>
          <cell r="Q531">
            <v>5.6643739999999996</v>
          </cell>
          <cell r="R531" t="e">
            <v>#N/A</v>
          </cell>
        </row>
        <row r="532">
          <cell r="A532">
            <v>40688</v>
          </cell>
          <cell r="B532">
            <v>40688</v>
          </cell>
          <cell r="C532" t="str">
            <v>Past</v>
          </cell>
          <cell r="D532">
            <v>15.16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15.16</v>
          </cell>
          <cell r="Q532">
            <v>4.9464839999999999</v>
          </cell>
          <cell r="R532" t="e">
            <v>#N/A</v>
          </cell>
        </row>
        <row r="533">
          <cell r="A533">
            <v>40689</v>
          </cell>
          <cell r="B533">
            <v>40689</v>
          </cell>
          <cell r="C533" t="str">
            <v>Past</v>
          </cell>
          <cell r="D533">
            <v>15.56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15.56</v>
          </cell>
          <cell r="Q533">
            <v>5.35806</v>
          </cell>
          <cell r="R533" t="e">
            <v>#N/A</v>
          </cell>
        </row>
        <row r="534">
          <cell r="A534">
            <v>40690</v>
          </cell>
          <cell r="B534">
            <v>40690</v>
          </cell>
          <cell r="C534" t="str">
            <v>Past</v>
          </cell>
          <cell r="D534">
            <v>15.45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15.45</v>
          </cell>
          <cell r="Q534">
            <v>5.366689</v>
          </cell>
          <cell r="R534" t="e">
            <v>#N/A</v>
          </cell>
        </row>
        <row r="535">
          <cell r="A535">
            <v>40693</v>
          </cell>
          <cell r="B535">
            <v>40693</v>
          </cell>
          <cell r="C535" t="str">
            <v>Past</v>
          </cell>
          <cell r="D535">
            <v>15.61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15.61</v>
          </cell>
          <cell r="Q535">
            <v>4.6585219999999996</v>
          </cell>
          <cell r="R535" t="e">
            <v>#N/A</v>
          </cell>
        </row>
        <row r="536">
          <cell r="A536">
            <v>40694</v>
          </cell>
          <cell r="B536">
            <v>40694</v>
          </cell>
          <cell r="C536" t="str">
            <v>Past</v>
          </cell>
          <cell r="D536">
            <v>15.64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15.64</v>
          </cell>
          <cell r="Q536">
            <v>32.970690000000005</v>
          </cell>
          <cell r="R536" t="e">
            <v>#N/A</v>
          </cell>
        </row>
        <row r="537">
          <cell r="A537">
            <v>40695</v>
          </cell>
          <cell r="B537">
            <v>40695</v>
          </cell>
          <cell r="C537" t="str">
            <v>Past</v>
          </cell>
          <cell r="D537">
            <v>16.12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16.12</v>
          </cell>
          <cell r="Q537">
            <v>5.965433</v>
          </cell>
          <cell r="R537" t="e">
            <v>#N/A</v>
          </cell>
        </row>
        <row r="538">
          <cell r="A538">
            <v>40696</v>
          </cell>
          <cell r="B538">
            <v>40696</v>
          </cell>
          <cell r="C538" t="str">
            <v>Past</v>
          </cell>
          <cell r="D538">
            <v>15.4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15.4</v>
          </cell>
          <cell r="Q538">
            <v>4.6602549999999994</v>
          </cell>
          <cell r="R538" t="e">
            <v>#N/A</v>
          </cell>
        </row>
        <row r="539">
          <cell r="A539">
            <v>40697</v>
          </cell>
          <cell r="B539">
            <v>40697</v>
          </cell>
          <cell r="C539" t="str">
            <v>Past</v>
          </cell>
          <cell r="D539">
            <v>15.85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15.85</v>
          </cell>
          <cell r="Q539">
            <v>5.7424789999999994</v>
          </cell>
          <cell r="R539" t="e">
            <v>#N/A</v>
          </cell>
        </row>
        <row r="540">
          <cell r="A540">
            <v>40700</v>
          </cell>
          <cell r="B540">
            <v>40700</v>
          </cell>
          <cell r="C540" t="str">
            <v>Past</v>
          </cell>
          <cell r="D540">
            <v>17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17</v>
          </cell>
          <cell r="Q540">
            <v>6.2954749999999997</v>
          </cell>
          <cell r="R540" t="e">
            <v>#N/A</v>
          </cell>
        </row>
        <row r="541">
          <cell r="A541">
            <v>40701</v>
          </cell>
          <cell r="B541">
            <v>40701</v>
          </cell>
          <cell r="C541" t="str">
            <v>Past</v>
          </cell>
          <cell r="D541">
            <v>16.559999999999999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16.559999999999999</v>
          </cell>
          <cell r="Q541">
            <v>4.7616579999999997</v>
          </cell>
          <cell r="R541" t="e">
            <v>#N/A</v>
          </cell>
        </row>
        <row r="542">
          <cell r="A542">
            <v>40702</v>
          </cell>
          <cell r="B542">
            <v>40702</v>
          </cell>
          <cell r="C542" t="str">
            <v>Past</v>
          </cell>
          <cell r="D542">
            <v>16.7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16.7</v>
          </cell>
          <cell r="Q542">
            <v>4.2654420000000002</v>
          </cell>
          <cell r="R542" t="e">
            <v>#N/A</v>
          </cell>
        </row>
        <row r="543">
          <cell r="A543">
            <v>40703</v>
          </cell>
          <cell r="B543">
            <v>40703</v>
          </cell>
          <cell r="C543" t="str">
            <v>Past</v>
          </cell>
          <cell r="D543">
            <v>17.18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17.18</v>
          </cell>
          <cell r="Q543">
            <v>3.547685</v>
          </cell>
          <cell r="R543" t="e">
            <v>#N/A</v>
          </cell>
        </row>
        <row r="544">
          <cell r="A544">
            <v>40704</v>
          </cell>
          <cell r="B544">
            <v>40704</v>
          </cell>
          <cell r="C544" t="str">
            <v>Past</v>
          </cell>
          <cell r="D544">
            <v>17.489999999999998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17.489999999999998</v>
          </cell>
          <cell r="Q544">
            <v>3.1771249999999998</v>
          </cell>
          <cell r="R544" t="e">
            <v>#N/A</v>
          </cell>
        </row>
        <row r="545">
          <cell r="A545">
            <v>40707</v>
          </cell>
          <cell r="B545">
            <v>40707</v>
          </cell>
          <cell r="C545" t="str">
            <v>Past</v>
          </cell>
          <cell r="D545">
            <v>17.489999999999998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17.489999999999998</v>
          </cell>
          <cell r="Q545">
            <v>0</v>
          </cell>
          <cell r="R545" t="e">
            <v>#N/A</v>
          </cell>
        </row>
        <row r="546">
          <cell r="A546">
            <v>40708</v>
          </cell>
          <cell r="B546">
            <v>40708</v>
          </cell>
          <cell r="C546" t="str">
            <v>Past</v>
          </cell>
          <cell r="D546">
            <v>17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17</v>
          </cell>
          <cell r="Q546">
            <v>5.000076</v>
          </cell>
          <cell r="R546" t="e">
            <v>#N/A</v>
          </cell>
        </row>
        <row r="547">
          <cell r="A547">
            <v>40709</v>
          </cell>
          <cell r="B547">
            <v>40709</v>
          </cell>
          <cell r="C547" t="str">
            <v>Past</v>
          </cell>
          <cell r="D547">
            <v>17.62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17.62</v>
          </cell>
          <cell r="Q547">
            <v>4.3665509999999994</v>
          </cell>
          <cell r="R547" t="e">
            <v>#N/A</v>
          </cell>
        </row>
        <row r="548">
          <cell r="A548">
            <v>40710</v>
          </cell>
          <cell r="B548">
            <v>40710</v>
          </cell>
          <cell r="C548" t="str">
            <v>Past</v>
          </cell>
          <cell r="D548">
            <v>17.25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17.25</v>
          </cell>
          <cell r="Q548">
            <v>5.3534220000000001</v>
          </cell>
          <cell r="R548" t="e">
            <v>#N/A</v>
          </cell>
        </row>
        <row r="549">
          <cell r="A549">
            <v>40711</v>
          </cell>
          <cell r="B549">
            <v>40711</v>
          </cell>
          <cell r="C549" t="str">
            <v>Past</v>
          </cell>
          <cell r="D549">
            <v>16.899999999999999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16.899999999999999</v>
          </cell>
          <cell r="Q549">
            <v>5.15564</v>
          </cell>
          <cell r="R549" t="e">
            <v>#N/A</v>
          </cell>
        </row>
        <row r="550">
          <cell r="A550">
            <v>40714</v>
          </cell>
          <cell r="B550">
            <v>40714</v>
          </cell>
          <cell r="C550" t="str">
            <v>Past</v>
          </cell>
          <cell r="D550">
            <v>16.23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16.23</v>
          </cell>
          <cell r="Q550">
            <v>2.9104869999999998</v>
          </cell>
          <cell r="R550" t="e">
            <v>#N/A</v>
          </cell>
        </row>
        <row r="551">
          <cell r="A551">
            <v>40715</v>
          </cell>
          <cell r="B551">
            <v>40715</v>
          </cell>
          <cell r="C551" t="str">
            <v>Past</v>
          </cell>
          <cell r="D551">
            <v>16.46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16.46</v>
          </cell>
          <cell r="Q551">
            <v>5.0518900000000002</v>
          </cell>
          <cell r="R551" t="e">
            <v>#N/A</v>
          </cell>
        </row>
        <row r="552">
          <cell r="A552">
            <v>40716</v>
          </cell>
          <cell r="B552">
            <v>40716</v>
          </cell>
          <cell r="C552" t="str">
            <v>Past</v>
          </cell>
          <cell r="D552">
            <v>17.21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17.21</v>
          </cell>
          <cell r="Q552">
            <v>4.1022639999999999</v>
          </cell>
          <cell r="R552" t="e">
            <v>#N/A</v>
          </cell>
        </row>
        <row r="553">
          <cell r="A553">
            <v>40717</v>
          </cell>
          <cell r="B553">
            <v>40717</v>
          </cell>
          <cell r="C553" t="str">
            <v>Past</v>
          </cell>
          <cell r="D553">
            <v>16.66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16.66</v>
          </cell>
          <cell r="Q553">
            <v>3.9418159999999998</v>
          </cell>
          <cell r="R553" t="e">
            <v>#N/A</v>
          </cell>
        </row>
        <row r="554">
          <cell r="A554">
            <v>40718</v>
          </cell>
          <cell r="B554">
            <v>40718</v>
          </cell>
          <cell r="C554" t="str">
            <v>Past</v>
          </cell>
          <cell r="D554">
            <v>16.55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16.55</v>
          </cell>
          <cell r="Q554">
            <v>4.5888049999999998</v>
          </cell>
          <cell r="R554" t="e">
            <v>#N/A</v>
          </cell>
        </row>
        <row r="555">
          <cell r="A555">
            <v>40721</v>
          </cell>
          <cell r="B555">
            <v>40721</v>
          </cell>
          <cell r="C555" t="str">
            <v>Past</v>
          </cell>
          <cell r="D555">
            <v>16.45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16.45</v>
          </cell>
          <cell r="Q555">
            <v>3.107783</v>
          </cell>
          <cell r="R555" t="e">
            <v>#N/A</v>
          </cell>
        </row>
        <row r="556">
          <cell r="A556">
            <v>40722</v>
          </cell>
          <cell r="B556">
            <v>40722</v>
          </cell>
          <cell r="C556" t="str">
            <v>Past</v>
          </cell>
          <cell r="D556">
            <v>15.92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15.92</v>
          </cell>
          <cell r="Q556">
            <v>3.7468500000000002</v>
          </cell>
          <cell r="R556" t="e">
            <v>#N/A</v>
          </cell>
        </row>
        <row r="557">
          <cell r="A557">
            <v>40723</v>
          </cell>
          <cell r="B557">
            <v>40723</v>
          </cell>
          <cell r="C557" t="str">
            <v>Past</v>
          </cell>
          <cell r="D557">
            <v>15.95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 t="e">
            <v>#N/A</v>
          </cell>
          <cell r="P557">
            <v>15.95</v>
          </cell>
          <cell r="Q557">
            <v>4.2835109999999998</v>
          </cell>
          <cell r="R557" t="e">
            <v>#N/A</v>
          </cell>
        </row>
        <row r="558">
          <cell r="A558">
            <v>40724</v>
          </cell>
          <cell r="B558">
            <v>40724</v>
          </cell>
          <cell r="C558" t="str">
            <v>Past</v>
          </cell>
          <cell r="D558">
            <v>16.78</v>
          </cell>
          <cell r="E558" t="e">
            <v>#N/A</v>
          </cell>
          <cell r="F558" t="e">
            <v>#N/A</v>
          </cell>
          <cell r="G558" t="e">
            <v>#N/A</v>
          </cell>
          <cell r="H558" t="e">
            <v>#N/A</v>
          </cell>
          <cell r="I558" t="e">
            <v>#N/A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 t="e">
            <v>#N/A</v>
          </cell>
          <cell r="P558">
            <v>16.78</v>
          </cell>
          <cell r="Q558">
            <v>5.0247000000000002</v>
          </cell>
          <cell r="R558" t="e">
            <v>#N/A</v>
          </cell>
        </row>
        <row r="559">
          <cell r="A559">
            <v>40725</v>
          </cell>
          <cell r="B559">
            <v>40725</v>
          </cell>
          <cell r="C559" t="str">
            <v>Past</v>
          </cell>
          <cell r="D559">
            <v>16.52</v>
          </cell>
          <cell r="E559" t="e">
            <v>#N/A</v>
          </cell>
          <cell r="F559" t="e">
            <v>#N/A</v>
          </cell>
          <cell r="G559" t="e">
            <v>#N/A</v>
          </cell>
          <cell r="H559" t="e">
            <v>#N/A</v>
          </cell>
          <cell r="I559" t="e">
            <v>#N/A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 t="e">
            <v>#N/A</v>
          </cell>
          <cell r="P559">
            <v>16.52</v>
          </cell>
          <cell r="Q559">
            <v>2.2951999999999999</v>
          </cell>
          <cell r="R559" t="e">
            <v>#N/A</v>
          </cell>
        </row>
        <row r="560">
          <cell r="A560">
            <v>40728</v>
          </cell>
          <cell r="B560">
            <v>40728</v>
          </cell>
          <cell r="C560" t="str">
            <v>Past</v>
          </cell>
          <cell r="D560">
            <v>16.66</v>
          </cell>
          <cell r="E560" t="e">
            <v>#N/A</v>
          </cell>
          <cell r="F560" t="e">
            <v>#N/A</v>
          </cell>
          <cell r="G560" t="e">
            <v>#N/A</v>
          </cell>
          <cell r="H560" t="e">
            <v>#N/A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16.66</v>
          </cell>
          <cell r="Q560">
            <v>1.247185</v>
          </cell>
          <cell r="R560" t="e">
            <v>#N/A</v>
          </cell>
        </row>
        <row r="561">
          <cell r="A561">
            <v>40729</v>
          </cell>
          <cell r="B561">
            <v>40729</v>
          </cell>
          <cell r="C561" t="str">
            <v>Past</v>
          </cell>
          <cell r="D561">
            <v>16.88</v>
          </cell>
          <cell r="E561" t="e">
            <v>#N/A</v>
          </cell>
          <cell r="F561" t="e">
            <v>#N/A</v>
          </cell>
          <cell r="G561" t="e">
            <v>#N/A</v>
          </cell>
          <cell r="H561" t="e">
            <v>#N/A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16.88</v>
          </cell>
          <cell r="Q561">
            <v>3.1936789999999999</v>
          </cell>
          <cell r="R561" t="e">
            <v>#N/A</v>
          </cell>
        </row>
        <row r="562">
          <cell r="A562">
            <v>40730</v>
          </cell>
          <cell r="B562">
            <v>40730</v>
          </cell>
          <cell r="C562" t="str">
            <v>Past</v>
          </cell>
          <cell r="D562">
            <v>17</v>
          </cell>
          <cell r="E562" t="e">
            <v>#N/A</v>
          </cell>
          <cell r="F562" t="e">
            <v>#N/A</v>
          </cell>
          <cell r="G562" t="e">
            <v>#N/A</v>
          </cell>
          <cell r="H562" t="e">
            <v>#N/A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17</v>
          </cell>
          <cell r="Q562">
            <v>3.1047849999999997</v>
          </cell>
          <cell r="R562" t="e">
            <v>#N/A</v>
          </cell>
        </row>
        <row r="563">
          <cell r="A563">
            <v>40731</v>
          </cell>
          <cell r="B563">
            <v>40731</v>
          </cell>
          <cell r="C563" t="str">
            <v>Past</v>
          </cell>
          <cell r="D563">
            <v>16.940000000000001</v>
          </cell>
          <cell r="E563" t="e">
            <v>#N/A</v>
          </cell>
          <cell r="F563" t="e">
            <v>#N/A</v>
          </cell>
          <cell r="G563" t="e">
            <v>#N/A</v>
          </cell>
          <cell r="H563" t="e">
            <v>#N/A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16.940000000000001</v>
          </cell>
          <cell r="Q563">
            <v>1.6941689999999998</v>
          </cell>
          <cell r="R563" t="e">
            <v>#N/A</v>
          </cell>
        </row>
        <row r="564">
          <cell r="A564">
            <v>40732</v>
          </cell>
          <cell r="B564">
            <v>40732</v>
          </cell>
          <cell r="C564" t="str">
            <v>Past</v>
          </cell>
          <cell r="D564">
            <v>17.52</v>
          </cell>
          <cell r="E564" t="e">
            <v>#N/A</v>
          </cell>
          <cell r="F564" t="e">
            <v>#N/A</v>
          </cell>
          <cell r="G564" t="e">
            <v>#N/A</v>
          </cell>
          <cell r="H564" t="e">
            <v>#N/A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17.52</v>
          </cell>
          <cell r="Q564">
            <v>4.0005790000000001</v>
          </cell>
          <cell r="R564" t="e">
            <v>#N/A</v>
          </cell>
        </row>
        <row r="565">
          <cell r="A565">
            <v>40735</v>
          </cell>
          <cell r="B565">
            <v>40735</v>
          </cell>
          <cell r="C565" t="str">
            <v>Past</v>
          </cell>
          <cell r="D565">
            <v>17.350000000000001</v>
          </cell>
          <cell r="E565" t="e">
            <v>#N/A</v>
          </cell>
          <cell r="F565" t="e">
            <v>#N/A</v>
          </cell>
          <cell r="G565" t="e">
            <v>#N/A</v>
          </cell>
          <cell r="H565" t="e">
            <v>#N/A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17.350000000000001</v>
          </cell>
          <cell r="Q565">
            <v>2.3836029999999999</v>
          </cell>
          <cell r="R565" t="e">
            <v>#N/A</v>
          </cell>
        </row>
        <row r="566">
          <cell r="A566">
            <v>40736</v>
          </cell>
          <cell r="B566">
            <v>40736</v>
          </cell>
          <cell r="C566" t="str">
            <v>Past</v>
          </cell>
          <cell r="D566">
            <v>16.350000000000001</v>
          </cell>
          <cell r="E566" t="e">
            <v>#N/A</v>
          </cell>
          <cell r="F566" t="e">
            <v>#N/A</v>
          </cell>
          <cell r="G566" t="e">
            <v>#N/A</v>
          </cell>
          <cell r="H566" t="e">
            <v>#N/A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16.350000000000001</v>
          </cell>
          <cell r="Q566">
            <v>4.3991889999999998</v>
          </cell>
          <cell r="R566" t="e">
            <v>#N/A</v>
          </cell>
        </row>
        <row r="567">
          <cell r="A567">
            <v>40737</v>
          </cell>
          <cell r="B567">
            <v>40737</v>
          </cell>
          <cell r="C567" t="str">
            <v>Past</v>
          </cell>
          <cell r="D567">
            <v>16.850000000000001</v>
          </cell>
          <cell r="E567" t="e">
            <v>#N/A</v>
          </cell>
          <cell r="F567" t="e">
            <v>#N/A</v>
          </cell>
          <cell r="G567" t="e">
            <v>#N/A</v>
          </cell>
          <cell r="H567" t="e">
            <v>#N/A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16.850000000000001</v>
          </cell>
          <cell r="Q567">
            <v>3.097966</v>
          </cell>
          <cell r="R567" t="e">
            <v>#N/A</v>
          </cell>
        </row>
        <row r="568">
          <cell r="A568">
            <v>40738</v>
          </cell>
          <cell r="B568">
            <v>40738</v>
          </cell>
          <cell r="C568" t="str">
            <v>Past</v>
          </cell>
          <cell r="D568">
            <v>17.440000000000001</v>
          </cell>
          <cell r="E568" t="e">
            <v>#N/A</v>
          </cell>
          <cell r="F568" t="e">
            <v>#N/A</v>
          </cell>
          <cell r="G568" t="e">
            <v>#N/A</v>
          </cell>
          <cell r="H568" t="e">
            <v>#N/A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17.440000000000001</v>
          </cell>
          <cell r="Q568">
            <v>3.0500529999999997</v>
          </cell>
          <cell r="R568" t="e">
            <v>#N/A</v>
          </cell>
        </row>
        <row r="569">
          <cell r="A569">
            <v>40739</v>
          </cell>
          <cell r="B569">
            <v>40739</v>
          </cell>
          <cell r="C569" t="str">
            <v>Past</v>
          </cell>
          <cell r="D569">
            <v>17.89</v>
          </cell>
          <cell r="E569" t="e">
            <v>#N/A</v>
          </cell>
          <cell r="F569" t="e">
            <v>#N/A</v>
          </cell>
          <cell r="G569" t="e">
            <v>#N/A</v>
          </cell>
          <cell r="H569" t="e">
            <v>#N/A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17.89</v>
          </cell>
          <cell r="Q569">
            <v>3.4729939999999999</v>
          </cell>
          <cell r="R569" t="e">
            <v>#N/A</v>
          </cell>
        </row>
        <row r="570">
          <cell r="A570">
            <v>40742</v>
          </cell>
          <cell r="B570">
            <v>40742</v>
          </cell>
          <cell r="C570" t="str">
            <v>Past</v>
          </cell>
          <cell r="D570">
            <v>18.350000000000001</v>
          </cell>
          <cell r="E570" t="e">
            <v>#N/A</v>
          </cell>
          <cell r="F570" t="e">
            <v>#N/A</v>
          </cell>
          <cell r="G570" t="e">
            <v>#N/A</v>
          </cell>
          <cell r="H570" t="e">
            <v>#N/A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18.350000000000001</v>
          </cell>
          <cell r="Q570">
            <v>3.4061859999999999</v>
          </cell>
          <cell r="R570" t="e">
            <v>#N/A</v>
          </cell>
        </row>
        <row r="571">
          <cell r="A571">
            <v>40743</v>
          </cell>
          <cell r="B571">
            <v>40743</v>
          </cell>
          <cell r="C571" t="str">
            <v>Past</v>
          </cell>
          <cell r="D571">
            <v>18.3</v>
          </cell>
          <cell r="E571" t="e">
            <v>#N/A</v>
          </cell>
          <cell r="F571" t="e">
            <v>#N/A</v>
          </cell>
          <cell r="G571" t="e">
            <v>#N/A</v>
          </cell>
          <cell r="H571" t="e">
            <v>#N/A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18.3</v>
          </cell>
          <cell r="Q571">
            <v>2.4350969999999998</v>
          </cell>
          <cell r="R571" t="e">
            <v>#N/A</v>
          </cell>
        </row>
        <row r="572">
          <cell r="A572">
            <v>40744</v>
          </cell>
          <cell r="B572">
            <v>40744</v>
          </cell>
          <cell r="C572" t="str">
            <v>Past</v>
          </cell>
          <cell r="D572">
            <v>18.649999999999999</v>
          </cell>
          <cell r="E572" t="e">
            <v>#N/A</v>
          </cell>
          <cell r="F572" t="e">
            <v>#N/A</v>
          </cell>
          <cell r="G572" t="e">
            <v>#N/A</v>
          </cell>
          <cell r="H572" t="e">
            <v>#N/A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18.649999999999999</v>
          </cell>
          <cell r="Q572">
            <v>2.2045840000000001</v>
          </cell>
          <cell r="R572" t="e">
            <v>#N/A</v>
          </cell>
        </row>
        <row r="573">
          <cell r="A573">
            <v>40745</v>
          </cell>
          <cell r="B573">
            <v>40745</v>
          </cell>
          <cell r="C573" t="str">
            <v>Past</v>
          </cell>
          <cell r="D573">
            <v>19.13</v>
          </cell>
          <cell r="E573" t="e">
            <v>#N/A</v>
          </cell>
          <cell r="F573" t="e">
            <v>#N/A</v>
          </cell>
          <cell r="G573" t="e">
            <v>#N/A</v>
          </cell>
          <cell r="H573" t="e">
            <v>#N/A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19.13</v>
          </cell>
          <cell r="Q573">
            <v>3.475117</v>
          </cell>
          <cell r="R573" t="e">
            <v>#N/A</v>
          </cell>
        </row>
        <row r="574">
          <cell r="A574">
            <v>40746</v>
          </cell>
          <cell r="B574">
            <v>40746</v>
          </cell>
          <cell r="C574" t="str">
            <v>Past</v>
          </cell>
          <cell r="D574">
            <v>18.899999999999999</v>
          </cell>
          <cell r="E574" t="e">
            <v>#N/A</v>
          </cell>
          <cell r="F574" t="e">
            <v>#N/A</v>
          </cell>
          <cell r="G574" t="e">
            <v>#N/A</v>
          </cell>
          <cell r="H574" t="e">
            <v>#N/A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 t="e">
            <v>#N/A</v>
          </cell>
          <cell r="P574">
            <v>18.899999999999999</v>
          </cell>
          <cell r="Q574">
            <v>3.2225109999999999</v>
          </cell>
          <cell r="R574" t="e">
            <v>#N/A</v>
          </cell>
        </row>
        <row r="575">
          <cell r="A575">
            <v>40749</v>
          </cell>
          <cell r="B575">
            <v>40749</v>
          </cell>
          <cell r="C575" t="str">
            <v>Past</v>
          </cell>
          <cell r="D575">
            <v>18.43</v>
          </cell>
          <cell r="E575" t="e">
            <v>#N/A</v>
          </cell>
          <cell r="F575" t="e">
            <v>#N/A</v>
          </cell>
          <cell r="G575" t="e">
            <v>#N/A</v>
          </cell>
          <cell r="H575" t="e">
            <v>#N/A</v>
          </cell>
          <cell r="I575" t="e">
            <v>#N/A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>
            <v>0</v>
          </cell>
          <cell r="P575">
            <v>18.43</v>
          </cell>
          <cell r="Q575">
            <v>1.9926109999999999</v>
          </cell>
          <cell r="R575" t="e">
            <v>#N/A</v>
          </cell>
        </row>
        <row r="576">
          <cell r="A576">
            <v>40750</v>
          </cell>
          <cell r="B576">
            <v>40750.776967592596</v>
          </cell>
          <cell r="C576" t="str">
            <v>Current</v>
          </cell>
          <cell r="D576">
            <v>19.25</v>
          </cell>
          <cell r="E576">
            <v>19.25</v>
          </cell>
          <cell r="F576">
            <v>19.25</v>
          </cell>
          <cell r="G576">
            <v>19.25</v>
          </cell>
          <cell r="H576">
            <v>19.25</v>
          </cell>
          <cell r="I576">
            <v>19.25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>
            <v>164.85345000000001</v>
          </cell>
          <cell r="P576">
            <v>19.25</v>
          </cell>
          <cell r="Q576">
            <v>2.0545089999999999</v>
          </cell>
          <cell r="R576" t="e">
            <v>#N/A</v>
          </cell>
        </row>
        <row r="577">
          <cell r="A577">
            <v>40751</v>
          </cell>
          <cell r="B577">
            <v>40751</v>
          </cell>
          <cell r="C577" t="str">
            <v>Future</v>
          </cell>
          <cell r="D577" t="e">
            <v>#N/A</v>
          </cell>
          <cell r="E577">
            <v>19.176526717557252</v>
          </cell>
          <cell r="F577">
            <v>19.275763358778626</v>
          </cell>
          <cell r="G577">
            <v>19.23263358778626</v>
          </cell>
          <cell r="H577">
            <v>19.23263358778626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19.25</v>
          </cell>
          <cell r="Q577" t="str">
            <v/>
          </cell>
          <cell r="R577" t="e">
            <v>#N/A</v>
          </cell>
        </row>
        <row r="578">
          <cell r="A578">
            <v>40752</v>
          </cell>
          <cell r="B578">
            <v>40752</v>
          </cell>
          <cell r="C578" t="str">
            <v>Future</v>
          </cell>
          <cell r="D578" t="e">
            <v>#N/A</v>
          </cell>
          <cell r="E578">
            <v>19.103053435114504</v>
          </cell>
          <cell r="F578">
            <v>19.301526717557252</v>
          </cell>
          <cell r="G578">
            <v>19.215267175572521</v>
          </cell>
          <cell r="H578">
            <v>19.215267175572521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19.25</v>
          </cell>
          <cell r="Q578" t="str">
            <v/>
          </cell>
          <cell r="R578" t="e">
            <v>#N/A</v>
          </cell>
        </row>
        <row r="579">
          <cell r="A579">
            <v>40753</v>
          </cell>
          <cell r="B579">
            <v>40753</v>
          </cell>
          <cell r="C579" t="str">
            <v>Future</v>
          </cell>
          <cell r="D579" t="e">
            <v>#N/A</v>
          </cell>
          <cell r="E579">
            <v>19.029580152671755</v>
          </cell>
          <cell r="F579">
            <v>19.327290076335878</v>
          </cell>
          <cell r="G579">
            <v>19.197900763358781</v>
          </cell>
          <cell r="H579">
            <v>19.197900763358781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19.25</v>
          </cell>
          <cell r="Q579" t="str">
            <v/>
          </cell>
          <cell r="R579" t="e">
            <v>#N/A</v>
          </cell>
        </row>
        <row r="580">
          <cell r="A580">
            <v>40756</v>
          </cell>
          <cell r="B580">
            <v>40756</v>
          </cell>
          <cell r="C580" t="str">
            <v>Future</v>
          </cell>
          <cell r="D580" t="e">
            <v>#N/A</v>
          </cell>
          <cell r="E580">
            <v>18.956106870229007</v>
          </cell>
          <cell r="F580">
            <v>19.353053435114504</v>
          </cell>
          <cell r="G580">
            <v>19.180534351145042</v>
          </cell>
          <cell r="H580">
            <v>19.180534351145042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19.25</v>
          </cell>
          <cell r="Q580" t="str">
            <v/>
          </cell>
          <cell r="R580" t="e">
            <v>#N/A</v>
          </cell>
        </row>
        <row r="581">
          <cell r="A581">
            <v>40757</v>
          </cell>
          <cell r="B581">
            <v>40757</v>
          </cell>
          <cell r="C581" t="str">
            <v>Future</v>
          </cell>
          <cell r="D581" t="e">
            <v>#N/A</v>
          </cell>
          <cell r="E581">
            <v>18.882633587786259</v>
          </cell>
          <cell r="F581">
            <v>19.378816793893129</v>
          </cell>
          <cell r="G581">
            <v>19.163167938931302</v>
          </cell>
          <cell r="H581">
            <v>19.163167938931302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19.25</v>
          </cell>
          <cell r="Q581" t="str">
            <v/>
          </cell>
          <cell r="R581" t="e">
            <v>#N/A</v>
          </cell>
        </row>
        <row r="582">
          <cell r="A582">
            <v>40758</v>
          </cell>
          <cell r="B582">
            <v>40758</v>
          </cell>
          <cell r="C582" t="str">
            <v>Future</v>
          </cell>
          <cell r="D582" t="e">
            <v>#N/A</v>
          </cell>
          <cell r="E582">
            <v>18.809160305343511</v>
          </cell>
          <cell r="F582">
            <v>19.404580152671755</v>
          </cell>
          <cell r="G582">
            <v>19.145801526717563</v>
          </cell>
          <cell r="H582">
            <v>19.145801526717563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19.25</v>
          </cell>
          <cell r="Q582" t="str">
            <v/>
          </cell>
          <cell r="R582" t="e">
            <v>#N/A</v>
          </cell>
        </row>
        <row r="583">
          <cell r="A583">
            <v>40759</v>
          </cell>
          <cell r="B583">
            <v>40759</v>
          </cell>
          <cell r="C583" t="str">
            <v>Future</v>
          </cell>
          <cell r="D583" t="e">
            <v>#N/A</v>
          </cell>
          <cell r="E583">
            <v>18.735687022900763</v>
          </cell>
          <cell r="F583">
            <v>19.430343511450381</v>
          </cell>
          <cell r="G583">
            <v>19.128435114503823</v>
          </cell>
          <cell r="H583">
            <v>19.128435114503823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19.25</v>
          </cell>
          <cell r="Q583" t="str">
            <v/>
          </cell>
          <cell r="R583" t="e">
            <v>#N/A</v>
          </cell>
        </row>
        <row r="584">
          <cell r="A584">
            <v>40760</v>
          </cell>
          <cell r="B584">
            <v>40760</v>
          </cell>
          <cell r="C584" t="str">
            <v>Future</v>
          </cell>
          <cell r="D584" t="e">
            <v>#N/A</v>
          </cell>
          <cell r="E584">
            <v>18.662213740458014</v>
          </cell>
          <cell r="F584">
            <v>19.456106870229007</v>
          </cell>
          <cell r="G584">
            <v>19.111068702290083</v>
          </cell>
          <cell r="H584">
            <v>19.111068702290083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19.25</v>
          </cell>
          <cell r="Q584" t="str">
            <v/>
          </cell>
          <cell r="R584" t="e">
            <v>#N/A</v>
          </cell>
        </row>
        <row r="585">
          <cell r="A585">
            <v>40763</v>
          </cell>
          <cell r="B585">
            <v>40763</v>
          </cell>
          <cell r="C585" t="str">
            <v>Future</v>
          </cell>
          <cell r="D585" t="e">
            <v>#N/A</v>
          </cell>
          <cell r="E585">
            <v>18.588740458015266</v>
          </cell>
          <cell r="F585">
            <v>19.481870229007633</v>
          </cell>
          <cell r="G585">
            <v>19.093702290076344</v>
          </cell>
          <cell r="H585">
            <v>19.093702290076344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19.25</v>
          </cell>
          <cell r="Q585" t="str">
            <v/>
          </cell>
          <cell r="R585" t="e">
            <v>#N/A</v>
          </cell>
        </row>
        <row r="586">
          <cell r="A586">
            <v>40764</v>
          </cell>
          <cell r="B586">
            <v>40764</v>
          </cell>
          <cell r="C586" t="str">
            <v>Future</v>
          </cell>
          <cell r="D586" t="e">
            <v>#N/A</v>
          </cell>
          <cell r="E586">
            <v>18.515267175572518</v>
          </cell>
          <cell r="F586">
            <v>19.507633587786259</v>
          </cell>
          <cell r="G586">
            <v>19.076335877862604</v>
          </cell>
          <cell r="H586">
            <v>19.076335877862604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19.25</v>
          </cell>
          <cell r="Q586" t="str">
            <v/>
          </cell>
          <cell r="R586" t="e">
            <v>#N/A</v>
          </cell>
        </row>
        <row r="587">
          <cell r="A587">
            <v>40765</v>
          </cell>
          <cell r="B587">
            <v>40765</v>
          </cell>
          <cell r="C587" t="str">
            <v>Future</v>
          </cell>
          <cell r="D587" t="e">
            <v>#N/A</v>
          </cell>
          <cell r="E587">
            <v>18.44179389312977</v>
          </cell>
          <cell r="F587">
            <v>19.533396946564885</v>
          </cell>
          <cell r="G587">
            <v>19.058969465648865</v>
          </cell>
          <cell r="H587">
            <v>19.058969465648865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19.25</v>
          </cell>
          <cell r="Q587" t="str">
            <v/>
          </cell>
          <cell r="R587" t="e">
            <v>#N/A</v>
          </cell>
        </row>
        <row r="588">
          <cell r="A588">
            <v>40766</v>
          </cell>
          <cell r="B588">
            <v>40766</v>
          </cell>
          <cell r="C588" t="str">
            <v>Future</v>
          </cell>
          <cell r="D588" t="e">
            <v>#N/A</v>
          </cell>
          <cell r="E588">
            <v>18.368320610687022</v>
          </cell>
          <cell r="F588">
            <v>19.559160305343511</v>
          </cell>
          <cell r="G588">
            <v>19.041603053435125</v>
          </cell>
          <cell r="H588">
            <v>19.041603053435125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19.25</v>
          </cell>
          <cell r="Q588" t="str">
            <v/>
          </cell>
          <cell r="R588" t="e">
            <v>#N/A</v>
          </cell>
        </row>
        <row r="589">
          <cell r="A589">
            <v>40767</v>
          </cell>
          <cell r="B589">
            <v>40767</v>
          </cell>
          <cell r="C589" t="str">
            <v>Future</v>
          </cell>
          <cell r="D589" t="e">
            <v>#N/A</v>
          </cell>
          <cell r="E589">
            <v>18.294847328244273</v>
          </cell>
          <cell r="F589">
            <v>19.584923664122137</v>
          </cell>
          <cell r="G589">
            <v>19.024236641221385</v>
          </cell>
          <cell r="H589">
            <v>19.024236641221385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19.25</v>
          </cell>
          <cell r="Q589" t="str">
            <v/>
          </cell>
          <cell r="R589" t="e">
            <v>#N/A</v>
          </cell>
        </row>
        <row r="590">
          <cell r="A590">
            <v>40770</v>
          </cell>
          <cell r="B590">
            <v>40770</v>
          </cell>
          <cell r="C590" t="str">
            <v>Future</v>
          </cell>
          <cell r="D590" t="e">
            <v>#N/A</v>
          </cell>
          <cell r="E590">
            <v>18.221374045801525</v>
          </cell>
          <cell r="F590">
            <v>19.610687022900763</v>
          </cell>
          <cell r="G590">
            <v>19.006870229007646</v>
          </cell>
          <cell r="H590">
            <v>19.006870229007646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19.25</v>
          </cell>
          <cell r="Q590" t="str">
            <v/>
          </cell>
          <cell r="R590" t="e">
            <v>#N/A</v>
          </cell>
        </row>
        <row r="591">
          <cell r="A591">
            <v>40771</v>
          </cell>
          <cell r="B591">
            <v>40771</v>
          </cell>
          <cell r="C591" t="str">
            <v>Future</v>
          </cell>
          <cell r="D591" t="e">
            <v>#N/A</v>
          </cell>
          <cell r="E591">
            <v>18.147900763358777</v>
          </cell>
          <cell r="F591">
            <v>19.636450381679388</v>
          </cell>
          <cell r="G591">
            <v>18.989503816793906</v>
          </cell>
          <cell r="H591">
            <v>18.989503816793906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19.25</v>
          </cell>
          <cell r="Q591" t="str">
            <v/>
          </cell>
          <cell r="R591" t="e">
            <v>#N/A</v>
          </cell>
        </row>
        <row r="592">
          <cell r="A592">
            <v>40772</v>
          </cell>
          <cell r="B592">
            <v>40772</v>
          </cell>
          <cell r="C592" t="str">
            <v>Future</v>
          </cell>
          <cell r="D592" t="e">
            <v>#N/A</v>
          </cell>
          <cell r="E592">
            <v>18.074427480916029</v>
          </cell>
          <cell r="F592">
            <v>19.662213740458014</v>
          </cell>
          <cell r="G592">
            <v>18.972137404580167</v>
          </cell>
          <cell r="H592">
            <v>18.972137404580167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19.25</v>
          </cell>
          <cell r="Q592" t="str">
            <v/>
          </cell>
          <cell r="R592" t="e">
            <v>#N/A</v>
          </cell>
        </row>
        <row r="593">
          <cell r="A593">
            <v>40773</v>
          </cell>
          <cell r="B593">
            <v>40773</v>
          </cell>
          <cell r="C593" t="str">
            <v>Future</v>
          </cell>
          <cell r="D593" t="e">
            <v>#N/A</v>
          </cell>
          <cell r="E593">
            <v>18.000954198473281</v>
          </cell>
          <cell r="F593">
            <v>19.68797709923664</v>
          </cell>
          <cell r="G593">
            <v>18.954770992366427</v>
          </cell>
          <cell r="H593">
            <v>18.954770992366427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19.25</v>
          </cell>
          <cell r="Q593" t="str">
            <v/>
          </cell>
          <cell r="R593" t="e">
            <v>#N/A</v>
          </cell>
        </row>
        <row r="594">
          <cell r="A594">
            <v>40774</v>
          </cell>
          <cell r="B594">
            <v>40774</v>
          </cell>
          <cell r="C594" t="str">
            <v>Future</v>
          </cell>
          <cell r="D594" t="e">
            <v>#N/A</v>
          </cell>
          <cell r="E594">
            <v>17.927480916030532</v>
          </cell>
          <cell r="F594">
            <v>19.713740458015266</v>
          </cell>
          <cell r="G594">
            <v>18.937404580152688</v>
          </cell>
          <cell r="H594">
            <v>18.937404580152688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19.25</v>
          </cell>
          <cell r="Q594" t="str">
            <v/>
          </cell>
          <cell r="R594" t="e">
            <v>#N/A</v>
          </cell>
        </row>
        <row r="595">
          <cell r="A595">
            <v>40777</v>
          </cell>
          <cell r="B595">
            <v>40777</v>
          </cell>
          <cell r="C595" t="str">
            <v>Future</v>
          </cell>
          <cell r="D595" t="e">
            <v>#N/A</v>
          </cell>
          <cell r="E595">
            <v>17.854007633587784</v>
          </cell>
          <cell r="F595">
            <v>19.739503816793892</v>
          </cell>
          <cell r="G595">
            <v>18.920038167938948</v>
          </cell>
          <cell r="H595">
            <v>18.920038167938948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19.25</v>
          </cell>
          <cell r="Q595" t="str">
            <v/>
          </cell>
          <cell r="R595" t="e">
            <v>#N/A</v>
          </cell>
        </row>
        <row r="596">
          <cell r="A596">
            <v>40778</v>
          </cell>
          <cell r="B596">
            <v>40778</v>
          </cell>
          <cell r="C596" t="str">
            <v>Future</v>
          </cell>
          <cell r="D596" t="e">
            <v>#N/A</v>
          </cell>
          <cell r="E596">
            <v>17.780534351145036</v>
          </cell>
          <cell r="F596">
            <v>19.765267175572518</v>
          </cell>
          <cell r="G596">
            <v>18.902671755725208</v>
          </cell>
          <cell r="H596">
            <v>18.902671755725208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19.25</v>
          </cell>
          <cell r="Q596" t="str">
            <v/>
          </cell>
          <cell r="R596" t="e">
            <v>#N/A</v>
          </cell>
        </row>
        <row r="597">
          <cell r="A597">
            <v>40779</v>
          </cell>
          <cell r="B597">
            <v>40779</v>
          </cell>
          <cell r="C597" t="str">
            <v>Future</v>
          </cell>
          <cell r="D597" t="e">
            <v>#N/A</v>
          </cell>
          <cell r="E597">
            <v>17.707061068702288</v>
          </cell>
          <cell r="F597">
            <v>19.791030534351144</v>
          </cell>
          <cell r="G597">
            <v>18.885305343511469</v>
          </cell>
          <cell r="H597">
            <v>18.885305343511469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19.25</v>
          </cell>
          <cell r="Q597" t="str">
            <v/>
          </cell>
          <cell r="R597" t="e">
            <v>#N/A</v>
          </cell>
        </row>
        <row r="598">
          <cell r="A598">
            <v>40780</v>
          </cell>
          <cell r="B598">
            <v>40780</v>
          </cell>
          <cell r="C598" t="str">
            <v>Future</v>
          </cell>
          <cell r="D598" t="e">
            <v>#N/A</v>
          </cell>
          <cell r="E598">
            <v>17.63358778625954</v>
          </cell>
          <cell r="F598">
            <v>19.81679389312977</v>
          </cell>
          <cell r="G598">
            <v>18.867938931297729</v>
          </cell>
          <cell r="H598">
            <v>18.867938931297729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19.25</v>
          </cell>
          <cell r="Q598" t="str">
            <v/>
          </cell>
          <cell r="R598" t="e">
            <v>#N/A</v>
          </cell>
        </row>
        <row r="599">
          <cell r="A599">
            <v>40781</v>
          </cell>
          <cell r="B599">
            <v>40781</v>
          </cell>
          <cell r="C599" t="str">
            <v>Future</v>
          </cell>
          <cell r="D599" t="e">
            <v>#N/A</v>
          </cell>
          <cell r="E599">
            <v>17.560114503816791</v>
          </cell>
          <cell r="F599">
            <v>19.842557251908396</v>
          </cell>
          <cell r="G599">
            <v>18.85057251908399</v>
          </cell>
          <cell r="H599">
            <v>18.85057251908399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19.25</v>
          </cell>
          <cell r="Q599" t="str">
            <v/>
          </cell>
          <cell r="R599" t="e">
            <v>#N/A</v>
          </cell>
        </row>
        <row r="600">
          <cell r="A600">
            <v>40784</v>
          </cell>
          <cell r="B600">
            <v>40784</v>
          </cell>
          <cell r="C600" t="str">
            <v>Future</v>
          </cell>
          <cell r="D600" t="e">
            <v>#N/A</v>
          </cell>
          <cell r="E600">
            <v>17.486641221374043</v>
          </cell>
          <cell r="F600">
            <v>19.868320610687022</v>
          </cell>
          <cell r="G600">
            <v>18.83320610687025</v>
          </cell>
          <cell r="H600">
            <v>18.83320610687025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19.25</v>
          </cell>
          <cell r="Q600" t="str">
            <v/>
          </cell>
          <cell r="R600" t="e">
            <v>#N/A</v>
          </cell>
        </row>
        <row r="601">
          <cell r="A601">
            <v>40785</v>
          </cell>
          <cell r="B601">
            <v>40785</v>
          </cell>
          <cell r="C601" t="str">
            <v>Future</v>
          </cell>
          <cell r="D601" t="e">
            <v>#N/A</v>
          </cell>
          <cell r="E601">
            <v>17.413167938931295</v>
          </cell>
          <cell r="F601">
            <v>19.894083969465647</v>
          </cell>
          <cell r="G601">
            <v>18.815839694656511</v>
          </cell>
          <cell r="H601">
            <v>18.815839694656511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19.25</v>
          </cell>
          <cell r="Q601" t="str">
            <v/>
          </cell>
          <cell r="R601" t="e">
            <v>#N/A</v>
          </cell>
        </row>
        <row r="602">
          <cell r="A602">
            <v>40786</v>
          </cell>
          <cell r="B602">
            <v>40786</v>
          </cell>
          <cell r="C602" t="str">
            <v>Future</v>
          </cell>
          <cell r="D602" t="e">
            <v>#N/A</v>
          </cell>
          <cell r="E602">
            <v>17.339694656488547</v>
          </cell>
          <cell r="F602">
            <v>19.919847328244273</v>
          </cell>
          <cell r="G602">
            <v>18.798473282442771</v>
          </cell>
          <cell r="H602">
            <v>18.798473282442771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19.25</v>
          </cell>
          <cell r="Q602" t="str">
            <v/>
          </cell>
          <cell r="R602" t="e">
            <v>#N/A</v>
          </cell>
        </row>
        <row r="603">
          <cell r="A603">
            <v>40787</v>
          </cell>
          <cell r="B603">
            <v>40787</v>
          </cell>
          <cell r="C603" t="str">
            <v>Future</v>
          </cell>
          <cell r="D603" t="e">
            <v>#N/A</v>
          </cell>
          <cell r="E603">
            <v>17.266221374045799</v>
          </cell>
          <cell r="F603">
            <v>19.945610687022899</v>
          </cell>
          <cell r="G603">
            <v>18.781106870229031</v>
          </cell>
          <cell r="H603">
            <v>18.781106870229031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19.25</v>
          </cell>
          <cell r="Q603" t="str">
            <v/>
          </cell>
          <cell r="R603" t="e">
            <v>#N/A</v>
          </cell>
        </row>
        <row r="604">
          <cell r="A604">
            <v>40788</v>
          </cell>
          <cell r="B604">
            <v>40788</v>
          </cell>
          <cell r="C604" t="str">
            <v>Future</v>
          </cell>
          <cell r="D604" t="e">
            <v>#N/A</v>
          </cell>
          <cell r="E604">
            <v>17.19274809160305</v>
          </cell>
          <cell r="F604">
            <v>19.971374045801525</v>
          </cell>
          <cell r="G604">
            <v>18.763740458015292</v>
          </cell>
          <cell r="H604">
            <v>18.763740458015292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19.25</v>
          </cell>
          <cell r="Q604" t="str">
            <v/>
          </cell>
          <cell r="R604" t="e">
            <v>#N/A</v>
          </cell>
        </row>
        <row r="605">
          <cell r="A605">
            <v>40791</v>
          </cell>
          <cell r="B605">
            <v>40791</v>
          </cell>
          <cell r="C605" t="str">
            <v>Future</v>
          </cell>
          <cell r="D605" t="e">
            <v>#N/A</v>
          </cell>
          <cell r="E605">
            <v>17.119274809160302</v>
          </cell>
          <cell r="F605">
            <v>19.997137404580151</v>
          </cell>
          <cell r="G605">
            <v>18.746374045801552</v>
          </cell>
          <cell r="H605">
            <v>18.746374045801552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19.25</v>
          </cell>
          <cell r="Q605" t="str">
            <v/>
          </cell>
          <cell r="R605" t="e">
            <v>#N/A</v>
          </cell>
        </row>
        <row r="606">
          <cell r="A606">
            <v>40792</v>
          </cell>
          <cell r="B606">
            <v>40792</v>
          </cell>
          <cell r="C606" t="str">
            <v>Future</v>
          </cell>
          <cell r="D606" t="e">
            <v>#N/A</v>
          </cell>
          <cell r="E606">
            <v>17.045801526717554</v>
          </cell>
          <cell r="F606">
            <v>20.022900763358777</v>
          </cell>
          <cell r="G606">
            <v>18.729007633587813</v>
          </cell>
          <cell r="H606">
            <v>18.729007633587813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19.25</v>
          </cell>
          <cell r="Q606" t="str">
            <v/>
          </cell>
          <cell r="R606" t="e">
            <v>#N/A</v>
          </cell>
        </row>
        <row r="607">
          <cell r="A607">
            <v>40793</v>
          </cell>
          <cell r="B607">
            <v>40793</v>
          </cell>
          <cell r="C607" t="str">
            <v>Future</v>
          </cell>
          <cell r="D607" t="e">
            <v>#N/A</v>
          </cell>
          <cell r="E607">
            <v>16.972328244274806</v>
          </cell>
          <cell r="F607">
            <v>20.048664122137403</v>
          </cell>
          <cell r="G607">
            <v>18.711641221374073</v>
          </cell>
          <cell r="H607">
            <v>18.711641221374073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19.25</v>
          </cell>
          <cell r="Q607" t="str">
            <v/>
          </cell>
          <cell r="R607" t="e">
            <v>#N/A</v>
          </cell>
        </row>
        <row r="608">
          <cell r="A608">
            <v>40794</v>
          </cell>
          <cell r="B608">
            <v>40794</v>
          </cell>
          <cell r="C608" t="str">
            <v>Future</v>
          </cell>
          <cell r="D608" t="e">
            <v>#N/A</v>
          </cell>
          <cell r="E608">
            <v>16.898854961832058</v>
          </cell>
          <cell r="F608">
            <v>20.074427480916029</v>
          </cell>
          <cell r="G608">
            <v>18.694274809160333</v>
          </cell>
          <cell r="H608">
            <v>18.694274809160333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19.25</v>
          </cell>
          <cell r="Q608" t="str">
            <v/>
          </cell>
          <cell r="R608" t="e">
            <v>#N/A</v>
          </cell>
        </row>
        <row r="609">
          <cell r="A609">
            <v>40795</v>
          </cell>
          <cell r="B609">
            <v>40795</v>
          </cell>
          <cell r="C609" t="str">
            <v>Future</v>
          </cell>
          <cell r="D609" t="e">
            <v>#N/A</v>
          </cell>
          <cell r="E609">
            <v>16.825381679389309</v>
          </cell>
          <cell r="F609">
            <v>20.100190839694655</v>
          </cell>
          <cell r="G609">
            <v>18.676908396946594</v>
          </cell>
          <cell r="H609">
            <v>18.676908396946594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19.25</v>
          </cell>
          <cell r="Q609" t="str">
            <v/>
          </cell>
          <cell r="R609" t="e">
            <v>#N/A</v>
          </cell>
        </row>
        <row r="610">
          <cell r="A610">
            <v>40798</v>
          </cell>
          <cell r="B610">
            <v>40798</v>
          </cell>
          <cell r="C610" t="str">
            <v>Future</v>
          </cell>
          <cell r="D610" t="e">
            <v>#N/A</v>
          </cell>
          <cell r="E610">
            <v>16.751908396946561</v>
          </cell>
          <cell r="F610">
            <v>20.125954198473281</v>
          </cell>
          <cell r="G610">
            <v>18.659541984732854</v>
          </cell>
          <cell r="H610">
            <v>18.659541984732854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19.25</v>
          </cell>
          <cell r="Q610" t="str">
            <v/>
          </cell>
          <cell r="R610" t="e">
            <v>#N/A</v>
          </cell>
        </row>
        <row r="611">
          <cell r="A611">
            <v>40799</v>
          </cell>
          <cell r="B611">
            <v>40799</v>
          </cell>
          <cell r="C611" t="str">
            <v>Future</v>
          </cell>
          <cell r="D611" t="e">
            <v>#N/A</v>
          </cell>
          <cell r="E611">
            <v>16.678435114503813</v>
          </cell>
          <cell r="F611">
            <v>20.151717557251906</v>
          </cell>
          <cell r="G611">
            <v>18.642175572519115</v>
          </cell>
          <cell r="H611">
            <v>18.642175572519115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19.25</v>
          </cell>
          <cell r="Q611" t="str">
            <v/>
          </cell>
          <cell r="R611" t="e">
            <v>#N/A</v>
          </cell>
        </row>
        <row r="612">
          <cell r="A612">
            <v>40800</v>
          </cell>
          <cell r="B612">
            <v>40800</v>
          </cell>
          <cell r="C612" t="str">
            <v>Future</v>
          </cell>
          <cell r="D612" t="e">
            <v>#N/A</v>
          </cell>
          <cell r="E612">
            <v>16.604961832061065</v>
          </cell>
          <cell r="F612">
            <v>20.177480916030532</v>
          </cell>
          <cell r="G612">
            <v>18.624809160305375</v>
          </cell>
          <cell r="H612">
            <v>18.624809160305375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19.25</v>
          </cell>
          <cell r="Q612" t="str">
            <v/>
          </cell>
          <cell r="R612" t="e">
            <v>#N/A</v>
          </cell>
        </row>
        <row r="613">
          <cell r="A613">
            <v>40801</v>
          </cell>
          <cell r="B613">
            <v>40801</v>
          </cell>
          <cell r="C613" t="str">
            <v>Future</v>
          </cell>
          <cell r="D613" t="e">
            <v>#N/A</v>
          </cell>
          <cell r="E613">
            <v>16.531488549618317</v>
          </cell>
          <cell r="F613">
            <v>20.203244274809158</v>
          </cell>
          <cell r="G613">
            <v>18.607442748091636</v>
          </cell>
          <cell r="H613">
            <v>18.607442748091636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19.25</v>
          </cell>
          <cell r="Q613" t="str">
            <v/>
          </cell>
          <cell r="R613" t="e">
            <v>#N/A</v>
          </cell>
        </row>
        <row r="614">
          <cell r="A614">
            <v>40802</v>
          </cell>
          <cell r="B614">
            <v>40802</v>
          </cell>
          <cell r="C614" t="str">
            <v>Future</v>
          </cell>
          <cell r="D614" t="e">
            <v>#N/A</v>
          </cell>
          <cell r="E614">
            <v>16.458015267175568</v>
          </cell>
          <cell r="F614">
            <v>20.229007633587784</v>
          </cell>
          <cell r="G614">
            <v>18.590076335877896</v>
          </cell>
          <cell r="H614">
            <v>18.590076335877896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19.25</v>
          </cell>
          <cell r="Q614" t="str">
            <v/>
          </cell>
          <cell r="R614" t="e">
            <v>#N/A</v>
          </cell>
        </row>
        <row r="615">
          <cell r="A615">
            <v>40805</v>
          </cell>
          <cell r="B615">
            <v>40805</v>
          </cell>
          <cell r="C615" t="str">
            <v>Future</v>
          </cell>
          <cell r="D615" t="e">
            <v>#N/A</v>
          </cell>
          <cell r="E615">
            <v>16.38454198473282</v>
          </cell>
          <cell r="F615">
            <v>20.25477099236641</v>
          </cell>
          <cell r="G615">
            <v>18.572709923664156</v>
          </cell>
          <cell r="H615">
            <v>18.572709923664156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19.25</v>
          </cell>
          <cell r="Q615" t="str">
            <v/>
          </cell>
          <cell r="R615" t="e">
            <v>#N/A</v>
          </cell>
        </row>
        <row r="616">
          <cell r="A616">
            <v>40806</v>
          </cell>
          <cell r="B616">
            <v>40806</v>
          </cell>
          <cell r="C616" t="str">
            <v>Future</v>
          </cell>
          <cell r="D616" t="e">
            <v>#N/A</v>
          </cell>
          <cell r="E616">
            <v>16.311068702290072</v>
          </cell>
          <cell r="F616">
            <v>20.280534351145036</v>
          </cell>
          <cell r="G616">
            <v>18.555343511450417</v>
          </cell>
          <cell r="H616">
            <v>18.555343511450417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19.25</v>
          </cell>
          <cell r="Q616" t="str">
            <v/>
          </cell>
          <cell r="R616" t="e">
            <v>#N/A</v>
          </cell>
        </row>
        <row r="617">
          <cell r="A617">
            <v>40807</v>
          </cell>
          <cell r="B617">
            <v>40807</v>
          </cell>
          <cell r="C617" t="str">
            <v>Future</v>
          </cell>
          <cell r="D617" t="e">
            <v>#N/A</v>
          </cell>
          <cell r="E617">
            <v>16.237595419847324</v>
          </cell>
          <cell r="F617">
            <v>20.306297709923662</v>
          </cell>
          <cell r="G617">
            <v>18.537977099236677</v>
          </cell>
          <cell r="H617">
            <v>18.537977099236677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19.25</v>
          </cell>
          <cell r="Q617" t="str">
            <v/>
          </cell>
          <cell r="R617" t="e">
            <v>#N/A</v>
          </cell>
        </row>
        <row r="618">
          <cell r="A618">
            <v>40808</v>
          </cell>
          <cell r="B618">
            <v>40808</v>
          </cell>
          <cell r="C618" t="str">
            <v>Future</v>
          </cell>
          <cell r="D618" t="e">
            <v>#N/A</v>
          </cell>
          <cell r="E618">
            <v>16.164122137404576</v>
          </cell>
          <cell r="F618">
            <v>20.332061068702288</v>
          </cell>
          <cell r="G618">
            <v>18.520610687022938</v>
          </cell>
          <cell r="H618">
            <v>18.520610687022938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19.25</v>
          </cell>
          <cell r="Q618" t="str">
            <v/>
          </cell>
          <cell r="R618" t="e">
            <v>#N/A</v>
          </cell>
        </row>
        <row r="619">
          <cell r="A619">
            <v>40809</v>
          </cell>
          <cell r="B619">
            <v>40809</v>
          </cell>
          <cell r="C619" t="str">
            <v>Future</v>
          </cell>
          <cell r="D619" t="e">
            <v>#N/A</v>
          </cell>
          <cell r="E619">
            <v>16.090648854961827</v>
          </cell>
          <cell r="F619">
            <v>20.357824427480914</v>
          </cell>
          <cell r="G619">
            <v>18.503244274809198</v>
          </cell>
          <cell r="H619">
            <v>18.503244274809198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19.25</v>
          </cell>
          <cell r="Q619" t="str">
            <v/>
          </cell>
          <cell r="R619" t="e">
            <v>#N/A</v>
          </cell>
        </row>
        <row r="620">
          <cell r="A620">
            <v>40812</v>
          </cell>
          <cell r="B620">
            <v>40812</v>
          </cell>
          <cell r="C620" t="str">
            <v>Future</v>
          </cell>
          <cell r="D620" t="e">
            <v>#N/A</v>
          </cell>
          <cell r="E620">
            <v>16.017175572519079</v>
          </cell>
          <cell r="F620">
            <v>20.38358778625954</v>
          </cell>
          <cell r="G620">
            <v>18.485877862595459</v>
          </cell>
          <cell r="H620">
            <v>18.485877862595459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19.25</v>
          </cell>
          <cell r="Q620" t="str">
            <v/>
          </cell>
          <cell r="R620" t="e">
            <v>#N/A</v>
          </cell>
        </row>
        <row r="621">
          <cell r="A621">
            <v>40813</v>
          </cell>
          <cell r="B621">
            <v>40813</v>
          </cell>
          <cell r="C621" t="str">
            <v>Future</v>
          </cell>
          <cell r="D621" t="e">
            <v>#N/A</v>
          </cell>
          <cell r="E621">
            <v>15.943702290076331</v>
          </cell>
          <cell r="F621">
            <v>20.409351145038165</v>
          </cell>
          <cell r="G621">
            <v>18.468511450381719</v>
          </cell>
          <cell r="H621">
            <v>18.468511450381719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19.25</v>
          </cell>
          <cell r="Q621" t="str">
            <v/>
          </cell>
          <cell r="R621" t="e">
            <v>#N/A</v>
          </cell>
        </row>
        <row r="622">
          <cell r="A622">
            <v>40814</v>
          </cell>
          <cell r="B622">
            <v>40814</v>
          </cell>
          <cell r="C622" t="str">
            <v>Future</v>
          </cell>
          <cell r="D622" t="e">
            <v>#N/A</v>
          </cell>
          <cell r="E622">
            <v>15.870229007633583</v>
          </cell>
          <cell r="F622">
            <v>20.435114503816791</v>
          </cell>
          <cell r="G622">
            <v>18.451145038167979</v>
          </cell>
          <cell r="H622">
            <v>18.451145038167979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19.25</v>
          </cell>
          <cell r="Q622" t="str">
            <v/>
          </cell>
          <cell r="R622" t="e">
            <v>#N/A</v>
          </cell>
        </row>
        <row r="623">
          <cell r="A623">
            <v>40815</v>
          </cell>
          <cell r="B623">
            <v>40815</v>
          </cell>
          <cell r="C623" t="str">
            <v>Future</v>
          </cell>
          <cell r="D623" t="e">
            <v>#N/A</v>
          </cell>
          <cell r="E623">
            <v>15.796755725190835</v>
          </cell>
          <cell r="F623">
            <v>20.460877862595417</v>
          </cell>
          <cell r="G623">
            <v>18.43377862595424</v>
          </cell>
          <cell r="H623">
            <v>18.43377862595424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19.25</v>
          </cell>
          <cell r="Q623" t="str">
            <v/>
          </cell>
          <cell r="R623" t="e">
            <v>#N/A</v>
          </cell>
        </row>
        <row r="624">
          <cell r="A624">
            <v>40816</v>
          </cell>
          <cell r="B624">
            <v>40816</v>
          </cell>
          <cell r="C624" t="str">
            <v>Future</v>
          </cell>
          <cell r="D624" t="e">
            <v>#N/A</v>
          </cell>
          <cell r="E624">
            <v>15.723282442748086</v>
          </cell>
          <cell r="F624">
            <v>20.486641221374043</v>
          </cell>
          <cell r="G624">
            <v>18.4164122137405</v>
          </cell>
          <cell r="H624">
            <v>18.4164122137405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19.25</v>
          </cell>
          <cell r="Q624" t="str">
            <v/>
          </cell>
          <cell r="R624" t="e">
            <v>#N/A</v>
          </cell>
        </row>
        <row r="625">
          <cell r="A625">
            <v>40819</v>
          </cell>
          <cell r="B625">
            <v>40819</v>
          </cell>
          <cell r="C625" t="str">
            <v>Future</v>
          </cell>
          <cell r="D625" t="e">
            <v>#N/A</v>
          </cell>
          <cell r="E625">
            <v>15.649809160305338</v>
          </cell>
          <cell r="F625">
            <v>20.512404580152669</v>
          </cell>
          <cell r="G625">
            <v>18.399045801526761</v>
          </cell>
          <cell r="H625">
            <v>18.399045801526761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19.25</v>
          </cell>
          <cell r="Q625" t="str">
            <v/>
          </cell>
          <cell r="R625" t="e">
            <v>#N/A</v>
          </cell>
        </row>
        <row r="626">
          <cell r="A626">
            <v>40820</v>
          </cell>
          <cell r="B626">
            <v>40820</v>
          </cell>
          <cell r="C626" t="str">
            <v>Future</v>
          </cell>
          <cell r="D626" t="e">
            <v>#N/A</v>
          </cell>
          <cell r="E626">
            <v>15.57633587786259</v>
          </cell>
          <cell r="F626">
            <v>20.538167938931295</v>
          </cell>
          <cell r="G626">
            <v>18.381679389313021</v>
          </cell>
          <cell r="H626">
            <v>18.381679389313021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19.25</v>
          </cell>
          <cell r="Q626" t="str">
            <v/>
          </cell>
          <cell r="R626" t="e">
            <v>#N/A</v>
          </cell>
        </row>
        <row r="627">
          <cell r="A627">
            <v>40821</v>
          </cell>
          <cell r="B627">
            <v>40821</v>
          </cell>
          <cell r="C627" t="str">
            <v>Future</v>
          </cell>
          <cell r="D627" t="e">
            <v>#N/A</v>
          </cell>
          <cell r="E627">
            <v>15.502862595419842</v>
          </cell>
          <cell r="F627">
            <v>20.563931297709921</v>
          </cell>
          <cell r="G627">
            <v>18.364312977099281</v>
          </cell>
          <cell r="H627">
            <v>18.364312977099281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19.25</v>
          </cell>
          <cell r="Q627" t="str">
            <v/>
          </cell>
          <cell r="R627" t="e">
            <v>#N/A</v>
          </cell>
        </row>
        <row r="628">
          <cell r="A628">
            <v>40822</v>
          </cell>
          <cell r="B628">
            <v>40822</v>
          </cell>
          <cell r="C628" t="str">
            <v>Future</v>
          </cell>
          <cell r="D628" t="e">
            <v>#N/A</v>
          </cell>
          <cell r="E628">
            <v>15.429389312977094</v>
          </cell>
          <cell r="F628">
            <v>20.589694656488547</v>
          </cell>
          <cell r="G628">
            <v>18.346946564885542</v>
          </cell>
          <cell r="H628">
            <v>18.346946564885542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19.25</v>
          </cell>
          <cell r="Q628" t="str">
            <v/>
          </cell>
          <cell r="R628" t="e">
            <v>#N/A</v>
          </cell>
        </row>
        <row r="629">
          <cell r="A629">
            <v>40823</v>
          </cell>
          <cell r="B629">
            <v>40823</v>
          </cell>
          <cell r="C629" t="str">
            <v>Future</v>
          </cell>
          <cell r="D629" t="e">
            <v>#N/A</v>
          </cell>
          <cell r="E629">
            <v>15.355916030534345</v>
          </cell>
          <cell r="F629">
            <v>20.615458015267173</v>
          </cell>
          <cell r="G629">
            <v>18.329580152671802</v>
          </cell>
          <cell r="H629">
            <v>18.329580152671802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19.25</v>
          </cell>
          <cell r="Q629" t="str">
            <v/>
          </cell>
          <cell r="R629" t="e">
            <v>#N/A</v>
          </cell>
        </row>
        <row r="630">
          <cell r="A630">
            <v>40826</v>
          </cell>
          <cell r="B630">
            <v>40826</v>
          </cell>
          <cell r="C630" t="str">
            <v>Future</v>
          </cell>
          <cell r="D630" t="e">
            <v>#N/A</v>
          </cell>
          <cell r="E630">
            <v>15.282442748091597</v>
          </cell>
          <cell r="F630">
            <v>20.641221374045799</v>
          </cell>
          <cell r="G630">
            <v>18.312213740458063</v>
          </cell>
          <cell r="H630">
            <v>18.312213740458063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19.25</v>
          </cell>
          <cell r="Q630" t="str">
            <v/>
          </cell>
          <cell r="R630" t="e">
            <v>#N/A</v>
          </cell>
        </row>
        <row r="631">
          <cell r="A631">
            <v>40827</v>
          </cell>
          <cell r="B631">
            <v>40827</v>
          </cell>
          <cell r="C631" t="str">
            <v>Future</v>
          </cell>
          <cell r="D631" t="e">
            <v>#N/A</v>
          </cell>
          <cell r="E631">
            <v>15.208969465648849</v>
          </cell>
          <cell r="F631">
            <v>20.666984732824424</v>
          </cell>
          <cell r="G631">
            <v>18.294847328244323</v>
          </cell>
          <cell r="H631">
            <v>18.294847328244323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19.25</v>
          </cell>
          <cell r="Q631" t="str">
            <v/>
          </cell>
          <cell r="R631" t="e">
            <v>#N/A</v>
          </cell>
        </row>
        <row r="632">
          <cell r="A632">
            <v>40828</v>
          </cell>
          <cell r="B632">
            <v>40828</v>
          </cell>
          <cell r="C632" t="str">
            <v>Future</v>
          </cell>
          <cell r="D632" t="e">
            <v>#N/A</v>
          </cell>
          <cell r="E632">
            <v>15.135496183206101</v>
          </cell>
          <cell r="F632">
            <v>20.69274809160305</v>
          </cell>
          <cell r="G632">
            <v>18.277480916030584</v>
          </cell>
          <cell r="H632">
            <v>18.277480916030584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19.25</v>
          </cell>
          <cell r="Q632" t="str">
            <v/>
          </cell>
          <cell r="R632" t="e">
            <v>#N/A</v>
          </cell>
        </row>
        <row r="633">
          <cell r="A633">
            <v>40829</v>
          </cell>
          <cell r="B633">
            <v>40829</v>
          </cell>
          <cell r="C633" t="str">
            <v>Future</v>
          </cell>
          <cell r="D633" t="e">
            <v>#N/A</v>
          </cell>
          <cell r="E633">
            <v>15.062022900763353</v>
          </cell>
          <cell r="F633">
            <v>20.718511450381676</v>
          </cell>
          <cell r="G633">
            <v>18.260114503816844</v>
          </cell>
          <cell r="H633">
            <v>18.260114503816844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19.25</v>
          </cell>
          <cell r="Q633" t="str">
            <v/>
          </cell>
          <cell r="R633" t="e">
            <v>#N/A</v>
          </cell>
        </row>
        <row r="634">
          <cell r="A634">
            <v>40830</v>
          </cell>
          <cell r="B634">
            <v>40830</v>
          </cell>
          <cell r="C634" t="str">
            <v>Future</v>
          </cell>
          <cell r="D634" t="e">
            <v>#N/A</v>
          </cell>
          <cell r="E634">
            <v>14.988549618320604</v>
          </cell>
          <cell r="F634">
            <v>20.744274809160302</v>
          </cell>
          <cell r="G634">
            <v>18.242748091603104</v>
          </cell>
          <cell r="H634">
            <v>18.242748091603104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19.25</v>
          </cell>
          <cell r="Q634" t="str">
            <v/>
          </cell>
          <cell r="R634" t="e">
            <v>#N/A</v>
          </cell>
        </row>
        <row r="635">
          <cell r="A635">
            <v>40833</v>
          </cell>
          <cell r="B635">
            <v>40833</v>
          </cell>
          <cell r="C635" t="str">
            <v>Future</v>
          </cell>
          <cell r="D635" t="e">
            <v>#N/A</v>
          </cell>
          <cell r="E635">
            <v>14.915076335877856</v>
          </cell>
          <cell r="F635">
            <v>20.770038167938928</v>
          </cell>
          <cell r="G635">
            <v>18.225381679389365</v>
          </cell>
          <cell r="H635">
            <v>18.225381679389365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19.25</v>
          </cell>
          <cell r="Q635" t="str">
            <v/>
          </cell>
          <cell r="R635" t="e">
            <v>#N/A</v>
          </cell>
        </row>
        <row r="636">
          <cell r="A636">
            <v>40834</v>
          </cell>
          <cell r="B636">
            <v>40834</v>
          </cell>
          <cell r="C636" t="str">
            <v>Future</v>
          </cell>
          <cell r="D636" t="e">
            <v>#N/A</v>
          </cell>
          <cell r="E636">
            <v>14.841603053435108</v>
          </cell>
          <cell r="F636">
            <v>20.795801526717554</v>
          </cell>
          <cell r="G636">
            <v>18.208015267175625</v>
          </cell>
          <cell r="H636">
            <v>18.208015267175625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19.25</v>
          </cell>
          <cell r="Q636" t="str">
            <v/>
          </cell>
          <cell r="R636" t="e">
            <v>#N/A</v>
          </cell>
        </row>
        <row r="637">
          <cell r="A637">
            <v>40835</v>
          </cell>
          <cell r="B637">
            <v>40835</v>
          </cell>
          <cell r="C637" t="str">
            <v>Future</v>
          </cell>
          <cell r="D637" t="e">
            <v>#N/A</v>
          </cell>
          <cell r="E637">
            <v>14.76812977099236</v>
          </cell>
          <cell r="F637">
            <v>20.82156488549618</v>
          </cell>
          <cell r="G637">
            <v>18.190648854961886</v>
          </cell>
          <cell r="H637">
            <v>18.190648854961886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19.25</v>
          </cell>
          <cell r="Q637" t="str">
            <v/>
          </cell>
          <cell r="R637" t="e">
            <v>#N/A</v>
          </cell>
        </row>
        <row r="638">
          <cell r="A638">
            <v>40836</v>
          </cell>
          <cell r="B638">
            <v>40836</v>
          </cell>
          <cell r="C638" t="str">
            <v>Future</v>
          </cell>
          <cell r="D638" t="e">
            <v>#N/A</v>
          </cell>
          <cell r="E638">
            <v>14.694656488549612</v>
          </cell>
          <cell r="F638">
            <v>20.847328244274806</v>
          </cell>
          <cell r="G638">
            <v>18.173282442748146</v>
          </cell>
          <cell r="H638">
            <v>18.173282442748146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19.25</v>
          </cell>
          <cell r="Q638" t="str">
            <v/>
          </cell>
          <cell r="R638" t="e">
            <v>#N/A</v>
          </cell>
        </row>
        <row r="639">
          <cell r="A639">
            <v>40837</v>
          </cell>
          <cell r="B639">
            <v>40837</v>
          </cell>
          <cell r="C639" t="str">
            <v>Future</v>
          </cell>
          <cell r="D639" t="e">
            <v>#N/A</v>
          </cell>
          <cell r="E639">
            <v>14.621183206106863</v>
          </cell>
          <cell r="F639">
            <v>20.873091603053432</v>
          </cell>
          <cell r="G639">
            <v>18.155916030534407</v>
          </cell>
          <cell r="H639">
            <v>18.155916030534407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19.25</v>
          </cell>
          <cell r="Q639" t="str">
            <v/>
          </cell>
          <cell r="R639" t="e">
            <v>#N/A</v>
          </cell>
        </row>
        <row r="640">
          <cell r="A640">
            <v>40840</v>
          </cell>
          <cell r="B640">
            <v>40840</v>
          </cell>
          <cell r="C640" t="str">
            <v>Future</v>
          </cell>
          <cell r="D640" t="e">
            <v>#N/A</v>
          </cell>
          <cell r="E640">
            <v>14.547709923664115</v>
          </cell>
          <cell r="F640">
            <v>20.898854961832058</v>
          </cell>
          <cell r="G640">
            <v>18.138549618320667</v>
          </cell>
          <cell r="H640">
            <v>18.138549618320667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19.25</v>
          </cell>
          <cell r="Q640" t="str">
            <v/>
          </cell>
          <cell r="R640" t="e">
            <v>#N/A</v>
          </cell>
        </row>
        <row r="641">
          <cell r="A641">
            <v>40841</v>
          </cell>
          <cell r="B641">
            <v>40841</v>
          </cell>
          <cell r="C641" t="str">
            <v>Future</v>
          </cell>
          <cell r="D641" t="e">
            <v>#N/A</v>
          </cell>
          <cell r="E641">
            <v>14.474236641221367</v>
          </cell>
          <cell r="F641">
            <v>20.924618320610683</v>
          </cell>
          <cell r="G641">
            <v>18.121183206106927</v>
          </cell>
          <cell r="H641">
            <v>18.121183206106927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19.25</v>
          </cell>
          <cell r="Q641" t="str">
            <v/>
          </cell>
          <cell r="R641" t="e">
            <v>#N/A</v>
          </cell>
        </row>
        <row r="642">
          <cell r="A642">
            <v>40842</v>
          </cell>
          <cell r="B642">
            <v>40842</v>
          </cell>
          <cell r="C642" t="str">
            <v>Future</v>
          </cell>
          <cell r="D642" t="e">
            <v>#N/A</v>
          </cell>
          <cell r="E642">
            <v>14.400763358778619</v>
          </cell>
          <cell r="F642">
            <v>20.950381679389309</v>
          </cell>
          <cell r="G642">
            <v>18.103816793893188</v>
          </cell>
          <cell r="H642">
            <v>18.103816793893188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19.25</v>
          </cell>
          <cell r="Q642" t="str">
            <v/>
          </cell>
          <cell r="R642" t="e">
            <v>#N/A</v>
          </cell>
        </row>
        <row r="643">
          <cell r="A643">
            <v>40843</v>
          </cell>
          <cell r="B643">
            <v>40843</v>
          </cell>
          <cell r="C643" t="str">
            <v>Future</v>
          </cell>
          <cell r="D643" t="e">
            <v>#N/A</v>
          </cell>
          <cell r="E643">
            <v>14.327290076335871</v>
          </cell>
          <cell r="F643">
            <v>20.976145038167935</v>
          </cell>
          <cell r="G643">
            <v>18.086450381679448</v>
          </cell>
          <cell r="H643">
            <v>18.086450381679448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19.25</v>
          </cell>
          <cell r="Q643" t="str">
            <v/>
          </cell>
          <cell r="R643" t="e">
            <v>#N/A</v>
          </cell>
        </row>
        <row r="644">
          <cell r="A644">
            <v>40844</v>
          </cell>
          <cell r="B644">
            <v>40844</v>
          </cell>
          <cell r="C644" t="str">
            <v>Future</v>
          </cell>
          <cell r="D644" t="e">
            <v>#N/A</v>
          </cell>
          <cell r="E644">
            <v>14.253816793893122</v>
          </cell>
          <cell r="F644">
            <v>21.001908396946561</v>
          </cell>
          <cell r="G644">
            <v>18.069083969465709</v>
          </cell>
          <cell r="H644">
            <v>18.069083969465709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19.25</v>
          </cell>
          <cell r="Q644" t="str">
            <v/>
          </cell>
          <cell r="R644" t="e">
            <v>#N/A</v>
          </cell>
        </row>
        <row r="645">
          <cell r="A645">
            <v>40847</v>
          </cell>
          <cell r="B645">
            <v>40847</v>
          </cell>
          <cell r="C645" t="str">
            <v>Future</v>
          </cell>
          <cell r="D645" t="e">
            <v>#N/A</v>
          </cell>
          <cell r="E645">
            <v>14.180343511450374</v>
          </cell>
          <cell r="F645">
            <v>21.027671755725187</v>
          </cell>
          <cell r="G645">
            <v>18.051717557251969</v>
          </cell>
          <cell r="H645">
            <v>18.051717557251969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19.25</v>
          </cell>
          <cell r="Q645" t="str">
            <v/>
          </cell>
          <cell r="R645" t="e">
            <v>#N/A</v>
          </cell>
        </row>
        <row r="646">
          <cell r="A646">
            <v>40848</v>
          </cell>
          <cell r="B646">
            <v>40848</v>
          </cell>
          <cell r="C646" t="str">
            <v>Future</v>
          </cell>
          <cell r="D646" t="e">
            <v>#N/A</v>
          </cell>
          <cell r="E646">
            <v>14.106870229007626</v>
          </cell>
          <cell r="F646">
            <v>21.053435114503813</v>
          </cell>
          <cell r="G646">
            <v>18.034351145038229</v>
          </cell>
          <cell r="H646">
            <v>18.034351145038229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19.25</v>
          </cell>
          <cell r="Q646" t="str">
            <v/>
          </cell>
          <cell r="R646" t="e">
            <v>#N/A</v>
          </cell>
        </row>
        <row r="647">
          <cell r="A647">
            <v>40849</v>
          </cell>
          <cell r="B647">
            <v>40849</v>
          </cell>
          <cell r="C647" t="str">
            <v>Future</v>
          </cell>
          <cell r="D647" t="e">
            <v>#N/A</v>
          </cell>
          <cell r="E647">
            <v>14.033396946564878</v>
          </cell>
          <cell r="F647">
            <v>21.079198473282439</v>
          </cell>
          <cell r="G647">
            <v>18.01698473282449</v>
          </cell>
          <cell r="H647">
            <v>18.01698473282449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19.25</v>
          </cell>
          <cell r="Q647" t="str">
            <v/>
          </cell>
          <cell r="R647" t="e">
            <v>#N/A</v>
          </cell>
        </row>
        <row r="648">
          <cell r="A648">
            <v>40850</v>
          </cell>
          <cell r="B648">
            <v>40850</v>
          </cell>
          <cell r="C648" t="str">
            <v>Future</v>
          </cell>
          <cell r="D648" t="e">
            <v>#N/A</v>
          </cell>
          <cell r="E648">
            <v>13.95992366412213</v>
          </cell>
          <cell r="F648">
            <v>21.104961832061065</v>
          </cell>
          <cell r="G648">
            <v>17.99961832061075</v>
          </cell>
          <cell r="H648">
            <v>17.99961832061075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19.25</v>
          </cell>
          <cell r="Q648" t="str">
            <v/>
          </cell>
          <cell r="R648" t="e">
            <v>#N/A</v>
          </cell>
        </row>
        <row r="649">
          <cell r="A649">
            <v>40851</v>
          </cell>
          <cell r="B649">
            <v>40851</v>
          </cell>
          <cell r="C649" t="str">
            <v>Future</v>
          </cell>
          <cell r="D649" t="e">
            <v>#N/A</v>
          </cell>
          <cell r="E649">
            <v>13.886450381679381</v>
          </cell>
          <cell r="F649">
            <v>21.130725190839691</v>
          </cell>
          <cell r="G649">
            <v>17.982251908397011</v>
          </cell>
          <cell r="H649">
            <v>17.982251908397011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19.25</v>
          </cell>
          <cell r="Q649" t="str">
            <v/>
          </cell>
          <cell r="R649" t="e">
            <v>#N/A</v>
          </cell>
        </row>
        <row r="650">
          <cell r="A650">
            <v>40854</v>
          </cell>
          <cell r="B650">
            <v>40854</v>
          </cell>
          <cell r="C650" t="str">
            <v>Future</v>
          </cell>
          <cell r="D650" t="e">
            <v>#N/A</v>
          </cell>
          <cell r="E650">
            <v>13.812977099236633</v>
          </cell>
          <cell r="F650">
            <v>21.156488549618317</v>
          </cell>
          <cell r="G650">
            <v>17.964885496183271</v>
          </cell>
          <cell r="H650">
            <v>17.964885496183271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19.25</v>
          </cell>
          <cell r="Q650" t="str">
            <v/>
          </cell>
          <cell r="R650" t="e">
            <v>#N/A</v>
          </cell>
        </row>
        <row r="651">
          <cell r="A651">
            <v>40855</v>
          </cell>
          <cell r="B651">
            <v>40855</v>
          </cell>
          <cell r="C651" t="str">
            <v>Future</v>
          </cell>
          <cell r="D651" t="e">
            <v>#N/A</v>
          </cell>
          <cell r="E651">
            <v>13.739503816793885</v>
          </cell>
          <cell r="F651">
            <v>21.182251908396942</v>
          </cell>
          <cell r="G651">
            <v>17.947519083969532</v>
          </cell>
          <cell r="H651">
            <v>17.947519083969532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19.25</v>
          </cell>
          <cell r="Q651" t="str">
            <v/>
          </cell>
          <cell r="R651" t="e">
            <v>#N/A</v>
          </cell>
        </row>
        <row r="652">
          <cell r="A652">
            <v>40856</v>
          </cell>
          <cell r="B652">
            <v>40856</v>
          </cell>
          <cell r="C652" t="str">
            <v>Future</v>
          </cell>
          <cell r="D652" t="e">
            <v>#N/A</v>
          </cell>
          <cell r="E652">
            <v>13.666030534351137</v>
          </cell>
          <cell r="F652">
            <v>21.208015267175568</v>
          </cell>
          <cell r="G652">
            <v>17.930152671755792</v>
          </cell>
          <cell r="H652">
            <v>17.930152671755792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19.25</v>
          </cell>
          <cell r="Q652" t="str">
            <v/>
          </cell>
          <cell r="R652" t="e">
            <v>#N/A</v>
          </cell>
        </row>
        <row r="653">
          <cell r="A653">
            <v>40857</v>
          </cell>
          <cell r="B653">
            <v>40857</v>
          </cell>
          <cell r="C653" t="str">
            <v>Future</v>
          </cell>
          <cell r="D653" t="e">
            <v>#N/A</v>
          </cell>
          <cell r="E653">
            <v>13.592557251908389</v>
          </cell>
          <cell r="F653">
            <v>21.233778625954194</v>
          </cell>
          <cell r="G653">
            <v>17.912786259542052</v>
          </cell>
          <cell r="H653">
            <v>17.912786259542052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19.25</v>
          </cell>
          <cell r="Q653" t="str">
            <v/>
          </cell>
          <cell r="R653" t="e">
            <v>#N/A</v>
          </cell>
        </row>
        <row r="654">
          <cell r="A654">
            <v>40858</v>
          </cell>
          <cell r="B654">
            <v>40858</v>
          </cell>
          <cell r="C654" t="str">
            <v>Future</v>
          </cell>
          <cell r="D654" t="e">
            <v>#N/A</v>
          </cell>
          <cell r="E654">
            <v>13.51908396946564</v>
          </cell>
          <cell r="F654">
            <v>21.25954198473282</v>
          </cell>
          <cell r="G654">
            <v>17.895419847328313</v>
          </cell>
          <cell r="H654">
            <v>17.895419847328313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19.25</v>
          </cell>
          <cell r="Q654" t="str">
            <v/>
          </cell>
          <cell r="R654" t="e">
            <v>#N/A</v>
          </cell>
        </row>
        <row r="655">
          <cell r="A655">
            <v>40861</v>
          </cell>
          <cell r="B655">
            <v>40861</v>
          </cell>
          <cell r="C655" t="str">
            <v>Future</v>
          </cell>
          <cell r="D655" t="e">
            <v>#N/A</v>
          </cell>
          <cell r="E655">
            <v>13.445610687022892</v>
          </cell>
          <cell r="F655">
            <v>21.285305343511446</v>
          </cell>
          <cell r="G655">
            <v>17.878053435114573</v>
          </cell>
          <cell r="H655">
            <v>17.878053435114573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19.25</v>
          </cell>
          <cell r="Q655" t="str">
            <v/>
          </cell>
          <cell r="R655" t="e">
            <v>#N/A</v>
          </cell>
        </row>
        <row r="656">
          <cell r="A656">
            <v>40862</v>
          </cell>
          <cell r="B656">
            <v>40862</v>
          </cell>
          <cell r="C656" t="str">
            <v>Future</v>
          </cell>
          <cell r="D656" t="e">
            <v>#N/A</v>
          </cell>
          <cell r="E656">
            <v>13.372137404580144</v>
          </cell>
          <cell r="F656">
            <v>21.311068702290072</v>
          </cell>
          <cell r="G656">
            <v>17.860687022900834</v>
          </cell>
          <cell r="H656">
            <v>17.860687022900834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19.25</v>
          </cell>
          <cell r="Q656" t="str">
            <v/>
          </cell>
          <cell r="R656" t="e">
            <v>#N/A</v>
          </cell>
        </row>
        <row r="657">
          <cell r="A657">
            <v>40863</v>
          </cell>
          <cell r="B657">
            <v>40863</v>
          </cell>
          <cell r="C657" t="str">
            <v>Future</v>
          </cell>
          <cell r="D657" t="e">
            <v>#N/A</v>
          </cell>
          <cell r="E657">
            <v>13.298664122137396</v>
          </cell>
          <cell r="F657">
            <v>21.336832061068698</v>
          </cell>
          <cell r="G657">
            <v>17.843320610687094</v>
          </cell>
          <cell r="H657">
            <v>17.843320610687094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19.25</v>
          </cell>
          <cell r="Q657" t="str">
            <v/>
          </cell>
          <cell r="R657" t="e">
            <v>#N/A</v>
          </cell>
        </row>
        <row r="658">
          <cell r="A658">
            <v>40864</v>
          </cell>
          <cell r="B658">
            <v>40864</v>
          </cell>
          <cell r="C658" t="str">
            <v>Future</v>
          </cell>
          <cell r="D658" t="e">
            <v>#N/A</v>
          </cell>
          <cell r="E658">
            <v>13.225190839694648</v>
          </cell>
          <cell r="F658">
            <v>21.362595419847324</v>
          </cell>
          <cell r="G658">
            <v>17.825954198473354</v>
          </cell>
          <cell r="H658">
            <v>17.825954198473354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19.25</v>
          </cell>
          <cell r="Q658" t="str">
            <v/>
          </cell>
          <cell r="R658" t="e">
            <v>#N/A</v>
          </cell>
        </row>
        <row r="659">
          <cell r="A659">
            <v>40865</v>
          </cell>
          <cell r="B659">
            <v>40865</v>
          </cell>
          <cell r="C659" t="str">
            <v>Future</v>
          </cell>
          <cell r="D659" t="e">
            <v>#N/A</v>
          </cell>
          <cell r="E659">
            <v>13.151717557251899</v>
          </cell>
          <cell r="F659">
            <v>21.38835877862595</v>
          </cell>
          <cell r="G659">
            <v>17.808587786259615</v>
          </cell>
          <cell r="H659">
            <v>17.808587786259615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19.25</v>
          </cell>
          <cell r="Q659" t="str">
            <v/>
          </cell>
          <cell r="R659" t="e">
            <v>#N/A</v>
          </cell>
        </row>
        <row r="660">
          <cell r="A660">
            <v>40868</v>
          </cell>
          <cell r="B660">
            <v>40868</v>
          </cell>
          <cell r="C660" t="str">
            <v>Future</v>
          </cell>
          <cell r="D660" t="e">
            <v>#N/A</v>
          </cell>
          <cell r="E660">
            <v>13.078244274809151</v>
          </cell>
          <cell r="F660">
            <v>21.414122137404576</v>
          </cell>
          <cell r="G660">
            <v>17.791221374045875</v>
          </cell>
          <cell r="H660">
            <v>17.791221374045875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19.25</v>
          </cell>
          <cell r="Q660" t="str">
            <v/>
          </cell>
          <cell r="R660" t="e">
            <v>#N/A</v>
          </cell>
        </row>
        <row r="661">
          <cell r="A661">
            <v>40869</v>
          </cell>
          <cell r="B661">
            <v>40869</v>
          </cell>
          <cell r="C661" t="str">
            <v>Future</v>
          </cell>
          <cell r="D661" t="e">
            <v>#N/A</v>
          </cell>
          <cell r="E661">
            <v>13.004770992366403</v>
          </cell>
          <cell r="F661">
            <v>21.439885496183201</v>
          </cell>
          <cell r="G661">
            <v>17.773854961832136</v>
          </cell>
          <cell r="H661">
            <v>17.773854961832136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19.25</v>
          </cell>
          <cell r="Q661" t="str">
            <v/>
          </cell>
          <cell r="R661" t="e">
            <v>#N/A</v>
          </cell>
        </row>
        <row r="662">
          <cell r="A662">
            <v>40870</v>
          </cell>
          <cell r="B662">
            <v>40870</v>
          </cell>
          <cell r="C662" t="str">
            <v>Future</v>
          </cell>
          <cell r="D662" t="e">
            <v>#N/A</v>
          </cell>
          <cell r="E662">
            <v>12.931297709923655</v>
          </cell>
          <cell r="F662">
            <v>21.465648854961827</v>
          </cell>
          <cell r="G662">
            <v>17.756488549618396</v>
          </cell>
          <cell r="H662">
            <v>17.756488549618396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19.25</v>
          </cell>
          <cell r="Q662" t="str">
            <v/>
          </cell>
          <cell r="R662" t="e">
            <v>#N/A</v>
          </cell>
        </row>
        <row r="663">
          <cell r="A663">
            <v>40871</v>
          </cell>
          <cell r="B663">
            <v>40871</v>
          </cell>
          <cell r="C663" t="str">
            <v>Future</v>
          </cell>
          <cell r="D663" t="e">
            <v>#N/A</v>
          </cell>
          <cell r="E663">
            <v>12.857824427480907</v>
          </cell>
          <cell r="F663">
            <v>21.491412213740453</v>
          </cell>
          <cell r="G663">
            <v>17.739122137404657</v>
          </cell>
          <cell r="H663">
            <v>17.739122137404657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19.25</v>
          </cell>
          <cell r="Q663" t="str">
            <v/>
          </cell>
          <cell r="R663" t="e">
            <v>#N/A</v>
          </cell>
        </row>
        <row r="664">
          <cell r="A664">
            <v>40872</v>
          </cell>
          <cell r="B664">
            <v>40872</v>
          </cell>
          <cell r="C664" t="str">
            <v>Future</v>
          </cell>
          <cell r="D664" t="e">
            <v>#N/A</v>
          </cell>
          <cell r="E664">
            <v>12.784351145038158</v>
          </cell>
          <cell r="F664">
            <v>21.517175572519079</v>
          </cell>
          <cell r="G664">
            <v>17.721755725190917</v>
          </cell>
          <cell r="H664">
            <v>17.721755725190917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19.25</v>
          </cell>
          <cell r="Q664" t="str">
            <v/>
          </cell>
          <cell r="R664" t="e">
            <v>#N/A</v>
          </cell>
        </row>
        <row r="665">
          <cell r="A665">
            <v>40875</v>
          </cell>
          <cell r="B665">
            <v>40875</v>
          </cell>
          <cell r="C665" t="str">
            <v>Future</v>
          </cell>
          <cell r="D665" t="e">
            <v>#N/A</v>
          </cell>
          <cell r="E665">
            <v>12.71087786259541</v>
          </cell>
          <cell r="F665">
            <v>21.542938931297705</v>
          </cell>
          <cell r="G665">
            <v>17.704389312977177</v>
          </cell>
          <cell r="H665">
            <v>17.704389312977177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19.25</v>
          </cell>
          <cell r="Q665" t="str">
            <v/>
          </cell>
          <cell r="R665" t="e">
            <v>#N/A</v>
          </cell>
        </row>
        <row r="666">
          <cell r="A666">
            <v>40876</v>
          </cell>
          <cell r="B666">
            <v>40876</v>
          </cell>
          <cell r="C666" t="str">
            <v>Future</v>
          </cell>
          <cell r="D666" t="e">
            <v>#N/A</v>
          </cell>
          <cell r="E666">
            <v>12.637404580152662</v>
          </cell>
          <cell r="F666">
            <v>21.568702290076331</v>
          </cell>
          <cell r="G666">
            <v>17.687022900763438</v>
          </cell>
          <cell r="H666">
            <v>17.687022900763438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19.25</v>
          </cell>
          <cell r="Q666" t="str">
            <v/>
          </cell>
          <cell r="R666" t="e">
            <v>#N/A</v>
          </cell>
        </row>
        <row r="667">
          <cell r="A667">
            <v>40877</v>
          </cell>
          <cell r="B667">
            <v>40877</v>
          </cell>
          <cell r="C667" t="str">
            <v>Future</v>
          </cell>
          <cell r="D667" t="e">
            <v>#N/A</v>
          </cell>
          <cell r="E667">
            <v>12.563931297709914</v>
          </cell>
          <cell r="F667">
            <v>21.594465648854957</v>
          </cell>
          <cell r="G667">
            <v>17.669656488549698</v>
          </cell>
          <cell r="H667">
            <v>17.669656488549698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19.25</v>
          </cell>
          <cell r="Q667" t="str">
            <v/>
          </cell>
          <cell r="R667" t="e">
            <v>#N/A</v>
          </cell>
        </row>
        <row r="668">
          <cell r="A668">
            <v>40878</v>
          </cell>
          <cell r="B668">
            <v>40878</v>
          </cell>
          <cell r="C668" t="str">
            <v>Future</v>
          </cell>
          <cell r="D668" t="e">
            <v>#N/A</v>
          </cell>
          <cell r="E668">
            <v>12.490458015267166</v>
          </cell>
          <cell r="F668">
            <v>21.620229007633583</v>
          </cell>
          <cell r="G668">
            <v>17.652290076335959</v>
          </cell>
          <cell r="H668">
            <v>17.652290076335959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19.25</v>
          </cell>
          <cell r="Q668" t="str">
            <v/>
          </cell>
          <cell r="R668" t="e">
            <v>#N/A</v>
          </cell>
        </row>
        <row r="669">
          <cell r="A669">
            <v>40879</v>
          </cell>
          <cell r="B669">
            <v>40879</v>
          </cell>
          <cell r="C669" t="str">
            <v>Future</v>
          </cell>
          <cell r="D669" t="e">
            <v>#N/A</v>
          </cell>
          <cell r="E669">
            <v>12.416984732824417</v>
          </cell>
          <cell r="F669">
            <v>21.645992366412209</v>
          </cell>
          <cell r="G669">
            <v>17.634923664122219</v>
          </cell>
          <cell r="H669">
            <v>17.634923664122219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19.25</v>
          </cell>
          <cell r="Q669" t="str">
            <v/>
          </cell>
          <cell r="R669" t="e">
            <v>#N/A</v>
          </cell>
        </row>
        <row r="670">
          <cell r="A670">
            <v>40882</v>
          </cell>
          <cell r="B670">
            <v>40882</v>
          </cell>
          <cell r="C670" t="str">
            <v>Future</v>
          </cell>
          <cell r="D670" t="e">
            <v>#N/A</v>
          </cell>
          <cell r="E670">
            <v>12.343511450381669</v>
          </cell>
          <cell r="F670">
            <v>21.671755725190835</v>
          </cell>
          <cell r="G670">
            <v>17.61755725190848</v>
          </cell>
          <cell r="H670">
            <v>17.61755725190848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19.25</v>
          </cell>
          <cell r="Q670" t="str">
            <v/>
          </cell>
          <cell r="R670" t="e">
            <v>#N/A</v>
          </cell>
        </row>
        <row r="671">
          <cell r="A671">
            <v>40883</v>
          </cell>
          <cell r="B671">
            <v>40883</v>
          </cell>
          <cell r="C671" t="str">
            <v>Future</v>
          </cell>
          <cell r="D671" t="e">
            <v>#N/A</v>
          </cell>
          <cell r="E671">
            <v>12.270038167938921</v>
          </cell>
          <cell r="F671">
            <v>21.69751908396946</v>
          </cell>
          <cell r="G671">
            <v>17.60019083969474</v>
          </cell>
          <cell r="H671">
            <v>17.60019083969474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19.25</v>
          </cell>
          <cell r="Q671" t="str">
            <v/>
          </cell>
          <cell r="R671" t="e">
            <v>#N/A</v>
          </cell>
        </row>
        <row r="672">
          <cell r="A672">
            <v>40884</v>
          </cell>
          <cell r="B672">
            <v>40884</v>
          </cell>
          <cell r="C672" t="str">
            <v>Future</v>
          </cell>
          <cell r="D672" t="e">
            <v>#N/A</v>
          </cell>
          <cell r="E672">
            <v>12.196564885496173</v>
          </cell>
          <cell r="F672">
            <v>21.723282442748086</v>
          </cell>
          <cell r="G672">
            <v>17.582824427481</v>
          </cell>
          <cell r="H672">
            <v>17.582824427481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19.25</v>
          </cell>
          <cell r="Q672" t="str">
            <v/>
          </cell>
          <cell r="R672" t="e">
            <v>#N/A</v>
          </cell>
        </row>
        <row r="673">
          <cell r="A673">
            <v>40885</v>
          </cell>
          <cell r="B673">
            <v>40885</v>
          </cell>
          <cell r="C673" t="str">
            <v>Future</v>
          </cell>
          <cell r="D673" t="e">
            <v>#N/A</v>
          </cell>
          <cell r="E673">
            <v>12.123091603053425</v>
          </cell>
          <cell r="F673">
            <v>21.749045801526712</v>
          </cell>
          <cell r="G673">
            <v>17.565458015267261</v>
          </cell>
          <cell r="H673">
            <v>17.565458015267261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19.25</v>
          </cell>
          <cell r="Q673" t="str">
            <v/>
          </cell>
          <cell r="R673" t="e">
            <v>#N/A</v>
          </cell>
        </row>
        <row r="674">
          <cell r="A674">
            <v>40886</v>
          </cell>
          <cell r="B674">
            <v>40886</v>
          </cell>
          <cell r="C674" t="str">
            <v>Future</v>
          </cell>
          <cell r="D674" t="e">
            <v>#N/A</v>
          </cell>
          <cell r="E674">
            <v>12.049618320610676</v>
          </cell>
          <cell r="F674">
            <v>21.774809160305338</v>
          </cell>
          <cell r="G674">
            <v>17.548091603053521</v>
          </cell>
          <cell r="H674">
            <v>17.548091603053521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19.25</v>
          </cell>
          <cell r="Q674" t="str">
            <v/>
          </cell>
          <cell r="R674" t="e">
            <v>#N/A</v>
          </cell>
        </row>
        <row r="675">
          <cell r="A675">
            <v>40889</v>
          </cell>
          <cell r="B675">
            <v>40889</v>
          </cell>
          <cell r="C675" t="str">
            <v>Future</v>
          </cell>
          <cell r="D675" t="e">
            <v>#N/A</v>
          </cell>
          <cell r="E675">
            <v>11.976145038167928</v>
          </cell>
          <cell r="F675">
            <v>21.800572519083964</v>
          </cell>
          <cell r="G675">
            <v>17.530725190839782</v>
          </cell>
          <cell r="H675">
            <v>17.530725190839782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19.25</v>
          </cell>
          <cell r="Q675" t="str">
            <v/>
          </cell>
          <cell r="R675" t="e">
            <v>#N/A</v>
          </cell>
        </row>
        <row r="676">
          <cell r="A676">
            <v>40890</v>
          </cell>
          <cell r="B676">
            <v>40890</v>
          </cell>
          <cell r="C676" t="str">
            <v>Future</v>
          </cell>
          <cell r="D676" t="e">
            <v>#N/A</v>
          </cell>
          <cell r="E676">
            <v>11.90267175572518</v>
          </cell>
          <cell r="F676">
            <v>21.82633587786259</v>
          </cell>
          <cell r="G676">
            <v>17.513358778626042</v>
          </cell>
          <cell r="H676">
            <v>17.513358778626042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19.25</v>
          </cell>
          <cell r="Q676" t="str">
            <v/>
          </cell>
          <cell r="R676" t="e">
            <v>#N/A</v>
          </cell>
        </row>
        <row r="677">
          <cell r="A677">
            <v>40891</v>
          </cell>
          <cell r="B677">
            <v>40891</v>
          </cell>
          <cell r="C677" t="str">
            <v>Future</v>
          </cell>
          <cell r="D677" t="e">
            <v>#N/A</v>
          </cell>
          <cell r="E677">
            <v>11.829198473282432</v>
          </cell>
          <cell r="F677">
            <v>21.852099236641216</v>
          </cell>
          <cell r="G677">
            <v>17.495992366412302</v>
          </cell>
          <cell r="H677">
            <v>17.495992366412302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19.25</v>
          </cell>
          <cell r="Q677" t="str">
            <v/>
          </cell>
          <cell r="R677" t="e">
            <v>#N/A</v>
          </cell>
        </row>
        <row r="678">
          <cell r="A678">
            <v>40892</v>
          </cell>
          <cell r="B678">
            <v>40892</v>
          </cell>
          <cell r="C678" t="str">
            <v>Future</v>
          </cell>
          <cell r="D678" t="e">
            <v>#N/A</v>
          </cell>
          <cell r="E678">
            <v>11.755725190839684</v>
          </cell>
          <cell r="F678">
            <v>21.877862595419842</v>
          </cell>
          <cell r="G678">
            <v>17.478625954198563</v>
          </cell>
          <cell r="H678">
            <v>17.478625954198563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19.25</v>
          </cell>
          <cell r="Q678" t="str">
            <v/>
          </cell>
          <cell r="R678" t="e">
            <v>#N/A</v>
          </cell>
        </row>
        <row r="679">
          <cell r="A679">
            <v>40893</v>
          </cell>
          <cell r="B679">
            <v>40893</v>
          </cell>
          <cell r="C679" t="str">
            <v>Future</v>
          </cell>
          <cell r="D679" t="e">
            <v>#N/A</v>
          </cell>
          <cell r="E679">
            <v>11.682251908396935</v>
          </cell>
          <cell r="F679">
            <v>21.903625954198468</v>
          </cell>
          <cell r="G679">
            <v>17.461259541984823</v>
          </cell>
          <cell r="H679">
            <v>17.461259541984823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19.25</v>
          </cell>
          <cell r="Q679" t="str">
            <v/>
          </cell>
          <cell r="R679" t="e">
            <v>#N/A</v>
          </cell>
        </row>
        <row r="680">
          <cell r="A680">
            <v>40896</v>
          </cell>
          <cell r="B680">
            <v>40896</v>
          </cell>
          <cell r="C680" t="str">
            <v>Future</v>
          </cell>
          <cell r="D680" t="e">
            <v>#N/A</v>
          </cell>
          <cell r="E680">
            <v>11.608778625954187</v>
          </cell>
          <cell r="F680">
            <v>21.929389312977094</v>
          </cell>
          <cell r="G680">
            <v>17.443893129771084</v>
          </cell>
          <cell r="H680">
            <v>17.443893129771084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19.25</v>
          </cell>
          <cell r="Q680" t="str">
            <v/>
          </cell>
          <cell r="R680" t="e">
            <v>#N/A</v>
          </cell>
        </row>
        <row r="681">
          <cell r="A681">
            <v>40897</v>
          </cell>
          <cell r="B681">
            <v>40897</v>
          </cell>
          <cell r="C681" t="str">
            <v>Future</v>
          </cell>
          <cell r="D681" t="e">
            <v>#N/A</v>
          </cell>
          <cell r="E681">
            <v>11.535305343511439</v>
          </cell>
          <cell r="F681">
            <v>21.955152671755719</v>
          </cell>
          <cell r="G681">
            <v>17.426526717557344</v>
          </cell>
          <cell r="H681">
            <v>17.426526717557344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19.25</v>
          </cell>
          <cell r="Q681" t="str">
            <v/>
          </cell>
          <cell r="R681" t="e">
            <v>#N/A</v>
          </cell>
        </row>
        <row r="682">
          <cell r="A682">
            <v>40898</v>
          </cell>
          <cell r="B682">
            <v>40898</v>
          </cell>
          <cell r="C682" t="str">
            <v>Future</v>
          </cell>
          <cell r="D682" t="e">
            <v>#N/A</v>
          </cell>
          <cell r="E682">
            <v>11.461832061068691</v>
          </cell>
          <cell r="F682">
            <v>21.980916030534345</v>
          </cell>
          <cell r="G682">
            <v>17.409160305343605</v>
          </cell>
          <cell r="H682">
            <v>17.409160305343605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19.25</v>
          </cell>
          <cell r="Q682" t="str">
            <v/>
          </cell>
          <cell r="R682" t="e">
            <v>#N/A</v>
          </cell>
        </row>
        <row r="683">
          <cell r="A683">
            <v>40899</v>
          </cell>
          <cell r="B683">
            <v>40899</v>
          </cell>
          <cell r="C683" t="str">
            <v>Future</v>
          </cell>
          <cell r="D683" t="e">
            <v>#N/A</v>
          </cell>
          <cell r="E683">
            <v>11.388358778625943</v>
          </cell>
          <cell r="F683">
            <v>22.006679389312971</v>
          </cell>
          <cell r="G683">
            <v>17.391793893129865</v>
          </cell>
          <cell r="H683">
            <v>17.391793893129865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19.25</v>
          </cell>
          <cell r="Q683" t="str">
            <v/>
          </cell>
          <cell r="R683" t="e">
            <v>#N/A</v>
          </cell>
        </row>
        <row r="684">
          <cell r="A684">
            <v>40900</v>
          </cell>
          <cell r="B684">
            <v>40900</v>
          </cell>
          <cell r="C684" t="str">
            <v>Future</v>
          </cell>
          <cell r="D684" t="e">
            <v>#N/A</v>
          </cell>
          <cell r="E684">
            <v>11.314885496183194</v>
          </cell>
          <cell r="F684">
            <v>22.032442748091597</v>
          </cell>
          <cell r="G684">
            <v>17.374427480916125</v>
          </cell>
          <cell r="H684">
            <v>17.374427480916125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19.25</v>
          </cell>
          <cell r="Q684" t="str">
            <v/>
          </cell>
          <cell r="R684" t="e">
            <v>#N/A</v>
          </cell>
        </row>
        <row r="685">
          <cell r="A685">
            <v>40903</v>
          </cell>
          <cell r="B685">
            <v>40903</v>
          </cell>
          <cell r="C685" t="str">
            <v>Future</v>
          </cell>
          <cell r="D685" t="e">
            <v>#N/A</v>
          </cell>
          <cell r="E685">
            <v>11.241412213740446</v>
          </cell>
          <cell r="F685">
            <v>22.058206106870223</v>
          </cell>
          <cell r="G685">
            <v>17.357061068702386</v>
          </cell>
          <cell r="H685">
            <v>17.357061068702386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19.25</v>
          </cell>
          <cell r="Q685" t="str">
            <v/>
          </cell>
          <cell r="R685" t="e">
            <v>#N/A</v>
          </cell>
        </row>
        <row r="686">
          <cell r="A686">
            <v>40904</v>
          </cell>
          <cell r="B686">
            <v>40904</v>
          </cell>
          <cell r="C686" t="str">
            <v>Future</v>
          </cell>
          <cell r="D686" t="e">
            <v>#N/A</v>
          </cell>
          <cell r="E686">
            <v>11.167938931297698</v>
          </cell>
          <cell r="F686">
            <v>22.083969465648849</v>
          </cell>
          <cell r="G686">
            <v>17.339694656488646</v>
          </cell>
          <cell r="H686">
            <v>17.339694656488646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19.25</v>
          </cell>
          <cell r="Q686" t="str">
            <v/>
          </cell>
          <cell r="R686" t="e">
            <v>#N/A</v>
          </cell>
        </row>
        <row r="687">
          <cell r="A687">
            <v>40905</v>
          </cell>
          <cell r="B687">
            <v>40905</v>
          </cell>
          <cell r="C687" t="str">
            <v>Future</v>
          </cell>
          <cell r="D687" t="e">
            <v>#N/A</v>
          </cell>
          <cell r="E687">
            <v>11.09446564885495</v>
          </cell>
          <cell r="F687">
            <v>22.109732824427475</v>
          </cell>
          <cell r="G687">
            <v>17.322328244274907</v>
          </cell>
          <cell r="H687">
            <v>17.322328244274907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19.25</v>
          </cell>
          <cell r="Q687" t="str">
            <v/>
          </cell>
          <cell r="R687" t="e">
            <v>#N/A</v>
          </cell>
        </row>
        <row r="688">
          <cell r="A688">
            <v>40906</v>
          </cell>
          <cell r="B688">
            <v>40906</v>
          </cell>
          <cell r="C688" t="str">
            <v>Future</v>
          </cell>
          <cell r="D688" t="e">
            <v>#N/A</v>
          </cell>
          <cell r="E688">
            <v>11.020992366412202</v>
          </cell>
          <cell r="F688">
            <v>22.135496183206101</v>
          </cell>
          <cell r="G688">
            <v>17.304961832061167</v>
          </cell>
          <cell r="H688">
            <v>17.304961832061167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19.25</v>
          </cell>
          <cell r="Q688" t="str">
            <v/>
          </cell>
          <cell r="R688" t="e">
            <v>#N/A</v>
          </cell>
        </row>
        <row r="689">
          <cell r="A689">
            <v>40907</v>
          </cell>
          <cell r="B689">
            <v>40907</v>
          </cell>
          <cell r="C689" t="str">
            <v>Future</v>
          </cell>
          <cell r="D689" t="e">
            <v>#N/A</v>
          </cell>
          <cell r="E689">
            <v>10.947519083969453</v>
          </cell>
          <cell r="F689">
            <v>22.161259541984727</v>
          </cell>
          <cell r="G689">
            <v>17.287595419847428</v>
          </cell>
          <cell r="H689">
            <v>17.287595419847428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19.25</v>
          </cell>
          <cell r="Q689" t="str">
            <v/>
          </cell>
          <cell r="R689" t="e">
            <v>#N/A</v>
          </cell>
        </row>
        <row r="690">
          <cell r="A690">
            <v>40910</v>
          </cell>
          <cell r="B690">
            <v>40910</v>
          </cell>
          <cell r="C690" t="str">
            <v>Future</v>
          </cell>
          <cell r="D690" t="e">
            <v>#N/A</v>
          </cell>
          <cell r="E690">
            <v>10.874045801526705</v>
          </cell>
          <cell r="F690">
            <v>22.187022900763353</v>
          </cell>
          <cell r="G690">
            <v>17.270229007633688</v>
          </cell>
          <cell r="H690">
            <v>17.270229007633688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19.25</v>
          </cell>
          <cell r="Q690" t="str">
            <v/>
          </cell>
          <cell r="R690" t="e">
            <v>#N/A</v>
          </cell>
        </row>
        <row r="691">
          <cell r="A691">
            <v>40911</v>
          </cell>
          <cell r="B691">
            <v>40911</v>
          </cell>
          <cell r="C691" t="str">
            <v>Future</v>
          </cell>
          <cell r="D691" t="e">
            <v>#N/A</v>
          </cell>
          <cell r="E691">
            <v>10.800572519083957</v>
          </cell>
          <cell r="F691">
            <v>22.212786259541978</v>
          </cell>
          <cell r="G691">
            <v>17.252862595419948</v>
          </cell>
          <cell r="H691">
            <v>17.252862595419948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19.25</v>
          </cell>
          <cell r="Q691" t="str">
            <v/>
          </cell>
          <cell r="R691" t="e">
            <v>#N/A</v>
          </cell>
        </row>
        <row r="692">
          <cell r="A692">
            <v>40912</v>
          </cell>
          <cell r="B692">
            <v>40912</v>
          </cell>
          <cell r="C692" t="str">
            <v>Future</v>
          </cell>
          <cell r="D692" t="e">
            <v>#N/A</v>
          </cell>
          <cell r="E692">
            <v>10.727099236641209</v>
          </cell>
          <cell r="F692">
            <v>22.238549618320604</v>
          </cell>
          <cell r="G692">
            <v>17.235496183206209</v>
          </cell>
          <cell r="H692">
            <v>17.235496183206209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19.25</v>
          </cell>
          <cell r="Q692" t="str">
            <v/>
          </cell>
          <cell r="R692" t="e">
            <v>#N/A</v>
          </cell>
        </row>
        <row r="693">
          <cell r="A693">
            <v>40913</v>
          </cell>
          <cell r="B693">
            <v>40913</v>
          </cell>
          <cell r="C693" t="str">
            <v>Future</v>
          </cell>
          <cell r="D693" t="e">
            <v>#N/A</v>
          </cell>
          <cell r="E693">
            <v>10.653625954198461</v>
          </cell>
          <cell r="F693">
            <v>22.26431297709923</v>
          </cell>
          <cell r="G693">
            <v>17.218129770992469</v>
          </cell>
          <cell r="H693">
            <v>17.218129770992469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19.25</v>
          </cell>
          <cell r="Q693" t="str">
            <v/>
          </cell>
          <cell r="R693" t="e">
            <v>#N/A</v>
          </cell>
        </row>
        <row r="694">
          <cell r="A694">
            <v>40914</v>
          </cell>
          <cell r="B694">
            <v>40914</v>
          </cell>
          <cell r="C694" t="str">
            <v>Future</v>
          </cell>
          <cell r="D694" t="e">
            <v>#N/A</v>
          </cell>
          <cell r="E694">
            <v>10.580152671755712</v>
          </cell>
          <cell r="F694">
            <v>22.290076335877856</v>
          </cell>
          <cell r="G694">
            <v>17.20076335877873</v>
          </cell>
          <cell r="H694">
            <v>17.20076335877873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19.25</v>
          </cell>
          <cell r="Q694" t="str">
            <v/>
          </cell>
          <cell r="R694" t="e">
            <v>#N/A</v>
          </cell>
        </row>
        <row r="695">
          <cell r="A695">
            <v>40917</v>
          </cell>
          <cell r="B695">
            <v>40917</v>
          </cell>
          <cell r="C695" t="str">
            <v>Future</v>
          </cell>
          <cell r="D695" t="e">
            <v>#N/A</v>
          </cell>
          <cell r="E695">
            <v>10.506679389312964</v>
          </cell>
          <cell r="F695">
            <v>22.315839694656482</v>
          </cell>
          <cell r="G695">
            <v>17.18339694656499</v>
          </cell>
          <cell r="H695">
            <v>17.18339694656499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19.25</v>
          </cell>
          <cell r="Q695" t="str">
            <v/>
          </cell>
          <cell r="R695" t="e">
            <v>#N/A</v>
          </cell>
        </row>
        <row r="696">
          <cell r="A696">
            <v>40918</v>
          </cell>
          <cell r="B696">
            <v>40918</v>
          </cell>
          <cell r="C696" t="str">
            <v>Future</v>
          </cell>
          <cell r="D696" t="e">
            <v>#N/A</v>
          </cell>
          <cell r="E696">
            <v>10.433206106870216</v>
          </cell>
          <cell r="F696">
            <v>22.341603053435108</v>
          </cell>
          <cell r="G696">
            <v>17.16603053435125</v>
          </cell>
          <cell r="H696">
            <v>17.16603053435125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19.25</v>
          </cell>
          <cell r="Q696" t="str">
            <v/>
          </cell>
          <cell r="R696" t="e">
            <v>#N/A</v>
          </cell>
        </row>
        <row r="697">
          <cell r="A697">
            <v>40919</v>
          </cell>
          <cell r="B697">
            <v>40919</v>
          </cell>
          <cell r="C697" t="str">
            <v>Future</v>
          </cell>
          <cell r="D697" t="e">
            <v>#N/A</v>
          </cell>
          <cell r="E697">
            <v>10.359732824427468</v>
          </cell>
          <cell r="F697">
            <v>22.367366412213734</v>
          </cell>
          <cell r="G697">
            <v>17.148664122137511</v>
          </cell>
          <cell r="H697">
            <v>17.148664122137511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19.25</v>
          </cell>
          <cell r="Q697" t="str">
            <v/>
          </cell>
          <cell r="R697" t="e">
            <v>#N/A</v>
          </cell>
        </row>
        <row r="698">
          <cell r="A698">
            <v>40920</v>
          </cell>
          <cell r="B698">
            <v>40920</v>
          </cell>
          <cell r="C698" t="str">
            <v>Future</v>
          </cell>
          <cell r="D698" t="e">
            <v>#N/A</v>
          </cell>
          <cell r="E698">
            <v>10.28625954198472</v>
          </cell>
          <cell r="F698">
            <v>22.39312977099236</v>
          </cell>
          <cell r="G698">
            <v>17.131297709923771</v>
          </cell>
          <cell r="H698">
            <v>17.131297709923771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19.25</v>
          </cell>
          <cell r="Q698" t="str">
            <v/>
          </cell>
          <cell r="R698" t="e">
            <v>#N/A</v>
          </cell>
        </row>
        <row r="699">
          <cell r="A699">
            <v>40921</v>
          </cell>
          <cell r="B699">
            <v>40921</v>
          </cell>
          <cell r="C699" t="str">
            <v>Future</v>
          </cell>
          <cell r="D699" t="e">
            <v>#N/A</v>
          </cell>
          <cell r="E699">
            <v>10.212786259541971</v>
          </cell>
          <cell r="F699">
            <v>22.418893129770986</v>
          </cell>
          <cell r="G699">
            <v>17.113931297710032</v>
          </cell>
          <cell r="H699">
            <v>17.113931297710032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19.25</v>
          </cell>
          <cell r="Q699" t="str">
            <v/>
          </cell>
          <cell r="R699" t="e">
            <v>#N/A</v>
          </cell>
        </row>
        <row r="700">
          <cell r="A700">
            <v>40924</v>
          </cell>
          <cell r="B700">
            <v>40924</v>
          </cell>
          <cell r="C700" t="str">
            <v>Future</v>
          </cell>
          <cell r="D700" t="e">
            <v>#N/A</v>
          </cell>
          <cell r="E700">
            <v>10.139312977099223</v>
          </cell>
          <cell r="F700">
            <v>22.444656488549612</v>
          </cell>
          <cell r="G700">
            <v>17.096564885496292</v>
          </cell>
          <cell r="H700">
            <v>17.096564885496292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19.25</v>
          </cell>
          <cell r="Q700" t="str">
            <v/>
          </cell>
          <cell r="R700" t="e">
            <v>#N/A</v>
          </cell>
        </row>
        <row r="701">
          <cell r="A701">
            <v>40925</v>
          </cell>
          <cell r="B701">
            <v>40925</v>
          </cell>
          <cell r="C701" t="str">
            <v>Future</v>
          </cell>
          <cell r="D701" t="e">
            <v>#N/A</v>
          </cell>
          <cell r="E701">
            <v>10.065839694656475</v>
          </cell>
          <cell r="F701">
            <v>22.470419847328237</v>
          </cell>
          <cell r="G701">
            <v>17.079198473282553</v>
          </cell>
          <cell r="H701">
            <v>17.079198473282553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19.25</v>
          </cell>
          <cell r="Q701" t="str">
            <v/>
          </cell>
          <cell r="R701" t="e">
            <v>#N/A</v>
          </cell>
        </row>
        <row r="702">
          <cell r="A702">
            <v>40926</v>
          </cell>
          <cell r="B702">
            <v>40926</v>
          </cell>
          <cell r="C702" t="str">
            <v>Future</v>
          </cell>
          <cell r="D702" t="e">
            <v>#N/A</v>
          </cell>
          <cell r="E702">
            <v>9.9923664122137268</v>
          </cell>
          <cell r="F702">
            <v>22.496183206106863</v>
          </cell>
          <cell r="G702">
            <v>17.061832061068813</v>
          </cell>
          <cell r="H702">
            <v>17.061832061068813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19.25</v>
          </cell>
          <cell r="Q702" t="str">
            <v/>
          </cell>
          <cell r="R702" t="e">
            <v>#N/A</v>
          </cell>
        </row>
        <row r="703">
          <cell r="A703">
            <v>40927</v>
          </cell>
          <cell r="B703">
            <v>40927</v>
          </cell>
          <cell r="C703" t="str">
            <v>Future</v>
          </cell>
          <cell r="D703" t="e">
            <v>#N/A</v>
          </cell>
          <cell r="E703">
            <v>9.9188931297709786</v>
          </cell>
          <cell r="F703">
            <v>22.521946564885489</v>
          </cell>
          <cell r="G703">
            <v>17.044465648855073</v>
          </cell>
          <cell r="H703">
            <v>17.044465648855073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19.25</v>
          </cell>
          <cell r="Q703" t="str">
            <v/>
          </cell>
          <cell r="R703" t="e">
            <v>#N/A</v>
          </cell>
        </row>
        <row r="704">
          <cell r="A704">
            <v>40928</v>
          </cell>
          <cell r="B704">
            <v>40928</v>
          </cell>
          <cell r="C704" t="str">
            <v>Future</v>
          </cell>
          <cell r="D704" t="e">
            <v>#N/A</v>
          </cell>
          <cell r="E704">
            <v>9.8454198473282304</v>
          </cell>
          <cell r="F704">
            <v>22.547709923664115</v>
          </cell>
          <cell r="G704">
            <v>17.027099236641334</v>
          </cell>
          <cell r="H704">
            <v>17.027099236641334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19.25</v>
          </cell>
          <cell r="Q704" t="str">
            <v/>
          </cell>
          <cell r="R704" t="e">
            <v>#N/A</v>
          </cell>
        </row>
        <row r="705">
          <cell r="A705">
            <v>40931</v>
          </cell>
          <cell r="B705">
            <v>40931</v>
          </cell>
          <cell r="C705" t="str">
            <v>Future</v>
          </cell>
          <cell r="D705" t="e">
            <v>#N/A</v>
          </cell>
          <cell r="E705">
            <v>9.7719465648854822</v>
          </cell>
          <cell r="F705">
            <v>22.573473282442741</v>
          </cell>
          <cell r="G705">
            <v>17.009732824427594</v>
          </cell>
          <cell r="H705">
            <v>17.009732824427594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19.25</v>
          </cell>
          <cell r="Q705" t="str">
            <v/>
          </cell>
          <cell r="R705" t="e">
            <v>#N/A</v>
          </cell>
        </row>
        <row r="706">
          <cell r="A706">
            <v>40932</v>
          </cell>
          <cell r="B706">
            <v>40932</v>
          </cell>
          <cell r="C706" t="str">
            <v>Future</v>
          </cell>
          <cell r="D706" t="e">
            <v>#N/A</v>
          </cell>
          <cell r="E706">
            <v>9.698473282442734</v>
          </cell>
          <cell r="F706">
            <v>22.599236641221367</v>
          </cell>
          <cell r="G706">
            <v>16.992366412213855</v>
          </cell>
          <cell r="H706">
            <v>16.992366412213855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19.25</v>
          </cell>
          <cell r="Q706" t="str">
            <v/>
          </cell>
          <cell r="R706" t="e">
            <v>#N/A</v>
          </cell>
        </row>
        <row r="707">
          <cell r="A707">
            <v>40933</v>
          </cell>
          <cell r="B707">
            <v>40933</v>
          </cell>
          <cell r="C707" t="str">
            <v>Future</v>
          </cell>
          <cell r="D707" t="e">
            <v>#N/A</v>
          </cell>
          <cell r="E707">
            <v>9.6249999999999858</v>
          </cell>
          <cell r="F707">
            <v>22.624999999999993</v>
          </cell>
          <cell r="G707">
            <v>16.975000000000115</v>
          </cell>
          <cell r="H707">
            <v>16.975000000000115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19.25</v>
          </cell>
          <cell r="Q707" t="str">
            <v/>
          </cell>
          <cell r="R707" t="e">
            <v>#N/A</v>
          </cell>
        </row>
        <row r="708">
          <cell r="A708">
            <v>40934</v>
          </cell>
          <cell r="B708">
            <v>40934</v>
          </cell>
          <cell r="C708" t="str">
            <v>Future</v>
          </cell>
          <cell r="D708" t="e">
            <v>#N/A</v>
          </cell>
          <cell r="E708">
            <v>9.5515267175572376</v>
          </cell>
          <cell r="F708">
            <v>22.650763358778619</v>
          </cell>
          <cell r="G708">
            <v>16.957633587786376</v>
          </cell>
          <cell r="H708">
            <v>16.957633587786376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19.25</v>
          </cell>
          <cell r="Q708" t="str">
            <v/>
          </cell>
          <cell r="R708" t="e">
            <v>#N/A</v>
          </cell>
        </row>
        <row r="709">
          <cell r="A709">
            <v>40935</v>
          </cell>
          <cell r="B709">
            <v>40935</v>
          </cell>
          <cell r="C709" t="str">
            <v>Future</v>
          </cell>
          <cell r="D709" t="e">
            <v>#N/A</v>
          </cell>
          <cell r="E709">
            <v>9.4780534351144894</v>
          </cell>
          <cell r="F709">
            <v>22.676526717557245</v>
          </cell>
          <cell r="G709">
            <v>16.940267175572636</v>
          </cell>
          <cell r="H709">
            <v>16.940267175572636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19.25</v>
          </cell>
          <cell r="Q709" t="str">
            <v/>
          </cell>
          <cell r="R709" t="e">
            <v>#N/A</v>
          </cell>
        </row>
        <row r="710">
          <cell r="A710">
            <v>40938</v>
          </cell>
          <cell r="B710">
            <v>40938</v>
          </cell>
          <cell r="C710" t="str">
            <v>Future</v>
          </cell>
          <cell r="D710" t="e">
            <v>#N/A</v>
          </cell>
          <cell r="E710">
            <v>9.4045801526717412</v>
          </cell>
          <cell r="F710">
            <v>22.702290076335871</v>
          </cell>
          <cell r="G710">
            <v>16.922900763358896</v>
          </cell>
          <cell r="H710">
            <v>16.922900763358896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19.25</v>
          </cell>
          <cell r="Q710" t="str">
            <v/>
          </cell>
          <cell r="R710" t="e">
            <v>#N/A</v>
          </cell>
        </row>
        <row r="711">
          <cell r="A711">
            <v>40939</v>
          </cell>
          <cell r="B711">
            <v>40939</v>
          </cell>
          <cell r="C711" t="str">
            <v>Future</v>
          </cell>
          <cell r="D711" t="e">
            <v>#N/A</v>
          </cell>
          <cell r="E711">
            <v>9.331106870228993</v>
          </cell>
          <cell r="F711">
            <v>22.728053435114496</v>
          </cell>
          <cell r="G711">
            <v>16.905534351145157</v>
          </cell>
          <cell r="H711">
            <v>16.905534351145157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19.25</v>
          </cell>
          <cell r="Q711" t="str">
            <v/>
          </cell>
          <cell r="R711" t="e">
            <v>#N/A</v>
          </cell>
        </row>
        <row r="712">
          <cell r="A712">
            <v>40940</v>
          </cell>
          <cell r="B712">
            <v>40940</v>
          </cell>
          <cell r="C712" t="str">
            <v>Future</v>
          </cell>
          <cell r="D712" t="e">
            <v>#N/A</v>
          </cell>
          <cell r="E712">
            <v>9.2576335877862448</v>
          </cell>
          <cell r="F712">
            <v>22.753816793893122</v>
          </cell>
          <cell r="G712">
            <v>16.888167938931417</v>
          </cell>
          <cell r="H712">
            <v>16.888167938931417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19.25</v>
          </cell>
          <cell r="Q712" t="str">
            <v/>
          </cell>
          <cell r="R712" t="e">
            <v>#N/A</v>
          </cell>
        </row>
        <row r="713">
          <cell r="A713">
            <v>40941</v>
          </cell>
          <cell r="B713">
            <v>40941</v>
          </cell>
          <cell r="C713" t="str">
            <v>Future</v>
          </cell>
          <cell r="D713" t="e">
            <v>#N/A</v>
          </cell>
          <cell r="E713">
            <v>9.1841603053434966</v>
          </cell>
          <cell r="F713">
            <v>22.779580152671748</v>
          </cell>
          <cell r="G713">
            <v>16.870801526717678</v>
          </cell>
          <cell r="H713">
            <v>16.870801526717678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19.25</v>
          </cell>
          <cell r="Q713" t="str">
            <v/>
          </cell>
          <cell r="R713" t="e">
            <v>#N/A</v>
          </cell>
        </row>
        <row r="714">
          <cell r="A714">
            <v>40942</v>
          </cell>
          <cell r="B714">
            <v>40942</v>
          </cell>
          <cell r="C714" t="str">
            <v>Future</v>
          </cell>
          <cell r="D714" t="e">
            <v>#N/A</v>
          </cell>
          <cell r="E714">
            <v>9.1106870229007484</v>
          </cell>
          <cell r="F714">
            <v>22.805343511450374</v>
          </cell>
          <cell r="G714">
            <v>16.853435114503938</v>
          </cell>
          <cell r="H714">
            <v>16.853435114503938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19.25</v>
          </cell>
          <cell r="Q714" t="str">
            <v/>
          </cell>
          <cell r="R714" t="e">
            <v>#N/A</v>
          </cell>
        </row>
        <row r="715">
          <cell r="A715">
            <v>40945</v>
          </cell>
          <cell r="B715">
            <v>40945</v>
          </cell>
          <cell r="C715" t="str">
            <v>Future</v>
          </cell>
          <cell r="D715" t="e">
            <v>#N/A</v>
          </cell>
          <cell r="E715">
            <v>9.0372137404580002</v>
          </cell>
          <cell r="F715">
            <v>22.831106870229</v>
          </cell>
          <cell r="G715">
            <v>16.836068702290198</v>
          </cell>
          <cell r="H715">
            <v>16.836068702290198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19.25</v>
          </cell>
          <cell r="Q715" t="str">
            <v/>
          </cell>
          <cell r="R715" t="e">
            <v>#N/A</v>
          </cell>
        </row>
        <row r="716">
          <cell r="A716">
            <v>40946</v>
          </cell>
          <cell r="B716">
            <v>40946</v>
          </cell>
          <cell r="C716" t="str">
            <v>Future</v>
          </cell>
          <cell r="D716" t="e">
            <v>#N/A</v>
          </cell>
          <cell r="E716">
            <v>8.963740458015252</v>
          </cell>
          <cell r="F716">
            <v>22.856870229007626</v>
          </cell>
          <cell r="G716">
            <v>16.818702290076459</v>
          </cell>
          <cell r="H716">
            <v>16.818702290076459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19.25</v>
          </cell>
          <cell r="Q716" t="str">
            <v/>
          </cell>
          <cell r="R716" t="e">
            <v>#N/A</v>
          </cell>
        </row>
        <row r="717">
          <cell r="A717">
            <v>40947</v>
          </cell>
          <cell r="B717">
            <v>40947</v>
          </cell>
          <cell r="C717" t="str">
            <v>Future</v>
          </cell>
          <cell r="D717" t="e">
            <v>#N/A</v>
          </cell>
          <cell r="E717">
            <v>8.8902671755725038</v>
          </cell>
          <cell r="F717">
            <v>22.882633587786252</v>
          </cell>
          <cell r="G717">
            <v>16.801335877862719</v>
          </cell>
          <cell r="H717">
            <v>16.801335877862719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19.25</v>
          </cell>
          <cell r="Q717" t="str">
            <v/>
          </cell>
          <cell r="R717" t="e">
            <v>#N/A</v>
          </cell>
        </row>
        <row r="718">
          <cell r="A718">
            <v>40948</v>
          </cell>
          <cell r="B718">
            <v>40948</v>
          </cell>
          <cell r="C718" t="str">
            <v>Future</v>
          </cell>
          <cell r="D718" t="e">
            <v>#N/A</v>
          </cell>
          <cell r="E718">
            <v>8.8167938931297556</v>
          </cell>
          <cell r="F718">
            <v>22.908396946564878</v>
          </cell>
          <cell r="G718">
            <v>16.78396946564898</v>
          </cell>
          <cell r="H718">
            <v>16.78396946564898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19.25</v>
          </cell>
          <cell r="Q718" t="str">
            <v/>
          </cell>
          <cell r="R718" t="e">
            <v>#N/A</v>
          </cell>
        </row>
        <row r="719">
          <cell r="A719">
            <v>40949</v>
          </cell>
          <cell r="B719">
            <v>40949</v>
          </cell>
          <cell r="C719" t="str">
            <v>Future</v>
          </cell>
          <cell r="D719" t="e">
            <v>#N/A</v>
          </cell>
          <cell r="E719">
            <v>8.7433206106870074</v>
          </cell>
          <cell r="F719">
            <v>22.934160305343504</v>
          </cell>
          <cell r="G719">
            <v>16.76660305343524</v>
          </cell>
          <cell r="H719">
            <v>16.76660305343524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19.25</v>
          </cell>
          <cell r="Q719" t="str">
            <v/>
          </cell>
          <cell r="R719" t="e">
            <v>#N/A</v>
          </cell>
        </row>
        <row r="720">
          <cell r="A720">
            <v>40952</v>
          </cell>
          <cell r="B720">
            <v>40952</v>
          </cell>
          <cell r="C720" t="str">
            <v>Future</v>
          </cell>
          <cell r="D720" t="e">
            <v>#N/A</v>
          </cell>
          <cell r="E720">
            <v>8.6698473282442592</v>
          </cell>
          <cell r="F720">
            <v>22.95992366412213</v>
          </cell>
          <cell r="G720">
            <v>16.749236641221501</v>
          </cell>
          <cell r="H720">
            <v>16.749236641221501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19.25</v>
          </cell>
          <cell r="Q720" t="str">
            <v/>
          </cell>
          <cell r="R720" t="e">
            <v>#N/A</v>
          </cell>
        </row>
        <row r="721">
          <cell r="A721">
            <v>40953</v>
          </cell>
          <cell r="B721">
            <v>40953</v>
          </cell>
          <cell r="C721" t="str">
            <v>Future</v>
          </cell>
          <cell r="D721" t="e">
            <v>#N/A</v>
          </cell>
          <cell r="E721">
            <v>8.596374045801511</v>
          </cell>
          <cell r="F721">
            <v>22.985687022900755</v>
          </cell>
          <cell r="G721">
            <v>16.731870229007761</v>
          </cell>
          <cell r="H721">
            <v>16.731870229007761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19.25</v>
          </cell>
          <cell r="Q721" t="str">
            <v/>
          </cell>
          <cell r="R721" t="e">
            <v>#N/A</v>
          </cell>
        </row>
        <row r="722">
          <cell r="A722">
            <v>40954</v>
          </cell>
          <cell r="B722">
            <v>40954</v>
          </cell>
          <cell r="C722" t="str">
            <v>Future</v>
          </cell>
          <cell r="D722" t="e">
            <v>#N/A</v>
          </cell>
          <cell r="E722">
            <v>8.5229007633587628</v>
          </cell>
          <cell r="F722">
            <v>23.011450381679381</v>
          </cell>
          <cell r="G722">
            <v>16.714503816794021</v>
          </cell>
          <cell r="H722">
            <v>16.714503816794021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19.25</v>
          </cell>
          <cell r="Q722" t="str">
            <v/>
          </cell>
          <cell r="R722" t="e">
            <v>#N/A</v>
          </cell>
        </row>
        <row r="723">
          <cell r="A723">
            <v>40955</v>
          </cell>
          <cell r="B723">
            <v>40955</v>
          </cell>
          <cell r="C723" t="str">
            <v>Future</v>
          </cell>
          <cell r="D723" t="e">
            <v>#N/A</v>
          </cell>
          <cell r="E723">
            <v>8.4494274809160146</v>
          </cell>
          <cell r="F723">
            <v>23.037213740458007</v>
          </cell>
          <cell r="G723">
            <v>16.697137404580282</v>
          </cell>
          <cell r="H723">
            <v>16.697137404580282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19.25</v>
          </cell>
          <cell r="Q723" t="str">
            <v/>
          </cell>
          <cell r="R723" t="e">
            <v>#N/A</v>
          </cell>
        </row>
        <row r="724">
          <cell r="A724">
            <v>40956</v>
          </cell>
          <cell r="B724">
            <v>40956</v>
          </cell>
          <cell r="C724" t="str">
            <v>Future</v>
          </cell>
          <cell r="D724" t="e">
            <v>#N/A</v>
          </cell>
          <cell r="E724">
            <v>8.3759541984732664</v>
          </cell>
          <cell r="F724">
            <v>23.062977099236633</v>
          </cell>
          <cell r="G724">
            <v>16.679770992366542</v>
          </cell>
          <cell r="H724">
            <v>16.679770992366542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19.25</v>
          </cell>
          <cell r="Q724" t="str">
            <v/>
          </cell>
          <cell r="R724" t="e">
            <v>#N/A</v>
          </cell>
        </row>
        <row r="725">
          <cell r="A725">
            <v>40959</v>
          </cell>
          <cell r="B725">
            <v>40959</v>
          </cell>
          <cell r="C725" t="str">
            <v>Future</v>
          </cell>
          <cell r="D725" t="e">
            <v>#N/A</v>
          </cell>
          <cell r="E725">
            <v>8.3024809160305182</v>
          </cell>
          <cell r="F725">
            <v>23.088740458015259</v>
          </cell>
          <cell r="G725">
            <v>16.662404580152803</v>
          </cell>
          <cell r="H725">
            <v>16.662404580152803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19.25</v>
          </cell>
          <cell r="Q725" t="str">
            <v/>
          </cell>
          <cell r="R725" t="e">
            <v>#N/A</v>
          </cell>
        </row>
        <row r="726">
          <cell r="A726">
            <v>40960</v>
          </cell>
          <cell r="B726">
            <v>40960</v>
          </cell>
          <cell r="C726" t="str">
            <v>Future</v>
          </cell>
          <cell r="D726" t="e">
            <v>#N/A</v>
          </cell>
          <cell r="E726">
            <v>8.22900763358777</v>
          </cell>
          <cell r="F726">
            <v>23.114503816793885</v>
          </cell>
          <cell r="G726">
            <v>16.645038167939063</v>
          </cell>
          <cell r="H726">
            <v>16.645038167939063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19.25</v>
          </cell>
          <cell r="Q726" t="str">
            <v/>
          </cell>
          <cell r="R726" t="e">
            <v>#N/A</v>
          </cell>
        </row>
        <row r="727">
          <cell r="A727">
            <v>40961</v>
          </cell>
          <cell r="B727">
            <v>40961</v>
          </cell>
          <cell r="C727" t="str">
            <v>Future</v>
          </cell>
          <cell r="D727" t="e">
            <v>#N/A</v>
          </cell>
          <cell r="E727">
            <v>8.1555343511450218</v>
          </cell>
          <cell r="F727">
            <v>23.140267175572511</v>
          </cell>
          <cell r="G727">
            <v>16.627671755725324</v>
          </cell>
          <cell r="H727">
            <v>16.627671755725324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19.25</v>
          </cell>
          <cell r="Q727" t="str">
            <v/>
          </cell>
          <cell r="R727" t="e">
            <v>#N/A</v>
          </cell>
        </row>
        <row r="728">
          <cell r="A728">
            <v>40962</v>
          </cell>
          <cell r="B728">
            <v>40962</v>
          </cell>
          <cell r="C728" t="str">
            <v>Future</v>
          </cell>
          <cell r="D728" t="e">
            <v>#N/A</v>
          </cell>
          <cell r="E728">
            <v>8.0820610687022736</v>
          </cell>
          <cell r="F728">
            <v>23.166030534351137</v>
          </cell>
          <cell r="G728">
            <v>16.610305343511584</v>
          </cell>
          <cell r="H728">
            <v>16.610305343511584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19.25</v>
          </cell>
          <cell r="Q728" t="str">
            <v/>
          </cell>
          <cell r="R728" t="e">
            <v>#N/A</v>
          </cell>
        </row>
        <row r="729">
          <cell r="A729">
            <v>40963</v>
          </cell>
          <cell r="B729">
            <v>40963</v>
          </cell>
          <cell r="C729" t="str">
            <v>Future</v>
          </cell>
          <cell r="D729" t="e">
            <v>#N/A</v>
          </cell>
          <cell r="E729">
            <v>8.0085877862595254</v>
          </cell>
          <cell r="F729">
            <v>23.191793893129763</v>
          </cell>
          <cell r="G729">
            <v>16.592938931297844</v>
          </cell>
          <cell r="H729">
            <v>16.592938931297844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19.25</v>
          </cell>
          <cell r="Q729" t="str">
            <v/>
          </cell>
          <cell r="R729" t="e">
            <v>#N/A</v>
          </cell>
        </row>
        <row r="730">
          <cell r="A730">
            <v>40966</v>
          </cell>
          <cell r="B730">
            <v>40966</v>
          </cell>
          <cell r="C730" t="str">
            <v>Future</v>
          </cell>
          <cell r="D730" t="e">
            <v>#N/A</v>
          </cell>
          <cell r="E730">
            <v>7.9351145038167772</v>
          </cell>
          <cell r="F730">
            <v>23.217557251908389</v>
          </cell>
          <cell r="G730">
            <v>16.575572519084105</v>
          </cell>
          <cell r="H730">
            <v>16.575572519084105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19.25</v>
          </cell>
          <cell r="Q730" t="str">
            <v/>
          </cell>
          <cell r="R730" t="e">
            <v>#N/A</v>
          </cell>
        </row>
        <row r="731">
          <cell r="A731">
            <v>40967</v>
          </cell>
          <cell r="B731">
            <v>40967</v>
          </cell>
          <cell r="C731" t="str">
            <v>Future</v>
          </cell>
          <cell r="D731" t="e">
            <v>#N/A</v>
          </cell>
          <cell r="E731">
            <v>7.861641221374029</v>
          </cell>
          <cell r="F731">
            <v>23.243320610687014</v>
          </cell>
          <cell r="G731">
            <v>16.558206106870365</v>
          </cell>
          <cell r="H731">
            <v>16.558206106870365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19.25</v>
          </cell>
          <cell r="Q731" t="str">
            <v/>
          </cell>
          <cell r="R731" t="e">
            <v>#N/A</v>
          </cell>
        </row>
        <row r="732">
          <cell r="A732">
            <v>40968</v>
          </cell>
          <cell r="B732">
            <v>40968</v>
          </cell>
          <cell r="C732" t="str">
            <v>Future</v>
          </cell>
          <cell r="D732" t="e">
            <v>#N/A</v>
          </cell>
          <cell r="E732">
            <v>7.7881679389312808</v>
          </cell>
          <cell r="F732">
            <v>23.26908396946564</v>
          </cell>
          <cell r="G732">
            <v>16.540839694656626</v>
          </cell>
          <cell r="H732">
            <v>16.540839694656626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19.25</v>
          </cell>
          <cell r="Q732" t="str">
            <v/>
          </cell>
          <cell r="R732" t="e">
            <v>#N/A</v>
          </cell>
        </row>
        <row r="733">
          <cell r="A733">
            <v>40969</v>
          </cell>
          <cell r="B733">
            <v>40969</v>
          </cell>
          <cell r="C733" t="str">
            <v>Future</v>
          </cell>
          <cell r="D733" t="e">
            <v>#N/A</v>
          </cell>
          <cell r="E733">
            <v>7.7146946564885326</v>
          </cell>
          <cell r="F733">
            <v>23.294847328244266</v>
          </cell>
          <cell r="G733">
            <v>16.523473282442886</v>
          </cell>
          <cell r="H733">
            <v>16.523473282442886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19.25</v>
          </cell>
          <cell r="Q733" t="str">
            <v/>
          </cell>
          <cell r="R733" t="e">
            <v>#N/A</v>
          </cell>
        </row>
        <row r="734">
          <cell r="A734">
            <v>40970</v>
          </cell>
          <cell r="B734">
            <v>40970</v>
          </cell>
          <cell r="C734" t="str">
            <v>Future</v>
          </cell>
          <cell r="D734" t="e">
            <v>#N/A</v>
          </cell>
          <cell r="E734">
            <v>7.6412213740457844</v>
          </cell>
          <cell r="F734">
            <v>23.320610687022892</v>
          </cell>
          <cell r="G734">
            <v>16.506106870229146</v>
          </cell>
          <cell r="H734">
            <v>16.506106870229146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19.25</v>
          </cell>
          <cell r="Q734" t="str">
            <v/>
          </cell>
          <cell r="R734" t="e">
            <v>#N/A</v>
          </cell>
        </row>
        <row r="735">
          <cell r="A735">
            <v>40973</v>
          </cell>
          <cell r="B735">
            <v>40973</v>
          </cell>
          <cell r="C735" t="str">
            <v>Future</v>
          </cell>
          <cell r="D735" t="e">
            <v>#N/A</v>
          </cell>
          <cell r="E735">
            <v>7.5677480916030362</v>
          </cell>
          <cell r="F735">
            <v>23.346374045801518</v>
          </cell>
          <cell r="G735">
            <v>16.488740458015407</v>
          </cell>
          <cell r="H735">
            <v>16.488740458015407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19.25</v>
          </cell>
          <cell r="Q735" t="str">
            <v/>
          </cell>
          <cell r="R735" t="e">
            <v>#N/A</v>
          </cell>
        </row>
        <row r="736">
          <cell r="A736">
            <v>40974</v>
          </cell>
          <cell r="B736">
            <v>40974</v>
          </cell>
          <cell r="C736" t="str">
            <v>Future</v>
          </cell>
          <cell r="D736" t="e">
            <v>#N/A</v>
          </cell>
          <cell r="E736">
            <v>7.494274809160288</v>
          </cell>
          <cell r="F736">
            <v>23.372137404580144</v>
          </cell>
          <cell r="G736">
            <v>16.471374045801667</v>
          </cell>
          <cell r="H736">
            <v>16.471374045801667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19.25</v>
          </cell>
          <cell r="Q736" t="str">
            <v/>
          </cell>
          <cell r="R736" t="e">
            <v>#N/A</v>
          </cell>
        </row>
        <row r="737">
          <cell r="A737">
            <v>40975</v>
          </cell>
          <cell r="B737">
            <v>40975</v>
          </cell>
          <cell r="C737" t="str">
            <v>Future</v>
          </cell>
          <cell r="D737" t="e">
            <v>#N/A</v>
          </cell>
          <cell r="E737">
            <v>7.4208015267175398</v>
          </cell>
          <cell r="F737">
            <v>23.39790076335877</v>
          </cell>
          <cell r="G737">
            <v>16.454007633587928</v>
          </cell>
          <cell r="H737">
            <v>16.454007633587928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19.25</v>
          </cell>
          <cell r="Q737" t="str">
            <v/>
          </cell>
          <cell r="R737" t="e">
            <v>#N/A</v>
          </cell>
        </row>
        <row r="738">
          <cell r="A738">
            <v>40976</v>
          </cell>
          <cell r="B738">
            <v>40976</v>
          </cell>
          <cell r="C738" t="str">
            <v>Future</v>
          </cell>
          <cell r="D738" t="e">
            <v>#N/A</v>
          </cell>
          <cell r="E738">
            <v>7.3473282442747916</v>
          </cell>
          <cell r="F738">
            <v>23.423664122137396</v>
          </cell>
          <cell r="G738">
            <v>16.436641221374188</v>
          </cell>
          <cell r="H738">
            <v>16.436641221374188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19.25</v>
          </cell>
          <cell r="Q738" t="str">
            <v/>
          </cell>
          <cell r="R738" t="e">
            <v>#N/A</v>
          </cell>
        </row>
        <row r="739">
          <cell r="A739">
            <v>40977</v>
          </cell>
          <cell r="B739">
            <v>40977</v>
          </cell>
          <cell r="C739" t="str">
            <v>Future</v>
          </cell>
          <cell r="D739" t="e">
            <v>#N/A</v>
          </cell>
          <cell r="E739">
            <v>7.2738549618320434</v>
          </cell>
          <cell r="F739">
            <v>23.449427480916022</v>
          </cell>
          <cell r="G739">
            <v>16.419274809160449</v>
          </cell>
          <cell r="H739">
            <v>16.419274809160449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19.25</v>
          </cell>
          <cell r="Q739" t="str">
            <v/>
          </cell>
          <cell r="R739" t="e">
            <v>#N/A</v>
          </cell>
        </row>
        <row r="740">
          <cell r="A740">
            <v>40980</v>
          </cell>
          <cell r="B740">
            <v>40980</v>
          </cell>
          <cell r="C740" t="str">
            <v>Future</v>
          </cell>
          <cell r="D740" t="e">
            <v>#N/A</v>
          </cell>
          <cell r="E740">
            <v>7.2003816793892952</v>
          </cell>
          <cell r="F740">
            <v>23.475190839694648</v>
          </cell>
          <cell r="G740">
            <v>16.401908396946709</v>
          </cell>
          <cell r="H740">
            <v>16.401908396946709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19.25</v>
          </cell>
          <cell r="Q740" t="str">
            <v/>
          </cell>
          <cell r="R740" t="e">
            <v>#N/A</v>
          </cell>
        </row>
        <row r="741">
          <cell r="A741">
            <v>40981</v>
          </cell>
          <cell r="B741">
            <v>40981</v>
          </cell>
          <cell r="C741" t="str">
            <v>Future</v>
          </cell>
          <cell r="D741" t="e">
            <v>#N/A</v>
          </cell>
          <cell r="E741">
            <v>7.126908396946547</v>
          </cell>
          <cell r="F741">
            <v>23.500954198473273</v>
          </cell>
          <cell r="G741">
            <v>16.384541984732969</v>
          </cell>
          <cell r="H741">
            <v>16.384541984732969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19.25</v>
          </cell>
          <cell r="Q741" t="str">
            <v/>
          </cell>
          <cell r="R741" t="e">
            <v>#N/A</v>
          </cell>
        </row>
        <row r="742">
          <cell r="A742">
            <v>40982</v>
          </cell>
          <cell r="B742">
            <v>40982</v>
          </cell>
          <cell r="C742" t="str">
            <v>Future</v>
          </cell>
          <cell r="D742" t="e">
            <v>#N/A</v>
          </cell>
          <cell r="E742">
            <v>7.0534351145037988</v>
          </cell>
          <cell r="F742">
            <v>23.526717557251899</v>
          </cell>
          <cell r="G742">
            <v>16.36717557251923</v>
          </cell>
          <cell r="H742">
            <v>16.36717557251923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19.25</v>
          </cell>
          <cell r="Q742" t="str">
            <v/>
          </cell>
          <cell r="R742" t="e">
            <v>#N/A</v>
          </cell>
        </row>
        <row r="743">
          <cell r="A743">
            <v>40983</v>
          </cell>
          <cell r="B743">
            <v>40983</v>
          </cell>
          <cell r="C743" t="str">
            <v>Future</v>
          </cell>
          <cell r="D743" t="e">
            <v>#N/A</v>
          </cell>
          <cell r="E743">
            <v>6.9799618320610506</v>
          </cell>
          <cell r="F743">
            <v>23.552480916030525</v>
          </cell>
          <cell r="G743">
            <v>16.34980916030549</v>
          </cell>
          <cell r="H743">
            <v>16.34980916030549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19.25</v>
          </cell>
          <cell r="Q743" t="str">
            <v/>
          </cell>
          <cell r="R743" t="e">
            <v>#N/A</v>
          </cell>
        </row>
        <row r="744">
          <cell r="A744">
            <v>40984</v>
          </cell>
          <cell r="B744">
            <v>40984</v>
          </cell>
          <cell r="C744" t="str">
            <v>Future</v>
          </cell>
          <cell r="D744" t="e">
            <v>#N/A</v>
          </cell>
          <cell r="E744">
            <v>6.9064885496183024</v>
          </cell>
          <cell r="F744">
            <v>23.578244274809151</v>
          </cell>
          <cell r="G744">
            <v>16.332442748091751</v>
          </cell>
          <cell r="H744">
            <v>16.332442748091751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19.25</v>
          </cell>
          <cell r="Q744" t="str">
            <v/>
          </cell>
          <cell r="R744" t="e">
            <v>#N/A</v>
          </cell>
        </row>
        <row r="745">
          <cell r="A745">
            <v>40987</v>
          </cell>
          <cell r="B745">
            <v>40987</v>
          </cell>
          <cell r="C745" t="str">
            <v>Future</v>
          </cell>
          <cell r="D745" t="e">
            <v>#N/A</v>
          </cell>
          <cell r="E745">
            <v>6.8330152671755542</v>
          </cell>
          <cell r="F745">
            <v>23.604007633587777</v>
          </cell>
          <cell r="G745">
            <v>16.315076335878011</v>
          </cell>
          <cell r="H745">
            <v>16.315076335878011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19.25</v>
          </cell>
          <cell r="Q745" t="str">
            <v/>
          </cell>
          <cell r="R745" t="e">
            <v>#N/A</v>
          </cell>
        </row>
        <row r="746">
          <cell r="A746">
            <v>40988</v>
          </cell>
          <cell r="B746">
            <v>40988</v>
          </cell>
          <cell r="C746" t="str">
            <v>Future</v>
          </cell>
          <cell r="D746" t="e">
            <v>#N/A</v>
          </cell>
          <cell r="E746">
            <v>6.759541984732806</v>
          </cell>
          <cell r="F746">
            <v>23.629770992366403</v>
          </cell>
          <cell r="G746">
            <v>16.297709923664272</v>
          </cell>
          <cell r="H746">
            <v>16.297709923664272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19.25</v>
          </cell>
          <cell r="Q746" t="str">
            <v/>
          </cell>
          <cell r="R746" t="e">
            <v>#N/A</v>
          </cell>
        </row>
        <row r="747">
          <cell r="A747">
            <v>40989</v>
          </cell>
          <cell r="B747">
            <v>40989</v>
          </cell>
          <cell r="C747" t="str">
            <v>Future</v>
          </cell>
          <cell r="D747" t="e">
            <v>#N/A</v>
          </cell>
          <cell r="E747">
            <v>6.6860687022900578</v>
          </cell>
          <cell r="F747">
            <v>23.655534351145029</v>
          </cell>
          <cell r="G747">
            <v>16.280343511450532</v>
          </cell>
          <cell r="H747">
            <v>16.280343511450532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19.25</v>
          </cell>
          <cell r="Q747" t="str">
            <v/>
          </cell>
          <cell r="R747" t="e">
            <v>#N/A</v>
          </cell>
        </row>
        <row r="748">
          <cell r="A748">
            <v>40990</v>
          </cell>
          <cell r="B748">
            <v>40990</v>
          </cell>
          <cell r="C748" t="str">
            <v>Future</v>
          </cell>
          <cell r="D748" t="e">
            <v>#N/A</v>
          </cell>
          <cell r="E748">
            <v>6.6125954198473096</v>
          </cell>
          <cell r="F748">
            <v>23.681297709923655</v>
          </cell>
          <cell r="G748">
            <v>16.262977099236792</v>
          </cell>
          <cell r="H748">
            <v>16.262977099236792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19.25</v>
          </cell>
          <cell r="Q748" t="str">
            <v/>
          </cell>
          <cell r="R748" t="e">
            <v>#N/A</v>
          </cell>
        </row>
        <row r="749">
          <cell r="A749">
            <v>40991</v>
          </cell>
          <cell r="B749">
            <v>40991</v>
          </cell>
          <cell r="C749" t="str">
            <v>Future</v>
          </cell>
          <cell r="D749" t="e">
            <v>#N/A</v>
          </cell>
          <cell r="E749">
            <v>6.5391221374045614</v>
          </cell>
          <cell r="F749">
            <v>23.707061068702281</v>
          </cell>
          <cell r="G749">
            <v>16.245610687023053</v>
          </cell>
          <cell r="H749">
            <v>16.245610687023053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19.25</v>
          </cell>
          <cell r="Q749" t="str">
            <v/>
          </cell>
          <cell r="R749" t="e">
            <v>#N/A</v>
          </cell>
        </row>
        <row r="750">
          <cell r="A750">
            <v>40994</v>
          </cell>
          <cell r="B750">
            <v>40994</v>
          </cell>
          <cell r="C750" t="str">
            <v>Future</v>
          </cell>
          <cell r="D750" t="e">
            <v>#N/A</v>
          </cell>
          <cell r="E750">
            <v>6.4656488549618132</v>
          </cell>
          <cell r="F750">
            <v>23.732824427480907</v>
          </cell>
          <cell r="G750">
            <v>16.228244274809313</v>
          </cell>
          <cell r="H750">
            <v>16.228244274809313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19.25</v>
          </cell>
          <cell r="Q750" t="str">
            <v/>
          </cell>
          <cell r="R750" t="e">
            <v>#N/A</v>
          </cell>
        </row>
        <row r="751">
          <cell r="A751">
            <v>40995</v>
          </cell>
          <cell r="B751">
            <v>40995</v>
          </cell>
          <cell r="C751" t="str">
            <v>Future</v>
          </cell>
          <cell r="D751" t="e">
            <v>#N/A</v>
          </cell>
          <cell r="E751">
            <v>6.392175572519065</v>
          </cell>
          <cell r="F751">
            <v>23.758587786259532</v>
          </cell>
          <cell r="G751">
            <v>16.210877862595574</v>
          </cell>
          <cell r="H751">
            <v>16.210877862595574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19.25</v>
          </cell>
          <cell r="Q751" t="str">
            <v/>
          </cell>
          <cell r="R751" t="e">
            <v>#N/A</v>
          </cell>
        </row>
        <row r="752">
          <cell r="A752">
            <v>40996</v>
          </cell>
          <cell r="B752">
            <v>40996</v>
          </cell>
          <cell r="C752" t="str">
            <v>Future</v>
          </cell>
          <cell r="D752" t="e">
            <v>#N/A</v>
          </cell>
          <cell r="E752">
            <v>6.3187022900763168</v>
          </cell>
          <cell r="F752">
            <v>23.784351145038158</v>
          </cell>
          <cell r="G752">
            <v>16.193511450381834</v>
          </cell>
          <cell r="H752">
            <v>16.193511450381834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19.25</v>
          </cell>
          <cell r="Q752" t="str">
            <v/>
          </cell>
          <cell r="R752" t="e">
            <v>#N/A</v>
          </cell>
        </row>
        <row r="753">
          <cell r="A753">
            <v>40997</v>
          </cell>
          <cell r="B753">
            <v>40997</v>
          </cell>
          <cell r="C753" t="str">
            <v>Future</v>
          </cell>
          <cell r="D753" t="e">
            <v>#N/A</v>
          </cell>
          <cell r="E753">
            <v>6.2452290076335686</v>
          </cell>
          <cell r="F753">
            <v>23.810114503816784</v>
          </cell>
          <cell r="G753">
            <v>16.176145038168094</v>
          </cell>
          <cell r="H753">
            <v>16.176145038168094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19.25</v>
          </cell>
          <cell r="Q753" t="str">
            <v/>
          </cell>
          <cell r="R753" t="e">
            <v>#N/A</v>
          </cell>
        </row>
        <row r="754">
          <cell r="A754">
            <v>40998</v>
          </cell>
          <cell r="B754">
            <v>40998</v>
          </cell>
          <cell r="C754" t="str">
            <v>Future</v>
          </cell>
          <cell r="D754" t="e">
            <v>#N/A</v>
          </cell>
          <cell r="E754">
            <v>6.1717557251908204</v>
          </cell>
          <cell r="F754">
            <v>23.83587786259541</v>
          </cell>
          <cell r="G754">
            <v>16.158778625954355</v>
          </cell>
          <cell r="H754">
            <v>16.158778625954355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19.25</v>
          </cell>
          <cell r="Q754" t="str">
            <v/>
          </cell>
          <cell r="R754" t="e">
            <v>#N/A</v>
          </cell>
        </row>
        <row r="755">
          <cell r="A755">
            <v>41001</v>
          </cell>
          <cell r="B755">
            <v>41001</v>
          </cell>
          <cell r="C755" t="str">
            <v>Future</v>
          </cell>
          <cell r="D755" t="e">
            <v>#N/A</v>
          </cell>
          <cell r="E755">
            <v>6.0982824427480722</v>
          </cell>
          <cell r="F755">
            <v>23.861641221374036</v>
          </cell>
          <cell r="G755">
            <v>16.141412213740615</v>
          </cell>
          <cell r="H755">
            <v>16.141412213740615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19.25</v>
          </cell>
          <cell r="Q755" t="str">
            <v/>
          </cell>
          <cell r="R755" t="e">
            <v>#N/A</v>
          </cell>
        </row>
        <row r="756">
          <cell r="A756">
            <v>41002</v>
          </cell>
          <cell r="B756">
            <v>41002</v>
          </cell>
          <cell r="C756" t="str">
            <v>Future</v>
          </cell>
          <cell r="D756" t="e">
            <v>#N/A</v>
          </cell>
          <cell r="E756">
            <v>6.024809160305324</v>
          </cell>
          <cell r="F756">
            <v>23.887404580152662</v>
          </cell>
          <cell r="G756">
            <v>16.124045801526876</v>
          </cell>
          <cell r="H756">
            <v>16.124045801526876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19.25</v>
          </cell>
          <cell r="Q756" t="str">
            <v/>
          </cell>
          <cell r="R756" t="e">
            <v>#N/A</v>
          </cell>
        </row>
        <row r="757">
          <cell r="A757">
            <v>41003</v>
          </cell>
          <cell r="B757">
            <v>41003</v>
          </cell>
          <cell r="C757" t="str">
            <v>Future</v>
          </cell>
          <cell r="D757" t="e">
            <v>#N/A</v>
          </cell>
          <cell r="E757">
            <v>5.9513358778625758</v>
          </cell>
          <cell r="F757">
            <v>23.913167938931288</v>
          </cell>
          <cell r="G757">
            <v>16.106679389313136</v>
          </cell>
          <cell r="H757">
            <v>16.106679389313136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19.25</v>
          </cell>
          <cell r="Q757" t="str">
            <v/>
          </cell>
          <cell r="R757" t="e">
            <v>#N/A</v>
          </cell>
        </row>
        <row r="758">
          <cell r="A758">
            <v>41004</v>
          </cell>
          <cell r="B758">
            <v>41004</v>
          </cell>
          <cell r="C758" t="str">
            <v>Future</v>
          </cell>
          <cell r="D758" t="e">
            <v>#N/A</v>
          </cell>
          <cell r="E758">
            <v>5.8778625954198276</v>
          </cell>
          <cell r="F758">
            <v>23.938931297709914</v>
          </cell>
          <cell r="G758">
            <v>16.089312977099397</v>
          </cell>
          <cell r="H758">
            <v>16.089312977099397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19.25</v>
          </cell>
          <cell r="Q758" t="str">
            <v/>
          </cell>
          <cell r="R758" t="e">
            <v>#N/A</v>
          </cell>
        </row>
        <row r="759">
          <cell r="A759">
            <v>41005</v>
          </cell>
          <cell r="B759">
            <v>41005</v>
          </cell>
          <cell r="C759" t="str">
            <v>Future</v>
          </cell>
          <cell r="D759" t="e">
            <v>#N/A</v>
          </cell>
          <cell r="E759">
            <v>5.8043893129770794</v>
          </cell>
          <cell r="F759">
            <v>23.96469465648854</v>
          </cell>
          <cell r="G759">
            <v>16.071946564885657</v>
          </cell>
          <cell r="H759">
            <v>16.071946564885657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19.25</v>
          </cell>
          <cell r="Q759" t="str">
            <v/>
          </cell>
          <cell r="R759" t="e">
            <v>#N/A</v>
          </cell>
        </row>
        <row r="760">
          <cell r="A760">
            <v>41008</v>
          </cell>
          <cell r="B760">
            <v>41008</v>
          </cell>
          <cell r="C760" t="str">
            <v>Future</v>
          </cell>
          <cell r="D760" t="e">
            <v>#N/A</v>
          </cell>
          <cell r="E760">
            <v>5.7309160305343312</v>
          </cell>
          <cell r="F760">
            <v>23.990458015267166</v>
          </cell>
          <cell r="G760">
            <v>16.054580152671917</v>
          </cell>
          <cell r="H760">
            <v>16.054580152671917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19.25</v>
          </cell>
          <cell r="Q760" t="str">
            <v/>
          </cell>
          <cell r="R760" t="e">
            <v>#N/A</v>
          </cell>
        </row>
        <row r="761">
          <cell r="A761">
            <v>41009</v>
          </cell>
          <cell r="B761">
            <v>41009</v>
          </cell>
          <cell r="C761" t="str">
            <v>Future</v>
          </cell>
          <cell r="D761" t="e">
            <v>#N/A</v>
          </cell>
          <cell r="E761">
            <v>5.657442748091583</v>
          </cell>
          <cell r="F761">
            <v>24.016221374045791</v>
          </cell>
          <cell r="G761">
            <v>16.037213740458178</v>
          </cell>
          <cell r="H761">
            <v>16.037213740458178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19.25</v>
          </cell>
          <cell r="Q761" t="str">
            <v/>
          </cell>
          <cell r="R761" t="e">
            <v>#N/A</v>
          </cell>
        </row>
        <row r="762">
          <cell r="A762">
            <v>41010</v>
          </cell>
          <cell r="B762">
            <v>41010</v>
          </cell>
          <cell r="C762" t="str">
            <v>Future</v>
          </cell>
          <cell r="D762" t="e">
            <v>#N/A</v>
          </cell>
          <cell r="E762">
            <v>5.5839694656488348</v>
          </cell>
          <cell r="F762">
            <v>24.041984732824417</v>
          </cell>
          <cell r="G762">
            <v>16.019847328244438</v>
          </cell>
          <cell r="H762">
            <v>16.019847328244438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19.25</v>
          </cell>
          <cell r="Q762" t="str">
            <v/>
          </cell>
          <cell r="R762" t="e">
            <v>#N/A</v>
          </cell>
        </row>
        <row r="763">
          <cell r="A763">
            <v>41011</v>
          </cell>
          <cell r="B763">
            <v>41011</v>
          </cell>
          <cell r="C763" t="str">
            <v>Future</v>
          </cell>
          <cell r="D763" t="e">
            <v>#N/A</v>
          </cell>
          <cell r="E763">
            <v>5.5104961832060866</v>
          </cell>
          <cell r="F763">
            <v>24.067748091603043</v>
          </cell>
          <cell r="G763">
            <v>16.002480916030699</v>
          </cell>
          <cell r="H763">
            <v>16.002480916030699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19.25</v>
          </cell>
          <cell r="Q763" t="str">
            <v/>
          </cell>
          <cell r="R763" t="e">
            <v>#N/A</v>
          </cell>
        </row>
        <row r="764">
          <cell r="A764">
            <v>41012</v>
          </cell>
          <cell r="B764">
            <v>41012</v>
          </cell>
          <cell r="C764" t="str">
            <v>Future</v>
          </cell>
          <cell r="D764" t="e">
            <v>#N/A</v>
          </cell>
          <cell r="E764">
            <v>5.4370229007633384</v>
          </cell>
          <cell r="F764">
            <v>24.093511450381669</v>
          </cell>
          <cell r="G764">
            <v>15.985114503816959</v>
          </cell>
          <cell r="H764">
            <v>15.985114503816959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19.25</v>
          </cell>
          <cell r="Q764" t="str">
            <v/>
          </cell>
          <cell r="R764" t="e">
            <v>#N/A</v>
          </cell>
        </row>
        <row r="765">
          <cell r="A765">
            <v>41015</v>
          </cell>
          <cell r="B765">
            <v>41015</v>
          </cell>
          <cell r="C765" t="str">
            <v>Future</v>
          </cell>
          <cell r="D765" t="e">
            <v>#N/A</v>
          </cell>
          <cell r="E765">
            <v>5.3635496183205902</v>
          </cell>
          <cell r="F765">
            <v>24.119274809160295</v>
          </cell>
          <cell r="G765">
            <v>15.96774809160322</v>
          </cell>
          <cell r="H765">
            <v>15.96774809160322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19.25</v>
          </cell>
          <cell r="Q765" t="str">
            <v/>
          </cell>
          <cell r="R765" t="e">
            <v>#N/A</v>
          </cell>
        </row>
        <row r="766">
          <cell r="A766">
            <v>41016</v>
          </cell>
          <cell r="B766">
            <v>41016</v>
          </cell>
          <cell r="C766" t="str">
            <v>Future</v>
          </cell>
          <cell r="D766" t="e">
            <v>#N/A</v>
          </cell>
          <cell r="E766">
            <v>5.290076335877842</v>
          </cell>
          <cell r="F766">
            <v>24.145038167938921</v>
          </cell>
          <cell r="G766">
            <v>15.95038167938948</v>
          </cell>
          <cell r="H766">
            <v>15.95038167938948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19.25</v>
          </cell>
          <cell r="Q766" t="str">
            <v/>
          </cell>
          <cell r="R766" t="e">
            <v>#N/A</v>
          </cell>
        </row>
        <row r="767">
          <cell r="A767">
            <v>41017</v>
          </cell>
          <cell r="B767">
            <v>41017</v>
          </cell>
          <cell r="C767" t="str">
            <v>Future</v>
          </cell>
          <cell r="D767" t="e">
            <v>#N/A</v>
          </cell>
          <cell r="E767">
            <v>5.2166030534350938</v>
          </cell>
          <cell r="F767">
            <v>24.170801526717547</v>
          </cell>
          <cell r="G767">
            <v>15.93301526717574</v>
          </cell>
          <cell r="H767">
            <v>15.93301526717574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19.25</v>
          </cell>
          <cell r="Q767" t="str">
            <v/>
          </cell>
          <cell r="R767" t="e">
            <v>#N/A</v>
          </cell>
        </row>
        <row r="768">
          <cell r="A768">
            <v>41018</v>
          </cell>
          <cell r="B768">
            <v>41018</v>
          </cell>
          <cell r="C768" t="str">
            <v>Future</v>
          </cell>
          <cell r="D768" t="e">
            <v>#N/A</v>
          </cell>
          <cell r="E768">
            <v>5.1431297709923456</v>
          </cell>
          <cell r="F768">
            <v>24.196564885496173</v>
          </cell>
          <cell r="G768">
            <v>15.915648854962001</v>
          </cell>
          <cell r="H768">
            <v>15.915648854962001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19.25</v>
          </cell>
          <cell r="Q768" t="str">
            <v/>
          </cell>
          <cell r="R768" t="e">
            <v>#N/A</v>
          </cell>
        </row>
        <row r="769">
          <cell r="A769">
            <v>41019</v>
          </cell>
          <cell r="B769">
            <v>41019</v>
          </cell>
          <cell r="C769" t="str">
            <v>Future</v>
          </cell>
          <cell r="D769" t="e">
            <v>#N/A</v>
          </cell>
          <cell r="E769">
            <v>5.0696564885495974</v>
          </cell>
          <cell r="F769">
            <v>24.222328244274799</v>
          </cell>
          <cell r="G769">
            <v>15.898282442748261</v>
          </cell>
          <cell r="H769">
            <v>15.898282442748261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19.25</v>
          </cell>
          <cell r="Q769" t="str">
            <v/>
          </cell>
          <cell r="R769" t="e">
            <v>#N/A</v>
          </cell>
        </row>
        <row r="770">
          <cell r="A770">
            <v>41022</v>
          </cell>
          <cell r="B770">
            <v>41022</v>
          </cell>
          <cell r="C770" t="str">
            <v>Future</v>
          </cell>
          <cell r="D770" t="e">
            <v>#N/A</v>
          </cell>
          <cell r="E770">
            <v>4.9961832061068492</v>
          </cell>
          <cell r="F770">
            <v>24.248091603053425</v>
          </cell>
          <cell r="G770">
            <v>15.880916030534522</v>
          </cell>
          <cell r="H770">
            <v>15.880916030534522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19.25</v>
          </cell>
          <cell r="Q770" t="str">
            <v/>
          </cell>
          <cell r="R770" t="e">
            <v>#N/A</v>
          </cell>
        </row>
        <row r="771">
          <cell r="A771">
            <v>41023</v>
          </cell>
          <cell r="B771">
            <v>41023</v>
          </cell>
          <cell r="C771" t="str">
            <v>Future</v>
          </cell>
          <cell r="D771" t="e">
            <v>#N/A</v>
          </cell>
          <cell r="E771">
            <v>4.922709923664101</v>
          </cell>
          <cell r="F771">
            <v>24.27385496183205</v>
          </cell>
          <cell r="G771">
            <v>15.863549618320782</v>
          </cell>
          <cell r="H771">
            <v>15.863549618320782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19.25</v>
          </cell>
          <cell r="Q771" t="str">
            <v/>
          </cell>
          <cell r="R771" t="e">
            <v>#N/A</v>
          </cell>
        </row>
        <row r="772">
          <cell r="A772">
            <v>41024</v>
          </cell>
          <cell r="B772">
            <v>41024</v>
          </cell>
          <cell r="C772" t="str">
            <v>Future</v>
          </cell>
          <cell r="D772" t="e">
            <v>#N/A</v>
          </cell>
          <cell r="E772">
            <v>4.8492366412213528</v>
          </cell>
          <cell r="F772">
            <v>24.299618320610676</v>
          </cell>
          <cell r="G772">
            <v>15.846183206107042</v>
          </cell>
          <cell r="H772">
            <v>15.846183206107042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19.25</v>
          </cell>
          <cell r="Q772" t="str">
            <v/>
          </cell>
          <cell r="R772" t="e">
            <v>#N/A</v>
          </cell>
        </row>
        <row r="773">
          <cell r="A773">
            <v>41025</v>
          </cell>
          <cell r="B773">
            <v>41025</v>
          </cell>
          <cell r="C773" t="str">
            <v>Future</v>
          </cell>
          <cell r="D773" t="e">
            <v>#N/A</v>
          </cell>
          <cell r="E773">
            <v>4.7757633587786046</v>
          </cell>
          <cell r="F773">
            <v>24.325381679389302</v>
          </cell>
          <cell r="G773">
            <v>15.828816793893303</v>
          </cell>
          <cell r="H773">
            <v>15.828816793893303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19.25</v>
          </cell>
          <cell r="Q773" t="str">
            <v/>
          </cell>
          <cell r="R773" t="e">
            <v>#N/A</v>
          </cell>
        </row>
        <row r="774">
          <cell r="A774">
            <v>41026</v>
          </cell>
          <cell r="B774">
            <v>41026</v>
          </cell>
          <cell r="C774" t="str">
            <v>Future</v>
          </cell>
          <cell r="D774" t="e">
            <v>#N/A</v>
          </cell>
          <cell r="E774">
            <v>4.7022900763358564</v>
          </cell>
          <cell r="F774">
            <v>24.351145038167928</v>
          </cell>
          <cell r="G774">
            <v>15.811450381679563</v>
          </cell>
          <cell r="H774">
            <v>15.811450381679563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19.25</v>
          </cell>
          <cell r="Q774" t="str">
            <v/>
          </cell>
          <cell r="R774" t="e">
            <v>#N/A</v>
          </cell>
        </row>
        <row r="775">
          <cell r="A775">
            <v>41029</v>
          </cell>
          <cell r="B775">
            <v>41029</v>
          </cell>
          <cell r="C775" t="str">
            <v>Future</v>
          </cell>
          <cell r="D775" t="e">
            <v>#N/A</v>
          </cell>
          <cell r="E775">
            <v>4.6288167938931082</v>
          </cell>
          <cell r="F775">
            <v>24.376908396946554</v>
          </cell>
          <cell r="G775">
            <v>15.794083969465824</v>
          </cell>
          <cell r="H775">
            <v>15.794083969465824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19.25</v>
          </cell>
          <cell r="Q775" t="str">
            <v/>
          </cell>
          <cell r="R775" t="e">
            <v>#N/A</v>
          </cell>
        </row>
        <row r="776">
          <cell r="A776">
            <v>41030</v>
          </cell>
          <cell r="B776">
            <v>41030</v>
          </cell>
          <cell r="C776" t="str">
            <v>Future</v>
          </cell>
          <cell r="D776" t="e">
            <v>#N/A</v>
          </cell>
          <cell r="E776">
            <v>4.55534351145036</v>
          </cell>
          <cell r="F776">
            <v>24.40267175572518</v>
          </cell>
          <cell r="G776">
            <v>15.776717557252084</v>
          </cell>
          <cell r="H776">
            <v>15.776717557252084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19.25</v>
          </cell>
          <cell r="Q776" t="str">
            <v/>
          </cell>
          <cell r="R776" t="e">
            <v>#N/A</v>
          </cell>
        </row>
        <row r="777">
          <cell r="A777">
            <v>41031</v>
          </cell>
          <cell r="B777">
            <v>41031</v>
          </cell>
          <cell r="C777" t="str">
            <v>Future</v>
          </cell>
          <cell r="D777" t="e">
            <v>#N/A</v>
          </cell>
          <cell r="E777">
            <v>4.4818702290076118</v>
          </cell>
          <cell r="F777">
            <v>24.428435114503806</v>
          </cell>
          <cell r="G777">
            <v>15.759351145038345</v>
          </cell>
          <cell r="H777">
            <v>15.759351145038345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19.25</v>
          </cell>
          <cell r="Q777" t="str">
            <v/>
          </cell>
          <cell r="R777" t="e">
            <v>#N/A</v>
          </cell>
        </row>
        <row r="778">
          <cell r="A778">
            <v>41032</v>
          </cell>
          <cell r="B778">
            <v>41032</v>
          </cell>
          <cell r="C778" t="str">
            <v>Future</v>
          </cell>
          <cell r="D778" t="e">
            <v>#N/A</v>
          </cell>
          <cell r="E778">
            <v>4.4083969465648636</v>
          </cell>
          <cell r="F778">
            <v>24.454198473282432</v>
          </cell>
          <cell r="G778">
            <v>15.741984732824605</v>
          </cell>
          <cell r="H778">
            <v>15.741984732824605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19.25</v>
          </cell>
          <cell r="Q778" t="str">
            <v/>
          </cell>
          <cell r="R778" t="e">
            <v>#N/A</v>
          </cell>
        </row>
        <row r="779">
          <cell r="A779">
            <v>41033</v>
          </cell>
          <cell r="B779">
            <v>41033</v>
          </cell>
          <cell r="C779" t="str">
            <v>Future</v>
          </cell>
          <cell r="D779" t="e">
            <v>#N/A</v>
          </cell>
          <cell r="E779">
            <v>4.3349236641221154</v>
          </cell>
          <cell r="F779">
            <v>24.479961832061058</v>
          </cell>
          <cell r="G779">
            <v>15.724618320610865</v>
          </cell>
          <cell r="H779">
            <v>15.724618320610865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19.25</v>
          </cell>
          <cell r="Q779" t="str">
            <v/>
          </cell>
          <cell r="R779" t="e">
            <v>#N/A</v>
          </cell>
        </row>
        <row r="780">
          <cell r="A780">
            <v>41036</v>
          </cell>
          <cell r="B780">
            <v>41036</v>
          </cell>
          <cell r="C780" t="str">
            <v>Future</v>
          </cell>
          <cell r="D780" t="e">
            <v>#N/A</v>
          </cell>
          <cell r="E780">
            <v>4.2614503816793672</v>
          </cell>
          <cell r="F780">
            <v>24.505725190839684</v>
          </cell>
          <cell r="G780">
            <v>15.707251908397126</v>
          </cell>
          <cell r="H780">
            <v>15.707251908397126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19.25</v>
          </cell>
          <cell r="Q780" t="str">
            <v/>
          </cell>
          <cell r="R780" t="e">
            <v>#N/A</v>
          </cell>
        </row>
        <row r="781">
          <cell r="A781">
            <v>41037</v>
          </cell>
          <cell r="B781">
            <v>41037</v>
          </cell>
          <cell r="C781" t="str">
            <v>Future</v>
          </cell>
          <cell r="D781" t="e">
            <v>#N/A</v>
          </cell>
          <cell r="E781">
            <v>4.187977099236619</v>
          </cell>
          <cell r="F781">
            <v>24.531488549618309</v>
          </cell>
          <cell r="G781">
            <v>15.689885496183386</v>
          </cell>
          <cell r="H781">
            <v>15.689885496183386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19.25</v>
          </cell>
          <cell r="Q781" t="str">
            <v/>
          </cell>
          <cell r="R781" t="e">
            <v>#N/A</v>
          </cell>
        </row>
        <row r="782">
          <cell r="A782">
            <v>41038</v>
          </cell>
          <cell r="B782">
            <v>41038</v>
          </cell>
          <cell r="C782" t="str">
            <v>Future</v>
          </cell>
          <cell r="D782" t="e">
            <v>#N/A</v>
          </cell>
          <cell r="E782">
            <v>4.1145038167938708</v>
          </cell>
          <cell r="F782">
            <v>24.557251908396935</v>
          </cell>
          <cell r="G782">
            <v>15.672519083969647</v>
          </cell>
          <cell r="H782">
            <v>15.672519083969647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19.25</v>
          </cell>
          <cell r="Q782" t="str">
            <v/>
          </cell>
          <cell r="R782" t="e">
            <v>#N/A</v>
          </cell>
        </row>
        <row r="783">
          <cell r="A783">
            <v>41039</v>
          </cell>
          <cell r="B783">
            <v>41039</v>
          </cell>
          <cell r="C783" t="str">
            <v>Future</v>
          </cell>
          <cell r="D783" t="e">
            <v>#N/A</v>
          </cell>
          <cell r="E783">
            <v>4.0410305343511226</v>
          </cell>
          <cell r="F783">
            <v>24.583015267175561</v>
          </cell>
          <cell r="G783">
            <v>15.655152671755907</v>
          </cell>
          <cell r="H783">
            <v>15.655152671755907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19.25</v>
          </cell>
          <cell r="Q783" t="str">
            <v/>
          </cell>
          <cell r="R783" t="e">
            <v>#N/A</v>
          </cell>
        </row>
        <row r="784">
          <cell r="A784">
            <v>41040</v>
          </cell>
          <cell r="B784">
            <v>41040</v>
          </cell>
          <cell r="C784" t="str">
            <v>Future</v>
          </cell>
          <cell r="D784" t="e">
            <v>#N/A</v>
          </cell>
          <cell r="E784">
            <v>3.9675572519083744</v>
          </cell>
          <cell r="F784">
            <v>24.608778625954187</v>
          </cell>
          <cell r="G784">
            <v>15.637786259542167</v>
          </cell>
          <cell r="H784">
            <v>15.637786259542167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19.25</v>
          </cell>
          <cell r="Q784" t="str">
            <v/>
          </cell>
          <cell r="R784" t="e">
            <v>#N/A</v>
          </cell>
        </row>
        <row r="785">
          <cell r="A785">
            <v>41043</v>
          </cell>
          <cell r="B785">
            <v>41043</v>
          </cell>
          <cell r="C785" t="str">
            <v>Future</v>
          </cell>
          <cell r="D785" t="e">
            <v>#N/A</v>
          </cell>
          <cell r="E785">
            <v>3.8940839694656262</v>
          </cell>
          <cell r="F785">
            <v>24.634541984732813</v>
          </cell>
          <cell r="G785">
            <v>15.620419847328428</v>
          </cell>
          <cell r="H785">
            <v>15.620419847328428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19.25</v>
          </cell>
          <cell r="Q785" t="str">
            <v/>
          </cell>
          <cell r="R785" t="e">
            <v>#N/A</v>
          </cell>
        </row>
        <row r="786">
          <cell r="A786">
            <v>41044</v>
          </cell>
          <cell r="B786">
            <v>41044</v>
          </cell>
          <cell r="C786" t="str">
            <v>Future</v>
          </cell>
          <cell r="D786" t="e">
            <v>#N/A</v>
          </cell>
          <cell r="E786">
            <v>3.820610687022878</v>
          </cell>
          <cell r="F786">
            <v>24.660305343511439</v>
          </cell>
          <cell r="G786">
            <v>15.603053435114688</v>
          </cell>
          <cell r="H786">
            <v>15.603053435114688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19.25</v>
          </cell>
          <cell r="Q786" t="str">
            <v/>
          </cell>
          <cell r="R786" t="e">
            <v>#N/A</v>
          </cell>
        </row>
        <row r="787">
          <cell r="A787">
            <v>41045</v>
          </cell>
          <cell r="B787">
            <v>41045</v>
          </cell>
          <cell r="C787" t="str">
            <v>Future</v>
          </cell>
          <cell r="D787" t="e">
            <v>#N/A</v>
          </cell>
          <cell r="E787">
            <v>3.7471374045801298</v>
          </cell>
          <cell r="F787">
            <v>24.686068702290065</v>
          </cell>
          <cell r="G787">
            <v>15.585687022900949</v>
          </cell>
          <cell r="H787">
            <v>15.585687022900949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19.25</v>
          </cell>
          <cell r="Q787" t="str">
            <v/>
          </cell>
          <cell r="R787" t="e">
            <v>#N/A</v>
          </cell>
        </row>
        <row r="788">
          <cell r="A788">
            <v>41046</v>
          </cell>
          <cell r="B788">
            <v>41046</v>
          </cell>
          <cell r="C788" t="str">
            <v>Future</v>
          </cell>
          <cell r="D788" t="e">
            <v>#N/A</v>
          </cell>
          <cell r="E788">
            <v>3.6736641221373816</v>
          </cell>
          <cell r="F788">
            <v>24.711832061068691</v>
          </cell>
          <cell r="G788">
            <v>15.568320610687209</v>
          </cell>
          <cell r="H788">
            <v>15.568320610687209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19.25</v>
          </cell>
          <cell r="Q788" t="str">
            <v/>
          </cell>
          <cell r="R788" t="e">
            <v>#N/A</v>
          </cell>
        </row>
        <row r="789">
          <cell r="A789">
            <v>41047</v>
          </cell>
          <cell r="B789">
            <v>41047</v>
          </cell>
          <cell r="C789" t="str">
            <v>Future</v>
          </cell>
          <cell r="D789" t="e">
            <v>#N/A</v>
          </cell>
          <cell r="E789">
            <v>3.6001908396946334</v>
          </cell>
          <cell r="F789">
            <v>24.737595419847317</v>
          </cell>
          <cell r="G789">
            <v>15.55095419847347</v>
          </cell>
          <cell r="H789">
            <v>15.55095419847347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19.25</v>
          </cell>
          <cell r="Q789" t="str">
            <v/>
          </cell>
          <cell r="R789" t="e">
            <v>#N/A</v>
          </cell>
        </row>
        <row r="790">
          <cell r="A790">
            <v>41050</v>
          </cell>
          <cell r="B790">
            <v>41050</v>
          </cell>
          <cell r="C790" t="str">
            <v>Future</v>
          </cell>
          <cell r="D790" t="e">
            <v>#N/A</v>
          </cell>
          <cell r="E790">
            <v>3.5267175572518852</v>
          </cell>
          <cell r="F790">
            <v>24.763358778625943</v>
          </cell>
          <cell r="G790">
            <v>15.53358778625973</v>
          </cell>
          <cell r="H790">
            <v>15.53358778625973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19.25</v>
          </cell>
          <cell r="Q790" t="str">
            <v/>
          </cell>
          <cell r="R790" t="e">
            <v>#N/A</v>
          </cell>
        </row>
        <row r="791">
          <cell r="A791">
            <v>41051</v>
          </cell>
          <cell r="B791">
            <v>41051</v>
          </cell>
          <cell r="C791" t="str">
            <v>Future</v>
          </cell>
          <cell r="D791" t="e">
            <v>#N/A</v>
          </cell>
          <cell r="E791">
            <v>3.453244274809137</v>
          </cell>
          <cell r="F791">
            <v>24.789122137404568</v>
          </cell>
          <cell r="G791">
            <v>15.51622137404599</v>
          </cell>
          <cell r="H791">
            <v>15.51622137404599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19.25</v>
          </cell>
          <cell r="Q791" t="str">
            <v/>
          </cell>
          <cell r="R791" t="e">
            <v>#N/A</v>
          </cell>
        </row>
        <row r="792">
          <cell r="A792">
            <v>41052</v>
          </cell>
          <cell r="B792">
            <v>41052</v>
          </cell>
          <cell r="C792" t="str">
            <v>Future</v>
          </cell>
          <cell r="D792" t="e">
            <v>#N/A</v>
          </cell>
          <cell r="E792">
            <v>3.3797709923663888</v>
          </cell>
          <cell r="F792">
            <v>24.814885496183194</v>
          </cell>
          <cell r="G792">
            <v>15.498854961832251</v>
          </cell>
          <cell r="H792">
            <v>15.498854961832251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19.25</v>
          </cell>
          <cell r="Q792" t="str">
            <v/>
          </cell>
          <cell r="R792" t="e">
            <v>#N/A</v>
          </cell>
        </row>
        <row r="793">
          <cell r="A793">
            <v>41053</v>
          </cell>
          <cell r="B793">
            <v>41053</v>
          </cell>
          <cell r="C793" t="str">
            <v>Future</v>
          </cell>
          <cell r="D793" t="e">
            <v>#N/A</v>
          </cell>
          <cell r="E793">
            <v>3.3062977099236406</v>
          </cell>
          <cell r="F793">
            <v>24.84064885496182</v>
          </cell>
          <cell r="G793">
            <v>15.481488549618511</v>
          </cell>
          <cell r="H793">
            <v>15.481488549618511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19.25</v>
          </cell>
          <cell r="Q793" t="str">
            <v/>
          </cell>
          <cell r="R793" t="e">
            <v>#N/A</v>
          </cell>
        </row>
        <row r="794">
          <cell r="A794">
            <v>41054</v>
          </cell>
          <cell r="B794">
            <v>41054</v>
          </cell>
          <cell r="C794" t="str">
            <v>Future</v>
          </cell>
          <cell r="D794" t="e">
            <v>#N/A</v>
          </cell>
          <cell r="E794">
            <v>3.2328244274808924</v>
          </cell>
          <cell r="F794">
            <v>24.866412213740446</v>
          </cell>
          <cell r="G794">
            <v>15.464122137404772</v>
          </cell>
          <cell r="H794">
            <v>15.464122137404772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19.25</v>
          </cell>
          <cell r="Q794" t="str">
            <v/>
          </cell>
          <cell r="R794" t="e">
            <v>#N/A</v>
          </cell>
        </row>
        <row r="795">
          <cell r="A795">
            <v>41057</v>
          </cell>
          <cell r="B795">
            <v>41057</v>
          </cell>
          <cell r="C795" t="str">
            <v>Future</v>
          </cell>
          <cell r="D795" t="e">
            <v>#N/A</v>
          </cell>
          <cell r="E795">
            <v>3.1593511450381442</v>
          </cell>
          <cell r="F795">
            <v>24.892175572519072</v>
          </cell>
          <cell r="G795">
            <v>15.446755725191032</v>
          </cell>
          <cell r="H795">
            <v>15.446755725191032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19.25</v>
          </cell>
          <cell r="Q795" t="str">
            <v/>
          </cell>
          <cell r="R795" t="e">
            <v>#N/A</v>
          </cell>
        </row>
        <row r="796">
          <cell r="A796">
            <v>41058</v>
          </cell>
          <cell r="B796">
            <v>41058</v>
          </cell>
          <cell r="C796" t="str">
            <v>Future</v>
          </cell>
          <cell r="D796" t="e">
            <v>#N/A</v>
          </cell>
          <cell r="E796">
            <v>3.085877862595396</v>
          </cell>
          <cell r="F796">
            <v>24.917938931297698</v>
          </cell>
          <cell r="G796">
            <v>15.429389312977293</v>
          </cell>
          <cell r="H796">
            <v>15.429389312977293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19.25</v>
          </cell>
          <cell r="Q796" t="str">
            <v/>
          </cell>
          <cell r="R796" t="e">
            <v>#N/A</v>
          </cell>
        </row>
        <row r="797">
          <cell r="A797">
            <v>41059</v>
          </cell>
          <cell r="B797">
            <v>41059</v>
          </cell>
          <cell r="C797" t="str">
            <v>Future</v>
          </cell>
          <cell r="D797" t="e">
            <v>#N/A</v>
          </cell>
          <cell r="E797">
            <v>3.0124045801526478</v>
          </cell>
          <cell r="F797">
            <v>24.943702290076324</v>
          </cell>
          <cell r="G797">
            <v>15.412022900763553</v>
          </cell>
          <cell r="H797">
            <v>15.412022900763553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19.25</v>
          </cell>
          <cell r="Q797" t="str">
            <v/>
          </cell>
          <cell r="R797" t="e">
            <v>#N/A</v>
          </cell>
        </row>
        <row r="798">
          <cell r="A798">
            <v>41060</v>
          </cell>
          <cell r="B798">
            <v>41060</v>
          </cell>
          <cell r="C798" t="str">
            <v>Future</v>
          </cell>
          <cell r="D798" t="e">
            <v>#N/A</v>
          </cell>
          <cell r="E798">
            <v>2.9389312977098996</v>
          </cell>
          <cell r="F798">
            <v>24.96946564885495</v>
          </cell>
          <cell r="G798">
            <v>15.394656488549813</v>
          </cell>
          <cell r="H798">
            <v>15.394656488549813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19.25</v>
          </cell>
          <cell r="Q798" t="str">
            <v/>
          </cell>
          <cell r="R798" t="e">
            <v>#N/A</v>
          </cell>
        </row>
        <row r="799">
          <cell r="A799">
            <v>41061</v>
          </cell>
          <cell r="B799">
            <v>41061</v>
          </cell>
          <cell r="C799" t="str">
            <v>Future</v>
          </cell>
          <cell r="D799" t="e">
            <v>#N/A</v>
          </cell>
          <cell r="E799">
            <v>2.8654580152671514</v>
          </cell>
          <cell r="F799">
            <v>24.995229007633576</v>
          </cell>
          <cell r="G799">
            <v>15.377290076336074</v>
          </cell>
          <cell r="H799">
            <v>15.377290076336074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19.25</v>
          </cell>
          <cell r="Q799" t="str">
            <v/>
          </cell>
          <cell r="R799" t="e">
            <v>#N/A</v>
          </cell>
        </row>
        <row r="800">
          <cell r="A800">
            <v>41064</v>
          </cell>
          <cell r="B800">
            <v>41064</v>
          </cell>
          <cell r="C800" t="str">
            <v>Future</v>
          </cell>
          <cell r="D800" t="e">
            <v>#N/A</v>
          </cell>
          <cell r="E800">
            <v>2.7919847328244032</v>
          </cell>
          <cell r="F800">
            <v>25.020992366412202</v>
          </cell>
          <cell r="G800">
            <v>15.359923664122334</v>
          </cell>
          <cell r="H800">
            <v>15.359923664122334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19.25</v>
          </cell>
          <cell r="Q800" t="str">
            <v/>
          </cell>
          <cell r="R800" t="e">
            <v>#N/A</v>
          </cell>
        </row>
        <row r="801">
          <cell r="A801">
            <v>41065</v>
          </cell>
          <cell r="B801">
            <v>41065</v>
          </cell>
          <cell r="C801" t="str">
            <v>Future</v>
          </cell>
          <cell r="D801" t="e">
            <v>#N/A</v>
          </cell>
          <cell r="E801">
            <v>2.718511450381655</v>
          </cell>
          <cell r="F801">
            <v>25.046755725190827</v>
          </cell>
          <cell r="G801">
            <v>15.342557251908595</v>
          </cell>
          <cell r="H801">
            <v>15.342557251908595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19.25</v>
          </cell>
          <cell r="Q801" t="str">
            <v/>
          </cell>
          <cell r="R801" t="e">
            <v>#N/A</v>
          </cell>
        </row>
        <row r="802">
          <cell r="A802">
            <v>41066</v>
          </cell>
          <cell r="B802">
            <v>41066</v>
          </cell>
          <cell r="C802" t="str">
            <v>Future</v>
          </cell>
          <cell r="D802" t="e">
            <v>#N/A</v>
          </cell>
          <cell r="E802">
            <v>2.6450381679389068</v>
          </cell>
          <cell r="F802">
            <v>25.072519083969453</v>
          </cell>
          <cell r="G802">
            <v>15.325190839694855</v>
          </cell>
          <cell r="H802">
            <v>15.325190839694855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19.25</v>
          </cell>
          <cell r="Q802" t="str">
            <v/>
          </cell>
          <cell r="R802" t="e">
            <v>#N/A</v>
          </cell>
        </row>
        <row r="803">
          <cell r="A803">
            <v>41067</v>
          </cell>
          <cell r="B803">
            <v>41067</v>
          </cell>
          <cell r="C803" t="str">
            <v>Future</v>
          </cell>
          <cell r="D803" t="e">
            <v>#N/A</v>
          </cell>
          <cell r="E803">
            <v>2.5715648854961586</v>
          </cell>
          <cell r="F803">
            <v>25.098282442748079</v>
          </cell>
          <cell r="G803">
            <v>15.307824427481115</v>
          </cell>
          <cell r="H803">
            <v>15.307824427481115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19.25</v>
          </cell>
          <cell r="Q803" t="str">
            <v/>
          </cell>
          <cell r="R803" t="e">
            <v>#N/A</v>
          </cell>
        </row>
        <row r="804">
          <cell r="A804">
            <v>41068</v>
          </cell>
          <cell r="B804">
            <v>41068</v>
          </cell>
          <cell r="C804" t="str">
            <v>Future</v>
          </cell>
          <cell r="D804" t="e">
            <v>#N/A</v>
          </cell>
          <cell r="E804">
            <v>2.4980916030534104</v>
          </cell>
          <cell r="F804">
            <v>25.124045801526705</v>
          </cell>
          <cell r="G804">
            <v>15.290458015267376</v>
          </cell>
          <cell r="H804">
            <v>15.290458015267376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19.25</v>
          </cell>
          <cell r="Q804" t="str">
            <v/>
          </cell>
          <cell r="R804" t="e">
            <v>#N/A</v>
          </cell>
        </row>
        <row r="805">
          <cell r="A805">
            <v>41071</v>
          </cell>
          <cell r="B805">
            <v>41071</v>
          </cell>
          <cell r="C805" t="str">
            <v>Future</v>
          </cell>
          <cell r="D805" t="e">
            <v>#N/A</v>
          </cell>
          <cell r="E805">
            <v>2.4246183206106622</v>
          </cell>
          <cell r="F805">
            <v>25.149809160305331</v>
          </cell>
          <cell r="G805">
            <v>15.273091603053636</v>
          </cell>
          <cell r="H805">
            <v>15.273091603053636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19.25</v>
          </cell>
          <cell r="Q805" t="str">
            <v/>
          </cell>
          <cell r="R805" t="e">
            <v>#N/A</v>
          </cell>
        </row>
        <row r="806">
          <cell r="A806">
            <v>41072</v>
          </cell>
          <cell r="B806">
            <v>41072</v>
          </cell>
          <cell r="C806" t="str">
            <v>Future</v>
          </cell>
          <cell r="D806" t="e">
            <v>#N/A</v>
          </cell>
          <cell r="E806">
            <v>2.351145038167914</v>
          </cell>
          <cell r="F806">
            <v>25.175572519083957</v>
          </cell>
          <cell r="G806">
            <v>15.255725190839897</v>
          </cell>
          <cell r="H806">
            <v>15.255725190839897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19.25</v>
          </cell>
          <cell r="Q806" t="str">
            <v/>
          </cell>
          <cell r="R806" t="e">
            <v>#N/A</v>
          </cell>
        </row>
        <row r="807">
          <cell r="A807">
            <v>41073</v>
          </cell>
          <cell r="B807">
            <v>41073</v>
          </cell>
          <cell r="C807" t="str">
            <v>Future</v>
          </cell>
          <cell r="D807" t="e">
            <v>#N/A</v>
          </cell>
          <cell r="E807">
            <v>2.2776717557251658</v>
          </cell>
          <cell r="F807">
            <v>25.201335877862583</v>
          </cell>
          <cell r="G807">
            <v>15.238358778626157</v>
          </cell>
          <cell r="H807">
            <v>15.238358778626157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19.25</v>
          </cell>
          <cell r="Q807" t="str">
            <v/>
          </cell>
          <cell r="R807" t="e">
            <v>#N/A</v>
          </cell>
        </row>
        <row r="808">
          <cell r="A808">
            <v>41074</v>
          </cell>
          <cell r="B808">
            <v>41074</v>
          </cell>
          <cell r="C808" t="str">
            <v>Future</v>
          </cell>
          <cell r="D808" t="e">
            <v>#N/A</v>
          </cell>
          <cell r="E808">
            <v>2.2041984732824176</v>
          </cell>
          <cell r="F808">
            <v>25.227099236641209</v>
          </cell>
          <cell r="G808">
            <v>15.220992366412418</v>
          </cell>
          <cell r="H808">
            <v>15.220992366412418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19.25</v>
          </cell>
          <cell r="Q808" t="str">
            <v/>
          </cell>
          <cell r="R808" t="e">
            <v>#N/A</v>
          </cell>
        </row>
        <row r="809">
          <cell r="A809">
            <v>41075</v>
          </cell>
          <cell r="B809">
            <v>41075</v>
          </cell>
          <cell r="C809" t="str">
            <v>Future</v>
          </cell>
          <cell r="D809" t="e">
            <v>#N/A</v>
          </cell>
          <cell r="E809">
            <v>2.1307251908396694</v>
          </cell>
          <cell r="F809">
            <v>25.252862595419835</v>
          </cell>
          <cell r="G809">
            <v>15.203625954198678</v>
          </cell>
          <cell r="H809">
            <v>15.203625954198678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19.25</v>
          </cell>
          <cell r="Q809" t="str">
            <v/>
          </cell>
          <cell r="R809" t="e">
            <v>#N/A</v>
          </cell>
        </row>
        <row r="810">
          <cell r="A810">
            <v>41078</v>
          </cell>
          <cell r="B810">
            <v>41078</v>
          </cell>
          <cell r="C810" t="str">
            <v>Future</v>
          </cell>
          <cell r="D810" t="e">
            <v>#N/A</v>
          </cell>
          <cell r="E810">
            <v>2.0572519083969212</v>
          </cell>
          <cell r="F810">
            <v>25.278625954198461</v>
          </cell>
          <cell r="G810">
            <v>15.186259541984938</v>
          </cell>
          <cell r="H810">
            <v>15.186259541984938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19.25</v>
          </cell>
          <cell r="Q810" t="str">
            <v/>
          </cell>
          <cell r="R810" t="e">
            <v>#N/A</v>
          </cell>
        </row>
        <row r="811">
          <cell r="A811">
            <v>41079</v>
          </cell>
          <cell r="B811">
            <v>41079</v>
          </cell>
          <cell r="C811" t="str">
            <v>Future</v>
          </cell>
          <cell r="D811" t="e">
            <v>#N/A</v>
          </cell>
          <cell r="E811">
            <v>1.983778625954173</v>
          </cell>
          <cell r="F811">
            <v>25.304389312977086</v>
          </cell>
          <cell r="G811">
            <v>15.168893129771199</v>
          </cell>
          <cell r="H811">
            <v>15.168893129771199</v>
          </cell>
          <cell r="I811" t="e">
            <v>#N/A</v>
          </cell>
          <cell r="J811" t="e">
            <v>#N/A</v>
          </cell>
          <cell r="K811" t="e">
            <v>#N/A</v>
          </cell>
          <cell r="L811" t="e">
            <v>#N/A</v>
          </cell>
          <cell r="M811" t="e">
            <v>#N/A</v>
          </cell>
          <cell r="N811" t="e">
            <v>#N/A</v>
          </cell>
          <cell r="O811" t="e">
            <v>#N/A</v>
          </cell>
          <cell r="P811">
            <v>19.25</v>
          </cell>
          <cell r="Q811" t="str">
            <v/>
          </cell>
          <cell r="R811" t="e">
            <v>#N/A</v>
          </cell>
        </row>
        <row r="812">
          <cell r="A812">
            <v>41080</v>
          </cell>
          <cell r="B812">
            <v>41080</v>
          </cell>
          <cell r="C812" t="str">
            <v>Future</v>
          </cell>
          <cell r="D812" t="e">
            <v>#N/A</v>
          </cell>
          <cell r="E812">
            <v>1.9103053435114248</v>
          </cell>
          <cell r="F812">
            <v>25.330152671755712</v>
          </cell>
          <cell r="G812">
            <v>15.151526717557459</v>
          </cell>
          <cell r="H812">
            <v>15.151526717557459</v>
          </cell>
          <cell r="I812" t="e">
            <v>#N/A</v>
          </cell>
          <cell r="J812" t="e">
            <v>#N/A</v>
          </cell>
          <cell r="K812" t="e">
            <v>#N/A</v>
          </cell>
          <cell r="L812" t="e">
            <v>#N/A</v>
          </cell>
          <cell r="M812" t="e">
            <v>#N/A</v>
          </cell>
          <cell r="N812" t="e">
            <v>#N/A</v>
          </cell>
          <cell r="O812" t="e">
            <v>#N/A</v>
          </cell>
          <cell r="P812">
            <v>19.25</v>
          </cell>
          <cell r="Q812" t="str">
            <v/>
          </cell>
          <cell r="R812" t="e">
            <v>#N/A</v>
          </cell>
        </row>
        <row r="813">
          <cell r="A813">
            <v>41081</v>
          </cell>
          <cell r="B813">
            <v>41081</v>
          </cell>
          <cell r="C813" t="str">
            <v>Future</v>
          </cell>
          <cell r="D813" t="e">
            <v>#N/A</v>
          </cell>
          <cell r="E813">
            <v>1.8368320610686766</v>
          </cell>
          <cell r="F813">
            <v>25.355916030534338</v>
          </cell>
          <cell r="G813">
            <v>15.13416030534372</v>
          </cell>
          <cell r="H813">
            <v>15.13416030534372</v>
          </cell>
          <cell r="I813" t="e">
            <v>#N/A</v>
          </cell>
          <cell r="J813" t="e">
            <v>#N/A</v>
          </cell>
          <cell r="K813" t="e">
            <v>#N/A</v>
          </cell>
          <cell r="L813" t="e">
            <v>#N/A</v>
          </cell>
          <cell r="M813" t="e">
            <v>#N/A</v>
          </cell>
          <cell r="N813" t="e">
            <v>#N/A</v>
          </cell>
          <cell r="O813" t="e">
            <v>#N/A</v>
          </cell>
          <cell r="P813">
            <v>19.25</v>
          </cell>
          <cell r="Q813" t="str">
            <v/>
          </cell>
          <cell r="R813" t="e">
            <v>#N/A</v>
          </cell>
        </row>
        <row r="814">
          <cell r="A814">
            <v>41082</v>
          </cell>
          <cell r="B814">
            <v>41082</v>
          </cell>
          <cell r="C814" t="str">
            <v>Future</v>
          </cell>
          <cell r="D814" t="e">
            <v>#N/A</v>
          </cell>
          <cell r="E814">
            <v>1.7633587786259284</v>
          </cell>
          <cell r="F814">
            <v>25.381679389312964</v>
          </cell>
          <cell r="G814">
            <v>15.11679389312998</v>
          </cell>
          <cell r="H814">
            <v>15.11679389312998</v>
          </cell>
          <cell r="I814" t="e">
            <v>#N/A</v>
          </cell>
          <cell r="J814" t="e">
            <v>#N/A</v>
          </cell>
          <cell r="K814" t="e">
            <v>#N/A</v>
          </cell>
          <cell r="L814" t="e">
            <v>#N/A</v>
          </cell>
          <cell r="M814" t="e">
            <v>#N/A</v>
          </cell>
          <cell r="N814" t="e">
            <v>#N/A</v>
          </cell>
          <cell r="O814" t="e">
            <v>#N/A</v>
          </cell>
          <cell r="P814">
            <v>19.25</v>
          </cell>
          <cell r="Q814" t="str">
            <v/>
          </cell>
          <cell r="R814" t="e">
            <v>#N/A</v>
          </cell>
        </row>
        <row r="815">
          <cell r="A815">
            <v>41085</v>
          </cell>
          <cell r="B815">
            <v>41085</v>
          </cell>
          <cell r="C815" t="str">
            <v>Future</v>
          </cell>
          <cell r="D815" t="e">
            <v>#N/A</v>
          </cell>
          <cell r="E815">
            <v>1.6898854961831802</v>
          </cell>
          <cell r="F815">
            <v>25.40744274809159</v>
          </cell>
          <cell r="G815">
            <v>15.099427480916241</v>
          </cell>
          <cell r="H815">
            <v>15.099427480916241</v>
          </cell>
          <cell r="I815" t="e">
            <v>#N/A</v>
          </cell>
          <cell r="J815" t="e">
            <v>#N/A</v>
          </cell>
          <cell r="K815" t="e">
            <v>#N/A</v>
          </cell>
          <cell r="L815" t="e">
            <v>#N/A</v>
          </cell>
          <cell r="M815" t="e">
            <v>#N/A</v>
          </cell>
          <cell r="N815" t="e">
            <v>#N/A</v>
          </cell>
          <cell r="O815" t="e">
            <v>#N/A</v>
          </cell>
          <cell r="P815">
            <v>19.25</v>
          </cell>
          <cell r="Q815" t="str">
            <v/>
          </cell>
          <cell r="R815" t="e">
            <v>#N/A</v>
          </cell>
        </row>
        <row r="816">
          <cell r="A816">
            <v>41086</v>
          </cell>
          <cell r="B816">
            <v>41086</v>
          </cell>
          <cell r="C816" t="str">
            <v>Future</v>
          </cell>
          <cell r="D816" t="e">
            <v>#N/A</v>
          </cell>
          <cell r="E816">
            <v>1.616412213740432</v>
          </cell>
          <cell r="F816">
            <v>25.433206106870216</v>
          </cell>
          <cell r="G816">
            <v>15.082061068702501</v>
          </cell>
          <cell r="H816">
            <v>15.082061068702501</v>
          </cell>
          <cell r="I816" t="e">
            <v>#N/A</v>
          </cell>
          <cell r="J816" t="e">
            <v>#N/A</v>
          </cell>
          <cell r="K816" t="e">
            <v>#N/A</v>
          </cell>
          <cell r="L816" t="e">
            <v>#N/A</v>
          </cell>
          <cell r="M816" t="e">
            <v>#N/A</v>
          </cell>
          <cell r="N816" t="e">
            <v>#N/A</v>
          </cell>
          <cell r="O816" t="e">
            <v>#N/A</v>
          </cell>
          <cell r="P816">
            <v>19.25</v>
          </cell>
          <cell r="Q816" t="str">
            <v/>
          </cell>
          <cell r="R816" t="e">
            <v>#N/A</v>
          </cell>
        </row>
        <row r="817">
          <cell r="A817">
            <v>41087</v>
          </cell>
          <cell r="B817">
            <v>41087</v>
          </cell>
          <cell r="C817" t="str">
            <v>Future</v>
          </cell>
          <cell r="D817" t="e">
            <v>#N/A</v>
          </cell>
          <cell r="E817">
            <v>1.5429389312976838</v>
          </cell>
          <cell r="F817">
            <v>25.458969465648842</v>
          </cell>
          <cell r="G817">
            <v>15.064694656488761</v>
          </cell>
          <cell r="H817">
            <v>15.064694656488761</v>
          </cell>
          <cell r="I817" t="e">
            <v>#N/A</v>
          </cell>
          <cell r="J817" t="e">
            <v>#N/A</v>
          </cell>
          <cell r="K817" t="e">
            <v>#N/A</v>
          </cell>
          <cell r="L817" t="e">
            <v>#N/A</v>
          </cell>
          <cell r="M817" t="e">
            <v>#N/A</v>
          </cell>
          <cell r="N817" t="e">
            <v>#N/A</v>
          </cell>
          <cell r="O817" t="e">
            <v>#N/A</v>
          </cell>
          <cell r="P817">
            <v>19.25</v>
          </cell>
          <cell r="Q817" t="str">
            <v/>
          </cell>
          <cell r="R817" t="e">
            <v>#N/A</v>
          </cell>
        </row>
        <row r="818">
          <cell r="A818">
            <v>41088</v>
          </cell>
          <cell r="B818">
            <v>41088</v>
          </cell>
          <cell r="C818" t="str">
            <v>Future</v>
          </cell>
          <cell r="D818" t="e">
            <v>#N/A</v>
          </cell>
          <cell r="E818">
            <v>1.4694656488549356</v>
          </cell>
          <cell r="F818">
            <v>25.484732824427468</v>
          </cell>
          <cell r="G818">
            <v>15.047328244275022</v>
          </cell>
          <cell r="H818">
            <v>15.047328244275022</v>
          </cell>
          <cell r="I818" t="e">
            <v>#N/A</v>
          </cell>
          <cell r="J818" t="e">
            <v>#N/A</v>
          </cell>
          <cell r="K818" t="e">
            <v>#N/A</v>
          </cell>
          <cell r="L818" t="e">
            <v>#N/A</v>
          </cell>
          <cell r="M818" t="e">
            <v>#N/A</v>
          </cell>
          <cell r="N818" t="e">
            <v>#N/A</v>
          </cell>
          <cell r="O818" t="e">
            <v>#N/A</v>
          </cell>
          <cell r="P818">
            <v>19.25</v>
          </cell>
          <cell r="Q818" t="str">
            <v/>
          </cell>
          <cell r="R818" t="e">
            <v>#N/A</v>
          </cell>
        </row>
        <row r="819">
          <cell r="A819">
            <v>41089</v>
          </cell>
          <cell r="B819">
            <v>41089</v>
          </cell>
          <cell r="C819" t="str">
            <v>Future</v>
          </cell>
          <cell r="D819" t="e">
            <v>#N/A</v>
          </cell>
          <cell r="E819">
            <v>1.3959923664121874</v>
          </cell>
          <cell r="F819">
            <v>25.510496183206094</v>
          </cell>
          <cell r="G819">
            <v>15.029961832061282</v>
          </cell>
          <cell r="H819">
            <v>15.029961832061282</v>
          </cell>
          <cell r="I819" t="e">
            <v>#N/A</v>
          </cell>
          <cell r="J819" t="e">
            <v>#N/A</v>
          </cell>
          <cell r="K819" t="e">
            <v>#N/A</v>
          </cell>
          <cell r="L819" t="e">
            <v>#N/A</v>
          </cell>
          <cell r="M819" t="e">
            <v>#N/A</v>
          </cell>
          <cell r="N819" t="e">
            <v>#N/A</v>
          </cell>
          <cell r="O819" t="e">
            <v>#N/A</v>
          </cell>
          <cell r="P819">
            <v>19.25</v>
          </cell>
          <cell r="Q819" t="str">
            <v/>
          </cell>
          <cell r="R819" t="e">
            <v>#N/A</v>
          </cell>
        </row>
        <row r="820">
          <cell r="A820">
            <v>41092</v>
          </cell>
          <cell r="B820">
            <v>41092</v>
          </cell>
          <cell r="C820" t="str">
            <v>Future</v>
          </cell>
          <cell r="D820" t="e">
            <v>#N/A</v>
          </cell>
          <cell r="E820">
            <v>1.3225190839694392</v>
          </cell>
          <cell r="F820">
            <v>25.53625954198472</v>
          </cell>
          <cell r="G820">
            <v>15.012595419847543</v>
          </cell>
          <cell r="H820">
            <v>15.012595419847543</v>
          </cell>
          <cell r="I820" t="e">
            <v>#N/A</v>
          </cell>
          <cell r="J820" t="e">
            <v>#N/A</v>
          </cell>
          <cell r="K820" t="e">
            <v>#N/A</v>
          </cell>
          <cell r="L820" t="e">
            <v>#N/A</v>
          </cell>
          <cell r="M820" t="e">
            <v>#N/A</v>
          </cell>
          <cell r="N820" t="e">
            <v>#N/A</v>
          </cell>
          <cell r="O820" t="e">
            <v>#N/A</v>
          </cell>
          <cell r="P820">
            <v>19.25</v>
          </cell>
          <cell r="Q820" t="str">
            <v/>
          </cell>
          <cell r="R820" t="e">
            <v>#N/A</v>
          </cell>
        </row>
        <row r="821">
          <cell r="A821">
            <v>41093</v>
          </cell>
          <cell r="B821">
            <v>41093</v>
          </cell>
          <cell r="C821" t="str">
            <v>Future</v>
          </cell>
          <cell r="D821" t="e">
            <v>#N/A</v>
          </cell>
          <cell r="E821">
            <v>1.249045801526691</v>
          </cell>
          <cell r="F821">
            <v>25.562022900763345</v>
          </cell>
          <cell r="G821">
            <v>14.995229007633803</v>
          </cell>
          <cell r="H821">
            <v>14.995229007633803</v>
          </cell>
          <cell r="I821" t="e">
            <v>#N/A</v>
          </cell>
          <cell r="J821" t="e">
            <v>#N/A</v>
          </cell>
          <cell r="K821" t="e">
            <v>#N/A</v>
          </cell>
          <cell r="L821" t="e">
            <v>#N/A</v>
          </cell>
          <cell r="M821" t="e">
            <v>#N/A</v>
          </cell>
          <cell r="N821" t="e">
            <v>#N/A</v>
          </cell>
          <cell r="O821" t="e">
            <v>#N/A</v>
          </cell>
          <cell r="P821">
            <v>19.25</v>
          </cell>
          <cell r="Q821" t="str">
            <v/>
          </cell>
          <cell r="R821" t="e">
            <v>#N/A</v>
          </cell>
        </row>
        <row r="822">
          <cell r="A822">
            <v>41094</v>
          </cell>
          <cell r="B822">
            <v>41094</v>
          </cell>
          <cell r="C822" t="str">
            <v>Future</v>
          </cell>
          <cell r="D822" t="e">
            <v>#N/A</v>
          </cell>
          <cell r="E822">
            <v>1.1755725190839428</v>
          </cell>
          <cell r="F822">
            <v>25.587786259541971</v>
          </cell>
          <cell r="G822">
            <v>14.977862595420063</v>
          </cell>
          <cell r="H822">
            <v>14.977862595420063</v>
          </cell>
          <cell r="I822" t="e">
            <v>#N/A</v>
          </cell>
          <cell r="J822" t="e">
            <v>#N/A</v>
          </cell>
          <cell r="K822" t="e">
            <v>#N/A</v>
          </cell>
          <cell r="L822" t="e">
            <v>#N/A</v>
          </cell>
          <cell r="M822" t="e">
            <v>#N/A</v>
          </cell>
          <cell r="N822" t="e">
            <v>#N/A</v>
          </cell>
          <cell r="O822" t="e">
            <v>#N/A</v>
          </cell>
          <cell r="P822">
            <v>19.25</v>
          </cell>
          <cell r="Q822" t="str">
            <v/>
          </cell>
          <cell r="R822" t="e">
            <v>#N/A</v>
          </cell>
        </row>
        <row r="823">
          <cell r="A823">
            <v>41095</v>
          </cell>
          <cell r="B823">
            <v>41095</v>
          </cell>
          <cell r="C823" t="str">
            <v>Future</v>
          </cell>
          <cell r="D823" t="e">
            <v>#N/A</v>
          </cell>
          <cell r="E823">
            <v>1.1020992366411946</v>
          </cell>
          <cell r="F823">
            <v>25.613549618320597</v>
          </cell>
          <cell r="G823">
            <v>14.960496183206324</v>
          </cell>
          <cell r="H823">
            <v>14.960496183206324</v>
          </cell>
          <cell r="I823" t="e">
            <v>#N/A</v>
          </cell>
          <cell r="J823" t="e">
            <v>#N/A</v>
          </cell>
          <cell r="K823" t="e">
            <v>#N/A</v>
          </cell>
          <cell r="L823" t="e">
            <v>#N/A</v>
          </cell>
          <cell r="M823" t="e">
            <v>#N/A</v>
          </cell>
          <cell r="N823" t="e">
            <v>#N/A</v>
          </cell>
          <cell r="O823" t="e">
            <v>#N/A</v>
          </cell>
          <cell r="P823">
            <v>19.25</v>
          </cell>
          <cell r="Q823" t="str">
            <v/>
          </cell>
          <cell r="R823" t="e">
            <v>#N/A</v>
          </cell>
        </row>
        <row r="824">
          <cell r="A824">
            <v>41096</v>
          </cell>
          <cell r="B824">
            <v>41096</v>
          </cell>
          <cell r="C824" t="str">
            <v>Future</v>
          </cell>
          <cell r="D824" t="e">
            <v>#N/A</v>
          </cell>
          <cell r="E824">
            <v>1.0286259541984464</v>
          </cell>
          <cell r="F824">
            <v>25.639312977099223</v>
          </cell>
          <cell r="G824">
            <v>14.943129770992584</v>
          </cell>
          <cell r="H824">
            <v>14.943129770992584</v>
          </cell>
          <cell r="I824" t="e">
            <v>#N/A</v>
          </cell>
          <cell r="J824" t="e">
            <v>#N/A</v>
          </cell>
          <cell r="K824" t="e">
            <v>#N/A</v>
          </cell>
          <cell r="L824" t="e">
            <v>#N/A</v>
          </cell>
          <cell r="M824" t="e">
            <v>#N/A</v>
          </cell>
          <cell r="N824" t="e">
            <v>#N/A</v>
          </cell>
          <cell r="O824" t="e">
            <v>#N/A</v>
          </cell>
          <cell r="P824">
            <v>19.25</v>
          </cell>
          <cell r="Q824" t="str">
            <v/>
          </cell>
          <cell r="R824" t="e">
            <v>#N/A</v>
          </cell>
        </row>
        <row r="825">
          <cell r="A825">
            <v>41099</v>
          </cell>
          <cell r="B825">
            <v>41099</v>
          </cell>
          <cell r="C825" t="str">
            <v>Future</v>
          </cell>
          <cell r="D825" t="e">
            <v>#N/A</v>
          </cell>
          <cell r="E825">
            <v>0.95515267175569829</v>
          </cell>
          <cell r="F825">
            <v>25.665076335877849</v>
          </cell>
          <cell r="G825">
            <v>14.925763358778845</v>
          </cell>
          <cell r="H825">
            <v>14.925763358778845</v>
          </cell>
          <cell r="I825" t="e">
            <v>#N/A</v>
          </cell>
          <cell r="J825" t="e">
            <v>#N/A</v>
          </cell>
          <cell r="K825" t="e">
            <v>#N/A</v>
          </cell>
          <cell r="L825" t="e">
            <v>#N/A</v>
          </cell>
          <cell r="M825" t="e">
            <v>#N/A</v>
          </cell>
          <cell r="N825" t="e">
            <v>#N/A</v>
          </cell>
          <cell r="O825" t="e">
            <v>#N/A</v>
          </cell>
          <cell r="P825">
            <v>19.25</v>
          </cell>
          <cell r="Q825" t="str">
            <v/>
          </cell>
          <cell r="R825" t="e">
            <v>#N/A</v>
          </cell>
        </row>
        <row r="826">
          <cell r="A826">
            <v>41100</v>
          </cell>
          <cell r="B826">
            <v>41100</v>
          </cell>
          <cell r="C826" t="str">
            <v>Future</v>
          </cell>
          <cell r="D826" t="e">
            <v>#N/A</v>
          </cell>
          <cell r="E826">
            <v>0.8816793893129502</v>
          </cell>
          <cell r="F826">
            <v>25.690839694656475</v>
          </cell>
          <cell r="G826">
            <v>14.908396946565105</v>
          </cell>
          <cell r="H826">
            <v>14.908396946565105</v>
          </cell>
          <cell r="I826" t="e">
            <v>#N/A</v>
          </cell>
          <cell r="J826" t="e">
            <v>#N/A</v>
          </cell>
          <cell r="K826" t="e">
            <v>#N/A</v>
          </cell>
          <cell r="L826" t="e">
            <v>#N/A</v>
          </cell>
          <cell r="M826" t="e">
            <v>#N/A</v>
          </cell>
          <cell r="N826" t="e">
            <v>#N/A</v>
          </cell>
          <cell r="O826" t="e">
            <v>#N/A</v>
          </cell>
          <cell r="P826">
            <v>19.25</v>
          </cell>
          <cell r="Q826" t="str">
            <v/>
          </cell>
          <cell r="R826" t="e">
            <v>#N/A</v>
          </cell>
        </row>
        <row r="827">
          <cell r="A827">
            <v>41101</v>
          </cell>
          <cell r="B827">
            <v>41101</v>
          </cell>
          <cell r="C827" t="str">
            <v>Future</v>
          </cell>
          <cell r="D827" t="e">
            <v>#N/A</v>
          </cell>
          <cell r="E827">
            <v>0.80820610687020211</v>
          </cell>
          <cell r="F827">
            <v>25.716603053435101</v>
          </cell>
          <cell r="G827">
            <v>14.891030534351366</v>
          </cell>
          <cell r="H827">
            <v>14.891030534351366</v>
          </cell>
          <cell r="I827" t="e">
            <v>#N/A</v>
          </cell>
          <cell r="J827" t="e">
            <v>#N/A</v>
          </cell>
          <cell r="K827" t="e">
            <v>#N/A</v>
          </cell>
          <cell r="L827" t="e">
            <v>#N/A</v>
          </cell>
          <cell r="M827" t="e">
            <v>#N/A</v>
          </cell>
          <cell r="N827" t="e">
            <v>#N/A</v>
          </cell>
          <cell r="O827" t="e">
            <v>#N/A</v>
          </cell>
          <cell r="P827">
            <v>19.25</v>
          </cell>
          <cell r="Q827" t="str">
            <v/>
          </cell>
          <cell r="R827" t="e">
            <v>#N/A</v>
          </cell>
        </row>
        <row r="828">
          <cell r="A828">
            <v>41102</v>
          </cell>
          <cell r="B828">
            <v>41102</v>
          </cell>
          <cell r="C828" t="str">
            <v>Future</v>
          </cell>
          <cell r="D828" t="e">
            <v>#N/A</v>
          </cell>
          <cell r="E828">
            <v>0.73473282442745402</v>
          </cell>
          <cell r="F828">
            <v>25.742366412213727</v>
          </cell>
          <cell r="G828">
            <v>14.873664122137626</v>
          </cell>
          <cell r="H828">
            <v>14.873664122137626</v>
          </cell>
          <cell r="I828" t="e">
            <v>#N/A</v>
          </cell>
          <cell r="J828" t="e">
            <v>#N/A</v>
          </cell>
          <cell r="K828" t="e">
            <v>#N/A</v>
          </cell>
          <cell r="L828" t="e">
            <v>#N/A</v>
          </cell>
          <cell r="M828" t="e">
            <v>#N/A</v>
          </cell>
          <cell r="N828" t="e">
            <v>#N/A</v>
          </cell>
          <cell r="O828" t="e">
            <v>#N/A</v>
          </cell>
          <cell r="P828">
            <v>19.25</v>
          </cell>
          <cell r="Q828" t="str">
            <v/>
          </cell>
          <cell r="R828" t="e">
            <v>#N/A</v>
          </cell>
        </row>
        <row r="829">
          <cell r="A829">
            <v>41103</v>
          </cell>
          <cell r="B829">
            <v>41103</v>
          </cell>
          <cell r="C829" t="str">
            <v>Future</v>
          </cell>
          <cell r="D829" t="e">
            <v>#N/A</v>
          </cell>
          <cell r="E829">
            <v>0.66125954198470593</v>
          </cell>
          <cell r="F829">
            <v>25.768129770992353</v>
          </cell>
          <cell r="G829">
            <v>14.856297709923886</v>
          </cell>
          <cell r="H829">
            <v>14.856297709923886</v>
          </cell>
          <cell r="I829" t="e">
            <v>#N/A</v>
          </cell>
          <cell r="J829" t="e">
            <v>#N/A</v>
          </cell>
          <cell r="K829" t="e">
            <v>#N/A</v>
          </cell>
          <cell r="L829" t="e">
            <v>#N/A</v>
          </cell>
          <cell r="M829" t="e">
            <v>#N/A</v>
          </cell>
          <cell r="N829" t="e">
            <v>#N/A</v>
          </cell>
          <cell r="O829" t="e">
            <v>#N/A</v>
          </cell>
          <cell r="P829">
            <v>19.25</v>
          </cell>
          <cell r="Q829" t="str">
            <v/>
          </cell>
          <cell r="R829" t="e">
            <v>#N/A</v>
          </cell>
        </row>
        <row r="830">
          <cell r="A830">
            <v>41106</v>
          </cell>
          <cell r="B830">
            <v>41106</v>
          </cell>
          <cell r="C830" t="str">
            <v>Future</v>
          </cell>
          <cell r="D830" t="e">
            <v>#N/A</v>
          </cell>
          <cell r="E830">
            <v>0.58778625954195785</v>
          </cell>
          <cell r="F830">
            <v>25.793893129770979</v>
          </cell>
          <cell r="G830">
            <v>14.838931297710147</v>
          </cell>
          <cell r="H830">
            <v>14.838931297710147</v>
          </cell>
          <cell r="I830" t="e">
            <v>#N/A</v>
          </cell>
          <cell r="J830" t="e">
            <v>#N/A</v>
          </cell>
          <cell r="K830" t="e">
            <v>#N/A</v>
          </cell>
          <cell r="L830" t="e">
            <v>#N/A</v>
          </cell>
          <cell r="M830" t="e">
            <v>#N/A</v>
          </cell>
          <cell r="N830" t="e">
            <v>#N/A</v>
          </cell>
          <cell r="O830" t="e">
            <v>#N/A</v>
          </cell>
          <cell r="P830">
            <v>19.25</v>
          </cell>
          <cell r="Q830" t="str">
            <v/>
          </cell>
          <cell r="R830" t="e">
            <v>#N/A</v>
          </cell>
        </row>
        <row r="831">
          <cell r="A831">
            <v>41107</v>
          </cell>
          <cell r="B831">
            <v>41107</v>
          </cell>
          <cell r="C831" t="str">
            <v>Future</v>
          </cell>
          <cell r="D831" t="e">
            <v>#N/A</v>
          </cell>
          <cell r="E831">
            <v>0.51431297709920976</v>
          </cell>
          <cell r="F831">
            <v>25.819656488549604</v>
          </cell>
          <cell r="G831">
            <v>14.821564885496407</v>
          </cell>
          <cell r="H831">
            <v>14.821564885496407</v>
          </cell>
          <cell r="I831" t="e">
            <v>#N/A</v>
          </cell>
          <cell r="J831" t="e">
            <v>#N/A</v>
          </cell>
          <cell r="K831" t="e">
            <v>#N/A</v>
          </cell>
          <cell r="L831" t="e">
            <v>#N/A</v>
          </cell>
          <cell r="M831" t="e">
            <v>#N/A</v>
          </cell>
          <cell r="N831" t="e">
            <v>#N/A</v>
          </cell>
          <cell r="O831" t="e">
            <v>#N/A</v>
          </cell>
          <cell r="P831">
            <v>19.25</v>
          </cell>
          <cell r="Q831" t="str">
            <v/>
          </cell>
          <cell r="R831" t="e">
            <v>#N/A</v>
          </cell>
        </row>
        <row r="832">
          <cell r="A832">
            <v>41108</v>
          </cell>
          <cell r="B832">
            <v>41108</v>
          </cell>
          <cell r="C832" t="str">
            <v>Future</v>
          </cell>
          <cell r="D832" t="e">
            <v>#N/A</v>
          </cell>
          <cell r="E832">
            <v>0.44083969465646167</v>
          </cell>
          <cell r="F832">
            <v>25.84541984732823</v>
          </cell>
          <cell r="G832">
            <v>14.804198473282668</v>
          </cell>
          <cell r="H832">
            <v>14.804198473282668</v>
          </cell>
          <cell r="I832" t="e">
            <v>#N/A</v>
          </cell>
          <cell r="J832" t="e">
            <v>#N/A</v>
          </cell>
          <cell r="K832" t="e">
            <v>#N/A</v>
          </cell>
          <cell r="L832" t="e">
            <v>#N/A</v>
          </cell>
          <cell r="M832" t="e">
            <v>#N/A</v>
          </cell>
          <cell r="N832" t="e">
            <v>#N/A</v>
          </cell>
          <cell r="O832" t="e">
            <v>#N/A</v>
          </cell>
          <cell r="P832">
            <v>19.25</v>
          </cell>
          <cell r="Q832" t="str">
            <v/>
          </cell>
          <cell r="R832" t="e">
            <v>#N/A</v>
          </cell>
        </row>
        <row r="833">
          <cell r="A833">
            <v>41109</v>
          </cell>
          <cell r="B833">
            <v>41109</v>
          </cell>
          <cell r="C833" t="str">
            <v>Future</v>
          </cell>
          <cell r="D833" t="e">
            <v>#N/A</v>
          </cell>
          <cell r="E833">
            <v>0.36736641221371358</v>
          </cell>
          <cell r="F833">
            <v>25.871183206106856</v>
          </cell>
          <cell r="G833">
            <v>14.786832061068928</v>
          </cell>
          <cell r="H833">
            <v>14.786832061068928</v>
          </cell>
          <cell r="I833" t="e">
            <v>#N/A</v>
          </cell>
          <cell r="J833" t="e">
            <v>#N/A</v>
          </cell>
          <cell r="K833" t="e">
            <v>#N/A</v>
          </cell>
          <cell r="L833" t="e">
            <v>#N/A</v>
          </cell>
          <cell r="M833" t="e">
            <v>#N/A</v>
          </cell>
          <cell r="N833" t="e">
            <v>#N/A</v>
          </cell>
          <cell r="O833" t="e">
            <v>#N/A</v>
          </cell>
          <cell r="P833">
            <v>19.25</v>
          </cell>
          <cell r="Q833" t="str">
            <v/>
          </cell>
          <cell r="R833" t="e">
            <v>#N/A</v>
          </cell>
        </row>
        <row r="834">
          <cell r="A834">
            <v>41110</v>
          </cell>
          <cell r="B834">
            <v>41110</v>
          </cell>
          <cell r="C834" t="str">
            <v>Future</v>
          </cell>
          <cell r="D834" t="e">
            <v>#N/A</v>
          </cell>
          <cell r="E834">
            <v>0.29389312977096549</v>
          </cell>
          <cell r="F834">
            <v>25.896946564885482</v>
          </cell>
          <cell r="G834">
            <v>14.769465648855189</v>
          </cell>
          <cell r="H834">
            <v>14.769465648855189</v>
          </cell>
          <cell r="I834" t="e">
            <v>#N/A</v>
          </cell>
          <cell r="J834" t="e">
            <v>#N/A</v>
          </cell>
          <cell r="K834" t="e">
            <v>#N/A</v>
          </cell>
          <cell r="L834" t="e">
            <v>#N/A</v>
          </cell>
          <cell r="M834" t="e">
            <v>#N/A</v>
          </cell>
          <cell r="N834" t="e">
            <v>#N/A</v>
          </cell>
          <cell r="O834" t="e">
            <v>#N/A</v>
          </cell>
          <cell r="P834">
            <v>19.25</v>
          </cell>
          <cell r="Q834" t="str">
            <v/>
          </cell>
          <cell r="R834" t="e">
            <v>#N/A</v>
          </cell>
        </row>
        <row r="835">
          <cell r="A835">
            <v>41113</v>
          </cell>
          <cell r="B835">
            <v>41113</v>
          </cell>
          <cell r="C835" t="str">
            <v>Future</v>
          </cell>
          <cell r="D835" t="e">
            <v>#N/A</v>
          </cell>
          <cell r="E835">
            <v>0.2204198473282174</v>
          </cell>
          <cell r="F835">
            <v>25.922709923664108</v>
          </cell>
          <cell r="G835">
            <v>14.752099236641449</v>
          </cell>
          <cell r="H835">
            <v>14.752099236641449</v>
          </cell>
          <cell r="I835" t="e">
            <v>#N/A</v>
          </cell>
          <cell r="J835" t="e">
            <v>#N/A</v>
          </cell>
          <cell r="K835" t="e">
            <v>#N/A</v>
          </cell>
          <cell r="L835" t="e">
            <v>#N/A</v>
          </cell>
          <cell r="M835" t="e">
            <v>#N/A</v>
          </cell>
          <cell r="N835" t="e">
            <v>#N/A</v>
          </cell>
          <cell r="O835" t="e">
            <v>#N/A</v>
          </cell>
          <cell r="P835">
            <v>19.25</v>
          </cell>
          <cell r="Q835" t="str">
            <v/>
          </cell>
          <cell r="R835" t="e">
            <v>#N/A</v>
          </cell>
        </row>
        <row r="836">
          <cell r="A836">
            <v>41114</v>
          </cell>
          <cell r="B836">
            <v>41114</v>
          </cell>
          <cell r="C836" t="str">
            <v>Future</v>
          </cell>
          <cell r="D836" t="e">
            <v>#N/A</v>
          </cell>
          <cell r="E836">
            <v>0.14694656488546931</v>
          </cell>
          <cell r="F836">
            <v>25.948473282442734</v>
          </cell>
          <cell r="G836">
            <v>14.734732824427709</v>
          </cell>
          <cell r="H836">
            <v>14.734732824427709</v>
          </cell>
          <cell r="I836" t="e">
            <v>#N/A</v>
          </cell>
          <cell r="J836" t="e">
            <v>#N/A</v>
          </cell>
          <cell r="K836" t="e">
            <v>#N/A</v>
          </cell>
          <cell r="L836" t="e">
            <v>#N/A</v>
          </cell>
          <cell r="M836" t="e">
            <v>#N/A</v>
          </cell>
          <cell r="N836" t="e">
            <v>#N/A</v>
          </cell>
          <cell r="O836" t="e">
            <v>#N/A</v>
          </cell>
          <cell r="P836">
            <v>19.25</v>
          </cell>
          <cell r="Q836" t="str">
            <v/>
          </cell>
          <cell r="R836" t="e">
            <v>#N/A</v>
          </cell>
        </row>
        <row r="837">
          <cell r="A837">
            <v>41115</v>
          </cell>
          <cell r="B837">
            <v>41115</v>
          </cell>
          <cell r="C837" t="str">
            <v>Future</v>
          </cell>
          <cell r="D837" t="e">
            <v>#N/A</v>
          </cell>
          <cell r="E837">
            <v>7.3473282442721222E-2</v>
          </cell>
          <cell r="F837">
            <v>25.97423664122136</v>
          </cell>
          <cell r="G837">
            <v>14.71736641221397</v>
          </cell>
          <cell r="H837">
            <v>14.71736641221397</v>
          </cell>
          <cell r="I837" t="e">
            <v>#N/A</v>
          </cell>
          <cell r="J837" t="e">
            <v>#N/A</v>
          </cell>
          <cell r="K837">
            <v>26</v>
          </cell>
          <cell r="L837">
            <v>14.700000000000001</v>
          </cell>
          <cell r="M837" t="e">
            <v>#N/A</v>
          </cell>
          <cell r="N837">
            <v>21.200000000000003</v>
          </cell>
          <cell r="O837" t="e">
            <v>#N/A</v>
          </cell>
          <cell r="P837">
            <v>19.25</v>
          </cell>
          <cell r="Q837" t="str">
            <v/>
          </cell>
          <cell r="R837">
            <v>19.900000000000002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-2.6867397195928788E-14</v>
          </cell>
          <cell r="F838">
            <v>25.999999999999986</v>
          </cell>
          <cell r="G838">
            <v>14.70000000000023</v>
          </cell>
          <cell r="H838">
            <v>14.70000000000023</v>
          </cell>
          <cell r="I838" t="e">
            <v>#N/A</v>
          </cell>
          <cell r="J838" t="e">
            <v>#N/A</v>
          </cell>
          <cell r="K838">
            <v>26</v>
          </cell>
          <cell r="L838">
            <v>14.700000000000001</v>
          </cell>
          <cell r="M838" t="e">
            <v>#N/A</v>
          </cell>
          <cell r="N838">
            <v>21.200000000000003</v>
          </cell>
          <cell r="O838" t="e">
            <v>#N/A</v>
          </cell>
          <cell r="P838" t="str">
            <v/>
          </cell>
          <cell r="Q838" t="str">
            <v/>
          </cell>
          <cell r="R838">
            <v>19.900000000000002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-7.3473282442774956E-2</v>
          </cell>
          <cell r="F839">
            <v>26.025763358778612</v>
          </cell>
          <cell r="G839">
            <v>14.682633587786491</v>
          </cell>
          <cell r="H839">
            <v>14.682633587786491</v>
          </cell>
          <cell r="I839" t="e">
            <v>#N/A</v>
          </cell>
          <cell r="J839" t="e">
            <v>#N/A</v>
          </cell>
          <cell r="K839">
            <v>26</v>
          </cell>
          <cell r="L839">
            <v>14.700000000000001</v>
          </cell>
          <cell r="M839" t="e">
            <v>#N/A</v>
          </cell>
          <cell r="N839">
            <v>21.200000000000003</v>
          </cell>
          <cell r="O839" t="e">
            <v>#N/A</v>
          </cell>
          <cell r="P839" t="str">
            <v/>
          </cell>
          <cell r="Q839" t="str">
            <v/>
          </cell>
          <cell r="R839">
            <v>19.900000000000002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-0.14694656488552305</v>
          </cell>
          <cell r="F840">
            <v>26.051526717557238</v>
          </cell>
          <cell r="G840">
            <v>14.665267175572751</v>
          </cell>
          <cell r="H840">
            <v>14.665267175572751</v>
          </cell>
          <cell r="I840" t="e">
            <v>#N/A</v>
          </cell>
          <cell r="J840" t="e">
            <v>#N/A</v>
          </cell>
          <cell r="K840">
            <v>26</v>
          </cell>
          <cell r="L840">
            <v>14.700000000000001</v>
          </cell>
          <cell r="M840" t="e">
            <v>#N/A</v>
          </cell>
          <cell r="N840">
            <v>21.200000000000003</v>
          </cell>
          <cell r="O840" t="e">
            <v>#N/A</v>
          </cell>
          <cell r="P840" t="str">
            <v/>
          </cell>
          <cell r="Q840" t="str">
            <v/>
          </cell>
          <cell r="R840">
            <v>19.900000000000002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-0.22041984732827113</v>
          </cell>
          <cell r="F841">
            <v>26.077290076335863</v>
          </cell>
          <cell r="G841">
            <v>14.647900763359011</v>
          </cell>
          <cell r="H841">
            <v>14.647900763359011</v>
          </cell>
          <cell r="I841" t="e">
            <v>#N/A</v>
          </cell>
          <cell r="J841" t="e">
            <v>#N/A</v>
          </cell>
          <cell r="K841">
            <v>26</v>
          </cell>
          <cell r="L841">
            <v>14.700000000000001</v>
          </cell>
          <cell r="M841" t="e">
            <v>#N/A</v>
          </cell>
          <cell r="N841">
            <v>21.200000000000003</v>
          </cell>
          <cell r="O841" t="e">
            <v>#N/A</v>
          </cell>
          <cell r="P841" t="str">
            <v/>
          </cell>
          <cell r="Q841" t="str">
            <v/>
          </cell>
          <cell r="R841">
            <v>19.900000000000002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-0.29389312977101922</v>
          </cell>
          <cell r="F842">
            <v>26.103053435114489</v>
          </cell>
          <cell r="G842">
            <v>14.630534351145272</v>
          </cell>
          <cell r="H842">
            <v>14.630534351145272</v>
          </cell>
          <cell r="I842" t="e">
            <v>#N/A</v>
          </cell>
          <cell r="J842" t="e">
            <v>#N/A</v>
          </cell>
          <cell r="K842">
            <v>26</v>
          </cell>
          <cell r="L842">
            <v>14.700000000000001</v>
          </cell>
          <cell r="M842" t="e">
            <v>#N/A</v>
          </cell>
          <cell r="N842">
            <v>21.200000000000003</v>
          </cell>
          <cell r="O842" t="e">
            <v>#N/A</v>
          </cell>
          <cell r="P842" t="str">
            <v/>
          </cell>
          <cell r="Q842" t="str">
            <v/>
          </cell>
          <cell r="R842">
            <v>19.900000000000002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-0.36736641221376731</v>
          </cell>
          <cell r="F843">
            <v>26.128816793893115</v>
          </cell>
          <cell r="G843">
            <v>14.613167938931532</v>
          </cell>
          <cell r="H843">
            <v>14.613167938931532</v>
          </cell>
          <cell r="I843" t="e">
            <v>#N/A</v>
          </cell>
          <cell r="J843" t="e">
            <v>#N/A</v>
          </cell>
          <cell r="K843">
            <v>26</v>
          </cell>
          <cell r="L843">
            <v>14.700000000000001</v>
          </cell>
          <cell r="M843" t="e">
            <v>#N/A</v>
          </cell>
          <cell r="N843">
            <v>21.200000000000003</v>
          </cell>
          <cell r="O843" t="e">
            <v>#N/A</v>
          </cell>
          <cell r="P843" t="str">
            <v/>
          </cell>
          <cell r="Q843" t="str">
            <v/>
          </cell>
          <cell r="R843">
            <v>19.900000000000002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-0.4408396946565154</v>
          </cell>
          <cell r="F844">
            <v>26.154580152671741</v>
          </cell>
          <cell r="G844">
            <v>14.595801526717793</v>
          </cell>
          <cell r="H844">
            <v>14.595801526717793</v>
          </cell>
          <cell r="I844" t="e">
            <v>#N/A</v>
          </cell>
          <cell r="J844" t="e">
            <v>#N/A</v>
          </cell>
          <cell r="K844">
            <v>26</v>
          </cell>
          <cell r="L844">
            <v>14.700000000000001</v>
          </cell>
          <cell r="M844" t="e">
            <v>#N/A</v>
          </cell>
          <cell r="N844">
            <v>21.200000000000003</v>
          </cell>
          <cell r="O844" t="e">
            <v>#N/A</v>
          </cell>
          <cell r="P844" t="str">
            <v/>
          </cell>
          <cell r="Q844" t="str">
            <v/>
          </cell>
          <cell r="R844">
            <v>19.900000000000002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-0.51431297709926349</v>
          </cell>
          <cell r="F845">
            <v>26.180343511450367</v>
          </cell>
          <cell r="G845">
            <v>14.578435114504053</v>
          </cell>
          <cell r="H845">
            <v>14.578435114504053</v>
          </cell>
          <cell r="I845" t="e">
            <v>#N/A</v>
          </cell>
          <cell r="J845" t="e">
            <v>#N/A</v>
          </cell>
          <cell r="K845">
            <v>26</v>
          </cell>
          <cell r="L845">
            <v>14.700000000000001</v>
          </cell>
          <cell r="M845" t="e">
            <v>#N/A</v>
          </cell>
          <cell r="N845">
            <v>21.200000000000003</v>
          </cell>
          <cell r="O845" t="e">
            <v>#N/A</v>
          </cell>
          <cell r="P845" t="str">
            <v/>
          </cell>
          <cell r="Q845" t="str">
            <v/>
          </cell>
          <cell r="R845">
            <v>19.900000000000002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-0.58778625954201158</v>
          </cell>
          <cell r="F846">
            <v>26.206106870228993</v>
          </cell>
          <cell r="G846">
            <v>14.561068702290314</v>
          </cell>
          <cell r="H846">
            <v>14.561068702290314</v>
          </cell>
          <cell r="I846" t="e">
            <v>#N/A</v>
          </cell>
          <cell r="J846" t="e">
            <v>#N/A</v>
          </cell>
          <cell r="K846">
            <v>26</v>
          </cell>
          <cell r="L846">
            <v>14.700000000000001</v>
          </cell>
          <cell r="M846" t="e">
            <v>#N/A</v>
          </cell>
          <cell r="N846">
            <v>21.200000000000003</v>
          </cell>
          <cell r="O846" t="e">
            <v>#N/A</v>
          </cell>
          <cell r="P846" t="str">
            <v/>
          </cell>
          <cell r="Q846" t="str">
            <v/>
          </cell>
          <cell r="R846">
            <v>19.900000000000002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-0.66125954198475967</v>
          </cell>
          <cell r="F847">
            <v>26.231870229007619</v>
          </cell>
          <cell r="G847">
            <v>14.543702290076574</v>
          </cell>
          <cell r="H847">
            <v>14.543702290076574</v>
          </cell>
          <cell r="I847" t="e">
            <v>#N/A</v>
          </cell>
          <cell r="J847" t="e">
            <v>#N/A</v>
          </cell>
          <cell r="K847">
            <v>26</v>
          </cell>
          <cell r="L847">
            <v>14.700000000000001</v>
          </cell>
          <cell r="M847" t="e">
            <v>#N/A</v>
          </cell>
          <cell r="N847">
            <v>21.200000000000003</v>
          </cell>
          <cell r="O847" t="e">
            <v>#N/A</v>
          </cell>
          <cell r="P847" t="str">
            <v/>
          </cell>
          <cell r="Q847" t="str">
            <v/>
          </cell>
          <cell r="R847">
            <v>19.900000000000002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-0.73473282442750776</v>
          </cell>
          <cell r="F848">
            <v>26.257633587786245</v>
          </cell>
          <cell r="G848">
            <v>14.526335877862834</v>
          </cell>
          <cell r="H848">
            <v>14.526335877862834</v>
          </cell>
          <cell r="I848" t="e">
            <v>#N/A</v>
          </cell>
          <cell r="J848" t="e">
            <v>#N/A</v>
          </cell>
          <cell r="K848">
            <v>26</v>
          </cell>
          <cell r="L848">
            <v>14.700000000000001</v>
          </cell>
          <cell r="M848" t="e">
            <v>#N/A</v>
          </cell>
          <cell r="N848">
            <v>21.200000000000003</v>
          </cell>
          <cell r="O848" t="e">
            <v>#N/A</v>
          </cell>
          <cell r="P848" t="str">
            <v/>
          </cell>
          <cell r="Q848" t="str">
            <v/>
          </cell>
          <cell r="R848">
            <v>19.900000000000002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-0.80820610687025585</v>
          </cell>
          <cell r="F849">
            <v>26.283396946564871</v>
          </cell>
          <cell r="G849">
            <v>14.508969465649095</v>
          </cell>
          <cell r="H849">
            <v>14.508969465649095</v>
          </cell>
          <cell r="I849" t="e">
            <v>#N/A</v>
          </cell>
          <cell r="J849" t="e">
            <v>#N/A</v>
          </cell>
          <cell r="K849">
            <v>26</v>
          </cell>
          <cell r="L849">
            <v>14.700000000000001</v>
          </cell>
          <cell r="M849" t="e">
            <v>#N/A</v>
          </cell>
          <cell r="N849">
            <v>21.200000000000003</v>
          </cell>
          <cell r="O849" t="e">
            <v>#N/A</v>
          </cell>
          <cell r="P849" t="str">
            <v/>
          </cell>
          <cell r="Q849" t="str">
            <v/>
          </cell>
          <cell r="R849">
            <v>19.900000000000002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-0.88167938931300394</v>
          </cell>
          <cell r="F850">
            <v>26.309160305343497</v>
          </cell>
          <cell r="G850">
            <v>14.491603053435355</v>
          </cell>
          <cell r="H850">
            <v>14.491603053435355</v>
          </cell>
          <cell r="I850" t="e">
            <v>#N/A</v>
          </cell>
          <cell r="J850" t="e">
            <v>#N/A</v>
          </cell>
          <cell r="K850">
            <v>26</v>
          </cell>
          <cell r="L850">
            <v>14.700000000000001</v>
          </cell>
          <cell r="M850" t="e">
            <v>#N/A</v>
          </cell>
          <cell r="N850">
            <v>21.200000000000003</v>
          </cell>
          <cell r="O850" t="e">
            <v>#N/A</v>
          </cell>
          <cell r="P850" t="str">
            <v/>
          </cell>
          <cell r="Q850" t="str">
            <v/>
          </cell>
          <cell r="R850">
            <v>19.900000000000002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-0.95515267175575203</v>
          </cell>
          <cell r="F851">
            <v>26.334923664122122</v>
          </cell>
          <cell r="G851">
            <v>14.474236641221616</v>
          </cell>
          <cell r="H851">
            <v>14.474236641221616</v>
          </cell>
          <cell r="I851" t="e">
            <v>#N/A</v>
          </cell>
          <cell r="J851" t="e">
            <v>#N/A</v>
          </cell>
          <cell r="K851">
            <v>26</v>
          </cell>
          <cell r="L851">
            <v>14.700000000000001</v>
          </cell>
          <cell r="M851" t="e">
            <v>#N/A</v>
          </cell>
          <cell r="N851">
            <v>21.200000000000003</v>
          </cell>
          <cell r="O851" t="e">
            <v>#N/A</v>
          </cell>
          <cell r="P851" t="str">
            <v/>
          </cell>
          <cell r="Q851" t="str">
            <v/>
          </cell>
          <cell r="R851">
            <v>19.900000000000002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-1.0286259541985001</v>
          </cell>
          <cell r="F852">
            <v>26.360687022900748</v>
          </cell>
          <cell r="G852">
            <v>14.456870229007876</v>
          </cell>
          <cell r="H852">
            <v>14.456870229007876</v>
          </cell>
          <cell r="I852" t="e">
            <v>#N/A</v>
          </cell>
          <cell r="J852" t="e">
            <v>#N/A</v>
          </cell>
          <cell r="K852">
            <v>26</v>
          </cell>
          <cell r="L852">
            <v>14.700000000000001</v>
          </cell>
          <cell r="M852" t="e">
            <v>#N/A</v>
          </cell>
          <cell r="N852">
            <v>21.200000000000003</v>
          </cell>
          <cell r="O852" t="e">
            <v>#N/A</v>
          </cell>
          <cell r="P852" t="str">
            <v/>
          </cell>
          <cell r="Q852" t="str">
            <v/>
          </cell>
          <cell r="R852">
            <v>19.900000000000002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-1.1020992366412483</v>
          </cell>
          <cell r="F853">
            <v>26.386450381679374</v>
          </cell>
          <cell r="G853">
            <v>14.439503816794137</v>
          </cell>
          <cell r="H853">
            <v>14.439503816794137</v>
          </cell>
          <cell r="I853" t="e">
            <v>#N/A</v>
          </cell>
          <cell r="J853" t="e">
            <v>#N/A</v>
          </cell>
          <cell r="K853">
            <v>26</v>
          </cell>
          <cell r="L853">
            <v>14.700000000000001</v>
          </cell>
          <cell r="M853" t="e">
            <v>#N/A</v>
          </cell>
          <cell r="N853">
            <v>21.200000000000003</v>
          </cell>
          <cell r="O853" t="e">
            <v>#N/A</v>
          </cell>
          <cell r="P853" t="str">
            <v/>
          </cell>
          <cell r="Q853" t="str">
            <v/>
          </cell>
          <cell r="R853">
            <v>19.900000000000002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-1.1755725190839965</v>
          </cell>
          <cell r="F854">
            <v>26.412213740458</v>
          </cell>
          <cell r="G854">
            <v>14.422137404580397</v>
          </cell>
          <cell r="H854">
            <v>14.422137404580397</v>
          </cell>
          <cell r="I854" t="e">
            <v>#N/A</v>
          </cell>
          <cell r="J854" t="e">
            <v>#N/A</v>
          </cell>
          <cell r="K854">
            <v>26</v>
          </cell>
          <cell r="L854">
            <v>14.700000000000001</v>
          </cell>
          <cell r="M854" t="e">
            <v>#N/A</v>
          </cell>
          <cell r="N854">
            <v>21.200000000000003</v>
          </cell>
          <cell r="O854" t="e">
            <v>#N/A</v>
          </cell>
          <cell r="P854" t="str">
            <v/>
          </cell>
          <cell r="Q854" t="str">
            <v/>
          </cell>
          <cell r="R854">
            <v>19.900000000000002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-1.2490458015267447</v>
          </cell>
          <cell r="F855">
            <v>26.437977099236626</v>
          </cell>
          <cell r="G855">
            <v>14.404770992366657</v>
          </cell>
          <cell r="H855">
            <v>14.404770992366657</v>
          </cell>
          <cell r="I855" t="e">
            <v>#N/A</v>
          </cell>
          <cell r="J855" t="e">
            <v>#N/A</v>
          </cell>
          <cell r="K855">
            <v>26</v>
          </cell>
          <cell r="L855">
            <v>14.700000000000001</v>
          </cell>
          <cell r="M855" t="e">
            <v>#N/A</v>
          </cell>
          <cell r="N855">
            <v>21.200000000000003</v>
          </cell>
          <cell r="O855" t="e">
            <v>#N/A</v>
          </cell>
          <cell r="P855" t="str">
            <v/>
          </cell>
          <cell r="Q855" t="str">
            <v/>
          </cell>
          <cell r="R855">
            <v>19.900000000000002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-1.3225190839694929</v>
          </cell>
          <cell r="F856">
            <v>26.463740458015252</v>
          </cell>
          <cell r="G856">
            <v>14.387404580152918</v>
          </cell>
          <cell r="H856">
            <v>14.387404580152918</v>
          </cell>
          <cell r="I856" t="e">
            <v>#N/A</v>
          </cell>
          <cell r="J856" t="e">
            <v>#N/A</v>
          </cell>
          <cell r="K856">
            <v>26</v>
          </cell>
          <cell r="L856">
            <v>14.700000000000001</v>
          </cell>
          <cell r="M856" t="e">
            <v>#N/A</v>
          </cell>
          <cell r="N856">
            <v>21.200000000000003</v>
          </cell>
          <cell r="O856" t="e">
            <v>#N/A</v>
          </cell>
          <cell r="P856" t="str">
            <v/>
          </cell>
          <cell r="Q856" t="str">
            <v/>
          </cell>
          <cell r="R856">
            <v>19.900000000000002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-1.3959923664122411</v>
          </cell>
          <cell r="F857">
            <v>26.489503816793878</v>
          </cell>
          <cell r="G857">
            <v>14.370038167939178</v>
          </cell>
          <cell r="H857">
            <v>14.370038167939178</v>
          </cell>
          <cell r="I857" t="e">
            <v>#N/A</v>
          </cell>
          <cell r="J857" t="e">
            <v>#N/A</v>
          </cell>
          <cell r="K857">
            <v>26</v>
          </cell>
          <cell r="L857">
            <v>14.700000000000001</v>
          </cell>
          <cell r="M857" t="e">
            <v>#N/A</v>
          </cell>
          <cell r="N857">
            <v>21.200000000000003</v>
          </cell>
          <cell r="O857" t="e">
            <v>#N/A</v>
          </cell>
          <cell r="P857" t="str">
            <v/>
          </cell>
          <cell r="Q857" t="str">
            <v/>
          </cell>
          <cell r="R857">
            <v>19.900000000000002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-1.4694656488549893</v>
          </cell>
          <cell r="F858">
            <v>26.515267175572504</v>
          </cell>
          <cell r="G858">
            <v>14.352671755725439</v>
          </cell>
          <cell r="H858">
            <v>14.352671755725439</v>
          </cell>
          <cell r="I858" t="e">
            <v>#N/A</v>
          </cell>
          <cell r="J858" t="e">
            <v>#N/A</v>
          </cell>
          <cell r="K858">
            <v>26</v>
          </cell>
          <cell r="L858">
            <v>14.700000000000001</v>
          </cell>
          <cell r="M858" t="e">
            <v>#N/A</v>
          </cell>
          <cell r="N858">
            <v>21.200000000000003</v>
          </cell>
          <cell r="O858" t="e">
            <v>#N/A</v>
          </cell>
          <cell r="P858" t="str">
            <v/>
          </cell>
          <cell r="Q858" t="str">
            <v/>
          </cell>
          <cell r="R858">
            <v>19.900000000000002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-1.5429389312977375</v>
          </cell>
          <cell r="F859">
            <v>26.54103053435113</v>
          </cell>
          <cell r="G859">
            <v>14.335305343511699</v>
          </cell>
          <cell r="H859">
            <v>14.335305343511699</v>
          </cell>
          <cell r="I859" t="e">
            <v>#N/A</v>
          </cell>
          <cell r="J859" t="e">
            <v>#N/A</v>
          </cell>
          <cell r="K859">
            <v>26</v>
          </cell>
          <cell r="L859">
            <v>14.700000000000001</v>
          </cell>
          <cell r="M859" t="e">
            <v>#N/A</v>
          </cell>
          <cell r="N859">
            <v>21.200000000000003</v>
          </cell>
          <cell r="O859" t="e">
            <v>#N/A</v>
          </cell>
          <cell r="P859" t="str">
            <v/>
          </cell>
          <cell r="Q859" t="str">
            <v/>
          </cell>
          <cell r="R859">
            <v>19.900000000000002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-1.6164122137404857</v>
          </cell>
          <cell r="F860">
            <v>26.566793893129756</v>
          </cell>
          <cell r="G860">
            <v>14.317938931297959</v>
          </cell>
          <cell r="H860">
            <v>14.317938931297959</v>
          </cell>
          <cell r="I860" t="e">
            <v>#N/A</v>
          </cell>
          <cell r="J860" t="e">
            <v>#N/A</v>
          </cell>
          <cell r="K860">
            <v>26</v>
          </cell>
          <cell r="L860">
            <v>14.700000000000001</v>
          </cell>
          <cell r="M860" t="e">
            <v>#N/A</v>
          </cell>
          <cell r="N860">
            <v>21.200000000000003</v>
          </cell>
          <cell r="O860" t="e">
            <v>#N/A</v>
          </cell>
          <cell r="P860" t="str">
            <v/>
          </cell>
          <cell r="Q860" t="str">
            <v/>
          </cell>
          <cell r="R860">
            <v>19.900000000000002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-1.6898854961832339</v>
          </cell>
          <cell r="F861">
            <v>26.592557251908381</v>
          </cell>
          <cell r="G861">
            <v>14.30057251908422</v>
          </cell>
          <cell r="H861">
            <v>14.30057251908422</v>
          </cell>
          <cell r="I861" t="e">
            <v>#N/A</v>
          </cell>
          <cell r="J861" t="e">
            <v>#N/A</v>
          </cell>
          <cell r="K861">
            <v>26</v>
          </cell>
          <cell r="L861">
            <v>14.700000000000001</v>
          </cell>
          <cell r="M861" t="e">
            <v>#N/A</v>
          </cell>
          <cell r="N861">
            <v>21.200000000000003</v>
          </cell>
          <cell r="O861" t="e">
            <v>#N/A</v>
          </cell>
          <cell r="P861" t="str">
            <v/>
          </cell>
          <cell r="Q861" t="str">
            <v/>
          </cell>
          <cell r="R861">
            <v>19.900000000000002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-1.7633587786259821</v>
          </cell>
          <cell r="F862">
            <v>26.618320610687007</v>
          </cell>
          <cell r="G862">
            <v>14.28320610687048</v>
          </cell>
          <cell r="H862">
            <v>14.28320610687048</v>
          </cell>
          <cell r="I862" t="e">
            <v>#N/A</v>
          </cell>
          <cell r="J862" t="e">
            <v>#N/A</v>
          </cell>
          <cell r="K862">
            <v>26</v>
          </cell>
          <cell r="L862">
            <v>14.700000000000001</v>
          </cell>
          <cell r="M862" t="e">
            <v>#N/A</v>
          </cell>
          <cell r="N862">
            <v>21.200000000000003</v>
          </cell>
          <cell r="O862" t="e">
            <v>#N/A</v>
          </cell>
          <cell r="P862" t="str">
            <v/>
          </cell>
          <cell r="Q862" t="str">
            <v/>
          </cell>
          <cell r="R862">
            <v>19.900000000000002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-1.8368320610687303</v>
          </cell>
          <cell r="F863">
            <v>26.644083969465633</v>
          </cell>
          <cell r="G863">
            <v>14.265839694656741</v>
          </cell>
          <cell r="H863">
            <v>14.265839694656741</v>
          </cell>
          <cell r="I863" t="e">
            <v>#N/A</v>
          </cell>
          <cell r="J863" t="e">
            <v>#N/A</v>
          </cell>
          <cell r="K863">
            <v>26</v>
          </cell>
          <cell r="L863">
            <v>14.700000000000001</v>
          </cell>
          <cell r="M863" t="e">
            <v>#N/A</v>
          </cell>
          <cell r="N863">
            <v>21.200000000000003</v>
          </cell>
          <cell r="O863" t="e">
            <v>#N/A</v>
          </cell>
          <cell r="P863" t="str">
            <v/>
          </cell>
          <cell r="Q863" t="str">
            <v/>
          </cell>
          <cell r="R863">
            <v>19.900000000000002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-1.9103053435114785</v>
          </cell>
          <cell r="F864">
            <v>26.669847328244259</v>
          </cell>
          <cell r="G864">
            <v>14.248473282443001</v>
          </cell>
          <cell r="H864">
            <v>14.248473282443001</v>
          </cell>
          <cell r="I864" t="e">
            <v>#N/A</v>
          </cell>
          <cell r="J864" t="e">
            <v>#N/A</v>
          </cell>
          <cell r="K864">
            <v>26</v>
          </cell>
          <cell r="L864">
            <v>14.700000000000001</v>
          </cell>
          <cell r="M864" t="e">
            <v>#N/A</v>
          </cell>
          <cell r="N864">
            <v>21.200000000000003</v>
          </cell>
          <cell r="O864" t="e">
            <v>#N/A</v>
          </cell>
          <cell r="P864" t="str">
            <v/>
          </cell>
          <cell r="Q864" t="str">
            <v/>
          </cell>
          <cell r="R864">
            <v>19.900000000000002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-1.9837786259542267</v>
          </cell>
          <cell r="F865">
            <v>26.695610687022885</v>
          </cell>
          <cell r="G865">
            <v>14.231106870229262</v>
          </cell>
          <cell r="H865">
            <v>14.231106870229262</v>
          </cell>
          <cell r="I865" t="e">
            <v>#N/A</v>
          </cell>
          <cell r="J865" t="e">
            <v>#N/A</v>
          </cell>
          <cell r="K865">
            <v>26</v>
          </cell>
          <cell r="L865">
            <v>14.700000000000001</v>
          </cell>
          <cell r="M865" t="e">
            <v>#N/A</v>
          </cell>
          <cell r="N865">
            <v>21.200000000000003</v>
          </cell>
          <cell r="O865" t="e">
            <v>#N/A</v>
          </cell>
          <cell r="P865" t="str">
            <v/>
          </cell>
          <cell r="Q865" t="str">
            <v/>
          </cell>
          <cell r="R865">
            <v>19.900000000000002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-2.0572519083969749</v>
          </cell>
          <cell r="F866">
            <v>26.721374045801511</v>
          </cell>
          <cell r="G866">
            <v>14.213740458015522</v>
          </cell>
          <cell r="H866">
            <v>14.213740458015522</v>
          </cell>
          <cell r="I866" t="e">
            <v>#N/A</v>
          </cell>
          <cell r="J866" t="e">
            <v>#N/A</v>
          </cell>
          <cell r="K866">
            <v>26</v>
          </cell>
          <cell r="L866">
            <v>14.700000000000001</v>
          </cell>
          <cell r="M866" t="e">
            <v>#N/A</v>
          </cell>
          <cell r="N866">
            <v>21.200000000000003</v>
          </cell>
          <cell r="O866" t="e">
            <v>#N/A</v>
          </cell>
          <cell r="P866" t="str">
            <v/>
          </cell>
          <cell r="Q866" t="str">
            <v/>
          </cell>
          <cell r="R866">
            <v>19.900000000000002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-2.1307251908397231</v>
          </cell>
          <cell r="F867">
            <v>26.747137404580137</v>
          </cell>
          <cell r="G867">
            <v>14.196374045801782</v>
          </cell>
          <cell r="H867">
            <v>14.196374045801782</v>
          </cell>
          <cell r="I867" t="e">
            <v>#N/A</v>
          </cell>
          <cell r="J867" t="e">
            <v>#N/A</v>
          </cell>
          <cell r="K867">
            <v>26</v>
          </cell>
          <cell r="L867">
            <v>14.700000000000001</v>
          </cell>
          <cell r="M867" t="e">
            <v>#N/A</v>
          </cell>
          <cell r="N867">
            <v>21.200000000000003</v>
          </cell>
          <cell r="O867" t="e">
            <v>#N/A</v>
          </cell>
          <cell r="P867" t="str">
            <v/>
          </cell>
          <cell r="Q867" t="str">
            <v/>
          </cell>
          <cell r="R867">
            <v>19.900000000000002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-2.2041984732824713</v>
          </cell>
          <cell r="F868">
            <v>26.772900763358763</v>
          </cell>
          <cell r="G868">
            <v>14.179007633588043</v>
          </cell>
          <cell r="H868">
            <v>14.179007633588043</v>
          </cell>
          <cell r="I868" t="e">
            <v>#N/A</v>
          </cell>
          <cell r="J868" t="e">
            <v>#N/A</v>
          </cell>
          <cell r="K868">
            <v>26</v>
          </cell>
          <cell r="L868">
            <v>14.700000000000001</v>
          </cell>
          <cell r="M868" t="e">
            <v>#N/A</v>
          </cell>
          <cell r="N868">
            <v>21.200000000000003</v>
          </cell>
          <cell r="O868" t="e">
            <v>#N/A</v>
          </cell>
          <cell r="P868" t="str">
            <v/>
          </cell>
          <cell r="Q868" t="str">
            <v/>
          </cell>
          <cell r="R868">
            <v>19.900000000000002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-2.2776717557252195</v>
          </cell>
          <cell r="F869">
            <v>26.798664122137389</v>
          </cell>
          <cell r="G869">
            <v>14.161641221374303</v>
          </cell>
          <cell r="H869">
            <v>14.161641221374303</v>
          </cell>
          <cell r="I869" t="e">
            <v>#N/A</v>
          </cell>
          <cell r="J869" t="e">
            <v>#N/A</v>
          </cell>
          <cell r="K869">
            <v>26</v>
          </cell>
          <cell r="L869">
            <v>14.700000000000001</v>
          </cell>
          <cell r="M869" t="e">
            <v>#N/A</v>
          </cell>
          <cell r="N869">
            <v>21.200000000000003</v>
          </cell>
          <cell r="O869" t="e">
            <v>#N/A</v>
          </cell>
          <cell r="P869" t="str">
            <v/>
          </cell>
          <cell r="Q869" t="str">
            <v/>
          </cell>
          <cell r="R869">
            <v>19.900000000000002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-2.3511450381679677</v>
          </cell>
          <cell r="F870">
            <v>26.824427480916015</v>
          </cell>
          <cell r="G870">
            <v>14.144274809160564</v>
          </cell>
          <cell r="H870">
            <v>14.144274809160564</v>
          </cell>
          <cell r="I870" t="e">
            <v>#N/A</v>
          </cell>
          <cell r="J870" t="e">
            <v>#N/A</v>
          </cell>
          <cell r="K870">
            <v>26</v>
          </cell>
          <cell r="L870">
            <v>14.700000000000001</v>
          </cell>
          <cell r="M870" t="e">
            <v>#N/A</v>
          </cell>
          <cell r="N870">
            <v>21.200000000000003</v>
          </cell>
          <cell r="O870" t="e">
            <v>#N/A</v>
          </cell>
          <cell r="P870" t="str">
            <v/>
          </cell>
          <cell r="Q870" t="str">
            <v/>
          </cell>
          <cell r="R870">
            <v>19.900000000000002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-2.4246183206107159</v>
          </cell>
          <cell r="F871">
            <v>26.85019083969464</v>
          </cell>
          <cell r="G871">
            <v>14.126908396946824</v>
          </cell>
          <cell r="H871">
            <v>14.126908396946824</v>
          </cell>
          <cell r="I871" t="e">
            <v>#N/A</v>
          </cell>
          <cell r="J871" t="e">
            <v>#N/A</v>
          </cell>
          <cell r="K871">
            <v>26</v>
          </cell>
          <cell r="L871">
            <v>14.700000000000001</v>
          </cell>
          <cell r="M871" t="e">
            <v>#N/A</v>
          </cell>
          <cell r="N871">
            <v>21.200000000000003</v>
          </cell>
          <cell r="O871" t="e">
            <v>#N/A</v>
          </cell>
          <cell r="P871" t="str">
            <v/>
          </cell>
          <cell r="Q871" t="str">
            <v/>
          </cell>
          <cell r="R871">
            <v>19.900000000000002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-2.4980916030534641</v>
          </cell>
          <cell r="F872">
            <v>26.875954198473266</v>
          </cell>
          <cell r="G872">
            <v>14.109541984733085</v>
          </cell>
          <cell r="H872">
            <v>14.109541984733085</v>
          </cell>
          <cell r="I872" t="e">
            <v>#N/A</v>
          </cell>
          <cell r="J872" t="e">
            <v>#N/A</v>
          </cell>
          <cell r="K872">
            <v>26</v>
          </cell>
          <cell r="L872">
            <v>14.700000000000001</v>
          </cell>
          <cell r="M872" t="e">
            <v>#N/A</v>
          </cell>
          <cell r="N872">
            <v>21.200000000000003</v>
          </cell>
          <cell r="O872" t="e">
            <v>#N/A</v>
          </cell>
          <cell r="P872" t="str">
            <v/>
          </cell>
          <cell r="Q872" t="str">
            <v/>
          </cell>
          <cell r="R872">
            <v>19.900000000000002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-2.5715648854962123</v>
          </cell>
          <cell r="F873">
            <v>26.901717557251892</v>
          </cell>
          <cell r="G873">
            <v>14.092175572519345</v>
          </cell>
          <cell r="H873">
            <v>14.092175572519345</v>
          </cell>
          <cell r="I873" t="e">
            <v>#N/A</v>
          </cell>
          <cell r="J873" t="e">
            <v>#N/A</v>
          </cell>
          <cell r="K873">
            <v>26</v>
          </cell>
          <cell r="L873">
            <v>14.700000000000001</v>
          </cell>
          <cell r="M873" t="e">
            <v>#N/A</v>
          </cell>
          <cell r="N873">
            <v>21.200000000000003</v>
          </cell>
          <cell r="O873" t="e">
            <v>#N/A</v>
          </cell>
          <cell r="P873" t="str">
            <v/>
          </cell>
          <cell r="Q873" t="str">
            <v/>
          </cell>
          <cell r="R873">
            <v>19.900000000000002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-2.6450381679389605</v>
          </cell>
          <cell r="F874">
            <v>26.927480916030518</v>
          </cell>
          <cell r="G874">
            <v>14.074809160305605</v>
          </cell>
          <cell r="H874">
            <v>14.074809160305605</v>
          </cell>
          <cell r="I874" t="e">
            <v>#N/A</v>
          </cell>
          <cell r="J874" t="e">
            <v>#N/A</v>
          </cell>
          <cell r="K874">
            <v>26</v>
          </cell>
          <cell r="L874">
            <v>14.700000000000001</v>
          </cell>
          <cell r="M874" t="e">
            <v>#N/A</v>
          </cell>
          <cell r="N874">
            <v>21.200000000000003</v>
          </cell>
          <cell r="O874" t="e">
            <v>#N/A</v>
          </cell>
          <cell r="P874" t="str">
            <v/>
          </cell>
          <cell r="Q874" t="str">
            <v/>
          </cell>
          <cell r="R874">
            <v>19.900000000000002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-2.7185114503817087</v>
          </cell>
          <cell r="F875">
            <v>26.953244274809144</v>
          </cell>
          <cell r="G875">
            <v>14.057442748091866</v>
          </cell>
          <cell r="H875">
            <v>14.057442748091866</v>
          </cell>
          <cell r="I875" t="e">
            <v>#N/A</v>
          </cell>
          <cell r="J875" t="e">
            <v>#N/A</v>
          </cell>
          <cell r="K875">
            <v>26</v>
          </cell>
          <cell r="L875">
            <v>14.700000000000001</v>
          </cell>
          <cell r="M875" t="e">
            <v>#N/A</v>
          </cell>
          <cell r="N875">
            <v>21.200000000000003</v>
          </cell>
          <cell r="O875" t="e">
            <v>#N/A</v>
          </cell>
          <cell r="P875" t="str">
            <v/>
          </cell>
          <cell r="Q875" t="str">
            <v/>
          </cell>
          <cell r="R875">
            <v>19.900000000000002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-2.7919847328244569</v>
          </cell>
          <cell r="F876">
            <v>26.97900763358777</v>
          </cell>
          <cell r="G876">
            <v>14.040076335878126</v>
          </cell>
          <cell r="H876">
            <v>14.040076335878126</v>
          </cell>
          <cell r="I876" t="e">
            <v>#N/A</v>
          </cell>
          <cell r="J876" t="e">
            <v>#N/A</v>
          </cell>
          <cell r="K876">
            <v>26</v>
          </cell>
          <cell r="L876">
            <v>14.700000000000001</v>
          </cell>
          <cell r="M876" t="e">
            <v>#N/A</v>
          </cell>
          <cell r="N876">
            <v>21.200000000000003</v>
          </cell>
          <cell r="O876" t="e">
            <v>#N/A</v>
          </cell>
          <cell r="P876" t="str">
            <v/>
          </cell>
          <cell r="Q876" t="str">
            <v/>
          </cell>
          <cell r="R876">
            <v>19.900000000000002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-2.8654580152672051</v>
          </cell>
          <cell r="F877">
            <v>27.004770992366396</v>
          </cell>
          <cell r="G877">
            <v>14.022709923664387</v>
          </cell>
          <cell r="H877">
            <v>14.022709923664387</v>
          </cell>
          <cell r="I877" t="e">
            <v>#N/A</v>
          </cell>
          <cell r="J877" t="e">
            <v>#N/A</v>
          </cell>
          <cell r="K877">
            <v>26</v>
          </cell>
          <cell r="L877">
            <v>14.700000000000001</v>
          </cell>
          <cell r="M877" t="e">
            <v>#N/A</v>
          </cell>
          <cell r="N877">
            <v>21.200000000000003</v>
          </cell>
          <cell r="O877" t="e">
            <v>#N/A</v>
          </cell>
          <cell r="P877" t="str">
            <v/>
          </cell>
          <cell r="Q877" t="str">
            <v/>
          </cell>
          <cell r="R877">
            <v>19.900000000000002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-2.9389312977099533</v>
          </cell>
          <cell r="F878">
            <v>27.030534351145022</v>
          </cell>
          <cell r="G878">
            <v>14.005343511450647</v>
          </cell>
          <cell r="H878">
            <v>14.005343511450647</v>
          </cell>
          <cell r="I878" t="e">
            <v>#N/A</v>
          </cell>
          <cell r="J878" t="e">
            <v>#N/A</v>
          </cell>
          <cell r="K878">
            <v>26</v>
          </cell>
          <cell r="L878">
            <v>14.700000000000001</v>
          </cell>
          <cell r="M878" t="e">
            <v>#N/A</v>
          </cell>
          <cell r="N878">
            <v>21.200000000000003</v>
          </cell>
          <cell r="O878" t="e">
            <v>#N/A</v>
          </cell>
          <cell r="P878" t="str">
            <v/>
          </cell>
          <cell r="Q878" t="str">
            <v/>
          </cell>
          <cell r="R878">
            <v>19.900000000000002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-3.0124045801527015</v>
          </cell>
          <cell r="F879">
            <v>27.056297709923648</v>
          </cell>
          <cell r="G879">
            <v>13.987977099236907</v>
          </cell>
          <cell r="H879">
            <v>13.987977099236907</v>
          </cell>
          <cell r="I879" t="e">
            <v>#N/A</v>
          </cell>
          <cell r="J879" t="e">
            <v>#N/A</v>
          </cell>
          <cell r="K879">
            <v>26</v>
          </cell>
          <cell r="L879">
            <v>14.700000000000001</v>
          </cell>
          <cell r="M879" t="e">
            <v>#N/A</v>
          </cell>
          <cell r="N879">
            <v>21.200000000000003</v>
          </cell>
          <cell r="O879" t="e">
            <v>#N/A</v>
          </cell>
          <cell r="P879" t="str">
            <v/>
          </cell>
          <cell r="Q879" t="str">
            <v/>
          </cell>
          <cell r="R879">
            <v>19.900000000000002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-3.0858778625954497</v>
          </cell>
          <cell r="F880">
            <v>27.082061068702274</v>
          </cell>
          <cell r="G880">
            <v>13.970610687023168</v>
          </cell>
          <cell r="H880">
            <v>13.970610687023168</v>
          </cell>
          <cell r="I880" t="e">
            <v>#N/A</v>
          </cell>
          <cell r="J880" t="e">
            <v>#N/A</v>
          </cell>
          <cell r="K880">
            <v>26</v>
          </cell>
          <cell r="L880">
            <v>14.700000000000001</v>
          </cell>
          <cell r="M880" t="e">
            <v>#N/A</v>
          </cell>
          <cell r="N880">
            <v>21.200000000000003</v>
          </cell>
          <cell r="O880" t="e">
            <v>#N/A</v>
          </cell>
          <cell r="P880" t="str">
            <v/>
          </cell>
          <cell r="Q880" t="str">
            <v/>
          </cell>
          <cell r="R880">
            <v>19.900000000000002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-3.1593511450381979</v>
          </cell>
          <cell r="F881">
            <v>27.107824427480899</v>
          </cell>
          <cell r="G881">
            <v>13.953244274809428</v>
          </cell>
          <cell r="H881">
            <v>13.953244274809428</v>
          </cell>
          <cell r="I881" t="e">
            <v>#N/A</v>
          </cell>
          <cell r="J881" t="e">
            <v>#N/A</v>
          </cell>
          <cell r="K881">
            <v>26</v>
          </cell>
          <cell r="L881">
            <v>14.700000000000001</v>
          </cell>
          <cell r="M881" t="e">
            <v>#N/A</v>
          </cell>
          <cell r="N881">
            <v>21.200000000000003</v>
          </cell>
          <cell r="O881" t="e">
            <v>#N/A</v>
          </cell>
          <cell r="P881" t="str">
            <v/>
          </cell>
          <cell r="Q881" t="str">
            <v/>
          </cell>
          <cell r="R881">
            <v>19.900000000000002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-3.2328244274809461</v>
          </cell>
          <cell r="F882">
            <v>27.133587786259525</v>
          </cell>
          <cell r="G882">
            <v>13.935877862595689</v>
          </cell>
          <cell r="H882">
            <v>13.935877862595689</v>
          </cell>
          <cell r="I882" t="e">
            <v>#N/A</v>
          </cell>
          <cell r="J882" t="e">
            <v>#N/A</v>
          </cell>
          <cell r="K882">
            <v>26</v>
          </cell>
          <cell r="L882">
            <v>14.700000000000001</v>
          </cell>
          <cell r="M882" t="e">
            <v>#N/A</v>
          </cell>
          <cell r="N882">
            <v>21.200000000000003</v>
          </cell>
          <cell r="O882" t="e">
            <v>#N/A</v>
          </cell>
          <cell r="P882" t="str">
            <v/>
          </cell>
          <cell r="Q882" t="str">
            <v/>
          </cell>
          <cell r="R882">
            <v>19.900000000000002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-3.3062977099236943</v>
          </cell>
          <cell r="F883">
            <v>27.159351145038151</v>
          </cell>
          <cell r="G883">
            <v>13.918511450381949</v>
          </cell>
          <cell r="H883">
            <v>13.918511450381949</v>
          </cell>
          <cell r="I883" t="e">
            <v>#N/A</v>
          </cell>
          <cell r="J883" t="e">
            <v>#N/A</v>
          </cell>
          <cell r="K883">
            <v>26</v>
          </cell>
          <cell r="L883">
            <v>14.700000000000001</v>
          </cell>
          <cell r="M883" t="e">
            <v>#N/A</v>
          </cell>
          <cell r="N883">
            <v>21.200000000000003</v>
          </cell>
          <cell r="O883" t="e">
            <v>#N/A</v>
          </cell>
          <cell r="P883" t="str">
            <v/>
          </cell>
          <cell r="Q883" t="str">
            <v/>
          </cell>
          <cell r="R883">
            <v>19.900000000000002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-3.3797709923664425</v>
          </cell>
          <cell r="F884">
            <v>27.185114503816777</v>
          </cell>
          <cell r="G884">
            <v>13.90114503816821</v>
          </cell>
          <cell r="H884">
            <v>13.90114503816821</v>
          </cell>
          <cell r="I884" t="e">
            <v>#N/A</v>
          </cell>
          <cell r="J884" t="e">
            <v>#N/A</v>
          </cell>
          <cell r="K884">
            <v>26</v>
          </cell>
          <cell r="L884">
            <v>14.700000000000001</v>
          </cell>
          <cell r="M884" t="e">
            <v>#N/A</v>
          </cell>
          <cell r="N884">
            <v>21.200000000000003</v>
          </cell>
          <cell r="O884" t="e">
            <v>#N/A</v>
          </cell>
          <cell r="P884" t="str">
            <v/>
          </cell>
          <cell r="Q884" t="str">
            <v/>
          </cell>
          <cell r="R884">
            <v>19.900000000000002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-3.4532442748091907</v>
          </cell>
          <cell r="F885">
            <v>27.210877862595403</v>
          </cell>
          <cell r="G885">
            <v>13.88377862595447</v>
          </cell>
          <cell r="H885">
            <v>13.88377862595447</v>
          </cell>
          <cell r="I885" t="e">
            <v>#N/A</v>
          </cell>
          <cell r="J885" t="e">
            <v>#N/A</v>
          </cell>
          <cell r="K885">
            <v>26</v>
          </cell>
          <cell r="L885">
            <v>14.700000000000001</v>
          </cell>
          <cell r="M885" t="e">
            <v>#N/A</v>
          </cell>
          <cell r="N885">
            <v>21.200000000000003</v>
          </cell>
          <cell r="O885" t="e">
            <v>#N/A</v>
          </cell>
          <cell r="P885" t="str">
            <v/>
          </cell>
          <cell r="Q885" t="str">
            <v/>
          </cell>
          <cell r="R885">
            <v>19.900000000000002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-3.5267175572519389</v>
          </cell>
          <cell r="F886">
            <v>27.236641221374029</v>
          </cell>
          <cell r="G886">
            <v>13.86641221374073</v>
          </cell>
          <cell r="H886">
            <v>13.86641221374073</v>
          </cell>
          <cell r="I886" t="e">
            <v>#N/A</v>
          </cell>
          <cell r="J886" t="e">
            <v>#N/A</v>
          </cell>
          <cell r="K886">
            <v>26</v>
          </cell>
          <cell r="L886">
            <v>14.700000000000001</v>
          </cell>
          <cell r="M886" t="e">
            <v>#N/A</v>
          </cell>
          <cell r="N886">
            <v>21.200000000000003</v>
          </cell>
          <cell r="O886" t="e">
            <v>#N/A</v>
          </cell>
          <cell r="P886" t="str">
            <v/>
          </cell>
          <cell r="Q886" t="str">
            <v/>
          </cell>
          <cell r="R886">
            <v>19.900000000000002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-3.6001908396946871</v>
          </cell>
          <cell r="F887">
            <v>27.262404580152655</v>
          </cell>
          <cell r="G887">
            <v>13.849045801526991</v>
          </cell>
          <cell r="H887">
            <v>13.849045801526991</v>
          </cell>
          <cell r="I887" t="e">
            <v>#N/A</v>
          </cell>
          <cell r="J887" t="e">
            <v>#N/A</v>
          </cell>
          <cell r="K887">
            <v>26</v>
          </cell>
          <cell r="L887">
            <v>14.700000000000001</v>
          </cell>
          <cell r="M887" t="e">
            <v>#N/A</v>
          </cell>
          <cell r="N887">
            <v>21.200000000000003</v>
          </cell>
          <cell r="O887" t="e">
            <v>#N/A</v>
          </cell>
          <cell r="P887" t="str">
            <v/>
          </cell>
          <cell r="Q887" t="str">
            <v/>
          </cell>
          <cell r="R887">
            <v>19.900000000000002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-3.6736641221374353</v>
          </cell>
          <cell r="F888">
            <v>27.288167938931281</v>
          </cell>
          <cell r="G888">
            <v>13.831679389313251</v>
          </cell>
          <cell r="H888">
            <v>13.831679389313251</v>
          </cell>
          <cell r="I888" t="e">
            <v>#N/A</v>
          </cell>
          <cell r="J888" t="e">
            <v>#N/A</v>
          </cell>
          <cell r="K888">
            <v>26</v>
          </cell>
          <cell r="L888">
            <v>14.700000000000001</v>
          </cell>
          <cell r="M888" t="e">
            <v>#N/A</v>
          </cell>
          <cell r="N888">
            <v>21.200000000000003</v>
          </cell>
          <cell r="O888" t="e">
            <v>#N/A</v>
          </cell>
          <cell r="P888" t="str">
            <v/>
          </cell>
          <cell r="Q888" t="str">
            <v/>
          </cell>
          <cell r="R888">
            <v>19.900000000000002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-3.7471374045801835</v>
          </cell>
          <cell r="F889">
            <v>27.313931297709907</v>
          </cell>
          <cell r="G889">
            <v>13.814312977099512</v>
          </cell>
          <cell r="H889">
            <v>13.814312977099512</v>
          </cell>
          <cell r="I889" t="e">
            <v>#N/A</v>
          </cell>
          <cell r="J889" t="e">
            <v>#N/A</v>
          </cell>
          <cell r="K889">
            <v>26</v>
          </cell>
          <cell r="L889">
            <v>14.700000000000001</v>
          </cell>
          <cell r="M889" t="e">
            <v>#N/A</v>
          </cell>
          <cell r="N889">
            <v>21.200000000000003</v>
          </cell>
          <cell r="O889" t="e">
            <v>#N/A</v>
          </cell>
          <cell r="P889" t="str">
            <v/>
          </cell>
          <cell r="Q889" t="str">
            <v/>
          </cell>
          <cell r="R889">
            <v>19.900000000000002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-3.8206106870229317</v>
          </cell>
          <cell r="F890">
            <v>27.339694656488533</v>
          </cell>
          <cell r="G890">
            <v>13.796946564885772</v>
          </cell>
          <cell r="H890">
            <v>13.796946564885772</v>
          </cell>
          <cell r="I890" t="e">
            <v>#N/A</v>
          </cell>
          <cell r="J890" t="e">
            <v>#N/A</v>
          </cell>
          <cell r="K890">
            <v>26</v>
          </cell>
          <cell r="L890">
            <v>14.700000000000001</v>
          </cell>
          <cell r="M890" t="e">
            <v>#N/A</v>
          </cell>
          <cell r="N890">
            <v>21.200000000000003</v>
          </cell>
          <cell r="O890" t="e">
            <v>#N/A</v>
          </cell>
          <cell r="P890" t="str">
            <v/>
          </cell>
          <cell r="Q890" t="str">
            <v/>
          </cell>
          <cell r="R890">
            <v>19.900000000000002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-3.8940839694656799</v>
          </cell>
          <cell r="F891">
            <v>27.365458015267158</v>
          </cell>
          <cell r="G891">
            <v>13.779580152672033</v>
          </cell>
          <cell r="H891">
            <v>13.779580152672033</v>
          </cell>
          <cell r="I891" t="e">
            <v>#N/A</v>
          </cell>
          <cell r="J891" t="e">
            <v>#N/A</v>
          </cell>
          <cell r="K891">
            <v>26</v>
          </cell>
          <cell r="L891">
            <v>14.700000000000001</v>
          </cell>
          <cell r="M891" t="e">
            <v>#N/A</v>
          </cell>
          <cell r="N891">
            <v>21.200000000000003</v>
          </cell>
          <cell r="O891" t="e">
            <v>#N/A</v>
          </cell>
          <cell r="P891" t="str">
            <v/>
          </cell>
          <cell r="Q891" t="str">
            <v/>
          </cell>
          <cell r="R891">
            <v>19.900000000000002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-3.9675572519084281</v>
          </cell>
          <cell r="F892">
            <v>27.391221374045784</v>
          </cell>
          <cell r="G892">
            <v>13.762213740458293</v>
          </cell>
          <cell r="H892">
            <v>13.762213740458293</v>
          </cell>
          <cell r="I892" t="e">
            <v>#N/A</v>
          </cell>
          <cell r="J892" t="e">
            <v>#N/A</v>
          </cell>
          <cell r="K892">
            <v>26</v>
          </cell>
          <cell r="L892">
            <v>14.700000000000001</v>
          </cell>
          <cell r="M892" t="e">
            <v>#N/A</v>
          </cell>
          <cell r="N892">
            <v>21.200000000000003</v>
          </cell>
          <cell r="O892" t="e">
            <v>#N/A</v>
          </cell>
          <cell r="P892" t="str">
            <v/>
          </cell>
          <cell r="Q892" t="str">
            <v/>
          </cell>
          <cell r="R892">
            <v>19.900000000000002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-4.0410305343511759</v>
          </cell>
          <cell r="F893">
            <v>27.41698473282441</v>
          </cell>
          <cell r="G893">
            <v>13.744847328244553</v>
          </cell>
          <cell r="H893">
            <v>13.744847328244553</v>
          </cell>
          <cell r="I893" t="e">
            <v>#N/A</v>
          </cell>
          <cell r="J893" t="e">
            <v>#N/A</v>
          </cell>
          <cell r="K893">
            <v>26</v>
          </cell>
          <cell r="L893">
            <v>14.700000000000001</v>
          </cell>
          <cell r="M893" t="e">
            <v>#N/A</v>
          </cell>
          <cell r="N893">
            <v>21.200000000000003</v>
          </cell>
          <cell r="O893" t="e">
            <v>#N/A</v>
          </cell>
          <cell r="P893" t="str">
            <v/>
          </cell>
          <cell r="Q893" t="str">
            <v/>
          </cell>
          <cell r="R893">
            <v>19.900000000000002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-4.1145038167939241</v>
          </cell>
          <cell r="F894">
            <v>27.442748091603036</v>
          </cell>
          <cell r="G894">
            <v>13.727480916030814</v>
          </cell>
          <cell r="H894">
            <v>13.727480916030814</v>
          </cell>
          <cell r="I894" t="e">
            <v>#N/A</v>
          </cell>
          <cell r="J894" t="e">
            <v>#N/A</v>
          </cell>
          <cell r="K894">
            <v>26</v>
          </cell>
          <cell r="L894">
            <v>14.700000000000001</v>
          </cell>
          <cell r="M894" t="e">
            <v>#N/A</v>
          </cell>
          <cell r="N894">
            <v>21.200000000000003</v>
          </cell>
          <cell r="O894" t="e">
            <v>#N/A</v>
          </cell>
          <cell r="P894" t="str">
            <v/>
          </cell>
          <cell r="Q894" t="str">
            <v/>
          </cell>
          <cell r="R894">
            <v>19.900000000000002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-4.1879770992366723</v>
          </cell>
          <cell r="F895">
            <v>27.468511450381662</v>
          </cell>
          <cell r="G895">
            <v>13.710114503817074</v>
          </cell>
          <cell r="H895">
            <v>13.710114503817074</v>
          </cell>
          <cell r="I895" t="e">
            <v>#N/A</v>
          </cell>
          <cell r="J895" t="e">
            <v>#N/A</v>
          </cell>
          <cell r="K895">
            <v>26</v>
          </cell>
          <cell r="L895">
            <v>14.700000000000001</v>
          </cell>
          <cell r="M895" t="e">
            <v>#N/A</v>
          </cell>
          <cell r="N895">
            <v>21.200000000000003</v>
          </cell>
          <cell r="O895" t="e">
            <v>#N/A</v>
          </cell>
          <cell r="P895" t="str">
            <v/>
          </cell>
          <cell r="Q895" t="str">
            <v/>
          </cell>
          <cell r="R895">
            <v>19.900000000000002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-4.2614503816794205</v>
          </cell>
          <cell r="F896">
            <v>27.494274809160288</v>
          </cell>
          <cell r="G896">
            <v>13.692748091603335</v>
          </cell>
          <cell r="H896">
            <v>13.692748091603335</v>
          </cell>
          <cell r="I896" t="e">
            <v>#N/A</v>
          </cell>
          <cell r="J896" t="e">
            <v>#N/A</v>
          </cell>
          <cell r="K896">
            <v>26</v>
          </cell>
          <cell r="L896">
            <v>14.700000000000001</v>
          </cell>
          <cell r="M896" t="e">
            <v>#N/A</v>
          </cell>
          <cell r="N896">
            <v>21.200000000000003</v>
          </cell>
          <cell r="O896" t="e">
            <v>#N/A</v>
          </cell>
          <cell r="P896" t="str">
            <v/>
          </cell>
          <cell r="Q896" t="str">
            <v/>
          </cell>
          <cell r="R896">
            <v>19.900000000000002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-4.3349236641221687</v>
          </cell>
          <cell r="F897">
            <v>27.520038167938914</v>
          </cell>
          <cell r="G897">
            <v>13.675381679389595</v>
          </cell>
          <cell r="H897">
            <v>13.675381679389595</v>
          </cell>
          <cell r="I897" t="e">
            <v>#N/A</v>
          </cell>
          <cell r="J897" t="e">
            <v>#N/A</v>
          </cell>
          <cell r="K897">
            <v>26</v>
          </cell>
          <cell r="L897">
            <v>14.700000000000001</v>
          </cell>
          <cell r="M897" t="e">
            <v>#N/A</v>
          </cell>
          <cell r="N897">
            <v>21.200000000000003</v>
          </cell>
          <cell r="O897" t="e">
            <v>#N/A</v>
          </cell>
          <cell r="P897" t="str">
            <v/>
          </cell>
          <cell r="Q897" t="str">
            <v/>
          </cell>
          <cell r="R897">
            <v>19.900000000000002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-4.4083969465649169</v>
          </cell>
          <cell r="F898">
            <v>27.54580152671754</v>
          </cell>
          <cell r="G898">
            <v>13.658015267175855</v>
          </cell>
          <cell r="H898">
            <v>13.658015267175855</v>
          </cell>
          <cell r="I898" t="e">
            <v>#N/A</v>
          </cell>
          <cell r="J898" t="e">
            <v>#N/A</v>
          </cell>
          <cell r="K898">
            <v>26</v>
          </cell>
          <cell r="L898">
            <v>14.700000000000001</v>
          </cell>
          <cell r="M898" t="e">
            <v>#N/A</v>
          </cell>
          <cell r="N898">
            <v>21.200000000000003</v>
          </cell>
          <cell r="O898" t="e">
            <v>#N/A</v>
          </cell>
          <cell r="P898" t="str">
            <v/>
          </cell>
          <cell r="Q898" t="str">
            <v/>
          </cell>
          <cell r="R898">
            <v>19.900000000000002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-4.4818702290076651</v>
          </cell>
          <cell r="F899">
            <v>27.571564885496166</v>
          </cell>
          <cell r="G899">
            <v>13.640648854962116</v>
          </cell>
          <cell r="H899">
            <v>13.640648854962116</v>
          </cell>
          <cell r="I899" t="e">
            <v>#N/A</v>
          </cell>
          <cell r="J899" t="e">
            <v>#N/A</v>
          </cell>
          <cell r="K899">
            <v>26</v>
          </cell>
          <cell r="L899">
            <v>14.700000000000001</v>
          </cell>
          <cell r="M899" t="e">
            <v>#N/A</v>
          </cell>
          <cell r="N899">
            <v>21.200000000000003</v>
          </cell>
          <cell r="O899" t="e">
            <v>#N/A</v>
          </cell>
          <cell r="P899" t="str">
            <v/>
          </cell>
          <cell r="Q899" t="str">
            <v/>
          </cell>
          <cell r="R899">
            <v>19.900000000000002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-4.5553435114504133</v>
          </cell>
          <cell r="F900">
            <v>27.597328244274792</v>
          </cell>
          <cell r="G900">
            <v>13.623282442748376</v>
          </cell>
          <cell r="H900">
            <v>13.623282442748376</v>
          </cell>
          <cell r="I900" t="e">
            <v>#N/A</v>
          </cell>
          <cell r="J900" t="e">
            <v>#N/A</v>
          </cell>
          <cell r="K900">
            <v>26</v>
          </cell>
          <cell r="L900">
            <v>14.700000000000001</v>
          </cell>
          <cell r="M900" t="e">
            <v>#N/A</v>
          </cell>
          <cell r="N900">
            <v>21.200000000000003</v>
          </cell>
          <cell r="O900" t="e">
            <v>#N/A</v>
          </cell>
          <cell r="P900" t="str">
            <v/>
          </cell>
          <cell r="Q900" t="str">
            <v/>
          </cell>
          <cell r="R900">
            <v>19.900000000000002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-4.6288167938931615</v>
          </cell>
          <cell r="F901">
            <v>27.623091603053417</v>
          </cell>
          <cell r="G901">
            <v>13.605916030534637</v>
          </cell>
          <cell r="H901">
            <v>13.605916030534637</v>
          </cell>
          <cell r="I901" t="e">
            <v>#N/A</v>
          </cell>
          <cell r="J901" t="e">
            <v>#N/A</v>
          </cell>
          <cell r="K901">
            <v>26</v>
          </cell>
          <cell r="L901">
            <v>14.700000000000001</v>
          </cell>
          <cell r="M901" t="e">
            <v>#N/A</v>
          </cell>
          <cell r="N901">
            <v>21.200000000000003</v>
          </cell>
          <cell r="O901" t="e">
            <v>#N/A</v>
          </cell>
          <cell r="P901" t="str">
            <v/>
          </cell>
          <cell r="Q901" t="str">
            <v/>
          </cell>
          <cell r="R901">
            <v>19.900000000000002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-4.7022900763359097</v>
          </cell>
          <cell r="F902">
            <v>27.648854961832043</v>
          </cell>
          <cell r="G902">
            <v>13.588549618320897</v>
          </cell>
          <cell r="H902">
            <v>13.588549618320897</v>
          </cell>
          <cell r="I902" t="e">
            <v>#N/A</v>
          </cell>
          <cell r="J902" t="e">
            <v>#N/A</v>
          </cell>
          <cell r="K902">
            <v>26</v>
          </cell>
          <cell r="L902">
            <v>14.700000000000001</v>
          </cell>
          <cell r="M902" t="e">
            <v>#N/A</v>
          </cell>
          <cell r="N902">
            <v>21.200000000000003</v>
          </cell>
          <cell r="O902" t="e">
            <v>#N/A</v>
          </cell>
          <cell r="P902" t="str">
            <v/>
          </cell>
          <cell r="Q902" t="str">
            <v/>
          </cell>
          <cell r="R902">
            <v>19.900000000000002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-4.7757633587786579</v>
          </cell>
          <cell r="F903">
            <v>27.674618320610669</v>
          </cell>
          <cell r="G903">
            <v>13.571183206107158</v>
          </cell>
          <cell r="H903">
            <v>13.571183206107158</v>
          </cell>
          <cell r="I903" t="e">
            <v>#N/A</v>
          </cell>
          <cell r="J903" t="e">
            <v>#N/A</v>
          </cell>
          <cell r="K903">
            <v>26</v>
          </cell>
          <cell r="L903">
            <v>14.700000000000001</v>
          </cell>
          <cell r="M903" t="e">
            <v>#N/A</v>
          </cell>
          <cell r="N903">
            <v>21.200000000000003</v>
          </cell>
          <cell r="O903" t="e">
            <v>#N/A</v>
          </cell>
          <cell r="P903" t="str">
            <v/>
          </cell>
          <cell r="Q903" t="str">
            <v/>
          </cell>
          <cell r="R903">
            <v>19.900000000000002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-4.8492366412214061</v>
          </cell>
          <cell r="F904">
            <v>27.700381679389295</v>
          </cell>
          <cell r="G904">
            <v>13.553816793893418</v>
          </cell>
          <cell r="H904">
            <v>13.553816793893418</v>
          </cell>
          <cell r="I904" t="e">
            <v>#N/A</v>
          </cell>
          <cell r="J904" t="e">
            <v>#N/A</v>
          </cell>
          <cell r="K904">
            <v>26</v>
          </cell>
          <cell r="L904">
            <v>14.700000000000001</v>
          </cell>
          <cell r="M904" t="e">
            <v>#N/A</v>
          </cell>
          <cell r="N904">
            <v>21.200000000000003</v>
          </cell>
          <cell r="O904" t="e">
            <v>#N/A</v>
          </cell>
          <cell r="P904" t="str">
            <v/>
          </cell>
          <cell r="Q904" t="str">
            <v/>
          </cell>
          <cell r="R904">
            <v>19.900000000000002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-4.9227099236641543</v>
          </cell>
          <cell r="F905">
            <v>27.726145038167921</v>
          </cell>
          <cell r="G905">
            <v>13.536450381679678</v>
          </cell>
          <cell r="H905">
            <v>13.536450381679678</v>
          </cell>
          <cell r="I905" t="e">
            <v>#N/A</v>
          </cell>
          <cell r="J905" t="e">
            <v>#N/A</v>
          </cell>
          <cell r="K905">
            <v>26</v>
          </cell>
          <cell r="L905">
            <v>14.700000000000001</v>
          </cell>
          <cell r="M905" t="e">
            <v>#N/A</v>
          </cell>
          <cell r="N905">
            <v>21.200000000000003</v>
          </cell>
          <cell r="O905" t="e">
            <v>#N/A</v>
          </cell>
          <cell r="P905" t="str">
            <v/>
          </cell>
          <cell r="Q905" t="str">
            <v/>
          </cell>
          <cell r="R905">
            <v>19.900000000000002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-4.9961832061069025</v>
          </cell>
          <cell r="F906">
            <v>27.751908396946547</v>
          </cell>
          <cell r="G906">
            <v>13.519083969465939</v>
          </cell>
          <cell r="H906">
            <v>13.519083969465939</v>
          </cell>
          <cell r="I906" t="e">
            <v>#N/A</v>
          </cell>
          <cell r="J906" t="e">
            <v>#N/A</v>
          </cell>
          <cell r="K906">
            <v>26</v>
          </cell>
          <cell r="L906">
            <v>14.700000000000001</v>
          </cell>
          <cell r="M906" t="e">
            <v>#N/A</v>
          </cell>
          <cell r="N906">
            <v>21.200000000000003</v>
          </cell>
          <cell r="O906" t="e">
            <v>#N/A</v>
          </cell>
          <cell r="P906" t="str">
            <v/>
          </cell>
          <cell r="Q906" t="str">
            <v/>
          </cell>
          <cell r="R906">
            <v>19.900000000000002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-5.0696564885496507</v>
          </cell>
          <cell r="F907">
            <v>27.777671755725173</v>
          </cell>
          <cell r="G907">
            <v>13.501717557252199</v>
          </cell>
          <cell r="H907">
            <v>13.501717557252199</v>
          </cell>
          <cell r="I907" t="e">
            <v>#N/A</v>
          </cell>
          <cell r="J907" t="e">
            <v>#N/A</v>
          </cell>
          <cell r="K907">
            <v>26</v>
          </cell>
          <cell r="L907">
            <v>14.700000000000001</v>
          </cell>
          <cell r="M907" t="e">
            <v>#N/A</v>
          </cell>
          <cell r="N907">
            <v>21.200000000000003</v>
          </cell>
          <cell r="O907" t="e">
            <v>#N/A</v>
          </cell>
          <cell r="P907" t="str">
            <v/>
          </cell>
          <cell r="Q907" t="str">
            <v/>
          </cell>
          <cell r="R907">
            <v>19.900000000000002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-5.1431297709923989</v>
          </cell>
          <cell r="F908">
            <v>27.803435114503799</v>
          </cell>
          <cell r="G908">
            <v>13.48435114503846</v>
          </cell>
          <cell r="H908">
            <v>13.48435114503846</v>
          </cell>
          <cell r="I908" t="e">
            <v>#N/A</v>
          </cell>
          <cell r="J908" t="e">
            <v>#N/A</v>
          </cell>
          <cell r="K908">
            <v>26</v>
          </cell>
          <cell r="L908">
            <v>14.700000000000001</v>
          </cell>
          <cell r="M908" t="e">
            <v>#N/A</v>
          </cell>
          <cell r="N908">
            <v>21.200000000000003</v>
          </cell>
          <cell r="O908" t="e">
            <v>#N/A</v>
          </cell>
          <cell r="P908" t="str">
            <v/>
          </cell>
          <cell r="Q908" t="str">
            <v/>
          </cell>
          <cell r="R908">
            <v>19.900000000000002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-5.2166030534351471</v>
          </cell>
          <cell r="F909">
            <v>27.829198473282425</v>
          </cell>
          <cell r="G909">
            <v>13.46698473282472</v>
          </cell>
          <cell r="H909">
            <v>13.46698473282472</v>
          </cell>
          <cell r="I909" t="e">
            <v>#N/A</v>
          </cell>
          <cell r="J909" t="e">
            <v>#N/A</v>
          </cell>
          <cell r="K909">
            <v>26</v>
          </cell>
          <cell r="L909">
            <v>14.700000000000001</v>
          </cell>
          <cell r="M909" t="e">
            <v>#N/A</v>
          </cell>
          <cell r="N909">
            <v>21.200000000000003</v>
          </cell>
          <cell r="O909" t="e">
            <v>#N/A</v>
          </cell>
          <cell r="P909" t="str">
            <v/>
          </cell>
          <cell r="Q909" t="str">
            <v/>
          </cell>
          <cell r="R909">
            <v>19.900000000000002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-5.2900763358778953</v>
          </cell>
          <cell r="F910">
            <v>27.854961832061051</v>
          </cell>
          <cell r="G910">
            <v>13.449618320610981</v>
          </cell>
          <cell r="H910">
            <v>13.449618320610981</v>
          </cell>
          <cell r="I910" t="e">
            <v>#N/A</v>
          </cell>
          <cell r="J910" t="e">
            <v>#N/A</v>
          </cell>
          <cell r="K910">
            <v>26</v>
          </cell>
          <cell r="L910">
            <v>14.700000000000001</v>
          </cell>
          <cell r="M910" t="e">
            <v>#N/A</v>
          </cell>
          <cell r="N910">
            <v>21.200000000000003</v>
          </cell>
          <cell r="O910" t="e">
            <v>#N/A</v>
          </cell>
          <cell r="P910" t="str">
            <v/>
          </cell>
          <cell r="Q910" t="str">
            <v/>
          </cell>
          <cell r="R910">
            <v>19.900000000000002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-5.3635496183206435</v>
          </cell>
          <cell r="F911">
            <v>27.880725190839676</v>
          </cell>
          <cell r="G911">
            <v>13.432251908397241</v>
          </cell>
          <cell r="H911">
            <v>13.432251908397241</v>
          </cell>
          <cell r="I911" t="e">
            <v>#N/A</v>
          </cell>
          <cell r="J911" t="e">
            <v>#N/A</v>
          </cell>
          <cell r="K911">
            <v>26</v>
          </cell>
          <cell r="L911">
            <v>14.700000000000001</v>
          </cell>
          <cell r="M911" t="e">
            <v>#N/A</v>
          </cell>
          <cell r="N911">
            <v>21.200000000000003</v>
          </cell>
          <cell r="O911" t="e">
            <v>#N/A</v>
          </cell>
          <cell r="P911" t="str">
            <v/>
          </cell>
          <cell r="Q911" t="str">
            <v/>
          </cell>
          <cell r="R911">
            <v>19.900000000000002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-5.4370229007633917</v>
          </cell>
          <cell r="F912">
            <v>27.906488549618302</v>
          </cell>
          <cell r="G912">
            <v>13.414885496183501</v>
          </cell>
          <cell r="H912">
            <v>13.414885496183501</v>
          </cell>
          <cell r="I912" t="e">
            <v>#N/A</v>
          </cell>
          <cell r="J912" t="e">
            <v>#N/A</v>
          </cell>
          <cell r="K912">
            <v>26</v>
          </cell>
          <cell r="L912">
            <v>14.700000000000001</v>
          </cell>
          <cell r="M912" t="e">
            <v>#N/A</v>
          </cell>
          <cell r="N912">
            <v>21.200000000000003</v>
          </cell>
          <cell r="O912" t="e">
            <v>#N/A</v>
          </cell>
          <cell r="P912" t="str">
            <v/>
          </cell>
          <cell r="Q912" t="str">
            <v/>
          </cell>
          <cell r="R912">
            <v>19.900000000000002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-5.5104961832061399</v>
          </cell>
          <cell r="F913">
            <v>27.932251908396928</v>
          </cell>
          <cell r="G913">
            <v>13.397519083969762</v>
          </cell>
          <cell r="H913">
            <v>13.397519083969762</v>
          </cell>
          <cell r="I913" t="e">
            <v>#N/A</v>
          </cell>
          <cell r="J913" t="e">
            <v>#N/A</v>
          </cell>
          <cell r="K913">
            <v>26</v>
          </cell>
          <cell r="L913">
            <v>14.700000000000001</v>
          </cell>
          <cell r="M913" t="e">
            <v>#N/A</v>
          </cell>
          <cell r="N913">
            <v>21.200000000000003</v>
          </cell>
          <cell r="O913" t="e">
            <v>#N/A</v>
          </cell>
          <cell r="P913" t="str">
            <v/>
          </cell>
          <cell r="Q913" t="str">
            <v/>
          </cell>
          <cell r="R913">
            <v>19.900000000000002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-5.5839694656488881</v>
          </cell>
          <cell r="F914">
            <v>27.958015267175554</v>
          </cell>
          <cell r="G914">
            <v>13.380152671756022</v>
          </cell>
          <cell r="H914">
            <v>13.380152671756022</v>
          </cell>
          <cell r="I914" t="e">
            <v>#N/A</v>
          </cell>
          <cell r="J914" t="e">
            <v>#N/A</v>
          </cell>
          <cell r="K914">
            <v>26</v>
          </cell>
          <cell r="L914">
            <v>14.700000000000001</v>
          </cell>
          <cell r="M914" t="e">
            <v>#N/A</v>
          </cell>
          <cell r="N914">
            <v>21.200000000000003</v>
          </cell>
          <cell r="O914" t="e">
            <v>#N/A</v>
          </cell>
          <cell r="P914" t="str">
            <v/>
          </cell>
          <cell r="Q914" t="str">
            <v/>
          </cell>
          <cell r="R914">
            <v>19.900000000000002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-5.6574427480916363</v>
          </cell>
          <cell r="F915">
            <v>27.98377862595418</v>
          </cell>
          <cell r="G915">
            <v>13.362786259542283</v>
          </cell>
          <cell r="H915">
            <v>13.362786259542283</v>
          </cell>
          <cell r="I915" t="e">
            <v>#N/A</v>
          </cell>
          <cell r="J915" t="e">
            <v>#N/A</v>
          </cell>
          <cell r="K915">
            <v>26</v>
          </cell>
          <cell r="L915">
            <v>14.700000000000001</v>
          </cell>
          <cell r="M915" t="e">
            <v>#N/A</v>
          </cell>
          <cell r="N915">
            <v>21.200000000000003</v>
          </cell>
          <cell r="O915" t="e">
            <v>#N/A</v>
          </cell>
          <cell r="P915" t="str">
            <v/>
          </cell>
          <cell r="Q915" t="str">
            <v/>
          </cell>
          <cell r="R915">
            <v>19.900000000000002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-5.7309160305343845</v>
          </cell>
          <cell r="F916">
            <v>28.009541984732806</v>
          </cell>
          <cell r="G916">
            <v>13.345419847328543</v>
          </cell>
          <cell r="H916">
            <v>13.345419847328543</v>
          </cell>
          <cell r="I916" t="e">
            <v>#N/A</v>
          </cell>
          <cell r="J916" t="e">
            <v>#N/A</v>
          </cell>
          <cell r="K916">
            <v>26</v>
          </cell>
          <cell r="L916">
            <v>14.700000000000001</v>
          </cell>
          <cell r="M916" t="e">
            <v>#N/A</v>
          </cell>
          <cell r="N916">
            <v>21.200000000000003</v>
          </cell>
          <cell r="O916" t="e">
            <v>#N/A</v>
          </cell>
          <cell r="P916" t="str">
            <v/>
          </cell>
          <cell r="Q916" t="str">
            <v/>
          </cell>
          <cell r="R916">
            <v>19.900000000000002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-5.8043893129771327</v>
          </cell>
          <cell r="F917">
            <v>28.035305343511432</v>
          </cell>
          <cell r="G917">
            <v>13.328053435114803</v>
          </cell>
          <cell r="H917">
            <v>13.328053435114803</v>
          </cell>
          <cell r="I917" t="e">
            <v>#N/A</v>
          </cell>
          <cell r="J917" t="e">
            <v>#N/A</v>
          </cell>
          <cell r="K917">
            <v>26</v>
          </cell>
          <cell r="L917">
            <v>14.700000000000001</v>
          </cell>
          <cell r="M917" t="e">
            <v>#N/A</v>
          </cell>
          <cell r="N917">
            <v>21.200000000000003</v>
          </cell>
          <cell r="O917" t="e">
            <v>#N/A</v>
          </cell>
          <cell r="P917" t="str">
            <v/>
          </cell>
          <cell r="Q917" t="str">
            <v/>
          </cell>
          <cell r="R917">
            <v>19.900000000000002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-5.8778625954198809</v>
          </cell>
          <cell r="F918">
            <v>28.061068702290058</v>
          </cell>
          <cell r="G918">
            <v>13.310687022901064</v>
          </cell>
          <cell r="H918">
            <v>13.310687022901064</v>
          </cell>
          <cell r="I918" t="e">
            <v>#N/A</v>
          </cell>
          <cell r="J918" t="e">
            <v>#N/A</v>
          </cell>
          <cell r="K918">
            <v>26</v>
          </cell>
          <cell r="L918">
            <v>14.700000000000001</v>
          </cell>
          <cell r="M918" t="e">
            <v>#N/A</v>
          </cell>
          <cell r="N918">
            <v>21.200000000000003</v>
          </cell>
          <cell r="O918" t="e">
            <v>#N/A</v>
          </cell>
          <cell r="P918" t="str">
            <v/>
          </cell>
          <cell r="Q918" t="str">
            <v/>
          </cell>
          <cell r="R918">
            <v>19.900000000000002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-5.9513358778626291</v>
          </cell>
          <cell r="F919">
            <v>28.086832061068684</v>
          </cell>
          <cell r="G919">
            <v>13.293320610687324</v>
          </cell>
          <cell r="H919">
            <v>13.293320610687324</v>
          </cell>
          <cell r="I919" t="e">
            <v>#N/A</v>
          </cell>
          <cell r="J919" t="e">
            <v>#N/A</v>
          </cell>
          <cell r="K919">
            <v>26</v>
          </cell>
          <cell r="L919">
            <v>14.700000000000001</v>
          </cell>
          <cell r="M919" t="e">
            <v>#N/A</v>
          </cell>
          <cell r="N919">
            <v>21.200000000000003</v>
          </cell>
          <cell r="O919" t="e">
            <v>#N/A</v>
          </cell>
          <cell r="P919" t="str">
            <v/>
          </cell>
          <cell r="Q919" t="str">
            <v/>
          </cell>
          <cell r="R919">
            <v>19.900000000000002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-6.0248091603053773</v>
          </cell>
          <cell r="F920">
            <v>28.11259541984731</v>
          </cell>
          <cell r="G920">
            <v>13.275954198473585</v>
          </cell>
          <cell r="H920">
            <v>13.275954198473585</v>
          </cell>
          <cell r="I920" t="e">
            <v>#N/A</v>
          </cell>
          <cell r="J920" t="e">
            <v>#N/A</v>
          </cell>
          <cell r="K920">
            <v>26</v>
          </cell>
          <cell r="L920">
            <v>14.700000000000001</v>
          </cell>
          <cell r="M920" t="e">
            <v>#N/A</v>
          </cell>
          <cell r="N920">
            <v>21.200000000000003</v>
          </cell>
          <cell r="O920" t="e">
            <v>#N/A</v>
          </cell>
          <cell r="P920" t="str">
            <v/>
          </cell>
          <cell r="Q920" t="str">
            <v/>
          </cell>
          <cell r="R920">
            <v>19.900000000000002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-6.0982824427481255</v>
          </cell>
          <cell r="F921">
            <v>28.138358778625935</v>
          </cell>
          <cell r="G921">
            <v>13.258587786259845</v>
          </cell>
          <cell r="H921">
            <v>13.258587786259845</v>
          </cell>
          <cell r="I921" t="e">
            <v>#N/A</v>
          </cell>
          <cell r="J921" t="e">
            <v>#N/A</v>
          </cell>
          <cell r="K921">
            <v>26</v>
          </cell>
          <cell r="L921">
            <v>14.700000000000001</v>
          </cell>
          <cell r="M921" t="e">
            <v>#N/A</v>
          </cell>
          <cell r="N921">
            <v>21.200000000000003</v>
          </cell>
          <cell r="O921" t="e">
            <v>#N/A</v>
          </cell>
          <cell r="P921" t="str">
            <v/>
          </cell>
          <cell r="Q921" t="str">
            <v/>
          </cell>
          <cell r="R921">
            <v>19.900000000000002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-6.1717557251908737</v>
          </cell>
          <cell r="F922">
            <v>28.164122137404561</v>
          </cell>
          <cell r="G922">
            <v>13.241221374046106</v>
          </cell>
          <cell r="H922">
            <v>13.241221374046106</v>
          </cell>
          <cell r="I922" t="e">
            <v>#N/A</v>
          </cell>
          <cell r="J922" t="e">
            <v>#N/A</v>
          </cell>
          <cell r="K922">
            <v>26</v>
          </cell>
          <cell r="L922">
            <v>14.700000000000001</v>
          </cell>
          <cell r="M922" t="e">
            <v>#N/A</v>
          </cell>
          <cell r="N922">
            <v>21.200000000000003</v>
          </cell>
          <cell r="O922" t="e">
            <v>#N/A</v>
          </cell>
          <cell r="P922" t="str">
            <v/>
          </cell>
          <cell r="Q922" t="str">
            <v/>
          </cell>
          <cell r="R922">
            <v>19.900000000000002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-6.2452290076336219</v>
          </cell>
          <cell r="F923">
            <v>28.189885496183187</v>
          </cell>
          <cell r="G923">
            <v>13.223854961832366</v>
          </cell>
          <cell r="H923">
            <v>13.223854961832366</v>
          </cell>
          <cell r="I923" t="e">
            <v>#N/A</v>
          </cell>
          <cell r="J923" t="e">
            <v>#N/A</v>
          </cell>
          <cell r="K923">
            <v>26</v>
          </cell>
          <cell r="L923">
            <v>14.700000000000001</v>
          </cell>
          <cell r="M923" t="e">
            <v>#N/A</v>
          </cell>
          <cell r="N923">
            <v>21.200000000000003</v>
          </cell>
          <cell r="O923" t="e">
            <v>#N/A</v>
          </cell>
          <cell r="P923" t="str">
            <v/>
          </cell>
          <cell r="Q923" t="str">
            <v/>
          </cell>
          <cell r="R923">
            <v>19.900000000000002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-6.3187022900763701</v>
          </cell>
          <cell r="F924">
            <v>28.215648854961813</v>
          </cell>
          <cell r="G924">
            <v>13.206488549618626</v>
          </cell>
          <cell r="H924">
            <v>13.206488549618626</v>
          </cell>
          <cell r="I924" t="e">
            <v>#N/A</v>
          </cell>
          <cell r="J924" t="e">
            <v>#N/A</v>
          </cell>
          <cell r="K924">
            <v>26</v>
          </cell>
          <cell r="L924">
            <v>14.700000000000001</v>
          </cell>
          <cell r="M924" t="e">
            <v>#N/A</v>
          </cell>
          <cell r="N924">
            <v>21.200000000000003</v>
          </cell>
          <cell r="O924" t="e">
            <v>#N/A</v>
          </cell>
          <cell r="P924" t="str">
            <v/>
          </cell>
          <cell r="Q924" t="str">
            <v/>
          </cell>
          <cell r="R924">
            <v>19.900000000000002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-6.3921755725191183</v>
          </cell>
          <cell r="F925">
            <v>28.241412213740439</v>
          </cell>
          <cell r="G925">
            <v>13.189122137404887</v>
          </cell>
          <cell r="H925">
            <v>13.189122137404887</v>
          </cell>
          <cell r="I925" t="e">
            <v>#N/A</v>
          </cell>
          <cell r="J925" t="e">
            <v>#N/A</v>
          </cell>
          <cell r="K925">
            <v>26</v>
          </cell>
          <cell r="L925">
            <v>14.700000000000001</v>
          </cell>
          <cell r="M925" t="e">
            <v>#N/A</v>
          </cell>
          <cell r="N925">
            <v>21.200000000000003</v>
          </cell>
          <cell r="O925" t="e">
            <v>#N/A</v>
          </cell>
          <cell r="P925" t="str">
            <v/>
          </cell>
          <cell r="Q925" t="str">
            <v/>
          </cell>
          <cell r="R925">
            <v>19.900000000000002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-6.4656488549618665</v>
          </cell>
          <cell r="F926">
            <v>28.267175572519065</v>
          </cell>
          <cell r="G926">
            <v>13.171755725191147</v>
          </cell>
          <cell r="H926">
            <v>13.171755725191147</v>
          </cell>
          <cell r="I926" t="e">
            <v>#N/A</v>
          </cell>
          <cell r="J926" t="e">
            <v>#N/A</v>
          </cell>
          <cell r="K926">
            <v>26</v>
          </cell>
          <cell r="L926">
            <v>14.700000000000001</v>
          </cell>
          <cell r="M926" t="e">
            <v>#N/A</v>
          </cell>
          <cell r="N926">
            <v>21.200000000000003</v>
          </cell>
          <cell r="O926" t="e">
            <v>#N/A</v>
          </cell>
          <cell r="P926" t="str">
            <v/>
          </cell>
          <cell r="Q926" t="str">
            <v/>
          </cell>
          <cell r="R926">
            <v>19.900000000000002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-6.5391221374046147</v>
          </cell>
          <cell r="F927">
            <v>28.292938931297691</v>
          </cell>
          <cell r="G927">
            <v>13.154389312977408</v>
          </cell>
          <cell r="H927">
            <v>13.154389312977408</v>
          </cell>
          <cell r="I927" t="e">
            <v>#N/A</v>
          </cell>
          <cell r="J927" t="e">
            <v>#N/A</v>
          </cell>
          <cell r="K927">
            <v>26</v>
          </cell>
          <cell r="L927">
            <v>14.700000000000001</v>
          </cell>
          <cell r="M927" t="e">
            <v>#N/A</v>
          </cell>
          <cell r="N927">
            <v>21.200000000000003</v>
          </cell>
          <cell r="O927" t="e">
            <v>#N/A</v>
          </cell>
          <cell r="P927" t="str">
            <v/>
          </cell>
          <cell r="Q927" t="str">
            <v/>
          </cell>
          <cell r="R927">
            <v>19.900000000000002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-6.6125954198473629</v>
          </cell>
          <cell r="F928">
            <v>28.318702290076317</v>
          </cell>
          <cell r="G928">
            <v>13.137022900763668</v>
          </cell>
          <cell r="H928">
            <v>13.137022900763668</v>
          </cell>
          <cell r="I928" t="e">
            <v>#N/A</v>
          </cell>
          <cell r="J928" t="e">
            <v>#N/A</v>
          </cell>
          <cell r="K928">
            <v>26</v>
          </cell>
          <cell r="L928">
            <v>14.700000000000001</v>
          </cell>
          <cell r="M928" t="e">
            <v>#N/A</v>
          </cell>
          <cell r="N928">
            <v>21.200000000000003</v>
          </cell>
          <cell r="O928" t="e">
            <v>#N/A</v>
          </cell>
          <cell r="P928" t="str">
            <v/>
          </cell>
          <cell r="Q928" t="str">
            <v/>
          </cell>
          <cell r="R928">
            <v>19.900000000000002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-6.6860687022901111</v>
          </cell>
          <cell r="F929">
            <v>28.344465648854943</v>
          </cell>
          <cell r="G929">
            <v>13.119656488549928</v>
          </cell>
          <cell r="H929">
            <v>13.119656488549928</v>
          </cell>
          <cell r="I929" t="e">
            <v>#N/A</v>
          </cell>
          <cell r="J929" t="e">
            <v>#N/A</v>
          </cell>
          <cell r="K929">
            <v>26</v>
          </cell>
          <cell r="L929">
            <v>14.700000000000001</v>
          </cell>
          <cell r="M929" t="e">
            <v>#N/A</v>
          </cell>
          <cell r="N929">
            <v>21.200000000000003</v>
          </cell>
          <cell r="O929" t="e">
            <v>#N/A</v>
          </cell>
          <cell r="P929" t="str">
            <v/>
          </cell>
          <cell r="Q929" t="str">
            <v/>
          </cell>
          <cell r="R929">
            <v>19.900000000000002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-6.7595419847328593</v>
          </cell>
          <cell r="F930">
            <v>28.370229007633569</v>
          </cell>
          <cell r="G930">
            <v>13.102290076336189</v>
          </cell>
          <cell r="H930">
            <v>13.102290076336189</v>
          </cell>
          <cell r="I930" t="e">
            <v>#N/A</v>
          </cell>
          <cell r="J930" t="e">
            <v>#N/A</v>
          </cell>
          <cell r="K930">
            <v>26</v>
          </cell>
          <cell r="L930">
            <v>14.700000000000001</v>
          </cell>
          <cell r="M930" t="e">
            <v>#N/A</v>
          </cell>
          <cell r="N930">
            <v>21.200000000000003</v>
          </cell>
          <cell r="O930" t="e">
            <v>#N/A</v>
          </cell>
          <cell r="P930" t="str">
            <v/>
          </cell>
          <cell r="Q930" t="str">
            <v/>
          </cell>
          <cell r="R930">
            <v>19.900000000000002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-6.8330152671756075</v>
          </cell>
          <cell r="F931">
            <v>28.395992366412194</v>
          </cell>
          <cell r="G931">
            <v>13.084923664122449</v>
          </cell>
          <cell r="H931">
            <v>13.084923664122449</v>
          </cell>
          <cell r="I931" t="e">
            <v>#N/A</v>
          </cell>
          <cell r="J931" t="e">
            <v>#N/A</v>
          </cell>
          <cell r="K931">
            <v>26</v>
          </cell>
          <cell r="L931">
            <v>14.700000000000001</v>
          </cell>
          <cell r="M931" t="e">
            <v>#N/A</v>
          </cell>
          <cell r="N931">
            <v>21.200000000000003</v>
          </cell>
          <cell r="O931" t="e">
            <v>#N/A</v>
          </cell>
          <cell r="P931" t="str">
            <v/>
          </cell>
          <cell r="Q931" t="str">
            <v/>
          </cell>
          <cell r="R931">
            <v>19.900000000000002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-6.9064885496183557</v>
          </cell>
          <cell r="F932">
            <v>28.42175572519082</v>
          </cell>
          <cell r="G932">
            <v>13.06755725190871</v>
          </cell>
          <cell r="H932">
            <v>13.06755725190871</v>
          </cell>
          <cell r="I932" t="e">
            <v>#N/A</v>
          </cell>
          <cell r="J932" t="e">
            <v>#N/A</v>
          </cell>
          <cell r="K932">
            <v>26</v>
          </cell>
          <cell r="L932">
            <v>14.700000000000001</v>
          </cell>
          <cell r="M932" t="e">
            <v>#N/A</v>
          </cell>
          <cell r="N932">
            <v>21.200000000000003</v>
          </cell>
          <cell r="O932" t="e">
            <v>#N/A</v>
          </cell>
          <cell r="P932" t="str">
            <v/>
          </cell>
          <cell r="Q932" t="str">
            <v/>
          </cell>
          <cell r="R932">
            <v>19.900000000000002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-6.9799618320611039</v>
          </cell>
          <cell r="F933">
            <v>28.447519083969446</v>
          </cell>
          <cell r="G933">
            <v>13.05019083969497</v>
          </cell>
          <cell r="H933">
            <v>13.05019083969497</v>
          </cell>
          <cell r="I933" t="e">
            <v>#N/A</v>
          </cell>
          <cell r="J933" t="e">
            <v>#N/A</v>
          </cell>
          <cell r="K933">
            <v>26</v>
          </cell>
          <cell r="L933">
            <v>14.700000000000001</v>
          </cell>
          <cell r="M933" t="e">
            <v>#N/A</v>
          </cell>
          <cell r="N933">
            <v>21.200000000000003</v>
          </cell>
          <cell r="O933" t="e">
            <v>#N/A</v>
          </cell>
          <cell r="P933" t="str">
            <v/>
          </cell>
          <cell r="Q933" t="str">
            <v/>
          </cell>
          <cell r="R933">
            <v>19.900000000000002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-7.0534351145038521</v>
          </cell>
          <cell r="F934">
            <v>28.473282442748072</v>
          </cell>
          <cell r="G934">
            <v>13.032824427481231</v>
          </cell>
          <cell r="H934">
            <v>13.032824427481231</v>
          </cell>
          <cell r="I934" t="e">
            <v>#N/A</v>
          </cell>
          <cell r="J934" t="e">
            <v>#N/A</v>
          </cell>
          <cell r="K934">
            <v>26</v>
          </cell>
          <cell r="L934">
            <v>14.700000000000001</v>
          </cell>
          <cell r="M934" t="e">
            <v>#N/A</v>
          </cell>
          <cell r="N934">
            <v>21.200000000000003</v>
          </cell>
          <cell r="O934" t="e">
            <v>#N/A</v>
          </cell>
          <cell r="P934" t="str">
            <v/>
          </cell>
          <cell r="Q934" t="str">
            <v/>
          </cell>
          <cell r="R934">
            <v>19.900000000000002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-7.1269083969466003</v>
          </cell>
          <cell r="F935">
            <v>28.499045801526698</v>
          </cell>
          <cell r="G935">
            <v>13.015458015267491</v>
          </cell>
          <cell r="H935">
            <v>13.015458015267491</v>
          </cell>
          <cell r="I935" t="e">
            <v>#N/A</v>
          </cell>
          <cell r="J935" t="e">
            <v>#N/A</v>
          </cell>
          <cell r="K935">
            <v>26</v>
          </cell>
          <cell r="L935">
            <v>14.700000000000001</v>
          </cell>
          <cell r="M935" t="e">
            <v>#N/A</v>
          </cell>
          <cell r="N935">
            <v>21.200000000000003</v>
          </cell>
          <cell r="O935" t="e">
            <v>#N/A</v>
          </cell>
          <cell r="P935" t="str">
            <v/>
          </cell>
          <cell r="Q935" t="str">
            <v/>
          </cell>
          <cell r="R935">
            <v>19.900000000000002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-7.2003816793893485</v>
          </cell>
          <cell r="F936">
            <v>28.524809160305324</v>
          </cell>
          <cell r="G936">
            <v>12.998091603053751</v>
          </cell>
          <cell r="H936">
            <v>12.998091603053751</v>
          </cell>
          <cell r="I936" t="e">
            <v>#N/A</v>
          </cell>
          <cell r="J936" t="e">
            <v>#N/A</v>
          </cell>
          <cell r="K936">
            <v>26</v>
          </cell>
          <cell r="L936">
            <v>14.700000000000001</v>
          </cell>
          <cell r="M936" t="e">
            <v>#N/A</v>
          </cell>
          <cell r="N936">
            <v>21.200000000000003</v>
          </cell>
          <cell r="O936" t="e">
            <v>#N/A</v>
          </cell>
          <cell r="P936" t="str">
            <v/>
          </cell>
          <cell r="Q936" t="str">
            <v/>
          </cell>
          <cell r="R936">
            <v>19.900000000000002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-7.2738549618320967</v>
          </cell>
          <cell r="F937">
            <v>28.55057251908395</v>
          </cell>
          <cell r="G937">
            <v>12.980725190840012</v>
          </cell>
          <cell r="H937">
            <v>12.980725190840012</v>
          </cell>
          <cell r="I937" t="e">
            <v>#N/A</v>
          </cell>
          <cell r="J937" t="e">
            <v>#N/A</v>
          </cell>
          <cell r="K937">
            <v>26</v>
          </cell>
          <cell r="L937">
            <v>14.700000000000001</v>
          </cell>
          <cell r="M937" t="e">
            <v>#N/A</v>
          </cell>
          <cell r="N937">
            <v>21.200000000000003</v>
          </cell>
          <cell r="O937" t="e">
            <v>#N/A</v>
          </cell>
          <cell r="P937" t="str">
            <v/>
          </cell>
          <cell r="Q937" t="str">
            <v/>
          </cell>
          <cell r="R937">
            <v>19.900000000000002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-7.3473282442748449</v>
          </cell>
          <cell r="F938">
            <v>28.576335877862576</v>
          </cell>
          <cell r="G938">
            <v>12.963358778626272</v>
          </cell>
          <cell r="H938">
            <v>12.963358778626272</v>
          </cell>
          <cell r="I938" t="e">
            <v>#N/A</v>
          </cell>
          <cell r="J938" t="e">
            <v>#N/A</v>
          </cell>
          <cell r="K938">
            <v>26</v>
          </cell>
          <cell r="L938">
            <v>14.700000000000001</v>
          </cell>
          <cell r="M938" t="e">
            <v>#N/A</v>
          </cell>
          <cell r="N938">
            <v>21.200000000000003</v>
          </cell>
          <cell r="O938" t="e">
            <v>#N/A</v>
          </cell>
          <cell r="P938" t="str">
            <v/>
          </cell>
          <cell r="Q938" t="str">
            <v/>
          </cell>
          <cell r="R938">
            <v>19.900000000000002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-7.4208015267175931</v>
          </cell>
          <cell r="F939">
            <v>28.602099236641202</v>
          </cell>
          <cell r="G939">
            <v>12.945992366412533</v>
          </cell>
          <cell r="H939">
            <v>12.945992366412533</v>
          </cell>
          <cell r="I939" t="e">
            <v>#N/A</v>
          </cell>
          <cell r="J939" t="e">
            <v>#N/A</v>
          </cell>
          <cell r="K939">
            <v>26</v>
          </cell>
          <cell r="L939">
            <v>14.700000000000001</v>
          </cell>
          <cell r="M939" t="e">
            <v>#N/A</v>
          </cell>
          <cell r="N939">
            <v>21.200000000000003</v>
          </cell>
          <cell r="O939" t="e">
            <v>#N/A</v>
          </cell>
          <cell r="P939" t="str">
            <v/>
          </cell>
          <cell r="Q939" t="str">
            <v/>
          </cell>
          <cell r="R939">
            <v>19.900000000000002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-7.4942748091603413</v>
          </cell>
          <cell r="F940">
            <v>28.627862595419828</v>
          </cell>
          <cell r="G940">
            <v>12.928625954198793</v>
          </cell>
          <cell r="H940">
            <v>12.928625954198793</v>
          </cell>
          <cell r="I940" t="e">
            <v>#N/A</v>
          </cell>
          <cell r="J940" t="e">
            <v>#N/A</v>
          </cell>
          <cell r="K940">
            <v>26</v>
          </cell>
          <cell r="L940">
            <v>14.700000000000001</v>
          </cell>
          <cell r="M940" t="e">
            <v>#N/A</v>
          </cell>
          <cell r="N940">
            <v>21.200000000000003</v>
          </cell>
          <cell r="O940" t="e">
            <v>#N/A</v>
          </cell>
          <cell r="P940" t="str">
            <v/>
          </cell>
          <cell r="Q940" t="str">
            <v/>
          </cell>
          <cell r="R940">
            <v>19.900000000000002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-7.5677480916030895</v>
          </cell>
          <cell r="F941">
            <v>28.653625954198453</v>
          </cell>
          <cell r="G941">
            <v>12.911259541985054</v>
          </cell>
          <cell r="H941">
            <v>12.911259541985054</v>
          </cell>
          <cell r="I941" t="e">
            <v>#N/A</v>
          </cell>
          <cell r="J941" t="e">
            <v>#N/A</v>
          </cell>
          <cell r="K941">
            <v>26</v>
          </cell>
          <cell r="L941">
            <v>14.700000000000001</v>
          </cell>
          <cell r="M941" t="e">
            <v>#N/A</v>
          </cell>
          <cell r="N941">
            <v>21.200000000000003</v>
          </cell>
          <cell r="O941" t="e">
            <v>#N/A</v>
          </cell>
          <cell r="P941" t="str">
            <v/>
          </cell>
          <cell r="Q941" t="str">
            <v/>
          </cell>
          <cell r="R941">
            <v>19.900000000000002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-7.6412213740458377</v>
          </cell>
          <cell r="F942">
            <v>28.679389312977079</v>
          </cell>
          <cell r="G942">
            <v>12.893893129771314</v>
          </cell>
          <cell r="H942">
            <v>12.893893129771314</v>
          </cell>
          <cell r="I942" t="e">
            <v>#N/A</v>
          </cell>
          <cell r="J942" t="e">
            <v>#N/A</v>
          </cell>
          <cell r="K942">
            <v>26</v>
          </cell>
          <cell r="L942">
            <v>14.700000000000001</v>
          </cell>
          <cell r="M942" t="e">
            <v>#N/A</v>
          </cell>
          <cell r="N942">
            <v>21.200000000000003</v>
          </cell>
          <cell r="O942" t="e">
            <v>#N/A</v>
          </cell>
          <cell r="P942" t="str">
            <v/>
          </cell>
          <cell r="Q942" t="str">
            <v/>
          </cell>
          <cell r="R942">
            <v>19.900000000000002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-7.7146946564885859</v>
          </cell>
          <cell r="F943">
            <v>28.705152671755705</v>
          </cell>
          <cell r="G943">
            <v>12.876526717557574</v>
          </cell>
          <cell r="H943">
            <v>12.876526717557574</v>
          </cell>
          <cell r="I943" t="e">
            <v>#N/A</v>
          </cell>
          <cell r="J943" t="e">
            <v>#N/A</v>
          </cell>
          <cell r="K943">
            <v>26</v>
          </cell>
          <cell r="L943">
            <v>14.700000000000001</v>
          </cell>
          <cell r="M943" t="e">
            <v>#N/A</v>
          </cell>
          <cell r="N943">
            <v>21.200000000000003</v>
          </cell>
          <cell r="O943" t="e">
            <v>#N/A</v>
          </cell>
          <cell r="P943" t="str">
            <v/>
          </cell>
          <cell r="Q943" t="str">
            <v/>
          </cell>
          <cell r="R943">
            <v>19.900000000000002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-7.7881679389313341</v>
          </cell>
          <cell r="F944">
            <v>28.730916030534331</v>
          </cell>
          <cell r="G944">
            <v>12.859160305343835</v>
          </cell>
          <cell r="H944">
            <v>12.859160305343835</v>
          </cell>
          <cell r="I944" t="e">
            <v>#N/A</v>
          </cell>
          <cell r="J944" t="e">
            <v>#N/A</v>
          </cell>
          <cell r="K944">
            <v>26</v>
          </cell>
          <cell r="L944">
            <v>14.700000000000001</v>
          </cell>
          <cell r="M944" t="e">
            <v>#N/A</v>
          </cell>
          <cell r="N944">
            <v>21.200000000000003</v>
          </cell>
          <cell r="O944" t="e">
            <v>#N/A</v>
          </cell>
          <cell r="P944" t="str">
            <v/>
          </cell>
          <cell r="Q944" t="str">
            <v/>
          </cell>
          <cell r="R944">
            <v>19.900000000000002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-7.8616412213740823</v>
          </cell>
          <cell r="F945">
            <v>28.756679389312957</v>
          </cell>
          <cell r="G945">
            <v>12.841793893130095</v>
          </cell>
          <cell r="H945">
            <v>12.841793893130095</v>
          </cell>
          <cell r="I945" t="e">
            <v>#N/A</v>
          </cell>
          <cell r="J945" t="e">
            <v>#N/A</v>
          </cell>
          <cell r="K945">
            <v>26</v>
          </cell>
          <cell r="L945">
            <v>14.700000000000001</v>
          </cell>
          <cell r="M945" t="e">
            <v>#N/A</v>
          </cell>
          <cell r="N945">
            <v>21.200000000000003</v>
          </cell>
          <cell r="O945" t="e">
            <v>#N/A</v>
          </cell>
          <cell r="P945" t="str">
            <v/>
          </cell>
          <cell r="Q945" t="str">
            <v/>
          </cell>
          <cell r="R945">
            <v>19.900000000000002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-7.9351145038168305</v>
          </cell>
          <cell r="F946">
            <v>28.782442748091583</v>
          </cell>
          <cell r="G946">
            <v>12.824427480916356</v>
          </cell>
          <cell r="H946">
            <v>12.824427480916356</v>
          </cell>
          <cell r="I946" t="e">
            <v>#N/A</v>
          </cell>
          <cell r="J946" t="e">
            <v>#N/A</v>
          </cell>
          <cell r="K946">
            <v>26</v>
          </cell>
          <cell r="L946">
            <v>14.700000000000001</v>
          </cell>
          <cell r="M946" t="e">
            <v>#N/A</v>
          </cell>
          <cell r="N946">
            <v>21.200000000000003</v>
          </cell>
          <cell r="O946" t="e">
            <v>#N/A</v>
          </cell>
          <cell r="P946" t="str">
            <v/>
          </cell>
          <cell r="Q946" t="str">
            <v/>
          </cell>
          <cell r="R946">
            <v>19.900000000000002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-8.0085877862595787</v>
          </cell>
          <cell r="F947">
            <v>28.808206106870209</v>
          </cell>
          <cell r="G947">
            <v>12.807061068702616</v>
          </cell>
          <cell r="H947">
            <v>12.807061068702616</v>
          </cell>
          <cell r="I947" t="e">
            <v>#N/A</v>
          </cell>
          <cell r="J947" t="e">
            <v>#N/A</v>
          </cell>
          <cell r="K947">
            <v>26</v>
          </cell>
          <cell r="L947">
            <v>14.700000000000001</v>
          </cell>
          <cell r="M947" t="e">
            <v>#N/A</v>
          </cell>
          <cell r="N947">
            <v>21.200000000000003</v>
          </cell>
          <cell r="O947" t="e">
            <v>#N/A</v>
          </cell>
          <cell r="P947" t="str">
            <v/>
          </cell>
          <cell r="Q947" t="str">
            <v/>
          </cell>
          <cell r="R947">
            <v>19.900000000000002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-8.0820610687023269</v>
          </cell>
          <cell r="F948">
            <v>28.833969465648835</v>
          </cell>
          <cell r="G948">
            <v>12.789694656488876</v>
          </cell>
          <cell r="H948">
            <v>12.789694656488876</v>
          </cell>
          <cell r="I948" t="e">
            <v>#N/A</v>
          </cell>
          <cell r="J948" t="e">
            <v>#N/A</v>
          </cell>
          <cell r="K948">
            <v>26</v>
          </cell>
          <cell r="L948">
            <v>14.700000000000001</v>
          </cell>
          <cell r="M948" t="e">
            <v>#N/A</v>
          </cell>
          <cell r="N948">
            <v>21.200000000000003</v>
          </cell>
          <cell r="O948" t="e">
            <v>#N/A</v>
          </cell>
          <cell r="P948" t="str">
            <v/>
          </cell>
          <cell r="Q948" t="str">
            <v/>
          </cell>
          <cell r="R948">
            <v>19.900000000000002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-8.1555343511450751</v>
          </cell>
          <cell r="F949">
            <v>28.859732824427461</v>
          </cell>
          <cell r="G949">
            <v>12.772328244275137</v>
          </cell>
          <cell r="H949">
            <v>12.772328244275137</v>
          </cell>
          <cell r="I949" t="e">
            <v>#N/A</v>
          </cell>
          <cell r="J949" t="e">
            <v>#N/A</v>
          </cell>
          <cell r="K949">
            <v>26</v>
          </cell>
          <cell r="L949">
            <v>14.700000000000001</v>
          </cell>
          <cell r="M949" t="e">
            <v>#N/A</v>
          </cell>
          <cell r="N949">
            <v>21.200000000000003</v>
          </cell>
          <cell r="O949" t="e">
            <v>#N/A</v>
          </cell>
          <cell r="P949" t="str">
            <v/>
          </cell>
          <cell r="Q949" t="str">
            <v/>
          </cell>
          <cell r="R949">
            <v>19.900000000000002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-8.2290076335878233</v>
          </cell>
          <cell r="F950">
            <v>28.885496183206087</v>
          </cell>
          <cell r="G950">
            <v>12.754961832061397</v>
          </cell>
          <cell r="H950">
            <v>12.754961832061397</v>
          </cell>
          <cell r="I950" t="e">
            <v>#N/A</v>
          </cell>
          <cell r="J950" t="e">
            <v>#N/A</v>
          </cell>
          <cell r="K950">
            <v>26</v>
          </cell>
          <cell r="L950">
            <v>14.700000000000001</v>
          </cell>
          <cell r="M950" t="e">
            <v>#N/A</v>
          </cell>
          <cell r="N950">
            <v>21.200000000000003</v>
          </cell>
          <cell r="O950" t="e">
            <v>#N/A</v>
          </cell>
          <cell r="P950" t="str">
            <v/>
          </cell>
          <cell r="Q950" t="str">
            <v/>
          </cell>
          <cell r="R950">
            <v>19.900000000000002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-8.3024809160305715</v>
          </cell>
          <cell r="F951">
            <v>28.911259541984712</v>
          </cell>
          <cell r="G951">
            <v>12.737595419847658</v>
          </cell>
          <cell r="H951">
            <v>12.737595419847658</v>
          </cell>
          <cell r="I951" t="e">
            <v>#N/A</v>
          </cell>
          <cell r="J951" t="e">
            <v>#N/A</v>
          </cell>
          <cell r="K951">
            <v>26</v>
          </cell>
          <cell r="L951">
            <v>14.700000000000001</v>
          </cell>
          <cell r="M951" t="e">
            <v>#N/A</v>
          </cell>
          <cell r="N951">
            <v>21.200000000000003</v>
          </cell>
          <cell r="O951" t="e">
            <v>#N/A</v>
          </cell>
          <cell r="P951" t="str">
            <v/>
          </cell>
          <cell r="Q951" t="str">
            <v/>
          </cell>
          <cell r="R951">
            <v>19.900000000000002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-8.3759541984733197</v>
          </cell>
          <cell r="F952">
            <v>28.937022900763338</v>
          </cell>
          <cell r="G952">
            <v>12.720229007633918</v>
          </cell>
          <cell r="H952">
            <v>12.720229007633918</v>
          </cell>
          <cell r="I952" t="e">
            <v>#N/A</v>
          </cell>
          <cell r="J952" t="e">
            <v>#N/A</v>
          </cell>
          <cell r="K952">
            <v>26</v>
          </cell>
          <cell r="L952">
            <v>14.700000000000001</v>
          </cell>
          <cell r="M952" t="e">
            <v>#N/A</v>
          </cell>
          <cell r="N952">
            <v>21.200000000000003</v>
          </cell>
          <cell r="O952" t="e">
            <v>#N/A</v>
          </cell>
          <cell r="P952" t="str">
            <v/>
          </cell>
          <cell r="Q952" t="str">
            <v/>
          </cell>
          <cell r="R952">
            <v>19.900000000000002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-8.4494274809160679</v>
          </cell>
          <cell r="F953">
            <v>28.962786259541964</v>
          </cell>
          <cell r="G953">
            <v>12.702862595420179</v>
          </cell>
          <cell r="H953">
            <v>12.702862595420179</v>
          </cell>
          <cell r="I953" t="e">
            <v>#N/A</v>
          </cell>
          <cell r="J953" t="e">
            <v>#N/A</v>
          </cell>
          <cell r="K953">
            <v>26</v>
          </cell>
          <cell r="L953">
            <v>14.700000000000001</v>
          </cell>
          <cell r="M953" t="e">
            <v>#N/A</v>
          </cell>
          <cell r="N953">
            <v>21.200000000000003</v>
          </cell>
          <cell r="O953" t="e">
            <v>#N/A</v>
          </cell>
          <cell r="P953" t="str">
            <v/>
          </cell>
          <cell r="Q953" t="str">
            <v/>
          </cell>
          <cell r="R953">
            <v>19.900000000000002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-8.5229007633588161</v>
          </cell>
          <cell r="F954">
            <v>28.98854961832059</v>
          </cell>
          <cell r="G954">
            <v>12.685496183206439</v>
          </cell>
          <cell r="H954">
            <v>12.685496183206439</v>
          </cell>
          <cell r="I954" t="e">
            <v>#N/A</v>
          </cell>
          <cell r="J954" t="e">
            <v>#N/A</v>
          </cell>
          <cell r="K954">
            <v>26</v>
          </cell>
          <cell r="L954">
            <v>14.700000000000001</v>
          </cell>
          <cell r="M954" t="e">
            <v>#N/A</v>
          </cell>
          <cell r="N954">
            <v>21.200000000000003</v>
          </cell>
          <cell r="O954" t="e">
            <v>#N/A</v>
          </cell>
          <cell r="P954" t="str">
            <v/>
          </cell>
          <cell r="Q954" t="str">
            <v/>
          </cell>
          <cell r="R954">
            <v>19.900000000000002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-8.5963740458015643</v>
          </cell>
          <cell r="F955">
            <v>29.014312977099216</v>
          </cell>
          <cell r="G955">
            <v>12.668129770992699</v>
          </cell>
          <cell r="H955">
            <v>12.668129770992699</v>
          </cell>
          <cell r="I955" t="e">
            <v>#N/A</v>
          </cell>
          <cell r="J955" t="e">
            <v>#N/A</v>
          </cell>
          <cell r="K955">
            <v>26</v>
          </cell>
          <cell r="L955">
            <v>14.700000000000001</v>
          </cell>
          <cell r="M955" t="e">
            <v>#N/A</v>
          </cell>
          <cell r="N955">
            <v>21.200000000000003</v>
          </cell>
          <cell r="O955" t="e">
            <v>#N/A</v>
          </cell>
          <cell r="P955" t="str">
            <v/>
          </cell>
          <cell r="Q955" t="str">
            <v/>
          </cell>
          <cell r="R955">
            <v>19.900000000000002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-8.6698473282443125</v>
          </cell>
          <cell r="F956">
            <v>29.040076335877842</v>
          </cell>
          <cell r="G956">
            <v>12.65076335877896</v>
          </cell>
          <cell r="H956">
            <v>12.65076335877896</v>
          </cell>
          <cell r="I956" t="e">
            <v>#N/A</v>
          </cell>
          <cell r="J956" t="e">
            <v>#N/A</v>
          </cell>
          <cell r="K956">
            <v>26</v>
          </cell>
          <cell r="L956">
            <v>14.700000000000001</v>
          </cell>
          <cell r="M956" t="e">
            <v>#N/A</v>
          </cell>
          <cell r="N956">
            <v>21.200000000000003</v>
          </cell>
          <cell r="O956" t="e">
            <v>#N/A</v>
          </cell>
          <cell r="P956" t="str">
            <v/>
          </cell>
          <cell r="Q956" t="str">
            <v/>
          </cell>
          <cell r="R956">
            <v>19.900000000000002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-8.7433206106870607</v>
          </cell>
          <cell r="F957">
            <v>29.065839694656468</v>
          </cell>
          <cell r="G957">
            <v>12.63339694656522</v>
          </cell>
          <cell r="H957">
            <v>12.63339694656522</v>
          </cell>
          <cell r="I957" t="e">
            <v>#N/A</v>
          </cell>
          <cell r="J957" t="e">
            <v>#N/A</v>
          </cell>
          <cell r="K957">
            <v>26</v>
          </cell>
          <cell r="L957">
            <v>14.700000000000001</v>
          </cell>
          <cell r="M957" t="e">
            <v>#N/A</v>
          </cell>
          <cell r="N957">
            <v>21.200000000000003</v>
          </cell>
          <cell r="O957" t="e">
            <v>#N/A</v>
          </cell>
          <cell r="P957" t="str">
            <v/>
          </cell>
          <cell r="Q957" t="str">
            <v/>
          </cell>
          <cell r="R957">
            <v>19.900000000000002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-8.8167938931298089</v>
          </cell>
          <cell r="F958">
            <v>29.091603053435094</v>
          </cell>
          <cell r="G958">
            <v>12.616030534351481</v>
          </cell>
          <cell r="H958">
            <v>12.616030534351481</v>
          </cell>
          <cell r="I958" t="e">
            <v>#N/A</v>
          </cell>
          <cell r="J958" t="e">
            <v>#N/A</v>
          </cell>
          <cell r="K958">
            <v>26</v>
          </cell>
          <cell r="L958">
            <v>14.700000000000001</v>
          </cell>
          <cell r="M958" t="e">
            <v>#N/A</v>
          </cell>
          <cell r="N958">
            <v>21.200000000000003</v>
          </cell>
          <cell r="O958" t="e">
            <v>#N/A</v>
          </cell>
          <cell r="P958" t="str">
            <v/>
          </cell>
          <cell r="Q958" t="str">
            <v/>
          </cell>
          <cell r="R958">
            <v>19.900000000000002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-8.8902671755725571</v>
          </cell>
          <cell r="F959">
            <v>29.11736641221372</v>
          </cell>
          <cell r="G959">
            <v>12.598664122137741</v>
          </cell>
          <cell r="H959">
            <v>12.598664122137741</v>
          </cell>
          <cell r="I959" t="e">
            <v>#N/A</v>
          </cell>
          <cell r="J959" t="e">
            <v>#N/A</v>
          </cell>
          <cell r="K959">
            <v>26</v>
          </cell>
          <cell r="L959">
            <v>14.700000000000001</v>
          </cell>
          <cell r="M959" t="e">
            <v>#N/A</v>
          </cell>
          <cell r="N959">
            <v>21.200000000000003</v>
          </cell>
          <cell r="O959" t="e">
            <v>#N/A</v>
          </cell>
          <cell r="P959" t="str">
            <v/>
          </cell>
          <cell r="Q959" t="str">
            <v/>
          </cell>
          <cell r="R959">
            <v>19.900000000000002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-8.9637404580153053</v>
          </cell>
          <cell r="F960">
            <v>29.143129770992346</v>
          </cell>
          <cell r="G960">
            <v>12.581297709924002</v>
          </cell>
          <cell r="H960">
            <v>12.581297709924002</v>
          </cell>
          <cell r="I960" t="e">
            <v>#N/A</v>
          </cell>
          <cell r="J960" t="e">
            <v>#N/A</v>
          </cell>
          <cell r="K960">
            <v>26</v>
          </cell>
          <cell r="L960">
            <v>14.700000000000001</v>
          </cell>
          <cell r="M960" t="e">
            <v>#N/A</v>
          </cell>
          <cell r="N960">
            <v>21.200000000000003</v>
          </cell>
          <cell r="O960" t="e">
            <v>#N/A</v>
          </cell>
          <cell r="P960" t="str">
            <v/>
          </cell>
          <cell r="Q960" t="str">
            <v/>
          </cell>
          <cell r="R960">
            <v>19.900000000000002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-9.0372137404580535</v>
          </cell>
          <cell r="F961">
            <v>29.168893129770971</v>
          </cell>
          <cell r="G961">
            <v>12.563931297710262</v>
          </cell>
          <cell r="H961">
            <v>12.563931297710262</v>
          </cell>
          <cell r="I961" t="e">
            <v>#N/A</v>
          </cell>
          <cell r="J961" t="e">
            <v>#N/A</v>
          </cell>
          <cell r="K961">
            <v>26</v>
          </cell>
          <cell r="L961">
            <v>14.700000000000001</v>
          </cell>
          <cell r="M961" t="e">
            <v>#N/A</v>
          </cell>
          <cell r="N961">
            <v>21.200000000000003</v>
          </cell>
          <cell r="O961" t="e">
            <v>#N/A</v>
          </cell>
          <cell r="P961" t="str">
            <v/>
          </cell>
          <cell r="Q961" t="str">
            <v/>
          </cell>
          <cell r="R961">
            <v>19.900000000000002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-9.1106870229008017</v>
          </cell>
          <cell r="F962">
            <v>29.194656488549597</v>
          </cell>
          <cell r="G962">
            <v>12.546564885496522</v>
          </cell>
          <cell r="H962">
            <v>12.546564885496522</v>
          </cell>
          <cell r="I962" t="e">
            <v>#N/A</v>
          </cell>
          <cell r="J962" t="e">
            <v>#N/A</v>
          </cell>
          <cell r="K962">
            <v>26</v>
          </cell>
          <cell r="L962">
            <v>14.700000000000001</v>
          </cell>
          <cell r="M962" t="e">
            <v>#N/A</v>
          </cell>
          <cell r="N962">
            <v>21.200000000000003</v>
          </cell>
          <cell r="O962" t="e">
            <v>#N/A</v>
          </cell>
          <cell r="P962" t="str">
            <v/>
          </cell>
          <cell r="Q962" t="str">
            <v/>
          </cell>
          <cell r="R962">
            <v>19.900000000000002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-9.1841603053435499</v>
          </cell>
          <cell r="F963">
            <v>29.220419847328223</v>
          </cell>
          <cell r="G963">
            <v>12.529198473282783</v>
          </cell>
          <cell r="H963">
            <v>12.529198473282783</v>
          </cell>
          <cell r="I963" t="e">
            <v>#N/A</v>
          </cell>
          <cell r="J963" t="e">
            <v>#N/A</v>
          </cell>
          <cell r="K963">
            <v>26</v>
          </cell>
          <cell r="L963">
            <v>14.700000000000001</v>
          </cell>
          <cell r="M963" t="e">
            <v>#N/A</v>
          </cell>
          <cell r="N963">
            <v>21.200000000000003</v>
          </cell>
          <cell r="O963" t="e">
            <v>#N/A</v>
          </cell>
          <cell r="P963" t="str">
            <v/>
          </cell>
          <cell r="Q963" t="str">
            <v/>
          </cell>
          <cell r="R963">
            <v>19.900000000000002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-9.2576335877862981</v>
          </cell>
          <cell r="F964">
            <v>29.246183206106849</v>
          </cell>
          <cell r="G964">
            <v>12.511832061069043</v>
          </cell>
          <cell r="H964">
            <v>12.511832061069043</v>
          </cell>
          <cell r="I964" t="e">
            <v>#N/A</v>
          </cell>
          <cell r="J964" t="e">
            <v>#N/A</v>
          </cell>
          <cell r="K964">
            <v>26</v>
          </cell>
          <cell r="L964">
            <v>14.700000000000001</v>
          </cell>
          <cell r="M964" t="e">
            <v>#N/A</v>
          </cell>
          <cell r="N964">
            <v>21.200000000000003</v>
          </cell>
          <cell r="O964" t="e">
            <v>#N/A</v>
          </cell>
          <cell r="P964" t="str">
            <v/>
          </cell>
          <cell r="Q964" t="str">
            <v/>
          </cell>
          <cell r="R964">
            <v>19.900000000000002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-9.3311068702290463</v>
          </cell>
          <cell r="F965">
            <v>29.271946564885475</v>
          </cell>
          <cell r="G965">
            <v>12.494465648855304</v>
          </cell>
          <cell r="H965">
            <v>12.494465648855304</v>
          </cell>
          <cell r="I965" t="e">
            <v>#N/A</v>
          </cell>
          <cell r="J965" t="e">
            <v>#N/A</v>
          </cell>
          <cell r="K965">
            <v>26</v>
          </cell>
          <cell r="L965">
            <v>14.700000000000001</v>
          </cell>
          <cell r="M965" t="e">
            <v>#N/A</v>
          </cell>
          <cell r="N965">
            <v>21.200000000000003</v>
          </cell>
          <cell r="O965" t="e">
            <v>#N/A</v>
          </cell>
          <cell r="P965" t="str">
            <v/>
          </cell>
          <cell r="Q965" t="str">
            <v/>
          </cell>
          <cell r="R965">
            <v>19.900000000000002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-9.4045801526717945</v>
          </cell>
          <cell r="F966">
            <v>29.297709923664101</v>
          </cell>
          <cell r="G966">
            <v>12.477099236641564</v>
          </cell>
          <cell r="H966">
            <v>12.477099236641564</v>
          </cell>
          <cell r="I966" t="e">
            <v>#N/A</v>
          </cell>
          <cell r="J966" t="e">
            <v>#N/A</v>
          </cell>
          <cell r="K966">
            <v>26</v>
          </cell>
          <cell r="L966">
            <v>14.700000000000001</v>
          </cell>
          <cell r="M966" t="e">
            <v>#N/A</v>
          </cell>
          <cell r="N966">
            <v>21.200000000000003</v>
          </cell>
          <cell r="O966" t="e">
            <v>#N/A</v>
          </cell>
          <cell r="P966" t="str">
            <v/>
          </cell>
          <cell r="Q966" t="str">
            <v/>
          </cell>
          <cell r="R966">
            <v>19.900000000000002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-9.4780534351145427</v>
          </cell>
          <cell r="F967">
            <v>29.323473282442727</v>
          </cell>
          <cell r="G967">
            <v>12.459732824427824</v>
          </cell>
          <cell r="H967">
            <v>12.459732824427824</v>
          </cell>
          <cell r="I967" t="e">
            <v>#N/A</v>
          </cell>
          <cell r="J967" t="e">
            <v>#N/A</v>
          </cell>
          <cell r="K967">
            <v>26</v>
          </cell>
          <cell r="L967">
            <v>14.700000000000001</v>
          </cell>
          <cell r="M967" t="e">
            <v>#N/A</v>
          </cell>
          <cell r="N967">
            <v>21.200000000000003</v>
          </cell>
          <cell r="O967" t="e">
            <v>#N/A</v>
          </cell>
          <cell r="P967" t="str">
            <v/>
          </cell>
          <cell r="Q967" t="str">
            <v/>
          </cell>
          <cell r="R967">
            <v>19.900000000000002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-9.5515267175572909</v>
          </cell>
          <cell r="F968">
            <v>29.349236641221353</v>
          </cell>
          <cell r="G968">
            <v>12.442366412214085</v>
          </cell>
          <cell r="H968">
            <v>12.442366412214085</v>
          </cell>
          <cell r="I968" t="e">
            <v>#N/A</v>
          </cell>
          <cell r="J968" t="e">
            <v>#N/A</v>
          </cell>
          <cell r="K968">
            <v>26</v>
          </cell>
          <cell r="L968">
            <v>14.700000000000001</v>
          </cell>
          <cell r="M968" t="e">
            <v>#N/A</v>
          </cell>
          <cell r="N968">
            <v>21.200000000000003</v>
          </cell>
          <cell r="O968" t="e">
            <v>#N/A</v>
          </cell>
          <cell r="P968" t="str">
            <v/>
          </cell>
          <cell r="Q968" t="str">
            <v/>
          </cell>
          <cell r="R968">
            <v>19.900000000000002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-9.6250000000000391</v>
          </cell>
          <cell r="F969">
            <v>29.374999999999979</v>
          </cell>
          <cell r="G969">
            <v>12.425000000000345</v>
          </cell>
          <cell r="H969">
            <v>12.425000000000345</v>
          </cell>
          <cell r="I969" t="e">
            <v>#N/A</v>
          </cell>
          <cell r="J969" t="e">
            <v>#N/A</v>
          </cell>
          <cell r="K969">
            <v>26</v>
          </cell>
          <cell r="L969">
            <v>14.700000000000001</v>
          </cell>
          <cell r="M969" t="e">
            <v>#N/A</v>
          </cell>
          <cell r="N969">
            <v>21.200000000000003</v>
          </cell>
          <cell r="O969" t="e">
            <v>#N/A</v>
          </cell>
          <cell r="P969" t="str">
            <v/>
          </cell>
          <cell r="Q969" t="str">
            <v/>
          </cell>
          <cell r="R969">
            <v>19.900000000000002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-9.6984732824427873</v>
          </cell>
          <cell r="F970">
            <v>29.400763358778605</v>
          </cell>
          <cell r="G970">
            <v>12.407633587786606</v>
          </cell>
          <cell r="H970">
            <v>12.407633587786606</v>
          </cell>
          <cell r="I970" t="e">
            <v>#N/A</v>
          </cell>
          <cell r="J970" t="e">
            <v>#N/A</v>
          </cell>
          <cell r="K970">
            <v>26</v>
          </cell>
          <cell r="L970">
            <v>14.700000000000001</v>
          </cell>
          <cell r="M970" t="e">
            <v>#N/A</v>
          </cell>
          <cell r="N970">
            <v>21.200000000000003</v>
          </cell>
          <cell r="O970" t="e">
            <v>#N/A</v>
          </cell>
          <cell r="P970" t="str">
            <v/>
          </cell>
          <cell r="Q970" t="str">
            <v/>
          </cell>
          <cell r="R970">
            <v>19.900000000000002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-9.7719465648855355</v>
          </cell>
          <cell r="F971">
            <v>29.42652671755723</v>
          </cell>
          <cell r="G971">
            <v>12.390267175572866</v>
          </cell>
          <cell r="H971">
            <v>12.390267175572866</v>
          </cell>
          <cell r="I971" t="e">
            <v>#N/A</v>
          </cell>
          <cell r="J971" t="e">
            <v>#N/A</v>
          </cell>
          <cell r="K971">
            <v>26</v>
          </cell>
          <cell r="L971">
            <v>14.700000000000001</v>
          </cell>
          <cell r="M971" t="e">
            <v>#N/A</v>
          </cell>
          <cell r="N971">
            <v>21.200000000000003</v>
          </cell>
          <cell r="O971" t="e">
            <v>#N/A</v>
          </cell>
          <cell r="P971" t="str">
            <v/>
          </cell>
          <cell r="Q971" t="str">
            <v/>
          </cell>
          <cell r="R971">
            <v>19.900000000000002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-9.8454198473282837</v>
          </cell>
          <cell r="F972">
            <v>29.452290076335856</v>
          </cell>
          <cell r="G972">
            <v>12.372900763359127</v>
          </cell>
          <cell r="H972">
            <v>12.372900763359127</v>
          </cell>
          <cell r="I972" t="e">
            <v>#N/A</v>
          </cell>
          <cell r="J972" t="e">
            <v>#N/A</v>
          </cell>
          <cell r="K972">
            <v>26</v>
          </cell>
          <cell r="L972">
            <v>14.700000000000001</v>
          </cell>
          <cell r="M972" t="e">
            <v>#N/A</v>
          </cell>
          <cell r="N972">
            <v>21.200000000000003</v>
          </cell>
          <cell r="O972" t="e">
            <v>#N/A</v>
          </cell>
          <cell r="P972" t="str">
            <v/>
          </cell>
          <cell r="Q972" t="str">
            <v/>
          </cell>
          <cell r="R972">
            <v>19.900000000000002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-9.9188931297710319</v>
          </cell>
          <cell r="F973">
            <v>29.478053435114482</v>
          </cell>
          <cell r="G973">
            <v>12.355534351145387</v>
          </cell>
          <cell r="H973">
            <v>12.355534351145387</v>
          </cell>
          <cell r="I973" t="e">
            <v>#N/A</v>
          </cell>
          <cell r="J973" t="e">
            <v>#N/A</v>
          </cell>
          <cell r="K973">
            <v>26</v>
          </cell>
          <cell r="L973">
            <v>14.700000000000001</v>
          </cell>
          <cell r="M973" t="e">
            <v>#N/A</v>
          </cell>
          <cell r="N973">
            <v>21.200000000000003</v>
          </cell>
          <cell r="O973" t="e">
            <v>#N/A</v>
          </cell>
          <cell r="P973" t="str">
            <v/>
          </cell>
          <cell r="Q973" t="str">
            <v/>
          </cell>
          <cell r="R973">
            <v>19.900000000000002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-9.9923664122137801</v>
          </cell>
          <cell r="F974">
            <v>29.503816793893108</v>
          </cell>
          <cell r="G974">
            <v>12.338167938931647</v>
          </cell>
          <cell r="H974">
            <v>12.338167938931647</v>
          </cell>
          <cell r="I974" t="e">
            <v>#N/A</v>
          </cell>
          <cell r="J974" t="e">
            <v>#N/A</v>
          </cell>
          <cell r="K974">
            <v>26</v>
          </cell>
          <cell r="L974">
            <v>14.700000000000001</v>
          </cell>
          <cell r="M974" t="e">
            <v>#N/A</v>
          </cell>
          <cell r="N974">
            <v>21.200000000000003</v>
          </cell>
          <cell r="O974" t="e">
            <v>#N/A</v>
          </cell>
          <cell r="P974" t="str">
            <v/>
          </cell>
          <cell r="Q974" t="str">
            <v/>
          </cell>
          <cell r="R974">
            <v>19.900000000000002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-10.065839694656528</v>
          </cell>
          <cell r="F975">
            <v>29.529580152671734</v>
          </cell>
          <cell r="G975">
            <v>12.320801526717908</v>
          </cell>
          <cell r="H975">
            <v>12.320801526717908</v>
          </cell>
          <cell r="I975" t="e">
            <v>#N/A</v>
          </cell>
          <cell r="J975" t="e">
            <v>#N/A</v>
          </cell>
          <cell r="K975">
            <v>26</v>
          </cell>
          <cell r="L975">
            <v>14.700000000000001</v>
          </cell>
          <cell r="M975" t="e">
            <v>#N/A</v>
          </cell>
          <cell r="N975">
            <v>21.200000000000003</v>
          </cell>
          <cell r="O975" t="e">
            <v>#N/A</v>
          </cell>
          <cell r="P975" t="str">
            <v/>
          </cell>
          <cell r="Q975" t="str">
            <v/>
          </cell>
          <cell r="R975">
            <v>19.900000000000002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-10.139312977099276</v>
          </cell>
          <cell r="F976">
            <v>29.55534351145036</v>
          </cell>
          <cell r="G976">
            <v>12.303435114504168</v>
          </cell>
          <cell r="H976">
            <v>12.303435114504168</v>
          </cell>
          <cell r="I976" t="e">
            <v>#N/A</v>
          </cell>
          <cell r="J976" t="e">
            <v>#N/A</v>
          </cell>
          <cell r="K976">
            <v>26</v>
          </cell>
          <cell r="L976">
            <v>14.700000000000001</v>
          </cell>
          <cell r="M976" t="e">
            <v>#N/A</v>
          </cell>
          <cell r="N976">
            <v>21.200000000000003</v>
          </cell>
          <cell r="O976" t="e">
            <v>#N/A</v>
          </cell>
          <cell r="P976" t="str">
            <v/>
          </cell>
          <cell r="Q976" t="str">
            <v/>
          </cell>
          <cell r="R976">
            <v>19.900000000000002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-10.212786259542025</v>
          </cell>
          <cell r="F977">
            <v>29.581106870228986</v>
          </cell>
          <cell r="G977">
            <v>12.286068702290429</v>
          </cell>
          <cell r="H977">
            <v>12.286068702290429</v>
          </cell>
          <cell r="I977" t="e">
            <v>#N/A</v>
          </cell>
          <cell r="J977" t="e">
            <v>#N/A</v>
          </cell>
          <cell r="K977">
            <v>26</v>
          </cell>
          <cell r="L977">
            <v>14.700000000000001</v>
          </cell>
          <cell r="M977" t="e">
            <v>#N/A</v>
          </cell>
          <cell r="N977">
            <v>21.200000000000003</v>
          </cell>
          <cell r="O977" t="e">
            <v>#N/A</v>
          </cell>
          <cell r="P977" t="str">
            <v/>
          </cell>
          <cell r="Q977" t="str">
            <v/>
          </cell>
          <cell r="R977">
            <v>19.900000000000002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-10.286259541984773</v>
          </cell>
          <cell r="F978">
            <v>29.606870229007612</v>
          </cell>
          <cell r="G978">
            <v>12.268702290076689</v>
          </cell>
          <cell r="H978">
            <v>12.268702290076689</v>
          </cell>
          <cell r="I978" t="e">
            <v>#N/A</v>
          </cell>
          <cell r="J978" t="e">
            <v>#N/A</v>
          </cell>
          <cell r="K978">
            <v>26</v>
          </cell>
          <cell r="L978">
            <v>14.700000000000001</v>
          </cell>
          <cell r="M978" t="e">
            <v>#N/A</v>
          </cell>
          <cell r="N978">
            <v>21.200000000000003</v>
          </cell>
          <cell r="O978" t="e">
            <v>#N/A</v>
          </cell>
          <cell r="P978" t="str">
            <v/>
          </cell>
          <cell r="Q978" t="str">
            <v/>
          </cell>
          <cell r="R978">
            <v>19.900000000000002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-10.359732824427521</v>
          </cell>
          <cell r="F979">
            <v>29.632633587786238</v>
          </cell>
          <cell r="G979">
            <v>12.25133587786295</v>
          </cell>
          <cell r="H979">
            <v>12.25133587786295</v>
          </cell>
          <cell r="I979" t="e">
            <v>#N/A</v>
          </cell>
          <cell r="J979" t="e">
            <v>#N/A</v>
          </cell>
          <cell r="K979">
            <v>26</v>
          </cell>
          <cell r="L979">
            <v>14.700000000000001</v>
          </cell>
          <cell r="M979" t="e">
            <v>#N/A</v>
          </cell>
          <cell r="N979">
            <v>21.200000000000003</v>
          </cell>
          <cell r="O979" t="e">
            <v>#N/A</v>
          </cell>
          <cell r="P979" t="str">
            <v/>
          </cell>
          <cell r="Q979" t="str">
            <v/>
          </cell>
          <cell r="R979">
            <v>19.900000000000002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-10.433206106870269</v>
          </cell>
          <cell r="F980">
            <v>29.658396946564864</v>
          </cell>
          <cell r="G980">
            <v>12.23396946564921</v>
          </cell>
          <cell r="H980">
            <v>12.23396946564921</v>
          </cell>
          <cell r="I980" t="e">
            <v>#N/A</v>
          </cell>
          <cell r="J980" t="e">
            <v>#N/A</v>
          </cell>
          <cell r="K980">
            <v>26</v>
          </cell>
          <cell r="L980">
            <v>14.700000000000001</v>
          </cell>
          <cell r="M980" t="e">
            <v>#N/A</v>
          </cell>
          <cell r="N980">
            <v>21.200000000000003</v>
          </cell>
          <cell r="O980" t="e">
            <v>#N/A</v>
          </cell>
          <cell r="P980" t="str">
            <v/>
          </cell>
          <cell r="Q980" t="str">
            <v/>
          </cell>
          <cell r="R980">
            <v>19.900000000000002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-10.506679389313017</v>
          </cell>
          <cell r="F981">
            <v>29.684160305343489</v>
          </cell>
          <cell r="G981">
            <v>12.21660305343547</v>
          </cell>
          <cell r="H981">
            <v>12.21660305343547</v>
          </cell>
          <cell r="I981" t="e">
            <v>#N/A</v>
          </cell>
          <cell r="J981" t="e">
            <v>#N/A</v>
          </cell>
          <cell r="K981">
            <v>26</v>
          </cell>
          <cell r="L981">
            <v>14.700000000000001</v>
          </cell>
          <cell r="M981" t="e">
            <v>#N/A</v>
          </cell>
          <cell r="N981">
            <v>21.200000000000003</v>
          </cell>
          <cell r="O981" t="e">
            <v>#N/A</v>
          </cell>
          <cell r="P981" t="str">
            <v/>
          </cell>
          <cell r="Q981" t="str">
            <v/>
          </cell>
          <cell r="R981">
            <v>19.900000000000002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-10.580152671755766</v>
          </cell>
          <cell r="F982">
            <v>29.709923664122115</v>
          </cell>
          <cell r="G982">
            <v>12.199236641221731</v>
          </cell>
          <cell r="H982">
            <v>12.199236641221731</v>
          </cell>
          <cell r="I982" t="e">
            <v>#N/A</v>
          </cell>
          <cell r="J982" t="e">
            <v>#N/A</v>
          </cell>
          <cell r="K982">
            <v>26</v>
          </cell>
          <cell r="L982">
            <v>14.700000000000001</v>
          </cell>
          <cell r="M982" t="e">
            <v>#N/A</v>
          </cell>
          <cell r="N982">
            <v>21.200000000000003</v>
          </cell>
          <cell r="O982" t="e">
            <v>#N/A</v>
          </cell>
          <cell r="P982" t="str">
            <v/>
          </cell>
          <cell r="Q982" t="str">
            <v/>
          </cell>
          <cell r="R982">
            <v>19.900000000000002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-10.653625954198514</v>
          </cell>
          <cell r="F983">
            <v>29.735687022900741</v>
          </cell>
          <cell r="G983">
            <v>12.181870229007991</v>
          </cell>
          <cell r="H983">
            <v>12.181870229007991</v>
          </cell>
          <cell r="I983" t="e">
            <v>#N/A</v>
          </cell>
          <cell r="J983" t="e">
            <v>#N/A</v>
          </cell>
          <cell r="K983">
            <v>26</v>
          </cell>
          <cell r="L983">
            <v>14.700000000000001</v>
          </cell>
          <cell r="M983" t="e">
            <v>#N/A</v>
          </cell>
          <cell r="N983">
            <v>21.200000000000003</v>
          </cell>
          <cell r="O983" t="e">
            <v>#N/A</v>
          </cell>
          <cell r="P983" t="str">
            <v/>
          </cell>
          <cell r="Q983" t="str">
            <v/>
          </cell>
          <cell r="R983">
            <v>19.900000000000002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-10.727099236641262</v>
          </cell>
          <cell r="F984">
            <v>29.761450381679367</v>
          </cell>
          <cell r="G984">
            <v>12.164503816794252</v>
          </cell>
          <cell r="H984">
            <v>12.164503816794252</v>
          </cell>
          <cell r="I984" t="e">
            <v>#N/A</v>
          </cell>
          <cell r="J984" t="e">
            <v>#N/A</v>
          </cell>
          <cell r="K984">
            <v>26</v>
          </cell>
          <cell r="L984">
            <v>14.700000000000001</v>
          </cell>
          <cell r="M984" t="e">
            <v>#N/A</v>
          </cell>
          <cell r="N984">
            <v>21.200000000000003</v>
          </cell>
          <cell r="O984" t="e">
            <v>#N/A</v>
          </cell>
          <cell r="P984" t="str">
            <v/>
          </cell>
          <cell r="Q984" t="str">
            <v/>
          </cell>
          <cell r="R984">
            <v>19.900000000000002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-10.80057251908401</v>
          </cell>
          <cell r="F985">
            <v>29.787213740457993</v>
          </cell>
          <cell r="G985">
            <v>12.147137404580512</v>
          </cell>
          <cell r="H985">
            <v>12.147137404580512</v>
          </cell>
          <cell r="I985" t="e">
            <v>#N/A</v>
          </cell>
          <cell r="J985" t="e">
            <v>#N/A</v>
          </cell>
          <cell r="K985">
            <v>26</v>
          </cell>
          <cell r="L985">
            <v>14.700000000000001</v>
          </cell>
          <cell r="M985" t="e">
            <v>#N/A</v>
          </cell>
          <cell r="N985">
            <v>21.200000000000003</v>
          </cell>
          <cell r="O985" t="e">
            <v>#N/A</v>
          </cell>
          <cell r="P985" t="str">
            <v/>
          </cell>
          <cell r="Q985" t="str">
            <v/>
          </cell>
          <cell r="R985">
            <v>19.900000000000002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-10.874045801526758</v>
          </cell>
          <cell r="F986">
            <v>29.812977099236619</v>
          </cell>
          <cell r="G986">
            <v>12.129770992366772</v>
          </cell>
          <cell r="H986">
            <v>12.129770992366772</v>
          </cell>
          <cell r="I986" t="e">
            <v>#N/A</v>
          </cell>
          <cell r="J986" t="e">
            <v>#N/A</v>
          </cell>
          <cell r="K986">
            <v>26</v>
          </cell>
          <cell r="L986">
            <v>14.700000000000001</v>
          </cell>
          <cell r="M986" t="e">
            <v>#N/A</v>
          </cell>
          <cell r="N986">
            <v>21.200000000000003</v>
          </cell>
          <cell r="O986" t="e">
            <v>#N/A</v>
          </cell>
          <cell r="P986" t="str">
            <v/>
          </cell>
          <cell r="Q986" t="str">
            <v/>
          </cell>
          <cell r="R986">
            <v>19.900000000000002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-10.947519083969507</v>
          </cell>
          <cell r="F987">
            <v>29.838740458015245</v>
          </cell>
          <cell r="G987">
            <v>12.112404580153033</v>
          </cell>
          <cell r="H987">
            <v>12.112404580153033</v>
          </cell>
          <cell r="I987" t="e">
            <v>#N/A</v>
          </cell>
          <cell r="J987" t="e">
            <v>#N/A</v>
          </cell>
          <cell r="K987">
            <v>26</v>
          </cell>
          <cell r="L987">
            <v>14.700000000000001</v>
          </cell>
          <cell r="M987" t="e">
            <v>#N/A</v>
          </cell>
          <cell r="N987">
            <v>21.200000000000003</v>
          </cell>
          <cell r="O987" t="e">
            <v>#N/A</v>
          </cell>
          <cell r="P987" t="str">
            <v/>
          </cell>
          <cell r="Q987" t="str">
            <v/>
          </cell>
          <cell r="R987">
            <v>19.900000000000002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-11.020992366412255</v>
          </cell>
          <cell r="F988">
            <v>29.864503816793871</v>
          </cell>
          <cell r="G988">
            <v>12.095038167939293</v>
          </cell>
          <cell r="H988">
            <v>12.095038167939293</v>
          </cell>
          <cell r="I988" t="e">
            <v>#N/A</v>
          </cell>
          <cell r="J988" t="e">
            <v>#N/A</v>
          </cell>
          <cell r="K988">
            <v>26</v>
          </cell>
          <cell r="L988">
            <v>14.700000000000001</v>
          </cell>
          <cell r="M988" t="e">
            <v>#N/A</v>
          </cell>
          <cell r="N988">
            <v>21.200000000000003</v>
          </cell>
          <cell r="O988" t="e">
            <v>#N/A</v>
          </cell>
          <cell r="P988" t="str">
            <v/>
          </cell>
          <cell r="Q988" t="str">
            <v/>
          </cell>
          <cell r="R988">
            <v>19.900000000000002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-11.094465648855003</v>
          </cell>
          <cell r="F989">
            <v>29.890267175572497</v>
          </cell>
          <cell r="G989">
            <v>12.077671755725554</v>
          </cell>
          <cell r="H989">
            <v>12.077671755725554</v>
          </cell>
          <cell r="I989" t="e">
            <v>#N/A</v>
          </cell>
          <cell r="J989" t="e">
            <v>#N/A</v>
          </cell>
          <cell r="K989">
            <v>26</v>
          </cell>
          <cell r="L989">
            <v>14.700000000000001</v>
          </cell>
          <cell r="M989" t="e">
            <v>#N/A</v>
          </cell>
          <cell r="N989">
            <v>21.200000000000003</v>
          </cell>
          <cell r="O989" t="e">
            <v>#N/A</v>
          </cell>
          <cell r="P989" t="str">
            <v/>
          </cell>
          <cell r="Q989" t="str">
            <v/>
          </cell>
          <cell r="R989">
            <v>19.900000000000002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-11.167938931297751</v>
          </cell>
          <cell r="F990">
            <v>29.916030534351123</v>
          </cell>
          <cell r="G990">
            <v>12.060305343511814</v>
          </cell>
          <cell r="H990">
            <v>12.060305343511814</v>
          </cell>
          <cell r="I990" t="e">
            <v>#N/A</v>
          </cell>
          <cell r="J990" t="e">
            <v>#N/A</v>
          </cell>
          <cell r="K990">
            <v>26</v>
          </cell>
          <cell r="L990">
            <v>14.700000000000001</v>
          </cell>
          <cell r="M990" t="e">
            <v>#N/A</v>
          </cell>
          <cell r="N990">
            <v>21.200000000000003</v>
          </cell>
          <cell r="O990" t="e">
            <v>#N/A</v>
          </cell>
          <cell r="P990" t="str">
            <v/>
          </cell>
          <cell r="Q990" t="str">
            <v/>
          </cell>
          <cell r="R990">
            <v>19.900000000000002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-11.241412213740499</v>
          </cell>
          <cell r="F991">
            <v>29.941793893129748</v>
          </cell>
          <cell r="G991">
            <v>12.042938931298075</v>
          </cell>
          <cell r="H991">
            <v>12.042938931298075</v>
          </cell>
          <cell r="I991" t="e">
            <v>#N/A</v>
          </cell>
          <cell r="J991" t="e">
            <v>#N/A</v>
          </cell>
          <cell r="K991">
            <v>26</v>
          </cell>
          <cell r="L991">
            <v>14.700000000000001</v>
          </cell>
          <cell r="M991" t="e">
            <v>#N/A</v>
          </cell>
          <cell r="N991">
            <v>21.200000000000003</v>
          </cell>
          <cell r="O991" t="e">
            <v>#N/A</v>
          </cell>
          <cell r="P991" t="str">
            <v/>
          </cell>
          <cell r="Q991" t="str">
            <v/>
          </cell>
          <cell r="R991">
            <v>19.900000000000002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-11.314885496183248</v>
          </cell>
          <cell r="F992">
            <v>29.967557251908374</v>
          </cell>
          <cell r="G992">
            <v>12.025572519084335</v>
          </cell>
          <cell r="H992">
            <v>12.025572519084335</v>
          </cell>
          <cell r="I992" t="e">
            <v>#N/A</v>
          </cell>
          <cell r="J992" t="e">
            <v>#N/A</v>
          </cell>
          <cell r="K992">
            <v>26</v>
          </cell>
          <cell r="L992">
            <v>14.700000000000001</v>
          </cell>
          <cell r="M992" t="e">
            <v>#N/A</v>
          </cell>
          <cell r="N992">
            <v>21.200000000000003</v>
          </cell>
          <cell r="O992" t="e">
            <v>#N/A</v>
          </cell>
          <cell r="P992" t="str">
            <v/>
          </cell>
          <cell r="Q992" t="str">
            <v/>
          </cell>
          <cell r="R992">
            <v>19.900000000000002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-11.388358778625996</v>
          </cell>
          <cell r="F993">
            <v>29.993320610687</v>
          </cell>
          <cell r="G993">
            <v>12.008206106870595</v>
          </cell>
          <cell r="H993">
            <v>12.008206106870595</v>
          </cell>
          <cell r="I993" t="e">
            <v>#N/A</v>
          </cell>
          <cell r="J993" t="e">
            <v>#N/A</v>
          </cell>
          <cell r="K993">
            <v>26</v>
          </cell>
          <cell r="L993">
            <v>14.700000000000001</v>
          </cell>
          <cell r="M993" t="e">
            <v>#N/A</v>
          </cell>
          <cell r="N993">
            <v>21.200000000000003</v>
          </cell>
          <cell r="O993" t="e">
            <v>#N/A</v>
          </cell>
          <cell r="P993" t="str">
            <v/>
          </cell>
          <cell r="Q993" t="str">
            <v/>
          </cell>
          <cell r="R993">
            <v>19.900000000000002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-11.461832061068744</v>
          </cell>
          <cell r="F994">
            <v>30.019083969465626</v>
          </cell>
          <cell r="G994">
            <v>11.990839694656856</v>
          </cell>
          <cell r="H994">
            <v>11.990839694656856</v>
          </cell>
          <cell r="I994" t="e">
            <v>#N/A</v>
          </cell>
          <cell r="J994" t="e">
            <v>#N/A</v>
          </cell>
          <cell r="K994">
            <v>26</v>
          </cell>
          <cell r="L994">
            <v>14.700000000000001</v>
          </cell>
          <cell r="M994" t="e">
            <v>#N/A</v>
          </cell>
          <cell r="N994">
            <v>21.200000000000003</v>
          </cell>
          <cell r="O994" t="e">
            <v>#N/A</v>
          </cell>
          <cell r="P994" t="str">
            <v/>
          </cell>
          <cell r="Q994" t="str">
            <v/>
          </cell>
          <cell r="R994">
            <v>19.900000000000002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-11.535305343511492</v>
          </cell>
          <cell r="F995">
            <v>30.044847328244252</v>
          </cell>
          <cell r="G995">
            <v>11.973473282443116</v>
          </cell>
          <cell r="H995">
            <v>11.973473282443116</v>
          </cell>
          <cell r="I995" t="e">
            <v>#N/A</v>
          </cell>
          <cell r="J995" t="e">
            <v>#N/A</v>
          </cell>
          <cell r="K995">
            <v>26</v>
          </cell>
          <cell r="L995">
            <v>14.700000000000001</v>
          </cell>
          <cell r="M995" t="e">
            <v>#N/A</v>
          </cell>
          <cell r="N995">
            <v>21.200000000000003</v>
          </cell>
          <cell r="O995" t="e">
            <v>#N/A</v>
          </cell>
          <cell r="P995" t="str">
            <v/>
          </cell>
          <cell r="Q995" t="str">
            <v/>
          </cell>
          <cell r="R995">
            <v>19.900000000000002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-11.60877862595424</v>
          </cell>
          <cell r="F996">
            <v>30.070610687022878</v>
          </cell>
          <cell r="G996">
            <v>11.956106870229377</v>
          </cell>
          <cell r="H996">
            <v>11.956106870229377</v>
          </cell>
          <cell r="I996" t="e">
            <v>#N/A</v>
          </cell>
          <cell r="J996" t="e">
            <v>#N/A</v>
          </cell>
          <cell r="K996">
            <v>26</v>
          </cell>
          <cell r="L996">
            <v>14.700000000000001</v>
          </cell>
          <cell r="M996" t="e">
            <v>#N/A</v>
          </cell>
          <cell r="N996">
            <v>21.200000000000003</v>
          </cell>
          <cell r="O996" t="e">
            <v>#N/A</v>
          </cell>
          <cell r="P996" t="str">
            <v/>
          </cell>
          <cell r="Q996" t="str">
            <v/>
          </cell>
          <cell r="R996">
            <v>19.900000000000002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-11.682251908396989</v>
          </cell>
          <cell r="F997">
            <v>30.096374045801504</v>
          </cell>
          <cell r="G997">
            <v>11.938740458015637</v>
          </cell>
          <cell r="H997">
            <v>11.938740458015637</v>
          </cell>
          <cell r="I997" t="e">
            <v>#N/A</v>
          </cell>
          <cell r="J997" t="e">
            <v>#N/A</v>
          </cell>
          <cell r="K997">
            <v>26</v>
          </cell>
          <cell r="L997">
            <v>14.700000000000001</v>
          </cell>
          <cell r="M997" t="e">
            <v>#N/A</v>
          </cell>
          <cell r="N997">
            <v>21.200000000000003</v>
          </cell>
          <cell r="O997" t="e">
            <v>#N/A</v>
          </cell>
          <cell r="P997" t="str">
            <v/>
          </cell>
          <cell r="Q997" t="str">
            <v/>
          </cell>
          <cell r="R997">
            <v>19.900000000000002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-11.755725190839737</v>
          </cell>
          <cell r="F998">
            <v>30.12213740458013</v>
          </cell>
          <cell r="G998">
            <v>11.921374045801898</v>
          </cell>
          <cell r="H998">
            <v>11.921374045801898</v>
          </cell>
          <cell r="I998" t="e">
            <v>#N/A</v>
          </cell>
          <cell r="J998" t="e">
            <v>#N/A</v>
          </cell>
          <cell r="K998">
            <v>26</v>
          </cell>
          <cell r="L998">
            <v>14.700000000000001</v>
          </cell>
          <cell r="M998" t="e">
            <v>#N/A</v>
          </cell>
          <cell r="N998">
            <v>21.200000000000003</v>
          </cell>
          <cell r="O998" t="e">
            <v>#N/A</v>
          </cell>
          <cell r="P998" t="str">
            <v/>
          </cell>
          <cell r="Q998" t="str">
            <v/>
          </cell>
          <cell r="R998">
            <v>19.900000000000002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-11.829198473282485</v>
          </cell>
          <cell r="F999">
            <v>30.147900763358756</v>
          </cell>
          <cell r="G999">
            <v>11.904007633588158</v>
          </cell>
          <cell r="H999">
            <v>11.904007633588158</v>
          </cell>
          <cell r="I999" t="e">
            <v>#N/A</v>
          </cell>
          <cell r="J999" t="e">
            <v>#N/A</v>
          </cell>
          <cell r="K999">
            <v>26</v>
          </cell>
          <cell r="L999">
            <v>14.700000000000001</v>
          </cell>
          <cell r="M999" t="e">
            <v>#N/A</v>
          </cell>
          <cell r="N999">
            <v>21.200000000000003</v>
          </cell>
          <cell r="O999" t="e">
            <v>#N/A</v>
          </cell>
          <cell r="P999" t="str">
            <v/>
          </cell>
          <cell r="Q999" t="str">
            <v/>
          </cell>
          <cell r="R999">
            <v>19.900000000000002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-11.902671755725233</v>
          </cell>
          <cell r="F1000">
            <v>30.173664122137382</v>
          </cell>
          <cell r="G1000">
            <v>11.886641221374418</v>
          </cell>
          <cell r="H1000">
            <v>11.886641221374418</v>
          </cell>
          <cell r="I1000" t="e">
            <v>#N/A</v>
          </cell>
          <cell r="J1000" t="e">
            <v>#N/A</v>
          </cell>
          <cell r="K1000">
            <v>26</v>
          </cell>
          <cell r="L1000">
            <v>14.700000000000001</v>
          </cell>
          <cell r="M1000" t="e">
            <v>#N/A</v>
          </cell>
          <cell r="N1000">
            <v>21.200000000000003</v>
          </cell>
          <cell r="O1000" t="e">
            <v>#N/A</v>
          </cell>
          <cell r="P1000" t="str">
            <v/>
          </cell>
          <cell r="Q1000" t="str">
            <v/>
          </cell>
          <cell r="R1000">
            <v>19.900000000000002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-11.976145038167981</v>
          </cell>
          <cell r="F1001">
            <v>30.199427480916007</v>
          </cell>
          <cell r="G1001">
            <v>11.869274809160679</v>
          </cell>
          <cell r="H1001">
            <v>11.869274809160679</v>
          </cell>
          <cell r="I1001" t="e">
            <v>#N/A</v>
          </cell>
          <cell r="J1001" t="e">
            <v>#N/A</v>
          </cell>
          <cell r="K1001">
            <v>26</v>
          </cell>
          <cell r="L1001">
            <v>14.700000000000001</v>
          </cell>
          <cell r="M1001" t="e">
            <v>#N/A</v>
          </cell>
          <cell r="N1001">
            <v>21.200000000000003</v>
          </cell>
          <cell r="O1001" t="e">
            <v>#N/A</v>
          </cell>
          <cell r="P1001" t="str">
            <v/>
          </cell>
          <cell r="Q1001" t="str">
            <v/>
          </cell>
          <cell r="R1001">
            <v>19.900000000000002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-12.04961832061073</v>
          </cell>
          <cell r="F1002">
            <v>30.225190839694633</v>
          </cell>
          <cell r="G1002">
            <v>11.851908396946939</v>
          </cell>
          <cell r="H1002">
            <v>11.851908396946939</v>
          </cell>
          <cell r="I1002" t="e">
            <v>#N/A</v>
          </cell>
          <cell r="J1002" t="e">
            <v>#N/A</v>
          </cell>
          <cell r="K1002">
            <v>26</v>
          </cell>
          <cell r="L1002">
            <v>14.700000000000001</v>
          </cell>
          <cell r="M1002" t="e">
            <v>#N/A</v>
          </cell>
          <cell r="N1002">
            <v>21.200000000000003</v>
          </cell>
          <cell r="O1002" t="e">
            <v>#N/A</v>
          </cell>
          <cell r="P1002" t="str">
            <v/>
          </cell>
          <cell r="Q1002" t="str">
            <v/>
          </cell>
          <cell r="R1002">
            <v>19.900000000000002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-12.123091603053478</v>
          </cell>
          <cell r="F1003">
            <v>30.250954198473259</v>
          </cell>
          <cell r="G1003">
            <v>11.8345419847332</v>
          </cell>
          <cell r="H1003">
            <v>11.8345419847332</v>
          </cell>
          <cell r="I1003" t="e">
            <v>#N/A</v>
          </cell>
          <cell r="J1003" t="e">
            <v>#N/A</v>
          </cell>
          <cell r="K1003">
            <v>26</v>
          </cell>
          <cell r="L1003">
            <v>14.700000000000001</v>
          </cell>
          <cell r="M1003" t="e">
            <v>#N/A</v>
          </cell>
          <cell r="N1003">
            <v>21.200000000000003</v>
          </cell>
          <cell r="O1003" t="e">
            <v>#N/A</v>
          </cell>
          <cell r="P1003" t="str">
            <v/>
          </cell>
          <cell r="Q1003" t="str">
            <v/>
          </cell>
          <cell r="R1003">
            <v>19.900000000000002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-12.196564885496226</v>
          </cell>
          <cell r="F1004">
            <v>30.276717557251885</v>
          </cell>
          <cell r="G1004">
            <v>11.81717557251946</v>
          </cell>
          <cell r="H1004">
            <v>11.81717557251946</v>
          </cell>
          <cell r="I1004" t="e">
            <v>#N/A</v>
          </cell>
          <cell r="J1004" t="e">
            <v>#N/A</v>
          </cell>
          <cell r="K1004">
            <v>26</v>
          </cell>
          <cell r="L1004">
            <v>14.700000000000001</v>
          </cell>
          <cell r="M1004" t="e">
            <v>#N/A</v>
          </cell>
          <cell r="N1004">
            <v>21.200000000000003</v>
          </cell>
          <cell r="O1004" t="e">
            <v>#N/A</v>
          </cell>
          <cell r="P1004" t="str">
            <v/>
          </cell>
          <cell r="Q1004" t="str">
            <v/>
          </cell>
          <cell r="R1004">
            <v>19.900000000000002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-12.270038167938974</v>
          </cell>
          <cell r="F1005">
            <v>30.302480916030511</v>
          </cell>
          <cell r="G1005">
            <v>11.79980916030572</v>
          </cell>
          <cell r="H1005">
            <v>11.79980916030572</v>
          </cell>
          <cell r="I1005" t="e">
            <v>#N/A</v>
          </cell>
          <cell r="J1005" t="e">
            <v>#N/A</v>
          </cell>
          <cell r="K1005">
            <v>26</v>
          </cell>
          <cell r="L1005">
            <v>14.700000000000001</v>
          </cell>
          <cell r="M1005" t="e">
            <v>#N/A</v>
          </cell>
          <cell r="N1005">
            <v>21.200000000000003</v>
          </cell>
          <cell r="O1005" t="e">
            <v>#N/A</v>
          </cell>
          <cell r="P1005" t="str">
            <v/>
          </cell>
          <cell r="Q1005" t="str">
            <v/>
          </cell>
          <cell r="R1005">
            <v>19.900000000000002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-12.343511450381722</v>
          </cell>
          <cell r="F1006">
            <v>30.328244274809137</v>
          </cell>
          <cell r="G1006">
            <v>11.782442748091981</v>
          </cell>
          <cell r="H1006">
            <v>11.782442748091981</v>
          </cell>
          <cell r="I1006" t="e">
            <v>#N/A</v>
          </cell>
          <cell r="J1006" t="e">
            <v>#N/A</v>
          </cell>
          <cell r="K1006">
            <v>26</v>
          </cell>
          <cell r="L1006">
            <v>14.700000000000001</v>
          </cell>
          <cell r="M1006" t="e">
            <v>#N/A</v>
          </cell>
          <cell r="N1006">
            <v>21.200000000000003</v>
          </cell>
          <cell r="O1006" t="e">
            <v>#N/A</v>
          </cell>
          <cell r="P1006" t="str">
            <v/>
          </cell>
          <cell r="Q1006" t="str">
            <v/>
          </cell>
          <cell r="R1006">
            <v>19.900000000000002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-12.416984732824471</v>
          </cell>
          <cell r="F1007">
            <v>30.354007633587763</v>
          </cell>
          <cell r="G1007">
            <v>11.765076335878241</v>
          </cell>
          <cell r="H1007">
            <v>11.765076335878241</v>
          </cell>
          <cell r="I1007" t="e">
            <v>#N/A</v>
          </cell>
          <cell r="J1007" t="e">
            <v>#N/A</v>
          </cell>
          <cell r="K1007">
            <v>26</v>
          </cell>
          <cell r="L1007">
            <v>14.700000000000001</v>
          </cell>
          <cell r="M1007" t="e">
            <v>#N/A</v>
          </cell>
          <cell r="N1007">
            <v>21.200000000000003</v>
          </cell>
          <cell r="O1007" t="e">
            <v>#N/A</v>
          </cell>
          <cell r="P1007" t="str">
            <v/>
          </cell>
          <cell r="Q1007" t="str">
            <v/>
          </cell>
          <cell r="R1007">
            <v>19.900000000000002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-12.490458015267219</v>
          </cell>
          <cell r="F1008">
            <v>30.379770992366389</v>
          </cell>
          <cell r="G1008">
            <v>11.747709923664502</v>
          </cell>
          <cell r="H1008">
            <v>11.747709923664502</v>
          </cell>
          <cell r="I1008" t="e">
            <v>#N/A</v>
          </cell>
          <cell r="J1008" t="e">
            <v>#N/A</v>
          </cell>
          <cell r="K1008">
            <v>26</v>
          </cell>
          <cell r="L1008">
            <v>14.700000000000001</v>
          </cell>
          <cell r="M1008" t="e">
            <v>#N/A</v>
          </cell>
          <cell r="N1008">
            <v>21.200000000000003</v>
          </cell>
          <cell r="O1008" t="e">
            <v>#N/A</v>
          </cell>
          <cell r="P1008" t="str">
            <v/>
          </cell>
          <cell r="Q1008" t="str">
            <v/>
          </cell>
          <cell r="R1008">
            <v>19.900000000000002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-12.563931297709967</v>
          </cell>
          <cell r="F1009">
            <v>30.405534351145015</v>
          </cell>
          <cell r="G1009">
            <v>11.730343511450762</v>
          </cell>
          <cell r="H1009">
            <v>11.730343511450762</v>
          </cell>
          <cell r="I1009" t="e">
            <v>#N/A</v>
          </cell>
          <cell r="J1009" t="e">
            <v>#N/A</v>
          </cell>
          <cell r="K1009">
            <v>26</v>
          </cell>
          <cell r="L1009">
            <v>14.700000000000001</v>
          </cell>
          <cell r="M1009" t="e">
            <v>#N/A</v>
          </cell>
          <cell r="N1009">
            <v>21.200000000000003</v>
          </cell>
          <cell r="O1009" t="e">
            <v>#N/A</v>
          </cell>
          <cell r="P1009" t="str">
            <v/>
          </cell>
          <cell r="Q1009" t="str">
            <v/>
          </cell>
          <cell r="R1009">
            <v>19.900000000000002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-12.637404580152715</v>
          </cell>
          <cell r="F1010">
            <v>30.431297709923641</v>
          </cell>
          <cell r="G1010">
            <v>11.712977099237023</v>
          </cell>
          <cell r="H1010">
            <v>11.712977099237023</v>
          </cell>
          <cell r="I1010" t="e">
            <v>#N/A</v>
          </cell>
          <cell r="J1010" t="e">
            <v>#N/A</v>
          </cell>
          <cell r="K1010">
            <v>26</v>
          </cell>
          <cell r="L1010">
            <v>14.700000000000001</v>
          </cell>
          <cell r="M1010" t="e">
            <v>#N/A</v>
          </cell>
          <cell r="N1010">
            <v>21.200000000000003</v>
          </cell>
          <cell r="O1010" t="e">
            <v>#N/A</v>
          </cell>
          <cell r="P1010" t="str">
            <v/>
          </cell>
          <cell r="Q1010" t="str">
            <v/>
          </cell>
          <cell r="R1010">
            <v>19.900000000000002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-12.710877862595463</v>
          </cell>
          <cell r="F1011">
            <v>30.457061068702266</v>
          </cell>
          <cell r="G1011">
            <v>11.695610687023283</v>
          </cell>
          <cell r="H1011">
            <v>11.695610687023283</v>
          </cell>
          <cell r="I1011" t="e">
            <v>#N/A</v>
          </cell>
          <cell r="J1011" t="e">
            <v>#N/A</v>
          </cell>
          <cell r="K1011">
            <v>26</v>
          </cell>
          <cell r="L1011">
            <v>14.700000000000001</v>
          </cell>
          <cell r="M1011" t="e">
            <v>#N/A</v>
          </cell>
          <cell r="N1011">
            <v>21.200000000000003</v>
          </cell>
          <cell r="O1011" t="e">
            <v>#N/A</v>
          </cell>
          <cell r="P1011" t="str">
            <v/>
          </cell>
          <cell r="Q1011" t="str">
            <v/>
          </cell>
          <cell r="R1011">
            <v>19.900000000000002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-12.784351145038212</v>
          </cell>
          <cell r="F1012">
            <v>30.482824427480892</v>
          </cell>
          <cell r="G1012">
            <v>11.678244274809543</v>
          </cell>
          <cell r="H1012">
            <v>11.678244274809543</v>
          </cell>
          <cell r="I1012" t="e">
            <v>#N/A</v>
          </cell>
          <cell r="J1012" t="e">
            <v>#N/A</v>
          </cell>
          <cell r="K1012">
            <v>26</v>
          </cell>
          <cell r="L1012">
            <v>14.700000000000001</v>
          </cell>
          <cell r="M1012" t="e">
            <v>#N/A</v>
          </cell>
          <cell r="N1012">
            <v>21.200000000000003</v>
          </cell>
          <cell r="O1012" t="e">
            <v>#N/A</v>
          </cell>
          <cell r="P1012" t="str">
            <v/>
          </cell>
          <cell r="Q1012" t="str">
            <v/>
          </cell>
          <cell r="R1012">
            <v>19.900000000000002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-12.85782442748096</v>
          </cell>
          <cell r="F1013">
            <v>30.508587786259518</v>
          </cell>
          <cell r="G1013">
            <v>11.660877862595804</v>
          </cell>
          <cell r="H1013">
            <v>11.660877862595804</v>
          </cell>
          <cell r="I1013" t="e">
            <v>#N/A</v>
          </cell>
          <cell r="J1013" t="e">
            <v>#N/A</v>
          </cell>
          <cell r="K1013">
            <v>26</v>
          </cell>
          <cell r="L1013">
            <v>14.700000000000001</v>
          </cell>
          <cell r="M1013" t="e">
            <v>#N/A</v>
          </cell>
          <cell r="N1013">
            <v>21.200000000000003</v>
          </cell>
          <cell r="O1013" t="e">
            <v>#N/A</v>
          </cell>
          <cell r="P1013" t="str">
            <v/>
          </cell>
          <cell r="Q1013" t="str">
            <v/>
          </cell>
          <cell r="R1013">
            <v>19.900000000000002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-12.931297709923708</v>
          </cell>
          <cell r="F1014">
            <v>30.534351145038144</v>
          </cell>
          <cell r="G1014">
            <v>11.643511450382064</v>
          </cell>
          <cell r="H1014">
            <v>11.643511450382064</v>
          </cell>
          <cell r="I1014" t="e">
            <v>#N/A</v>
          </cell>
          <cell r="J1014" t="e">
            <v>#N/A</v>
          </cell>
          <cell r="K1014">
            <v>26</v>
          </cell>
          <cell r="L1014">
            <v>14.700000000000001</v>
          </cell>
          <cell r="M1014" t="e">
            <v>#N/A</v>
          </cell>
          <cell r="N1014">
            <v>21.200000000000003</v>
          </cell>
          <cell r="O1014" t="e">
            <v>#N/A</v>
          </cell>
          <cell r="P1014" t="str">
            <v/>
          </cell>
          <cell r="Q1014" t="str">
            <v/>
          </cell>
          <cell r="R1014">
            <v>19.900000000000002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-13.004770992366456</v>
          </cell>
          <cell r="F1015">
            <v>30.56011450381677</v>
          </cell>
          <cell r="G1015">
            <v>11.626145038168325</v>
          </cell>
          <cell r="H1015">
            <v>11.626145038168325</v>
          </cell>
          <cell r="I1015" t="e">
            <v>#N/A</v>
          </cell>
          <cell r="J1015" t="e">
            <v>#N/A</v>
          </cell>
          <cell r="K1015">
            <v>26</v>
          </cell>
          <cell r="L1015">
            <v>14.700000000000001</v>
          </cell>
          <cell r="M1015" t="e">
            <v>#N/A</v>
          </cell>
          <cell r="N1015">
            <v>21.200000000000003</v>
          </cell>
          <cell r="O1015" t="e">
            <v>#N/A</v>
          </cell>
          <cell r="P1015" t="str">
            <v/>
          </cell>
          <cell r="Q1015" t="str">
            <v/>
          </cell>
          <cell r="R1015">
            <v>19.900000000000002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-13.078244274809204</v>
          </cell>
          <cell r="F1016">
            <v>30.585877862595396</v>
          </cell>
          <cell r="G1016">
            <v>11.608778625954585</v>
          </cell>
          <cell r="H1016">
            <v>11.608778625954585</v>
          </cell>
          <cell r="I1016" t="e">
            <v>#N/A</v>
          </cell>
          <cell r="J1016" t="e">
            <v>#N/A</v>
          </cell>
          <cell r="K1016">
            <v>26</v>
          </cell>
          <cell r="L1016">
            <v>14.700000000000001</v>
          </cell>
          <cell r="M1016" t="e">
            <v>#N/A</v>
          </cell>
          <cell r="N1016">
            <v>21.200000000000003</v>
          </cell>
          <cell r="O1016" t="e">
            <v>#N/A</v>
          </cell>
          <cell r="P1016" t="str">
            <v/>
          </cell>
          <cell r="Q1016" t="str">
            <v/>
          </cell>
          <cell r="R1016">
            <v>19.900000000000002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-13.151717557251953</v>
          </cell>
          <cell r="F1017">
            <v>30.611641221374022</v>
          </cell>
          <cell r="G1017">
            <v>11.591412213740846</v>
          </cell>
          <cell r="H1017">
            <v>11.591412213740846</v>
          </cell>
          <cell r="I1017" t="e">
            <v>#N/A</v>
          </cell>
          <cell r="J1017" t="e">
            <v>#N/A</v>
          </cell>
          <cell r="K1017">
            <v>26</v>
          </cell>
          <cell r="L1017">
            <v>14.700000000000001</v>
          </cell>
          <cell r="M1017" t="e">
            <v>#N/A</v>
          </cell>
          <cell r="N1017">
            <v>21.200000000000003</v>
          </cell>
          <cell r="O1017" t="e">
            <v>#N/A</v>
          </cell>
          <cell r="P1017" t="str">
            <v/>
          </cell>
          <cell r="Q1017" t="str">
            <v/>
          </cell>
          <cell r="R1017">
            <v>19.900000000000002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-13.225190839694701</v>
          </cell>
          <cell r="F1018">
            <v>30.637404580152648</v>
          </cell>
          <cell r="G1018">
            <v>11.574045801527106</v>
          </cell>
          <cell r="H1018">
            <v>11.574045801527106</v>
          </cell>
          <cell r="I1018" t="e">
            <v>#N/A</v>
          </cell>
          <cell r="J1018" t="e">
            <v>#N/A</v>
          </cell>
          <cell r="K1018">
            <v>26</v>
          </cell>
          <cell r="L1018">
            <v>14.700000000000001</v>
          </cell>
          <cell r="M1018" t="e">
            <v>#N/A</v>
          </cell>
          <cell r="N1018">
            <v>21.200000000000003</v>
          </cell>
          <cell r="O1018" t="e">
            <v>#N/A</v>
          </cell>
          <cell r="P1018" t="str">
            <v/>
          </cell>
          <cell r="Q1018" t="str">
            <v/>
          </cell>
          <cell r="R1018">
            <v>19.900000000000002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-13.298664122137449</v>
          </cell>
          <cell r="F1019">
            <v>30.663167938931274</v>
          </cell>
          <cell r="G1019">
            <v>11.556679389313366</v>
          </cell>
          <cell r="H1019">
            <v>11.556679389313366</v>
          </cell>
          <cell r="I1019" t="e">
            <v>#N/A</v>
          </cell>
          <cell r="J1019" t="e">
            <v>#N/A</v>
          </cell>
          <cell r="K1019">
            <v>26</v>
          </cell>
          <cell r="L1019">
            <v>14.700000000000001</v>
          </cell>
          <cell r="M1019" t="e">
            <v>#N/A</v>
          </cell>
          <cell r="N1019">
            <v>21.200000000000003</v>
          </cell>
          <cell r="O1019" t="e">
            <v>#N/A</v>
          </cell>
          <cell r="P1019" t="str">
            <v/>
          </cell>
          <cell r="Q1019" t="str">
            <v/>
          </cell>
          <cell r="R1019">
            <v>19.900000000000002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-13.372137404580197</v>
          </cell>
          <cell r="F1020">
            <v>30.6889312977099</v>
          </cell>
          <cell r="G1020">
            <v>11.539312977099627</v>
          </cell>
          <cell r="H1020">
            <v>11.539312977099627</v>
          </cell>
          <cell r="I1020" t="e">
            <v>#N/A</v>
          </cell>
          <cell r="J1020" t="e">
            <v>#N/A</v>
          </cell>
          <cell r="K1020">
            <v>26</v>
          </cell>
          <cell r="L1020">
            <v>14.700000000000001</v>
          </cell>
          <cell r="M1020" t="e">
            <v>#N/A</v>
          </cell>
          <cell r="N1020">
            <v>21.200000000000003</v>
          </cell>
          <cell r="O1020" t="e">
            <v>#N/A</v>
          </cell>
          <cell r="P1020" t="str">
            <v/>
          </cell>
          <cell r="Q1020" t="str">
            <v/>
          </cell>
          <cell r="R1020">
            <v>19.900000000000002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-13.445610687022945</v>
          </cell>
          <cell r="F1021">
            <v>30.714694656488525</v>
          </cell>
          <cell r="G1021">
            <v>11.521946564885887</v>
          </cell>
          <cell r="H1021">
            <v>11.521946564885887</v>
          </cell>
          <cell r="I1021" t="e">
            <v>#N/A</v>
          </cell>
          <cell r="J1021" t="e">
            <v>#N/A</v>
          </cell>
          <cell r="K1021">
            <v>26</v>
          </cell>
          <cell r="L1021">
            <v>14.700000000000001</v>
          </cell>
          <cell r="M1021" t="e">
            <v>#N/A</v>
          </cell>
          <cell r="N1021">
            <v>21.200000000000003</v>
          </cell>
          <cell r="O1021" t="e">
            <v>#N/A</v>
          </cell>
          <cell r="P1021" t="str">
            <v/>
          </cell>
          <cell r="Q1021" t="str">
            <v/>
          </cell>
          <cell r="R1021">
            <v>19.900000000000002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-13.519083969465694</v>
          </cell>
          <cell r="F1022">
            <v>30.740458015267151</v>
          </cell>
          <cell r="G1022">
            <v>11.504580152672148</v>
          </cell>
          <cell r="H1022">
            <v>11.504580152672148</v>
          </cell>
          <cell r="I1022" t="e">
            <v>#N/A</v>
          </cell>
          <cell r="J1022" t="e">
            <v>#N/A</v>
          </cell>
          <cell r="K1022">
            <v>26</v>
          </cell>
          <cell r="L1022">
            <v>14.700000000000001</v>
          </cell>
          <cell r="M1022" t="e">
            <v>#N/A</v>
          </cell>
          <cell r="N1022">
            <v>21.200000000000003</v>
          </cell>
          <cell r="O1022" t="e">
            <v>#N/A</v>
          </cell>
          <cell r="P1022" t="str">
            <v/>
          </cell>
          <cell r="Q1022" t="str">
            <v/>
          </cell>
          <cell r="R1022">
            <v>19.900000000000002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-13.592557251908442</v>
          </cell>
          <cell r="F1023">
            <v>30.766221374045777</v>
          </cell>
          <cell r="G1023">
            <v>11.487213740458408</v>
          </cell>
          <cell r="H1023">
            <v>11.487213740458408</v>
          </cell>
          <cell r="I1023" t="e">
            <v>#N/A</v>
          </cell>
          <cell r="J1023" t="e">
            <v>#N/A</v>
          </cell>
          <cell r="K1023">
            <v>26</v>
          </cell>
          <cell r="L1023">
            <v>14.700000000000001</v>
          </cell>
          <cell r="M1023" t="e">
            <v>#N/A</v>
          </cell>
          <cell r="N1023">
            <v>21.200000000000003</v>
          </cell>
          <cell r="O1023" t="e">
            <v>#N/A</v>
          </cell>
          <cell r="P1023" t="str">
            <v/>
          </cell>
          <cell r="Q1023" t="str">
            <v/>
          </cell>
          <cell r="R1023">
            <v>19.900000000000002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-13.66603053435119</v>
          </cell>
          <cell r="F1024">
            <v>30.791984732824403</v>
          </cell>
          <cell r="G1024">
            <v>11.469847328244668</v>
          </cell>
          <cell r="H1024">
            <v>11.469847328244668</v>
          </cell>
          <cell r="I1024" t="e">
            <v>#N/A</v>
          </cell>
          <cell r="J1024" t="e">
            <v>#N/A</v>
          </cell>
          <cell r="K1024">
            <v>26</v>
          </cell>
          <cell r="L1024">
            <v>14.700000000000001</v>
          </cell>
          <cell r="M1024" t="e">
            <v>#N/A</v>
          </cell>
          <cell r="N1024">
            <v>21.200000000000003</v>
          </cell>
          <cell r="O1024" t="e">
            <v>#N/A</v>
          </cell>
          <cell r="P1024" t="str">
            <v/>
          </cell>
          <cell r="Q1024" t="str">
            <v/>
          </cell>
          <cell r="R1024">
            <v>19.900000000000002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-13.739503816793938</v>
          </cell>
          <cell r="F1025">
            <v>30.817748091603029</v>
          </cell>
          <cell r="G1025">
            <v>11.452480916030929</v>
          </cell>
          <cell r="H1025">
            <v>11.452480916030929</v>
          </cell>
          <cell r="I1025" t="e">
            <v>#N/A</v>
          </cell>
          <cell r="J1025" t="e">
            <v>#N/A</v>
          </cell>
          <cell r="K1025">
            <v>26</v>
          </cell>
          <cell r="L1025">
            <v>14.700000000000001</v>
          </cell>
          <cell r="M1025" t="e">
            <v>#N/A</v>
          </cell>
          <cell r="N1025">
            <v>21.200000000000003</v>
          </cell>
          <cell r="O1025" t="e">
            <v>#N/A</v>
          </cell>
          <cell r="P1025" t="str">
            <v/>
          </cell>
          <cell r="Q1025" t="str">
            <v/>
          </cell>
          <cell r="R1025">
            <v>19.900000000000002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-13.812977099236686</v>
          </cell>
          <cell r="F1026">
            <v>30.843511450381655</v>
          </cell>
          <cell r="G1026">
            <v>11.435114503817189</v>
          </cell>
          <cell r="H1026">
            <v>11.435114503817189</v>
          </cell>
          <cell r="I1026" t="e">
            <v>#N/A</v>
          </cell>
          <cell r="J1026" t="e">
            <v>#N/A</v>
          </cell>
          <cell r="K1026">
            <v>26</v>
          </cell>
          <cell r="L1026">
            <v>14.700000000000001</v>
          </cell>
          <cell r="M1026" t="e">
            <v>#N/A</v>
          </cell>
          <cell r="N1026">
            <v>21.200000000000003</v>
          </cell>
          <cell r="O1026" t="e">
            <v>#N/A</v>
          </cell>
          <cell r="P1026" t="str">
            <v/>
          </cell>
          <cell r="Q1026" t="str">
            <v/>
          </cell>
          <cell r="R1026">
            <v>19.900000000000002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-13.886450381679435</v>
          </cell>
          <cell r="F1027">
            <v>30.869274809160281</v>
          </cell>
          <cell r="G1027">
            <v>11.41774809160345</v>
          </cell>
          <cell r="H1027">
            <v>11.41774809160345</v>
          </cell>
          <cell r="I1027" t="e">
            <v>#N/A</v>
          </cell>
          <cell r="J1027" t="e">
            <v>#N/A</v>
          </cell>
          <cell r="K1027">
            <v>26</v>
          </cell>
          <cell r="L1027">
            <v>14.700000000000001</v>
          </cell>
          <cell r="M1027" t="e">
            <v>#N/A</v>
          </cell>
          <cell r="N1027">
            <v>21.200000000000003</v>
          </cell>
          <cell r="O1027" t="e">
            <v>#N/A</v>
          </cell>
          <cell r="P1027" t="str">
            <v/>
          </cell>
          <cell r="Q1027" t="str">
            <v/>
          </cell>
          <cell r="R1027">
            <v>19.900000000000002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-13.959923664122183</v>
          </cell>
          <cell r="F1028">
            <v>30.895038167938907</v>
          </cell>
          <cell r="G1028">
            <v>11.40038167938971</v>
          </cell>
          <cell r="H1028">
            <v>11.40038167938971</v>
          </cell>
          <cell r="I1028" t="e">
            <v>#N/A</v>
          </cell>
          <cell r="J1028" t="e">
            <v>#N/A</v>
          </cell>
          <cell r="K1028">
            <v>26</v>
          </cell>
          <cell r="L1028">
            <v>14.700000000000001</v>
          </cell>
          <cell r="M1028" t="e">
            <v>#N/A</v>
          </cell>
          <cell r="N1028">
            <v>21.200000000000003</v>
          </cell>
          <cell r="O1028" t="e">
            <v>#N/A</v>
          </cell>
          <cell r="P1028" t="str">
            <v/>
          </cell>
          <cell r="Q1028" t="str">
            <v/>
          </cell>
          <cell r="R1028">
            <v>19.900000000000002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-14.033396946564931</v>
          </cell>
          <cell r="F1029">
            <v>30.920801526717533</v>
          </cell>
          <cell r="G1029">
            <v>11.383015267175971</v>
          </cell>
          <cell r="H1029">
            <v>11.383015267175971</v>
          </cell>
          <cell r="I1029" t="e">
            <v>#N/A</v>
          </cell>
          <cell r="J1029" t="e">
            <v>#N/A</v>
          </cell>
          <cell r="K1029">
            <v>26</v>
          </cell>
          <cell r="L1029">
            <v>14.700000000000001</v>
          </cell>
          <cell r="M1029" t="e">
            <v>#N/A</v>
          </cell>
          <cell r="N1029">
            <v>21.200000000000003</v>
          </cell>
          <cell r="O1029" t="e">
            <v>#N/A</v>
          </cell>
          <cell r="P1029" t="str">
            <v/>
          </cell>
          <cell r="Q1029" t="str">
            <v/>
          </cell>
          <cell r="R1029">
            <v>19.900000000000002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-14.106870229007679</v>
          </cell>
          <cell r="F1030">
            <v>30.946564885496159</v>
          </cell>
          <cell r="G1030">
            <v>11.365648854962231</v>
          </cell>
          <cell r="H1030">
            <v>11.365648854962231</v>
          </cell>
          <cell r="I1030" t="e">
            <v>#N/A</v>
          </cell>
          <cell r="J1030" t="e">
            <v>#N/A</v>
          </cell>
          <cell r="K1030">
            <v>26</v>
          </cell>
          <cell r="L1030">
            <v>14.700000000000001</v>
          </cell>
          <cell r="M1030" t="e">
            <v>#N/A</v>
          </cell>
          <cell r="N1030">
            <v>21.200000000000003</v>
          </cell>
          <cell r="O1030" t="e">
            <v>#N/A</v>
          </cell>
          <cell r="P1030" t="str">
            <v/>
          </cell>
          <cell r="Q1030" t="str">
            <v/>
          </cell>
          <cell r="R1030">
            <v>19.900000000000002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-14.180343511450427</v>
          </cell>
          <cell r="F1031">
            <v>30.972328244274784</v>
          </cell>
          <cell r="G1031">
            <v>11.348282442748491</v>
          </cell>
          <cell r="H1031">
            <v>11.348282442748491</v>
          </cell>
          <cell r="I1031" t="e">
            <v>#N/A</v>
          </cell>
          <cell r="J1031" t="e">
            <v>#N/A</v>
          </cell>
          <cell r="K1031">
            <v>26</v>
          </cell>
          <cell r="L1031">
            <v>14.700000000000001</v>
          </cell>
          <cell r="M1031" t="e">
            <v>#N/A</v>
          </cell>
          <cell r="N1031">
            <v>21.200000000000003</v>
          </cell>
          <cell r="O1031" t="e">
            <v>#N/A</v>
          </cell>
          <cell r="P1031" t="str">
            <v/>
          </cell>
          <cell r="Q1031" t="str">
            <v/>
          </cell>
          <cell r="R1031">
            <v>19.900000000000002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-14.253816793893176</v>
          </cell>
          <cell r="F1032">
            <v>30.99809160305341</v>
          </cell>
          <cell r="G1032">
            <v>11.330916030534752</v>
          </cell>
          <cell r="H1032">
            <v>11.330916030534752</v>
          </cell>
          <cell r="I1032" t="e">
            <v>#N/A</v>
          </cell>
          <cell r="J1032" t="e">
            <v>#N/A</v>
          </cell>
          <cell r="K1032">
            <v>26</v>
          </cell>
          <cell r="L1032">
            <v>14.700000000000001</v>
          </cell>
          <cell r="M1032" t="e">
            <v>#N/A</v>
          </cell>
          <cell r="N1032">
            <v>21.200000000000003</v>
          </cell>
          <cell r="O1032" t="e">
            <v>#N/A</v>
          </cell>
          <cell r="P1032" t="str">
            <v/>
          </cell>
          <cell r="Q1032" t="str">
            <v/>
          </cell>
          <cell r="R1032">
            <v>19.900000000000002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-14.327290076335924</v>
          </cell>
          <cell r="F1033">
            <v>31.023854961832036</v>
          </cell>
          <cell r="G1033">
            <v>11.313549618321012</v>
          </cell>
          <cell r="H1033">
            <v>11.313549618321012</v>
          </cell>
          <cell r="I1033" t="e">
            <v>#N/A</v>
          </cell>
          <cell r="J1033" t="e">
            <v>#N/A</v>
          </cell>
          <cell r="K1033">
            <v>26</v>
          </cell>
          <cell r="L1033">
            <v>14.700000000000001</v>
          </cell>
          <cell r="M1033" t="e">
            <v>#N/A</v>
          </cell>
          <cell r="N1033">
            <v>21.200000000000003</v>
          </cell>
          <cell r="O1033" t="e">
            <v>#N/A</v>
          </cell>
          <cell r="P1033" t="str">
            <v/>
          </cell>
          <cell r="Q1033" t="str">
            <v/>
          </cell>
          <cell r="R1033">
            <v>19.900000000000002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-14.400763358778672</v>
          </cell>
          <cell r="F1034">
            <v>31.049618320610662</v>
          </cell>
          <cell r="G1034">
            <v>11.296183206107273</v>
          </cell>
          <cell r="H1034">
            <v>11.296183206107273</v>
          </cell>
          <cell r="I1034" t="e">
            <v>#N/A</v>
          </cell>
          <cell r="J1034" t="e">
            <v>#N/A</v>
          </cell>
          <cell r="K1034">
            <v>26</v>
          </cell>
          <cell r="L1034">
            <v>14.700000000000001</v>
          </cell>
          <cell r="M1034" t="e">
            <v>#N/A</v>
          </cell>
          <cell r="N1034">
            <v>21.200000000000003</v>
          </cell>
          <cell r="O1034" t="e">
            <v>#N/A</v>
          </cell>
          <cell r="P1034" t="str">
            <v/>
          </cell>
          <cell r="Q1034" t="str">
            <v/>
          </cell>
          <cell r="R1034">
            <v>19.900000000000002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-14.47423664122142</v>
          </cell>
          <cell r="F1035">
            <v>31.075381679389288</v>
          </cell>
          <cell r="G1035">
            <v>11.278816793893533</v>
          </cell>
          <cell r="H1035">
            <v>11.278816793893533</v>
          </cell>
          <cell r="I1035" t="e">
            <v>#N/A</v>
          </cell>
          <cell r="J1035" t="e">
            <v>#N/A</v>
          </cell>
          <cell r="K1035">
            <v>26</v>
          </cell>
          <cell r="L1035">
            <v>14.700000000000001</v>
          </cell>
          <cell r="M1035" t="e">
            <v>#N/A</v>
          </cell>
          <cell r="N1035">
            <v>21.200000000000003</v>
          </cell>
          <cell r="O1035" t="e">
            <v>#N/A</v>
          </cell>
          <cell r="P1035" t="str">
            <v/>
          </cell>
          <cell r="Q1035" t="str">
            <v/>
          </cell>
          <cell r="R1035">
            <v>19.900000000000002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-14.547709923664168</v>
          </cell>
          <cell r="F1036">
            <v>31.101145038167914</v>
          </cell>
          <cell r="G1036">
            <v>11.261450381679794</v>
          </cell>
          <cell r="H1036">
            <v>11.261450381679794</v>
          </cell>
          <cell r="I1036" t="e">
            <v>#N/A</v>
          </cell>
          <cell r="J1036" t="e">
            <v>#N/A</v>
          </cell>
          <cell r="K1036">
            <v>26</v>
          </cell>
          <cell r="L1036">
            <v>14.700000000000001</v>
          </cell>
          <cell r="M1036" t="e">
            <v>#N/A</v>
          </cell>
          <cell r="N1036">
            <v>21.200000000000003</v>
          </cell>
          <cell r="O1036" t="e">
            <v>#N/A</v>
          </cell>
          <cell r="P1036" t="str">
            <v/>
          </cell>
          <cell r="Q1036" t="str">
            <v/>
          </cell>
          <cell r="R1036">
            <v>19.900000000000002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-14.621183206106917</v>
          </cell>
          <cell r="F1037">
            <v>31.12690839694654</v>
          </cell>
          <cell r="G1037">
            <v>11.244083969466054</v>
          </cell>
          <cell r="H1037">
            <v>11.244083969466054</v>
          </cell>
          <cell r="I1037" t="e">
            <v>#N/A</v>
          </cell>
          <cell r="J1037" t="e">
            <v>#N/A</v>
          </cell>
          <cell r="K1037">
            <v>26</v>
          </cell>
          <cell r="L1037">
            <v>14.700000000000001</v>
          </cell>
          <cell r="M1037" t="e">
            <v>#N/A</v>
          </cell>
          <cell r="N1037">
            <v>21.200000000000003</v>
          </cell>
          <cell r="O1037" t="e">
            <v>#N/A</v>
          </cell>
          <cell r="P1037" t="str">
            <v/>
          </cell>
          <cell r="Q1037" t="str">
            <v/>
          </cell>
          <cell r="R1037">
            <v>19.900000000000002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-14.694656488549665</v>
          </cell>
          <cell r="F1038">
            <v>31.152671755725166</v>
          </cell>
          <cell r="G1038">
            <v>11.226717557252314</v>
          </cell>
          <cell r="H1038">
            <v>11.226717557252314</v>
          </cell>
          <cell r="I1038" t="e">
            <v>#N/A</v>
          </cell>
          <cell r="J1038" t="e">
            <v>#N/A</v>
          </cell>
          <cell r="K1038">
            <v>26</v>
          </cell>
          <cell r="L1038">
            <v>14.700000000000001</v>
          </cell>
          <cell r="M1038" t="e">
            <v>#N/A</v>
          </cell>
          <cell r="N1038">
            <v>21.200000000000003</v>
          </cell>
          <cell r="O1038" t="e">
            <v>#N/A</v>
          </cell>
          <cell r="P1038" t="str">
            <v/>
          </cell>
          <cell r="Q1038" t="str">
            <v/>
          </cell>
          <cell r="R1038">
            <v>19.900000000000002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-14.768129770992413</v>
          </cell>
          <cell r="F1039">
            <v>31.178435114503792</v>
          </cell>
          <cell r="G1039">
            <v>11.209351145038575</v>
          </cell>
          <cell r="H1039">
            <v>11.209351145038575</v>
          </cell>
          <cell r="I1039" t="e">
            <v>#N/A</v>
          </cell>
          <cell r="J1039" t="e">
            <v>#N/A</v>
          </cell>
          <cell r="K1039">
            <v>26</v>
          </cell>
          <cell r="L1039">
            <v>14.700000000000001</v>
          </cell>
          <cell r="M1039" t="e">
            <v>#N/A</v>
          </cell>
          <cell r="N1039">
            <v>21.200000000000003</v>
          </cell>
          <cell r="O1039" t="e">
            <v>#N/A</v>
          </cell>
          <cell r="P1039" t="str">
            <v/>
          </cell>
          <cell r="Q1039" t="str">
            <v/>
          </cell>
          <cell r="R1039">
            <v>19.900000000000002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-14.841603053435161</v>
          </cell>
          <cell r="F1040">
            <v>31.204198473282418</v>
          </cell>
          <cell r="G1040">
            <v>11.191984732824835</v>
          </cell>
          <cell r="H1040">
            <v>11.191984732824835</v>
          </cell>
          <cell r="I1040" t="e">
            <v>#N/A</v>
          </cell>
          <cell r="J1040" t="e">
            <v>#N/A</v>
          </cell>
          <cell r="K1040">
            <v>26</v>
          </cell>
          <cell r="L1040">
            <v>14.700000000000001</v>
          </cell>
          <cell r="M1040" t="e">
            <v>#N/A</v>
          </cell>
          <cell r="N1040">
            <v>21.200000000000003</v>
          </cell>
          <cell r="O1040" t="e">
            <v>#N/A</v>
          </cell>
          <cell r="P1040" t="str">
            <v/>
          </cell>
          <cell r="Q1040" t="str">
            <v/>
          </cell>
          <cell r="R1040">
            <v>19.900000000000002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-14.915076335877909</v>
          </cell>
          <cell r="F1041">
            <v>31.229961832061043</v>
          </cell>
          <cell r="G1041">
            <v>11.174618320611096</v>
          </cell>
          <cell r="H1041">
            <v>11.174618320611096</v>
          </cell>
          <cell r="I1041" t="e">
            <v>#N/A</v>
          </cell>
          <cell r="J1041" t="e">
            <v>#N/A</v>
          </cell>
          <cell r="K1041">
            <v>26</v>
          </cell>
          <cell r="L1041">
            <v>14.700000000000001</v>
          </cell>
          <cell r="M1041" t="e">
            <v>#N/A</v>
          </cell>
          <cell r="N1041">
            <v>21.200000000000003</v>
          </cell>
          <cell r="O1041" t="e">
            <v>#N/A</v>
          </cell>
          <cell r="P1041" t="str">
            <v/>
          </cell>
          <cell r="Q1041" t="str">
            <v/>
          </cell>
          <cell r="R1041">
            <v>19.900000000000002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-14.988549618320658</v>
          </cell>
          <cell r="F1042">
            <v>31.255725190839669</v>
          </cell>
          <cell r="G1042">
            <v>11.157251908397356</v>
          </cell>
          <cell r="H1042">
            <v>11.157251908397356</v>
          </cell>
          <cell r="I1042" t="e">
            <v>#N/A</v>
          </cell>
          <cell r="J1042" t="e">
            <v>#N/A</v>
          </cell>
          <cell r="K1042">
            <v>26</v>
          </cell>
          <cell r="L1042">
            <v>14.700000000000001</v>
          </cell>
          <cell r="M1042" t="e">
            <v>#N/A</v>
          </cell>
          <cell r="N1042">
            <v>21.200000000000003</v>
          </cell>
          <cell r="O1042" t="e">
            <v>#N/A</v>
          </cell>
          <cell r="P1042" t="str">
            <v/>
          </cell>
          <cell r="Q1042" t="str">
            <v/>
          </cell>
          <cell r="R1042">
            <v>19.900000000000002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-15.062022900763406</v>
          </cell>
          <cell r="F1043">
            <v>31.281488549618295</v>
          </cell>
          <cell r="G1043">
            <v>11.139885496183616</v>
          </cell>
          <cell r="H1043">
            <v>11.139885496183616</v>
          </cell>
          <cell r="I1043" t="e">
            <v>#N/A</v>
          </cell>
          <cell r="J1043" t="e">
            <v>#N/A</v>
          </cell>
          <cell r="K1043">
            <v>26</v>
          </cell>
          <cell r="L1043">
            <v>14.700000000000001</v>
          </cell>
          <cell r="M1043" t="e">
            <v>#N/A</v>
          </cell>
          <cell r="N1043">
            <v>21.200000000000003</v>
          </cell>
          <cell r="O1043" t="e">
            <v>#N/A</v>
          </cell>
          <cell r="P1043" t="str">
            <v/>
          </cell>
          <cell r="Q1043" t="str">
            <v/>
          </cell>
          <cell r="R1043">
            <v>19.900000000000002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-15.135496183206154</v>
          </cell>
          <cell r="F1044">
            <v>31.307251908396921</v>
          </cell>
          <cell r="G1044">
            <v>11.122519083969877</v>
          </cell>
          <cell r="H1044">
            <v>11.122519083969877</v>
          </cell>
          <cell r="I1044" t="e">
            <v>#N/A</v>
          </cell>
          <cell r="J1044" t="e">
            <v>#N/A</v>
          </cell>
          <cell r="K1044">
            <v>26</v>
          </cell>
          <cell r="L1044">
            <v>14.700000000000001</v>
          </cell>
          <cell r="M1044" t="e">
            <v>#N/A</v>
          </cell>
          <cell r="N1044">
            <v>21.200000000000003</v>
          </cell>
          <cell r="O1044" t="e">
            <v>#N/A</v>
          </cell>
          <cell r="P1044" t="str">
            <v/>
          </cell>
          <cell r="Q1044" t="str">
            <v/>
          </cell>
          <cell r="R1044">
            <v>19.900000000000002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-15.208969465648902</v>
          </cell>
          <cell r="F1045">
            <v>31.333015267175547</v>
          </cell>
          <cell r="G1045">
            <v>11.105152671756137</v>
          </cell>
          <cell r="H1045">
            <v>11.105152671756137</v>
          </cell>
          <cell r="I1045" t="e">
            <v>#N/A</v>
          </cell>
          <cell r="J1045" t="e">
            <v>#N/A</v>
          </cell>
          <cell r="K1045">
            <v>26</v>
          </cell>
          <cell r="L1045">
            <v>14.700000000000001</v>
          </cell>
          <cell r="M1045" t="e">
            <v>#N/A</v>
          </cell>
          <cell r="N1045">
            <v>21.200000000000003</v>
          </cell>
          <cell r="O1045" t="e">
            <v>#N/A</v>
          </cell>
          <cell r="P1045" t="str">
            <v/>
          </cell>
          <cell r="Q1045" t="str">
            <v/>
          </cell>
          <cell r="R1045">
            <v>19.900000000000002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-15.28244274809165</v>
          </cell>
          <cell r="F1046">
            <v>31.358778625954173</v>
          </cell>
          <cell r="G1046">
            <v>11.087786259542398</v>
          </cell>
          <cell r="H1046">
            <v>11.087786259542398</v>
          </cell>
          <cell r="I1046" t="e">
            <v>#N/A</v>
          </cell>
          <cell r="J1046" t="e">
            <v>#N/A</v>
          </cell>
          <cell r="K1046">
            <v>26</v>
          </cell>
          <cell r="L1046">
            <v>14.700000000000001</v>
          </cell>
          <cell r="M1046" t="e">
            <v>#N/A</v>
          </cell>
          <cell r="N1046">
            <v>21.200000000000003</v>
          </cell>
          <cell r="O1046" t="e">
            <v>#N/A</v>
          </cell>
          <cell r="P1046" t="str">
            <v/>
          </cell>
          <cell r="Q1046" t="str">
            <v/>
          </cell>
          <cell r="R1046">
            <v>19.900000000000002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-15.355916030534399</v>
          </cell>
          <cell r="F1047">
            <v>31.384541984732799</v>
          </cell>
          <cell r="G1047">
            <v>11.070419847328658</v>
          </cell>
          <cell r="H1047">
            <v>11.070419847328658</v>
          </cell>
          <cell r="I1047" t="e">
            <v>#N/A</v>
          </cell>
          <cell r="J1047" t="e">
            <v>#N/A</v>
          </cell>
          <cell r="K1047">
            <v>26</v>
          </cell>
          <cell r="L1047">
            <v>14.700000000000001</v>
          </cell>
          <cell r="M1047" t="e">
            <v>#N/A</v>
          </cell>
          <cell r="N1047">
            <v>21.200000000000003</v>
          </cell>
          <cell r="O1047" t="e">
            <v>#N/A</v>
          </cell>
          <cell r="P1047" t="str">
            <v/>
          </cell>
          <cell r="Q1047" t="str">
            <v/>
          </cell>
          <cell r="R1047">
            <v>19.900000000000002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-15.429389312977147</v>
          </cell>
          <cell r="F1048">
            <v>31.410305343511425</v>
          </cell>
          <cell r="G1048">
            <v>11.053053435114919</v>
          </cell>
          <cell r="H1048">
            <v>11.053053435114919</v>
          </cell>
          <cell r="I1048" t="e">
            <v>#N/A</v>
          </cell>
          <cell r="J1048" t="e">
            <v>#N/A</v>
          </cell>
          <cell r="K1048">
            <v>26</v>
          </cell>
          <cell r="L1048">
            <v>14.700000000000001</v>
          </cell>
          <cell r="M1048" t="e">
            <v>#N/A</v>
          </cell>
          <cell r="N1048">
            <v>21.200000000000003</v>
          </cell>
          <cell r="O1048" t="e">
            <v>#N/A</v>
          </cell>
          <cell r="P1048" t="str">
            <v/>
          </cell>
          <cell r="Q1048" t="str">
            <v/>
          </cell>
          <cell r="R1048">
            <v>19.900000000000002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-15.502862595419895</v>
          </cell>
          <cell r="F1049">
            <v>31.436068702290051</v>
          </cell>
          <cell r="G1049">
            <v>11.035687022901179</v>
          </cell>
          <cell r="H1049">
            <v>11.035687022901179</v>
          </cell>
          <cell r="I1049" t="e">
            <v>#N/A</v>
          </cell>
          <cell r="J1049" t="e">
            <v>#N/A</v>
          </cell>
          <cell r="K1049">
            <v>26</v>
          </cell>
          <cell r="L1049">
            <v>14.700000000000001</v>
          </cell>
          <cell r="M1049" t="e">
            <v>#N/A</v>
          </cell>
          <cell r="N1049">
            <v>21.200000000000003</v>
          </cell>
          <cell r="O1049" t="e">
            <v>#N/A</v>
          </cell>
          <cell r="P1049" t="str">
            <v/>
          </cell>
          <cell r="Q1049" t="str">
            <v/>
          </cell>
          <cell r="R1049">
            <v>19.900000000000002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-15.576335877862643</v>
          </cell>
          <cell r="F1050">
            <v>31.461832061068677</v>
          </cell>
          <cell r="G1050">
            <v>11.018320610687439</v>
          </cell>
          <cell r="H1050">
            <v>11.018320610687439</v>
          </cell>
          <cell r="I1050" t="e">
            <v>#N/A</v>
          </cell>
          <cell r="J1050" t="e">
            <v>#N/A</v>
          </cell>
          <cell r="K1050">
            <v>26</v>
          </cell>
          <cell r="L1050">
            <v>14.700000000000001</v>
          </cell>
          <cell r="M1050" t="e">
            <v>#N/A</v>
          </cell>
          <cell r="N1050">
            <v>21.200000000000003</v>
          </cell>
          <cell r="O1050" t="e">
            <v>#N/A</v>
          </cell>
          <cell r="P1050" t="str">
            <v/>
          </cell>
          <cell r="Q1050" t="str">
            <v/>
          </cell>
          <cell r="R1050">
            <v>19.900000000000002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-15.649809160305391</v>
          </cell>
          <cell r="F1051">
            <v>31.487595419847302</v>
          </cell>
          <cell r="G1051">
            <v>11.0009541984737</v>
          </cell>
          <cell r="H1051">
            <v>11.0009541984737</v>
          </cell>
          <cell r="I1051" t="e">
            <v>#N/A</v>
          </cell>
          <cell r="J1051" t="e">
            <v>#N/A</v>
          </cell>
          <cell r="K1051">
            <v>26</v>
          </cell>
          <cell r="L1051">
            <v>14.700000000000001</v>
          </cell>
          <cell r="M1051" t="e">
            <v>#N/A</v>
          </cell>
          <cell r="N1051">
            <v>21.200000000000003</v>
          </cell>
          <cell r="O1051" t="e">
            <v>#N/A</v>
          </cell>
          <cell r="P1051" t="str">
            <v/>
          </cell>
          <cell r="Q1051" t="str">
            <v/>
          </cell>
          <cell r="R1051">
            <v>19.900000000000002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-15.72328244274814</v>
          </cell>
          <cell r="F1052">
            <v>31.513358778625928</v>
          </cell>
          <cell r="G1052">
            <v>10.98358778625996</v>
          </cell>
          <cell r="H1052">
            <v>10.98358778625996</v>
          </cell>
          <cell r="I1052" t="e">
            <v>#N/A</v>
          </cell>
          <cell r="J1052" t="e">
            <v>#N/A</v>
          </cell>
          <cell r="K1052">
            <v>26</v>
          </cell>
          <cell r="L1052">
            <v>14.700000000000001</v>
          </cell>
          <cell r="M1052" t="e">
            <v>#N/A</v>
          </cell>
          <cell r="N1052">
            <v>21.200000000000003</v>
          </cell>
          <cell r="O1052" t="e">
            <v>#N/A</v>
          </cell>
          <cell r="P1052" t="str">
            <v/>
          </cell>
          <cell r="Q1052" t="str">
            <v/>
          </cell>
          <cell r="R1052">
            <v>19.900000000000002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-15.796755725190888</v>
          </cell>
          <cell r="F1053">
            <v>31.539122137404554</v>
          </cell>
          <cell r="G1053">
            <v>10.966221374046221</v>
          </cell>
          <cell r="H1053">
            <v>10.966221374046221</v>
          </cell>
          <cell r="I1053" t="e">
            <v>#N/A</v>
          </cell>
          <cell r="J1053" t="e">
            <v>#N/A</v>
          </cell>
          <cell r="K1053">
            <v>26</v>
          </cell>
          <cell r="L1053">
            <v>14.700000000000001</v>
          </cell>
          <cell r="M1053" t="e">
            <v>#N/A</v>
          </cell>
          <cell r="N1053">
            <v>21.200000000000003</v>
          </cell>
          <cell r="O1053" t="e">
            <v>#N/A</v>
          </cell>
          <cell r="P1053" t="str">
            <v/>
          </cell>
          <cell r="Q1053" t="str">
            <v/>
          </cell>
          <cell r="R1053">
            <v>19.900000000000002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-15.870229007633636</v>
          </cell>
          <cell r="F1054">
            <v>31.56488549618318</v>
          </cell>
          <cell r="G1054">
            <v>10.948854961832481</v>
          </cell>
          <cell r="H1054">
            <v>10.948854961832481</v>
          </cell>
          <cell r="I1054" t="e">
            <v>#N/A</v>
          </cell>
          <cell r="J1054" t="e">
            <v>#N/A</v>
          </cell>
          <cell r="K1054">
            <v>26</v>
          </cell>
          <cell r="L1054">
            <v>14.700000000000001</v>
          </cell>
          <cell r="M1054" t="e">
            <v>#N/A</v>
          </cell>
          <cell r="N1054">
            <v>21.200000000000003</v>
          </cell>
          <cell r="O1054" t="e">
            <v>#N/A</v>
          </cell>
          <cell r="P1054" t="str">
            <v/>
          </cell>
          <cell r="Q1054" t="str">
            <v/>
          </cell>
          <cell r="R1054">
            <v>19.900000000000002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-15.943702290076384</v>
          </cell>
          <cell r="F1055">
            <v>31.590648854961806</v>
          </cell>
          <cell r="G1055">
            <v>10.931488549618742</v>
          </cell>
          <cell r="H1055">
            <v>10.931488549618742</v>
          </cell>
          <cell r="I1055" t="e">
            <v>#N/A</v>
          </cell>
          <cell r="J1055" t="e">
            <v>#N/A</v>
          </cell>
          <cell r="K1055">
            <v>26</v>
          </cell>
          <cell r="L1055">
            <v>14.700000000000001</v>
          </cell>
          <cell r="M1055" t="e">
            <v>#N/A</v>
          </cell>
          <cell r="N1055">
            <v>21.200000000000003</v>
          </cell>
          <cell r="O1055" t="e">
            <v>#N/A</v>
          </cell>
          <cell r="P1055" t="str">
            <v/>
          </cell>
          <cell r="Q1055" t="str">
            <v/>
          </cell>
          <cell r="R1055">
            <v>19.900000000000002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-16.017175572519132</v>
          </cell>
          <cell r="F1056">
            <v>31.616412213740432</v>
          </cell>
          <cell r="G1056">
            <v>10.914122137405002</v>
          </cell>
          <cell r="H1056">
            <v>10.914122137405002</v>
          </cell>
          <cell r="I1056" t="e">
            <v>#N/A</v>
          </cell>
          <cell r="J1056" t="e">
            <v>#N/A</v>
          </cell>
          <cell r="K1056">
            <v>26</v>
          </cell>
          <cell r="L1056">
            <v>14.700000000000001</v>
          </cell>
          <cell r="M1056" t="e">
            <v>#N/A</v>
          </cell>
          <cell r="N1056">
            <v>21.200000000000003</v>
          </cell>
          <cell r="O1056" t="e">
            <v>#N/A</v>
          </cell>
          <cell r="P1056" t="str">
            <v/>
          </cell>
          <cell r="Q1056" t="str">
            <v/>
          </cell>
          <cell r="R1056">
            <v>19.900000000000002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-16.090648854961881</v>
          </cell>
          <cell r="F1057">
            <v>31.642175572519058</v>
          </cell>
          <cell r="G1057">
            <v>10.896755725191262</v>
          </cell>
          <cell r="H1057">
            <v>10.896755725191262</v>
          </cell>
          <cell r="I1057" t="e">
            <v>#N/A</v>
          </cell>
          <cell r="J1057" t="e">
            <v>#N/A</v>
          </cell>
          <cell r="K1057">
            <v>26</v>
          </cell>
          <cell r="L1057">
            <v>14.700000000000001</v>
          </cell>
          <cell r="M1057" t="e">
            <v>#N/A</v>
          </cell>
          <cell r="N1057">
            <v>21.200000000000003</v>
          </cell>
          <cell r="O1057" t="e">
            <v>#N/A</v>
          </cell>
          <cell r="P1057" t="str">
            <v/>
          </cell>
          <cell r="Q1057" t="str">
            <v/>
          </cell>
          <cell r="R1057">
            <v>19.900000000000002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-16.164122137404629</v>
          </cell>
          <cell r="F1058">
            <v>31.667938931297684</v>
          </cell>
          <cell r="G1058">
            <v>10.879389312977523</v>
          </cell>
          <cell r="H1058">
            <v>10.879389312977523</v>
          </cell>
          <cell r="I1058" t="e">
            <v>#N/A</v>
          </cell>
          <cell r="J1058" t="e">
            <v>#N/A</v>
          </cell>
          <cell r="K1058">
            <v>26</v>
          </cell>
          <cell r="L1058">
            <v>14.700000000000001</v>
          </cell>
          <cell r="M1058" t="e">
            <v>#N/A</v>
          </cell>
          <cell r="N1058">
            <v>21.200000000000003</v>
          </cell>
          <cell r="O1058" t="e">
            <v>#N/A</v>
          </cell>
          <cell r="P1058" t="str">
            <v/>
          </cell>
          <cell r="Q1058" t="str">
            <v/>
          </cell>
          <cell r="R1058">
            <v>19.900000000000002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-16.237595419847377</v>
          </cell>
          <cell r="F1059">
            <v>31.69370229007631</v>
          </cell>
          <cell r="G1059">
            <v>10.862022900763783</v>
          </cell>
          <cell r="H1059">
            <v>10.862022900763783</v>
          </cell>
          <cell r="I1059" t="e">
            <v>#N/A</v>
          </cell>
          <cell r="J1059" t="e">
            <v>#N/A</v>
          </cell>
          <cell r="K1059">
            <v>26</v>
          </cell>
          <cell r="L1059">
            <v>14.700000000000001</v>
          </cell>
          <cell r="M1059" t="e">
            <v>#N/A</v>
          </cell>
          <cell r="N1059">
            <v>21.200000000000003</v>
          </cell>
          <cell r="O1059" t="e">
            <v>#N/A</v>
          </cell>
          <cell r="P1059" t="str">
            <v/>
          </cell>
          <cell r="Q1059" t="str">
            <v/>
          </cell>
          <cell r="R1059">
            <v>19.900000000000002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-16.311068702290125</v>
          </cell>
          <cell r="F1060">
            <v>31.719465648854936</v>
          </cell>
          <cell r="G1060">
            <v>10.844656488550044</v>
          </cell>
          <cell r="H1060">
            <v>10.844656488550044</v>
          </cell>
          <cell r="I1060" t="e">
            <v>#N/A</v>
          </cell>
          <cell r="J1060" t="e">
            <v>#N/A</v>
          </cell>
          <cell r="K1060">
            <v>26</v>
          </cell>
          <cell r="L1060">
            <v>14.700000000000001</v>
          </cell>
          <cell r="M1060" t="e">
            <v>#N/A</v>
          </cell>
          <cell r="N1060">
            <v>21.200000000000003</v>
          </cell>
          <cell r="O1060" t="e">
            <v>#N/A</v>
          </cell>
          <cell r="P1060" t="str">
            <v/>
          </cell>
          <cell r="Q1060" t="str">
            <v/>
          </cell>
          <cell r="R1060">
            <v>19.900000000000002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-16.384541984732873</v>
          </cell>
          <cell r="F1061">
            <v>31.745229007633561</v>
          </cell>
          <cell r="G1061">
            <v>10.827290076336304</v>
          </cell>
          <cell r="H1061">
            <v>10.827290076336304</v>
          </cell>
          <cell r="I1061" t="e">
            <v>#N/A</v>
          </cell>
          <cell r="J1061" t="e">
            <v>#N/A</v>
          </cell>
          <cell r="K1061">
            <v>26</v>
          </cell>
          <cell r="L1061">
            <v>14.700000000000001</v>
          </cell>
          <cell r="M1061" t="e">
            <v>#N/A</v>
          </cell>
          <cell r="N1061">
            <v>21.200000000000003</v>
          </cell>
          <cell r="O1061" t="e">
            <v>#N/A</v>
          </cell>
          <cell r="P1061" t="str">
            <v/>
          </cell>
          <cell r="Q1061" t="str">
            <v/>
          </cell>
          <cell r="R1061">
            <v>19.900000000000002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-16.458015267175622</v>
          </cell>
          <cell r="F1062">
            <v>31.770992366412187</v>
          </cell>
          <cell r="G1062">
            <v>10.809923664122564</v>
          </cell>
          <cell r="H1062">
            <v>10.809923664122564</v>
          </cell>
          <cell r="I1062" t="e">
            <v>#N/A</v>
          </cell>
          <cell r="J1062" t="e">
            <v>#N/A</v>
          </cell>
          <cell r="K1062">
            <v>26</v>
          </cell>
          <cell r="L1062">
            <v>14.700000000000001</v>
          </cell>
          <cell r="M1062" t="e">
            <v>#N/A</v>
          </cell>
          <cell r="N1062">
            <v>21.200000000000003</v>
          </cell>
          <cell r="O1062" t="e">
            <v>#N/A</v>
          </cell>
          <cell r="P1062" t="str">
            <v/>
          </cell>
          <cell r="Q1062" t="str">
            <v/>
          </cell>
          <cell r="R1062">
            <v>19.900000000000002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-16.53148854961837</v>
          </cell>
          <cell r="F1063">
            <v>31.796755725190813</v>
          </cell>
          <cell r="G1063">
            <v>10.792557251908825</v>
          </cell>
          <cell r="H1063">
            <v>10.792557251908825</v>
          </cell>
          <cell r="I1063" t="e">
            <v>#N/A</v>
          </cell>
          <cell r="J1063" t="e">
            <v>#N/A</v>
          </cell>
          <cell r="K1063">
            <v>26</v>
          </cell>
          <cell r="L1063">
            <v>14.700000000000001</v>
          </cell>
          <cell r="M1063" t="e">
            <v>#N/A</v>
          </cell>
          <cell r="N1063">
            <v>21.200000000000003</v>
          </cell>
          <cell r="O1063" t="e">
            <v>#N/A</v>
          </cell>
          <cell r="P1063" t="str">
            <v/>
          </cell>
          <cell r="Q1063" t="str">
            <v/>
          </cell>
          <cell r="R1063">
            <v>19.900000000000002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-16.604961832061118</v>
          </cell>
          <cell r="F1064">
            <v>31.822519083969439</v>
          </cell>
          <cell r="G1064">
            <v>10.775190839695085</v>
          </cell>
          <cell r="H1064">
            <v>10.775190839695085</v>
          </cell>
          <cell r="I1064" t="e">
            <v>#N/A</v>
          </cell>
          <cell r="J1064" t="e">
            <v>#N/A</v>
          </cell>
          <cell r="K1064">
            <v>26</v>
          </cell>
          <cell r="L1064">
            <v>14.700000000000001</v>
          </cell>
          <cell r="M1064" t="e">
            <v>#N/A</v>
          </cell>
          <cell r="N1064">
            <v>21.200000000000003</v>
          </cell>
          <cell r="O1064" t="e">
            <v>#N/A</v>
          </cell>
          <cell r="P1064" t="str">
            <v/>
          </cell>
          <cell r="Q1064" t="str">
            <v/>
          </cell>
          <cell r="R1064">
            <v>19.900000000000002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-16.678435114503866</v>
          </cell>
          <cell r="F1065">
            <v>31.848282442748065</v>
          </cell>
          <cell r="G1065">
            <v>10.757824427481346</v>
          </cell>
          <cell r="H1065">
            <v>10.757824427481346</v>
          </cell>
          <cell r="I1065" t="e">
            <v>#N/A</v>
          </cell>
          <cell r="J1065" t="e">
            <v>#N/A</v>
          </cell>
          <cell r="K1065">
            <v>26</v>
          </cell>
          <cell r="L1065">
            <v>14.700000000000001</v>
          </cell>
          <cell r="M1065" t="e">
            <v>#N/A</v>
          </cell>
          <cell r="N1065">
            <v>21.200000000000003</v>
          </cell>
          <cell r="O1065" t="e">
            <v>#N/A</v>
          </cell>
          <cell r="P1065" t="str">
            <v/>
          </cell>
          <cell r="Q1065" t="str">
            <v/>
          </cell>
          <cell r="R1065">
            <v>19.900000000000002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-16.751908396946614</v>
          </cell>
          <cell r="F1066">
            <v>31.874045801526691</v>
          </cell>
          <cell r="G1066">
            <v>10.740458015267606</v>
          </cell>
          <cell r="H1066">
            <v>10.740458015267606</v>
          </cell>
          <cell r="I1066" t="e">
            <v>#N/A</v>
          </cell>
          <cell r="J1066" t="e">
            <v>#N/A</v>
          </cell>
          <cell r="K1066">
            <v>26</v>
          </cell>
          <cell r="L1066">
            <v>14.700000000000001</v>
          </cell>
          <cell r="M1066" t="e">
            <v>#N/A</v>
          </cell>
          <cell r="N1066">
            <v>21.200000000000003</v>
          </cell>
          <cell r="O1066" t="e">
            <v>#N/A</v>
          </cell>
          <cell r="P1066" t="str">
            <v/>
          </cell>
          <cell r="Q1066" t="str">
            <v/>
          </cell>
          <cell r="R1066">
            <v>19.900000000000002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-16.825381679389363</v>
          </cell>
          <cell r="F1067">
            <v>31.899809160305317</v>
          </cell>
          <cell r="G1067">
            <v>10.723091603053867</v>
          </cell>
          <cell r="H1067">
            <v>10.723091603053867</v>
          </cell>
          <cell r="I1067" t="e">
            <v>#N/A</v>
          </cell>
          <cell r="J1067" t="e">
            <v>#N/A</v>
          </cell>
          <cell r="K1067">
            <v>26</v>
          </cell>
          <cell r="L1067">
            <v>14.700000000000001</v>
          </cell>
          <cell r="M1067" t="e">
            <v>#N/A</v>
          </cell>
          <cell r="N1067">
            <v>21.200000000000003</v>
          </cell>
          <cell r="O1067" t="e">
            <v>#N/A</v>
          </cell>
          <cell r="P1067" t="str">
            <v/>
          </cell>
          <cell r="Q1067" t="str">
            <v/>
          </cell>
          <cell r="R1067">
            <v>19.900000000000002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-16.898854961832111</v>
          </cell>
          <cell r="F1068">
            <v>31.925572519083943</v>
          </cell>
          <cell r="G1068">
            <v>10.705725190840127</v>
          </cell>
          <cell r="H1068">
            <v>10.705725190840127</v>
          </cell>
          <cell r="I1068" t="e">
            <v>#N/A</v>
          </cell>
          <cell r="J1068" t="e">
            <v>#N/A</v>
          </cell>
          <cell r="K1068">
            <v>26</v>
          </cell>
          <cell r="L1068">
            <v>14.700000000000001</v>
          </cell>
          <cell r="M1068" t="e">
            <v>#N/A</v>
          </cell>
          <cell r="N1068">
            <v>21.200000000000003</v>
          </cell>
          <cell r="O1068" t="e">
            <v>#N/A</v>
          </cell>
          <cell r="P1068" t="str">
            <v/>
          </cell>
          <cell r="Q1068" t="str">
            <v/>
          </cell>
          <cell r="R1068">
            <v>19.900000000000002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-16.972328244274859</v>
          </cell>
          <cell r="F1069">
            <v>31.951335877862569</v>
          </cell>
          <cell r="G1069">
            <v>10.688358778626387</v>
          </cell>
          <cell r="H1069">
            <v>10.688358778626387</v>
          </cell>
          <cell r="I1069" t="e">
            <v>#N/A</v>
          </cell>
          <cell r="J1069" t="e">
            <v>#N/A</v>
          </cell>
          <cell r="K1069">
            <v>26</v>
          </cell>
          <cell r="L1069">
            <v>14.700000000000001</v>
          </cell>
          <cell r="M1069" t="e">
            <v>#N/A</v>
          </cell>
          <cell r="N1069">
            <v>21.200000000000003</v>
          </cell>
          <cell r="O1069" t="e">
            <v>#N/A</v>
          </cell>
          <cell r="P1069" t="str">
            <v/>
          </cell>
          <cell r="Q1069" t="str">
            <v/>
          </cell>
          <cell r="R1069">
            <v>19.900000000000002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-17.045801526717607</v>
          </cell>
          <cell r="F1070">
            <v>31.977099236641195</v>
          </cell>
          <cell r="G1070">
            <v>10.670992366412648</v>
          </cell>
          <cell r="H1070">
            <v>10.670992366412648</v>
          </cell>
          <cell r="I1070" t="e">
            <v>#N/A</v>
          </cell>
          <cell r="J1070" t="e">
            <v>#N/A</v>
          </cell>
          <cell r="K1070">
            <v>26</v>
          </cell>
          <cell r="L1070">
            <v>14.700000000000001</v>
          </cell>
          <cell r="M1070" t="e">
            <v>#N/A</v>
          </cell>
          <cell r="N1070">
            <v>21.200000000000003</v>
          </cell>
          <cell r="O1070" t="e">
            <v>#N/A</v>
          </cell>
          <cell r="P1070" t="str">
            <v/>
          </cell>
          <cell r="Q1070" t="str">
            <v/>
          </cell>
          <cell r="R1070">
            <v>19.900000000000002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-17.119274809160355</v>
          </cell>
          <cell r="F1071">
            <v>32.00286259541982</v>
          </cell>
          <cell r="G1071">
            <v>10.653625954198908</v>
          </cell>
          <cell r="H1071">
            <v>10.653625954198908</v>
          </cell>
          <cell r="I1071" t="e">
            <v>#N/A</v>
          </cell>
          <cell r="J1071" t="e">
            <v>#N/A</v>
          </cell>
          <cell r="K1071">
            <v>26</v>
          </cell>
          <cell r="L1071">
            <v>14.700000000000001</v>
          </cell>
          <cell r="M1071" t="e">
            <v>#N/A</v>
          </cell>
          <cell r="N1071">
            <v>21.200000000000003</v>
          </cell>
          <cell r="O1071" t="e">
            <v>#N/A</v>
          </cell>
          <cell r="P1071" t="str">
            <v/>
          </cell>
          <cell r="Q1071" t="str">
            <v/>
          </cell>
          <cell r="R1071">
            <v>19.900000000000002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-17.192748091603104</v>
          </cell>
          <cell r="F1072">
            <v>32.028625954198446</v>
          </cell>
          <cell r="G1072">
            <v>10.636259541985169</v>
          </cell>
          <cell r="H1072">
            <v>10.636259541985169</v>
          </cell>
          <cell r="I1072" t="e">
            <v>#N/A</v>
          </cell>
          <cell r="J1072" t="e">
            <v>#N/A</v>
          </cell>
          <cell r="K1072">
            <v>26</v>
          </cell>
          <cell r="L1072">
            <v>14.700000000000001</v>
          </cell>
          <cell r="M1072" t="e">
            <v>#N/A</v>
          </cell>
          <cell r="N1072">
            <v>21.200000000000003</v>
          </cell>
          <cell r="O1072" t="e">
            <v>#N/A</v>
          </cell>
          <cell r="P1072" t="str">
            <v/>
          </cell>
          <cell r="Q1072" t="str">
            <v/>
          </cell>
          <cell r="R1072">
            <v>19.900000000000002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-17.266221374045852</v>
          </cell>
          <cell r="F1073">
            <v>32.054389312977072</v>
          </cell>
          <cell r="G1073">
            <v>10.618893129771429</v>
          </cell>
          <cell r="H1073">
            <v>10.618893129771429</v>
          </cell>
          <cell r="I1073" t="e">
            <v>#N/A</v>
          </cell>
          <cell r="J1073" t="e">
            <v>#N/A</v>
          </cell>
          <cell r="K1073">
            <v>26</v>
          </cell>
          <cell r="L1073">
            <v>14.700000000000001</v>
          </cell>
          <cell r="M1073" t="e">
            <v>#N/A</v>
          </cell>
          <cell r="N1073">
            <v>21.200000000000003</v>
          </cell>
          <cell r="O1073" t="e">
            <v>#N/A</v>
          </cell>
          <cell r="P1073" t="str">
            <v/>
          </cell>
          <cell r="Q1073" t="str">
            <v/>
          </cell>
          <cell r="R1073">
            <v>19.900000000000002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-17.3396946564886</v>
          </cell>
          <cell r="F1074">
            <v>32.080152671755698</v>
          </cell>
          <cell r="G1074">
            <v>10.601526717557689</v>
          </cell>
          <cell r="H1074">
            <v>10.601526717557689</v>
          </cell>
          <cell r="I1074" t="e">
            <v>#N/A</v>
          </cell>
          <cell r="J1074" t="e">
            <v>#N/A</v>
          </cell>
          <cell r="K1074">
            <v>26</v>
          </cell>
          <cell r="L1074">
            <v>14.700000000000001</v>
          </cell>
          <cell r="M1074" t="e">
            <v>#N/A</v>
          </cell>
          <cell r="N1074">
            <v>21.200000000000003</v>
          </cell>
          <cell r="O1074" t="e">
            <v>#N/A</v>
          </cell>
          <cell r="P1074" t="str">
            <v/>
          </cell>
          <cell r="Q1074" t="str">
            <v/>
          </cell>
          <cell r="R1074">
            <v>19.900000000000002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-17.413167938931348</v>
          </cell>
          <cell r="F1075">
            <v>32.105916030534324</v>
          </cell>
          <cell r="G1075">
            <v>10.58416030534395</v>
          </cell>
          <cell r="H1075">
            <v>10.58416030534395</v>
          </cell>
          <cell r="I1075" t="e">
            <v>#N/A</v>
          </cell>
          <cell r="J1075" t="e">
            <v>#N/A</v>
          </cell>
          <cell r="K1075">
            <v>26</v>
          </cell>
          <cell r="L1075">
            <v>14.700000000000001</v>
          </cell>
          <cell r="M1075" t="e">
            <v>#N/A</v>
          </cell>
          <cell r="N1075">
            <v>21.200000000000003</v>
          </cell>
          <cell r="O1075" t="e">
            <v>#N/A</v>
          </cell>
          <cell r="P1075" t="str">
            <v/>
          </cell>
          <cell r="Q1075" t="str">
            <v/>
          </cell>
          <cell r="R1075">
            <v>19.900000000000002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-17.486641221374096</v>
          </cell>
          <cell r="F1076">
            <v>32.13167938931295</v>
          </cell>
          <cell r="G1076">
            <v>10.56679389313021</v>
          </cell>
          <cell r="H1076">
            <v>10.56679389313021</v>
          </cell>
          <cell r="I1076" t="e">
            <v>#N/A</v>
          </cell>
          <cell r="J1076" t="e">
            <v>#N/A</v>
          </cell>
          <cell r="K1076">
            <v>26</v>
          </cell>
          <cell r="L1076">
            <v>14.700000000000001</v>
          </cell>
          <cell r="M1076" t="e">
            <v>#N/A</v>
          </cell>
          <cell r="N1076">
            <v>21.200000000000003</v>
          </cell>
          <cell r="O1076" t="e">
            <v>#N/A</v>
          </cell>
          <cell r="P1076" t="str">
            <v/>
          </cell>
          <cell r="Q1076" t="str">
            <v/>
          </cell>
          <cell r="R1076">
            <v>19.900000000000002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-17.560114503816845</v>
          </cell>
          <cell r="F1077">
            <v>32.157442748091576</v>
          </cell>
          <cell r="G1077">
            <v>10.549427480916471</v>
          </cell>
          <cell r="H1077">
            <v>10.549427480916471</v>
          </cell>
          <cell r="I1077" t="e">
            <v>#N/A</v>
          </cell>
          <cell r="J1077" t="e">
            <v>#N/A</v>
          </cell>
          <cell r="K1077">
            <v>26</v>
          </cell>
          <cell r="L1077">
            <v>14.700000000000001</v>
          </cell>
          <cell r="M1077" t="e">
            <v>#N/A</v>
          </cell>
          <cell r="N1077">
            <v>21.200000000000003</v>
          </cell>
          <cell r="O1077" t="e">
            <v>#N/A</v>
          </cell>
          <cell r="P1077" t="str">
            <v/>
          </cell>
          <cell r="Q1077" t="str">
            <v/>
          </cell>
          <cell r="R1077">
            <v>19.900000000000002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-17.633587786259593</v>
          </cell>
          <cell r="F1078">
            <v>32.183206106870202</v>
          </cell>
          <cell r="G1078">
            <v>10.532061068702731</v>
          </cell>
          <cell r="H1078">
            <v>10.532061068702731</v>
          </cell>
          <cell r="I1078" t="e">
            <v>#N/A</v>
          </cell>
          <cell r="J1078" t="e">
            <v>#N/A</v>
          </cell>
          <cell r="K1078">
            <v>26</v>
          </cell>
          <cell r="L1078">
            <v>14.700000000000001</v>
          </cell>
          <cell r="M1078" t="e">
            <v>#N/A</v>
          </cell>
          <cell r="N1078">
            <v>21.200000000000003</v>
          </cell>
          <cell r="O1078" t="e">
            <v>#N/A</v>
          </cell>
          <cell r="P1078" t="str">
            <v/>
          </cell>
          <cell r="Q1078" t="str">
            <v/>
          </cell>
          <cell r="R1078">
            <v>19.900000000000002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-17.707061068702341</v>
          </cell>
          <cell r="F1079">
            <v>32.208969465648828</v>
          </cell>
          <cell r="G1079">
            <v>10.514694656488992</v>
          </cell>
          <cell r="H1079">
            <v>10.514694656488992</v>
          </cell>
          <cell r="I1079" t="e">
            <v>#N/A</v>
          </cell>
          <cell r="J1079" t="e">
            <v>#N/A</v>
          </cell>
          <cell r="K1079">
            <v>26</v>
          </cell>
          <cell r="L1079">
            <v>14.700000000000001</v>
          </cell>
          <cell r="M1079" t="e">
            <v>#N/A</v>
          </cell>
          <cell r="N1079">
            <v>21.200000000000003</v>
          </cell>
          <cell r="O1079" t="e">
            <v>#N/A</v>
          </cell>
          <cell r="P1079" t="str">
            <v/>
          </cell>
          <cell r="Q1079" t="str">
            <v/>
          </cell>
          <cell r="R1079">
            <v>19.900000000000002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-17.780534351145089</v>
          </cell>
          <cell r="F1080">
            <v>32.234732824427454</v>
          </cell>
          <cell r="G1080">
            <v>10.497328244275252</v>
          </cell>
          <cell r="H1080">
            <v>10.497328244275252</v>
          </cell>
          <cell r="I1080" t="e">
            <v>#N/A</v>
          </cell>
          <cell r="J1080" t="e">
            <v>#N/A</v>
          </cell>
          <cell r="K1080">
            <v>26</v>
          </cell>
          <cell r="L1080">
            <v>14.700000000000001</v>
          </cell>
          <cell r="M1080" t="e">
            <v>#N/A</v>
          </cell>
          <cell r="N1080">
            <v>21.200000000000003</v>
          </cell>
          <cell r="O1080" t="e">
            <v>#N/A</v>
          </cell>
          <cell r="P1080" t="str">
            <v/>
          </cell>
          <cell r="Q1080" t="str">
            <v/>
          </cell>
          <cell r="R1080">
            <v>19.900000000000002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-17.854007633587837</v>
          </cell>
          <cell r="F1081">
            <v>32.260496183206079</v>
          </cell>
          <cell r="G1081">
            <v>10.479961832061512</v>
          </cell>
          <cell r="H1081">
            <v>10.479961832061512</v>
          </cell>
          <cell r="I1081" t="e">
            <v>#N/A</v>
          </cell>
          <cell r="J1081" t="e">
            <v>#N/A</v>
          </cell>
          <cell r="K1081">
            <v>26</v>
          </cell>
          <cell r="L1081">
            <v>14.700000000000001</v>
          </cell>
          <cell r="M1081" t="e">
            <v>#N/A</v>
          </cell>
          <cell r="N1081">
            <v>21.200000000000003</v>
          </cell>
          <cell r="O1081" t="e">
            <v>#N/A</v>
          </cell>
          <cell r="P1081" t="str">
            <v/>
          </cell>
          <cell r="Q1081" t="str">
            <v/>
          </cell>
          <cell r="R1081">
            <v>19.900000000000002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-17.927480916030586</v>
          </cell>
          <cell r="F1082">
            <v>32.286259541984705</v>
          </cell>
          <cell r="G1082">
            <v>10.462595419847773</v>
          </cell>
          <cell r="H1082">
            <v>10.462595419847773</v>
          </cell>
          <cell r="I1082" t="e">
            <v>#N/A</v>
          </cell>
          <cell r="J1082" t="e">
            <v>#N/A</v>
          </cell>
          <cell r="K1082">
            <v>26</v>
          </cell>
          <cell r="L1082">
            <v>14.700000000000001</v>
          </cell>
          <cell r="M1082" t="e">
            <v>#N/A</v>
          </cell>
          <cell r="N1082">
            <v>21.200000000000003</v>
          </cell>
          <cell r="O1082" t="e">
            <v>#N/A</v>
          </cell>
          <cell r="P1082" t="str">
            <v/>
          </cell>
          <cell r="Q1082" t="str">
            <v/>
          </cell>
          <cell r="R1082">
            <v>19.900000000000002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-18.000954198473334</v>
          </cell>
          <cell r="F1083">
            <v>32.312022900763331</v>
          </cell>
          <cell r="G1083">
            <v>10.445229007634033</v>
          </cell>
          <cell r="H1083">
            <v>10.445229007634033</v>
          </cell>
          <cell r="I1083" t="e">
            <v>#N/A</v>
          </cell>
          <cell r="J1083" t="e">
            <v>#N/A</v>
          </cell>
          <cell r="K1083">
            <v>26</v>
          </cell>
          <cell r="L1083">
            <v>14.700000000000001</v>
          </cell>
          <cell r="M1083" t="e">
            <v>#N/A</v>
          </cell>
          <cell r="N1083">
            <v>21.200000000000003</v>
          </cell>
          <cell r="O1083" t="e">
            <v>#N/A</v>
          </cell>
          <cell r="P1083" t="str">
            <v/>
          </cell>
          <cell r="Q1083" t="str">
            <v/>
          </cell>
          <cell r="R1083">
            <v>19.900000000000002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-18.074427480916082</v>
          </cell>
          <cell r="F1084">
            <v>32.337786259541957</v>
          </cell>
          <cell r="G1084">
            <v>10.427862595420294</v>
          </cell>
          <cell r="H1084">
            <v>10.427862595420294</v>
          </cell>
          <cell r="I1084" t="e">
            <v>#N/A</v>
          </cell>
          <cell r="J1084" t="e">
            <v>#N/A</v>
          </cell>
          <cell r="K1084">
            <v>26</v>
          </cell>
          <cell r="L1084">
            <v>14.700000000000001</v>
          </cell>
          <cell r="M1084" t="e">
            <v>#N/A</v>
          </cell>
          <cell r="N1084">
            <v>21.200000000000003</v>
          </cell>
          <cell r="O1084" t="e">
            <v>#N/A</v>
          </cell>
          <cell r="P1084" t="str">
            <v/>
          </cell>
          <cell r="Q1084" t="str">
            <v/>
          </cell>
          <cell r="R1084">
            <v>19.900000000000002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-18.14790076335883</v>
          </cell>
          <cell r="F1085">
            <v>32.363549618320583</v>
          </cell>
          <cell r="G1085">
            <v>10.410496183206554</v>
          </cell>
          <cell r="H1085">
            <v>10.410496183206554</v>
          </cell>
          <cell r="I1085" t="e">
            <v>#N/A</v>
          </cell>
          <cell r="J1085" t="e">
            <v>#N/A</v>
          </cell>
          <cell r="K1085">
            <v>26</v>
          </cell>
          <cell r="L1085">
            <v>14.700000000000001</v>
          </cell>
          <cell r="M1085" t="e">
            <v>#N/A</v>
          </cell>
          <cell r="N1085">
            <v>21.200000000000003</v>
          </cell>
          <cell r="O1085" t="e">
            <v>#N/A</v>
          </cell>
          <cell r="P1085" t="str">
            <v/>
          </cell>
          <cell r="Q1085" t="str">
            <v/>
          </cell>
          <cell r="R1085">
            <v>19.900000000000002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-18.221374045801578</v>
          </cell>
          <cell r="F1086">
            <v>32.389312977099209</v>
          </cell>
          <cell r="G1086">
            <v>10.393129770992815</v>
          </cell>
          <cell r="H1086">
            <v>10.393129770992815</v>
          </cell>
          <cell r="I1086" t="e">
            <v>#N/A</v>
          </cell>
          <cell r="J1086" t="e">
            <v>#N/A</v>
          </cell>
          <cell r="K1086">
            <v>26</v>
          </cell>
          <cell r="L1086">
            <v>14.700000000000001</v>
          </cell>
          <cell r="M1086" t="e">
            <v>#N/A</v>
          </cell>
          <cell r="N1086">
            <v>21.200000000000003</v>
          </cell>
          <cell r="O1086" t="e">
            <v>#N/A</v>
          </cell>
          <cell r="P1086" t="str">
            <v/>
          </cell>
          <cell r="Q1086" t="str">
            <v/>
          </cell>
          <cell r="R1086">
            <v>19.900000000000002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-18.294847328244327</v>
          </cell>
          <cell r="F1087">
            <v>32.415076335877835</v>
          </cell>
          <cell r="G1087">
            <v>10.375763358779075</v>
          </cell>
          <cell r="H1087">
            <v>10.375763358779075</v>
          </cell>
          <cell r="I1087" t="e">
            <v>#N/A</v>
          </cell>
          <cell r="J1087" t="e">
            <v>#N/A</v>
          </cell>
          <cell r="K1087">
            <v>26</v>
          </cell>
          <cell r="L1087">
            <v>14.700000000000001</v>
          </cell>
          <cell r="M1087" t="e">
            <v>#N/A</v>
          </cell>
          <cell r="N1087">
            <v>21.200000000000003</v>
          </cell>
          <cell r="O1087" t="e">
            <v>#N/A</v>
          </cell>
          <cell r="P1087" t="str">
            <v/>
          </cell>
          <cell r="Q1087" t="str">
            <v/>
          </cell>
          <cell r="R1087">
            <v>19.900000000000002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-18.368320610687075</v>
          </cell>
          <cell r="F1088">
            <v>32.440839694656461</v>
          </cell>
          <cell r="G1088">
            <v>10.358396946565335</v>
          </cell>
          <cell r="H1088">
            <v>10.358396946565335</v>
          </cell>
          <cell r="I1088" t="e">
            <v>#N/A</v>
          </cell>
          <cell r="J1088" t="e">
            <v>#N/A</v>
          </cell>
          <cell r="K1088">
            <v>26</v>
          </cell>
          <cell r="L1088">
            <v>14.700000000000001</v>
          </cell>
          <cell r="M1088" t="e">
            <v>#N/A</v>
          </cell>
          <cell r="N1088">
            <v>21.200000000000003</v>
          </cell>
          <cell r="O1088" t="e">
            <v>#N/A</v>
          </cell>
          <cell r="P1088" t="str">
            <v/>
          </cell>
          <cell r="Q1088" t="str">
            <v/>
          </cell>
          <cell r="R1088">
            <v>19.900000000000002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-18.441793893129823</v>
          </cell>
          <cell r="F1089">
            <v>32.466603053435087</v>
          </cell>
          <cell r="G1089">
            <v>10.341030534351596</v>
          </cell>
          <cell r="H1089">
            <v>10.341030534351596</v>
          </cell>
          <cell r="I1089" t="e">
            <v>#N/A</v>
          </cell>
          <cell r="J1089" t="e">
            <v>#N/A</v>
          </cell>
          <cell r="K1089">
            <v>26</v>
          </cell>
          <cell r="L1089">
            <v>14.700000000000001</v>
          </cell>
          <cell r="M1089" t="e">
            <v>#N/A</v>
          </cell>
          <cell r="N1089">
            <v>21.200000000000003</v>
          </cell>
          <cell r="O1089" t="e">
            <v>#N/A</v>
          </cell>
          <cell r="P1089" t="str">
            <v/>
          </cell>
          <cell r="Q1089" t="str">
            <v/>
          </cell>
          <cell r="R1089">
            <v>19.900000000000002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-18.515267175572571</v>
          </cell>
          <cell r="F1090">
            <v>32.492366412213713</v>
          </cell>
          <cell r="G1090">
            <v>10.323664122137856</v>
          </cell>
          <cell r="H1090">
            <v>10.323664122137856</v>
          </cell>
          <cell r="I1090" t="e">
            <v>#N/A</v>
          </cell>
          <cell r="J1090" t="e">
            <v>#N/A</v>
          </cell>
          <cell r="K1090">
            <v>26</v>
          </cell>
          <cell r="L1090">
            <v>14.700000000000001</v>
          </cell>
          <cell r="M1090" t="e">
            <v>#N/A</v>
          </cell>
          <cell r="N1090">
            <v>21.200000000000003</v>
          </cell>
          <cell r="O1090" t="e">
            <v>#N/A</v>
          </cell>
          <cell r="P1090" t="str">
            <v/>
          </cell>
          <cell r="Q1090" t="str">
            <v/>
          </cell>
          <cell r="R1090">
            <v>19.900000000000002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-18.588740458015319</v>
          </cell>
          <cell r="F1091">
            <v>32.518129770992338</v>
          </cell>
          <cell r="G1091">
            <v>10.306297709924117</v>
          </cell>
          <cell r="H1091">
            <v>10.306297709924117</v>
          </cell>
          <cell r="I1091" t="e">
            <v>#N/A</v>
          </cell>
          <cell r="J1091" t="e">
            <v>#N/A</v>
          </cell>
          <cell r="K1091">
            <v>26</v>
          </cell>
          <cell r="L1091">
            <v>14.700000000000001</v>
          </cell>
          <cell r="M1091" t="e">
            <v>#N/A</v>
          </cell>
          <cell r="N1091">
            <v>21.200000000000003</v>
          </cell>
          <cell r="O1091" t="e">
            <v>#N/A</v>
          </cell>
          <cell r="P1091" t="str">
            <v/>
          </cell>
          <cell r="Q1091" t="str">
            <v/>
          </cell>
          <cell r="R1091">
            <v>19.900000000000002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-18.662213740458068</v>
          </cell>
          <cell r="F1092">
            <v>32.543893129770964</v>
          </cell>
          <cell r="G1092">
            <v>10.288931297710377</v>
          </cell>
          <cell r="H1092">
            <v>10.288931297710377</v>
          </cell>
          <cell r="I1092" t="e">
            <v>#N/A</v>
          </cell>
          <cell r="J1092" t="e">
            <v>#N/A</v>
          </cell>
          <cell r="K1092">
            <v>26</v>
          </cell>
          <cell r="L1092">
            <v>14.700000000000001</v>
          </cell>
          <cell r="M1092" t="e">
            <v>#N/A</v>
          </cell>
          <cell r="N1092">
            <v>21.200000000000003</v>
          </cell>
          <cell r="O1092" t="e">
            <v>#N/A</v>
          </cell>
          <cell r="P1092" t="str">
            <v/>
          </cell>
          <cell r="Q1092" t="str">
            <v/>
          </cell>
          <cell r="R1092">
            <v>19.900000000000002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-18.735687022900816</v>
          </cell>
          <cell r="F1093">
            <v>32.56965648854959</v>
          </cell>
          <cell r="G1093">
            <v>10.271564885496637</v>
          </cell>
          <cell r="H1093">
            <v>10.271564885496637</v>
          </cell>
          <cell r="I1093" t="e">
            <v>#N/A</v>
          </cell>
          <cell r="J1093" t="e">
            <v>#N/A</v>
          </cell>
          <cell r="K1093">
            <v>26</v>
          </cell>
          <cell r="L1093">
            <v>14.700000000000001</v>
          </cell>
          <cell r="M1093" t="e">
            <v>#N/A</v>
          </cell>
          <cell r="N1093">
            <v>21.200000000000003</v>
          </cell>
          <cell r="O1093" t="e">
            <v>#N/A</v>
          </cell>
          <cell r="P1093" t="str">
            <v/>
          </cell>
          <cell r="Q1093" t="str">
            <v/>
          </cell>
          <cell r="R1093">
            <v>19.900000000000002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-18.809160305343564</v>
          </cell>
          <cell r="F1094">
            <v>32.595419847328216</v>
          </cell>
          <cell r="G1094">
            <v>10.254198473282898</v>
          </cell>
          <cell r="H1094">
            <v>10.254198473282898</v>
          </cell>
          <cell r="I1094" t="e">
            <v>#N/A</v>
          </cell>
          <cell r="J1094" t="e">
            <v>#N/A</v>
          </cell>
          <cell r="K1094">
            <v>26</v>
          </cell>
          <cell r="L1094">
            <v>14.700000000000001</v>
          </cell>
          <cell r="M1094" t="e">
            <v>#N/A</v>
          </cell>
          <cell r="N1094">
            <v>21.200000000000003</v>
          </cell>
          <cell r="O1094" t="e">
            <v>#N/A</v>
          </cell>
          <cell r="P1094" t="str">
            <v/>
          </cell>
          <cell r="Q1094" t="str">
            <v/>
          </cell>
          <cell r="R1094">
            <v>19.900000000000002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-18.882633587786312</v>
          </cell>
          <cell r="F1095">
            <v>32.621183206106842</v>
          </cell>
          <cell r="G1095">
            <v>10.236832061069158</v>
          </cell>
          <cell r="H1095">
            <v>10.236832061069158</v>
          </cell>
          <cell r="I1095" t="e">
            <v>#N/A</v>
          </cell>
          <cell r="J1095" t="e">
            <v>#N/A</v>
          </cell>
          <cell r="K1095">
            <v>26</v>
          </cell>
          <cell r="L1095">
            <v>14.700000000000001</v>
          </cell>
          <cell r="M1095" t="e">
            <v>#N/A</v>
          </cell>
          <cell r="N1095">
            <v>21.200000000000003</v>
          </cell>
          <cell r="O1095" t="e">
            <v>#N/A</v>
          </cell>
          <cell r="P1095" t="str">
            <v/>
          </cell>
          <cell r="Q1095" t="str">
            <v/>
          </cell>
          <cell r="R1095">
            <v>19.900000000000002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-18.95610687022906</v>
          </cell>
          <cell r="F1096">
            <v>32.646946564885468</v>
          </cell>
          <cell r="G1096">
            <v>10.219465648855419</v>
          </cell>
          <cell r="H1096">
            <v>10.219465648855419</v>
          </cell>
          <cell r="I1096" t="e">
            <v>#N/A</v>
          </cell>
          <cell r="J1096" t="e">
            <v>#N/A</v>
          </cell>
          <cell r="K1096">
            <v>26</v>
          </cell>
          <cell r="L1096">
            <v>14.700000000000001</v>
          </cell>
          <cell r="M1096" t="e">
            <v>#N/A</v>
          </cell>
          <cell r="N1096">
            <v>21.200000000000003</v>
          </cell>
          <cell r="O1096" t="e">
            <v>#N/A</v>
          </cell>
          <cell r="P1096" t="str">
            <v/>
          </cell>
          <cell r="Q1096" t="str">
            <v/>
          </cell>
          <cell r="R1096">
            <v>19.900000000000002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-19.029580152671809</v>
          </cell>
          <cell r="F1097">
            <v>32.672709923664094</v>
          </cell>
          <cell r="G1097">
            <v>10.202099236641679</v>
          </cell>
          <cell r="H1097">
            <v>10.202099236641679</v>
          </cell>
          <cell r="I1097" t="e">
            <v>#N/A</v>
          </cell>
          <cell r="J1097" t="e">
            <v>#N/A</v>
          </cell>
          <cell r="K1097">
            <v>26</v>
          </cell>
          <cell r="L1097">
            <v>14.700000000000001</v>
          </cell>
          <cell r="M1097" t="e">
            <v>#N/A</v>
          </cell>
          <cell r="N1097">
            <v>21.200000000000003</v>
          </cell>
          <cell r="O1097" t="e">
            <v>#N/A</v>
          </cell>
          <cell r="P1097" t="str">
            <v/>
          </cell>
          <cell r="Q1097" t="str">
            <v/>
          </cell>
          <cell r="R1097">
            <v>19.900000000000002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-19.103053435114557</v>
          </cell>
          <cell r="F1098">
            <v>32.69847328244272</v>
          </cell>
          <cell r="G1098">
            <v>10.18473282442794</v>
          </cell>
          <cell r="H1098">
            <v>10.18473282442794</v>
          </cell>
          <cell r="I1098" t="e">
            <v>#N/A</v>
          </cell>
          <cell r="J1098" t="e">
            <v>#N/A</v>
          </cell>
          <cell r="K1098">
            <v>26</v>
          </cell>
          <cell r="L1098">
            <v>14.700000000000001</v>
          </cell>
          <cell r="M1098" t="e">
            <v>#N/A</v>
          </cell>
          <cell r="N1098">
            <v>21.200000000000003</v>
          </cell>
          <cell r="O1098" t="e">
            <v>#N/A</v>
          </cell>
          <cell r="P1098" t="str">
            <v/>
          </cell>
          <cell r="Q1098" t="str">
            <v/>
          </cell>
          <cell r="R1098">
            <v>19.900000000000002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-19.176526717557305</v>
          </cell>
          <cell r="F1099">
            <v>32.724236641221346</v>
          </cell>
          <cell r="G1099">
            <v>10.1673664122142</v>
          </cell>
          <cell r="H1099">
            <v>10.1673664122142</v>
          </cell>
          <cell r="I1099" t="e">
            <v>#N/A</v>
          </cell>
          <cell r="J1099" t="e">
            <v>#N/A</v>
          </cell>
          <cell r="K1099">
            <v>26</v>
          </cell>
          <cell r="L1099">
            <v>14.700000000000001</v>
          </cell>
          <cell r="M1099" t="e">
            <v>#N/A</v>
          </cell>
          <cell r="N1099">
            <v>21.200000000000003</v>
          </cell>
          <cell r="O1099" t="e">
            <v>#N/A</v>
          </cell>
          <cell r="P1099" t="str">
            <v/>
          </cell>
          <cell r="Q1099" t="str">
            <v/>
          </cell>
          <cell r="R1099">
            <v>19.900000000000002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-19.250000000000053</v>
          </cell>
          <cell r="F1100">
            <v>32.749999999999972</v>
          </cell>
          <cell r="G1100">
            <v>10.15000000000046</v>
          </cell>
          <cell r="H1100">
            <v>10.15000000000046</v>
          </cell>
          <cell r="I1100" t="e">
            <v>#N/A</v>
          </cell>
          <cell r="J1100" t="e">
            <v>#N/A</v>
          </cell>
          <cell r="K1100">
            <v>26</v>
          </cell>
          <cell r="L1100">
            <v>14.700000000000001</v>
          </cell>
          <cell r="M1100" t="e">
            <v>#N/A</v>
          </cell>
          <cell r="N1100">
            <v>21.200000000000003</v>
          </cell>
          <cell r="O1100" t="e">
            <v>#N/A</v>
          </cell>
          <cell r="P1100" t="str">
            <v/>
          </cell>
          <cell r="Q1100" t="str">
            <v/>
          </cell>
          <cell r="R1100">
            <v>19.900000000000002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-19.323473282442801</v>
          </cell>
          <cell r="F1101">
            <v>32.775763358778597</v>
          </cell>
          <cell r="G1101">
            <v>10.132633587786721</v>
          </cell>
          <cell r="H1101">
            <v>10.132633587786721</v>
          </cell>
          <cell r="I1101" t="e">
            <v>#N/A</v>
          </cell>
          <cell r="J1101" t="e">
            <v>#N/A</v>
          </cell>
          <cell r="K1101">
            <v>26</v>
          </cell>
          <cell r="L1101">
            <v>14.700000000000001</v>
          </cell>
          <cell r="M1101" t="e">
            <v>#N/A</v>
          </cell>
          <cell r="N1101">
            <v>21.200000000000003</v>
          </cell>
          <cell r="O1101" t="e">
            <v>#N/A</v>
          </cell>
          <cell r="P1101" t="str">
            <v/>
          </cell>
          <cell r="Q1101" t="str">
            <v/>
          </cell>
          <cell r="R1101">
            <v>19.900000000000002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-19.39694656488555</v>
          </cell>
          <cell r="F1102">
            <v>32.801526717557223</v>
          </cell>
          <cell r="G1102">
            <v>10.115267175572981</v>
          </cell>
          <cell r="H1102">
            <v>10.115267175572981</v>
          </cell>
          <cell r="I1102" t="e">
            <v>#N/A</v>
          </cell>
          <cell r="J1102" t="e">
            <v>#N/A</v>
          </cell>
          <cell r="K1102">
            <v>26</v>
          </cell>
          <cell r="L1102">
            <v>14.700000000000001</v>
          </cell>
          <cell r="M1102" t="e">
            <v>#N/A</v>
          </cell>
          <cell r="N1102">
            <v>21.200000000000003</v>
          </cell>
          <cell r="O1102" t="e">
            <v>#N/A</v>
          </cell>
          <cell r="P1102" t="str">
            <v/>
          </cell>
          <cell r="Q1102" t="str">
            <v/>
          </cell>
          <cell r="R1102">
            <v>19.900000000000002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-19.470419847328298</v>
          </cell>
          <cell r="F1103">
            <v>32.827290076335849</v>
          </cell>
          <cell r="G1103">
            <v>10.097900763359242</v>
          </cell>
          <cell r="H1103">
            <v>10.097900763359242</v>
          </cell>
          <cell r="I1103" t="e">
            <v>#N/A</v>
          </cell>
          <cell r="J1103" t="e">
            <v>#N/A</v>
          </cell>
          <cell r="K1103">
            <v>26</v>
          </cell>
          <cell r="L1103">
            <v>14.700000000000001</v>
          </cell>
          <cell r="M1103" t="e">
            <v>#N/A</v>
          </cell>
          <cell r="N1103">
            <v>21.200000000000003</v>
          </cell>
          <cell r="O1103" t="e">
            <v>#N/A</v>
          </cell>
          <cell r="P1103" t="str">
            <v/>
          </cell>
          <cell r="Q1103" t="str">
            <v/>
          </cell>
          <cell r="R1103">
            <v>19.900000000000002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-19.543893129771046</v>
          </cell>
          <cell r="F1104">
            <v>32.853053435114475</v>
          </cell>
          <cell r="G1104">
            <v>10.080534351145502</v>
          </cell>
          <cell r="H1104">
            <v>10.080534351145502</v>
          </cell>
          <cell r="I1104" t="e">
            <v>#N/A</v>
          </cell>
          <cell r="J1104" t="e">
            <v>#N/A</v>
          </cell>
          <cell r="K1104">
            <v>26</v>
          </cell>
          <cell r="L1104">
            <v>14.700000000000001</v>
          </cell>
          <cell r="M1104" t="e">
            <v>#N/A</v>
          </cell>
          <cell r="N1104">
            <v>21.200000000000003</v>
          </cell>
          <cell r="O1104" t="e">
            <v>#N/A</v>
          </cell>
          <cell r="P1104" t="str">
            <v/>
          </cell>
          <cell r="Q1104" t="str">
            <v/>
          </cell>
          <cell r="R1104">
            <v>19.900000000000002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-19.617366412213794</v>
          </cell>
          <cell r="F1105">
            <v>32.878816793893101</v>
          </cell>
          <cell r="G1105">
            <v>10.063167938931763</v>
          </cell>
          <cell r="H1105">
            <v>10.063167938931763</v>
          </cell>
          <cell r="I1105" t="e">
            <v>#N/A</v>
          </cell>
          <cell r="J1105" t="e">
            <v>#N/A</v>
          </cell>
          <cell r="K1105">
            <v>26</v>
          </cell>
          <cell r="L1105">
            <v>14.700000000000001</v>
          </cell>
          <cell r="M1105" t="e">
            <v>#N/A</v>
          </cell>
          <cell r="N1105">
            <v>21.200000000000003</v>
          </cell>
          <cell r="O1105" t="e">
            <v>#N/A</v>
          </cell>
          <cell r="P1105" t="str">
            <v/>
          </cell>
          <cell r="Q1105" t="str">
            <v/>
          </cell>
          <cell r="R1105">
            <v>19.900000000000002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-19.690839694656542</v>
          </cell>
          <cell r="F1106">
            <v>32.904580152671727</v>
          </cell>
          <cell r="G1106">
            <v>10.045801526718023</v>
          </cell>
          <cell r="H1106">
            <v>10.045801526718023</v>
          </cell>
          <cell r="I1106" t="e">
            <v>#N/A</v>
          </cell>
          <cell r="J1106" t="e">
            <v>#N/A</v>
          </cell>
          <cell r="K1106">
            <v>26</v>
          </cell>
          <cell r="L1106">
            <v>14.700000000000001</v>
          </cell>
          <cell r="M1106" t="e">
            <v>#N/A</v>
          </cell>
          <cell r="N1106">
            <v>21.200000000000003</v>
          </cell>
          <cell r="O1106" t="e">
            <v>#N/A</v>
          </cell>
          <cell r="P1106" t="str">
            <v/>
          </cell>
          <cell r="Q1106" t="str">
            <v/>
          </cell>
          <cell r="R1106">
            <v>19.900000000000002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-19.764312977099291</v>
          </cell>
          <cell r="F1107">
            <v>32.930343511450353</v>
          </cell>
          <cell r="G1107">
            <v>10.028435114504283</v>
          </cell>
          <cell r="H1107">
            <v>10.028435114504283</v>
          </cell>
          <cell r="I1107" t="e">
            <v>#N/A</v>
          </cell>
          <cell r="J1107" t="e">
            <v>#N/A</v>
          </cell>
          <cell r="K1107">
            <v>26</v>
          </cell>
          <cell r="L1107">
            <v>14.700000000000001</v>
          </cell>
          <cell r="M1107" t="e">
            <v>#N/A</v>
          </cell>
          <cell r="N1107">
            <v>21.200000000000003</v>
          </cell>
          <cell r="O1107" t="e">
            <v>#N/A</v>
          </cell>
          <cell r="P1107" t="str">
            <v/>
          </cell>
          <cell r="Q1107" t="str">
            <v/>
          </cell>
          <cell r="R1107">
            <v>19.900000000000002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-19.837786259542039</v>
          </cell>
          <cell r="F1108">
            <v>32.956106870228979</v>
          </cell>
          <cell r="G1108">
            <v>10.011068702290544</v>
          </cell>
          <cell r="H1108">
            <v>10.011068702290544</v>
          </cell>
          <cell r="I1108" t="e">
            <v>#N/A</v>
          </cell>
          <cell r="J1108" t="e">
            <v>#N/A</v>
          </cell>
          <cell r="K1108">
            <v>26</v>
          </cell>
          <cell r="L1108">
            <v>14.700000000000001</v>
          </cell>
          <cell r="M1108" t="e">
            <v>#N/A</v>
          </cell>
          <cell r="N1108">
            <v>21.200000000000003</v>
          </cell>
          <cell r="O1108" t="e">
            <v>#N/A</v>
          </cell>
          <cell r="P1108" t="str">
            <v/>
          </cell>
          <cell r="Q1108" t="str">
            <v/>
          </cell>
          <cell r="R1108">
            <v>19.900000000000002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-19.911259541984787</v>
          </cell>
          <cell r="F1109">
            <v>32.981870229007605</v>
          </cell>
          <cell r="G1109">
            <v>9.9937022900768042</v>
          </cell>
          <cell r="H1109">
            <v>9.9937022900768042</v>
          </cell>
          <cell r="I1109" t="e">
            <v>#N/A</v>
          </cell>
          <cell r="J1109" t="e">
            <v>#N/A</v>
          </cell>
          <cell r="K1109">
            <v>26</v>
          </cell>
          <cell r="L1109">
            <v>14.700000000000001</v>
          </cell>
          <cell r="M1109" t="e">
            <v>#N/A</v>
          </cell>
          <cell r="N1109">
            <v>21.200000000000003</v>
          </cell>
          <cell r="O1109" t="e">
            <v>#N/A</v>
          </cell>
          <cell r="P1109" t="str">
            <v/>
          </cell>
          <cell r="Q1109" t="str">
            <v/>
          </cell>
          <cell r="R1109">
            <v>19.900000000000002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-19.984732824427535</v>
          </cell>
          <cell r="F1110">
            <v>33.007633587786231</v>
          </cell>
          <cell r="G1110">
            <v>9.9763358778630646</v>
          </cell>
          <cell r="H1110">
            <v>9.9763358778630646</v>
          </cell>
          <cell r="I1110" t="e">
            <v>#N/A</v>
          </cell>
          <cell r="J1110" t="e">
            <v>#N/A</v>
          </cell>
          <cell r="K1110">
            <v>26</v>
          </cell>
          <cell r="L1110">
            <v>14.700000000000001</v>
          </cell>
          <cell r="M1110" t="e">
            <v>#N/A</v>
          </cell>
          <cell r="N1110">
            <v>21.200000000000003</v>
          </cell>
          <cell r="O1110" t="e">
            <v>#N/A</v>
          </cell>
          <cell r="P1110" t="str">
            <v/>
          </cell>
          <cell r="Q1110" t="str">
            <v/>
          </cell>
          <cell r="R1110">
            <v>19.900000000000002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-20.058206106870283</v>
          </cell>
          <cell r="F1111">
            <v>33.033396946564856</v>
          </cell>
          <cell r="G1111">
            <v>9.9589694656493251</v>
          </cell>
          <cell r="H1111">
            <v>9.9589694656493251</v>
          </cell>
          <cell r="I1111" t="e">
            <v>#N/A</v>
          </cell>
          <cell r="J1111" t="e">
            <v>#N/A</v>
          </cell>
          <cell r="K1111">
            <v>26</v>
          </cell>
          <cell r="L1111">
            <v>14.700000000000001</v>
          </cell>
          <cell r="M1111" t="e">
            <v>#N/A</v>
          </cell>
          <cell r="N1111">
            <v>21.200000000000003</v>
          </cell>
          <cell r="O1111" t="e">
            <v>#N/A</v>
          </cell>
          <cell r="P1111" t="str">
            <v/>
          </cell>
          <cell r="Q1111" t="str">
            <v/>
          </cell>
          <cell r="R1111">
            <v>19.900000000000002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-20.131679389313032</v>
          </cell>
          <cell r="F1112">
            <v>33.059160305343482</v>
          </cell>
          <cell r="G1112">
            <v>9.9416030534355855</v>
          </cell>
          <cell r="H1112">
            <v>9.9416030534355855</v>
          </cell>
          <cell r="I1112" t="e">
            <v>#N/A</v>
          </cell>
          <cell r="J1112" t="e">
            <v>#N/A</v>
          </cell>
          <cell r="K1112">
            <v>26</v>
          </cell>
          <cell r="L1112">
            <v>14.700000000000001</v>
          </cell>
          <cell r="M1112" t="e">
            <v>#N/A</v>
          </cell>
          <cell r="N1112">
            <v>21.200000000000003</v>
          </cell>
          <cell r="O1112" t="e">
            <v>#N/A</v>
          </cell>
          <cell r="P1112" t="str">
            <v/>
          </cell>
          <cell r="Q1112" t="str">
            <v/>
          </cell>
          <cell r="R1112">
            <v>19.900000000000002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-20.20515267175578</v>
          </cell>
          <cell r="F1113">
            <v>33.084923664122108</v>
          </cell>
          <cell r="G1113">
            <v>9.9242366412218459</v>
          </cell>
          <cell r="H1113">
            <v>9.9242366412218459</v>
          </cell>
          <cell r="I1113" t="e">
            <v>#N/A</v>
          </cell>
          <cell r="J1113" t="e">
            <v>#N/A</v>
          </cell>
          <cell r="K1113">
            <v>26</v>
          </cell>
          <cell r="L1113">
            <v>14.700000000000001</v>
          </cell>
          <cell r="M1113" t="e">
            <v>#N/A</v>
          </cell>
          <cell r="N1113">
            <v>21.200000000000003</v>
          </cell>
          <cell r="O1113" t="e">
            <v>#N/A</v>
          </cell>
          <cell r="P1113" t="str">
            <v/>
          </cell>
          <cell r="Q1113" t="str">
            <v/>
          </cell>
          <cell r="R1113">
            <v>19.900000000000002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-20.278625954198528</v>
          </cell>
          <cell r="F1114">
            <v>33.110687022900734</v>
          </cell>
          <cell r="G1114">
            <v>9.9068702290081063</v>
          </cell>
          <cell r="H1114">
            <v>9.9068702290081063</v>
          </cell>
          <cell r="I1114" t="e">
            <v>#N/A</v>
          </cell>
          <cell r="J1114" t="e">
            <v>#N/A</v>
          </cell>
          <cell r="K1114">
            <v>26</v>
          </cell>
          <cell r="L1114">
            <v>14.700000000000001</v>
          </cell>
          <cell r="M1114" t="e">
            <v>#N/A</v>
          </cell>
          <cell r="N1114">
            <v>21.200000000000003</v>
          </cell>
          <cell r="O1114" t="e">
            <v>#N/A</v>
          </cell>
          <cell r="P1114" t="str">
            <v/>
          </cell>
          <cell r="Q1114" t="str">
            <v/>
          </cell>
          <cell r="R1114">
            <v>19.900000000000002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-20.352099236641276</v>
          </cell>
          <cell r="F1115">
            <v>33.13645038167936</v>
          </cell>
          <cell r="G1115">
            <v>9.8895038167943667</v>
          </cell>
          <cell r="H1115">
            <v>9.8895038167943667</v>
          </cell>
          <cell r="I1115" t="e">
            <v>#N/A</v>
          </cell>
          <cell r="J1115" t="e">
            <v>#N/A</v>
          </cell>
          <cell r="K1115">
            <v>26</v>
          </cell>
          <cell r="L1115">
            <v>14.700000000000001</v>
          </cell>
          <cell r="M1115" t="e">
            <v>#N/A</v>
          </cell>
          <cell r="N1115">
            <v>21.200000000000003</v>
          </cell>
          <cell r="O1115" t="e">
            <v>#N/A</v>
          </cell>
          <cell r="P1115" t="str">
            <v/>
          </cell>
          <cell r="Q1115" t="str">
            <v/>
          </cell>
          <cell r="R1115">
            <v>19.900000000000002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-20.425572519084024</v>
          </cell>
          <cell r="F1116">
            <v>33.162213740457986</v>
          </cell>
          <cell r="G1116">
            <v>9.8721374045806272</v>
          </cell>
          <cell r="H1116">
            <v>9.8721374045806272</v>
          </cell>
          <cell r="I1116" t="e">
            <v>#N/A</v>
          </cell>
          <cell r="J1116" t="e">
            <v>#N/A</v>
          </cell>
          <cell r="K1116">
            <v>26</v>
          </cell>
          <cell r="L1116">
            <v>14.700000000000001</v>
          </cell>
          <cell r="M1116" t="e">
            <v>#N/A</v>
          </cell>
          <cell r="N1116">
            <v>21.200000000000003</v>
          </cell>
          <cell r="O1116" t="e">
            <v>#N/A</v>
          </cell>
          <cell r="P1116" t="str">
            <v/>
          </cell>
          <cell r="Q1116" t="str">
            <v/>
          </cell>
          <cell r="R1116">
            <v>19.900000000000002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-20.499045801526773</v>
          </cell>
          <cell r="F1117">
            <v>33.187977099236612</v>
          </cell>
          <cell r="G1117">
            <v>9.8547709923668876</v>
          </cell>
          <cell r="H1117">
            <v>9.8547709923668876</v>
          </cell>
          <cell r="I1117" t="e">
            <v>#N/A</v>
          </cell>
          <cell r="J1117" t="e">
            <v>#N/A</v>
          </cell>
          <cell r="K1117">
            <v>26</v>
          </cell>
          <cell r="L1117">
            <v>14.700000000000001</v>
          </cell>
          <cell r="M1117" t="e">
            <v>#N/A</v>
          </cell>
          <cell r="N1117">
            <v>21.200000000000003</v>
          </cell>
          <cell r="O1117" t="e">
            <v>#N/A</v>
          </cell>
          <cell r="P1117" t="str">
            <v/>
          </cell>
          <cell r="Q1117" t="str">
            <v/>
          </cell>
          <cell r="R1117">
            <v>19.900000000000002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-20.572519083969521</v>
          </cell>
          <cell r="F1118">
            <v>33.213740458015238</v>
          </cell>
          <cell r="G1118">
            <v>9.837404580153148</v>
          </cell>
          <cell r="H1118">
            <v>9.837404580153148</v>
          </cell>
          <cell r="I1118" t="e">
            <v>#N/A</v>
          </cell>
          <cell r="J1118" t="e">
            <v>#N/A</v>
          </cell>
          <cell r="K1118">
            <v>26</v>
          </cell>
          <cell r="L1118">
            <v>14.700000000000001</v>
          </cell>
          <cell r="M1118" t="e">
            <v>#N/A</v>
          </cell>
          <cell r="N1118">
            <v>21.200000000000003</v>
          </cell>
          <cell r="O1118" t="e">
            <v>#N/A</v>
          </cell>
          <cell r="P1118" t="str">
            <v/>
          </cell>
          <cell r="Q1118" t="str">
            <v/>
          </cell>
          <cell r="R1118">
            <v>19.900000000000002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-20.645992366412269</v>
          </cell>
          <cell r="F1119">
            <v>33.239503816793864</v>
          </cell>
          <cell r="G1119">
            <v>9.8200381679394084</v>
          </cell>
          <cell r="H1119">
            <v>9.8200381679394084</v>
          </cell>
          <cell r="I1119" t="e">
            <v>#N/A</v>
          </cell>
          <cell r="J1119" t="e">
            <v>#N/A</v>
          </cell>
          <cell r="K1119">
            <v>26</v>
          </cell>
          <cell r="L1119">
            <v>14.700000000000001</v>
          </cell>
          <cell r="M1119" t="e">
            <v>#N/A</v>
          </cell>
          <cell r="N1119">
            <v>21.200000000000003</v>
          </cell>
          <cell r="O1119" t="e">
            <v>#N/A</v>
          </cell>
          <cell r="P1119" t="str">
            <v/>
          </cell>
          <cell r="Q1119" t="str">
            <v/>
          </cell>
          <cell r="R1119">
            <v>19.900000000000002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-20.719465648855017</v>
          </cell>
          <cell r="F1120">
            <v>33.26526717557249</v>
          </cell>
          <cell r="G1120">
            <v>9.8026717557256688</v>
          </cell>
          <cell r="H1120">
            <v>9.8026717557256688</v>
          </cell>
          <cell r="I1120" t="e">
            <v>#N/A</v>
          </cell>
          <cell r="J1120" t="e">
            <v>#N/A</v>
          </cell>
          <cell r="K1120">
            <v>26</v>
          </cell>
          <cell r="L1120">
            <v>14.700000000000001</v>
          </cell>
          <cell r="M1120" t="e">
            <v>#N/A</v>
          </cell>
          <cell r="N1120">
            <v>21.200000000000003</v>
          </cell>
          <cell r="O1120" t="e">
            <v>#N/A</v>
          </cell>
          <cell r="P1120" t="str">
            <v/>
          </cell>
          <cell r="Q1120" t="str">
            <v/>
          </cell>
          <cell r="R1120">
            <v>19.900000000000002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-20.792938931297765</v>
          </cell>
          <cell r="F1121">
            <v>33.291030534351115</v>
          </cell>
          <cell r="G1121">
            <v>9.7853053435119293</v>
          </cell>
          <cell r="H1121">
            <v>9.7853053435119293</v>
          </cell>
          <cell r="I1121" t="e">
            <v>#N/A</v>
          </cell>
          <cell r="J1121" t="e">
            <v>#N/A</v>
          </cell>
          <cell r="K1121">
            <v>26</v>
          </cell>
          <cell r="L1121">
            <v>14.700000000000001</v>
          </cell>
          <cell r="M1121" t="e">
            <v>#N/A</v>
          </cell>
          <cell r="N1121">
            <v>21.200000000000003</v>
          </cell>
          <cell r="O1121" t="e">
            <v>#N/A</v>
          </cell>
          <cell r="P1121" t="str">
            <v/>
          </cell>
          <cell r="Q1121" t="str">
            <v/>
          </cell>
          <cell r="R1121">
            <v>19.900000000000002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-20.866412213740514</v>
          </cell>
          <cell r="F1122">
            <v>33.316793893129741</v>
          </cell>
          <cell r="G1122">
            <v>9.7679389312981897</v>
          </cell>
          <cell r="H1122">
            <v>9.7679389312981897</v>
          </cell>
          <cell r="I1122" t="e">
            <v>#N/A</v>
          </cell>
          <cell r="J1122" t="e">
            <v>#N/A</v>
          </cell>
          <cell r="K1122">
            <v>26</v>
          </cell>
          <cell r="L1122">
            <v>14.700000000000001</v>
          </cell>
          <cell r="M1122" t="e">
            <v>#N/A</v>
          </cell>
          <cell r="N1122">
            <v>21.200000000000003</v>
          </cell>
          <cell r="O1122" t="e">
            <v>#N/A</v>
          </cell>
          <cell r="P1122" t="str">
            <v/>
          </cell>
          <cell r="Q1122" t="str">
            <v/>
          </cell>
          <cell r="R1122">
            <v>19.900000000000002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-20.939885496183262</v>
          </cell>
          <cell r="F1123">
            <v>33.342557251908367</v>
          </cell>
          <cell r="G1123">
            <v>9.7505725190844501</v>
          </cell>
          <cell r="H1123">
            <v>9.7505725190844501</v>
          </cell>
          <cell r="I1123" t="e">
            <v>#N/A</v>
          </cell>
          <cell r="J1123" t="e">
            <v>#N/A</v>
          </cell>
          <cell r="K1123">
            <v>26</v>
          </cell>
          <cell r="L1123">
            <v>14.700000000000001</v>
          </cell>
          <cell r="M1123" t="e">
            <v>#N/A</v>
          </cell>
          <cell r="N1123">
            <v>21.200000000000003</v>
          </cell>
          <cell r="O1123" t="e">
            <v>#N/A</v>
          </cell>
          <cell r="P1123" t="str">
            <v/>
          </cell>
          <cell r="Q1123" t="str">
            <v/>
          </cell>
          <cell r="R1123">
            <v>19.900000000000002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-21.01335877862601</v>
          </cell>
          <cell r="F1124">
            <v>33.368320610686993</v>
          </cell>
          <cell r="G1124">
            <v>9.7332061068707105</v>
          </cell>
          <cell r="H1124">
            <v>9.7332061068707105</v>
          </cell>
          <cell r="I1124" t="e">
            <v>#N/A</v>
          </cell>
          <cell r="J1124" t="e">
            <v>#N/A</v>
          </cell>
          <cell r="K1124">
            <v>26</v>
          </cell>
          <cell r="L1124">
            <v>14.700000000000001</v>
          </cell>
          <cell r="M1124" t="e">
            <v>#N/A</v>
          </cell>
          <cell r="N1124">
            <v>21.200000000000003</v>
          </cell>
          <cell r="O1124" t="e">
            <v>#N/A</v>
          </cell>
          <cell r="P1124" t="str">
            <v/>
          </cell>
          <cell r="Q1124" t="str">
            <v/>
          </cell>
          <cell r="R1124">
            <v>19.900000000000002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-21.086832061068758</v>
          </cell>
          <cell r="F1125">
            <v>33.394083969465619</v>
          </cell>
          <cell r="G1125">
            <v>9.7158396946569709</v>
          </cell>
          <cell r="H1125">
            <v>9.7158396946569709</v>
          </cell>
          <cell r="I1125" t="e">
            <v>#N/A</v>
          </cell>
          <cell r="J1125" t="e">
            <v>#N/A</v>
          </cell>
          <cell r="K1125">
            <v>26</v>
          </cell>
          <cell r="L1125">
            <v>14.700000000000001</v>
          </cell>
          <cell r="M1125" t="e">
            <v>#N/A</v>
          </cell>
          <cell r="N1125">
            <v>21.200000000000003</v>
          </cell>
          <cell r="O1125" t="e">
            <v>#N/A</v>
          </cell>
          <cell r="P1125" t="str">
            <v/>
          </cell>
          <cell r="Q1125" t="str">
            <v/>
          </cell>
          <cell r="R1125">
            <v>19.900000000000002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-21.160305343511506</v>
          </cell>
          <cell r="F1126">
            <v>33.419847328244245</v>
          </cell>
          <cell r="G1126">
            <v>9.6984732824432314</v>
          </cell>
          <cell r="H1126">
            <v>9.6984732824432314</v>
          </cell>
          <cell r="I1126" t="e">
            <v>#N/A</v>
          </cell>
          <cell r="J1126" t="e">
            <v>#N/A</v>
          </cell>
          <cell r="K1126">
            <v>26</v>
          </cell>
          <cell r="L1126">
            <v>14.700000000000001</v>
          </cell>
          <cell r="M1126" t="e">
            <v>#N/A</v>
          </cell>
          <cell r="N1126">
            <v>21.200000000000003</v>
          </cell>
          <cell r="O1126" t="e">
            <v>#N/A</v>
          </cell>
          <cell r="P1126" t="str">
            <v/>
          </cell>
          <cell r="Q1126" t="str">
            <v/>
          </cell>
          <cell r="R1126">
            <v>19.900000000000002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-21.233778625954255</v>
          </cell>
          <cell r="F1127">
            <v>33.445610687022871</v>
          </cell>
          <cell r="G1127">
            <v>9.6811068702294918</v>
          </cell>
          <cell r="H1127">
            <v>9.6811068702294918</v>
          </cell>
          <cell r="I1127" t="e">
            <v>#N/A</v>
          </cell>
          <cell r="J1127" t="e">
            <v>#N/A</v>
          </cell>
          <cell r="K1127">
            <v>26</v>
          </cell>
          <cell r="L1127">
            <v>14.700000000000001</v>
          </cell>
          <cell r="M1127" t="e">
            <v>#N/A</v>
          </cell>
          <cell r="N1127">
            <v>21.200000000000003</v>
          </cell>
          <cell r="O1127" t="e">
            <v>#N/A</v>
          </cell>
          <cell r="P1127" t="str">
            <v/>
          </cell>
          <cell r="Q1127" t="str">
            <v/>
          </cell>
          <cell r="R1127">
            <v>19.900000000000002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-21.307251908397003</v>
          </cell>
          <cell r="F1128">
            <v>33.471374045801497</v>
          </cell>
          <cell r="G1128">
            <v>9.6637404580157522</v>
          </cell>
          <cell r="H1128">
            <v>9.6637404580157522</v>
          </cell>
          <cell r="I1128" t="e">
            <v>#N/A</v>
          </cell>
          <cell r="J1128" t="e">
            <v>#N/A</v>
          </cell>
          <cell r="K1128">
            <v>26</v>
          </cell>
          <cell r="L1128">
            <v>14.700000000000001</v>
          </cell>
          <cell r="M1128" t="e">
            <v>#N/A</v>
          </cell>
          <cell r="N1128">
            <v>21.200000000000003</v>
          </cell>
          <cell r="O1128" t="e">
            <v>#N/A</v>
          </cell>
          <cell r="P1128" t="str">
            <v/>
          </cell>
          <cell r="Q1128" t="str">
            <v/>
          </cell>
          <cell r="R1128">
            <v>19.900000000000002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-21.380725190839751</v>
          </cell>
          <cell r="F1129">
            <v>33.497137404580123</v>
          </cell>
          <cell r="G1129">
            <v>9.6463740458020126</v>
          </cell>
          <cell r="H1129">
            <v>9.6463740458020126</v>
          </cell>
          <cell r="I1129" t="e">
            <v>#N/A</v>
          </cell>
          <cell r="J1129" t="e">
            <v>#N/A</v>
          </cell>
          <cell r="K1129">
            <v>26</v>
          </cell>
          <cell r="L1129">
            <v>14.700000000000001</v>
          </cell>
          <cell r="M1129" t="e">
            <v>#N/A</v>
          </cell>
          <cell r="N1129">
            <v>21.200000000000003</v>
          </cell>
          <cell r="O1129" t="e">
            <v>#N/A</v>
          </cell>
          <cell r="P1129" t="str">
            <v/>
          </cell>
          <cell r="Q1129" t="str">
            <v/>
          </cell>
          <cell r="R1129">
            <v>19.900000000000002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-21.454198473282499</v>
          </cell>
          <cell r="F1130">
            <v>33.522900763358749</v>
          </cell>
          <cell r="G1130">
            <v>9.6290076335882731</v>
          </cell>
          <cell r="H1130">
            <v>9.6290076335882731</v>
          </cell>
          <cell r="I1130" t="e">
            <v>#N/A</v>
          </cell>
          <cell r="J1130" t="e">
            <v>#N/A</v>
          </cell>
          <cell r="K1130">
            <v>26</v>
          </cell>
          <cell r="L1130">
            <v>14.700000000000001</v>
          </cell>
          <cell r="M1130" t="e">
            <v>#N/A</v>
          </cell>
          <cell r="N1130">
            <v>21.200000000000003</v>
          </cell>
          <cell r="O1130" t="e">
            <v>#N/A</v>
          </cell>
          <cell r="P1130" t="str">
            <v/>
          </cell>
          <cell r="Q1130" t="str">
            <v/>
          </cell>
          <cell r="R1130">
            <v>19.900000000000002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-21.527671755725247</v>
          </cell>
          <cell r="F1131">
            <v>33.548664122137374</v>
          </cell>
          <cell r="G1131">
            <v>9.6116412213745335</v>
          </cell>
          <cell r="H1131">
            <v>9.6116412213745335</v>
          </cell>
          <cell r="I1131" t="e">
            <v>#N/A</v>
          </cell>
          <cell r="J1131" t="e">
            <v>#N/A</v>
          </cell>
          <cell r="K1131">
            <v>26</v>
          </cell>
          <cell r="L1131">
            <v>14.700000000000001</v>
          </cell>
          <cell r="M1131" t="e">
            <v>#N/A</v>
          </cell>
          <cell r="N1131">
            <v>21.200000000000003</v>
          </cell>
          <cell r="O1131" t="e">
            <v>#N/A</v>
          </cell>
          <cell r="P1131" t="str">
            <v/>
          </cell>
          <cell r="Q1131" t="str">
            <v/>
          </cell>
          <cell r="R1131">
            <v>19.900000000000002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-21.601145038167996</v>
          </cell>
          <cell r="F1132">
            <v>33.574427480916</v>
          </cell>
          <cell r="G1132">
            <v>9.5942748091607939</v>
          </cell>
          <cell r="H1132">
            <v>9.5942748091607939</v>
          </cell>
          <cell r="I1132" t="e">
            <v>#N/A</v>
          </cell>
          <cell r="J1132" t="e">
            <v>#N/A</v>
          </cell>
          <cell r="K1132">
            <v>26</v>
          </cell>
          <cell r="L1132">
            <v>14.700000000000001</v>
          </cell>
          <cell r="M1132" t="e">
            <v>#N/A</v>
          </cell>
          <cell r="N1132">
            <v>21.200000000000003</v>
          </cell>
          <cell r="O1132" t="e">
            <v>#N/A</v>
          </cell>
          <cell r="P1132" t="str">
            <v/>
          </cell>
          <cell r="Q1132" t="str">
            <v/>
          </cell>
          <cell r="R1132">
            <v>19.900000000000002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-21.674618320610744</v>
          </cell>
          <cell r="F1133">
            <v>33.600190839694626</v>
          </cell>
          <cell r="G1133">
            <v>9.5769083969470543</v>
          </cell>
          <cell r="H1133">
            <v>9.5769083969470543</v>
          </cell>
          <cell r="I1133" t="e">
            <v>#N/A</v>
          </cell>
          <cell r="J1133" t="e">
            <v>#N/A</v>
          </cell>
          <cell r="K1133">
            <v>26</v>
          </cell>
          <cell r="L1133">
            <v>14.700000000000001</v>
          </cell>
          <cell r="M1133" t="e">
            <v>#N/A</v>
          </cell>
          <cell r="N1133">
            <v>21.200000000000003</v>
          </cell>
          <cell r="O1133" t="e">
            <v>#N/A</v>
          </cell>
          <cell r="P1133" t="str">
            <v/>
          </cell>
          <cell r="Q1133" t="str">
            <v/>
          </cell>
          <cell r="R1133">
            <v>19.900000000000002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-21.748091603053492</v>
          </cell>
          <cell r="F1134">
            <v>33.625954198473252</v>
          </cell>
          <cell r="G1134">
            <v>9.5595419847333147</v>
          </cell>
          <cell r="H1134">
            <v>9.5595419847333147</v>
          </cell>
          <cell r="I1134" t="e">
            <v>#N/A</v>
          </cell>
          <cell r="J1134" t="e">
            <v>#N/A</v>
          </cell>
          <cell r="K1134">
            <v>26</v>
          </cell>
          <cell r="L1134">
            <v>14.700000000000001</v>
          </cell>
          <cell r="M1134" t="e">
            <v>#N/A</v>
          </cell>
          <cell r="N1134">
            <v>21.200000000000003</v>
          </cell>
          <cell r="O1134" t="e">
            <v>#N/A</v>
          </cell>
          <cell r="P1134" t="str">
            <v/>
          </cell>
          <cell r="Q1134" t="str">
            <v/>
          </cell>
          <cell r="R1134">
            <v>19.900000000000002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-21.82156488549624</v>
          </cell>
          <cell r="F1135">
            <v>33.651717557251878</v>
          </cell>
          <cell r="G1135">
            <v>9.5421755725195752</v>
          </cell>
          <cell r="H1135">
            <v>9.5421755725195752</v>
          </cell>
          <cell r="I1135" t="e">
            <v>#N/A</v>
          </cell>
          <cell r="J1135" t="e">
            <v>#N/A</v>
          </cell>
          <cell r="K1135">
            <v>26</v>
          </cell>
          <cell r="L1135">
            <v>14.700000000000001</v>
          </cell>
          <cell r="M1135" t="e">
            <v>#N/A</v>
          </cell>
          <cell r="N1135">
            <v>21.200000000000003</v>
          </cell>
          <cell r="O1135" t="e">
            <v>#N/A</v>
          </cell>
          <cell r="P1135" t="str">
            <v/>
          </cell>
          <cell r="Q1135" t="str">
            <v/>
          </cell>
          <cell r="R1135">
            <v>19.900000000000002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-21.895038167938988</v>
          </cell>
          <cell r="F1136">
            <v>33.677480916030504</v>
          </cell>
          <cell r="G1136">
            <v>9.5248091603058356</v>
          </cell>
          <cell r="H1136">
            <v>9.5248091603058356</v>
          </cell>
          <cell r="I1136" t="e">
            <v>#N/A</v>
          </cell>
          <cell r="J1136" t="e">
            <v>#N/A</v>
          </cell>
          <cell r="K1136">
            <v>26</v>
          </cell>
          <cell r="L1136">
            <v>14.700000000000001</v>
          </cell>
          <cell r="M1136" t="e">
            <v>#N/A</v>
          </cell>
          <cell r="N1136">
            <v>21.200000000000003</v>
          </cell>
          <cell r="O1136" t="e">
            <v>#N/A</v>
          </cell>
          <cell r="P1136" t="str">
            <v/>
          </cell>
          <cell r="Q1136" t="str">
            <v/>
          </cell>
          <cell r="R1136">
            <v>19.900000000000002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-21.968511450381737</v>
          </cell>
          <cell r="F1137">
            <v>33.70324427480913</v>
          </cell>
          <cell r="G1137">
            <v>9.507442748092096</v>
          </cell>
          <cell r="H1137">
            <v>9.507442748092096</v>
          </cell>
          <cell r="I1137" t="e">
            <v>#N/A</v>
          </cell>
          <cell r="J1137" t="e">
            <v>#N/A</v>
          </cell>
          <cell r="K1137">
            <v>26</v>
          </cell>
          <cell r="L1137">
            <v>14.700000000000001</v>
          </cell>
          <cell r="M1137" t="e">
            <v>#N/A</v>
          </cell>
          <cell r="N1137">
            <v>21.200000000000003</v>
          </cell>
          <cell r="O1137" t="e">
            <v>#N/A</v>
          </cell>
          <cell r="P1137" t="str">
            <v/>
          </cell>
          <cell r="Q1137" t="str">
            <v/>
          </cell>
          <cell r="R1137">
            <v>19.900000000000002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-22.041984732824485</v>
          </cell>
          <cell r="F1138">
            <v>33.729007633587756</v>
          </cell>
          <cell r="G1138">
            <v>9.4900763358783564</v>
          </cell>
          <cell r="H1138">
            <v>9.4900763358783564</v>
          </cell>
          <cell r="I1138" t="e">
            <v>#N/A</v>
          </cell>
          <cell r="J1138" t="e">
            <v>#N/A</v>
          </cell>
          <cell r="K1138">
            <v>26</v>
          </cell>
          <cell r="L1138">
            <v>14.700000000000001</v>
          </cell>
          <cell r="M1138" t="e">
            <v>#N/A</v>
          </cell>
          <cell r="N1138">
            <v>21.200000000000003</v>
          </cell>
          <cell r="O1138" t="e">
            <v>#N/A</v>
          </cell>
          <cell r="P1138" t="str">
            <v/>
          </cell>
          <cell r="Q1138" t="str">
            <v/>
          </cell>
          <cell r="R1138">
            <v>19.900000000000002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-22.115458015267233</v>
          </cell>
          <cell r="F1139">
            <v>33.754770992366382</v>
          </cell>
          <cell r="G1139">
            <v>9.4727099236646168</v>
          </cell>
          <cell r="H1139">
            <v>9.4727099236646168</v>
          </cell>
          <cell r="I1139" t="e">
            <v>#N/A</v>
          </cell>
          <cell r="J1139" t="e">
            <v>#N/A</v>
          </cell>
          <cell r="K1139">
            <v>26</v>
          </cell>
          <cell r="L1139">
            <v>14.700000000000001</v>
          </cell>
          <cell r="M1139" t="e">
            <v>#N/A</v>
          </cell>
          <cell r="N1139">
            <v>21.200000000000003</v>
          </cell>
          <cell r="O1139" t="e">
            <v>#N/A</v>
          </cell>
          <cell r="P1139" t="str">
            <v/>
          </cell>
          <cell r="Q1139" t="str">
            <v/>
          </cell>
          <cell r="R1139">
            <v>19.900000000000002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-22.188931297709981</v>
          </cell>
          <cell r="F1140">
            <v>33.780534351145008</v>
          </cell>
          <cell r="G1140">
            <v>9.4553435114508773</v>
          </cell>
          <cell r="H1140">
            <v>9.4553435114508773</v>
          </cell>
          <cell r="I1140" t="e">
            <v>#N/A</v>
          </cell>
          <cell r="J1140" t="e">
            <v>#N/A</v>
          </cell>
          <cell r="K1140">
            <v>26</v>
          </cell>
          <cell r="L1140">
            <v>14.700000000000001</v>
          </cell>
          <cell r="M1140" t="e">
            <v>#N/A</v>
          </cell>
          <cell r="N1140">
            <v>21.200000000000003</v>
          </cell>
          <cell r="O1140" t="e">
            <v>#N/A</v>
          </cell>
          <cell r="P1140" t="str">
            <v/>
          </cell>
          <cell r="Q1140" t="str">
            <v/>
          </cell>
          <cell r="R1140">
            <v>19.900000000000002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-22.262404580152729</v>
          </cell>
          <cell r="F1141">
            <v>33.806297709923633</v>
          </cell>
          <cell r="G1141">
            <v>9.4379770992371377</v>
          </cell>
          <cell r="H1141">
            <v>9.4379770992371377</v>
          </cell>
          <cell r="I1141" t="e">
            <v>#N/A</v>
          </cell>
          <cell r="J1141" t="e">
            <v>#N/A</v>
          </cell>
          <cell r="K1141">
            <v>26</v>
          </cell>
          <cell r="L1141">
            <v>14.700000000000001</v>
          </cell>
          <cell r="M1141" t="e">
            <v>#N/A</v>
          </cell>
          <cell r="N1141">
            <v>21.200000000000003</v>
          </cell>
          <cell r="O1141" t="e">
            <v>#N/A</v>
          </cell>
          <cell r="P1141" t="str">
            <v/>
          </cell>
          <cell r="Q1141" t="str">
            <v/>
          </cell>
          <cell r="R1141">
            <v>19.900000000000002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-22.335877862595478</v>
          </cell>
          <cell r="F1142">
            <v>33.832061068702259</v>
          </cell>
          <cell r="G1142">
            <v>9.4206106870233981</v>
          </cell>
          <cell r="H1142">
            <v>9.4206106870233981</v>
          </cell>
          <cell r="I1142" t="e">
            <v>#N/A</v>
          </cell>
          <cell r="J1142" t="e">
            <v>#N/A</v>
          </cell>
          <cell r="K1142">
            <v>26</v>
          </cell>
          <cell r="L1142">
            <v>14.700000000000001</v>
          </cell>
          <cell r="M1142" t="e">
            <v>#N/A</v>
          </cell>
          <cell r="N1142">
            <v>21.200000000000003</v>
          </cell>
          <cell r="O1142" t="e">
            <v>#N/A</v>
          </cell>
          <cell r="P1142" t="str">
            <v/>
          </cell>
          <cell r="Q1142" t="str">
            <v/>
          </cell>
          <cell r="R1142">
            <v>19.900000000000002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-22.409351145038226</v>
          </cell>
          <cell r="F1143">
            <v>33.857824427480885</v>
          </cell>
          <cell r="G1143">
            <v>9.4032442748096585</v>
          </cell>
          <cell r="H1143">
            <v>9.4032442748096585</v>
          </cell>
          <cell r="I1143" t="e">
            <v>#N/A</v>
          </cell>
          <cell r="J1143" t="e">
            <v>#N/A</v>
          </cell>
          <cell r="K1143">
            <v>26</v>
          </cell>
          <cell r="L1143">
            <v>14.700000000000001</v>
          </cell>
          <cell r="M1143" t="e">
            <v>#N/A</v>
          </cell>
          <cell r="N1143">
            <v>21.200000000000003</v>
          </cell>
          <cell r="O1143" t="e">
            <v>#N/A</v>
          </cell>
          <cell r="P1143" t="str">
            <v/>
          </cell>
          <cell r="Q1143" t="str">
            <v/>
          </cell>
          <cell r="R1143">
            <v>19.900000000000002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-22.482824427480974</v>
          </cell>
          <cell r="F1144">
            <v>33.883587786259511</v>
          </cell>
          <cell r="G1144">
            <v>9.3858778625959189</v>
          </cell>
          <cell r="H1144">
            <v>9.3858778625959189</v>
          </cell>
          <cell r="I1144" t="e">
            <v>#N/A</v>
          </cell>
          <cell r="J1144" t="e">
            <v>#N/A</v>
          </cell>
          <cell r="K1144">
            <v>26</v>
          </cell>
          <cell r="L1144">
            <v>14.700000000000001</v>
          </cell>
          <cell r="M1144" t="e">
            <v>#N/A</v>
          </cell>
          <cell r="N1144">
            <v>21.200000000000003</v>
          </cell>
          <cell r="O1144" t="e">
            <v>#N/A</v>
          </cell>
          <cell r="P1144" t="str">
            <v/>
          </cell>
          <cell r="Q1144" t="str">
            <v/>
          </cell>
          <cell r="R1144">
            <v>19.900000000000002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-22.556297709923722</v>
          </cell>
          <cell r="F1145">
            <v>33.909351145038137</v>
          </cell>
          <cell r="G1145">
            <v>9.3685114503821794</v>
          </cell>
          <cell r="H1145">
            <v>9.3685114503821794</v>
          </cell>
          <cell r="I1145" t="e">
            <v>#N/A</v>
          </cell>
          <cell r="J1145" t="e">
            <v>#N/A</v>
          </cell>
          <cell r="K1145">
            <v>26</v>
          </cell>
          <cell r="L1145">
            <v>14.700000000000001</v>
          </cell>
          <cell r="M1145" t="e">
            <v>#N/A</v>
          </cell>
          <cell r="N1145">
            <v>21.200000000000003</v>
          </cell>
          <cell r="O1145" t="e">
            <v>#N/A</v>
          </cell>
          <cell r="P1145" t="str">
            <v/>
          </cell>
          <cell r="Q1145" t="str">
            <v/>
          </cell>
          <cell r="R1145">
            <v>19.900000000000002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-22.62977099236647</v>
          </cell>
          <cell r="F1146">
            <v>33.935114503816763</v>
          </cell>
          <cell r="G1146">
            <v>9.3511450381684398</v>
          </cell>
          <cell r="H1146">
            <v>9.3511450381684398</v>
          </cell>
          <cell r="I1146" t="e">
            <v>#N/A</v>
          </cell>
          <cell r="J1146" t="e">
            <v>#N/A</v>
          </cell>
          <cell r="K1146">
            <v>26</v>
          </cell>
          <cell r="L1146">
            <v>14.700000000000001</v>
          </cell>
          <cell r="M1146" t="e">
            <v>#N/A</v>
          </cell>
          <cell r="N1146">
            <v>21.200000000000003</v>
          </cell>
          <cell r="O1146" t="e">
            <v>#N/A</v>
          </cell>
          <cell r="P1146" t="str">
            <v/>
          </cell>
          <cell r="Q1146" t="str">
            <v/>
          </cell>
          <cell r="R1146">
            <v>19.900000000000002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-22.703244274809219</v>
          </cell>
          <cell r="F1147">
            <v>33.960877862595389</v>
          </cell>
          <cell r="G1147">
            <v>9.3337786259547002</v>
          </cell>
          <cell r="H1147">
            <v>9.3337786259547002</v>
          </cell>
          <cell r="I1147" t="e">
            <v>#N/A</v>
          </cell>
          <cell r="J1147" t="e">
            <v>#N/A</v>
          </cell>
          <cell r="K1147">
            <v>26</v>
          </cell>
          <cell r="L1147">
            <v>14.700000000000001</v>
          </cell>
          <cell r="M1147" t="e">
            <v>#N/A</v>
          </cell>
          <cell r="N1147">
            <v>21.200000000000003</v>
          </cell>
          <cell r="O1147" t="e">
            <v>#N/A</v>
          </cell>
          <cell r="P1147" t="str">
            <v/>
          </cell>
          <cell r="Q1147" t="str">
            <v/>
          </cell>
          <cell r="R1147">
            <v>19.900000000000002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-22.776717557251967</v>
          </cell>
          <cell r="F1148">
            <v>33.986641221374015</v>
          </cell>
          <cell r="G1148">
            <v>9.3164122137409606</v>
          </cell>
          <cell r="H1148">
            <v>9.3164122137409606</v>
          </cell>
          <cell r="I1148" t="e">
            <v>#N/A</v>
          </cell>
          <cell r="J1148" t="e">
            <v>#N/A</v>
          </cell>
          <cell r="K1148">
            <v>26</v>
          </cell>
          <cell r="L1148">
            <v>14.700000000000001</v>
          </cell>
          <cell r="M1148" t="e">
            <v>#N/A</v>
          </cell>
          <cell r="N1148">
            <v>21.200000000000003</v>
          </cell>
          <cell r="O1148" t="e">
            <v>#N/A</v>
          </cell>
          <cell r="P1148" t="str">
            <v/>
          </cell>
          <cell r="Q1148" t="str">
            <v/>
          </cell>
          <cell r="R1148">
            <v>19.900000000000002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-22.850190839694715</v>
          </cell>
          <cell r="F1149">
            <v>34.012404580152641</v>
          </cell>
          <cell r="G1149">
            <v>9.299045801527221</v>
          </cell>
          <cell r="H1149">
            <v>9.299045801527221</v>
          </cell>
          <cell r="I1149" t="e">
            <v>#N/A</v>
          </cell>
          <cell r="J1149" t="e">
            <v>#N/A</v>
          </cell>
          <cell r="K1149">
            <v>26</v>
          </cell>
          <cell r="L1149">
            <v>14.700000000000001</v>
          </cell>
          <cell r="M1149" t="e">
            <v>#N/A</v>
          </cell>
          <cell r="N1149">
            <v>21.200000000000003</v>
          </cell>
          <cell r="O1149" t="e">
            <v>#N/A</v>
          </cell>
          <cell r="P1149" t="str">
            <v/>
          </cell>
          <cell r="Q1149" t="str">
            <v/>
          </cell>
          <cell r="R1149">
            <v>19.900000000000002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-22.923664122137463</v>
          </cell>
          <cell r="F1150">
            <v>34.038167938931267</v>
          </cell>
          <cell r="G1150">
            <v>9.2816793893134815</v>
          </cell>
          <cell r="H1150">
            <v>9.2816793893134815</v>
          </cell>
          <cell r="I1150" t="e">
            <v>#N/A</v>
          </cell>
          <cell r="J1150" t="e">
            <v>#N/A</v>
          </cell>
          <cell r="K1150">
            <v>26</v>
          </cell>
          <cell r="L1150">
            <v>14.700000000000001</v>
          </cell>
          <cell r="M1150" t="e">
            <v>#N/A</v>
          </cell>
          <cell r="N1150">
            <v>21.200000000000003</v>
          </cell>
          <cell r="O1150" t="e">
            <v>#N/A</v>
          </cell>
          <cell r="P1150" t="str">
            <v/>
          </cell>
          <cell r="Q1150" t="str">
            <v/>
          </cell>
          <cell r="R1150">
            <v>19.900000000000002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-22.997137404580211</v>
          </cell>
          <cell r="F1151">
            <v>34.063931297709892</v>
          </cell>
          <cell r="G1151">
            <v>9.2643129770997419</v>
          </cell>
          <cell r="H1151">
            <v>9.2643129770997419</v>
          </cell>
          <cell r="I1151" t="e">
            <v>#N/A</v>
          </cell>
          <cell r="J1151" t="e">
            <v>#N/A</v>
          </cell>
          <cell r="K1151">
            <v>26</v>
          </cell>
          <cell r="L1151">
            <v>14.700000000000001</v>
          </cell>
          <cell r="M1151" t="e">
            <v>#N/A</v>
          </cell>
          <cell r="N1151">
            <v>21.200000000000003</v>
          </cell>
          <cell r="O1151" t="e">
            <v>#N/A</v>
          </cell>
          <cell r="P1151" t="str">
            <v/>
          </cell>
          <cell r="Q1151" t="str">
            <v/>
          </cell>
          <cell r="R1151">
            <v>19.900000000000002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-23.07061068702296</v>
          </cell>
          <cell r="F1152">
            <v>34.089694656488518</v>
          </cell>
          <cell r="G1152">
            <v>9.2469465648860023</v>
          </cell>
          <cell r="H1152">
            <v>9.2469465648860023</v>
          </cell>
          <cell r="I1152" t="e">
            <v>#N/A</v>
          </cell>
          <cell r="J1152" t="e">
            <v>#N/A</v>
          </cell>
          <cell r="K1152">
            <v>26</v>
          </cell>
          <cell r="L1152">
            <v>14.700000000000001</v>
          </cell>
          <cell r="M1152" t="e">
            <v>#N/A</v>
          </cell>
          <cell r="N1152">
            <v>21.200000000000003</v>
          </cell>
          <cell r="O1152" t="e">
            <v>#N/A</v>
          </cell>
          <cell r="P1152" t="str">
            <v/>
          </cell>
          <cell r="Q1152" t="str">
            <v/>
          </cell>
          <cell r="R1152">
            <v>19.900000000000002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-23.144083969465708</v>
          </cell>
          <cell r="F1153">
            <v>34.115458015267144</v>
          </cell>
          <cell r="G1153">
            <v>9.2295801526722627</v>
          </cell>
          <cell r="H1153">
            <v>9.2295801526722627</v>
          </cell>
          <cell r="I1153" t="e">
            <v>#N/A</v>
          </cell>
          <cell r="J1153" t="e">
            <v>#N/A</v>
          </cell>
          <cell r="K1153">
            <v>26</v>
          </cell>
          <cell r="L1153">
            <v>14.700000000000001</v>
          </cell>
          <cell r="M1153" t="e">
            <v>#N/A</v>
          </cell>
          <cell r="N1153">
            <v>21.200000000000003</v>
          </cell>
          <cell r="O1153" t="e">
            <v>#N/A</v>
          </cell>
          <cell r="P1153" t="str">
            <v/>
          </cell>
          <cell r="Q1153" t="str">
            <v/>
          </cell>
          <cell r="R1153">
            <v>19.900000000000002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-23.217557251908456</v>
          </cell>
          <cell r="F1154">
            <v>34.14122137404577</v>
          </cell>
          <cell r="G1154">
            <v>9.2122137404585231</v>
          </cell>
          <cell r="H1154">
            <v>9.2122137404585231</v>
          </cell>
          <cell r="I1154" t="e">
            <v>#N/A</v>
          </cell>
          <cell r="J1154" t="e">
            <v>#N/A</v>
          </cell>
          <cell r="K1154">
            <v>26</v>
          </cell>
          <cell r="L1154">
            <v>14.700000000000001</v>
          </cell>
          <cell r="M1154" t="e">
            <v>#N/A</v>
          </cell>
          <cell r="N1154">
            <v>21.200000000000003</v>
          </cell>
          <cell r="O1154" t="e">
            <v>#N/A</v>
          </cell>
          <cell r="P1154" t="str">
            <v/>
          </cell>
          <cell r="Q1154" t="str">
            <v/>
          </cell>
          <cell r="R1154">
            <v>19.900000000000002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-23.291030534351204</v>
          </cell>
          <cell r="F1155">
            <v>34.166984732824396</v>
          </cell>
          <cell r="G1155">
            <v>9.1948473282447836</v>
          </cell>
          <cell r="H1155">
            <v>9.1948473282447836</v>
          </cell>
          <cell r="I1155" t="e">
            <v>#N/A</v>
          </cell>
          <cell r="J1155" t="e">
            <v>#N/A</v>
          </cell>
          <cell r="K1155">
            <v>26</v>
          </cell>
          <cell r="L1155">
            <v>14.700000000000001</v>
          </cell>
          <cell r="M1155" t="e">
            <v>#N/A</v>
          </cell>
          <cell r="N1155">
            <v>21.200000000000003</v>
          </cell>
          <cell r="O1155" t="e">
            <v>#N/A</v>
          </cell>
          <cell r="P1155" t="str">
            <v/>
          </cell>
          <cell r="Q1155" t="str">
            <v/>
          </cell>
          <cell r="R1155">
            <v>19.900000000000002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-23.364503816793952</v>
          </cell>
          <cell r="F1156">
            <v>34.192748091603022</v>
          </cell>
          <cell r="G1156">
            <v>9.177480916031044</v>
          </cell>
          <cell r="H1156">
            <v>9.177480916031044</v>
          </cell>
          <cell r="I1156" t="e">
            <v>#N/A</v>
          </cell>
          <cell r="J1156" t="e">
            <v>#N/A</v>
          </cell>
          <cell r="K1156">
            <v>26</v>
          </cell>
          <cell r="L1156">
            <v>14.700000000000001</v>
          </cell>
          <cell r="M1156" t="e">
            <v>#N/A</v>
          </cell>
          <cell r="N1156">
            <v>21.200000000000003</v>
          </cell>
          <cell r="O1156" t="e">
            <v>#N/A</v>
          </cell>
          <cell r="P1156" t="str">
            <v/>
          </cell>
          <cell r="Q1156" t="str">
            <v/>
          </cell>
          <cell r="R1156">
            <v>19.900000000000002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-23.437977099236701</v>
          </cell>
          <cell r="F1157">
            <v>34.218511450381648</v>
          </cell>
          <cell r="G1157">
            <v>9.1601145038173044</v>
          </cell>
          <cell r="H1157">
            <v>9.1601145038173044</v>
          </cell>
          <cell r="I1157" t="e">
            <v>#N/A</v>
          </cell>
          <cell r="J1157" t="e">
            <v>#N/A</v>
          </cell>
          <cell r="K1157">
            <v>26</v>
          </cell>
          <cell r="L1157">
            <v>14.700000000000001</v>
          </cell>
          <cell r="M1157" t="e">
            <v>#N/A</v>
          </cell>
          <cell r="N1157">
            <v>21.200000000000003</v>
          </cell>
          <cell r="O1157" t="e">
            <v>#N/A</v>
          </cell>
          <cell r="P1157" t="str">
            <v/>
          </cell>
          <cell r="Q1157" t="str">
            <v/>
          </cell>
          <cell r="R1157">
            <v>19.900000000000002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-23.511450381679449</v>
          </cell>
          <cell r="F1158">
            <v>34.244274809160274</v>
          </cell>
          <cell r="G1158">
            <v>9.1427480916035648</v>
          </cell>
          <cell r="H1158">
            <v>9.1427480916035648</v>
          </cell>
          <cell r="I1158" t="e">
            <v>#N/A</v>
          </cell>
          <cell r="J1158" t="e">
            <v>#N/A</v>
          </cell>
          <cell r="K1158">
            <v>26</v>
          </cell>
          <cell r="L1158">
            <v>14.700000000000001</v>
          </cell>
          <cell r="M1158" t="e">
            <v>#N/A</v>
          </cell>
          <cell r="N1158">
            <v>21.200000000000003</v>
          </cell>
          <cell r="O1158" t="e">
            <v>#N/A</v>
          </cell>
          <cell r="P1158" t="str">
            <v/>
          </cell>
          <cell r="Q1158" t="str">
            <v/>
          </cell>
          <cell r="R1158">
            <v>19.900000000000002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-23.584923664122197</v>
          </cell>
          <cell r="F1159">
            <v>34.2700381679389</v>
          </cell>
          <cell r="G1159">
            <v>9.1253816793898253</v>
          </cell>
          <cell r="H1159">
            <v>9.1253816793898253</v>
          </cell>
          <cell r="I1159" t="e">
            <v>#N/A</v>
          </cell>
          <cell r="J1159" t="e">
            <v>#N/A</v>
          </cell>
          <cell r="K1159">
            <v>26</v>
          </cell>
          <cell r="L1159">
            <v>14.700000000000001</v>
          </cell>
          <cell r="M1159" t="e">
            <v>#N/A</v>
          </cell>
          <cell r="N1159">
            <v>21.200000000000003</v>
          </cell>
          <cell r="O1159" t="e">
            <v>#N/A</v>
          </cell>
          <cell r="P1159" t="str">
            <v/>
          </cell>
          <cell r="Q1159" t="str">
            <v/>
          </cell>
          <cell r="R1159">
            <v>19.900000000000002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-23.658396946564945</v>
          </cell>
          <cell r="F1160">
            <v>34.295801526717526</v>
          </cell>
          <cell r="G1160">
            <v>9.1080152671760857</v>
          </cell>
          <cell r="H1160">
            <v>9.1080152671760857</v>
          </cell>
          <cell r="I1160" t="e">
            <v>#N/A</v>
          </cell>
          <cell r="J1160" t="e">
            <v>#N/A</v>
          </cell>
          <cell r="K1160">
            <v>26</v>
          </cell>
          <cell r="L1160">
            <v>14.700000000000001</v>
          </cell>
          <cell r="M1160" t="e">
            <v>#N/A</v>
          </cell>
          <cell r="N1160">
            <v>21.200000000000003</v>
          </cell>
          <cell r="O1160" t="e">
            <v>#N/A</v>
          </cell>
          <cell r="P1160" t="str">
            <v/>
          </cell>
          <cell r="Q1160" t="str">
            <v/>
          </cell>
          <cell r="R1160">
            <v>19.900000000000002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-23.731870229007693</v>
          </cell>
          <cell r="F1161">
            <v>34.321564885496151</v>
          </cell>
          <cell r="G1161">
            <v>9.0906488549623461</v>
          </cell>
          <cell r="H1161">
            <v>9.0906488549623461</v>
          </cell>
          <cell r="I1161" t="e">
            <v>#N/A</v>
          </cell>
          <cell r="J1161" t="e">
            <v>#N/A</v>
          </cell>
          <cell r="K1161">
            <v>26</v>
          </cell>
          <cell r="L1161">
            <v>14.700000000000001</v>
          </cell>
          <cell r="M1161" t="e">
            <v>#N/A</v>
          </cell>
          <cell r="N1161">
            <v>21.200000000000003</v>
          </cell>
          <cell r="O1161" t="e">
            <v>#N/A</v>
          </cell>
          <cell r="P1161" t="str">
            <v/>
          </cell>
          <cell r="Q1161" t="str">
            <v/>
          </cell>
          <cell r="R1161">
            <v>19.900000000000002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-23.805343511450442</v>
          </cell>
          <cell r="F1162">
            <v>34.347328244274777</v>
          </cell>
          <cell r="G1162">
            <v>9.0732824427486065</v>
          </cell>
          <cell r="H1162">
            <v>9.0732824427486065</v>
          </cell>
          <cell r="I1162" t="e">
            <v>#N/A</v>
          </cell>
          <cell r="J1162" t="e">
            <v>#N/A</v>
          </cell>
          <cell r="K1162">
            <v>26</v>
          </cell>
          <cell r="L1162">
            <v>14.700000000000001</v>
          </cell>
          <cell r="M1162" t="e">
            <v>#N/A</v>
          </cell>
          <cell r="N1162">
            <v>21.200000000000003</v>
          </cell>
          <cell r="O1162" t="e">
            <v>#N/A</v>
          </cell>
          <cell r="P1162" t="str">
            <v/>
          </cell>
          <cell r="Q1162" t="str">
            <v/>
          </cell>
          <cell r="R1162">
            <v>19.900000000000002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-23.87881679389319</v>
          </cell>
          <cell r="F1163">
            <v>34.373091603053403</v>
          </cell>
          <cell r="G1163">
            <v>9.0559160305348669</v>
          </cell>
          <cell r="H1163">
            <v>9.0559160305348669</v>
          </cell>
          <cell r="I1163" t="e">
            <v>#N/A</v>
          </cell>
          <cell r="J1163" t="e">
            <v>#N/A</v>
          </cell>
          <cell r="K1163">
            <v>26</v>
          </cell>
          <cell r="L1163">
            <v>14.700000000000001</v>
          </cell>
          <cell r="M1163" t="e">
            <v>#N/A</v>
          </cell>
          <cell r="N1163">
            <v>21.200000000000003</v>
          </cell>
          <cell r="O1163" t="e">
            <v>#N/A</v>
          </cell>
          <cell r="P1163" t="str">
            <v/>
          </cell>
          <cell r="Q1163" t="str">
            <v/>
          </cell>
          <cell r="R1163">
            <v>19.900000000000002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-23.952290076335938</v>
          </cell>
          <cell r="F1164">
            <v>34.398854961832029</v>
          </cell>
          <cell r="G1164">
            <v>9.0385496183211274</v>
          </cell>
          <cell r="H1164">
            <v>9.0385496183211274</v>
          </cell>
          <cell r="I1164" t="e">
            <v>#N/A</v>
          </cell>
          <cell r="J1164" t="e">
            <v>#N/A</v>
          </cell>
          <cell r="K1164">
            <v>26</v>
          </cell>
          <cell r="L1164">
            <v>14.700000000000001</v>
          </cell>
          <cell r="M1164" t="e">
            <v>#N/A</v>
          </cell>
          <cell r="N1164">
            <v>21.200000000000003</v>
          </cell>
          <cell r="O1164" t="e">
            <v>#N/A</v>
          </cell>
          <cell r="P1164" t="str">
            <v/>
          </cell>
          <cell r="Q1164" t="str">
            <v/>
          </cell>
          <cell r="R1164">
            <v>19.900000000000002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-24.025763358778686</v>
          </cell>
          <cell r="F1165">
            <v>34.424618320610655</v>
          </cell>
          <cell r="G1165">
            <v>9.0211832061073878</v>
          </cell>
          <cell r="H1165">
            <v>9.0211832061073878</v>
          </cell>
          <cell r="I1165" t="e">
            <v>#N/A</v>
          </cell>
          <cell r="J1165" t="e">
            <v>#N/A</v>
          </cell>
          <cell r="K1165">
            <v>26</v>
          </cell>
          <cell r="L1165">
            <v>14.700000000000001</v>
          </cell>
          <cell r="M1165" t="e">
            <v>#N/A</v>
          </cell>
          <cell r="N1165">
            <v>21.200000000000003</v>
          </cell>
          <cell r="O1165" t="e">
            <v>#N/A</v>
          </cell>
          <cell r="P1165" t="str">
            <v/>
          </cell>
          <cell r="Q1165" t="str">
            <v/>
          </cell>
          <cell r="R1165">
            <v>19.900000000000002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-24.099236641221434</v>
          </cell>
          <cell r="F1166">
            <v>34.450381679389281</v>
          </cell>
          <cell r="G1166">
            <v>9.0038167938936482</v>
          </cell>
          <cell r="H1166">
            <v>9.0038167938936482</v>
          </cell>
          <cell r="I1166" t="e">
            <v>#N/A</v>
          </cell>
          <cell r="J1166" t="e">
            <v>#N/A</v>
          </cell>
          <cell r="K1166">
            <v>26</v>
          </cell>
          <cell r="L1166">
            <v>14.700000000000001</v>
          </cell>
          <cell r="M1166" t="e">
            <v>#N/A</v>
          </cell>
          <cell r="N1166">
            <v>21.200000000000003</v>
          </cell>
          <cell r="O1166" t="e">
            <v>#N/A</v>
          </cell>
          <cell r="P1166" t="str">
            <v/>
          </cell>
          <cell r="Q1166" t="str">
            <v/>
          </cell>
          <cell r="R1166">
            <v>19.900000000000002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-24.172709923664183</v>
          </cell>
          <cell r="F1167">
            <v>34.476145038167907</v>
          </cell>
          <cell r="G1167">
            <v>8.9864503816799086</v>
          </cell>
          <cell r="H1167">
            <v>8.9864503816799086</v>
          </cell>
          <cell r="I1167" t="e">
            <v>#N/A</v>
          </cell>
          <cell r="J1167" t="e">
            <v>#N/A</v>
          </cell>
          <cell r="K1167">
            <v>26</v>
          </cell>
          <cell r="L1167">
            <v>14.700000000000001</v>
          </cell>
          <cell r="M1167" t="e">
            <v>#N/A</v>
          </cell>
          <cell r="N1167">
            <v>21.200000000000003</v>
          </cell>
          <cell r="O1167" t="e">
            <v>#N/A</v>
          </cell>
          <cell r="P1167" t="str">
            <v/>
          </cell>
          <cell r="Q1167" t="str">
            <v/>
          </cell>
          <cell r="R1167">
            <v>19.900000000000002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-24.246183206106931</v>
          </cell>
          <cell r="F1168">
            <v>34.501908396946533</v>
          </cell>
          <cell r="G1168">
            <v>8.969083969466169</v>
          </cell>
          <cell r="H1168">
            <v>8.969083969466169</v>
          </cell>
          <cell r="I1168" t="e">
            <v>#N/A</v>
          </cell>
          <cell r="J1168" t="e">
            <v>#N/A</v>
          </cell>
          <cell r="K1168">
            <v>26</v>
          </cell>
          <cell r="L1168">
            <v>14.700000000000001</v>
          </cell>
          <cell r="M1168" t="e">
            <v>#N/A</v>
          </cell>
          <cell r="N1168">
            <v>21.200000000000003</v>
          </cell>
          <cell r="O1168" t="e">
            <v>#N/A</v>
          </cell>
          <cell r="P1168" t="str">
            <v/>
          </cell>
          <cell r="Q1168" t="str">
            <v/>
          </cell>
          <cell r="R1168">
            <v>19.900000000000002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-24.319656488549679</v>
          </cell>
          <cell r="F1169">
            <v>34.527671755725159</v>
          </cell>
          <cell r="G1169">
            <v>8.9517175572524295</v>
          </cell>
          <cell r="H1169">
            <v>8.9517175572524295</v>
          </cell>
          <cell r="I1169" t="e">
            <v>#N/A</v>
          </cell>
          <cell r="J1169" t="e">
            <v>#N/A</v>
          </cell>
          <cell r="K1169">
            <v>26</v>
          </cell>
          <cell r="L1169">
            <v>14.700000000000001</v>
          </cell>
          <cell r="M1169" t="e">
            <v>#N/A</v>
          </cell>
          <cell r="N1169">
            <v>21.200000000000003</v>
          </cell>
          <cell r="O1169" t="e">
            <v>#N/A</v>
          </cell>
          <cell r="P1169" t="str">
            <v/>
          </cell>
          <cell r="Q1169" t="str">
            <v/>
          </cell>
          <cell r="R1169">
            <v>19.900000000000002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-24.393129770992427</v>
          </cell>
          <cell r="F1170">
            <v>34.553435114503785</v>
          </cell>
          <cell r="G1170">
            <v>8.9343511450386899</v>
          </cell>
          <cell r="H1170">
            <v>8.9343511450386899</v>
          </cell>
          <cell r="I1170" t="e">
            <v>#N/A</v>
          </cell>
          <cell r="J1170" t="e">
            <v>#N/A</v>
          </cell>
          <cell r="K1170">
            <v>26</v>
          </cell>
          <cell r="L1170">
            <v>14.700000000000001</v>
          </cell>
          <cell r="M1170" t="e">
            <v>#N/A</v>
          </cell>
          <cell r="N1170">
            <v>21.200000000000003</v>
          </cell>
          <cell r="O1170" t="e">
            <v>#N/A</v>
          </cell>
          <cell r="P1170" t="str">
            <v/>
          </cell>
          <cell r="Q1170" t="str">
            <v/>
          </cell>
          <cell r="R1170">
            <v>19.900000000000002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-24.466603053435175</v>
          </cell>
          <cell r="F1171">
            <v>34.57919847328241</v>
          </cell>
          <cell r="G1171">
            <v>8.9169847328249503</v>
          </cell>
          <cell r="H1171">
            <v>8.9169847328249503</v>
          </cell>
          <cell r="I1171" t="e">
            <v>#N/A</v>
          </cell>
          <cell r="J1171" t="e">
            <v>#N/A</v>
          </cell>
          <cell r="K1171">
            <v>26</v>
          </cell>
          <cell r="L1171">
            <v>14.700000000000001</v>
          </cell>
          <cell r="M1171" t="e">
            <v>#N/A</v>
          </cell>
          <cell r="N1171">
            <v>21.200000000000003</v>
          </cell>
          <cell r="O1171" t="e">
            <v>#N/A</v>
          </cell>
          <cell r="P1171" t="str">
            <v/>
          </cell>
          <cell r="Q1171" t="str">
            <v/>
          </cell>
          <cell r="R1171">
            <v>19.900000000000002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-24.540076335877924</v>
          </cell>
          <cell r="F1172">
            <v>34.604961832061036</v>
          </cell>
          <cell r="G1172">
            <v>8.8996183206112107</v>
          </cell>
          <cell r="H1172">
            <v>8.8996183206112107</v>
          </cell>
          <cell r="I1172" t="e">
            <v>#N/A</v>
          </cell>
          <cell r="J1172" t="e">
            <v>#N/A</v>
          </cell>
          <cell r="K1172">
            <v>26</v>
          </cell>
          <cell r="L1172">
            <v>14.700000000000001</v>
          </cell>
          <cell r="M1172" t="e">
            <v>#N/A</v>
          </cell>
          <cell r="N1172">
            <v>21.200000000000003</v>
          </cell>
          <cell r="O1172" t="e">
            <v>#N/A</v>
          </cell>
          <cell r="P1172" t="str">
            <v/>
          </cell>
          <cell r="Q1172" t="str">
            <v/>
          </cell>
          <cell r="R1172">
            <v>19.900000000000002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-24.613549618320672</v>
          </cell>
          <cell r="F1173">
            <v>34.630725190839662</v>
          </cell>
          <cell r="G1173">
            <v>8.8822519083974711</v>
          </cell>
          <cell r="H1173">
            <v>8.8822519083974711</v>
          </cell>
          <cell r="I1173" t="e">
            <v>#N/A</v>
          </cell>
          <cell r="J1173" t="e">
            <v>#N/A</v>
          </cell>
          <cell r="K1173">
            <v>26</v>
          </cell>
          <cell r="L1173">
            <v>14.700000000000001</v>
          </cell>
          <cell r="M1173" t="e">
            <v>#N/A</v>
          </cell>
          <cell r="N1173">
            <v>21.200000000000003</v>
          </cell>
          <cell r="O1173" t="e">
            <v>#N/A</v>
          </cell>
          <cell r="P1173" t="str">
            <v/>
          </cell>
          <cell r="Q1173" t="str">
            <v/>
          </cell>
          <cell r="R1173">
            <v>19.900000000000002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-24.68702290076342</v>
          </cell>
          <cell r="F1174">
            <v>34.656488549618288</v>
          </cell>
          <cell r="G1174">
            <v>8.8648854961837316</v>
          </cell>
          <cell r="H1174">
            <v>8.8648854961837316</v>
          </cell>
          <cell r="I1174" t="e">
            <v>#N/A</v>
          </cell>
          <cell r="J1174" t="e">
            <v>#N/A</v>
          </cell>
          <cell r="K1174">
            <v>26</v>
          </cell>
          <cell r="L1174">
            <v>14.700000000000001</v>
          </cell>
          <cell r="M1174" t="e">
            <v>#N/A</v>
          </cell>
          <cell r="N1174">
            <v>21.200000000000003</v>
          </cell>
          <cell r="O1174" t="e">
            <v>#N/A</v>
          </cell>
          <cell r="P1174" t="str">
            <v/>
          </cell>
          <cell r="Q1174" t="str">
            <v/>
          </cell>
          <cell r="R1174">
            <v>19.900000000000002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-24.760496183206168</v>
          </cell>
          <cell r="F1175">
            <v>34.682251908396914</v>
          </cell>
          <cell r="G1175">
            <v>8.847519083969992</v>
          </cell>
          <cell r="H1175">
            <v>8.847519083969992</v>
          </cell>
          <cell r="I1175" t="e">
            <v>#N/A</v>
          </cell>
          <cell r="J1175" t="e">
            <v>#N/A</v>
          </cell>
          <cell r="K1175">
            <v>26</v>
          </cell>
          <cell r="L1175">
            <v>14.700000000000001</v>
          </cell>
          <cell r="M1175" t="e">
            <v>#N/A</v>
          </cell>
          <cell r="N1175">
            <v>21.200000000000003</v>
          </cell>
          <cell r="O1175" t="e">
            <v>#N/A</v>
          </cell>
          <cell r="P1175" t="str">
            <v/>
          </cell>
          <cell r="Q1175" t="str">
            <v/>
          </cell>
          <cell r="R1175">
            <v>19.900000000000002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-24.833969465648916</v>
          </cell>
          <cell r="F1176">
            <v>34.70801526717554</v>
          </cell>
          <cell r="G1176">
            <v>8.8301526717562524</v>
          </cell>
          <cell r="H1176">
            <v>8.8301526717562524</v>
          </cell>
          <cell r="I1176" t="e">
            <v>#N/A</v>
          </cell>
          <cell r="J1176" t="e">
            <v>#N/A</v>
          </cell>
          <cell r="K1176">
            <v>26</v>
          </cell>
          <cell r="L1176">
            <v>14.700000000000001</v>
          </cell>
          <cell r="M1176" t="e">
            <v>#N/A</v>
          </cell>
          <cell r="N1176">
            <v>21.200000000000003</v>
          </cell>
          <cell r="O1176" t="e">
            <v>#N/A</v>
          </cell>
          <cell r="P1176" t="str">
            <v/>
          </cell>
          <cell r="Q1176" t="str">
            <v/>
          </cell>
          <cell r="R1176">
            <v>19.900000000000002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-24.907442748091665</v>
          </cell>
          <cell r="F1177">
            <v>34.733778625954166</v>
          </cell>
          <cell r="G1177">
            <v>8.8127862595425128</v>
          </cell>
          <cell r="H1177">
            <v>8.8127862595425128</v>
          </cell>
          <cell r="I1177" t="e">
            <v>#N/A</v>
          </cell>
          <cell r="J1177" t="e">
            <v>#N/A</v>
          </cell>
          <cell r="K1177">
            <v>26</v>
          </cell>
          <cell r="L1177">
            <v>14.700000000000001</v>
          </cell>
          <cell r="M1177" t="e">
            <v>#N/A</v>
          </cell>
          <cell r="N1177">
            <v>21.200000000000003</v>
          </cell>
          <cell r="O1177" t="e">
            <v>#N/A</v>
          </cell>
          <cell r="P1177" t="str">
            <v/>
          </cell>
          <cell r="Q1177" t="str">
            <v/>
          </cell>
          <cell r="R1177">
            <v>19.900000000000002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-24.980916030534413</v>
          </cell>
          <cell r="F1178">
            <v>34.759541984732792</v>
          </cell>
          <cell r="G1178">
            <v>8.7954198473287732</v>
          </cell>
          <cell r="H1178">
            <v>8.7954198473287732</v>
          </cell>
          <cell r="I1178" t="e">
            <v>#N/A</v>
          </cell>
          <cell r="J1178" t="e">
            <v>#N/A</v>
          </cell>
          <cell r="K1178">
            <v>26</v>
          </cell>
          <cell r="L1178">
            <v>14.700000000000001</v>
          </cell>
          <cell r="M1178" t="e">
            <v>#N/A</v>
          </cell>
          <cell r="N1178">
            <v>21.200000000000003</v>
          </cell>
          <cell r="O1178" t="e">
            <v>#N/A</v>
          </cell>
          <cell r="P1178" t="str">
            <v/>
          </cell>
          <cell r="Q1178" t="str">
            <v/>
          </cell>
          <cell r="R1178">
            <v>19.900000000000002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-25.054389312977161</v>
          </cell>
          <cell r="F1179">
            <v>34.785305343511418</v>
          </cell>
          <cell r="G1179">
            <v>8.7780534351150337</v>
          </cell>
          <cell r="H1179">
            <v>8.7780534351150337</v>
          </cell>
          <cell r="I1179" t="e">
            <v>#N/A</v>
          </cell>
          <cell r="J1179" t="e">
            <v>#N/A</v>
          </cell>
          <cell r="K1179">
            <v>26</v>
          </cell>
          <cell r="L1179">
            <v>14.700000000000001</v>
          </cell>
          <cell r="M1179" t="e">
            <v>#N/A</v>
          </cell>
          <cell r="N1179">
            <v>21.200000000000003</v>
          </cell>
          <cell r="O1179" t="e">
            <v>#N/A</v>
          </cell>
          <cell r="P1179" t="str">
            <v/>
          </cell>
          <cell r="Q1179" t="str">
            <v/>
          </cell>
          <cell r="R1179">
            <v>19.900000000000002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-25.127862595419909</v>
          </cell>
          <cell r="F1180">
            <v>34.811068702290044</v>
          </cell>
          <cell r="G1180">
            <v>8.7606870229012941</v>
          </cell>
          <cell r="H1180">
            <v>8.7606870229012941</v>
          </cell>
          <cell r="I1180" t="e">
            <v>#N/A</v>
          </cell>
          <cell r="J1180" t="e">
            <v>#N/A</v>
          </cell>
          <cell r="K1180">
            <v>26</v>
          </cell>
          <cell r="L1180">
            <v>14.700000000000001</v>
          </cell>
          <cell r="M1180" t="e">
            <v>#N/A</v>
          </cell>
          <cell r="N1180">
            <v>21.200000000000003</v>
          </cell>
          <cell r="O1180" t="e">
            <v>#N/A</v>
          </cell>
          <cell r="P1180" t="str">
            <v/>
          </cell>
          <cell r="Q1180" t="str">
            <v/>
          </cell>
          <cell r="R1180">
            <v>19.900000000000002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-25.201335877862657</v>
          </cell>
          <cell r="F1181">
            <v>34.836832061068669</v>
          </cell>
          <cell r="G1181">
            <v>8.7433206106875545</v>
          </cell>
          <cell r="H1181">
            <v>8.7433206106875545</v>
          </cell>
          <cell r="I1181" t="e">
            <v>#N/A</v>
          </cell>
          <cell r="J1181" t="e">
            <v>#N/A</v>
          </cell>
          <cell r="K1181">
            <v>26</v>
          </cell>
          <cell r="L1181">
            <v>14.700000000000001</v>
          </cell>
          <cell r="M1181" t="e">
            <v>#N/A</v>
          </cell>
          <cell r="N1181">
            <v>21.200000000000003</v>
          </cell>
          <cell r="O1181" t="e">
            <v>#N/A</v>
          </cell>
          <cell r="P1181" t="str">
            <v/>
          </cell>
          <cell r="Q1181" t="str">
            <v/>
          </cell>
          <cell r="R1181">
            <v>19.900000000000002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-25.274809160305406</v>
          </cell>
          <cell r="F1182">
            <v>34.862595419847295</v>
          </cell>
          <cell r="G1182">
            <v>8.7259541984738149</v>
          </cell>
          <cell r="H1182">
            <v>8.7259541984738149</v>
          </cell>
          <cell r="I1182" t="e">
            <v>#N/A</v>
          </cell>
          <cell r="J1182" t="e">
            <v>#N/A</v>
          </cell>
          <cell r="K1182">
            <v>26</v>
          </cell>
          <cell r="L1182">
            <v>14.700000000000001</v>
          </cell>
          <cell r="M1182" t="e">
            <v>#N/A</v>
          </cell>
          <cell r="N1182">
            <v>21.200000000000003</v>
          </cell>
          <cell r="O1182" t="e">
            <v>#N/A</v>
          </cell>
          <cell r="P1182" t="str">
            <v/>
          </cell>
          <cell r="Q1182" t="str">
            <v/>
          </cell>
          <cell r="R1182">
            <v>19.900000000000002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-25.348282442748154</v>
          </cell>
          <cell r="F1183">
            <v>34.888358778625921</v>
          </cell>
          <cell r="G1183">
            <v>8.7085877862600753</v>
          </cell>
          <cell r="H1183">
            <v>8.7085877862600753</v>
          </cell>
          <cell r="I1183" t="e">
            <v>#N/A</v>
          </cell>
          <cell r="J1183" t="e">
            <v>#N/A</v>
          </cell>
          <cell r="K1183">
            <v>26</v>
          </cell>
          <cell r="L1183">
            <v>14.700000000000001</v>
          </cell>
          <cell r="M1183" t="e">
            <v>#N/A</v>
          </cell>
          <cell r="N1183">
            <v>21.200000000000003</v>
          </cell>
          <cell r="O1183" t="e">
            <v>#N/A</v>
          </cell>
          <cell r="P1183" t="str">
            <v/>
          </cell>
          <cell r="Q1183" t="str">
            <v/>
          </cell>
          <cell r="R1183">
            <v>19.900000000000002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-25.421755725190902</v>
          </cell>
          <cell r="F1184">
            <v>34.914122137404547</v>
          </cell>
          <cell r="G1184">
            <v>8.6912213740463358</v>
          </cell>
          <cell r="H1184">
            <v>8.6912213740463358</v>
          </cell>
          <cell r="I1184" t="e">
            <v>#N/A</v>
          </cell>
          <cell r="J1184" t="e">
            <v>#N/A</v>
          </cell>
          <cell r="K1184">
            <v>26</v>
          </cell>
          <cell r="L1184">
            <v>14.700000000000001</v>
          </cell>
          <cell r="M1184" t="e">
            <v>#N/A</v>
          </cell>
          <cell r="N1184">
            <v>21.200000000000003</v>
          </cell>
          <cell r="O1184" t="e">
            <v>#N/A</v>
          </cell>
          <cell r="P1184" t="str">
            <v/>
          </cell>
          <cell r="Q1184" t="str">
            <v/>
          </cell>
          <cell r="R1184">
            <v>19.900000000000002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-25.49522900763365</v>
          </cell>
          <cell r="F1185">
            <v>34.939885496183173</v>
          </cell>
          <cell r="G1185">
            <v>8.6738549618325962</v>
          </cell>
          <cell r="H1185">
            <v>8.6738549618325962</v>
          </cell>
          <cell r="I1185" t="e">
            <v>#N/A</v>
          </cell>
          <cell r="J1185" t="e">
            <v>#N/A</v>
          </cell>
          <cell r="K1185">
            <v>26</v>
          </cell>
          <cell r="L1185">
            <v>14.700000000000001</v>
          </cell>
          <cell r="M1185" t="e">
            <v>#N/A</v>
          </cell>
          <cell r="N1185">
            <v>21.200000000000003</v>
          </cell>
          <cell r="O1185" t="e">
            <v>#N/A</v>
          </cell>
          <cell r="P1185" t="str">
            <v/>
          </cell>
          <cell r="Q1185" t="str">
            <v/>
          </cell>
          <cell r="R1185">
            <v>19.900000000000002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-25.568702290076398</v>
          </cell>
          <cell r="F1186">
            <v>34.965648854961799</v>
          </cell>
          <cell r="G1186">
            <v>8.6564885496188566</v>
          </cell>
          <cell r="H1186">
            <v>8.6564885496188566</v>
          </cell>
          <cell r="I1186" t="e">
            <v>#N/A</v>
          </cell>
          <cell r="J1186" t="e">
            <v>#N/A</v>
          </cell>
          <cell r="K1186">
            <v>26</v>
          </cell>
          <cell r="L1186">
            <v>14.700000000000001</v>
          </cell>
          <cell r="M1186" t="e">
            <v>#N/A</v>
          </cell>
          <cell r="N1186">
            <v>21.200000000000003</v>
          </cell>
          <cell r="O1186" t="e">
            <v>#N/A</v>
          </cell>
          <cell r="P1186" t="str">
            <v/>
          </cell>
          <cell r="Q1186" t="str">
            <v/>
          </cell>
          <cell r="R1186">
            <v>19.900000000000002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-25.642175572519147</v>
          </cell>
          <cell r="F1187">
            <v>34.991412213740425</v>
          </cell>
          <cell r="G1187">
            <v>8.639122137405117</v>
          </cell>
          <cell r="H1187">
            <v>8.639122137405117</v>
          </cell>
          <cell r="I1187" t="e">
            <v>#N/A</v>
          </cell>
          <cell r="J1187" t="e">
            <v>#N/A</v>
          </cell>
          <cell r="K1187">
            <v>26</v>
          </cell>
          <cell r="L1187">
            <v>14.700000000000001</v>
          </cell>
          <cell r="M1187" t="e">
            <v>#N/A</v>
          </cell>
          <cell r="N1187">
            <v>21.200000000000003</v>
          </cell>
          <cell r="O1187" t="e">
            <v>#N/A</v>
          </cell>
          <cell r="P1187" t="str">
            <v/>
          </cell>
          <cell r="Q1187" t="str">
            <v/>
          </cell>
          <cell r="R1187">
            <v>19.900000000000002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-25.715648854961895</v>
          </cell>
          <cell r="F1188">
            <v>35.017175572519051</v>
          </cell>
          <cell r="G1188">
            <v>8.6217557251913775</v>
          </cell>
          <cell r="H1188">
            <v>8.6217557251913775</v>
          </cell>
          <cell r="I1188" t="e">
            <v>#N/A</v>
          </cell>
          <cell r="J1188" t="e">
            <v>#N/A</v>
          </cell>
          <cell r="K1188">
            <v>26</v>
          </cell>
          <cell r="L1188">
            <v>14.700000000000001</v>
          </cell>
          <cell r="M1188" t="e">
            <v>#N/A</v>
          </cell>
          <cell r="N1188">
            <v>21.200000000000003</v>
          </cell>
          <cell r="O1188" t="e">
            <v>#N/A</v>
          </cell>
          <cell r="P1188" t="str">
            <v/>
          </cell>
          <cell r="Q1188" t="str">
            <v/>
          </cell>
          <cell r="R1188">
            <v>19.900000000000002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-25.789122137404643</v>
          </cell>
          <cell r="F1189">
            <v>35.042938931297677</v>
          </cell>
          <cell r="G1189">
            <v>8.6043893129776379</v>
          </cell>
          <cell r="H1189">
            <v>8.6043893129776379</v>
          </cell>
          <cell r="I1189" t="e">
            <v>#N/A</v>
          </cell>
          <cell r="J1189" t="e">
            <v>#N/A</v>
          </cell>
          <cell r="K1189">
            <v>26</v>
          </cell>
          <cell r="L1189">
            <v>14.700000000000001</v>
          </cell>
          <cell r="M1189" t="e">
            <v>#N/A</v>
          </cell>
          <cell r="N1189">
            <v>21.200000000000003</v>
          </cell>
          <cell r="O1189" t="e">
            <v>#N/A</v>
          </cell>
          <cell r="P1189" t="str">
            <v/>
          </cell>
          <cell r="Q1189" t="str">
            <v/>
          </cell>
          <cell r="R1189">
            <v>19.900000000000002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-25.862595419847391</v>
          </cell>
          <cell r="F1190">
            <v>35.068702290076303</v>
          </cell>
          <cell r="G1190">
            <v>8.5870229007638983</v>
          </cell>
          <cell r="H1190">
            <v>8.5870229007638983</v>
          </cell>
          <cell r="I1190" t="e">
            <v>#N/A</v>
          </cell>
          <cell r="J1190" t="e">
            <v>#N/A</v>
          </cell>
          <cell r="K1190">
            <v>26</v>
          </cell>
          <cell r="L1190">
            <v>14.700000000000001</v>
          </cell>
          <cell r="M1190" t="e">
            <v>#N/A</v>
          </cell>
          <cell r="N1190">
            <v>21.200000000000003</v>
          </cell>
          <cell r="O1190" t="e">
            <v>#N/A</v>
          </cell>
          <cell r="P1190" t="str">
            <v/>
          </cell>
          <cell r="Q1190" t="str">
            <v/>
          </cell>
          <cell r="R1190">
            <v>19.900000000000002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-25.936068702290139</v>
          </cell>
          <cell r="F1191">
            <v>35.094465648854928</v>
          </cell>
          <cell r="G1191">
            <v>8.5696564885501587</v>
          </cell>
          <cell r="H1191">
            <v>8.5696564885501587</v>
          </cell>
          <cell r="I1191" t="e">
            <v>#N/A</v>
          </cell>
          <cell r="J1191" t="e">
            <v>#N/A</v>
          </cell>
          <cell r="K1191">
            <v>26</v>
          </cell>
          <cell r="L1191">
            <v>14.700000000000001</v>
          </cell>
          <cell r="M1191" t="e">
            <v>#N/A</v>
          </cell>
          <cell r="N1191">
            <v>21.200000000000003</v>
          </cell>
          <cell r="O1191" t="e">
            <v>#N/A</v>
          </cell>
          <cell r="P1191" t="str">
            <v/>
          </cell>
          <cell r="Q1191" t="str">
            <v/>
          </cell>
          <cell r="R1191">
            <v>19.900000000000002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-26.009541984732888</v>
          </cell>
          <cell r="F1192">
            <v>35.120229007633554</v>
          </cell>
          <cell r="G1192">
            <v>8.5522900763364191</v>
          </cell>
          <cell r="H1192">
            <v>8.5522900763364191</v>
          </cell>
          <cell r="I1192" t="e">
            <v>#N/A</v>
          </cell>
          <cell r="J1192" t="e">
            <v>#N/A</v>
          </cell>
          <cell r="K1192">
            <v>26</v>
          </cell>
          <cell r="L1192">
            <v>14.700000000000001</v>
          </cell>
          <cell r="M1192" t="e">
            <v>#N/A</v>
          </cell>
          <cell r="N1192">
            <v>21.200000000000003</v>
          </cell>
          <cell r="O1192" t="e">
            <v>#N/A</v>
          </cell>
          <cell r="P1192" t="str">
            <v/>
          </cell>
          <cell r="Q1192" t="str">
            <v/>
          </cell>
          <cell r="R1192">
            <v>19.900000000000002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-26.083015267175636</v>
          </cell>
          <cell r="F1193">
            <v>35.14599236641218</v>
          </cell>
          <cell r="G1193">
            <v>8.5349236641226796</v>
          </cell>
          <cell r="H1193">
            <v>8.5349236641226796</v>
          </cell>
          <cell r="I1193" t="e">
            <v>#N/A</v>
          </cell>
          <cell r="J1193" t="e">
            <v>#N/A</v>
          </cell>
          <cell r="K1193">
            <v>26</v>
          </cell>
          <cell r="L1193">
            <v>14.700000000000001</v>
          </cell>
          <cell r="M1193" t="e">
            <v>#N/A</v>
          </cell>
          <cell r="N1193">
            <v>21.200000000000003</v>
          </cell>
          <cell r="O1193" t="e">
            <v>#N/A</v>
          </cell>
          <cell r="P1193" t="str">
            <v/>
          </cell>
          <cell r="Q1193" t="str">
            <v/>
          </cell>
          <cell r="R1193">
            <v>19.900000000000002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-26.156488549618384</v>
          </cell>
          <cell r="F1194">
            <v>35.171755725190806</v>
          </cell>
          <cell r="G1194">
            <v>8.51755725190894</v>
          </cell>
          <cell r="H1194">
            <v>8.51755725190894</v>
          </cell>
          <cell r="I1194" t="e">
            <v>#N/A</v>
          </cell>
          <cell r="J1194" t="e">
            <v>#N/A</v>
          </cell>
          <cell r="K1194">
            <v>26</v>
          </cell>
          <cell r="L1194">
            <v>14.700000000000001</v>
          </cell>
          <cell r="M1194" t="e">
            <v>#N/A</v>
          </cell>
          <cell r="N1194">
            <v>21.200000000000003</v>
          </cell>
          <cell r="O1194" t="e">
            <v>#N/A</v>
          </cell>
          <cell r="P1194" t="str">
            <v/>
          </cell>
          <cell r="Q1194" t="str">
            <v/>
          </cell>
          <cell r="R1194">
            <v>19.900000000000002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-26.229961832061132</v>
          </cell>
          <cell r="F1195">
            <v>35.197519083969432</v>
          </cell>
          <cell r="G1195">
            <v>8.5001908396952004</v>
          </cell>
          <cell r="H1195">
            <v>8.5001908396952004</v>
          </cell>
          <cell r="I1195" t="e">
            <v>#N/A</v>
          </cell>
          <cell r="J1195" t="e">
            <v>#N/A</v>
          </cell>
          <cell r="K1195">
            <v>26</v>
          </cell>
          <cell r="L1195">
            <v>14.700000000000001</v>
          </cell>
          <cell r="M1195" t="e">
            <v>#N/A</v>
          </cell>
          <cell r="N1195">
            <v>21.200000000000003</v>
          </cell>
          <cell r="O1195" t="e">
            <v>#N/A</v>
          </cell>
          <cell r="P1195" t="str">
            <v/>
          </cell>
          <cell r="Q1195" t="str">
            <v/>
          </cell>
          <cell r="R1195">
            <v>19.900000000000002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-26.30343511450388</v>
          </cell>
          <cell r="F1196">
            <v>35.223282442748058</v>
          </cell>
          <cell r="G1196">
            <v>8.4828244274814608</v>
          </cell>
          <cell r="H1196">
            <v>8.4828244274814608</v>
          </cell>
          <cell r="I1196" t="e">
            <v>#N/A</v>
          </cell>
          <cell r="J1196" t="e">
            <v>#N/A</v>
          </cell>
          <cell r="K1196">
            <v>26</v>
          </cell>
          <cell r="L1196">
            <v>14.700000000000001</v>
          </cell>
          <cell r="M1196" t="e">
            <v>#N/A</v>
          </cell>
          <cell r="N1196">
            <v>21.200000000000003</v>
          </cell>
          <cell r="O1196" t="e">
            <v>#N/A</v>
          </cell>
          <cell r="P1196" t="str">
            <v/>
          </cell>
          <cell r="Q1196" t="str">
            <v/>
          </cell>
          <cell r="R1196">
            <v>19.900000000000002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-26.376908396946629</v>
          </cell>
          <cell r="F1197">
            <v>35.249045801526684</v>
          </cell>
          <cell r="G1197">
            <v>8.4654580152677212</v>
          </cell>
          <cell r="H1197">
            <v>8.4654580152677212</v>
          </cell>
          <cell r="I1197" t="e">
            <v>#N/A</v>
          </cell>
          <cell r="J1197" t="e">
            <v>#N/A</v>
          </cell>
          <cell r="K1197">
            <v>26</v>
          </cell>
          <cell r="L1197">
            <v>14.700000000000001</v>
          </cell>
          <cell r="M1197" t="e">
            <v>#N/A</v>
          </cell>
          <cell r="N1197">
            <v>21.200000000000003</v>
          </cell>
          <cell r="O1197" t="e">
            <v>#N/A</v>
          </cell>
          <cell r="P1197" t="str">
            <v/>
          </cell>
          <cell r="Q1197" t="str">
            <v/>
          </cell>
          <cell r="R1197">
            <v>19.900000000000002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-26.450381679389377</v>
          </cell>
          <cell r="F1198">
            <v>35.27480916030531</v>
          </cell>
          <cell r="G1198">
            <v>8.4480916030539817</v>
          </cell>
          <cell r="H1198">
            <v>8.4480916030539817</v>
          </cell>
          <cell r="I1198" t="e">
            <v>#N/A</v>
          </cell>
          <cell r="J1198" t="e">
            <v>#N/A</v>
          </cell>
          <cell r="K1198">
            <v>26</v>
          </cell>
          <cell r="L1198">
            <v>14.700000000000001</v>
          </cell>
          <cell r="M1198" t="e">
            <v>#N/A</v>
          </cell>
          <cell r="N1198">
            <v>21.200000000000003</v>
          </cell>
          <cell r="O1198" t="e">
            <v>#N/A</v>
          </cell>
          <cell r="P1198" t="str">
            <v/>
          </cell>
          <cell r="Q1198" t="str">
            <v/>
          </cell>
          <cell r="R1198">
            <v>19.900000000000002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-26.523854961832125</v>
          </cell>
          <cell r="F1199">
            <v>35.300572519083936</v>
          </cell>
          <cell r="G1199">
            <v>8.4307251908402421</v>
          </cell>
          <cell r="H1199">
            <v>8.4307251908402421</v>
          </cell>
          <cell r="I1199" t="e">
            <v>#N/A</v>
          </cell>
          <cell r="J1199" t="e">
            <v>#N/A</v>
          </cell>
          <cell r="K1199">
            <v>26</v>
          </cell>
          <cell r="L1199">
            <v>14.700000000000001</v>
          </cell>
          <cell r="M1199" t="e">
            <v>#N/A</v>
          </cell>
          <cell r="N1199">
            <v>21.200000000000003</v>
          </cell>
          <cell r="O1199" t="e">
            <v>#N/A</v>
          </cell>
          <cell r="P1199" t="str">
            <v/>
          </cell>
          <cell r="Q1199" t="str">
            <v/>
          </cell>
          <cell r="R1199">
            <v>19.900000000000002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-26.597328244274873</v>
          </cell>
          <cell r="F1200">
            <v>35.326335877862562</v>
          </cell>
          <cell r="G1200">
            <v>8.4133587786265025</v>
          </cell>
          <cell r="H1200">
            <v>8.4133587786265025</v>
          </cell>
          <cell r="I1200" t="e">
            <v>#N/A</v>
          </cell>
          <cell r="J1200" t="e">
            <v>#N/A</v>
          </cell>
          <cell r="K1200">
            <v>26</v>
          </cell>
          <cell r="L1200">
            <v>14.700000000000001</v>
          </cell>
          <cell r="M1200" t="e">
            <v>#N/A</v>
          </cell>
          <cell r="N1200">
            <v>21.200000000000003</v>
          </cell>
          <cell r="O1200" t="e">
            <v>#N/A</v>
          </cell>
          <cell r="P1200" t="str">
            <v/>
          </cell>
          <cell r="Q1200" t="str">
            <v/>
          </cell>
          <cell r="R1200">
            <v>19.900000000000002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-26.670801526717621</v>
          </cell>
          <cell r="F1201">
            <v>35.352099236641187</v>
          </cell>
          <cell r="G1201">
            <v>8.3959923664127629</v>
          </cell>
          <cell r="H1201">
            <v>8.3959923664127629</v>
          </cell>
          <cell r="I1201" t="e">
            <v>#N/A</v>
          </cell>
          <cell r="J1201" t="e">
            <v>#N/A</v>
          </cell>
          <cell r="K1201">
            <v>26</v>
          </cell>
          <cell r="L1201">
            <v>14.700000000000001</v>
          </cell>
          <cell r="M1201" t="e">
            <v>#N/A</v>
          </cell>
          <cell r="N1201">
            <v>21.200000000000003</v>
          </cell>
          <cell r="O1201" t="e">
            <v>#N/A</v>
          </cell>
          <cell r="P1201" t="str">
            <v/>
          </cell>
          <cell r="Q1201" t="str">
            <v/>
          </cell>
          <cell r="R1201">
            <v>19.900000000000002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-26.74427480916037</v>
          </cell>
          <cell r="F1202">
            <v>35.377862595419813</v>
          </cell>
          <cell r="G1202">
            <v>8.3786259541990233</v>
          </cell>
          <cell r="H1202">
            <v>8.3786259541990233</v>
          </cell>
          <cell r="I1202" t="e">
            <v>#N/A</v>
          </cell>
          <cell r="J1202" t="e">
            <v>#N/A</v>
          </cell>
          <cell r="K1202">
            <v>26</v>
          </cell>
          <cell r="L1202">
            <v>14.700000000000001</v>
          </cell>
          <cell r="M1202" t="e">
            <v>#N/A</v>
          </cell>
          <cell r="N1202">
            <v>21.200000000000003</v>
          </cell>
          <cell r="O1202" t="e">
            <v>#N/A</v>
          </cell>
          <cell r="P1202" t="str">
            <v/>
          </cell>
          <cell r="Q1202" t="str">
            <v/>
          </cell>
          <cell r="R1202">
            <v>19.900000000000002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-26.817748091603118</v>
          </cell>
          <cell r="F1203">
            <v>35.403625954198439</v>
          </cell>
          <cell r="G1203">
            <v>8.3612595419852838</v>
          </cell>
          <cell r="H1203">
            <v>8.3612595419852838</v>
          </cell>
          <cell r="I1203" t="e">
            <v>#N/A</v>
          </cell>
          <cell r="J1203" t="e">
            <v>#N/A</v>
          </cell>
          <cell r="K1203">
            <v>26</v>
          </cell>
          <cell r="L1203">
            <v>14.700000000000001</v>
          </cell>
          <cell r="M1203" t="e">
            <v>#N/A</v>
          </cell>
          <cell r="N1203">
            <v>21.200000000000003</v>
          </cell>
          <cell r="O1203" t="e">
            <v>#N/A</v>
          </cell>
          <cell r="P1203" t="str">
            <v/>
          </cell>
          <cell r="Q1203" t="str">
            <v/>
          </cell>
          <cell r="R1203">
            <v>19.900000000000002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-26.891221374045866</v>
          </cell>
          <cell r="F1204">
            <v>35.429389312977065</v>
          </cell>
          <cell r="G1204">
            <v>8.3438931297715442</v>
          </cell>
          <cell r="H1204">
            <v>8.3438931297715442</v>
          </cell>
          <cell r="I1204" t="e">
            <v>#N/A</v>
          </cell>
          <cell r="J1204" t="e">
            <v>#N/A</v>
          </cell>
          <cell r="K1204">
            <v>26</v>
          </cell>
          <cell r="L1204">
            <v>14.700000000000001</v>
          </cell>
          <cell r="M1204" t="e">
            <v>#N/A</v>
          </cell>
          <cell r="N1204">
            <v>21.200000000000003</v>
          </cell>
          <cell r="O1204" t="e">
            <v>#N/A</v>
          </cell>
          <cell r="P1204" t="str">
            <v/>
          </cell>
          <cell r="Q1204" t="str">
            <v/>
          </cell>
          <cell r="R1204">
            <v>19.900000000000002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-26.964694656488614</v>
          </cell>
          <cell r="F1205">
            <v>35.455152671755691</v>
          </cell>
          <cell r="G1205">
            <v>8.3265267175578046</v>
          </cell>
          <cell r="H1205">
            <v>8.3265267175578046</v>
          </cell>
          <cell r="I1205" t="e">
            <v>#N/A</v>
          </cell>
          <cell r="J1205" t="e">
            <v>#N/A</v>
          </cell>
          <cell r="K1205">
            <v>26</v>
          </cell>
          <cell r="L1205">
            <v>14.700000000000001</v>
          </cell>
          <cell r="M1205" t="e">
            <v>#N/A</v>
          </cell>
          <cell r="N1205">
            <v>21.200000000000003</v>
          </cell>
          <cell r="O1205" t="e">
            <v>#N/A</v>
          </cell>
          <cell r="P1205" t="str">
            <v/>
          </cell>
          <cell r="Q1205" t="str">
            <v/>
          </cell>
          <cell r="R1205">
            <v>19.900000000000002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-27.038167938931362</v>
          </cell>
          <cell r="F1206">
            <v>35.480916030534317</v>
          </cell>
          <cell r="G1206">
            <v>8.309160305344065</v>
          </cell>
          <cell r="H1206">
            <v>8.309160305344065</v>
          </cell>
          <cell r="I1206" t="e">
            <v>#N/A</v>
          </cell>
          <cell r="J1206" t="e">
            <v>#N/A</v>
          </cell>
          <cell r="K1206">
            <v>26</v>
          </cell>
          <cell r="L1206">
            <v>14.700000000000001</v>
          </cell>
          <cell r="M1206" t="e">
            <v>#N/A</v>
          </cell>
          <cell r="N1206">
            <v>21.200000000000003</v>
          </cell>
          <cell r="O1206" t="e">
            <v>#N/A</v>
          </cell>
          <cell r="P1206" t="str">
            <v/>
          </cell>
          <cell r="Q1206" t="str">
            <v/>
          </cell>
          <cell r="R1206">
            <v>19.900000000000002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-27.111641221374111</v>
          </cell>
          <cell r="F1207">
            <v>35.506679389312943</v>
          </cell>
          <cell r="G1207">
            <v>8.2917938931303254</v>
          </cell>
          <cell r="H1207">
            <v>8.2917938931303254</v>
          </cell>
          <cell r="I1207" t="e">
            <v>#N/A</v>
          </cell>
          <cell r="J1207" t="e">
            <v>#N/A</v>
          </cell>
          <cell r="K1207">
            <v>26</v>
          </cell>
          <cell r="L1207">
            <v>14.700000000000001</v>
          </cell>
          <cell r="M1207" t="e">
            <v>#N/A</v>
          </cell>
          <cell r="N1207">
            <v>21.200000000000003</v>
          </cell>
          <cell r="O1207" t="e">
            <v>#N/A</v>
          </cell>
          <cell r="P1207" t="str">
            <v/>
          </cell>
          <cell r="Q1207" t="str">
            <v/>
          </cell>
          <cell r="R1207">
            <v>19.900000000000002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-27.185114503816859</v>
          </cell>
          <cell r="F1208">
            <v>35.532442748091569</v>
          </cell>
          <cell r="G1208">
            <v>8.2744274809165859</v>
          </cell>
          <cell r="H1208">
            <v>8.2744274809165859</v>
          </cell>
          <cell r="I1208" t="e">
            <v>#N/A</v>
          </cell>
          <cell r="J1208" t="e">
            <v>#N/A</v>
          </cell>
          <cell r="K1208">
            <v>26</v>
          </cell>
          <cell r="L1208">
            <v>14.700000000000001</v>
          </cell>
          <cell r="M1208" t="e">
            <v>#N/A</v>
          </cell>
          <cell r="N1208">
            <v>21.200000000000003</v>
          </cell>
          <cell r="O1208" t="e">
            <v>#N/A</v>
          </cell>
          <cell r="P1208" t="str">
            <v/>
          </cell>
          <cell r="Q1208" t="str">
            <v/>
          </cell>
          <cell r="R1208">
            <v>19.900000000000002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-27.258587786259607</v>
          </cell>
          <cell r="F1209">
            <v>35.558206106870195</v>
          </cell>
          <cell r="G1209">
            <v>8.2570610687028463</v>
          </cell>
          <cell r="H1209">
            <v>8.2570610687028463</v>
          </cell>
          <cell r="I1209" t="e">
            <v>#N/A</v>
          </cell>
          <cell r="J1209" t="e">
            <v>#N/A</v>
          </cell>
          <cell r="K1209">
            <v>26</v>
          </cell>
          <cell r="L1209">
            <v>14.700000000000001</v>
          </cell>
          <cell r="M1209" t="e">
            <v>#N/A</v>
          </cell>
          <cell r="N1209">
            <v>21.200000000000003</v>
          </cell>
          <cell r="O1209" t="e">
            <v>#N/A</v>
          </cell>
          <cell r="P1209" t="str">
            <v/>
          </cell>
          <cell r="Q1209" t="str">
            <v/>
          </cell>
          <cell r="R1209">
            <v>19.900000000000002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-27.332061068702355</v>
          </cell>
          <cell r="F1210">
            <v>35.583969465648821</v>
          </cell>
          <cell r="G1210">
            <v>8.2396946564891067</v>
          </cell>
          <cell r="H1210">
            <v>8.2396946564891067</v>
          </cell>
          <cell r="I1210" t="e">
            <v>#N/A</v>
          </cell>
          <cell r="J1210" t="e">
            <v>#N/A</v>
          </cell>
          <cell r="K1210">
            <v>26</v>
          </cell>
          <cell r="L1210">
            <v>14.700000000000001</v>
          </cell>
          <cell r="M1210" t="e">
            <v>#N/A</v>
          </cell>
          <cell r="N1210">
            <v>21.200000000000003</v>
          </cell>
          <cell r="O1210" t="e">
            <v>#N/A</v>
          </cell>
          <cell r="P1210" t="str">
            <v/>
          </cell>
          <cell r="Q1210" t="str">
            <v/>
          </cell>
          <cell r="R1210">
            <v>19.900000000000002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-27.405534351145103</v>
          </cell>
          <cell r="F1211">
            <v>35.609732824427446</v>
          </cell>
          <cell r="G1211">
            <v>8.2223282442753671</v>
          </cell>
          <cell r="H1211">
            <v>8.2223282442753671</v>
          </cell>
          <cell r="I1211" t="e">
            <v>#N/A</v>
          </cell>
          <cell r="J1211" t="e">
            <v>#N/A</v>
          </cell>
          <cell r="K1211">
            <v>26</v>
          </cell>
          <cell r="L1211">
            <v>14.700000000000001</v>
          </cell>
          <cell r="M1211" t="e">
            <v>#N/A</v>
          </cell>
          <cell r="N1211">
            <v>21.200000000000003</v>
          </cell>
          <cell r="O1211" t="e">
            <v>#N/A</v>
          </cell>
          <cell r="P1211" t="str">
            <v/>
          </cell>
          <cell r="Q1211" t="str">
            <v/>
          </cell>
          <cell r="R1211">
            <v>19.900000000000002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-27.479007633587852</v>
          </cell>
          <cell r="F1212">
            <v>35.635496183206072</v>
          </cell>
          <cell r="G1212">
            <v>8.2049618320616275</v>
          </cell>
          <cell r="H1212">
            <v>8.2049618320616275</v>
          </cell>
          <cell r="I1212" t="e">
            <v>#N/A</v>
          </cell>
          <cell r="J1212" t="e">
            <v>#N/A</v>
          </cell>
          <cell r="K1212">
            <v>26</v>
          </cell>
          <cell r="L1212">
            <v>14.700000000000001</v>
          </cell>
          <cell r="M1212" t="e">
            <v>#N/A</v>
          </cell>
          <cell r="N1212">
            <v>21.200000000000003</v>
          </cell>
          <cell r="O1212" t="e">
            <v>#N/A</v>
          </cell>
          <cell r="P1212" t="str">
            <v/>
          </cell>
          <cell r="Q1212" t="str">
            <v/>
          </cell>
          <cell r="R1212">
            <v>19.900000000000002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-27.5524809160306</v>
          </cell>
          <cell r="F1213">
            <v>35.661259541984698</v>
          </cell>
          <cell r="G1213">
            <v>8.187595419847888</v>
          </cell>
          <cell r="H1213">
            <v>8.187595419847888</v>
          </cell>
          <cell r="I1213" t="e">
            <v>#N/A</v>
          </cell>
          <cell r="J1213" t="e">
            <v>#N/A</v>
          </cell>
          <cell r="K1213">
            <v>26</v>
          </cell>
          <cell r="L1213">
            <v>14.700000000000001</v>
          </cell>
          <cell r="M1213" t="e">
            <v>#N/A</v>
          </cell>
          <cell r="N1213">
            <v>21.200000000000003</v>
          </cell>
          <cell r="O1213" t="e">
            <v>#N/A</v>
          </cell>
          <cell r="P1213" t="str">
            <v/>
          </cell>
          <cell r="Q1213" t="str">
            <v/>
          </cell>
          <cell r="R1213">
            <v>19.900000000000002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-27.625954198473348</v>
          </cell>
          <cell r="F1214">
            <v>35.687022900763324</v>
          </cell>
          <cell r="G1214">
            <v>8.1702290076341484</v>
          </cell>
          <cell r="H1214">
            <v>8.1702290076341484</v>
          </cell>
          <cell r="I1214" t="e">
            <v>#N/A</v>
          </cell>
          <cell r="J1214" t="e">
            <v>#N/A</v>
          </cell>
          <cell r="K1214">
            <v>26</v>
          </cell>
          <cell r="L1214">
            <v>14.700000000000001</v>
          </cell>
          <cell r="M1214" t="e">
            <v>#N/A</v>
          </cell>
          <cell r="N1214">
            <v>21.200000000000003</v>
          </cell>
          <cell r="O1214" t="e">
            <v>#N/A</v>
          </cell>
          <cell r="P1214" t="str">
            <v/>
          </cell>
          <cell r="Q1214" t="str">
            <v/>
          </cell>
          <cell r="R1214">
            <v>19.900000000000002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-27.699427480916096</v>
          </cell>
          <cell r="F1215">
            <v>35.71278625954195</v>
          </cell>
          <cell r="G1215">
            <v>8.1528625954204088</v>
          </cell>
          <cell r="H1215">
            <v>8.1528625954204088</v>
          </cell>
          <cell r="I1215" t="e">
            <v>#N/A</v>
          </cell>
          <cell r="J1215" t="e">
            <v>#N/A</v>
          </cell>
          <cell r="K1215">
            <v>26</v>
          </cell>
          <cell r="L1215">
            <v>14.700000000000001</v>
          </cell>
          <cell r="M1215" t="e">
            <v>#N/A</v>
          </cell>
          <cell r="N1215">
            <v>21.200000000000003</v>
          </cell>
          <cell r="O1215" t="e">
            <v>#N/A</v>
          </cell>
          <cell r="P1215" t="str">
            <v/>
          </cell>
          <cell r="Q1215" t="str">
            <v/>
          </cell>
          <cell r="R1215">
            <v>19.900000000000002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-27.772900763358845</v>
          </cell>
          <cell r="F1216">
            <v>35.738549618320576</v>
          </cell>
          <cell r="G1216">
            <v>8.1354961832066692</v>
          </cell>
          <cell r="H1216">
            <v>8.1354961832066692</v>
          </cell>
          <cell r="I1216" t="e">
            <v>#N/A</v>
          </cell>
          <cell r="J1216" t="e">
            <v>#N/A</v>
          </cell>
          <cell r="K1216">
            <v>26</v>
          </cell>
          <cell r="L1216">
            <v>14.700000000000001</v>
          </cell>
          <cell r="M1216" t="e">
            <v>#N/A</v>
          </cell>
          <cell r="N1216">
            <v>21.200000000000003</v>
          </cell>
          <cell r="O1216" t="e">
            <v>#N/A</v>
          </cell>
          <cell r="P1216" t="str">
            <v/>
          </cell>
          <cell r="Q1216" t="str">
            <v/>
          </cell>
          <cell r="R1216">
            <v>19.900000000000002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-27.846374045801593</v>
          </cell>
          <cell r="F1217">
            <v>35.764312977099202</v>
          </cell>
          <cell r="G1217">
            <v>8.1181297709929297</v>
          </cell>
          <cell r="H1217">
            <v>8.1181297709929297</v>
          </cell>
          <cell r="I1217" t="e">
            <v>#N/A</v>
          </cell>
          <cell r="J1217" t="e">
            <v>#N/A</v>
          </cell>
          <cell r="K1217">
            <v>26</v>
          </cell>
          <cell r="L1217">
            <v>14.700000000000001</v>
          </cell>
          <cell r="M1217" t="e">
            <v>#N/A</v>
          </cell>
          <cell r="N1217">
            <v>21.200000000000003</v>
          </cell>
          <cell r="O1217" t="e">
            <v>#N/A</v>
          </cell>
          <cell r="P1217" t="str">
            <v/>
          </cell>
          <cell r="Q1217" t="str">
            <v/>
          </cell>
          <cell r="R1217">
            <v>19.900000000000002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-27.919847328244341</v>
          </cell>
          <cell r="F1218">
            <v>35.790076335877828</v>
          </cell>
          <cell r="G1218">
            <v>8.1007633587791901</v>
          </cell>
          <cell r="H1218">
            <v>8.1007633587791901</v>
          </cell>
          <cell r="I1218" t="e">
            <v>#N/A</v>
          </cell>
          <cell r="J1218" t="e">
            <v>#N/A</v>
          </cell>
          <cell r="K1218">
            <v>26</v>
          </cell>
          <cell r="L1218">
            <v>14.700000000000001</v>
          </cell>
          <cell r="M1218" t="e">
            <v>#N/A</v>
          </cell>
          <cell r="N1218">
            <v>21.200000000000003</v>
          </cell>
          <cell r="O1218" t="e">
            <v>#N/A</v>
          </cell>
          <cell r="P1218" t="str">
            <v/>
          </cell>
          <cell r="Q1218" t="str">
            <v/>
          </cell>
          <cell r="R1218">
            <v>19.900000000000002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-27.993320610687089</v>
          </cell>
          <cell r="F1219">
            <v>35.815839694656454</v>
          </cell>
          <cell r="G1219">
            <v>8.0833969465654505</v>
          </cell>
          <cell r="H1219">
            <v>8.0833969465654505</v>
          </cell>
          <cell r="I1219" t="e">
            <v>#N/A</v>
          </cell>
          <cell r="J1219" t="e">
            <v>#N/A</v>
          </cell>
          <cell r="K1219">
            <v>26</v>
          </cell>
          <cell r="L1219">
            <v>14.700000000000001</v>
          </cell>
          <cell r="M1219" t="e">
            <v>#N/A</v>
          </cell>
          <cell r="N1219">
            <v>21.200000000000003</v>
          </cell>
          <cell r="O1219" t="e">
            <v>#N/A</v>
          </cell>
          <cell r="P1219" t="str">
            <v/>
          </cell>
          <cell r="Q1219" t="str">
            <v/>
          </cell>
          <cell r="R1219">
            <v>19.900000000000002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-28.066793893129837</v>
          </cell>
          <cell r="F1220">
            <v>35.84160305343508</v>
          </cell>
          <cell r="G1220">
            <v>8.0660305343517109</v>
          </cell>
          <cell r="H1220">
            <v>8.0660305343517109</v>
          </cell>
          <cell r="I1220" t="e">
            <v>#N/A</v>
          </cell>
          <cell r="J1220" t="e">
            <v>#N/A</v>
          </cell>
          <cell r="K1220">
            <v>26</v>
          </cell>
          <cell r="L1220">
            <v>14.700000000000001</v>
          </cell>
          <cell r="M1220" t="e">
            <v>#N/A</v>
          </cell>
          <cell r="N1220">
            <v>21.200000000000003</v>
          </cell>
          <cell r="O1220" t="e">
            <v>#N/A</v>
          </cell>
          <cell r="P1220" t="str">
            <v/>
          </cell>
          <cell r="Q1220" t="str">
            <v/>
          </cell>
          <cell r="R1220">
            <v>19.900000000000002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-28.140267175572586</v>
          </cell>
          <cell r="F1221">
            <v>35.867366412213705</v>
          </cell>
          <cell r="G1221">
            <v>8.0486641221379713</v>
          </cell>
          <cell r="H1221">
            <v>8.0486641221379713</v>
          </cell>
          <cell r="I1221" t="e">
            <v>#N/A</v>
          </cell>
          <cell r="J1221" t="e">
            <v>#N/A</v>
          </cell>
          <cell r="K1221">
            <v>26</v>
          </cell>
          <cell r="L1221">
            <v>14.700000000000001</v>
          </cell>
          <cell r="M1221" t="e">
            <v>#N/A</v>
          </cell>
          <cell r="N1221">
            <v>21.200000000000003</v>
          </cell>
          <cell r="O1221" t="e">
            <v>#N/A</v>
          </cell>
          <cell r="P1221" t="str">
            <v/>
          </cell>
          <cell r="Q1221" t="str">
            <v/>
          </cell>
          <cell r="R1221">
            <v>19.900000000000002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-28.213740458015334</v>
          </cell>
          <cell r="F1222">
            <v>35.893129770992331</v>
          </cell>
          <cell r="G1222">
            <v>8.0312977099242318</v>
          </cell>
          <cell r="H1222">
            <v>8.0312977099242318</v>
          </cell>
          <cell r="I1222" t="e">
            <v>#N/A</v>
          </cell>
          <cell r="J1222" t="e">
            <v>#N/A</v>
          </cell>
          <cell r="K1222">
            <v>26</v>
          </cell>
          <cell r="L1222">
            <v>14.700000000000001</v>
          </cell>
          <cell r="M1222" t="e">
            <v>#N/A</v>
          </cell>
          <cell r="N1222">
            <v>21.200000000000003</v>
          </cell>
          <cell r="O1222" t="e">
            <v>#N/A</v>
          </cell>
          <cell r="P1222" t="str">
            <v/>
          </cell>
          <cell r="Q1222" t="str">
            <v/>
          </cell>
          <cell r="R1222">
            <v>19.900000000000002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-28.287213740458082</v>
          </cell>
          <cell r="F1223">
            <v>35.918893129770957</v>
          </cell>
          <cell r="G1223">
            <v>8.0139312977104922</v>
          </cell>
          <cell r="H1223">
            <v>8.0139312977104922</v>
          </cell>
          <cell r="I1223" t="e">
            <v>#N/A</v>
          </cell>
          <cell r="J1223" t="e">
            <v>#N/A</v>
          </cell>
          <cell r="K1223">
            <v>26</v>
          </cell>
          <cell r="L1223">
            <v>14.700000000000001</v>
          </cell>
          <cell r="M1223" t="e">
            <v>#N/A</v>
          </cell>
          <cell r="N1223">
            <v>21.200000000000003</v>
          </cell>
          <cell r="O1223" t="e">
            <v>#N/A</v>
          </cell>
          <cell r="P1223" t="str">
            <v/>
          </cell>
          <cell r="Q1223" t="str">
            <v/>
          </cell>
          <cell r="R1223">
            <v>19.900000000000002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-28.36068702290083</v>
          </cell>
          <cell r="F1224">
            <v>35.944656488549583</v>
          </cell>
          <cell r="G1224">
            <v>7.9965648854967517</v>
          </cell>
          <cell r="H1224">
            <v>7.9965648854967517</v>
          </cell>
          <cell r="I1224" t="e">
            <v>#N/A</v>
          </cell>
          <cell r="J1224" t="e">
            <v>#N/A</v>
          </cell>
          <cell r="K1224">
            <v>26</v>
          </cell>
          <cell r="L1224">
            <v>14.700000000000001</v>
          </cell>
          <cell r="M1224" t="e">
            <v>#N/A</v>
          </cell>
          <cell r="N1224">
            <v>21.200000000000003</v>
          </cell>
          <cell r="O1224" t="e">
            <v>#N/A</v>
          </cell>
          <cell r="P1224" t="str">
            <v/>
          </cell>
          <cell r="Q1224" t="str">
            <v/>
          </cell>
          <cell r="R1224">
            <v>19.900000000000002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-28.434160305343578</v>
          </cell>
          <cell r="F1225">
            <v>35.970419847328209</v>
          </cell>
          <cell r="G1225">
            <v>7.9791984732830112</v>
          </cell>
          <cell r="H1225">
            <v>7.9791984732830112</v>
          </cell>
          <cell r="I1225" t="e">
            <v>#N/A</v>
          </cell>
          <cell r="J1225" t="e">
            <v>#N/A</v>
          </cell>
          <cell r="K1225">
            <v>26</v>
          </cell>
          <cell r="L1225">
            <v>14.700000000000001</v>
          </cell>
          <cell r="M1225" t="e">
            <v>#N/A</v>
          </cell>
          <cell r="N1225">
            <v>21.200000000000003</v>
          </cell>
          <cell r="O1225" t="e">
            <v>#N/A</v>
          </cell>
          <cell r="P1225" t="str">
            <v/>
          </cell>
          <cell r="Q1225" t="str">
            <v/>
          </cell>
          <cell r="R1225">
            <v>19.900000000000002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-28.507633587786327</v>
          </cell>
          <cell r="F1226">
            <v>35.996183206106835</v>
          </cell>
          <cell r="G1226">
            <v>7.9618320610692708</v>
          </cell>
          <cell r="H1226">
            <v>7.9618320610692708</v>
          </cell>
          <cell r="I1226" t="e">
            <v>#N/A</v>
          </cell>
          <cell r="J1226" t="e">
            <v>#N/A</v>
          </cell>
          <cell r="K1226">
            <v>26</v>
          </cell>
          <cell r="L1226">
            <v>14.700000000000001</v>
          </cell>
          <cell r="M1226" t="e">
            <v>#N/A</v>
          </cell>
          <cell r="N1226">
            <v>21.200000000000003</v>
          </cell>
          <cell r="O1226" t="e">
            <v>#N/A</v>
          </cell>
          <cell r="P1226" t="str">
            <v/>
          </cell>
          <cell r="Q1226" t="str">
            <v/>
          </cell>
          <cell r="R1226">
            <v>19.900000000000002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-28.581106870229075</v>
          </cell>
          <cell r="F1227">
            <v>36.021946564885461</v>
          </cell>
          <cell r="G1227">
            <v>7.9444656488555303</v>
          </cell>
          <cell r="H1227">
            <v>7.9444656488555303</v>
          </cell>
          <cell r="I1227" t="e">
            <v>#N/A</v>
          </cell>
          <cell r="J1227" t="e">
            <v>#N/A</v>
          </cell>
          <cell r="K1227">
            <v>26</v>
          </cell>
          <cell r="L1227">
            <v>14.700000000000001</v>
          </cell>
          <cell r="M1227" t="e">
            <v>#N/A</v>
          </cell>
          <cell r="N1227">
            <v>21.200000000000003</v>
          </cell>
          <cell r="O1227" t="e">
            <v>#N/A</v>
          </cell>
          <cell r="P1227" t="str">
            <v/>
          </cell>
          <cell r="Q1227" t="str">
            <v/>
          </cell>
          <cell r="R1227">
            <v>19.900000000000002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-28.654580152671823</v>
          </cell>
          <cell r="F1228">
            <v>36.047709923664087</v>
          </cell>
          <cell r="G1228">
            <v>7.9270992366417898</v>
          </cell>
          <cell r="H1228">
            <v>7.9270992366417898</v>
          </cell>
          <cell r="I1228" t="e">
            <v>#N/A</v>
          </cell>
          <cell r="J1228" t="e">
            <v>#N/A</v>
          </cell>
          <cell r="K1228">
            <v>26</v>
          </cell>
          <cell r="L1228">
            <v>14.700000000000001</v>
          </cell>
          <cell r="M1228" t="e">
            <v>#N/A</v>
          </cell>
          <cell r="N1228">
            <v>21.200000000000003</v>
          </cell>
          <cell r="O1228" t="e">
            <v>#N/A</v>
          </cell>
          <cell r="P1228" t="str">
            <v/>
          </cell>
          <cell r="Q1228" t="str">
            <v/>
          </cell>
          <cell r="R1228">
            <v>19.900000000000002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-28.728053435114571</v>
          </cell>
          <cell r="F1229">
            <v>36.073473282442713</v>
          </cell>
          <cell r="G1229">
            <v>7.9097328244280494</v>
          </cell>
          <cell r="H1229">
            <v>7.9097328244280494</v>
          </cell>
          <cell r="I1229" t="e">
            <v>#N/A</v>
          </cell>
          <cell r="J1229" t="e">
            <v>#N/A</v>
          </cell>
          <cell r="K1229">
            <v>26</v>
          </cell>
          <cell r="L1229">
            <v>14.700000000000001</v>
          </cell>
          <cell r="M1229" t="e">
            <v>#N/A</v>
          </cell>
          <cell r="N1229">
            <v>21.200000000000003</v>
          </cell>
          <cell r="O1229" t="e">
            <v>#N/A</v>
          </cell>
          <cell r="P1229" t="str">
            <v/>
          </cell>
          <cell r="Q1229" t="str">
            <v/>
          </cell>
          <cell r="R1229">
            <v>19.900000000000002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-28.801526717557319</v>
          </cell>
          <cell r="F1230">
            <v>36.099236641221339</v>
          </cell>
          <cell r="G1230">
            <v>7.8923664122143089</v>
          </cell>
          <cell r="H1230">
            <v>7.8923664122143089</v>
          </cell>
          <cell r="I1230" t="e">
            <v>#N/A</v>
          </cell>
          <cell r="J1230" t="e">
            <v>#N/A</v>
          </cell>
          <cell r="K1230">
            <v>26</v>
          </cell>
          <cell r="L1230">
            <v>14.700000000000001</v>
          </cell>
          <cell r="M1230" t="e">
            <v>#N/A</v>
          </cell>
          <cell r="N1230">
            <v>21.200000000000003</v>
          </cell>
          <cell r="O1230" t="e">
            <v>#N/A</v>
          </cell>
          <cell r="P1230" t="str">
            <v/>
          </cell>
          <cell r="Q1230" t="str">
            <v/>
          </cell>
          <cell r="R1230">
            <v>19.900000000000002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-28.875000000000068</v>
          </cell>
          <cell r="F1231">
            <v>36.124999999999964</v>
          </cell>
          <cell r="G1231">
            <v>7.8750000000005684</v>
          </cell>
          <cell r="H1231">
            <v>7.8750000000005684</v>
          </cell>
          <cell r="I1231" t="e">
            <v>#N/A</v>
          </cell>
          <cell r="J1231" t="e">
            <v>#N/A</v>
          </cell>
          <cell r="K1231">
            <v>26</v>
          </cell>
          <cell r="L1231">
            <v>14.700000000000001</v>
          </cell>
          <cell r="M1231" t="e">
            <v>#N/A</v>
          </cell>
          <cell r="N1231">
            <v>21.200000000000003</v>
          </cell>
          <cell r="O1231" t="e">
            <v>#N/A</v>
          </cell>
          <cell r="P1231" t="str">
            <v/>
          </cell>
          <cell r="Q1231" t="str">
            <v/>
          </cell>
          <cell r="R1231">
            <v>19.900000000000002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-28.948473282442816</v>
          </cell>
          <cell r="F1232">
            <v>36.15076335877859</v>
          </cell>
          <cell r="G1232">
            <v>7.857633587786828</v>
          </cell>
          <cell r="H1232">
            <v>7.857633587786828</v>
          </cell>
          <cell r="I1232" t="e">
            <v>#N/A</v>
          </cell>
          <cell r="J1232" t="e">
            <v>#N/A</v>
          </cell>
          <cell r="K1232">
            <v>26</v>
          </cell>
          <cell r="L1232">
            <v>14.700000000000001</v>
          </cell>
          <cell r="M1232" t="e">
            <v>#N/A</v>
          </cell>
          <cell r="N1232">
            <v>21.200000000000003</v>
          </cell>
          <cell r="O1232" t="e">
            <v>#N/A</v>
          </cell>
          <cell r="P1232" t="str">
            <v/>
          </cell>
          <cell r="Q1232" t="str">
            <v/>
          </cell>
          <cell r="R1232">
            <v>19.900000000000002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-29.021946564885564</v>
          </cell>
          <cell r="F1233">
            <v>36.176526717557216</v>
          </cell>
          <cell r="G1233">
            <v>7.8402671755730875</v>
          </cell>
          <cell r="H1233">
            <v>7.8402671755730875</v>
          </cell>
          <cell r="I1233" t="e">
            <v>#N/A</v>
          </cell>
          <cell r="J1233" t="e">
            <v>#N/A</v>
          </cell>
          <cell r="K1233">
            <v>26</v>
          </cell>
          <cell r="L1233">
            <v>14.700000000000001</v>
          </cell>
          <cell r="M1233" t="e">
            <v>#N/A</v>
          </cell>
          <cell r="N1233">
            <v>21.200000000000003</v>
          </cell>
          <cell r="O1233" t="e">
            <v>#N/A</v>
          </cell>
          <cell r="P1233" t="str">
            <v/>
          </cell>
          <cell r="Q1233" t="str">
            <v/>
          </cell>
          <cell r="R1233">
            <v>19.900000000000002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-29.095419847328312</v>
          </cell>
          <cell r="F1234">
            <v>36.202290076335842</v>
          </cell>
          <cell r="G1234">
            <v>7.822900763359347</v>
          </cell>
          <cell r="H1234">
            <v>7.822900763359347</v>
          </cell>
          <cell r="I1234" t="e">
            <v>#N/A</v>
          </cell>
          <cell r="J1234" t="e">
            <v>#N/A</v>
          </cell>
          <cell r="K1234">
            <v>26</v>
          </cell>
          <cell r="L1234">
            <v>14.700000000000001</v>
          </cell>
          <cell r="M1234" t="e">
            <v>#N/A</v>
          </cell>
          <cell r="N1234">
            <v>21.200000000000003</v>
          </cell>
          <cell r="O1234" t="e">
            <v>#N/A</v>
          </cell>
          <cell r="P1234" t="str">
            <v/>
          </cell>
          <cell r="Q1234" t="str">
            <v/>
          </cell>
          <cell r="R1234">
            <v>19.900000000000002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-29.16889312977106</v>
          </cell>
          <cell r="F1235">
            <v>36.228053435114468</v>
          </cell>
          <cell r="G1235">
            <v>7.8055343511456066</v>
          </cell>
          <cell r="H1235">
            <v>7.8055343511456066</v>
          </cell>
          <cell r="I1235" t="e">
            <v>#N/A</v>
          </cell>
          <cell r="J1235" t="e">
            <v>#N/A</v>
          </cell>
          <cell r="K1235">
            <v>26</v>
          </cell>
          <cell r="L1235">
            <v>14.700000000000001</v>
          </cell>
          <cell r="M1235" t="e">
            <v>#N/A</v>
          </cell>
          <cell r="N1235">
            <v>21.200000000000003</v>
          </cell>
          <cell r="O1235" t="e">
            <v>#N/A</v>
          </cell>
          <cell r="P1235" t="str">
            <v/>
          </cell>
          <cell r="Q1235" t="str">
            <v/>
          </cell>
          <cell r="R1235">
            <v>19.900000000000002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-29.242366412213809</v>
          </cell>
          <cell r="F1236">
            <v>36.253816793893094</v>
          </cell>
          <cell r="G1236">
            <v>7.7881679389318661</v>
          </cell>
          <cell r="H1236">
            <v>7.7881679389318661</v>
          </cell>
          <cell r="I1236" t="e">
            <v>#N/A</v>
          </cell>
          <cell r="J1236" t="e">
            <v>#N/A</v>
          </cell>
          <cell r="K1236">
            <v>26</v>
          </cell>
          <cell r="L1236">
            <v>14.700000000000001</v>
          </cell>
          <cell r="M1236" t="e">
            <v>#N/A</v>
          </cell>
          <cell r="N1236">
            <v>21.200000000000003</v>
          </cell>
          <cell r="O1236" t="e">
            <v>#N/A</v>
          </cell>
          <cell r="P1236" t="str">
            <v/>
          </cell>
          <cell r="Q1236" t="str">
            <v/>
          </cell>
          <cell r="R1236">
            <v>19.900000000000002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-29.315839694656557</v>
          </cell>
          <cell r="F1237">
            <v>36.27958015267172</v>
          </cell>
          <cell r="G1237">
            <v>7.7708015267181256</v>
          </cell>
          <cell r="H1237">
            <v>7.7708015267181256</v>
          </cell>
          <cell r="I1237" t="e">
            <v>#N/A</v>
          </cell>
          <cell r="J1237" t="e">
            <v>#N/A</v>
          </cell>
          <cell r="K1237">
            <v>26</v>
          </cell>
          <cell r="L1237">
            <v>14.700000000000001</v>
          </cell>
          <cell r="M1237" t="e">
            <v>#N/A</v>
          </cell>
          <cell r="N1237">
            <v>21.200000000000003</v>
          </cell>
          <cell r="O1237" t="e">
            <v>#N/A</v>
          </cell>
          <cell r="P1237" t="str">
            <v/>
          </cell>
          <cell r="Q1237" t="str">
            <v/>
          </cell>
          <cell r="R1237">
            <v>19.900000000000002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-29.389312977099305</v>
          </cell>
          <cell r="F1238">
            <v>36.305343511450346</v>
          </cell>
          <cell r="G1238">
            <v>7.7534351145043852</v>
          </cell>
          <cell r="H1238">
            <v>7.7534351145043852</v>
          </cell>
          <cell r="I1238" t="e">
            <v>#N/A</v>
          </cell>
          <cell r="J1238" t="e">
            <v>#N/A</v>
          </cell>
          <cell r="K1238">
            <v>26</v>
          </cell>
          <cell r="L1238">
            <v>14.700000000000001</v>
          </cell>
          <cell r="M1238" t="e">
            <v>#N/A</v>
          </cell>
          <cell r="N1238">
            <v>21.200000000000003</v>
          </cell>
          <cell r="O1238" t="e">
            <v>#N/A</v>
          </cell>
          <cell r="P1238" t="str">
            <v/>
          </cell>
          <cell r="Q1238" t="str">
            <v/>
          </cell>
          <cell r="R1238">
            <v>19.900000000000002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-29.462786259542053</v>
          </cell>
          <cell r="F1239">
            <v>36.331106870228972</v>
          </cell>
          <cell r="G1239">
            <v>7.7360687022906447</v>
          </cell>
          <cell r="H1239">
            <v>7.7360687022906447</v>
          </cell>
          <cell r="I1239" t="e">
            <v>#N/A</v>
          </cell>
          <cell r="J1239" t="e">
            <v>#N/A</v>
          </cell>
          <cell r="K1239">
            <v>26</v>
          </cell>
          <cell r="L1239">
            <v>14.700000000000001</v>
          </cell>
          <cell r="M1239" t="e">
            <v>#N/A</v>
          </cell>
          <cell r="N1239">
            <v>21.200000000000003</v>
          </cell>
          <cell r="O1239" t="e">
            <v>#N/A</v>
          </cell>
          <cell r="P1239" t="str">
            <v/>
          </cell>
          <cell r="Q1239" t="str">
            <v/>
          </cell>
          <cell r="R1239">
            <v>19.900000000000002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-29.536259541984801</v>
          </cell>
          <cell r="F1240">
            <v>36.356870229007598</v>
          </cell>
          <cell r="G1240">
            <v>7.7187022900769042</v>
          </cell>
          <cell r="H1240">
            <v>7.7187022900769042</v>
          </cell>
          <cell r="I1240" t="e">
            <v>#N/A</v>
          </cell>
          <cell r="J1240" t="e">
            <v>#N/A</v>
          </cell>
          <cell r="K1240">
            <v>26</v>
          </cell>
          <cell r="L1240">
            <v>14.700000000000001</v>
          </cell>
          <cell r="M1240" t="e">
            <v>#N/A</v>
          </cell>
          <cell r="N1240">
            <v>21.200000000000003</v>
          </cell>
          <cell r="O1240" t="e">
            <v>#N/A</v>
          </cell>
          <cell r="P1240" t="str">
            <v/>
          </cell>
          <cell r="Q1240" t="str">
            <v/>
          </cell>
          <cell r="R1240">
            <v>19.900000000000002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-29.60973282442755</v>
          </cell>
          <cell r="F1241">
            <v>36.382633587786223</v>
          </cell>
          <cell r="G1241">
            <v>7.7013358778631638</v>
          </cell>
          <cell r="H1241">
            <v>7.7013358778631638</v>
          </cell>
          <cell r="I1241" t="e">
            <v>#N/A</v>
          </cell>
          <cell r="J1241" t="e">
            <v>#N/A</v>
          </cell>
          <cell r="K1241">
            <v>26</v>
          </cell>
          <cell r="L1241">
            <v>14.700000000000001</v>
          </cell>
          <cell r="M1241" t="e">
            <v>#N/A</v>
          </cell>
          <cell r="N1241">
            <v>21.200000000000003</v>
          </cell>
          <cell r="O1241" t="e">
            <v>#N/A</v>
          </cell>
          <cell r="P1241" t="str">
            <v/>
          </cell>
          <cell r="Q1241" t="str">
            <v/>
          </cell>
          <cell r="R1241">
            <v>19.900000000000002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-29.683206106870298</v>
          </cell>
          <cell r="F1242">
            <v>36.408396946564849</v>
          </cell>
          <cell r="G1242">
            <v>7.6839694656494233</v>
          </cell>
          <cell r="H1242">
            <v>7.6839694656494233</v>
          </cell>
          <cell r="I1242" t="e">
            <v>#N/A</v>
          </cell>
          <cell r="J1242" t="e">
            <v>#N/A</v>
          </cell>
          <cell r="K1242">
            <v>26</v>
          </cell>
          <cell r="L1242">
            <v>14.700000000000001</v>
          </cell>
          <cell r="M1242" t="e">
            <v>#N/A</v>
          </cell>
          <cell r="N1242">
            <v>21.200000000000003</v>
          </cell>
          <cell r="O1242" t="e">
            <v>#N/A</v>
          </cell>
          <cell r="P1242" t="str">
            <v/>
          </cell>
          <cell r="Q1242" t="str">
            <v/>
          </cell>
          <cell r="R1242">
            <v>19.900000000000002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-29.756679389313046</v>
          </cell>
          <cell r="F1243">
            <v>36.434160305343475</v>
          </cell>
          <cell r="G1243">
            <v>7.6666030534356828</v>
          </cell>
          <cell r="H1243">
            <v>7.6666030534356828</v>
          </cell>
          <cell r="I1243" t="e">
            <v>#N/A</v>
          </cell>
          <cell r="J1243" t="e">
            <v>#N/A</v>
          </cell>
          <cell r="K1243">
            <v>26</v>
          </cell>
          <cell r="L1243">
            <v>14.700000000000001</v>
          </cell>
          <cell r="M1243" t="e">
            <v>#N/A</v>
          </cell>
          <cell r="N1243">
            <v>21.200000000000003</v>
          </cell>
          <cell r="O1243" t="e">
            <v>#N/A</v>
          </cell>
          <cell r="P1243" t="str">
            <v/>
          </cell>
          <cell r="Q1243" t="str">
            <v/>
          </cell>
          <cell r="R1243">
            <v>19.900000000000002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-29.830152671755794</v>
          </cell>
          <cell r="F1244">
            <v>36.459923664122101</v>
          </cell>
          <cell r="G1244">
            <v>7.6492366412219424</v>
          </cell>
          <cell r="H1244">
            <v>7.6492366412219424</v>
          </cell>
          <cell r="I1244" t="e">
            <v>#N/A</v>
          </cell>
          <cell r="J1244" t="e">
            <v>#N/A</v>
          </cell>
          <cell r="K1244">
            <v>26</v>
          </cell>
          <cell r="L1244">
            <v>14.700000000000001</v>
          </cell>
          <cell r="M1244" t="e">
            <v>#N/A</v>
          </cell>
          <cell r="N1244">
            <v>21.200000000000003</v>
          </cell>
          <cell r="O1244" t="e">
            <v>#N/A</v>
          </cell>
          <cell r="P1244" t="str">
            <v/>
          </cell>
          <cell r="Q1244" t="str">
            <v/>
          </cell>
          <cell r="R1244">
            <v>19.900000000000002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-29.903625954198542</v>
          </cell>
          <cell r="F1245">
            <v>36.485687022900727</v>
          </cell>
          <cell r="G1245">
            <v>7.6318702290082019</v>
          </cell>
          <cell r="H1245">
            <v>7.6318702290082019</v>
          </cell>
          <cell r="I1245" t="e">
            <v>#N/A</v>
          </cell>
          <cell r="J1245" t="e">
            <v>#N/A</v>
          </cell>
          <cell r="K1245">
            <v>26</v>
          </cell>
          <cell r="L1245">
            <v>14.700000000000001</v>
          </cell>
          <cell r="M1245" t="e">
            <v>#N/A</v>
          </cell>
          <cell r="N1245">
            <v>21.200000000000003</v>
          </cell>
          <cell r="O1245" t="e">
            <v>#N/A</v>
          </cell>
          <cell r="P1245" t="str">
            <v/>
          </cell>
          <cell r="Q1245" t="str">
            <v/>
          </cell>
          <cell r="R1245">
            <v>19.900000000000002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-29.977099236641291</v>
          </cell>
          <cell r="F1246">
            <v>36.511450381679353</v>
          </cell>
          <cell r="G1246">
            <v>7.6145038167944614</v>
          </cell>
          <cell r="H1246">
            <v>7.6145038167944614</v>
          </cell>
          <cell r="I1246" t="e">
            <v>#N/A</v>
          </cell>
          <cell r="J1246" t="e">
            <v>#N/A</v>
          </cell>
          <cell r="K1246">
            <v>26</v>
          </cell>
          <cell r="L1246">
            <v>14.700000000000001</v>
          </cell>
          <cell r="M1246" t="e">
            <v>#N/A</v>
          </cell>
          <cell r="N1246">
            <v>21.200000000000003</v>
          </cell>
          <cell r="O1246" t="e">
            <v>#N/A</v>
          </cell>
          <cell r="P1246" t="str">
            <v/>
          </cell>
          <cell r="Q1246" t="str">
            <v/>
          </cell>
          <cell r="R1246">
            <v>19.900000000000002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-30.050572519084039</v>
          </cell>
          <cell r="F1247">
            <v>36.537213740457979</v>
          </cell>
          <cell r="G1247">
            <v>7.597137404580721</v>
          </cell>
          <cell r="H1247">
            <v>7.597137404580721</v>
          </cell>
          <cell r="I1247" t="e">
            <v>#N/A</v>
          </cell>
          <cell r="J1247" t="e">
            <v>#N/A</v>
          </cell>
          <cell r="K1247">
            <v>26</v>
          </cell>
          <cell r="L1247">
            <v>14.700000000000001</v>
          </cell>
          <cell r="M1247" t="e">
            <v>#N/A</v>
          </cell>
          <cell r="N1247">
            <v>21.200000000000003</v>
          </cell>
          <cell r="O1247" t="e">
            <v>#N/A</v>
          </cell>
          <cell r="P1247" t="str">
            <v/>
          </cell>
          <cell r="Q1247" t="str">
            <v/>
          </cell>
          <cell r="R1247">
            <v>19.900000000000002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-30.124045801526787</v>
          </cell>
          <cell r="F1248">
            <v>36.562977099236605</v>
          </cell>
          <cell r="G1248">
            <v>7.5797709923669805</v>
          </cell>
          <cell r="H1248">
            <v>7.5797709923669805</v>
          </cell>
          <cell r="I1248" t="e">
            <v>#N/A</v>
          </cell>
          <cell r="J1248" t="e">
            <v>#N/A</v>
          </cell>
          <cell r="K1248">
            <v>26</v>
          </cell>
          <cell r="L1248">
            <v>14.700000000000001</v>
          </cell>
          <cell r="M1248" t="e">
            <v>#N/A</v>
          </cell>
          <cell r="N1248">
            <v>21.200000000000003</v>
          </cell>
          <cell r="O1248" t="e">
            <v>#N/A</v>
          </cell>
          <cell r="P1248" t="str">
            <v/>
          </cell>
          <cell r="Q1248" t="str">
            <v/>
          </cell>
          <cell r="R1248">
            <v>19.900000000000002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-30.197519083969535</v>
          </cell>
          <cell r="F1249">
            <v>36.588740458015231</v>
          </cell>
          <cell r="G1249">
            <v>7.56240458015324</v>
          </cell>
          <cell r="H1249">
            <v>7.56240458015324</v>
          </cell>
          <cell r="I1249" t="e">
            <v>#N/A</v>
          </cell>
          <cell r="J1249" t="e">
            <v>#N/A</v>
          </cell>
          <cell r="K1249">
            <v>26</v>
          </cell>
          <cell r="L1249">
            <v>14.700000000000001</v>
          </cell>
          <cell r="M1249" t="e">
            <v>#N/A</v>
          </cell>
          <cell r="N1249">
            <v>21.200000000000003</v>
          </cell>
          <cell r="O1249" t="e">
            <v>#N/A</v>
          </cell>
          <cell r="P1249" t="str">
            <v/>
          </cell>
          <cell r="Q1249" t="str">
            <v/>
          </cell>
          <cell r="R1249">
            <v>19.900000000000002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-30.270992366412283</v>
          </cell>
          <cell r="F1250">
            <v>36.614503816793857</v>
          </cell>
          <cell r="G1250">
            <v>7.5450381679394996</v>
          </cell>
          <cell r="H1250">
            <v>7.5450381679394996</v>
          </cell>
          <cell r="I1250" t="e">
            <v>#N/A</v>
          </cell>
          <cell r="J1250" t="e">
            <v>#N/A</v>
          </cell>
          <cell r="K1250">
            <v>26</v>
          </cell>
          <cell r="L1250">
            <v>14.700000000000001</v>
          </cell>
          <cell r="M1250" t="e">
            <v>#N/A</v>
          </cell>
          <cell r="N1250">
            <v>21.200000000000003</v>
          </cell>
          <cell r="O1250" t="e">
            <v>#N/A</v>
          </cell>
          <cell r="P1250" t="str">
            <v/>
          </cell>
          <cell r="Q1250" t="str">
            <v/>
          </cell>
          <cell r="R1250">
            <v>19.900000000000002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-30.344465648855032</v>
          </cell>
          <cell r="F1251">
            <v>36.640267175572482</v>
          </cell>
          <cell r="G1251">
            <v>7.5276717557257591</v>
          </cell>
          <cell r="H1251">
            <v>7.5276717557257591</v>
          </cell>
          <cell r="I1251" t="e">
            <v>#N/A</v>
          </cell>
          <cell r="J1251" t="e">
            <v>#N/A</v>
          </cell>
          <cell r="K1251">
            <v>26</v>
          </cell>
          <cell r="L1251">
            <v>14.700000000000001</v>
          </cell>
          <cell r="M1251" t="e">
            <v>#N/A</v>
          </cell>
          <cell r="N1251">
            <v>21.200000000000003</v>
          </cell>
          <cell r="O1251" t="e">
            <v>#N/A</v>
          </cell>
          <cell r="P1251" t="str">
            <v/>
          </cell>
          <cell r="Q1251" t="str">
            <v/>
          </cell>
          <cell r="R1251">
            <v>19.900000000000002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-30.41793893129778</v>
          </cell>
          <cell r="F1252">
            <v>36.666030534351108</v>
          </cell>
          <cell r="G1252">
            <v>7.5103053435120186</v>
          </cell>
          <cell r="H1252">
            <v>7.5103053435120186</v>
          </cell>
          <cell r="I1252" t="e">
            <v>#N/A</v>
          </cell>
          <cell r="J1252" t="e">
            <v>#N/A</v>
          </cell>
          <cell r="K1252">
            <v>26</v>
          </cell>
          <cell r="L1252">
            <v>14.700000000000001</v>
          </cell>
          <cell r="M1252" t="e">
            <v>#N/A</v>
          </cell>
          <cell r="N1252">
            <v>21.200000000000003</v>
          </cell>
          <cell r="O1252" t="e">
            <v>#N/A</v>
          </cell>
          <cell r="P1252" t="str">
            <v/>
          </cell>
          <cell r="Q1252" t="str">
            <v/>
          </cell>
          <cell r="R1252">
            <v>19.900000000000002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18" refreshError="1">
        <row r="1">
          <cell r="T1" t="str">
            <v>SmartCharts</v>
          </cell>
          <cell r="BO1" t="str">
            <v>.</v>
          </cell>
        </row>
        <row r="2">
          <cell r="BO2" t="str">
            <v>.</v>
          </cell>
        </row>
        <row r="3">
          <cell r="BO3" t="str">
            <v>.</v>
          </cell>
        </row>
        <row r="5">
          <cell r="G5" t="str">
            <v>Suggested Exhibit Title: "Key Value Drivers: Our Inputs and the Impact on Scenario Values"</v>
          </cell>
        </row>
        <row r="10">
          <cell r="D10" t="str">
            <v>Input values in white cells:</v>
          </cell>
        </row>
        <row r="11">
          <cell r="AG11">
            <v>11.099999999999994</v>
          </cell>
        </row>
        <row r="12">
          <cell r="C12" t="str">
            <v>Base case:</v>
          </cell>
          <cell r="D12">
            <v>19.900000000000002</v>
          </cell>
          <cell r="AG12">
            <v>0.1</v>
          </cell>
        </row>
        <row r="14">
          <cell r="C14" t="str">
            <v>Current price:</v>
          </cell>
          <cell r="D14">
            <v>19.25</v>
          </cell>
          <cell r="AF14">
            <v>-2.4000000000000021</v>
          </cell>
        </row>
        <row r="15">
          <cell r="AF15">
            <v>2.3999999999999986</v>
          </cell>
        </row>
        <row r="16">
          <cell r="C16" t="str">
            <v>Price target:</v>
          </cell>
          <cell r="D16">
            <v>21.200000000000003</v>
          </cell>
        </row>
        <row r="18">
          <cell r="AF18" t="str">
            <v>Bear</v>
          </cell>
          <cell r="AH18" t="str">
            <v>Base</v>
          </cell>
          <cell r="AK18" t="str">
            <v>Bull</v>
          </cell>
        </row>
        <row r="19">
          <cell r="E19" t="str">
            <v>Input your Bull/Bear data below:</v>
          </cell>
          <cell r="AE19">
            <v>-5.2000000000000064</v>
          </cell>
          <cell r="AF19">
            <v>-5.2000000000000064</v>
          </cell>
          <cell r="AH19">
            <v>19.900000000000002</v>
          </cell>
          <cell r="AK19">
            <v>6.0999999999999872</v>
          </cell>
          <cell r="AM19">
            <v>6.0999999999999872</v>
          </cell>
        </row>
        <row r="20">
          <cell r="E20" t="str">
            <v>(Input "to Bear" values as negatives)</v>
          </cell>
          <cell r="AF20" t="str">
            <v>bear_labels</v>
          </cell>
          <cell r="AG20" t="str">
            <v>-bear</v>
          </cell>
          <cell r="AH20" t="str">
            <v>-space1</v>
          </cell>
          <cell r="AI20" t="str">
            <v>+space1</v>
          </cell>
          <cell r="AJ20" t="str">
            <v>+bull</v>
          </cell>
          <cell r="AK20" t="str">
            <v>bull_labels</v>
          </cell>
        </row>
        <row r="21">
          <cell r="D21" t="str">
            <v>to Bear</v>
          </cell>
          <cell r="E21" t="str">
            <v>to Bull</v>
          </cell>
          <cell r="AE21">
            <v>-5.2000000000000064</v>
          </cell>
          <cell r="AM21">
            <v>6.0999999999999872</v>
          </cell>
        </row>
        <row r="22">
          <cell r="C22" t="str">
            <v>Zr, Ru, SR, AUD pricing</v>
          </cell>
          <cell r="D22">
            <v>-1.1000000000000014</v>
          </cell>
          <cell r="E22">
            <v>1.5999999999999943</v>
          </cell>
          <cell r="AE22">
            <v>-5.2000000000000064</v>
          </cell>
          <cell r="AF22">
            <v>-1.1099999999999994</v>
          </cell>
          <cell r="AG22">
            <v>-1.1000000000000014</v>
          </cell>
          <cell r="AH22">
            <v>0</v>
          </cell>
          <cell r="AI22">
            <v>0</v>
          </cell>
          <cell r="AJ22">
            <v>1.5999999999999943</v>
          </cell>
          <cell r="AK22">
            <v>1.1099999999999994</v>
          </cell>
          <cell r="AL22">
            <v>2.7099999999999937</v>
          </cell>
          <cell r="AM22">
            <v>6.0999999999999872</v>
          </cell>
        </row>
        <row r="23">
          <cell r="C23" t="str">
            <v>Iron ore pricing</v>
          </cell>
          <cell r="D23">
            <v>-0.40000000000000213</v>
          </cell>
          <cell r="E23">
            <v>1.1999999999999993</v>
          </cell>
          <cell r="AE23">
            <v>-5.2000000000000064</v>
          </cell>
          <cell r="AF23">
            <v>-1.1099999999999994</v>
          </cell>
          <cell r="AG23">
            <v>-0.40000000000000213</v>
          </cell>
          <cell r="AH23">
            <v>-1.1000000000000014</v>
          </cell>
          <cell r="AI23">
            <v>1.5999999999999943</v>
          </cell>
          <cell r="AJ23">
            <v>1.1999999999999993</v>
          </cell>
          <cell r="AK23">
            <v>1.1099999999999994</v>
          </cell>
          <cell r="AL23">
            <v>3.909999999999993</v>
          </cell>
          <cell r="AM23">
            <v>6.0999999999999872</v>
          </cell>
        </row>
        <row r="24">
          <cell r="C24" t="str">
            <v>Production</v>
          </cell>
          <cell r="D24">
            <v>-2.4000000000000021</v>
          </cell>
          <cell r="E24">
            <v>2.3999999999999986</v>
          </cell>
          <cell r="AE24">
            <v>-5.2000000000000064</v>
          </cell>
          <cell r="AF24">
            <v>-1.1099999999999994</v>
          </cell>
          <cell r="AG24">
            <v>-2.4000000000000021</v>
          </cell>
          <cell r="AH24">
            <v>-1.5000000000000036</v>
          </cell>
          <cell r="AI24">
            <v>2.7999999999999936</v>
          </cell>
          <cell r="AJ24">
            <v>2.3999999999999986</v>
          </cell>
          <cell r="AK24">
            <v>1.1099999999999994</v>
          </cell>
          <cell r="AL24">
            <v>6.3099999999999916</v>
          </cell>
          <cell r="AM24">
            <v>6.0999999999999872</v>
          </cell>
          <cell r="AO24" t="str">
            <v/>
          </cell>
        </row>
        <row r="25">
          <cell r="C25" t="str">
            <v>Cash costs</v>
          </cell>
          <cell r="D25">
            <v>-1</v>
          </cell>
          <cell r="E25">
            <v>0.69999999999999929</v>
          </cell>
          <cell r="AE25">
            <v>-5.2000000000000064</v>
          </cell>
          <cell r="AF25">
            <v>-1.1099999999999994</v>
          </cell>
          <cell r="AG25">
            <v>-1</v>
          </cell>
          <cell r="AH25">
            <v>-3.9000000000000057</v>
          </cell>
          <cell r="AI25">
            <v>5.1999999999999922</v>
          </cell>
          <cell r="AJ25">
            <v>0.69999999999999929</v>
          </cell>
          <cell r="AK25">
            <v>1.1099999999999994</v>
          </cell>
          <cell r="AL25">
            <v>7.0099999999999909</v>
          </cell>
          <cell r="AM25">
            <v>6.0999999999999872</v>
          </cell>
          <cell r="AO25" t="str">
            <v/>
          </cell>
        </row>
        <row r="26">
          <cell r="C26" t="str">
            <v>Cap Ex</v>
          </cell>
          <cell r="D26">
            <v>-0.19999999999999929</v>
          </cell>
          <cell r="E26">
            <v>9.9999999999997868E-2</v>
          </cell>
          <cell r="AE26">
            <v>-5.2000000000000064</v>
          </cell>
          <cell r="AF26">
            <v>-1.1099999999999994</v>
          </cell>
          <cell r="AG26">
            <v>-0.19999999999999929</v>
          </cell>
          <cell r="AH26">
            <v>-4.9000000000000057</v>
          </cell>
          <cell r="AI26">
            <v>5.8999999999999915</v>
          </cell>
          <cell r="AJ26">
            <v>9.9999999999997868E-2</v>
          </cell>
          <cell r="AK26">
            <v>1.1099999999999994</v>
          </cell>
          <cell r="AL26">
            <v>7.1099999999999888</v>
          </cell>
          <cell r="AM26">
            <v>6.0999999999999872</v>
          </cell>
          <cell r="AO26" t="str">
            <v/>
          </cell>
        </row>
        <row r="27">
          <cell r="C27" t="str">
            <v>Exploration</v>
          </cell>
          <cell r="D27">
            <v>-0.10000000000000142</v>
          </cell>
          <cell r="E27">
            <v>9.9999999999997868E-2</v>
          </cell>
          <cell r="AE27">
            <v>-5.2000000000000064</v>
          </cell>
          <cell r="AF27">
            <v>-1.1099999999999994</v>
          </cell>
          <cell r="AG27">
            <v>-0.10000000000000142</v>
          </cell>
          <cell r="AH27">
            <v>-5.100000000000005</v>
          </cell>
          <cell r="AI27">
            <v>5.9999999999999893</v>
          </cell>
          <cell r="AJ27">
            <v>9.9999999999997868E-2</v>
          </cell>
          <cell r="AK27">
            <v>1.1099999999999994</v>
          </cell>
          <cell r="AL27">
            <v>7.2099999999999866</v>
          </cell>
          <cell r="AM27">
            <v>6.0999999999999872</v>
          </cell>
          <cell r="AO27" t="str">
            <v/>
          </cell>
        </row>
        <row r="28">
          <cell r="D28">
            <v>14.700000000000001</v>
          </cell>
          <cell r="E28">
            <v>26</v>
          </cell>
          <cell r="AH28">
            <v>-5.100000000000005</v>
          </cell>
          <cell r="AI28">
            <v>5.9999999999999893</v>
          </cell>
          <cell r="AO28" t="str">
            <v/>
          </cell>
        </row>
        <row r="29">
          <cell r="D29" t="str">
            <v>BEAR</v>
          </cell>
          <cell r="E29" t="str">
            <v>BULL</v>
          </cell>
          <cell r="AO29" t="str">
            <v>Curr.
Price
19.25</v>
          </cell>
        </row>
        <row r="31">
          <cell r="C31" t="str">
            <v>Select currency here:</v>
          </cell>
          <cell r="AF31" t="str">
            <v>-space1</v>
          </cell>
          <cell r="AG31" t="str">
            <v>-bear</v>
          </cell>
          <cell r="AH31" t="str">
            <v>bear_labels</v>
          </cell>
          <cell r="AI31" t="str">
            <v>+space1</v>
          </cell>
          <cell r="AJ31" t="str">
            <v>+bull</v>
          </cell>
          <cell r="AK31" t="str">
            <v>bull_labels</v>
          </cell>
          <cell r="AL31" t="str">
            <v>Bear 14.70</v>
          </cell>
          <cell r="AM31" t="str">
            <v>Base 19.90</v>
          </cell>
          <cell r="AN31" t="str">
            <v>Bull 26.00</v>
          </cell>
          <cell r="AO31" t="str">
            <v>Curr.
Price
19.25</v>
          </cell>
          <cell r="AQ31" t="str">
            <v>Target 21.20</v>
          </cell>
        </row>
        <row r="33">
          <cell r="E33" t="str">
            <v/>
          </cell>
          <cell r="AE33" t="str">
            <v>Zr, Ru, SR, AUD pricing</v>
          </cell>
          <cell r="AF33">
            <v>0</v>
          </cell>
          <cell r="AG33">
            <v>-1.1000000000000014</v>
          </cell>
          <cell r="AI33">
            <v>0</v>
          </cell>
          <cell r="AJ33">
            <v>1.5999999999999943</v>
          </cell>
          <cell r="AK33">
            <v>1.1099999999999994</v>
          </cell>
          <cell r="AL33">
            <v>-5.2000000000000064</v>
          </cell>
          <cell r="AM33">
            <v>0</v>
          </cell>
          <cell r="AN33">
            <v>6.0999999999999872</v>
          </cell>
          <cell r="AO33">
            <v>-0.65000000000000213</v>
          </cell>
          <cell r="AQ33">
            <v>1.3000000000000007</v>
          </cell>
        </row>
        <row r="34">
          <cell r="D34" t="str">
            <v>other currency</v>
          </cell>
          <cell r="AE34" t="str">
            <v>Iron ore pricing</v>
          </cell>
          <cell r="AF34">
            <v>-1.1000000000000014</v>
          </cell>
          <cell r="AG34">
            <v>-0.40000000000000213</v>
          </cell>
          <cell r="AI34">
            <v>1.5999999999999943</v>
          </cell>
          <cell r="AJ34">
            <v>1.1999999999999993</v>
          </cell>
          <cell r="AK34">
            <v>1.1099999999999994</v>
          </cell>
          <cell r="AL34">
            <v>-5.2000000000000064</v>
          </cell>
          <cell r="AM34">
            <v>0</v>
          </cell>
          <cell r="AN34">
            <v>6.0999999999999872</v>
          </cell>
          <cell r="AO34">
            <v>-0.65000000000000213</v>
          </cell>
        </row>
        <row r="35">
          <cell r="AE35" t="str">
            <v>Production</v>
          </cell>
          <cell r="AF35">
            <v>-1.5000000000000036</v>
          </cell>
          <cell r="AG35">
            <v>-2.4000000000000021</v>
          </cell>
          <cell r="AI35">
            <v>2.7999999999999936</v>
          </cell>
          <cell r="AJ35">
            <v>2.3999999999999986</v>
          </cell>
          <cell r="AK35">
            <v>1.1099999999999994</v>
          </cell>
          <cell r="AL35">
            <v>-5.2000000000000064</v>
          </cell>
          <cell r="AM35">
            <v>0</v>
          </cell>
          <cell r="AN35">
            <v>6.0999999999999872</v>
          </cell>
          <cell r="AO35">
            <v>-0.65000000000000213</v>
          </cell>
        </row>
        <row r="36">
          <cell r="AE36" t="str">
            <v>Cash costs</v>
          </cell>
          <cell r="AF36">
            <v>-3.9000000000000057</v>
          </cell>
          <cell r="AG36">
            <v>-1</v>
          </cell>
          <cell r="AI36">
            <v>5.1999999999999922</v>
          </cell>
          <cell r="AJ36">
            <v>0.69999999999999929</v>
          </cell>
          <cell r="AK36">
            <v>1.1099999999999994</v>
          </cell>
          <cell r="AL36">
            <v>-5.2000000000000064</v>
          </cell>
          <cell r="AM36">
            <v>0</v>
          </cell>
          <cell r="AN36">
            <v>6.0999999999999872</v>
          </cell>
          <cell r="AO36">
            <v>-0.65000000000000213</v>
          </cell>
        </row>
        <row r="37">
          <cell r="D37" t="str">
            <v>Enter assumption</v>
          </cell>
          <cell r="AE37" t="str">
            <v>Cap Ex</v>
          </cell>
          <cell r="AF37">
            <v>-4.9000000000000057</v>
          </cell>
          <cell r="AG37">
            <v>-0.19999999999999929</v>
          </cell>
          <cell r="AI37">
            <v>5.8999999999999915</v>
          </cell>
          <cell r="AJ37">
            <v>9.9999999999997868E-2</v>
          </cell>
          <cell r="AK37">
            <v>1.1099999999999994</v>
          </cell>
          <cell r="AL37">
            <v>-5.2000000000000064</v>
          </cell>
          <cell r="AM37">
            <v>0</v>
          </cell>
          <cell r="AN37">
            <v>6.0999999999999872</v>
          </cell>
          <cell r="AO37">
            <v>-0.65000000000000213</v>
          </cell>
        </row>
        <row r="38">
          <cell r="D38" t="str">
            <v>values directly</v>
          </cell>
          <cell r="I38" t="str">
            <v>Bull</v>
          </cell>
          <cell r="J38" t="str">
            <v>105%-120%</v>
          </cell>
          <cell r="K38">
            <v>1.3</v>
          </cell>
          <cell r="L38" t="str">
            <v>110%-110%</v>
          </cell>
          <cell r="M38">
            <v>0.9</v>
          </cell>
          <cell r="N38">
            <v>0.9</v>
          </cell>
          <cell r="P38">
            <v>1.3</v>
          </cell>
          <cell r="AE38" t="str">
            <v>Exploration</v>
          </cell>
          <cell r="AF38">
            <v>-5.100000000000005</v>
          </cell>
          <cell r="AG38">
            <v>-0.10000000000000142</v>
          </cell>
          <cell r="AI38">
            <v>5.9999999999999893</v>
          </cell>
          <cell r="AJ38">
            <v>9.9999999999997868E-2</v>
          </cell>
          <cell r="AK38">
            <v>1.1099999999999994</v>
          </cell>
          <cell r="AL38">
            <v>-5.2000000000000064</v>
          </cell>
          <cell r="AM38">
            <v>0</v>
          </cell>
          <cell r="AN38">
            <v>6.0999999999999872</v>
          </cell>
          <cell r="AO38">
            <v>-0.65000000000000213</v>
          </cell>
        </row>
        <row r="39">
          <cell r="D39" t="str">
            <v>in white cells</v>
          </cell>
          <cell r="E39" t="str">
            <v>è</v>
          </cell>
          <cell r="H39" t="str">
            <v>Inputs</v>
          </cell>
          <cell r="I39" t="str">
            <v>Base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1</v>
          </cell>
          <cell r="P39">
            <v>1</v>
          </cell>
          <cell r="AL39">
            <v>-5.2000000000000064</v>
          </cell>
          <cell r="AM39">
            <v>0</v>
          </cell>
          <cell r="AN39">
            <v>6.0999999999999872</v>
          </cell>
          <cell r="AO39">
            <v>-0.65000000000000213</v>
          </cell>
        </row>
        <row r="40">
          <cell r="I40" t="str">
            <v>Bear</v>
          </cell>
          <cell r="J40" t="str">
            <v>80%-100%</v>
          </cell>
          <cell r="K40">
            <v>0.9</v>
          </cell>
          <cell r="L40" t="str">
            <v>90%-90%</v>
          </cell>
          <cell r="M40">
            <v>1.1499999999999999</v>
          </cell>
          <cell r="N40">
            <v>1.2</v>
          </cell>
          <cell r="P40">
            <v>0.7</v>
          </cell>
          <cell r="AD40">
            <v>1</v>
          </cell>
          <cell r="AE40" t="str">
            <v>$</v>
          </cell>
          <cell r="AF40">
            <v>1</v>
          </cell>
          <cell r="AH40" t="str">
            <v>All values are in $</v>
          </cell>
          <cell r="AL40">
            <v>-5.2000000000000064</v>
          </cell>
          <cell r="AM40">
            <v>0</v>
          </cell>
          <cell r="AN40">
            <v>6.0999999999999872</v>
          </cell>
          <cell r="AO40">
            <v>-0.65000000000000213</v>
          </cell>
        </row>
        <row r="41">
          <cell r="P41" t="str">
            <v>\</v>
          </cell>
          <cell r="AD41">
            <v>2</v>
          </cell>
          <cell r="AE41" t="str">
            <v>€</v>
          </cell>
        </row>
        <row r="42">
          <cell r="AD42">
            <v>3</v>
          </cell>
          <cell r="AE42" t="str">
            <v>¥</v>
          </cell>
          <cell r="AH42" t="str">
            <v>Value Drivers</v>
          </cell>
        </row>
        <row r="43">
          <cell r="AD43">
            <v>4</v>
          </cell>
          <cell r="AE43" t="str">
            <v>Other (input below)</v>
          </cell>
          <cell r="AH43" t="str">
            <v>Impact ($/share)</v>
          </cell>
        </row>
        <row r="44">
          <cell r="H44" t="str">
            <v>click here for link to SmartChart FAQ</v>
          </cell>
        </row>
        <row r="46">
          <cell r="G46" t="str">
            <v>Do not change the width of the exhibit or font sizes (they are optimized for export to Word).</v>
          </cell>
        </row>
        <row r="48">
          <cell r="G48" t="str">
            <v>Do not delete any rows or columns (some gray cells are used for calculations).</v>
          </cell>
          <cell r="AL48" t="str">
            <v>s</v>
          </cell>
        </row>
        <row r="50">
          <cell r="G50" t="str">
            <v>You can move the worksheet into another workbook (please use MOVE; do not COPY)</v>
          </cell>
        </row>
        <row r="52">
          <cell r="G52" t="str">
            <v>Color palette may be affected after moving the worksheet to another workbook. See instructions in FAQ on the intranet</v>
          </cell>
        </row>
      </sheetData>
      <sheetData sheetId="19"/>
      <sheetData sheetId="20"/>
      <sheetData sheetId="21"/>
      <sheetData sheetId="2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D IBES Prospective"/>
      <sheetName val="Contracts"/>
      <sheetName val="Contracts (2)"/>
      <sheetName val="Work Book DecH10"/>
      <sheetName val="ABARE Oct-08"/>
      <sheetName val="ABARE Apr-09"/>
      <sheetName val="ABARE Oct-09"/>
      <sheetName val="M&amp;E major projects - April 2010"/>
      <sheetName val="M&amp;E major projects - Octob 2010"/>
      <sheetName val="Sheet2"/>
      <sheetName val="Guarantees"/>
      <sheetName val="NFK"/>
      <sheetName val="CFS Data"/>
      <sheetName val="MND"/>
      <sheetName val="Charts for Initiation"/>
      <sheetName val="Sheet1"/>
      <sheetName val="Financial Tables"/>
      <sheetName val="Financial Tables (MSSB)"/>
      <sheetName val="Results Summary"/>
      <sheetName val="Charts"/>
      <sheetName val="Issued Capital"/>
      <sheetName val="Inputs"/>
      <sheetName val="Dividend Schedule"/>
      <sheetName val="DCF Table for Note"/>
      <sheetName val="Valuation Summary"/>
      <sheetName val="DCF"/>
      <sheetName val="WACC"/>
      <sheetName val="Inverted DCF"/>
      <sheetName val="PE Relative"/>
      <sheetName val="Sum of Parts (2009)"/>
      <sheetName val="Sum of Parts (2010)"/>
      <sheetName val="Sum of Parts (2012)"/>
      <sheetName val="Sum of Parts (2013)"/>
      <sheetName val="DDM"/>
      <sheetName val="Profit Decomposition"/>
      <sheetName val="Du Pont Tree"/>
      <sheetName val="BlackRock Survey"/>
      <sheetName val="Template Bridge"/>
      <sheetName val="__FDSCACHE__"/>
      <sheetName val="mwareInputs"/>
      <sheetName val="mwareDates"/>
      <sheetName val="MW-Cache"/>
      <sheetName val="MWA RR"/>
      <sheetName val="mwareSettings"/>
      <sheetName val="M&amp;E major projects - April 2011"/>
      <sheetName val="Results Preview"/>
      <sheetName val="Ten Half Trend"/>
      <sheetName val="Earnings Summary"/>
      <sheetName val="BlackRock"/>
    </sheetNames>
    <sheetDataSet>
      <sheetData sheetId="0" refreshError="1">
        <row r="1">
          <cell r="A1" t="str">
            <v>MND</v>
          </cell>
          <cell r="B1" t="str">
            <v>XSI P/E</v>
          </cell>
          <cell r="C1" t="str">
            <v>XSI Yield</v>
          </cell>
          <cell r="D1" t="str">
            <v>Price (Historical)</v>
          </cell>
          <cell r="E1" t="str">
            <v>Adjustment</v>
          </cell>
          <cell r="F1" t="str">
            <v>Price (Adjusted)</v>
          </cell>
          <cell r="G1" t="str">
            <v>IssuedShares</v>
          </cell>
          <cell r="I1" t="str">
            <v>MktCap</v>
          </cell>
          <cell r="J1" t="str">
            <v>NetDebt</v>
          </cell>
          <cell r="L1" t="str">
            <v>EPS</v>
          </cell>
          <cell r="M1" t="str">
            <v>EBG</v>
          </cell>
          <cell r="N1" t="str">
            <v>P/EBG</v>
          </cell>
          <cell r="U1" t="str">
            <v>P/E Rel</v>
          </cell>
          <cell r="X1" t="str">
            <v>Mining Services P/E</v>
          </cell>
          <cell r="Y1" t="str">
            <v>P/E Rel</v>
          </cell>
          <cell r="AF1" t="str">
            <v>SAL</v>
          </cell>
          <cell r="AG1" t="str">
            <v>P/Sales</v>
          </cell>
          <cell r="AN1" t="str">
            <v>EBI</v>
          </cell>
          <cell r="AO1" t="str">
            <v>P/EBIT</v>
          </cell>
          <cell r="AV1" t="str">
            <v>EV/EBIT</v>
          </cell>
          <cell r="AW1" t="str">
            <v>EBT</v>
          </cell>
          <cell r="AX1" t="str">
            <v>EV/EBITDA</v>
          </cell>
          <cell r="AY1" t="str">
            <v>DPS</v>
          </cell>
          <cell r="AZ1" t="str">
            <v>Yield</v>
          </cell>
          <cell r="BG1" t="str">
            <v>Yield Rel</v>
          </cell>
          <cell r="BJ1" t="str">
            <v>BPS</v>
          </cell>
          <cell r="BK1" t="str">
            <v>P/B</v>
          </cell>
        </row>
        <row r="2">
          <cell r="A2">
            <v>33663</v>
          </cell>
          <cell r="D2">
            <v>9.352329999999999E-2</v>
          </cell>
          <cell r="E2">
            <v>1</v>
          </cell>
          <cell r="F2">
            <v>9.352329999999999E-2</v>
          </cell>
        </row>
        <row r="3">
          <cell r="A3">
            <v>33694</v>
          </cell>
          <cell r="D3">
            <v>9.352329999999999E-2</v>
          </cell>
          <cell r="E3">
            <v>1</v>
          </cell>
          <cell r="F3">
            <v>9.352329999999999E-2</v>
          </cell>
        </row>
        <row r="4">
          <cell r="A4">
            <v>33724</v>
          </cell>
          <cell r="D4">
            <v>9.352329999999999E-2</v>
          </cell>
          <cell r="E4">
            <v>1</v>
          </cell>
          <cell r="F4">
            <v>9.352329999999999E-2</v>
          </cell>
        </row>
        <row r="5">
          <cell r="A5">
            <v>33755</v>
          </cell>
          <cell r="D5">
            <v>0.10521371</v>
          </cell>
          <cell r="E5">
            <v>1</v>
          </cell>
          <cell r="F5">
            <v>0.10521371</v>
          </cell>
        </row>
        <row r="6">
          <cell r="A6">
            <v>33785</v>
          </cell>
          <cell r="D6">
            <v>9.3523289999999995E-2</v>
          </cell>
          <cell r="E6">
            <v>1</v>
          </cell>
          <cell r="F6">
            <v>9.3523289999999995E-2</v>
          </cell>
        </row>
        <row r="7">
          <cell r="A7">
            <v>33816</v>
          </cell>
          <cell r="D7">
            <v>8.8847129999999996E-2</v>
          </cell>
          <cell r="E7">
            <v>1</v>
          </cell>
          <cell r="F7">
            <v>8.8847129999999996E-2</v>
          </cell>
        </row>
        <row r="8">
          <cell r="A8">
            <v>33847</v>
          </cell>
          <cell r="D8">
            <v>9.352329999999999E-2</v>
          </cell>
          <cell r="E8">
            <v>1</v>
          </cell>
          <cell r="F8">
            <v>9.352329999999999E-2</v>
          </cell>
        </row>
        <row r="9">
          <cell r="A9">
            <v>33877</v>
          </cell>
          <cell r="D9">
            <v>9.8199460000000002E-2</v>
          </cell>
          <cell r="E9">
            <v>1</v>
          </cell>
          <cell r="F9">
            <v>9.8199460000000002E-2</v>
          </cell>
        </row>
        <row r="10">
          <cell r="A10">
            <v>33908</v>
          </cell>
          <cell r="D10">
            <v>9.8199460000000002E-2</v>
          </cell>
          <cell r="E10">
            <v>1</v>
          </cell>
          <cell r="F10">
            <v>9.8199460000000002E-2</v>
          </cell>
        </row>
        <row r="11">
          <cell r="A11">
            <v>33938</v>
          </cell>
          <cell r="D11">
            <v>9.352329999999999E-2</v>
          </cell>
          <cell r="E11">
            <v>1</v>
          </cell>
          <cell r="F11">
            <v>9.352329999999999E-2</v>
          </cell>
        </row>
        <row r="12">
          <cell r="A12">
            <v>33969</v>
          </cell>
          <cell r="D12">
            <v>8.1832890000000005E-2</v>
          </cell>
          <cell r="E12">
            <v>1</v>
          </cell>
          <cell r="F12">
            <v>8.1832890000000005E-2</v>
          </cell>
        </row>
        <row r="13">
          <cell r="A13">
            <v>34000</v>
          </cell>
          <cell r="D13">
            <v>9.8199460000000002E-2</v>
          </cell>
          <cell r="E13">
            <v>1</v>
          </cell>
          <cell r="F13">
            <v>9.8199460000000002E-2</v>
          </cell>
        </row>
        <row r="14">
          <cell r="A14">
            <v>34028</v>
          </cell>
          <cell r="D14">
            <v>0.11222795000000001</v>
          </cell>
          <cell r="E14">
            <v>1</v>
          </cell>
          <cell r="F14">
            <v>0.11222795000000001</v>
          </cell>
        </row>
        <row r="15">
          <cell r="A15">
            <v>34059</v>
          </cell>
          <cell r="D15">
            <v>0.1285945</v>
          </cell>
          <cell r="E15">
            <v>1</v>
          </cell>
          <cell r="F15">
            <v>0.1285945</v>
          </cell>
        </row>
        <row r="16">
          <cell r="A16">
            <v>34089</v>
          </cell>
          <cell r="D16">
            <v>0.1285945</v>
          </cell>
          <cell r="E16">
            <v>1</v>
          </cell>
          <cell r="F16">
            <v>0.1285945</v>
          </cell>
        </row>
        <row r="17">
          <cell r="A17">
            <v>34120</v>
          </cell>
          <cell r="D17">
            <v>0.1285945</v>
          </cell>
          <cell r="E17">
            <v>1</v>
          </cell>
          <cell r="F17">
            <v>0.1285945</v>
          </cell>
        </row>
        <row r="18">
          <cell r="A18">
            <v>34150</v>
          </cell>
          <cell r="D18">
            <v>0.11690412</v>
          </cell>
          <cell r="E18">
            <v>1</v>
          </cell>
          <cell r="F18">
            <v>0.11690412</v>
          </cell>
        </row>
        <row r="19">
          <cell r="A19">
            <v>34181</v>
          </cell>
          <cell r="D19">
            <v>0.1285945</v>
          </cell>
          <cell r="E19">
            <v>1</v>
          </cell>
          <cell r="F19">
            <v>0.1285945</v>
          </cell>
        </row>
        <row r="20">
          <cell r="A20">
            <v>34212</v>
          </cell>
          <cell r="D20">
            <v>0.14729919999999999</v>
          </cell>
          <cell r="E20">
            <v>1</v>
          </cell>
          <cell r="F20">
            <v>0.14729919999999999</v>
          </cell>
        </row>
        <row r="21">
          <cell r="A21">
            <v>34242</v>
          </cell>
          <cell r="D21">
            <v>0.1285945</v>
          </cell>
          <cell r="E21">
            <v>1</v>
          </cell>
          <cell r="F21">
            <v>0.1285945</v>
          </cell>
        </row>
        <row r="22">
          <cell r="A22">
            <v>34273</v>
          </cell>
          <cell r="D22">
            <v>0.11690412</v>
          </cell>
          <cell r="E22">
            <v>1</v>
          </cell>
          <cell r="F22">
            <v>0.11690412</v>
          </cell>
        </row>
        <row r="23">
          <cell r="A23">
            <v>34303</v>
          </cell>
          <cell r="D23">
            <v>0.11690412</v>
          </cell>
          <cell r="E23">
            <v>1</v>
          </cell>
          <cell r="F23">
            <v>0.11690412</v>
          </cell>
        </row>
        <row r="24">
          <cell r="A24">
            <v>34334</v>
          </cell>
          <cell r="D24">
            <v>0.12158029000000001</v>
          </cell>
          <cell r="E24">
            <v>1</v>
          </cell>
          <cell r="F24">
            <v>0.12158029000000001</v>
          </cell>
        </row>
        <row r="25">
          <cell r="A25">
            <v>34365</v>
          </cell>
          <cell r="D25">
            <v>0.12391836000000001</v>
          </cell>
          <cell r="E25">
            <v>1</v>
          </cell>
          <cell r="F25">
            <v>0.12391836000000001</v>
          </cell>
        </row>
        <row r="26">
          <cell r="A26">
            <v>34393</v>
          </cell>
          <cell r="D26">
            <v>0.12391836000000001</v>
          </cell>
          <cell r="E26">
            <v>1</v>
          </cell>
          <cell r="F26">
            <v>0.12391836000000001</v>
          </cell>
        </row>
        <row r="27">
          <cell r="A27">
            <v>34424</v>
          </cell>
          <cell r="D27">
            <v>0.11222795000000001</v>
          </cell>
          <cell r="E27">
            <v>1</v>
          </cell>
          <cell r="F27">
            <v>0.11222795000000001</v>
          </cell>
        </row>
        <row r="28">
          <cell r="A28">
            <v>34454</v>
          </cell>
          <cell r="D28">
            <v>0.10521371</v>
          </cell>
          <cell r="E28">
            <v>1</v>
          </cell>
          <cell r="F28">
            <v>0.10521371</v>
          </cell>
        </row>
        <row r="29">
          <cell r="A29">
            <v>34485</v>
          </cell>
          <cell r="D29">
            <v>0.10521371</v>
          </cell>
          <cell r="E29">
            <v>1</v>
          </cell>
          <cell r="F29">
            <v>0.10521371</v>
          </cell>
        </row>
        <row r="30">
          <cell r="A30">
            <v>34515</v>
          </cell>
          <cell r="D30">
            <v>0.11222795000000001</v>
          </cell>
          <cell r="E30">
            <v>1</v>
          </cell>
          <cell r="F30">
            <v>0.11222795000000001</v>
          </cell>
        </row>
        <row r="31">
          <cell r="A31">
            <v>34546</v>
          </cell>
          <cell r="D31">
            <v>0.14028499999999999</v>
          </cell>
          <cell r="E31">
            <v>1</v>
          </cell>
          <cell r="F31">
            <v>0.14028499999999999</v>
          </cell>
        </row>
        <row r="32">
          <cell r="A32">
            <v>34577</v>
          </cell>
          <cell r="D32">
            <v>0.14028499999999999</v>
          </cell>
          <cell r="E32">
            <v>1</v>
          </cell>
          <cell r="F32">
            <v>0.14028499999999999</v>
          </cell>
        </row>
        <row r="33">
          <cell r="A33">
            <v>34607</v>
          </cell>
          <cell r="D33">
            <v>0.1496373</v>
          </cell>
          <cell r="E33">
            <v>1</v>
          </cell>
          <cell r="F33">
            <v>0.1496373</v>
          </cell>
        </row>
        <row r="34">
          <cell r="A34">
            <v>34638</v>
          </cell>
          <cell r="D34">
            <v>0.16132769999999999</v>
          </cell>
          <cell r="E34">
            <v>1</v>
          </cell>
          <cell r="F34">
            <v>0.16132769999999999</v>
          </cell>
        </row>
        <row r="35">
          <cell r="A35">
            <v>34668</v>
          </cell>
          <cell r="D35">
            <v>0.1636658</v>
          </cell>
          <cell r="E35">
            <v>1</v>
          </cell>
          <cell r="F35">
            <v>0.1636658</v>
          </cell>
        </row>
        <row r="36">
          <cell r="A36">
            <v>34699</v>
          </cell>
          <cell r="D36">
            <v>0.1636658</v>
          </cell>
          <cell r="E36">
            <v>1</v>
          </cell>
          <cell r="F36">
            <v>0.1636658</v>
          </cell>
        </row>
        <row r="37">
          <cell r="A37">
            <v>34730</v>
          </cell>
          <cell r="D37">
            <v>0.1636658</v>
          </cell>
          <cell r="E37">
            <v>1</v>
          </cell>
          <cell r="F37">
            <v>0.1636658</v>
          </cell>
        </row>
        <row r="38">
          <cell r="A38">
            <v>34758</v>
          </cell>
          <cell r="D38">
            <v>0.16600389999999998</v>
          </cell>
          <cell r="E38">
            <v>1</v>
          </cell>
          <cell r="F38">
            <v>0.16600389999999998</v>
          </cell>
        </row>
        <row r="39">
          <cell r="A39">
            <v>34789</v>
          </cell>
          <cell r="D39">
            <v>0.18704659999999998</v>
          </cell>
          <cell r="E39">
            <v>1</v>
          </cell>
          <cell r="F39">
            <v>0.18704659999999998</v>
          </cell>
        </row>
        <row r="40">
          <cell r="A40">
            <v>34819</v>
          </cell>
          <cell r="D40">
            <v>0.18704659999999998</v>
          </cell>
          <cell r="E40">
            <v>1</v>
          </cell>
          <cell r="F40">
            <v>0.18704659999999998</v>
          </cell>
        </row>
        <row r="41">
          <cell r="A41">
            <v>34850</v>
          </cell>
          <cell r="D41">
            <v>0.1636658</v>
          </cell>
          <cell r="E41">
            <v>1</v>
          </cell>
          <cell r="F41">
            <v>0.1636658</v>
          </cell>
        </row>
        <row r="42">
          <cell r="A42">
            <v>34880</v>
          </cell>
          <cell r="D42">
            <v>0.15898959999999998</v>
          </cell>
          <cell r="E42">
            <v>1</v>
          </cell>
          <cell r="F42">
            <v>0.15898959999999998</v>
          </cell>
        </row>
        <row r="43">
          <cell r="A43">
            <v>34911</v>
          </cell>
          <cell r="D43">
            <v>0.15197539999999998</v>
          </cell>
          <cell r="E43">
            <v>1</v>
          </cell>
          <cell r="F43">
            <v>0.15197539999999998</v>
          </cell>
        </row>
        <row r="44">
          <cell r="A44">
            <v>34942</v>
          </cell>
          <cell r="D44">
            <v>0.1496373</v>
          </cell>
          <cell r="E44">
            <v>1</v>
          </cell>
          <cell r="F44">
            <v>0.1496373</v>
          </cell>
        </row>
        <row r="45">
          <cell r="A45">
            <v>34972</v>
          </cell>
          <cell r="D45">
            <v>0.1847085</v>
          </cell>
          <cell r="E45">
            <v>1</v>
          </cell>
          <cell r="F45">
            <v>0.1847085</v>
          </cell>
        </row>
        <row r="46">
          <cell r="A46">
            <v>35003</v>
          </cell>
          <cell r="D46">
            <v>0.18704659999999998</v>
          </cell>
          <cell r="E46">
            <v>1</v>
          </cell>
          <cell r="F46">
            <v>0.18704659999999998</v>
          </cell>
        </row>
        <row r="47">
          <cell r="A47">
            <v>35033</v>
          </cell>
          <cell r="D47">
            <v>0.18237039999999999</v>
          </cell>
          <cell r="E47">
            <v>1</v>
          </cell>
          <cell r="F47">
            <v>0.18237039999999999</v>
          </cell>
        </row>
        <row r="48">
          <cell r="A48">
            <v>35064</v>
          </cell>
          <cell r="D48">
            <v>0.1917228</v>
          </cell>
          <cell r="E48">
            <v>1</v>
          </cell>
          <cell r="F48">
            <v>0.1917228</v>
          </cell>
        </row>
        <row r="49">
          <cell r="A49">
            <v>35095</v>
          </cell>
          <cell r="D49">
            <v>0.21042739999999999</v>
          </cell>
          <cell r="E49">
            <v>1</v>
          </cell>
          <cell r="F49">
            <v>0.21042739999999999</v>
          </cell>
        </row>
        <row r="50">
          <cell r="A50">
            <v>35124</v>
          </cell>
          <cell r="D50">
            <v>0.21510359999999998</v>
          </cell>
          <cell r="E50">
            <v>1</v>
          </cell>
          <cell r="F50">
            <v>0.21510359999999998</v>
          </cell>
        </row>
        <row r="51">
          <cell r="A51">
            <v>35155</v>
          </cell>
          <cell r="D51">
            <v>0.21744169999999999</v>
          </cell>
          <cell r="E51">
            <v>1</v>
          </cell>
          <cell r="F51">
            <v>0.21744169999999999</v>
          </cell>
        </row>
        <row r="52">
          <cell r="A52">
            <v>35185</v>
          </cell>
          <cell r="D52">
            <v>0.24549869999999999</v>
          </cell>
          <cell r="E52">
            <v>1</v>
          </cell>
          <cell r="F52">
            <v>0.24549869999999999</v>
          </cell>
        </row>
        <row r="53">
          <cell r="A53">
            <v>35216</v>
          </cell>
          <cell r="D53">
            <v>0.3273315</v>
          </cell>
          <cell r="E53">
            <v>1</v>
          </cell>
          <cell r="F53">
            <v>0.3273315</v>
          </cell>
        </row>
        <row r="54">
          <cell r="A54">
            <v>35246</v>
          </cell>
          <cell r="D54">
            <v>0.3273315</v>
          </cell>
          <cell r="E54">
            <v>1</v>
          </cell>
          <cell r="F54">
            <v>0.3273315</v>
          </cell>
        </row>
        <row r="55">
          <cell r="A55">
            <v>35277</v>
          </cell>
          <cell r="D55">
            <v>0.40916439999999998</v>
          </cell>
          <cell r="E55">
            <v>1</v>
          </cell>
          <cell r="F55">
            <v>0.40916439999999998</v>
          </cell>
        </row>
        <row r="56">
          <cell r="A56">
            <v>35308</v>
          </cell>
          <cell r="D56">
            <v>0.42085489999999998</v>
          </cell>
          <cell r="E56">
            <v>1</v>
          </cell>
          <cell r="F56">
            <v>0.42085489999999998</v>
          </cell>
        </row>
        <row r="57">
          <cell r="A57">
            <v>35338</v>
          </cell>
          <cell r="D57">
            <v>0.46761649999999999</v>
          </cell>
          <cell r="E57">
            <v>1</v>
          </cell>
          <cell r="F57">
            <v>0.46761649999999999</v>
          </cell>
        </row>
        <row r="58">
          <cell r="A58">
            <v>35369</v>
          </cell>
          <cell r="D58">
            <v>0.51437809999999995</v>
          </cell>
          <cell r="E58">
            <v>1</v>
          </cell>
          <cell r="F58">
            <v>0.51437809999999995</v>
          </cell>
        </row>
        <row r="59">
          <cell r="A59">
            <v>35399</v>
          </cell>
          <cell r="D59">
            <v>2.1281092233009709</v>
          </cell>
          <cell r="E59">
            <v>0.2472</v>
          </cell>
          <cell r="F59">
            <v>0.5260686</v>
          </cell>
        </row>
        <row r="60">
          <cell r="A60">
            <v>35430</v>
          </cell>
          <cell r="D60">
            <v>1.9862350323624594</v>
          </cell>
          <cell r="E60">
            <v>0.2472</v>
          </cell>
          <cell r="F60">
            <v>0.49099729999999997</v>
          </cell>
        </row>
        <row r="61">
          <cell r="A61">
            <v>35461</v>
          </cell>
          <cell r="D61">
            <v>2.0808175566343041</v>
          </cell>
          <cell r="E61">
            <v>0.2472</v>
          </cell>
          <cell r="F61">
            <v>0.51437809999999995</v>
          </cell>
        </row>
        <row r="62">
          <cell r="A62">
            <v>35489</v>
          </cell>
          <cell r="D62">
            <v>2.4118567961165045</v>
          </cell>
          <cell r="E62">
            <v>0.2472</v>
          </cell>
          <cell r="F62">
            <v>0.59621099999999994</v>
          </cell>
        </row>
        <row r="63">
          <cell r="A63">
            <v>35520</v>
          </cell>
          <cell r="D63">
            <v>2.4118567961165045</v>
          </cell>
          <cell r="E63">
            <v>0.2472</v>
          </cell>
          <cell r="F63">
            <v>0.59621099999999994</v>
          </cell>
        </row>
        <row r="64">
          <cell r="A64">
            <v>35550</v>
          </cell>
          <cell r="D64">
            <v>2.4591484627831712</v>
          </cell>
          <cell r="E64">
            <v>0.2472</v>
          </cell>
          <cell r="F64">
            <v>0.60790149999999998</v>
          </cell>
        </row>
        <row r="65">
          <cell r="A65">
            <v>35581</v>
          </cell>
          <cell r="D65">
            <v>2.6483135113268608</v>
          </cell>
          <cell r="E65">
            <v>0.2472</v>
          </cell>
          <cell r="F65">
            <v>0.65466309999999994</v>
          </cell>
        </row>
        <row r="66">
          <cell r="A66">
            <v>35611</v>
          </cell>
          <cell r="D66">
            <v>2.3645655339805822</v>
          </cell>
          <cell r="E66">
            <v>0.2472</v>
          </cell>
          <cell r="F66">
            <v>0.58452059999999995</v>
          </cell>
        </row>
        <row r="67">
          <cell r="A67">
            <v>35642</v>
          </cell>
          <cell r="D67">
            <v>2.4591484627831712</v>
          </cell>
          <cell r="E67">
            <v>0.2472</v>
          </cell>
          <cell r="F67">
            <v>0.60790149999999998</v>
          </cell>
        </row>
        <row r="68">
          <cell r="A68">
            <v>35673</v>
          </cell>
          <cell r="D68">
            <v>2.7428964401294498</v>
          </cell>
          <cell r="E68">
            <v>0.2472</v>
          </cell>
          <cell r="F68">
            <v>0.67804399999999998</v>
          </cell>
        </row>
        <row r="69">
          <cell r="A69">
            <v>35703</v>
          </cell>
          <cell r="D69">
            <v>3.0266440129449834</v>
          </cell>
          <cell r="E69">
            <v>0.2472</v>
          </cell>
          <cell r="F69">
            <v>0.74818639999999992</v>
          </cell>
        </row>
        <row r="70">
          <cell r="A70">
            <v>35734</v>
          </cell>
          <cell r="D70">
            <v>2.8374785598705503</v>
          </cell>
          <cell r="E70">
            <v>0.2472</v>
          </cell>
          <cell r="F70">
            <v>0.70142470000000001</v>
          </cell>
        </row>
        <row r="71">
          <cell r="A71">
            <v>35764</v>
          </cell>
          <cell r="D71">
            <v>2.4591484627831712</v>
          </cell>
          <cell r="E71">
            <v>0.2472</v>
          </cell>
          <cell r="F71">
            <v>0.60790149999999998</v>
          </cell>
        </row>
        <row r="72">
          <cell r="A72">
            <v>35795</v>
          </cell>
          <cell r="D72">
            <v>2.3645655339805822</v>
          </cell>
          <cell r="E72">
            <v>0.2472</v>
          </cell>
          <cell r="F72">
            <v>0.58452059999999995</v>
          </cell>
        </row>
        <row r="73">
          <cell r="A73">
            <v>35826</v>
          </cell>
          <cell r="D73">
            <v>2.6483135113268608</v>
          </cell>
          <cell r="E73">
            <v>0.2472</v>
          </cell>
          <cell r="F73">
            <v>0.65466309999999994</v>
          </cell>
        </row>
        <row r="74">
          <cell r="A74">
            <v>35854</v>
          </cell>
          <cell r="D74">
            <v>2.8374785598705503</v>
          </cell>
          <cell r="E74">
            <v>0.2472</v>
          </cell>
          <cell r="F74">
            <v>0.70142470000000001</v>
          </cell>
        </row>
        <row r="75">
          <cell r="A75">
            <v>35885</v>
          </cell>
          <cell r="C75">
            <v>19.170000000000002</v>
          </cell>
          <cell r="D75">
            <v>2.9320610841423949</v>
          </cell>
          <cell r="E75">
            <v>0.2472</v>
          </cell>
          <cell r="F75">
            <v>0.72480549999999999</v>
          </cell>
        </row>
        <row r="76">
          <cell r="A76">
            <v>35915</v>
          </cell>
          <cell r="D76">
            <v>2.9320610841423949</v>
          </cell>
          <cell r="E76">
            <v>0.2472</v>
          </cell>
          <cell r="F76">
            <v>0.72480549999999999</v>
          </cell>
        </row>
        <row r="77">
          <cell r="A77">
            <v>35946</v>
          </cell>
          <cell r="D77">
            <v>2.8374785598705503</v>
          </cell>
          <cell r="E77">
            <v>0.2472</v>
          </cell>
          <cell r="F77">
            <v>0.70142470000000001</v>
          </cell>
        </row>
        <row r="78">
          <cell r="A78">
            <v>35976</v>
          </cell>
          <cell r="D78">
            <v>2.5537309870550162</v>
          </cell>
          <cell r="E78">
            <v>0.2472</v>
          </cell>
          <cell r="F78">
            <v>0.63128229999999996</v>
          </cell>
        </row>
        <row r="79">
          <cell r="A79">
            <v>36007</v>
          </cell>
          <cell r="D79">
            <v>2.6483135113268608</v>
          </cell>
          <cell r="E79">
            <v>0.2472</v>
          </cell>
          <cell r="F79">
            <v>0.65466309999999994</v>
          </cell>
        </row>
        <row r="80">
          <cell r="A80">
            <v>36038</v>
          </cell>
          <cell r="D80">
            <v>2.5537309870550162</v>
          </cell>
          <cell r="E80">
            <v>0.2472</v>
          </cell>
          <cell r="F80">
            <v>0.63128229999999996</v>
          </cell>
        </row>
        <row r="81">
          <cell r="A81">
            <v>36068</v>
          </cell>
          <cell r="D81">
            <v>2.6483135113268608</v>
          </cell>
          <cell r="E81">
            <v>0.2472</v>
          </cell>
          <cell r="F81">
            <v>0.65466309999999994</v>
          </cell>
        </row>
        <row r="82">
          <cell r="A82">
            <v>36099</v>
          </cell>
          <cell r="D82">
            <v>2.4780647249190935</v>
          </cell>
          <cell r="E82">
            <v>0.2472</v>
          </cell>
          <cell r="F82">
            <v>0.61257759999999994</v>
          </cell>
        </row>
        <row r="83">
          <cell r="A83">
            <v>36129</v>
          </cell>
          <cell r="D83">
            <v>2.6483135113268608</v>
          </cell>
          <cell r="E83">
            <v>0.2472</v>
          </cell>
          <cell r="F83">
            <v>0.65466309999999994</v>
          </cell>
        </row>
        <row r="84">
          <cell r="A84">
            <v>36160</v>
          </cell>
          <cell r="D84">
            <v>2.5064397249190935</v>
          </cell>
          <cell r="E84">
            <v>0.2472</v>
          </cell>
          <cell r="F84">
            <v>0.61959189999999997</v>
          </cell>
        </row>
        <row r="85">
          <cell r="A85">
            <v>36191</v>
          </cell>
          <cell r="D85">
            <v>2.5537309870550162</v>
          </cell>
          <cell r="E85">
            <v>0.2472</v>
          </cell>
          <cell r="F85">
            <v>0.63128229999999996</v>
          </cell>
        </row>
        <row r="86">
          <cell r="A86">
            <v>36219</v>
          </cell>
          <cell r="D86">
            <v>2.7428964401294498</v>
          </cell>
          <cell r="E86">
            <v>0.2472</v>
          </cell>
          <cell r="F86">
            <v>0.67804399999999998</v>
          </cell>
        </row>
        <row r="87">
          <cell r="A87">
            <v>36250</v>
          </cell>
          <cell r="D87">
            <v>2.8374785598705503</v>
          </cell>
          <cell r="E87">
            <v>0.2472</v>
          </cell>
          <cell r="F87">
            <v>0.70142470000000001</v>
          </cell>
        </row>
        <row r="88">
          <cell r="A88">
            <v>36280</v>
          </cell>
          <cell r="D88">
            <v>2.790187297734628</v>
          </cell>
          <cell r="E88">
            <v>0.2472</v>
          </cell>
          <cell r="F88">
            <v>0.68973430000000002</v>
          </cell>
          <cell r="H88">
            <v>0</v>
          </cell>
          <cell r="I88">
            <v>0</v>
          </cell>
          <cell r="K88">
            <v>0</v>
          </cell>
        </row>
        <row r="89">
          <cell r="A89">
            <v>36311</v>
          </cell>
          <cell r="D89">
            <v>2.9793527508090611</v>
          </cell>
          <cell r="E89">
            <v>0.2472</v>
          </cell>
          <cell r="F89">
            <v>0.73649599999999993</v>
          </cell>
          <cell r="H89">
            <v>0</v>
          </cell>
          <cell r="I89">
            <v>0</v>
          </cell>
          <cell r="K89">
            <v>0</v>
          </cell>
        </row>
        <row r="90">
          <cell r="A90">
            <v>36341</v>
          </cell>
          <cell r="D90">
            <v>2.9604368932038834</v>
          </cell>
          <cell r="E90">
            <v>0.2472</v>
          </cell>
          <cell r="F90">
            <v>0.73182000000000003</v>
          </cell>
          <cell r="H90">
            <v>0</v>
          </cell>
          <cell r="I90">
            <v>0</v>
          </cell>
          <cell r="K90">
            <v>0</v>
          </cell>
        </row>
        <row r="91">
          <cell r="A91">
            <v>36372</v>
          </cell>
          <cell r="D91">
            <v>2.7428964401294498</v>
          </cell>
          <cell r="E91">
            <v>0.2472</v>
          </cell>
          <cell r="F91">
            <v>0.67804399999999998</v>
          </cell>
          <cell r="H91">
            <v>0</v>
          </cell>
          <cell r="I91">
            <v>0</v>
          </cell>
          <cell r="K91">
            <v>0</v>
          </cell>
        </row>
        <row r="92">
          <cell r="A92">
            <v>36403</v>
          </cell>
          <cell r="D92">
            <v>2.9320610841423949</v>
          </cell>
          <cell r="E92">
            <v>0.2472</v>
          </cell>
          <cell r="F92">
            <v>0.72480549999999999</v>
          </cell>
          <cell r="H92">
            <v>0</v>
          </cell>
          <cell r="I92">
            <v>0</v>
          </cell>
          <cell r="K92">
            <v>0</v>
          </cell>
        </row>
        <row r="93">
          <cell r="A93">
            <v>36433</v>
          </cell>
          <cell r="D93">
            <v>3.0739352750809061</v>
          </cell>
          <cell r="E93">
            <v>0.2472</v>
          </cell>
          <cell r="F93">
            <v>0.75987680000000002</v>
          </cell>
          <cell r="H93">
            <v>0</v>
          </cell>
          <cell r="I93">
            <v>0</v>
          </cell>
          <cell r="K93">
            <v>0</v>
          </cell>
        </row>
        <row r="94">
          <cell r="A94">
            <v>36464</v>
          </cell>
          <cell r="D94">
            <v>3.4806407766990288</v>
          </cell>
          <cell r="E94">
            <v>0.2472</v>
          </cell>
          <cell r="F94">
            <v>0.86041439999999991</v>
          </cell>
          <cell r="H94">
            <v>0</v>
          </cell>
          <cell r="I94">
            <v>0</v>
          </cell>
          <cell r="K94">
            <v>0</v>
          </cell>
        </row>
        <row r="95">
          <cell r="A95">
            <v>36494</v>
          </cell>
          <cell r="D95">
            <v>3.4995570388349515</v>
          </cell>
          <cell r="E95">
            <v>0.2472</v>
          </cell>
          <cell r="F95">
            <v>0.86509049999999998</v>
          </cell>
          <cell r="H95">
            <v>0</v>
          </cell>
          <cell r="I95">
            <v>0</v>
          </cell>
          <cell r="K95">
            <v>0</v>
          </cell>
        </row>
        <row r="96">
          <cell r="A96">
            <v>36525</v>
          </cell>
          <cell r="D96">
            <v>3.5941399676375401</v>
          </cell>
          <cell r="E96">
            <v>0.2472</v>
          </cell>
          <cell r="F96">
            <v>0.88847139999999991</v>
          </cell>
          <cell r="H96">
            <v>0</v>
          </cell>
          <cell r="I96">
            <v>0</v>
          </cell>
          <cell r="K96">
            <v>0</v>
          </cell>
        </row>
        <row r="97">
          <cell r="A97">
            <v>36556</v>
          </cell>
          <cell r="D97">
            <v>3.404974514563107</v>
          </cell>
          <cell r="E97">
            <v>0.2472</v>
          </cell>
          <cell r="F97">
            <v>0.84170970000000001</v>
          </cell>
          <cell r="H97">
            <v>0</v>
          </cell>
          <cell r="I97">
            <v>0</v>
          </cell>
          <cell r="K97">
            <v>0</v>
          </cell>
        </row>
        <row r="98">
          <cell r="A98">
            <v>36584</v>
          </cell>
          <cell r="D98">
            <v>3.6887224919093851</v>
          </cell>
          <cell r="E98">
            <v>0.2472</v>
          </cell>
          <cell r="F98">
            <v>0.9118522</v>
          </cell>
          <cell r="H98">
            <v>0</v>
          </cell>
          <cell r="I98">
            <v>0</v>
          </cell>
          <cell r="K98">
            <v>0</v>
          </cell>
        </row>
        <row r="99">
          <cell r="A99">
            <v>36616</v>
          </cell>
          <cell r="D99">
            <v>3.310391990291262</v>
          </cell>
          <cell r="E99">
            <v>0.2472</v>
          </cell>
          <cell r="F99">
            <v>0.81832889999999991</v>
          </cell>
          <cell r="H99">
            <v>0</v>
          </cell>
          <cell r="I99">
            <v>0</v>
          </cell>
          <cell r="K99">
            <v>0</v>
          </cell>
        </row>
        <row r="100">
          <cell r="A100">
            <v>36646</v>
          </cell>
          <cell r="B100">
            <v>11.842409586152835</v>
          </cell>
          <cell r="C100">
            <v>5.9058681892256999</v>
          </cell>
          <cell r="D100">
            <v>3.3293082524271842</v>
          </cell>
          <cell r="E100">
            <v>0.2472</v>
          </cell>
          <cell r="F100">
            <v>0.82300499999999999</v>
          </cell>
          <cell r="H100">
            <v>0</v>
          </cell>
          <cell r="I100">
            <v>0</v>
          </cell>
          <cell r="K100">
            <v>0</v>
          </cell>
          <cell r="X100">
            <v>6.7112375810144655</v>
          </cell>
        </row>
        <row r="101">
          <cell r="A101">
            <v>36677</v>
          </cell>
          <cell r="B101">
            <v>11.475533352302881</v>
          </cell>
          <cell r="C101">
            <v>5.9320653775190095</v>
          </cell>
          <cell r="D101">
            <v>3.1685177993527507</v>
          </cell>
          <cell r="E101">
            <v>0.2472</v>
          </cell>
          <cell r="F101">
            <v>0.7832576</v>
          </cell>
          <cell r="G101">
            <v>64.886120000000005</v>
          </cell>
          <cell r="H101">
            <v>50.822546624512007</v>
          </cell>
          <cell r="I101" t="e">
            <v>#NAME?</v>
          </cell>
          <cell r="K101" t="e">
            <v>#NAME?</v>
          </cell>
          <cell r="X101">
            <v>6.0709508374761034</v>
          </cell>
        </row>
        <row r="102">
          <cell r="A102">
            <v>36707</v>
          </cell>
          <cell r="B102">
            <v>12.442693987447637</v>
          </cell>
          <cell r="C102">
            <v>5.4011339769251592</v>
          </cell>
          <cell r="D102">
            <v>2.7428964401294498</v>
          </cell>
          <cell r="E102">
            <v>0.2472</v>
          </cell>
          <cell r="F102">
            <v>0.67804399999999998</v>
          </cell>
          <cell r="G102">
            <v>66.931743999999995</v>
          </cell>
          <cell r="H102">
            <v>45.382667428735992</v>
          </cell>
          <cell r="I102" t="e">
            <v>#NAME?</v>
          </cell>
          <cell r="K102" t="e">
            <v>#NAME?</v>
          </cell>
          <cell r="X102">
            <v>5.8762845663780716</v>
          </cell>
        </row>
        <row r="103">
          <cell r="A103">
            <v>36738</v>
          </cell>
          <cell r="B103">
            <v>12.625536716745263</v>
          </cell>
          <cell r="C103">
            <v>5.1940987181376528</v>
          </cell>
          <cell r="D103">
            <v>2.7428964401294498</v>
          </cell>
          <cell r="E103">
            <v>0.2472</v>
          </cell>
          <cell r="F103">
            <v>0.67804399999999998</v>
          </cell>
          <cell r="G103">
            <v>66.931743999999995</v>
          </cell>
          <cell r="H103">
            <v>45.382667428735992</v>
          </cell>
          <cell r="I103" t="e">
            <v>#NAME?</v>
          </cell>
          <cell r="K103" t="e">
            <v>#NAME?</v>
          </cell>
          <cell r="X103">
            <v>7.0460371255463308</v>
          </cell>
        </row>
        <row r="104">
          <cell r="A104">
            <v>36769</v>
          </cell>
          <cell r="B104">
            <v>12.434018255304117</v>
          </cell>
          <cell r="C104">
            <v>5.1586069841183306</v>
          </cell>
          <cell r="D104">
            <v>2.6483135113268608</v>
          </cell>
          <cell r="E104">
            <v>0.2472</v>
          </cell>
          <cell r="F104">
            <v>0.65466309999999994</v>
          </cell>
          <cell r="G104">
            <v>66.931743999999995</v>
          </cell>
          <cell r="H104">
            <v>43.817743015446396</v>
          </cell>
          <cell r="I104" t="e">
            <v>#NAME?</v>
          </cell>
          <cell r="K104" t="e">
            <v>#NAME?</v>
          </cell>
          <cell r="X104">
            <v>5.712548205642296</v>
          </cell>
        </row>
        <row r="105">
          <cell r="A105">
            <v>36799</v>
          </cell>
          <cell r="B105">
            <v>11.65476200420145</v>
          </cell>
          <cell r="C105">
            <v>5.4295668070486958</v>
          </cell>
          <cell r="D105">
            <v>2.4780647249190935</v>
          </cell>
          <cell r="E105">
            <v>0.2472</v>
          </cell>
          <cell r="F105">
            <v>0.61257759999999994</v>
          </cell>
          <cell r="G105">
            <v>66.931743999999995</v>
          </cell>
          <cell r="H105">
            <v>41.000887103334392</v>
          </cell>
          <cell r="I105" t="e">
            <v>#NAME?</v>
          </cell>
          <cell r="K105" t="e">
            <v>#NAME?</v>
          </cell>
          <cell r="X105">
            <v>5.7088538544866694</v>
          </cell>
        </row>
        <row r="106">
          <cell r="A106">
            <v>36830</v>
          </cell>
          <cell r="B106">
            <v>11.636112880833831</v>
          </cell>
          <cell r="C106">
            <v>5.4507599539317093</v>
          </cell>
          <cell r="D106">
            <v>2.5158980582524277</v>
          </cell>
          <cell r="E106">
            <v>0.2472</v>
          </cell>
          <cell r="F106">
            <v>0.62193000000000009</v>
          </cell>
          <cell r="G106">
            <v>66.931743999999995</v>
          </cell>
          <cell r="H106">
            <v>41.626859545920006</v>
          </cell>
          <cell r="I106" t="e">
            <v>#NAME?</v>
          </cell>
          <cell r="K106" t="e">
            <v>#NAME?</v>
          </cell>
          <cell r="X106">
            <v>6.4069749227492334</v>
          </cell>
        </row>
        <row r="107">
          <cell r="A107">
            <v>36860</v>
          </cell>
          <cell r="B107">
            <v>11.932202033262282</v>
          </cell>
          <cell r="C107">
            <v>5.2684217222179672</v>
          </cell>
          <cell r="D107">
            <v>2.695604773462783</v>
          </cell>
          <cell r="E107">
            <v>0.2472</v>
          </cell>
          <cell r="F107">
            <v>0.66635349999999993</v>
          </cell>
          <cell r="G107">
            <v>66.931743999999995</v>
          </cell>
          <cell r="H107">
            <v>44.600201875503991</v>
          </cell>
          <cell r="I107" t="e">
            <v>#NAME?</v>
          </cell>
          <cell r="K107" t="e">
            <v>#NAME?</v>
          </cell>
          <cell r="X107">
            <v>7.2735345159692413</v>
          </cell>
        </row>
        <row r="108">
          <cell r="A108">
            <v>36891</v>
          </cell>
          <cell r="B108">
            <v>11.675922192667185</v>
          </cell>
          <cell r="C108">
            <v>5.3718369125656222</v>
          </cell>
          <cell r="D108">
            <v>2.5788834951456314</v>
          </cell>
          <cell r="E108">
            <v>0.2472</v>
          </cell>
          <cell r="F108">
            <v>0.63750000000000007</v>
          </cell>
          <cell r="G108">
            <v>66.931743999999995</v>
          </cell>
          <cell r="H108">
            <v>42.668986799999999</v>
          </cell>
          <cell r="I108" t="e">
            <v>#NAME?</v>
          </cell>
          <cell r="K108" t="e">
            <v>#NAME?</v>
          </cell>
          <cell r="X108">
            <v>7.2971035149032852</v>
          </cell>
        </row>
        <row r="109">
          <cell r="A109">
            <v>36922</v>
          </cell>
          <cell r="B109">
            <v>12.464176455066086</v>
          </cell>
          <cell r="C109">
            <v>4.9475807231594535</v>
          </cell>
          <cell r="D109">
            <v>2.3867313915857604</v>
          </cell>
          <cell r="E109">
            <v>0.2472</v>
          </cell>
          <cell r="F109">
            <v>0.59</v>
          </cell>
          <cell r="G109">
            <v>66.931743999999995</v>
          </cell>
          <cell r="H109">
            <v>39.489728959999994</v>
          </cell>
          <cell r="I109" t="e">
            <v>#NAME?</v>
          </cell>
          <cell r="K109" t="e">
            <v>#NAME?</v>
          </cell>
          <cell r="X109">
            <v>7.7374366875873806</v>
          </cell>
        </row>
        <row r="110">
          <cell r="A110">
            <v>36950</v>
          </cell>
          <cell r="B110">
            <v>12.059675139356425</v>
          </cell>
          <cell r="C110">
            <v>5.059071520818935</v>
          </cell>
          <cell r="D110">
            <v>2.3462783171521036</v>
          </cell>
          <cell r="E110">
            <v>0.2472</v>
          </cell>
          <cell r="F110">
            <v>0.57999999999999996</v>
          </cell>
          <cell r="G110">
            <v>66.931743999999995</v>
          </cell>
          <cell r="H110">
            <v>38.820411519999993</v>
          </cell>
          <cell r="I110" t="e">
            <v>#NAME?</v>
          </cell>
          <cell r="K110" t="e">
            <v>#NAME?</v>
          </cell>
          <cell r="X110">
            <v>6.9511292487446772</v>
          </cell>
        </row>
        <row r="111">
          <cell r="A111">
            <v>36981</v>
          </cell>
          <cell r="B111">
            <v>11.477665664684608</v>
          </cell>
          <cell r="C111">
            <v>5.4316835515866249</v>
          </cell>
          <cell r="D111">
            <v>1.9215210355987056</v>
          </cell>
          <cell r="E111">
            <v>0.2472</v>
          </cell>
          <cell r="F111">
            <v>0.47500000000000003</v>
          </cell>
          <cell r="G111">
            <v>66.931743999999995</v>
          </cell>
          <cell r="H111">
            <v>31.7925784</v>
          </cell>
          <cell r="I111" t="e">
            <v>#NAME?</v>
          </cell>
          <cell r="K111" t="e">
            <v>#NAME?</v>
          </cell>
          <cell r="X111">
            <v>6.0522377151453819</v>
          </cell>
        </row>
        <row r="112">
          <cell r="A112">
            <v>37011</v>
          </cell>
          <cell r="B112">
            <v>12.093263673178377</v>
          </cell>
          <cell r="C112">
            <v>5.0640955410243267</v>
          </cell>
          <cell r="D112">
            <v>2.3563915857605178</v>
          </cell>
          <cell r="E112">
            <v>0.2472</v>
          </cell>
          <cell r="F112">
            <v>0.58250000000000002</v>
          </cell>
          <cell r="G112">
            <v>66.931743999999995</v>
          </cell>
          <cell r="H112">
            <v>38.987740879999997</v>
          </cell>
          <cell r="I112" t="e">
            <v>#NAME?</v>
          </cell>
          <cell r="K112" t="e">
            <v>#NAME?</v>
          </cell>
          <cell r="X112">
            <v>6.9979019346913134</v>
          </cell>
        </row>
        <row r="113">
          <cell r="A113">
            <v>37042</v>
          </cell>
          <cell r="B113">
            <v>11.983160063764355</v>
          </cell>
          <cell r="C113">
            <v>5.004907660961269</v>
          </cell>
          <cell r="D113">
            <v>2.1844660194174756</v>
          </cell>
          <cell r="E113">
            <v>0.2472</v>
          </cell>
          <cell r="F113">
            <v>0.54</v>
          </cell>
          <cell r="G113">
            <v>66.931743999999995</v>
          </cell>
          <cell r="H113">
            <v>36.143141759999999</v>
          </cell>
          <cell r="I113" t="e">
            <v>#NAME?</v>
          </cell>
          <cell r="K113" t="e">
            <v>#NAME?</v>
          </cell>
          <cell r="X113">
            <v>7.7209937485342373</v>
          </cell>
        </row>
        <row r="114">
          <cell r="A114">
            <v>37072</v>
          </cell>
          <cell r="B114">
            <v>12.094932271304065</v>
          </cell>
          <cell r="C114">
            <v>5.0208808110821268</v>
          </cell>
          <cell r="D114">
            <v>2.0327669902912624</v>
          </cell>
          <cell r="E114">
            <v>0.2472</v>
          </cell>
          <cell r="F114">
            <v>0.50250000000000006</v>
          </cell>
          <cell r="G114">
            <v>73.356408000000002</v>
          </cell>
          <cell r="H114">
            <v>36.861595020000003</v>
          </cell>
          <cell r="I114" t="e">
            <v>#NAME?</v>
          </cell>
          <cell r="K114" t="e">
            <v>#NAME?</v>
          </cell>
          <cell r="X114">
            <v>7.028514985139604</v>
          </cell>
        </row>
        <row r="115">
          <cell r="A115">
            <v>37103</v>
          </cell>
          <cell r="B115">
            <v>12.045645717307796</v>
          </cell>
          <cell r="C115">
            <v>4.9839535108634285</v>
          </cell>
          <cell r="D115">
            <v>2.0226537216828477</v>
          </cell>
          <cell r="E115">
            <v>0.2472</v>
          </cell>
          <cell r="F115">
            <v>0.5</v>
          </cell>
          <cell r="G115">
            <v>73.356408000000002</v>
          </cell>
          <cell r="H115">
            <v>36.678204000000001</v>
          </cell>
          <cell r="I115" t="e">
            <v>#NAME?</v>
          </cell>
          <cell r="K115" t="e">
            <v>#NAME?</v>
          </cell>
          <cell r="X115">
            <v>7.5957745909187393</v>
          </cell>
        </row>
        <row r="116">
          <cell r="A116">
            <v>37134</v>
          </cell>
          <cell r="B116">
            <v>12.307543765476783</v>
          </cell>
          <cell r="C116">
            <v>4.8491563238578825</v>
          </cell>
          <cell r="D116">
            <v>1.9720873786407769</v>
          </cell>
          <cell r="E116">
            <v>0.2472</v>
          </cell>
          <cell r="F116">
            <v>0.48750000000000004</v>
          </cell>
          <cell r="G116">
            <v>73.356408000000002</v>
          </cell>
          <cell r="H116">
            <v>35.761248900000005</v>
          </cell>
          <cell r="I116" t="e">
            <v>#NAME?</v>
          </cell>
          <cell r="K116" t="e">
            <v>#NAME?</v>
          </cell>
          <cell r="X116">
            <v>8.0366397724701208</v>
          </cell>
        </row>
        <row r="117">
          <cell r="A117">
            <v>37164</v>
          </cell>
          <cell r="B117">
            <v>11.005478583060242</v>
          </cell>
          <cell r="C117">
            <v>5.3664416353152014</v>
          </cell>
          <cell r="D117">
            <v>1.3147249190938513</v>
          </cell>
          <cell r="E117">
            <v>0.2472</v>
          </cell>
          <cell r="F117">
            <v>0.32500000000000001</v>
          </cell>
          <cell r="G117">
            <v>73.356408000000002</v>
          </cell>
          <cell r="H117">
            <v>23.840832600000002</v>
          </cell>
          <cell r="I117" t="e">
            <v>#NAME?</v>
          </cell>
          <cell r="K117" t="e">
            <v>#NAME?</v>
          </cell>
          <cell r="X117">
            <v>6.9742967081227079</v>
          </cell>
        </row>
        <row r="118">
          <cell r="A118">
            <v>37195</v>
          </cell>
          <cell r="B118">
            <v>11.91753300208506</v>
          </cell>
          <cell r="C118">
            <v>4.6652375882597115</v>
          </cell>
          <cell r="D118">
            <v>1.4664239482200649</v>
          </cell>
          <cell r="E118">
            <v>0.2472</v>
          </cell>
          <cell r="F118">
            <v>0.36250000000000004</v>
          </cell>
          <cell r="G118">
            <v>73.356408000000002</v>
          </cell>
          <cell r="H118">
            <v>26.591697900000003</v>
          </cell>
          <cell r="I118" t="e">
            <v>#NAME?</v>
          </cell>
          <cell r="K118" t="e">
            <v>#NAME?</v>
          </cell>
          <cell r="X118">
            <v>7.8813594081294971</v>
          </cell>
        </row>
        <row r="119">
          <cell r="A119">
            <v>37225</v>
          </cell>
          <cell r="B119">
            <v>12.306863453904954</v>
          </cell>
          <cell r="C119">
            <v>4.5248251544624543</v>
          </cell>
          <cell r="D119">
            <v>1.6181229773462784</v>
          </cell>
          <cell r="E119">
            <v>0.2472</v>
          </cell>
          <cell r="F119">
            <v>0.4</v>
          </cell>
          <cell r="G119">
            <v>73.356408000000002</v>
          </cell>
          <cell r="H119">
            <v>29.342563200000001</v>
          </cell>
          <cell r="I119" t="e">
            <v>#NAME?</v>
          </cell>
          <cell r="K119" t="e">
            <v>#NAME?</v>
          </cell>
          <cell r="X119">
            <v>8.4884144429669242</v>
          </cell>
        </row>
        <row r="120">
          <cell r="A120">
            <v>37256</v>
          </cell>
          <cell r="B120">
            <v>12.327203511612641</v>
          </cell>
          <cell r="C120">
            <v>4.4385473824560826</v>
          </cell>
          <cell r="D120">
            <v>1.7091423948220066</v>
          </cell>
          <cell r="E120">
            <v>0.2472</v>
          </cell>
          <cell r="F120">
            <v>0.42250000000000004</v>
          </cell>
          <cell r="G120">
            <v>73.356408000000002</v>
          </cell>
          <cell r="H120">
            <v>30.993082380000004</v>
          </cell>
          <cell r="I120" t="e">
            <v>#NAME?</v>
          </cell>
          <cell r="K120" t="e">
            <v>#NAME?</v>
          </cell>
          <cell r="X120">
            <v>8.6944206064553491</v>
          </cell>
        </row>
        <row r="121">
          <cell r="A121">
            <v>37287</v>
          </cell>
          <cell r="B121">
            <v>12.546261924697339</v>
          </cell>
          <cell r="C121">
            <v>4.2874093205997719</v>
          </cell>
          <cell r="D121">
            <v>1.8203883495145632</v>
          </cell>
          <cell r="E121">
            <v>0.2472</v>
          </cell>
          <cell r="F121">
            <v>0.45</v>
          </cell>
          <cell r="G121">
            <v>73.356408000000002</v>
          </cell>
          <cell r="H121">
            <v>33.010383600000004</v>
          </cell>
          <cell r="I121" t="e">
            <v>#NAME?</v>
          </cell>
          <cell r="K121" t="e">
            <v>#NAME?</v>
          </cell>
          <cell r="X121">
            <v>9.6694225773262321</v>
          </cell>
        </row>
        <row r="122">
          <cell r="A122">
            <v>37315</v>
          </cell>
          <cell r="B122">
            <v>12.215531992559496</v>
          </cell>
          <cell r="C122">
            <v>4.4004802233190894</v>
          </cell>
          <cell r="D122">
            <v>2.1743527508090614</v>
          </cell>
          <cell r="E122">
            <v>0.2472</v>
          </cell>
          <cell r="F122">
            <v>0.53749999999999998</v>
          </cell>
          <cell r="G122">
            <v>73.356408000000002</v>
          </cell>
          <cell r="H122">
            <v>39.429069300000002</v>
          </cell>
          <cell r="I122" t="e">
            <v>#NAME?</v>
          </cell>
          <cell r="K122" t="e">
            <v>#NAME?</v>
          </cell>
          <cell r="X122">
            <v>10.051710389155661</v>
          </cell>
        </row>
        <row r="123">
          <cell r="A123">
            <v>37346</v>
          </cell>
          <cell r="B123">
            <v>12.511909249298427</v>
          </cell>
          <cell r="C123">
            <v>4.361448386878644</v>
          </cell>
          <cell r="D123">
            <v>2.1035598705501619</v>
          </cell>
          <cell r="E123">
            <v>0.2472</v>
          </cell>
          <cell r="F123">
            <v>0.52</v>
          </cell>
          <cell r="G123">
            <v>73.356408000000002</v>
          </cell>
          <cell r="H123">
            <v>38.145332160000002</v>
          </cell>
          <cell r="I123" t="e">
            <v>#NAME?</v>
          </cell>
          <cell r="K123" t="e">
            <v>#NAME?</v>
          </cell>
          <cell r="X123">
            <v>10.743612995766879</v>
          </cell>
        </row>
        <row r="124">
          <cell r="A124">
            <v>37376</v>
          </cell>
          <cell r="B124">
            <v>12.084275713002985</v>
          </cell>
          <cell r="C124">
            <v>4.5418628849782108</v>
          </cell>
          <cell r="D124">
            <v>2.5485436893203883</v>
          </cell>
          <cell r="E124">
            <v>0.2472</v>
          </cell>
          <cell r="F124">
            <v>0.63</v>
          </cell>
          <cell r="G124">
            <v>73.356408000000002</v>
          </cell>
          <cell r="H124">
            <v>46.214537040000003</v>
          </cell>
          <cell r="I124" t="e">
            <v>#NAME?</v>
          </cell>
          <cell r="K124" t="e">
            <v>#NAME?</v>
          </cell>
          <cell r="X124">
            <v>10.613819371483578</v>
          </cell>
        </row>
        <row r="125">
          <cell r="A125">
            <v>37407</v>
          </cell>
          <cell r="B125">
            <v>12.177668937561137</v>
          </cell>
          <cell r="C125">
            <v>4.5340808890259661</v>
          </cell>
          <cell r="D125">
            <v>2.6294498381877025</v>
          </cell>
          <cell r="E125">
            <v>0.2472</v>
          </cell>
          <cell r="F125">
            <v>0.65</v>
          </cell>
          <cell r="G125">
            <v>73.356408000000002</v>
          </cell>
          <cell r="H125">
            <v>47.681665200000005</v>
          </cell>
          <cell r="I125" t="e">
            <v>#NAME?</v>
          </cell>
          <cell r="K125" t="e">
            <v>#NAME?</v>
          </cell>
          <cell r="X125">
            <v>10.546062771660857</v>
          </cell>
        </row>
        <row r="126">
          <cell r="A126">
            <v>37437</v>
          </cell>
          <cell r="B126">
            <v>11.397696587246426</v>
          </cell>
          <cell r="C126">
            <v>4.844992190929843</v>
          </cell>
          <cell r="D126">
            <v>2.5788834951456314</v>
          </cell>
          <cell r="E126">
            <v>0.2472</v>
          </cell>
          <cell r="F126">
            <v>0.63750000000000007</v>
          </cell>
          <cell r="G126">
            <v>73.356408000000002</v>
          </cell>
          <cell r="H126">
            <v>46.764710100000009</v>
          </cell>
          <cell r="I126" t="e">
            <v>#NAME?</v>
          </cell>
          <cell r="K126" t="e">
            <v>#NAME?</v>
          </cell>
          <cell r="X126">
            <v>9.9279805876352611</v>
          </cell>
        </row>
        <row r="127">
          <cell r="A127">
            <v>37468</v>
          </cell>
          <cell r="B127">
            <v>11.154143676493494</v>
          </cell>
          <cell r="C127">
            <v>5.0312497476348481</v>
          </cell>
          <cell r="D127">
            <v>2.3968446601941746</v>
          </cell>
          <cell r="E127">
            <v>0.2472</v>
          </cell>
          <cell r="F127">
            <v>0.59250000000000003</v>
          </cell>
          <cell r="G127">
            <v>73.356408000000002</v>
          </cell>
          <cell r="H127">
            <v>43.463671740000002</v>
          </cell>
          <cell r="I127" t="e">
            <v>#NAME?</v>
          </cell>
          <cell r="K127" t="e">
            <v>#NAME?</v>
          </cell>
          <cell r="X127">
            <v>10.025722018687746</v>
          </cell>
        </row>
        <row r="128">
          <cell r="A128">
            <v>37499</v>
          </cell>
          <cell r="B128">
            <v>11.538561009963219</v>
          </cell>
          <cell r="C128">
            <v>4.8004592665137364</v>
          </cell>
          <cell r="D128">
            <v>2.8822815533980584</v>
          </cell>
          <cell r="E128">
            <v>0.2472</v>
          </cell>
          <cell r="F128">
            <v>0.71250000000000002</v>
          </cell>
          <cell r="G128">
            <v>73.356408000000002</v>
          </cell>
          <cell r="H128">
            <v>52.266440700000004</v>
          </cell>
          <cell r="I128" t="e">
            <v>#NAME?</v>
          </cell>
          <cell r="K128" t="e">
            <v>#NAME?</v>
          </cell>
          <cell r="X128">
            <v>10.220609399499796</v>
          </cell>
        </row>
        <row r="129">
          <cell r="A129">
            <v>37529</v>
          </cell>
          <cell r="B129">
            <v>11.020377822400057</v>
          </cell>
          <cell r="C129">
            <v>5.0839878095016298</v>
          </cell>
          <cell r="D129">
            <v>2.5283171521035599</v>
          </cell>
          <cell r="E129">
            <v>0.2472</v>
          </cell>
          <cell r="F129">
            <v>0.625</v>
          </cell>
          <cell r="G129">
            <v>73.356408000000002</v>
          </cell>
          <cell r="H129">
            <v>45.847754999999999</v>
          </cell>
          <cell r="I129" t="e">
            <v>#NAME?</v>
          </cell>
          <cell r="K129" t="e">
            <v>#NAME?</v>
          </cell>
          <cell r="X129">
            <v>9.9876598278748006</v>
          </cell>
        </row>
        <row r="130">
          <cell r="A130">
            <v>37560</v>
          </cell>
          <cell r="B130">
            <v>11.094324307834</v>
          </cell>
          <cell r="C130">
            <v>5.2877927838861627</v>
          </cell>
          <cell r="D130">
            <v>2.7305825242718447</v>
          </cell>
          <cell r="E130">
            <v>0.2472</v>
          </cell>
          <cell r="F130">
            <v>0.67500000000000004</v>
          </cell>
          <cell r="G130">
            <v>73.356408000000002</v>
          </cell>
          <cell r="H130">
            <v>49.515575400000003</v>
          </cell>
          <cell r="I130" t="e">
            <v>#NAME?</v>
          </cell>
          <cell r="K130" t="e">
            <v>#NAME?</v>
          </cell>
          <cell r="X130">
            <v>9.702272594335609</v>
          </cell>
        </row>
        <row r="131">
          <cell r="A131">
            <v>37590</v>
          </cell>
          <cell r="B131">
            <v>10.894129597079864</v>
          </cell>
          <cell r="C131">
            <v>5.4114622418749683</v>
          </cell>
          <cell r="D131">
            <v>2.9733009708737863</v>
          </cell>
          <cell r="E131">
            <v>0.2472</v>
          </cell>
          <cell r="F131">
            <v>0.73499999999999999</v>
          </cell>
          <cell r="G131">
            <v>73.356408000000002</v>
          </cell>
          <cell r="H131">
            <v>53.91695988</v>
          </cell>
          <cell r="I131" t="e">
            <v>#NAME?</v>
          </cell>
          <cell r="K131" t="e">
            <v>#NAME?</v>
          </cell>
          <cell r="X131">
            <v>9.2101346704045302</v>
          </cell>
        </row>
        <row r="132">
          <cell r="A132">
            <v>37621</v>
          </cell>
          <cell r="B132">
            <v>10.945212702422143</v>
          </cell>
          <cell r="C132">
            <v>5.4052267205686233</v>
          </cell>
          <cell r="D132">
            <v>2.8418284789644015</v>
          </cell>
          <cell r="E132">
            <v>0.2472</v>
          </cell>
          <cell r="F132">
            <v>0.70250000000000001</v>
          </cell>
          <cell r="G132">
            <v>73.356408000000002</v>
          </cell>
          <cell r="H132">
            <v>51.532876620000003</v>
          </cell>
          <cell r="I132" t="e">
            <v>#NAME?</v>
          </cell>
          <cell r="K132" t="e">
            <v>#NAME?</v>
          </cell>
          <cell r="X132">
            <v>9.5945318477777413</v>
          </cell>
        </row>
        <row r="133">
          <cell r="A133">
            <v>37652</v>
          </cell>
          <cell r="B133">
            <v>10.920300583117898</v>
          </cell>
          <cell r="C133">
            <v>5.5234298704360247</v>
          </cell>
          <cell r="D133">
            <v>3.1351132686084142</v>
          </cell>
          <cell r="E133">
            <v>0.2472</v>
          </cell>
          <cell r="F133">
            <v>0.77500000000000002</v>
          </cell>
          <cell r="G133">
            <v>73.356408000000002</v>
          </cell>
          <cell r="H133">
            <v>56.851216200000003</v>
          </cell>
          <cell r="I133" t="e">
            <v>#NAME?</v>
          </cell>
          <cell r="K133" t="e">
            <v>#NAME?</v>
          </cell>
          <cell r="L133">
            <v>0.36954793334007263</v>
          </cell>
          <cell r="M133">
            <v>0.36954793334007263</v>
          </cell>
          <cell r="N133">
            <v>8.4836444362505983</v>
          </cell>
          <cell r="O133">
            <v>7.3958989979453715</v>
          </cell>
          <cell r="P133">
            <v>11.044758859065741</v>
          </cell>
          <cell r="Q133">
            <v>14.693618720186111</v>
          </cell>
          <cell r="R133">
            <v>18.34247858130648</v>
          </cell>
          <cell r="S133">
            <v>21.991338442426851</v>
          </cell>
          <cell r="U133">
            <v>-0.22313086790250236</v>
          </cell>
          <cell r="V133">
            <v>0.17309537420876039</v>
          </cell>
          <cell r="X133">
            <v>9.2192739976323548</v>
          </cell>
          <cell r="Y133">
            <v>-7.9792569520189649E-2</v>
          </cell>
          <cell r="Z133">
            <v>-0.32707222769643551</v>
          </cell>
          <cell r="AA133">
            <v>-6.3044659367773426E-2</v>
          </cell>
          <cell r="AB133">
            <v>0.20098290896088866</v>
          </cell>
          <cell r="AC133">
            <v>0.46501047728955075</v>
          </cell>
          <cell r="AD133">
            <v>0.72903804561821284</v>
          </cell>
          <cell r="AF133" t="e">
            <v>#NAME?</v>
          </cell>
          <cell r="AG133" t="e">
            <v>#NAME?</v>
          </cell>
          <cell r="AH133" t="e">
            <v>#NAME?</v>
          </cell>
          <cell r="AI133" t="e">
            <v>#NAME?</v>
          </cell>
          <cell r="AJ133" t="e">
            <v>#NAME?</v>
          </cell>
          <cell r="AK133" t="e">
            <v>#NAME?</v>
          </cell>
          <cell r="AL133" t="e">
            <v>#NAME?</v>
          </cell>
          <cell r="AN133" t="e">
            <v>#NAME?</v>
          </cell>
          <cell r="AO133" t="e">
            <v>#NAME?</v>
          </cell>
          <cell r="AP133" t="e">
            <v>#NAME?</v>
          </cell>
          <cell r="AQ133" t="e">
            <v>#NAME?</v>
          </cell>
          <cell r="AR133" t="e">
            <v>#NAME?</v>
          </cell>
          <cell r="AS133" t="e">
            <v>#NAME?</v>
          </cell>
          <cell r="AT133" t="e">
            <v>#NAME?</v>
          </cell>
          <cell r="AV133" t="e">
            <v>#NAME?</v>
          </cell>
          <cell r="AW133" t="e">
            <v>#NAME?</v>
          </cell>
          <cell r="AX133" t="e">
            <v>#NAME?</v>
          </cell>
          <cell r="AY133" t="e">
            <v>#NAME?</v>
          </cell>
          <cell r="AZ133" t="e">
            <v>#NAME?</v>
          </cell>
          <cell r="BA133" t="e">
            <v>#NAME?</v>
          </cell>
          <cell r="BB133" t="e">
            <v>#NAME?</v>
          </cell>
          <cell r="BC133" t="e">
            <v>#NAME?</v>
          </cell>
          <cell r="BD133" t="e">
            <v>#NAME?</v>
          </cell>
          <cell r="BE133" t="e">
            <v>#NAME?</v>
          </cell>
          <cell r="BG133" t="e">
            <v>#NAME?</v>
          </cell>
          <cell r="BH133" t="e">
            <v>#NAME?</v>
          </cell>
        </row>
        <row r="134">
          <cell r="A134">
            <v>37680</v>
          </cell>
          <cell r="B134">
            <v>10.391852737891806</v>
          </cell>
          <cell r="C134">
            <v>5.8204218085885966</v>
          </cell>
          <cell r="D134">
            <v>3.5598705501618122</v>
          </cell>
          <cell r="E134">
            <v>0.2472</v>
          </cell>
          <cell r="F134">
            <v>0.88</v>
          </cell>
          <cell r="G134">
            <v>73.356408000000002</v>
          </cell>
          <cell r="H134">
            <v>64.553639040000007</v>
          </cell>
          <cell r="I134" t="e">
            <v>#NAME?</v>
          </cell>
          <cell r="K134" t="e">
            <v>#NAME?</v>
          </cell>
          <cell r="L134">
            <v>0.40394794940948486</v>
          </cell>
          <cell r="M134">
            <v>0.38295069336891174</v>
          </cell>
          <cell r="N134">
            <v>9.295897910106266</v>
          </cell>
          <cell r="O134">
            <v>7.3958989979453715</v>
          </cell>
          <cell r="P134">
            <v>11.044758859065741</v>
          </cell>
          <cell r="Q134">
            <v>14.693618720186111</v>
          </cell>
          <cell r="R134">
            <v>18.34247858130648</v>
          </cell>
          <cell r="S134">
            <v>21.991338442426851</v>
          </cell>
          <cell r="U134">
            <v>-0.10546289053821567</v>
          </cell>
          <cell r="V134">
            <v>0.17309537420876039</v>
          </cell>
          <cell r="X134">
            <v>9.0189082135113203</v>
          </cell>
          <cell r="Y134">
            <v>3.07121094967997E-2</v>
          </cell>
          <cell r="Z134">
            <v>-0.32707222769643551</v>
          </cell>
          <cell r="AA134">
            <v>-6.3044659367773426E-2</v>
          </cell>
          <cell r="AB134">
            <v>0.20098290896088866</v>
          </cell>
          <cell r="AC134">
            <v>0.46501047728955075</v>
          </cell>
          <cell r="AD134">
            <v>0.72903804561821284</v>
          </cell>
          <cell r="AF134" t="e">
            <v>#NAME?</v>
          </cell>
          <cell r="AG134" t="e">
            <v>#NAME?</v>
          </cell>
          <cell r="AH134" t="e">
            <v>#NAME?</v>
          </cell>
          <cell r="AI134" t="e">
            <v>#NAME?</v>
          </cell>
          <cell r="AJ134" t="e">
            <v>#NAME?</v>
          </cell>
          <cell r="AK134" t="e">
            <v>#NAME?</v>
          </cell>
          <cell r="AL134" t="e">
            <v>#NAME?</v>
          </cell>
          <cell r="AN134" t="e">
            <v>#NAME?</v>
          </cell>
          <cell r="AO134" t="e">
            <v>#NAME?</v>
          </cell>
          <cell r="AP134" t="e">
            <v>#NAME?</v>
          </cell>
          <cell r="AQ134" t="e">
            <v>#NAME?</v>
          </cell>
          <cell r="AR134" t="e">
            <v>#NAME?</v>
          </cell>
          <cell r="AS134" t="e">
            <v>#NAME?</v>
          </cell>
          <cell r="AT134" t="e">
            <v>#NAME?</v>
          </cell>
          <cell r="AV134" t="e">
            <v>#NAME?</v>
          </cell>
          <cell r="AW134" t="e">
            <v>#NAME?</v>
          </cell>
          <cell r="AX134" t="e">
            <v>#NAME?</v>
          </cell>
          <cell r="AY134" t="e">
            <v>#NAME?</v>
          </cell>
          <cell r="AZ134" t="e">
            <v>#NAME?</v>
          </cell>
          <cell r="BA134" t="e">
            <v>#NAME?</v>
          </cell>
          <cell r="BB134" t="e">
            <v>#NAME?</v>
          </cell>
          <cell r="BC134" t="e">
            <v>#NAME?</v>
          </cell>
          <cell r="BD134" t="e">
            <v>#NAME?</v>
          </cell>
          <cell r="BE134" t="e">
            <v>#NAME?</v>
          </cell>
          <cell r="BG134" t="e">
            <v>#NAME?</v>
          </cell>
          <cell r="BH134" t="e">
            <v>#NAME?</v>
          </cell>
          <cell r="BJ134" t="e">
            <v>#NAME?</v>
          </cell>
          <cell r="BK134" t="e">
            <v>#NAME?</v>
          </cell>
        </row>
        <row r="135">
          <cell r="A135">
            <v>37711</v>
          </cell>
          <cell r="B135">
            <v>10.586853601460367</v>
          </cell>
          <cell r="C135">
            <v>5.798287631881383</v>
          </cell>
          <cell r="D135">
            <v>3.5396440129449838</v>
          </cell>
          <cell r="E135">
            <v>0.2472</v>
          </cell>
          <cell r="F135">
            <v>0.875</v>
          </cell>
          <cell r="G135">
            <v>73.356408000000002</v>
          </cell>
          <cell r="H135">
            <v>64.186857000000003</v>
          </cell>
          <cell r="I135" t="e">
            <v>#NAME?</v>
          </cell>
          <cell r="K135" t="e">
            <v>#NAME?</v>
          </cell>
          <cell r="L135">
            <v>0.40878903865814209</v>
          </cell>
          <cell r="M135">
            <v>0.38753697276115417</v>
          </cell>
          <cell r="N135">
            <v>9.1336937163064658</v>
          </cell>
          <cell r="O135">
            <v>7.3958989979453715</v>
          </cell>
          <cell r="P135">
            <v>11.044758859065741</v>
          </cell>
          <cell r="Q135">
            <v>14.693618720186111</v>
          </cell>
          <cell r="R135">
            <v>18.34247858130648</v>
          </cell>
          <cell r="S135">
            <v>21.991338442426851</v>
          </cell>
          <cell r="U135">
            <v>-0.13726078964135768</v>
          </cell>
          <cell r="V135">
            <v>0.17309537420876039</v>
          </cell>
          <cell r="X135">
            <v>9.4842939531067607</v>
          </cell>
          <cell r="Y135">
            <v>-3.6966403459632202E-2</v>
          </cell>
          <cell r="Z135">
            <v>-0.32707222769643551</v>
          </cell>
          <cell r="AA135">
            <v>-6.3044659367773426E-2</v>
          </cell>
          <cell r="AB135">
            <v>0.20098290896088866</v>
          </cell>
          <cell r="AC135">
            <v>0.46501047728955075</v>
          </cell>
          <cell r="AD135">
            <v>0.72903804561821284</v>
          </cell>
          <cell r="AF135" t="e">
            <v>#NAME?</v>
          </cell>
          <cell r="AG135" t="e">
            <v>#NAME?</v>
          </cell>
          <cell r="AH135" t="e">
            <v>#NAME?</v>
          </cell>
          <cell r="AI135" t="e">
            <v>#NAME?</v>
          </cell>
          <cell r="AJ135" t="e">
            <v>#NAME?</v>
          </cell>
          <cell r="AK135" t="e">
            <v>#NAME?</v>
          </cell>
          <cell r="AL135" t="e">
            <v>#NAME?</v>
          </cell>
          <cell r="AN135" t="e">
            <v>#NAME?</v>
          </cell>
          <cell r="AO135" t="e">
            <v>#NAME?</v>
          </cell>
          <cell r="AP135" t="e">
            <v>#NAME?</v>
          </cell>
          <cell r="AQ135" t="e">
            <v>#NAME?</v>
          </cell>
          <cell r="AR135" t="e">
            <v>#NAME?</v>
          </cell>
          <cell r="AS135" t="e">
            <v>#NAME?</v>
          </cell>
          <cell r="AT135" t="e">
            <v>#NAME?</v>
          </cell>
          <cell r="AV135" t="e">
            <v>#NAME?</v>
          </cell>
          <cell r="AW135" t="e">
            <v>#NAME?</v>
          </cell>
          <cell r="AX135" t="e">
            <v>#NAME?</v>
          </cell>
          <cell r="AY135" t="e">
            <v>#NAME?</v>
          </cell>
          <cell r="AZ135" t="e">
            <v>#NAME?</v>
          </cell>
          <cell r="BA135" t="e">
            <v>#NAME?</v>
          </cell>
          <cell r="BB135" t="e">
            <v>#NAME?</v>
          </cell>
          <cell r="BC135" t="e">
            <v>#NAME?</v>
          </cell>
          <cell r="BD135" t="e">
            <v>#NAME?</v>
          </cell>
          <cell r="BE135" t="e">
            <v>#NAME?</v>
          </cell>
          <cell r="BG135" t="e">
            <v>#NAME?</v>
          </cell>
          <cell r="BH135" t="e">
            <v>#NAME?</v>
          </cell>
          <cell r="BJ135" t="e">
            <v>#NAME?</v>
          </cell>
          <cell r="BK135" t="e">
            <v>#NAME?</v>
          </cell>
        </row>
        <row r="136">
          <cell r="A136">
            <v>37741</v>
          </cell>
          <cell r="B136">
            <v>11.03316264150695</v>
          </cell>
          <cell r="C136">
            <v>5.6029530796959639</v>
          </cell>
          <cell r="D136">
            <v>3.6407766990291264</v>
          </cell>
          <cell r="E136">
            <v>0.2472</v>
          </cell>
          <cell r="F136">
            <v>0.9</v>
          </cell>
          <cell r="G136">
            <v>73.356408000000002</v>
          </cell>
          <cell r="H136">
            <v>66.020767200000009</v>
          </cell>
          <cell r="I136" t="e">
            <v>#NAME?</v>
          </cell>
          <cell r="K136" t="e">
            <v>#NAME?</v>
          </cell>
          <cell r="L136">
            <v>0.41347396373748779</v>
          </cell>
          <cell r="M136">
            <v>0.39197534322738647</v>
          </cell>
          <cell r="N136">
            <v>9.2882798929449422</v>
          </cell>
          <cell r="O136">
            <v>7.3958989979453715</v>
          </cell>
          <cell r="P136">
            <v>11.044758859065741</v>
          </cell>
          <cell r="Q136">
            <v>14.693618720186111</v>
          </cell>
          <cell r="R136">
            <v>18.34247858130648</v>
          </cell>
          <cell r="S136">
            <v>21.991338442426851</v>
          </cell>
          <cell r="U136">
            <v>-0.15814891933140984</v>
          </cell>
          <cell r="V136">
            <v>0.17309537420876039</v>
          </cell>
          <cell r="X136">
            <v>9.1925854353439043</v>
          </cell>
          <cell r="Y136">
            <v>1.040996118818871E-2</v>
          </cell>
          <cell r="Z136">
            <v>-0.32707222769643551</v>
          </cell>
          <cell r="AA136">
            <v>-6.3044659367773426E-2</v>
          </cell>
          <cell r="AB136">
            <v>0.20098290896088866</v>
          </cell>
          <cell r="AC136">
            <v>0.46501047728955075</v>
          </cell>
          <cell r="AD136">
            <v>0.72903804561821284</v>
          </cell>
          <cell r="AF136" t="e">
            <v>#NAME?</v>
          </cell>
          <cell r="AG136" t="e">
            <v>#NAME?</v>
          </cell>
          <cell r="AH136" t="e">
            <v>#NAME?</v>
          </cell>
          <cell r="AI136" t="e">
            <v>#NAME?</v>
          </cell>
          <cell r="AJ136" t="e">
            <v>#NAME?</v>
          </cell>
          <cell r="AK136" t="e">
            <v>#NAME?</v>
          </cell>
          <cell r="AL136" t="e">
            <v>#NAME?</v>
          </cell>
          <cell r="AN136" t="e">
            <v>#NAME?</v>
          </cell>
          <cell r="AO136" t="e">
            <v>#NAME?</v>
          </cell>
          <cell r="AP136" t="e">
            <v>#NAME?</v>
          </cell>
          <cell r="AQ136" t="e">
            <v>#NAME?</v>
          </cell>
          <cell r="AR136" t="e">
            <v>#NAME?</v>
          </cell>
          <cell r="AS136" t="e">
            <v>#NAME?</v>
          </cell>
          <cell r="AT136" t="e">
            <v>#NAME?</v>
          </cell>
          <cell r="AV136" t="e">
            <v>#NAME?</v>
          </cell>
          <cell r="AW136" t="e">
            <v>#NAME?</v>
          </cell>
          <cell r="AX136" t="e">
            <v>#NAME?</v>
          </cell>
          <cell r="AY136" t="e">
            <v>#NAME?</v>
          </cell>
          <cell r="AZ136" t="e">
            <v>#NAME?</v>
          </cell>
          <cell r="BA136" t="e">
            <v>#NAME?</v>
          </cell>
          <cell r="BB136" t="e">
            <v>#NAME?</v>
          </cell>
          <cell r="BC136" t="e">
            <v>#NAME?</v>
          </cell>
          <cell r="BD136" t="e">
            <v>#NAME?</v>
          </cell>
          <cell r="BE136" t="e">
            <v>#NAME?</v>
          </cell>
          <cell r="BG136" t="e">
            <v>#NAME?</v>
          </cell>
          <cell r="BH136" t="e">
            <v>#NAME?</v>
          </cell>
          <cell r="BJ136" t="e">
            <v>#NAME?</v>
          </cell>
          <cell r="BK136" t="e">
            <v>#NAME?</v>
          </cell>
        </row>
        <row r="137">
          <cell r="A137">
            <v>37772</v>
          </cell>
          <cell r="B137">
            <v>11.425935559066977</v>
          </cell>
          <cell r="C137">
            <v>5.4559258468135807</v>
          </cell>
          <cell r="D137">
            <v>3.6306634304207122</v>
          </cell>
          <cell r="E137">
            <v>0.2472</v>
          </cell>
          <cell r="F137">
            <v>0.89750000000000008</v>
          </cell>
          <cell r="G137">
            <v>73.356408000000002</v>
          </cell>
          <cell r="H137">
            <v>65.837376180000007</v>
          </cell>
          <cell r="I137" t="e">
            <v>#NAME?</v>
          </cell>
          <cell r="K137" t="e">
            <v>#NAME?</v>
          </cell>
          <cell r="L137">
            <v>0.41831508278846741</v>
          </cell>
          <cell r="M137">
            <v>0.39656165242195129</v>
          </cell>
          <cell r="N137">
            <v>9.1553568234519993</v>
          </cell>
          <cell r="O137">
            <v>7.3958989979453715</v>
          </cell>
          <cell r="P137">
            <v>11.044758859065741</v>
          </cell>
          <cell r="Q137">
            <v>14.693618720186111</v>
          </cell>
          <cell r="R137">
            <v>18.34247858130648</v>
          </cell>
          <cell r="S137">
            <v>21.991338442426851</v>
          </cell>
          <cell r="U137">
            <v>-0.19872147220480119</v>
          </cell>
          <cell r="V137">
            <v>0.17309537420876039</v>
          </cell>
          <cell r="X137">
            <v>9.3807478518964427</v>
          </cell>
          <cell r="Y137">
            <v>-2.4026978659156484E-2</v>
          </cell>
          <cell r="Z137">
            <v>-0.32707222769643551</v>
          </cell>
          <cell r="AA137">
            <v>-6.3044659367773426E-2</v>
          </cell>
          <cell r="AB137">
            <v>0.20098290896088866</v>
          </cell>
          <cell r="AC137">
            <v>0.46501047728955075</v>
          </cell>
          <cell r="AD137">
            <v>0.72903804561821284</v>
          </cell>
          <cell r="AF137" t="e">
            <v>#NAME?</v>
          </cell>
          <cell r="AG137" t="e">
            <v>#NAME?</v>
          </cell>
          <cell r="AH137" t="e">
            <v>#NAME?</v>
          </cell>
          <cell r="AI137" t="e">
            <v>#NAME?</v>
          </cell>
          <cell r="AJ137" t="e">
            <v>#NAME?</v>
          </cell>
          <cell r="AK137" t="e">
            <v>#NAME?</v>
          </cell>
          <cell r="AL137" t="e">
            <v>#NAME?</v>
          </cell>
          <cell r="AN137" t="e">
            <v>#NAME?</v>
          </cell>
          <cell r="AO137" t="e">
            <v>#NAME?</v>
          </cell>
          <cell r="AP137" t="e">
            <v>#NAME?</v>
          </cell>
          <cell r="AQ137" t="e">
            <v>#NAME?</v>
          </cell>
          <cell r="AR137" t="e">
            <v>#NAME?</v>
          </cell>
          <cell r="AS137" t="e">
            <v>#NAME?</v>
          </cell>
          <cell r="AT137" t="e">
            <v>#NAME?</v>
          </cell>
          <cell r="AV137" t="e">
            <v>#NAME?</v>
          </cell>
          <cell r="AW137" t="e">
            <v>#NAME?</v>
          </cell>
          <cell r="AX137" t="e">
            <v>#NAME?</v>
          </cell>
          <cell r="AY137" t="e">
            <v>#NAME?</v>
          </cell>
          <cell r="AZ137" t="e">
            <v>#NAME?</v>
          </cell>
          <cell r="BA137" t="e">
            <v>#NAME?</v>
          </cell>
          <cell r="BB137" t="e">
            <v>#NAME?</v>
          </cell>
          <cell r="BC137" t="e">
            <v>#NAME?</v>
          </cell>
          <cell r="BD137" t="e">
            <v>#NAME?</v>
          </cell>
          <cell r="BE137" t="e">
            <v>#NAME?</v>
          </cell>
          <cell r="BG137" t="e">
            <v>#NAME?</v>
          </cell>
          <cell r="BH137" t="e">
            <v>#NAME?</v>
          </cell>
          <cell r="BJ137" t="e">
            <v>#NAME?</v>
          </cell>
          <cell r="BK137" t="e">
            <v>#NAME?</v>
          </cell>
        </row>
        <row r="138">
          <cell r="A138">
            <v>37802</v>
          </cell>
          <cell r="B138">
            <v>11.679947653762756</v>
          </cell>
          <cell r="C138">
            <v>5.2508009190194027</v>
          </cell>
          <cell r="D138">
            <v>3.8329288025889969</v>
          </cell>
          <cell r="E138">
            <v>0.2472</v>
          </cell>
          <cell r="F138">
            <v>0.94750000000000001</v>
          </cell>
          <cell r="G138">
            <v>74.556408000000005</v>
          </cell>
          <cell r="H138">
            <v>70.642196580000004</v>
          </cell>
          <cell r="I138" t="e">
            <v>#NAME?</v>
          </cell>
          <cell r="K138" t="e">
            <v>#NAME?</v>
          </cell>
          <cell r="L138">
            <v>0.42300000786781311</v>
          </cell>
          <cell r="M138">
            <v>0.40099999308586121</v>
          </cell>
          <cell r="N138">
            <v>9.5584261064271363</v>
          </cell>
          <cell r="O138">
            <v>7.3958989979453715</v>
          </cell>
          <cell r="P138">
            <v>11.044758859065741</v>
          </cell>
          <cell r="Q138">
            <v>14.693618720186111</v>
          </cell>
          <cell r="R138">
            <v>18.34247858130648</v>
          </cell>
          <cell r="S138">
            <v>21.991338442426851</v>
          </cell>
          <cell r="U138">
            <v>-0.18163793282516649</v>
          </cell>
          <cell r="V138">
            <v>0.17309537420876039</v>
          </cell>
          <cell r="X138">
            <v>9.3531434716924124</v>
          </cell>
          <cell r="Y138">
            <v>2.1947983087826861E-2</v>
          </cell>
          <cell r="Z138">
            <v>-0.32707222769643551</v>
          </cell>
          <cell r="AA138">
            <v>-6.3044659367773426E-2</v>
          </cell>
          <cell r="AB138">
            <v>0.20098290896088866</v>
          </cell>
          <cell r="AC138">
            <v>0.46501047728955075</v>
          </cell>
          <cell r="AD138">
            <v>0.72903804561821284</v>
          </cell>
          <cell r="AF138" t="e">
            <v>#NAME?</v>
          </cell>
          <cell r="AG138" t="e">
            <v>#NAME?</v>
          </cell>
          <cell r="AH138" t="e">
            <v>#NAME?</v>
          </cell>
          <cell r="AI138" t="e">
            <v>#NAME?</v>
          </cell>
          <cell r="AJ138" t="e">
            <v>#NAME?</v>
          </cell>
          <cell r="AK138" t="e">
            <v>#NAME?</v>
          </cell>
          <cell r="AL138" t="e">
            <v>#NAME?</v>
          </cell>
          <cell r="AN138" t="e">
            <v>#NAME?</v>
          </cell>
          <cell r="AO138" t="e">
            <v>#NAME?</v>
          </cell>
          <cell r="AP138" t="e">
            <v>#NAME?</v>
          </cell>
          <cell r="AQ138" t="e">
            <v>#NAME?</v>
          </cell>
          <cell r="AR138" t="e">
            <v>#NAME?</v>
          </cell>
          <cell r="AS138" t="e">
            <v>#NAME?</v>
          </cell>
          <cell r="AT138" t="e">
            <v>#NAME?</v>
          </cell>
          <cell r="AV138" t="e">
            <v>#NAME?</v>
          </cell>
          <cell r="AW138" t="e">
            <v>#NAME?</v>
          </cell>
          <cell r="AX138" t="e">
            <v>#NAME?</v>
          </cell>
          <cell r="AY138" t="e">
            <v>#NAME?</v>
          </cell>
          <cell r="AZ138" t="e">
            <v>#NAME?</v>
          </cell>
          <cell r="BA138" t="e">
            <v>#NAME?</v>
          </cell>
          <cell r="BB138" t="e">
            <v>#NAME?</v>
          </cell>
          <cell r="BC138" t="e">
            <v>#NAME?</v>
          </cell>
          <cell r="BD138" t="e">
            <v>#NAME?</v>
          </cell>
          <cell r="BE138" t="e">
            <v>#NAME?</v>
          </cell>
          <cell r="BG138" t="e">
            <v>#NAME?</v>
          </cell>
          <cell r="BH138" t="e">
            <v>#NAME?</v>
          </cell>
          <cell r="BJ138" t="e">
            <v>#NAME?</v>
          </cell>
          <cell r="BK138" t="e">
            <v>#NAME?</v>
          </cell>
        </row>
        <row r="139">
          <cell r="A139">
            <v>37833</v>
          </cell>
          <cell r="B139">
            <v>12.542913942090598</v>
          </cell>
          <cell r="C139">
            <v>4.9798871133368046</v>
          </cell>
          <cell r="D139">
            <v>3.8936084142394822</v>
          </cell>
          <cell r="E139">
            <v>0.2472</v>
          </cell>
          <cell r="F139">
            <v>0.96250000000000002</v>
          </cell>
          <cell r="G139">
            <v>74.556408000000005</v>
          </cell>
          <cell r="H139">
            <v>71.760542700000002</v>
          </cell>
          <cell r="I139" t="e">
            <v>#NAME?</v>
          </cell>
          <cell r="K139" t="e">
            <v>#NAME?</v>
          </cell>
          <cell r="L139">
            <v>0.41343560814857483</v>
          </cell>
          <cell r="M139">
            <v>0.39309588074684143</v>
          </cell>
          <cell r="N139">
            <v>9.9049840126587689</v>
          </cell>
          <cell r="O139">
            <v>7.3958989979453715</v>
          </cell>
          <cell r="P139">
            <v>11.044758859065741</v>
          </cell>
          <cell r="Q139">
            <v>14.693618720186111</v>
          </cell>
          <cell r="R139">
            <v>18.34247858130648</v>
          </cell>
          <cell r="S139">
            <v>21.991338442426851</v>
          </cell>
          <cell r="U139">
            <v>-0.21031236773296003</v>
          </cell>
          <cell r="V139">
            <v>0.17309537420876039</v>
          </cell>
          <cell r="X139">
            <v>10.2108543247887</v>
          </cell>
          <cell r="Y139">
            <v>-2.9955408470315303E-2</v>
          </cell>
          <cell r="Z139">
            <v>-0.32707222769643551</v>
          </cell>
          <cell r="AA139">
            <v>-6.3044659367773426E-2</v>
          </cell>
          <cell r="AB139">
            <v>0.20098290896088866</v>
          </cell>
          <cell r="AC139">
            <v>0.46501047728955075</v>
          </cell>
          <cell r="AD139">
            <v>0.72903804561821284</v>
          </cell>
          <cell r="AF139" t="e">
            <v>#NAME?</v>
          </cell>
          <cell r="AG139" t="e">
            <v>#NAME?</v>
          </cell>
          <cell r="AH139" t="e">
            <v>#NAME?</v>
          </cell>
          <cell r="AI139" t="e">
            <v>#NAME?</v>
          </cell>
          <cell r="AJ139" t="e">
            <v>#NAME?</v>
          </cell>
          <cell r="AK139" t="e">
            <v>#NAME?</v>
          </cell>
          <cell r="AL139" t="e">
            <v>#NAME?</v>
          </cell>
          <cell r="AN139" t="e">
            <v>#NAME?</v>
          </cell>
          <cell r="AO139" t="e">
            <v>#NAME?</v>
          </cell>
          <cell r="AP139" t="e">
            <v>#NAME?</v>
          </cell>
          <cell r="AQ139" t="e">
            <v>#NAME?</v>
          </cell>
          <cell r="AR139" t="e">
            <v>#NAME?</v>
          </cell>
          <cell r="AS139" t="e">
            <v>#NAME?</v>
          </cell>
          <cell r="AT139" t="e">
            <v>#NAME?</v>
          </cell>
          <cell r="AV139" t="e">
            <v>#NAME?</v>
          </cell>
          <cell r="AW139" t="e">
            <v>#NAME?</v>
          </cell>
          <cell r="AX139" t="e">
            <v>#NAME?</v>
          </cell>
          <cell r="AY139" t="e">
            <v>#NAME?</v>
          </cell>
          <cell r="AZ139" t="e">
            <v>#NAME?</v>
          </cell>
          <cell r="BA139" t="e">
            <v>#NAME?</v>
          </cell>
          <cell r="BB139" t="e">
            <v>#NAME?</v>
          </cell>
          <cell r="BC139" t="e">
            <v>#NAME?</v>
          </cell>
          <cell r="BD139" t="e">
            <v>#NAME?</v>
          </cell>
          <cell r="BE139" t="e">
            <v>#NAME?</v>
          </cell>
          <cell r="BG139" t="e">
            <v>#NAME?</v>
          </cell>
          <cell r="BH139" t="e">
            <v>#NAME?</v>
          </cell>
          <cell r="BJ139" t="e">
            <v>#NAME?</v>
          </cell>
          <cell r="BK139" t="e">
            <v>#NAME?</v>
          </cell>
        </row>
        <row r="140">
          <cell r="A140">
            <v>37864</v>
          </cell>
          <cell r="B140">
            <v>12.99785996567546</v>
          </cell>
          <cell r="C140">
            <v>4.7818058140699549</v>
          </cell>
          <cell r="D140">
            <v>4.6015372168284792</v>
          </cell>
          <cell r="E140">
            <v>0.2472</v>
          </cell>
          <cell r="F140">
            <v>1.1375</v>
          </cell>
          <cell r="G140">
            <v>74.556408000000005</v>
          </cell>
          <cell r="H140">
            <v>84.807914100000005</v>
          </cell>
          <cell r="I140" t="e">
            <v>#NAME?</v>
          </cell>
          <cell r="K140" t="e">
            <v>#NAME?</v>
          </cell>
          <cell r="L140">
            <v>0.41887122392654419</v>
          </cell>
          <cell r="M140">
            <v>0.39819177985191345</v>
          </cell>
          <cell r="N140">
            <v>11.556082896888981</v>
          </cell>
          <cell r="O140">
            <v>7.3958989979453715</v>
          </cell>
          <cell r="P140">
            <v>11.044758859065741</v>
          </cell>
          <cell r="Q140">
            <v>14.693618720186111</v>
          </cell>
          <cell r="R140">
            <v>18.34247858130648</v>
          </cell>
          <cell r="S140">
            <v>21.991338442426851</v>
          </cell>
          <cell r="U140">
            <v>-0.11092418848902053</v>
          </cell>
          <cell r="V140">
            <v>0.17309537420876039</v>
          </cell>
          <cell r="X140">
            <v>10.99952301058469</v>
          </cell>
          <cell r="Y140">
            <v>5.059854738871139E-2</v>
          </cell>
          <cell r="Z140">
            <v>-0.32707222769643551</v>
          </cell>
          <cell r="AA140">
            <v>-6.3044659367773426E-2</v>
          </cell>
          <cell r="AB140">
            <v>0.20098290896088866</v>
          </cell>
          <cell r="AC140">
            <v>0.46501047728955075</v>
          </cell>
          <cell r="AD140">
            <v>0.72903804561821284</v>
          </cell>
          <cell r="AF140" t="e">
            <v>#NAME?</v>
          </cell>
          <cell r="AG140" t="e">
            <v>#NAME?</v>
          </cell>
          <cell r="AH140" t="e">
            <v>#NAME?</v>
          </cell>
          <cell r="AI140" t="e">
            <v>#NAME?</v>
          </cell>
          <cell r="AJ140" t="e">
            <v>#NAME?</v>
          </cell>
          <cell r="AK140" t="e">
            <v>#NAME?</v>
          </cell>
          <cell r="AL140" t="e">
            <v>#NAME?</v>
          </cell>
          <cell r="AN140" t="e">
            <v>#NAME?</v>
          </cell>
          <cell r="AO140" t="e">
            <v>#NAME?</v>
          </cell>
          <cell r="AP140" t="e">
            <v>#NAME?</v>
          </cell>
          <cell r="AQ140" t="e">
            <v>#NAME?</v>
          </cell>
          <cell r="AR140" t="e">
            <v>#NAME?</v>
          </cell>
          <cell r="AS140" t="e">
            <v>#NAME?</v>
          </cell>
          <cell r="AT140" t="e">
            <v>#NAME?</v>
          </cell>
          <cell r="AV140" t="e">
            <v>#NAME?</v>
          </cell>
          <cell r="AW140" t="e">
            <v>#NAME?</v>
          </cell>
          <cell r="AX140" t="e">
            <v>#NAME?</v>
          </cell>
          <cell r="AY140" t="e">
            <v>#NAME?</v>
          </cell>
          <cell r="AZ140" t="e">
            <v>#NAME?</v>
          </cell>
          <cell r="BA140" t="e">
            <v>#NAME?</v>
          </cell>
          <cell r="BB140" t="e">
            <v>#NAME?</v>
          </cell>
          <cell r="BC140" t="e">
            <v>#NAME?</v>
          </cell>
          <cell r="BD140" t="e">
            <v>#NAME?</v>
          </cell>
          <cell r="BE140" t="e">
            <v>#NAME?</v>
          </cell>
          <cell r="BG140" t="e">
            <v>#NAME?</v>
          </cell>
          <cell r="BH140" t="e">
            <v>#NAME?</v>
          </cell>
          <cell r="BJ140" t="e">
            <v>#NAME?</v>
          </cell>
          <cell r="BK140" t="e">
            <v>#NAME?</v>
          </cell>
        </row>
        <row r="141">
          <cell r="A141">
            <v>37894</v>
          </cell>
          <cell r="B141">
            <v>12.66515748931638</v>
          </cell>
          <cell r="C141">
            <v>4.8162178338626589</v>
          </cell>
          <cell r="D141">
            <v>4.5813106796116507</v>
          </cell>
          <cell r="E141">
            <v>0.2472</v>
          </cell>
          <cell r="F141">
            <v>1.1325000000000001</v>
          </cell>
          <cell r="G141">
            <v>74.556408000000005</v>
          </cell>
          <cell r="H141">
            <v>84.435132060000015</v>
          </cell>
          <cell r="I141" t="e">
            <v>#NAME?</v>
          </cell>
          <cell r="K141" t="e">
            <v>#NAME?</v>
          </cell>
          <cell r="L141">
            <v>0.42413151264190674</v>
          </cell>
          <cell r="M141">
            <v>0.40312328934669495</v>
          </cell>
          <cell r="N141">
            <v>11.364539833548594</v>
          </cell>
          <cell r="O141">
            <v>7.3958989979453715</v>
          </cell>
          <cell r="P141">
            <v>11.044758859065741</v>
          </cell>
          <cell r="Q141">
            <v>14.693618720186111</v>
          </cell>
          <cell r="R141">
            <v>18.34247858130648</v>
          </cell>
          <cell r="S141">
            <v>21.991338442426851</v>
          </cell>
          <cell r="U141">
            <v>-0.10269257661145659</v>
          </cell>
          <cell r="V141">
            <v>0.17309537420876039</v>
          </cell>
          <cell r="X141">
            <v>11.620704675334094</v>
          </cell>
          <cell r="Y141">
            <v>-2.2043830296215261E-2</v>
          </cell>
          <cell r="Z141">
            <v>-0.32707222769643551</v>
          </cell>
          <cell r="AA141">
            <v>-6.3044659367773426E-2</v>
          </cell>
          <cell r="AB141">
            <v>0.20098290896088866</v>
          </cell>
          <cell r="AC141">
            <v>0.46501047728955075</v>
          </cell>
          <cell r="AD141">
            <v>0.72903804561821284</v>
          </cell>
          <cell r="AF141" t="e">
            <v>#NAME?</v>
          </cell>
          <cell r="AG141" t="e">
            <v>#NAME?</v>
          </cell>
          <cell r="AH141" t="e">
            <v>#NAME?</v>
          </cell>
          <cell r="AI141" t="e">
            <v>#NAME?</v>
          </cell>
          <cell r="AJ141" t="e">
            <v>#NAME?</v>
          </cell>
          <cell r="AK141" t="e">
            <v>#NAME?</v>
          </cell>
          <cell r="AL141" t="e">
            <v>#NAME?</v>
          </cell>
          <cell r="AN141" t="e">
            <v>#NAME?</v>
          </cell>
          <cell r="AO141" t="e">
            <v>#NAME?</v>
          </cell>
          <cell r="AP141" t="e">
            <v>#NAME?</v>
          </cell>
          <cell r="AQ141" t="e">
            <v>#NAME?</v>
          </cell>
          <cell r="AR141" t="e">
            <v>#NAME?</v>
          </cell>
          <cell r="AS141" t="e">
            <v>#NAME?</v>
          </cell>
          <cell r="AT141" t="e">
            <v>#NAME?</v>
          </cell>
          <cell r="AV141" t="e">
            <v>#NAME?</v>
          </cell>
          <cell r="AW141" t="e">
            <v>#NAME?</v>
          </cell>
          <cell r="AX141" t="e">
            <v>#NAME?</v>
          </cell>
          <cell r="AY141" t="e">
            <v>#NAME?</v>
          </cell>
          <cell r="AZ141" t="e">
            <v>#NAME?</v>
          </cell>
          <cell r="BA141" t="e">
            <v>#NAME?</v>
          </cell>
          <cell r="BB141" t="e">
            <v>#NAME?</v>
          </cell>
          <cell r="BC141" t="e">
            <v>#NAME?</v>
          </cell>
          <cell r="BD141" t="e">
            <v>#NAME?</v>
          </cell>
          <cell r="BE141" t="e">
            <v>#NAME?</v>
          </cell>
          <cell r="BG141" t="e">
            <v>#NAME?</v>
          </cell>
          <cell r="BH141" t="e">
            <v>#NAME?</v>
          </cell>
          <cell r="BJ141" t="e">
            <v>#NAME?</v>
          </cell>
          <cell r="BK141" t="e">
            <v>#NAME?</v>
          </cell>
        </row>
        <row r="142">
          <cell r="A142">
            <v>37925</v>
          </cell>
          <cell r="B142">
            <v>12.731014896034836</v>
          </cell>
          <cell r="C142">
            <v>4.7793592285396738</v>
          </cell>
          <cell r="D142">
            <v>4.6824433656957929</v>
          </cell>
          <cell r="E142">
            <v>0.2472</v>
          </cell>
          <cell r="F142">
            <v>1.1575</v>
          </cell>
          <cell r="G142">
            <v>74.556408000000005</v>
          </cell>
          <cell r="H142">
            <v>86.299042260000007</v>
          </cell>
          <cell r="I142" t="e">
            <v>#NAME?</v>
          </cell>
          <cell r="K142" t="e">
            <v>#NAME?</v>
          </cell>
          <cell r="L142">
            <v>0.4295671284198761</v>
          </cell>
          <cell r="M142">
            <v>0.40821918845176697</v>
          </cell>
          <cell r="N142">
            <v>11.470414664863423</v>
          </cell>
          <cell r="O142">
            <v>7.3958989979453715</v>
          </cell>
          <cell r="P142">
            <v>11.044758859065741</v>
          </cell>
          <cell r="Q142">
            <v>14.693618720186111</v>
          </cell>
          <cell r="R142">
            <v>18.34247858130648</v>
          </cell>
          <cell r="S142">
            <v>21.991338442426851</v>
          </cell>
          <cell r="U142">
            <v>-9.9018046987285779E-2</v>
          </cell>
          <cell r="V142">
            <v>0.17309537420876039</v>
          </cell>
          <cell r="X142">
            <v>12.318716430235483</v>
          </cell>
          <cell r="Y142">
            <v>-6.8862837307461566E-2</v>
          </cell>
          <cell r="Z142">
            <v>-0.32707222769643551</v>
          </cell>
          <cell r="AA142">
            <v>-6.3044659367773426E-2</v>
          </cell>
          <cell r="AB142">
            <v>0.20098290896088866</v>
          </cell>
          <cell r="AC142">
            <v>0.46501047728955075</v>
          </cell>
          <cell r="AD142">
            <v>0.72903804561821284</v>
          </cell>
          <cell r="AF142" t="e">
            <v>#NAME?</v>
          </cell>
          <cell r="AG142" t="e">
            <v>#NAME?</v>
          </cell>
          <cell r="AH142" t="e">
            <v>#NAME?</v>
          </cell>
          <cell r="AI142" t="e">
            <v>#NAME?</v>
          </cell>
          <cell r="AJ142" t="e">
            <v>#NAME?</v>
          </cell>
          <cell r="AK142" t="e">
            <v>#NAME?</v>
          </cell>
          <cell r="AL142" t="e">
            <v>#NAME?</v>
          </cell>
          <cell r="AN142" t="e">
            <v>#NAME?</v>
          </cell>
          <cell r="AO142" t="e">
            <v>#NAME?</v>
          </cell>
          <cell r="AP142" t="e">
            <v>#NAME?</v>
          </cell>
          <cell r="AQ142" t="e">
            <v>#NAME?</v>
          </cell>
          <cell r="AR142" t="e">
            <v>#NAME?</v>
          </cell>
          <cell r="AS142" t="e">
            <v>#NAME?</v>
          </cell>
          <cell r="AT142" t="e">
            <v>#NAME?</v>
          </cell>
          <cell r="AV142" t="e">
            <v>#NAME?</v>
          </cell>
          <cell r="AW142" t="e">
            <v>#NAME?</v>
          </cell>
          <cell r="AX142" t="e">
            <v>#NAME?</v>
          </cell>
          <cell r="AY142" t="e">
            <v>#NAME?</v>
          </cell>
          <cell r="AZ142" t="e">
            <v>#NAME?</v>
          </cell>
          <cell r="BA142" t="e">
            <v>#NAME?</v>
          </cell>
          <cell r="BB142" t="e">
            <v>#NAME?</v>
          </cell>
          <cell r="BC142" t="e">
            <v>#NAME?</v>
          </cell>
          <cell r="BD142" t="e">
            <v>#NAME?</v>
          </cell>
          <cell r="BE142" t="e">
            <v>#NAME?</v>
          </cell>
          <cell r="BG142" t="e">
            <v>#NAME?</v>
          </cell>
          <cell r="BH142" t="e">
            <v>#NAME?</v>
          </cell>
          <cell r="BJ142" t="e">
            <v>#NAME?</v>
          </cell>
          <cell r="BK142" t="e">
            <v>#NAME?</v>
          </cell>
        </row>
        <row r="143">
          <cell r="A143">
            <v>37955</v>
          </cell>
          <cell r="B143">
            <v>12.467659376573215</v>
          </cell>
          <cell r="C143">
            <v>4.9385792871407892</v>
          </cell>
          <cell r="D143">
            <v>4.7532362459546924</v>
          </cell>
          <cell r="E143">
            <v>0.2472</v>
          </cell>
          <cell r="F143">
            <v>1.175</v>
          </cell>
          <cell r="G143">
            <v>74.556408000000005</v>
          </cell>
          <cell r="H143">
            <v>87.603779400000008</v>
          </cell>
          <cell r="I143" t="e">
            <v>#NAME?</v>
          </cell>
          <cell r="K143" t="e">
            <v>#NAME?</v>
          </cell>
          <cell r="L143">
            <v>0.42536711692810059</v>
          </cell>
          <cell r="M143">
            <v>0.40743288397789001</v>
          </cell>
          <cell r="N143">
            <v>11.666304888175482</v>
          </cell>
          <cell r="O143">
            <v>7.3958989979453715</v>
          </cell>
          <cell r="P143">
            <v>11.044758859065741</v>
          </cell>
          <cell r="Q143">
            <v>14.693618720186111</v>
          </cell>
          <cell r="R143">
            <v>18.34247858130648</v>
          </cell>
          <cell r="S143">
            <v>21.991338442426851</v>
          </cell>
          <cell r="U143">
            <v>-6.4274653661414716E-2</v>
          </cell>
          <cell r="V143">
            <v>0.17309537420876039</v>
          </cell>
          <cell r="X143">
            <v>12.241089778542985</v>
          </cell>
          <cell r="Y143">
            <v>-4.6955369233140143E-2</v>
          </cell>
          <cell r="Z143">
            <v>-0.32707222769643551</v>
          </cell>
          <cell r="AA143">
            <v>-6.3044659367773426E-2</v>
          </cell>
          <cell r="AB143">
            <v>0.20098290896088866</v>
          </cell>
          <cell r="AC143">
            <v>0.46501047728955075</v>
          </cell>
          <cell r="AD143">
            <v>0.72903804561821284</v>
          </cell>
          <cell r="AF143" t="e">
            <v>#NAME?</v>
          </cell>
          <cell r="AG143" t="e">
            <v>#NAME?</v>
          </cell>
          <cell r="AH143" t="e">
            <v>#NAME?</v>
          </cell>
          <cell r="AI143" t="e">
            <v>#NAME?</v>
          </cell>
          <cell r="AJ143" t="e">
            <v>#NAME?</v>
          </cell>
          <cell r="AK143" t="e">
            <v>#NAME?</v>
          </cell>
          <cell r="AL143" t="e">
            <v>#NAME?</v>
          </cell>
          <cell r="AN143" t="e">
            <v>#NAME?</v>
          </cell>
          <cell r="AO143" t="e">
            <v>#NAME?</v>
          </cell>
          <cell r="AP143" t="e">
            <v>#NAME?</v>
          </cell>
          <cell r="AQ143" t="e">
            <v>#NAME?</v>
          </cell>
          <cell r="AR143" t="e">
            <v>#NAME?</v>
          </cell>
          <cell r="AS143" t="e">
            <v>#NAME?</v>
          </cell>
          <cell r="AT143" t="e">
            <v>#NAME?</v>
          </cell>
          <cell r="AV143" t="e">
            <v>#NAME?</v>
          </cell>
          <cell r="AW143" t="e">
            <v>#NAME?</v>
          </cell>
          <cell r="AX143" t="e">
            <v>#NAME?</v>
          </cell>
          <cell r="AY143" t="e">
            <v>#NAME?</v>
          </cell>
          <cell r="AZ143" t="e">
            <v>#NAME?</v>
          </cell>
          <cell r="BA143" t="e">
            <v>#NAME?</v>
          </cell>
          <cell r="BB143" t="e">
            <v>#NAME?</v>
          </cell>
          <cell r="BC143" t="e">
            <v>#NAME?</v>
          </cell>
          <cell r="BD143" t="e">
            <v>#NAME?</v>
          </cell>
          <cell r="BE143" t="e">
            <v>#NAME?</v>
          </cell>
          <cell r="BG143" t="e">
            <v>#NAME?</v>
          </cell>
          <cell r="BH143" t="e">
            <v>#NAME?</v>
          </cell>
          <cell r="BJ143" t="e">
            <v>#NAME?</v>
          </cell>
          <cell r="BK143" t="e">
            <v>#NAME?</v>
          </cell>
        </row>
        <row r="144">
          <cell r="A144">
            <v>37986</v>
          </cell>
          <cell r="B144">
            <v>12.727229094357716</v>
          </cell>
          <cell r="C144">
            <v>4.8665054838721487</v>
          </cell>
          <cell r="D144">
            <v>4.6015372168284792</v>
          </cell>
          <cell r="E144">
            <v>0.2472</v>
          </cell>
          <cell r="F144">
            <v>1.1375</v>
          </cell>
          <cell r="G144">
            <v>74.556408000000005</v>
          </cell>
          <cell r="H144">
            <v>84.807914100000005</v>
          </cell>
          <cell r="I144" t="e">
            <v>#NAME?</v>
          </cell>
          <cell r="K144" t="e">
            <v>#NAME?</v>
          </cell>
          <cell r="L144">
            <v>0.4349643886089325</v>
          </cell>
          <cell r="M144">
            <v>0.41643562912940979</v>
          </cell>
          <cell r="N144">
            <v>11.049816334035444</v>
          </cell>
          <cell r="O144">
            <v>7.3958989979453715</v>
          </cell>
          <cell r="P144">
            <v>11.044758859065741</v>
          </cell>
          <cell r="Q144">
            <v>14.693618720186111</v>
          </cell>
          <cell r="R144">
            <v>18.34247858130648</v>
          </cell>
          <cell r="S144">
            <v>21.991338442426851</v>
          </cell>
          <cell r="U144">
            <v>-0.13179716872275904</v>
          </cell>
          <cell r="V144">
            <v>0.17309537420876039</v>
          </cell>
          <cell r="X144">
            <v>12.344504504538161</v>
          </cell>
          <cell r="Y144">
            <v>-0.10487971955672715</v>
          </cell>
          <cell r="Z144">
            <v>-0.32707222769643551</v>
          </cell>
          <cell r="AA144">
            <v>-6.3044659367773426E-2</v>
          </cell>
          <cell r="AB144">
            <v>0.20098290896088866</v>
          </cell>
          <cell r="AC144">
            <v>0.46501047728955075</v>
          </cell>
          <cell r="AD144">
            <v>0.72903804561821284</v>
          </cell>
          <cell r="AF144" t="e">
            <v>#NAME?</v>
          </cell>
          <cell r="AG144" t="e">
            <v>#NAME?</v>
          </cell>
          <cell r="AH144" t="e">
            <v>#NAME?</v>
          </cell>
          <cell r="AI144" t="e">
            <v>#NAME?</v>
          </cell>
          <cell r="AJ144" t="e">
            <v>#NAME?</v>
          </cell>
          <cell r="AK144" t="e">
            <v>#NAME?</v>
          </cell>
          <cell r="AL144" t="e">
            <v>#NAME?</v>
          </cell>
          <cell r="AN144" t="e">
            <v>#NAME?</v>
          </cell>
          <cell r="AO144" t="e">
            <v>#NAME?</v>
          </cell>
          <cell r="AP144" t="e">
            <v>#NAME?</v>
          </cell>
          <cell r="AQ144" t="e">
            <v>#NAME?</v>
          </cell>
          <cell r="AR144" t="e">
            <v>#NAME?</v>
          </cell>
          <cell r="AS144" t="e">
            <v>#NAME?</v>
          </cell>
          <cell r="AT144" t="e">
            <v>#NAME?</v>
          </cell>
          <cell r="AV144" t="e">
            <v>#NAME?</v>
          </cell>
          <cell r="AW144" t="e">
            <v>#NAME?</v>
          </cell>
          <cell r="AX144" t="e">
            <v>#NAME?</v>
          </cell>
          <cell r="AY144" t="e">
            <v>#NAME?</v>
          </cell>
          <cell r="AZ144" t="e">
            <v>#NAME?</v>
          </cell>
          <cell r="BA144" t="e">
            <v>#NAME?</v>
          </cell>
          <cell r="BB144" t="e">
            <v>#NAME?</v>
          </cell>
          <cell r="BC144" t="e">
            <v>#NAME?</v>
          </cell>
          <cell r="BD144" t="e">
            <v>#NAME?</v>
          </cell>
          <cell r="BE144" t="e">
            <v>#NAME?</v>
          </cell>
          <cell r="BG144" t="e">
            <v>#NAME?</v>
          </cell>
          <cell r="BH144" t="e">
            <v>#NAME?</v>
          </cell>
          <cell r="BJ144" t="e">
            <v>#NAME?</v>
          </cell>
          <cell r="BK144" t="e">
            <v>#NAME?</v>
          </cell>
        </row>
        <row r="145">
          <cell r="A145">
            <v>38017</v>
          </cell>
          <cell r="B145">
            <v>12.731781553638294</v>
          </cell>
          <cell r="C145">
            <v>4.8851866134275923</v>
          </cell>
          <cell r="D145">
            <v>4.7228964401294498</v>
          </cell>
          <cell r="E145">
            <v>0.2472</v>
          </cell>
          <cell r="F145">
            <v>1.1675</v>
          </cell>
          <cell r="G145">
            <v>74.556408000000005</v>
          </cell>
          <cell r="H145">
            <v>87.044606340000001</v>
          </cell>
          <cell r="I145" t="e">
            <v>#NAME?</v>
          </cell>
          <cell r="K145" t="e">
            <v>#NAME?</v>
          </cell>
          <cell r="L145">
            <v>0.44425204396247864</v>
          </cell>
          <cell r="M145">
            <v>0.42514795064926147</v>
          </cell>
          <cell r="N145">
            <v>11.108830309347402</v>
          </cell>
          <cell r="O145">
            <v>7.3958989979453715</v>
          </cell>
          <cell r="P145">
            <v>11.044758859065741</v>
          </cell>
          <cell r="Q145">
            <v>14.693618720186111</v>
          </cell>
          <cell r="R145">
            <v>18.34247858130648</v>
          </cell>
          <cell r="S145">
            <v>21.991338442426851</v>
          </cell>
          <cell r="U145">
            <v>-0.12747243875128456</v>
          </cell>
          <cell r="V145">
            <v>0.17309537420876039</v>
          </cell>
          <cell r="X145">
            <v>12.483392977279381</v>
          </cell>
          <cell r="Y145">
            <v>-0.11011130310755868</v>
          </cell>
          <cell r="Z145">
            <v>-0.32707222769643551</v>
          </cell>
          <cell r="AA145">
            <v>-6.3044659367773426E-2</v>
          </cell>
          <cell r="AB145">
            <v>0.20098290896088866</v>
          </cell>
          <cell r="AC145">
            <v>0.46501047728955075</v>
          </cell>
          <cell r="AD145">
            <v>0.72903804561821284</v>
          </cell>
          <cell r="AF145" t="e">
            <v>#NAME?</v>
          </cell>
          <cell r="AG145" t="e">
            <v>#NAME?</v>
          </cell>
          <cell r="AH145" t="e">
            <v>#NAME?</v>
          </cell>
          <cell r="AI145" t="e">
            <v>#NAME?</v>
          </cell>
          <cell r="AJ145" t="e">
            <v>#NAME?</v>
          </cell>
          <cell r="AK145" t="e">
            <v>#NAME?</v>
          </cell>
          <cell r="AL145" t="e">
            <v>#NAME?</v>
          </cell>
          <cell r="AN145" t="e">
            <v>#NAME?</v>
          </cell>
          <cell r="AO145" t="e">
            <v>#NAME?</v>
          </cell>
          <cell r="AP145" t="e">
            <v>#NAME?</v>
          </cell>
          <cell r="AQ145" t="e">
            <v>#NAME?</v>
          </cell>
          <cell r="AR145" t="e">
            <v>#NAME?</v>
          </cell>
          <cell r="AS145" t="e">
            <v>#NAME?</v>
          </cell>
          <cell r="AT145" t="e">
            <v>#NAME?</v>
          </cell>
          <cell r="AV145" t="e">
            <v>#NAME?</v>
          </cell>
          <cell r="AW145" t="e">
            <v>#NAME?</v>
          </cell>
          <cell r="AX145" t="e">
            <v>#NAME?</v>
          </cell>
          <cell r="AY145" t="e">
            <v>#NAME?</v>
          </cell>
          <cell r="AZ145" t="e">
            <v>#NAME?</v>
          </cell>
          <cell r="BA145" t="e">
            <v>#NAME?</v>
          </cell>
          <cell r="BB145" t="e">
            <v>#NAME?</v>
          </cell>
          <cell r="BC145" t="e">
            <v>#NAME?</v>
          </cell>
          <cell r="BD145" t="e">
            <v>#NAME?</v>
          </cell>
          <cell r="BE145" t="e">
            <v>#NAME?</v>
          </cell>
          <cell r="BG145" t="e">
            <v>#NAME?</v>
          </cell>
          <cell r="BH145" t="e">
            <v>#NAME?</v>
          </cell>
          <cell r="BJ145" t="e">
            <v>#NAME?</v>
          </cell>
          <cell r="BK145" t="e">
            <v>#NAME?</v>
          </cell>
        </row>
        <row r="146">
          <cell r="A146">
            <v>38046</v>
          </cell>
          <cell r="B146">
            <v>12.855654901253255</v>
          </cell>
          <cell r="C146">
            <v>4.909974152352321</v>
          </cell>
          <cell r="D146">
            <v>4.9858414239482203</v>
          </cell>
          <cell r="E146">
            <v>0.2472</v>
          </cell>
          <cell r="F146">
            <v>1.2325000000000002</v>
          </cell>
          <cell r="G146">
            <v>74.556408000000005</v>
          </cell>
          <cell r="H146">
            <v>91.890772860000013</v>
          </cell>
          <cell r="I146" t="e">
            <v>#NAME?</v>
          </cell>
          <cell r="K146" t="e">
            <v>#NAME?</v>
          </cell>
          <cell r="L146">
            <v>0.49121370911598206</v>
          </cell>
          <cell r="M146">
            <v>0.47855067253112793</v>
          </cell>
          <cell r="N146">
            <v>10.418627974290246</v>
          </cell>
          <cell r="O146">
            <v>7.3958989979453715</v>
          </cell>
          <cell r="P146">
            <v>11.044758859065741</v>
          </cell>
          <cell r="Q146">
            <v>14.693618720186111</v>
          </cell>
          <cell r="R146">
            <v>18.34247858130648</v>
          </cell>
          <cell r="S146">
            <v>21.991338442426851</v>
          </cell>
          <cell r="U146">
            <v>-0.189568477505213</v>
          </cell>
          <cell r="V146">
            <v>0.17309537420876039</v>
          </cell>
          <cell r="X146">
            <v>11.670206569837354</v>
          </cell>
          <cell r="Y146">
            <v>-0.10724562483597511</v>
          </cell>
          <cell r="Z146">
            <v>-0.32707222769643551</v>
          </cell>
          <cell r="AA146">
            <v>-6.3044659367773426E-2</v>
          </cell>
          <cell r="AB146">
            <v>0.20098290896088866</v>
          </cell>
          <cell r="AC146">
            <v>0.46501047728955075</v>
          </cell>
          <cell r="AD146">
            <v>0.72903804561821284</v>
          </cell>
          <cell r="AF146" t="e">
            <v>#NAME?</v>
          </cell>
          <cell r="AG146" t="e">
            <v>#NAME?</v>
          </cell>
          <cell r="AH146" t="e">
            <v>#NAME?</v>
          </cell>
          <cell r="AI146" t="e">
            <v>#NAME?</v>
          </cell>
          <cell r="AJ146" t="e">
            <v>#NAME?</v>
          </cell>
          <cell r="AK146" t="e">
            <v>#NAME?</v>
          </cell>
          <cell r="AL146" t="e">
            <v>#NAME?</v>
          </cell>
          <cell r="AN146" t="e">
            <v>#NAME?</v>
          </cell>
          <cell r="AO146" t="e">
            <v>#NAME?</v>
          </cell>
          <cell r="AP146" t="e">
            <v>#NAME?</v>
          </cell>
          <cell r="AQ146" t="e">
            <v>#NAME?</v>
          </cell>
          <cell r="AR146" t="e">
            <v>#NAME?</v>
          </cell>
          <cell r="AS146" t="e">
            <v>#NAME?</v>
          </cell>
          <cell r="AT146" t="e">
            <v>#NAME?</v>
          </cell>
          <cell r="AV146" t="e">
            <v>#NAME?</v>
          </cell>
          <cell r="AW146" t="e">
            <v>#NAME?</v>
          </cell>
          <cell r="AX146" t="e">
            <v>#NAME?</v>
          </cell>
          <cell r="AY146" t="e">
            <v>#NAME?</v>
          </cell>
          <cell r="AZ146" t="e">
            <v>#NAME?</v>
          </cell>
          <cell r="BA146" t="e">
            <v>#NAME?</v>
          </cell>
          <cell r="BB146" t="e">
            <v>#NAME?</v>
          </cell>
          <cell r="BC146" t="e">
            <v>#NAME?</v>
          </cell>
          <cell r="BD146" t="e">
            <v>#NAME?</v>
          </cell>
          <cell r="BE146" t="e">
            <v>#NAME?</v>
          </cell>
          <cell r="BG146" t="e">
            <v>#NAME?</v>
          </cell>
          <cell r="BH146" t="e">
            <v>#NAME?</v>
          </cell>
          <cell r="BJ146" t="e">
            <v>#NAME?</v>
          </cell>
          <cell r="BK146" t="e">
            <v>#NAME?</v>
          </cell>
        </row>
        <row r="147">
          <cell r="A147">
            <v>38077</v>
          </cell>
          <cell r="B147">
            <v>12.84896900274363</v>
          </cell>
          <cell r="C147">
            <v>5.0155011525477615</v>
          </cell>
          <cell r="D147">
            <v>5.3600323624595463</v>
          </cell>
          <cell r="E147">
            <v>0.2472</v>
          </cell>
          <cell r="F147">
            <v>1.325</v>
          </cell>
          <cell r="G147">
            <v>74.556408000000005</v>
          </cell>
          <cell r="H147">
            <v>98.787240600000004</v>
          </cell>
          <cell r="I147" t="e">
            <v>#NAME?</v>
          </cell>
          <cell r="K147" t="e">
            <v>#NAME?</v>
          </cell>
          <cell r="L147">
            <v>0.50233972072601318</v>
          </cell>
          <cell r="M147">
            <v>0.48933699727058411</v>
          </cell>
          <cell r="N147">
            <v>10.953662593175352</v>
          </cell>
          <cell r="O147">
            <v>7.3958989979453715</v>
          </cell>
          <cell r="P147">
            <v>11.044758859065741</v>
          </cell>
          <cell r="Q147">
            <v>14.693618720186111</v>
          </cell>
          <cell r="R147">
            <v>18.34247858130648</v>
          </cell>
          <cell r="S147">
            <v>21.991338442426851</v>
          </cell>
          <cell r="U147">
            <v>-0.14750649714880426</v>
          </cell>
          <cell r="V147">
            <v>0.17309537420876039</v>
          </cell>
          <cell r="X147">
            <v>11.54342900846834</v>
          </cell>
          <cell r="Y147">
            <v>-5.109109389076083E-2</v>
          </cell>
          <cell r="Z147">
            <v>-0.32707222769643551</v>
          </cell>
          <cell r="AA147">
            <v>-6.3044659367773426E-2</v>
          </cell>
          <cell r="AB147">
            <v>0.20098290896088866</v>
          </cell>
          <cell r="AC147">
            <v>0.46501047728955075</v>
          </cell>
          <cell r="AD147">
            <v>0.72903804561821284</v>
          </cell>
          <cell r="AF147" t="e">
            <v>#NAME?</v>
          </cell>
          <cell r="AG147" t="e">
            <v>#NAME?</v>
          </cell>
          <cell r="AH147" t="e">
            <v>#NAME?</v>
          </cell>
          <cell r="AI147" t="e">
            <v>#NAME?</v>
          </cell>
          <cell r="AJ147" t="e">
            <v>#NAME?</v>
          </cell>
          <cell r="AK147" t="e">
            <v>#NAME?</v>
          </cell>
          <cell r="AL147" t="e">
            <v>#NAME?</v>
          </cell>
          <cell r="AN147" t="e">
            <v>#NAME?</v>
          </cell>
          <cell r="AO147" t="e">
            <v>#NAME?</v>
          </cell>
          <cell r="AP147" t="e">
            <v>#NAME?</v>
          </cell>
          <cell r="AQ147" t="e">
            <v>#NAME?</v>
          </cell>
          <cell r="AR147" t="e">
            <v>#NAME?</v>
          </cell>
          <cell r="AS147" t="e">
            <v>#NAME?</v>
          </cell>
          <cell r="AT147" t="e">
            <v>#NAME?</v>
          </cell>
          <cell r="AV147" t="e">
            <v>#NAME?</v>
          </cell>
          <cell r="AW147" t="e">
            <v>#NAME?</v>
          </cell>
          <cell r="AX147" t="e">
            <v>#NAME?</v>
          </cell>
          <cell r="AY147" t="e">
            <v>#NAME?</v>
          </cell>
          <cell r="AZ147" t="e">
            <v>#NAME?</v>
          </cell>
          <cell r="BA147" t="e">
            <v>#NAME?</v>
          </cell>
          <cell r="BB147" t="e">
            <v>#NAME?</v>
          </cell>
          <cell r="BC147" t="e">
            <v>#NAME?</v>
          </cell>
          <cell r="BD147" t="e">
            <v>#NAME?</v>
          </cell>
          <cell r="BE147" t="e">
            <v>#NAME?</v>
          </cell>
          <cell r="BG147" t="e">
            <v>#NAME?</v>
          </cell>
          <cell r="BH147" t="e">
            <v>#NAME?</v>
          </cell>
          <cell r="BJ147" t="e">
            <v>#NAME?</v>
          </cell>
          <cell r="BK147" t="e">
            <v>#NAME?</v>
          </cell>
        </row>
        <row r="148">
          <cell r="A148">
            <v>38107</v>
          </cell>
          <cell r="B148">
            <v>12.663965541079726</v>
          </cell>
          <cell r="C148">
            <v>5.0880180017736878</v>
          </cell>
          <cell r="D148">
            <v>5.8656957928802589</v>
          </cell>
          <cell r="E148">
            <v>0.2472</v>
          </cell>
          <cell r="F148">
            <v>1.45</v>
          </cell>
          <cell r="G148">
            <v>74.556408000000005</v>
          </cell>
          <cell r="H148">
            <v>108.10679160000001</v>
          </cell>
          <cell r="I148" t="e">
            <v>#NAME?</v>
          </cell>
          <cell r="K148" t="e">
            <v>#NAME?</v>
          </cell>
          <cell r="L148">
            <v>0.5131068229675293</v>
          </cell>
          <cell r="M148">
            <v>0.49977535009384155</v>
          </cell>
          <cell r="N148">
            <v>11.736664867082524</v>
          </cell>
          <cell r="O148">
            <v>7.3958989979453715</v>
          </cell>
          <cell r="P148">
            <v>11.044758859065741</v>
          </cell>
          <cell r="Q148">
            <v>14.693618720186111</v>
          </cell>
          <cell r="R148">
            <v>18.34247858130648</v>
          </cell>
          <cell r="S148">
            <v>21.991338442426851</v>
          </cell>
          <cell r="U148">
            <v>-7.3223562634405326E-2</v>
          </cell>
          <cell r="V148">
            <v>0.17309537420876039</v>
          </cell>
          <cell r="X148">
            <v>11.8094173632973</v>
          </cell>
          <cell r="Y148">
            <v>-6.1605491597650497E-3</v>
          </cell>
          <cell r="Z148">
            <v>-0.32707222769643551</v>
          </cell>
          <cell r="AA148">
            <v>-6.3044659367773426E-2</v>
          </cell>
          <cell r="AB148">
            <v>0.20098290896088866</v>
          </cell>
          <cell r="AC148">
            <v>0.46501047728955075</v>
          </cell>
          <cell r="AD148">
            <v>0.72903804561821284</v>
          </cell>
          <cell r="AF148" t="e">
            <v>#NAME?</v>
          </cell>
          <cell r="AG148" t="e">
            <v>#NAME?</v>
          </cell>
          <cell r="AH148" t="e">
            <v>#NAME?</v>
          </cell>
          <cell r="AI148" t="e">
            <v>#NAME?</v>
          </cell>
          <cell r="AJ148" t="e">
            <v>#NAME?</v>
          </cell>
          <cell r="AK148" t="e">
            <v>#NAME?</v>
          </cell>
          <cell r="AL148" t="e">
            <v>#NAME?</v>
          </cell>
          <cell r="AN148" t="e">
            <v>#NAME?</v>
          </cell>
          <cell r="AO148" t="e">
            <v>#NAME?</v>
          </cell>
          <cell r="AP148" t="e">
            <v>#NAME?</v>
          </cell>
          <cell r="AQ148" t="e">
            <v>#NAME?</v>
          </cell>
          <cell r="AR148" t="e">
            <v>#NAME?</v>
          </cell>
          <cell r="AS148" t="e">
            <v>#NAME?</v>
          </cell>
          <cell r="AT148" t="e">
            <v>#NAME?</v>
          </cell>
          <cell r="AV148" t="e">
            <v>#NAME?</v>
          </cell>
          <cell r="AW148" t="e">
            <v>#NAME?</v>
          </cell>
          <cell r="AX148" t="e">
            <v>#NAME?</v>
          </cell>
          <cell r="AY148" t="e">
            <v>#NAME?</v>
          </cell>
          <cell r="AZ148" t="e">
            <v>#NAME?</v>
          </cell>
          <cell r="BA148" t="e">
            <v>#NAME?</v>
          </cell>
          <cell r="BB148" t="e">
            <v>#NAME?</v>
          </cell>
          <cell r="BC148" t="e">
            <v>#NAME?</v>
          </cell>
          <cell r="BD148" t="e">
            <v>#NAME?</v>
          </cell>
          <cell r="BE148" t="e">
            <v>#NAME?</v>
          </cell>
          <cell r="BG148" t="e">
            <v>#NAME?</v>
          </cell>
          <cell r="BH148" t="e">
            <v>#NAME?</v>
          </cell>
          <cell r="BJ148" t="e">
            <v>#NAME?</v>
          </cell>
          <cell r="BK148" t="e">
            <v>#NAME?</v>
          </cell>
        </row>
        <row r="149">
          <cell r="A149">
            <v>38138</v>
          </cell>
          <cell r="B149">
            <v>12.771931605835071</v>
          </cell>
          <cell r="C149">
            <v>5.13567465756645</v>
          </cell>
          <cell r="D149">
            <v>5.5622977346278315</v>
          </cell>
          <cell r="E149">
            <v>0.2472</v>
          </cell>
          <cell r="F149">
            <v>1.375</v>
          </cell>
          <cell r="G149">
            <v>74.556408000000005</v>
          </cell>
          <cell r="H149">
            <v>102.515061</v>
          </cell>
          <cell r="I149" t="e">
            <v>#NAME?</v>
          </cell>
          <cell r="K149" t="e">
            <v>#NAME?</v>
          </cell>
          <cell r="L149">
            <v>0.52423286437988281</v>
          </cell>
          <cell r="M149">
            <v>0.51056164503097534</v>
          </cell>
          <cell r="N149">
            <v>10.894468452071781</v>
          </cell>
          <cell r="O149">
            <v>7.3958989979453715</v>
          </cell>
          <cell r="P149">
            <v>11.044758859065741</v>
          </cell>
          <cell r="Q149">
            <v>14.693618720186111</v>
          </cell>
          <cell r="R149">
            <v>18.34247858130648</v>
          </cell>
          <cell r="S149">
            <v>21.991338442426851</v>
          </cell>
          <cell r="U149">
            <v>-0.14699915499904026</v>
          </cell>
          <cell r="V149">
            <v>0.17309537420876039</v>
          </cell>
          <cell r="X149">
            <v>11.633587133127694</v>
          </cell>
          <cell r="Y149">
            <v>-6.3533171032965963E-2</v>
          </cell>
          <cell r="Z149">
            <v>-0.32707222769643551</v>
          </cell>
          <cell r="AA149">
            <v>-6.3044659367773426E-2</v>
          </cell>
          <cell r="AB149">
            <v>0.20098290896088866</v>
          </cell>
          <cell r="AC149">
            <v>0.46501047728955075</v>
          </cell>
          <cell r="AD149">
            <v>0.72903804561821284</v>
          </cell>
          <cell r="AF149" t="e">
            <v>#NAME?</v>
          </cell>
          <cell r="AG149" t="e">
            <v>#NAME?</v>
          </cell>
          <cell r="AH149" t="e">
            <v>#NAME?</v>
          </cell>
          <cell r="AI149" t="e">
            <v>#NAME?</v>
          </cell>
          <cell r="AJ149" t="e">
            <v>#NAME?</v>
          </cell>
          <cell r="AK149" t="e">
            <v>#NAME?</v>
          </cell>
          <cell r="AL149" t="e">
            <v>#NAME?</v>
          </cell>
          <cell r="AN149" t="e">
            <v>#NAME?</v>
          </cell>
          <cell r="AO149" t="e">
            <v>#NAME?</v>
          </cell>
          <cell r="AP149" t="e">
            <v>#NAME?</v>
          </cell>
          <cell r="AQ149" t="e">
            <v>#NAME?</v>
          </cell>
          <cell r="AR149" t="e">
            <v>#NAME?</v>
          </cell>
          <cell r="AS149" t="e">
            <v>#NAME?</v>
          </cell>
          <cell r="AT149" t="e">
            <v>#NAME?</v>
          </cell>
          <cell r="AV149" t="e">
            <v>#NAME?</v>
          </cell>
          <cell r="AW149" t="e">
            <v>#NAME?</v>
          </cell>
          <cell r="AX149" t="e">
            <v>#NAME?</v>
          </cell>
          <cell r="AY149" t="e">
            <v>#NAME?</v>
          </cell>
          <cell r="AZ149" t="e">
            <v>#NAME?</v>
          </cell>
          <cell r="BA149" t="e">
            <v>#NAME?</v>
          </cell>
          <cell r="BB149" t="e">
            <v>#NAME?</v>
          </cell>
          <cell r="BC149" t="e">
            <v>#NAME?</v>
          </cell>
          <cell r="BD149" t="e">
            <v>#NAME?</v>
          </cell>
          <cell r="BE149" t="e">
            <v>#NAME?</v>
          </cell>
          <cell r="BG149" t="e">
            <v>#NAME?</v>
          </cell>
          <cell r="BH149" t="e">
            <v>#NAME?</v>
          </cell>
          <cell r="BJ149" t="e">
            <v>#NAME?</v>
          </cell>
          <cell r="BK149" t="e">
            <v>#NAME?</v>
          </cell>
        </row>
        <row r="150">
          <cell r="A150">
            <v>38168</v>
          </cell>
          <cell r="B150">
            <v>12.693194655060372</v>
          </cell>
          <cell r="C150">
            <v>5.1670578719111608</v>
          </cell>
          <cell r="D150">
            <v>5.7645631067961167</v>
          </cell>
          <cell r="E150">
            <v>0.2472</v>
          </cell>
          <cell r="F150">
            <v>1.425</v>
          </cell>
          <cell r="G150">
            <v>78.164407999999995</v>
          </cell>
          <cell r="H150">
            <v>111.38428139999999</v>
          </cell>
          <cell r="I150" t="e">
            <v>#NAME?</v>
          </cell>
          <cell r="K150" t="e">
            <v>#NAME?</v>
          </cell>
          <cell r="L150">
            <v>0.5350000262260437</v>
          </cell>
          <cell r="M150">
            <v>0.52100002765655518</v>
          </cell>
          <cell r="N150">
            <v>11.064419963133158</v>
          </cell>
          <cell r="O150">
            <v>7.3958989979453715</v>
          </cell>
          <cell r="P150">
            <v>11.044758859065741</v>
          </cell>
          <cell r="Q150">
            <v>14.693618720186111</v>
          </cell>
          <cell r="R150">
            <v>18.34247858130648</v>
          </cell>
          <cell r="S150">
            <v>21.991338442426851</v>
          </cell>
          <cell r="U150">
            <v>-0.1283187358414829</v>
          </cell>
          <cell r="V150">
            <v>0.17309537420876039</v>
          </cell>
          <cell r="X150">
            <v>11.456615095563004</v>
          </cell>
          <cell r="Y150">
            <v>-3.4233072260735908E-2</v>
          </cell>
          <cell r="Z150">
            <v>-0.32707222769643551</v>
          </cell>
          <cell r="AA150">
            <v>-6.3044659367773426E-2</v>
          </cell>
          <cell r="AB150">
            <v>0.20098290896088866</v>
          </cell>
          <cell r="AC150">
            <v>0.46501047728955075</v>
          </cell>
          <cell r="AD150">
            <v>0.72903804561821284</v>
          </cell>
          <cell r="AF150" t="e">
            <v>#NAME?</v>
          </cell>
          <cell r="AG150" t="e">
            <v>#NAME?</v>
          </cell>
          <cell r="AH150" t="e">
            <v>#NAME?</v>
          </cell>
          <cell r="AI150" t="e">
            <v>#NAME?</v>
          </cell>
          <cell r="AJ150" t="e">
            <v>#NAME?</v>
          </cell>
          <cell r="AK150" t="e">
            <v>#NAME?</v>
          </cell>
          <cell r="AL150" t="e">
            <v>#NAME?</v>
          </cell>
          <cell r="AN150" t="e">
            <v>#NAME?</v>
          </cell>
          <cell r="AO150" t="e">
            <v>#NAME?</v>
          </cell>
          <cell r="AP150" t="e">
            <v>#NAME?</v>
          </cell>
          <cell r="AQ150" t="e">
            <v>#NAME?</v>
          </cell>
          <cell r="AR150" t="e">
            <v>#NAME?</v>
          </cell>
          <cell r="AS150" t="e">
            <v>#NAME?</v>
          </cell>
          <cell r="AT150" t="e">
            <v>#NAME?</v>
          </cell>
          <cell r="AV150" t="e">
            <v>#NAME?</v>
          </cell>
          <cell r="AW150" t="e">
            <v>#NAME?</v>
          </cell>
          <cell r="AX150" t="e">
            <v>#NAME?</v>
          </cell>
          <cell r="AY150" t="e">
            <v>#NAME?</v>
          </cell>
          <cell r="AZ150" t="e">
            <v>#NAME?</v>
          </cell>
          <cell r="BA150" t="e">
            <v>#NAME?</v>
          </cell>
          <cell r="BB150" t="e">
            <v>#NAME?</v>
          </cell>
          <cell r="BC150" t="e">
            <v>#NAME?</v>
          </cell>
          <cell r="BD150" t="e">
            <v>#NAME?</v>
          </cell>
          <cell r="BE150" t="e">
            <v>#NAME?</v>
          </cell>
          <cell r="BG150" t="e">
            <v>#NAME?</v>
          </cell>
          <cell r="BH150" t="e">
            <v>#NAME?</v>
          </cell>
          <cell r="BJ150" t="e">
            <v>#NAME?</v>
          </cell>
          <cell r="BK150" t="e">
            <v>#NAME?</v>
          </cell>
        </row>
        <row r="151">
          <cell r="A151">
            <v>38199</v>
          </cell>
          <cell r="B151">
            <v>13.191910713502843</v>
          </cell>
          <cell r="C151">
            <v>4.9443959607479515</v>
          </cell>
          <cell r="D151">
            <v>6.3207928802588995</v>
          </cell>
          <cell r="E151">
            <v>0.2472</v>
          </cell>
          <cell r="F151">
            <v>1.5625</v>
          </cell>
          <cell r="G151">
            <v>78.164407999999995</v>
          </cell>
          <cell r="H151">
            <v>122.13188749999999</v>
          </cell>
          <cell r="I151" t="e">
            <v>#NAME?</v>
          </cell>
          <cell r="K151" t="e">
            <v>#NAME?</v>
          </cell>
          <cell r="L151">
            <v>0.53882193565368652</v>
          </cell>
          <cell r="M151">
            <v>0.52473700046539307</v>
          </cell>
          <cell r="N151">
            <v>12.045639767451013</v>
          </cell>
          <cell r="O151">
            <v>7.3958989979453715</v>
          </cell>
          <cell r="P151">
            <v>11.044758859065741</v>
          </cell>
          <cell r="Q151">
            <v>14.693618720186111</v>
          </cell>
          <cell r="R151">
            <v>18.34247858130648</v>
          </cell>
          <cell r="S151">
            <v>21.991338442426851</v>
          </cell>
          <cell r="U151">
            <v>-8.6891957575072287E-2</v>
          </cell>
          <cell r="V151">
            <v>0.17309537420876039</v>
          </cell>
          <cell r="X151">
            <v>12.155207358328918</v>
          </cell>
          <cell r="Y151">
            <v>-9.0140453920621866E-3</v>
          </cell>
          <cell r="Z151">
            <v>-0.32707222769643551</v>
          </cell>
          <cell r="AA151">
            <v>-6.3044659367773426E-2</v>
          </cell>
          <cell r="AB151">
            <v>0.20098290896088866</v>
          </cell>
          <cell r="AC151">
            <v>0.46501047728955075</v>
          </cell>
          <cell r="AD151">
            <v>0.72903804561821284</v>
          </cell>
          <cell r="AF151" t="e">
            <v>#NAME?</v>
          </cell>
          <cell r="AG151" t="e">
            <v>#NAME?</v>
          </cell>
          <cell r="AH151" t="e">
            <v>#NAME?</v>
          </cell>
          <cell r="AI151" t="e">
            <v>#NAME?</v>
          </cell>
          <cell r="AJ151" t="e">
            <v>#NAME?</v>
          </cell>
          <cell r="AK151" t="e">
            <v>#NAME?</v>
          </cell>
          <cell r="AL151" t="e">
            <v>#NAME?</v>
          </cell>
          <cell r="AN151" t="e">
            <v>#NAME?</v>
          </cell>
          <cell r="AO151" t="e">
            <v>#NAME?</v>
          </cell>
          <cell r="AP151" t="e">
            <v>#NAME?</v>
          </cell>
          <cell r="AQ151" t="e">
            <v>#NAME?</v>
          </cell>
          <cell r="AR151" t="e">
            <v>#NAME?</v>
          </cell>
          <cell r="AS151" t="e">
            <v>#NAME?</v>
          </cell>
          <cell r="AT151" t="e">
            <v>#NAME?</v>
          </cell>
          <cell r="AV151" t="e">
            <v>#NAME?</v>
          </cell>
          <cell r="AW151" t="e">
            <v>#NAME?</v>
          </cell>
          <cell r="AX151" t="e">
            <v>#NAME?</v>
          </cell>
          <cell r="AY151" t="e">
            <v>#NAME?</v>
          </cell>
          <cell r="AZ151" t="e">
            <v>#NAME?</v>
          </cell>
          <cell r="BA151" t="e">
            <v>#NAME?</v>
          </cell>
          <cell r="BB151" t="e">
            <v>#NAME?</v>
          </cell>
          <cell r="BC151" t="e">
            <v>#NAME?</v>
          </cell>
          <cell r="BD151" t="e">
            <v>#NAME?</v>
          </cell>
          <cell r="BE151" t="e">
            <v>#NAME?</v>
          </cell>
          <cell r="BG151" t="e">
            <v>#NAME?</v>
          </cell>
          <cell r="BH151" t="e">
            <v>#NAME?</v>
          </cell>
          <cell r="BJ151" t="e">
            <v>#NAME?</v>
          </cell>
          <cell r="BK151" t="e">
            <v>#NAME?</v>
          </cell>
        </row>
        <row r="152">
          <cell r="A152">
            <v>38230</v>
          </cell>
          <cell r="B152">
            <v>13.270984997889535</v>
          </cell>
          <cell r="C152">
            <v>4.9167806564274281</v>
          </cell>
          <cell r="D152">
            <v>6.9781553398058254</v>
          </cell>
          <cell r="E152">
            <v>0.2472</v>
          </cell>
          <cell r="F152">
            <v>1.7250000000000001</v>
          </cell>
          <cell r="G152">
            <v>78.164407999999995</v>
          </cell>
          <cell r="H152">
            <v>134.83360379999999</v>
          </cell>
          <cell r="I152" t="e">
            <v>#NAME?</v>
          </cell>
          <cell r="K152" t="e">
            <v>#NAME?</v>
          </cell>
          <cell r="L152">
            <v>0.54264384508132935</v>
          </cell>
          <cell r="M152">
            <v>0.52847397327423096</v>
          </cell>
          <cell r="N152">
            <v>13.204350058285243</v>
          </cell>
          <cell r="O152">
            <v>7.3958989979453715</v>
          </cell>
          <cell r="P152">
            <v>11.044758859065741</v>
          </cell>
          <cell r="Q152">
            <v>14.693618720186111</v>
          </cell>
          <cell r="R152">
            <v>18.34247858130648</v>
          </cell>
          <cell r="S152">
            <v>21.991338442426851</v>
          </cell>
          <cell r="U152">
            <v>-5.0210997612376573E-3</v>
          </cell>
          <cell r="V152">
            <v>0.17309537420876039</v>
          </cell>
          <cell r="X152">
            <v>12.901221267243173</v>
          </cell>
          <cell r="Y152">
            <v>2.3496131471810955E-2</v>
          </cell>
          <cell r="Z152">
            <v>-0.32707222769643551</v>
          </cell>
          <cell r="AA152">
            <v>-6.3044659367773426E-2</v>
          </cell>
          <cell r="AB152">
            <v>0.20098290896088866</v>
          </cell>
          <cell r="AC152">
            <v>0.46501047728955075</v>
          </cell>
          <cell r="AD152">
            <v>0.72903804561821284</v>
          </cell>
          <cell r="AF152" t="e">
            <v>#NAME?</v>
          </cell>
          <cell r="AG152" t="e">
            <v>#NAME?</v>
          </cell>
          <cell r="AH152" t="e">
            <v>#NAME?</v>
          </cell>
          <cell r="AI152" t="e">
            <v>#NAME?</v>
          </cell>
          <cell r="AJ152" t="e">
            <v>#NAME?</v>
          </cell>
          <cell r="AK152" t="e">
            <v>#NAME?</v>
          </cell>
          <cell r="AL152" t="e">
            <v>#NAME?</v>
          </cell>
          <cell r="AN152" t="e">
            <v>#NAME?</v>
          </cell>
          <cell r="AO152" t="e">
            <v>#NAME?</v>
          </cell>
          <cell r="AP152" t="e">
            <v>#NAME?</v>
          </cell>
          <cell r="AQ152" t="e">
            <v>#NAME?</v>
          </cell>
          <cell r="AR152" t="e">
            <v>#NAME?</v>
          </cell>
          <cell r="AS152" t="e">
            <v>#NAME?</v>
          </cell>
          <cell r="AT152" t="e">
            <v>#NAME?</v>
          </cell>
          <cell r="AV152" t="e">
            <v>#NAME?</v>
          </cell>
          <cell r="AW152" t="e">
            <v>#NAME?</v>
          </cell>
          <cell r="AX152" t="e">
            <v>#NAME?</v>
          </cell>
          <cell r="AY152" t="e">
            <v>#NAME?</v>
          </cell>
          <cell r="AZ152" t="e">
            <v>#NAME?</v>
          </cell>
          <cell r="BA152" t="e">
            <v>#NAME?</v>
          </cell>
          <cell r="BB152" t="e">
            <v>#NAME?</v>
          </cell>
          <cell r="BC152" t="e">
            <v>#NAME?</v>
          </cell>
          <cell r="BD152" t="e">
            <v>#NAME?</v>
          </cell>
          <cell r="BE152" t="e">
            <v>#NAME?</v>
          </cell>
          <cell r="BG152" t="e">
            <v>#NAME?</v>
          </cell>
          <cell r="BH152" t="e">
            <v>#NAME?</v>
          </cell>
          <cell r="BJ152" t="e">
            <v>#NAME?</v>
          </cell>
          <cell r="BK152" t="e">
            <v>#NAME?</v>
          </cell>
        </row>
        <row r="153">
          <cell r="A153">
            <v>38260</v>
          </cell>
          <cell r="B153">
            <v>13.408528485661147</v>
          </cell>
          <cell r="C153">
            <v>4.8155474736548554</v>
          </cell>
          <cell r="D153">
            <v>7.1804207119741106</v>
          </cell>
          <cell r="E153">
            <v>0.2472</v>
          </cell>
          <cell r="F153">
            <v>1.7750000000000001</v>
          </cell>
          <cell r="G153">
            <v>78.164407999999995</v>
          </cell>
          <cell r="H153">
            <v>138.7418242</v>
          </cell>
          <cell r="I153" t="e">
            <v>#NAME?</v>
          </cell>
          <cell r="K153" t="e">
            <v>#NAME?</v>
          </cell>
          <cell r="L153">
            <v>0.54634249210357666</v>
          </cell>
          <cell r="M153">
            <v>0.53209042549133301</v>
          </cell>
          <cell r="N153">
            <v>13.494737676107778</v>
          </cell>
          <cell r="O153">
            <v>7.3958989979453715</v>
          </cell>
          <cell r="P153">
            <v>11.044758859065741</v>
          </cell>
          <cell r="Q153">
            <v>14.693618720186111</v>
          </cell>
          <cell r="R153">
            <v>18.34247858130648</v>
          </cell>
          <cell r="S153">
            <v>21.991338442426851</v>
          </cell>
          <cell r="U153">
            <v>6.429429637921924E-3</v>
          </cell>
          <cell r="V153">
            <v>0.17309537420876039</v>
          </cell>
          <cell r="X153">
            <v>13.014185222532333</v>
          </cell>
          <cell r="Y153">
            <v>3.6925281556883904E-2</v>
          </cell>
          <cell r="Z153">
            <v>-0.32707222769643551</v>
          </cell>
          <cell r="AA153">
            <v>-6.3044659367773426E-2</v>
          </cell>
          <cell r="AB153">
            <v>0.20098290896088866</v>
          </cell>
          <cell r="AC153">
            <v>0.46501047728955075</v>
          </cell>
          <cell r="AD153">
            <v>0.72903804561821284</v>
          </cell>
          <cell r="AF153" t="e">
            <v>#NAME?</v>
          </cell>
          <cell r="AG153" t="e">
            <v>#NAME?</v>
          </cell>
          <cell r="AH153" t="e">
            <v>#NAME?</v>
          </cell>
          <cell r="AI153" t="e">
            <v>#NAME?</v>
          </cell>
          <cell r="AJ153" t="e">
            <v>#NAME?</v>
          </cell>
          <cell r="AK153" t="e">
            <v>#NAME?</v>
          </cell>
          <cell r="AL153" t="e">
            <v>#NAME?</v>
          </cell>
          <cell r="AN153" t="e">
            <v>#NAME?</v>
          </cell>
          <cell r="AO153" t="e">
            <v>#NAME?</v>
          </cell>
          <cell r="AP153" t="e">
            <v>#NAME?</v>
          </cell>
          <cell r="AQ153" t="e">
            <v>#NAME?</v>
          </cell>
          <cell r="AR153" t="e">
            <v>#NAME?</v>
          </cell>
          <cell r="AS153" t="e">
            <v>#NAME?</v>
          </cell>
          <cell r="AT153" t="e">
            <v>#NAME?</v>
          </cell>
          <cell r="AV153" t="e">
            <v>#NAME?</v>
          </cell>
          <cell r="AW153" t="e">
            <v>#NAME?</v>
          </cell>
          <cell r="AX153" t="e">
            <v>#NAME?</v>
          </cell>
          <cell r="AY153" t="e">
            <v>#NAME?</v>
          </cell>
          <cell r="AZ153" t="e">
            <v>#NAME?</v>
          </cell>
          <cell r="BA153" t="e">
            <v>#NAME?</v>
          </cell>
          <cell r="BB153" t="e">
            <v>#NAME?</v>
          </cell>
          <cell r="BC153" t="e">
            <v>#NAME?</v>
          </cell>
          <cell r="BD153" t="e">
            <v>#NAME?</v>
          </cell>
          <cell r="BE153" t="e">
            <v>#NAME?</v>
          </cell>
          <cell r="BG153" t="e">
            <v>#NAME?</v>
          </cell>
          <cell r="BH153" t="e">
            <v>#NAME?</v>
          </cell>
          <cell r="BJ153" t="e">
            <v>#NAME?</v>
          </cell>
          <cell r="BK153" t="e">
            <v>#NAME?</v>
          </cell>
        </row>
        <row r="154">
          <cell r="A154">
            <v>38291</v>
          </cell>
          <cell r="B154">
            <v>14.142922336043279</v>
          </cell>
          <cell r="C154">
            <v>4.634188393731578</v>
          </cell>
          <cell r="D154">
            <v>7.3826860841423949</v>
          </cell>
          <cell r="E154">
            <v>0.2472</v>
          </cell>
          <cell r="F154">
            <v>1.825</v>
          </cell>
          <cell r="G154">
            <v>78.164407999999995</v>
          </cell>
          <cell r="H154">
            <v>142.65004459999997</v>
          </cell>
          <cell r="I154" t="e">
            <v>#NAME?</v>
          </cell>
          <cell r="K154" t="e">
            <v>#NAME?</v>
          </cell>
          <cell r="L154">
            <v>0.55016440153121948</v>
          </cell>
          <cell r="M154">
            <v>0.5358273983001709</v>
          </cell>
          <cell r="N154">
            <v>13.778104866535042</v>
          </cell>
          <cell r="O154">
            <v>7.3958989979453715</v>
          </cell>
          <cell r="P154">
            <v>11.044758859065741</v>
          </cell>
          <cell r="Q154">
            <v>14.693618720186111</v>
          </cell>
          <cell r="R154">
            <v>18.34247858130648</v>
          </cell>
          <cell r="S154">
            <v>21.991338442426851</v>
          </cell>
          <cell r="U154">
            <v>-2.5795055706308911E-2</v>
          </cell>
          <cell r="V154">
            <v>0.17309537420876039</v>
          </cell>
          <cell r="X154">
            <v>14.15202776056281</v>
          </cell>
          <cell r="Y154">
            <v>-2.6421859846104234E-2</v>
          </cell>
          <cell r="Z154">
            <v>-0.32707222769643551</v>
          </cell>
          <cell r="AA154">
            <v>-6.3044659367773426E-2</v>
          </cell>
          <cell r="AB154">
            <v>0.20098290896088866</v>
          </cell>
          <cell r="AC154">
            <v>0.46501047728955075</v>
          </cell>
          <cell r="AD154">
            <v>0.72903804561821284</v>
          </cell>
          <cell r="AF154" t="e">
            <v>#NAME?</v>
          </cell>
          <cell r="AG154" t="e">
            <v>#NAME?</v>
          </cell>
          <cell r="AH154" t="e">
            <v>#NAME?</v>
          </cell>
          <cell r="AI154" t="e">
            <v>#NAME?</v>
          </cell>
          <cell r="AJ154" t="e">
            <v>#NAME?</v>
          </cell>
          <cell r="AK154" t="e">
            <v>#NAME?</v>
          </cell>
          <cell r="AL154" t="e">
            <v>#NAME?</v>
          </cell>
          <cell r="AN154" t="e">
            <v>#NAME?</v>
          </cell>
          <cell r="AO154" t="e">
            <v>#NAME?</v>
          </cell>
          <cell r="AP154" t="e">
            <v>#NAME?</v>
          </cell>
          <cell r="AQ154" t="e">
            <v>#NAME?</v>
          </cell>
          <cell r="AR154" t="e">
            <v>#NAME?</v>
          </cell>
          <cell r="AS154" t="e">
            <v>#NAME?</v>
          </cell>
          <cell r="AT154" t="e">
            <v>#NAME?</v>
          </cell>
          <cell r="AV154" t="e">
            <v>#NAME?</v>
          </cell>
          <cell r="AW154" t="e">
            <v>#NAME?</v>
          </cell>
          <cell r="AX154" t="e">
            <v>#NAME?</v>
          </cell>
          <cell r="AY154" t="e">
            <v>#NAME?</v>
          </cell>
          <cell r="AZ154" t="e">
            <v>#NAME?</v>
          </cell>
          <cell r="BA154" t="e">
            <v>#NAME?</v>
          </cell>
          <cell r="BB154" t="e">
            <v>#NAME?</v>
          </cell>
          <cell r="BC154" t="e">
            <v>#NAME?</v>
          </cell>
          <cell r="BD154" t="e">
            <v>#NAME?</v>
          </cell>
          <cell r="BE154" t="e">
            <v>#NAME?</v>
          </cell>
          <cell r="BG154" t="e">
            <v>#NAME?</v>
          </cell>
          <cell r="BH154" t="e">
            <v>#NAME?</v>
          </cell>
          <cell r="BJ154" t="e">
            <v>#NAME?</v>
          </cell>
          <cell r="BK154" t="e">
            <v>#NAME?</v>
          </cell>
        </row>
        <row r="155">
          <cell r="A155">
            <v>38321</v>
          </cell>
          <cell r="B155">
            <v>14.324111055473226</v>
          </cell>
          <cell r="C155">
            <v>4.5777806510810093</v>
          </cell>
          <cell r="D155">
            <v>8.1310679611650496</v>
          </cell>
          <cell r="E155">
            <v>0.2472</v>
          </cell>
          <cell r="F155">
            <v>2.0100000000000002</v>
          </cell>
          <cell r="G155">
            <v>78.164407999999995</v>
          </cell>
          <cell r="H155">
            <v>157.11046008</v>
          </cell>
          <cell r="I155" t="e">
            <v>#NAME?</v>
          </cell>
          <cell r="K155" t="e">
            <v>#NAME?</v>
          </cell>
          <cell r="L155">
            <v>0.55386298894882202</v>
          </cell>
          <cell r="M155">
            <v>0.53944385051727295</v>
          </cell>
          <cell r="N155">
            <v>15.07305710013779</v>
          </cell>
          <cell r="O155">
            <v>7.3958989979453715</v>
          </cell>
          <cell r="P155">
            <v>11.044758859065741</v>
          </cell>
          <cell r="Q155">
            <v>14.693618720186111</v>
          </cell>
          <cell r="R155">
            <v>18.34247858130648</v>
          </cell>
          <cell r="S155">
            <v>21.991338442426851</v>
          </cell>
          <cell r="U155">
            <v>5.2285691011756841E-2</v>
          </cell>
          <cell r="V155">
            <v>0.17309537420876039</v>
          </cell>
          <cell r="X155">
            <v>14.184154410226046</v>
          </cell>
          <cell r="Y155">
            <v>6.2668712156072504E-2</v>
          </cell>
          <cell r="Z155">
            <v>-0.32707222769643551</v>
          </cell>
          <cell r="AA155">
            <v>-6.3044659367773426E-2</v>
          </cell>
          <cell r="AB155">
            <v>0.20098290896088866</v>
          </cell>
          <cell r="AC155">
            <v>0.46501047728955075</v>
          </cell>
          <cell r="AD155">
            <v>0.72903804561821284</v>
          </cell>
          <cell r="AF155" t="e">
            <v>#NAME?</v>
          </cell>
          <cell r="AG155" t="e">
            <v>#NAME?</v>
          </cell>
          <cell r="AH155" t="e">
            <v>#NAME?</v>
          </cell>
          <cell r="AI155" t="e">
            <v>#NAME?</v>
          </cell>
          <cell r="AJ155" t="e">
            <v>#NAME?</v>
          </cell>
          <cell r="AK155" t="e">
            <v>#NAME?</v>
          </cell>
          <cell r="AL155" t="e">
            <v>#NAME?</v>
          </cell>
          <cell r="AN155" t="e">
            <v>#NAME?</v>
          </cell>
          <cell r="AO155" t="e">
            <v>#NAME?</v>
          </cell>
          <cell r="AP155" t="e">
            <v>#NAME?</v>
          </cell>
          <cell r="AQ155" t="e">
            <v>#NAME?</v>
          </cell>
          <cell r="AR155" t="e">
            <v>#NAME?</v>
          </cell>
          <cell r="AS155" t="e">
            <v>#NAME?</v>
          </cell>
          <cell r="AT155" t="e">
            <v>#NAME?</v>
          </cell>
          <cell r="AV155" t="e">
            <v>#NAME?</v>
          </cell>
          <cell r="AW155" t="e">
            <v>#NAME?</v>
          </cell>
          <cell r="AX155" t="e">
            <v>#NAME?</v>
          </cell>
          <cell r="AY155" t="e">
            <v>#NAME?</v>
          </cell>
          <cell r="AZ155" t="e">
            <v>#NAME?</v>
          </cell>
          <cell r="BA155" t="e">
            <v>#NAME?</v>
          </cell>
          <cell r="BB155" t="e">
            <v>#NAME?</v>
          </cell>
          <cell r="BC155" t="e">
            <v>#NAME?</v>
          </cell>
          <cell r="BD155" t="e">
            <v>#NAME?</v>
          </cell>
          <cell r="BE155" t="e">
            <v>#NAME?</v>
          </cell>
          <cell r="BG155" t="e">
            <v>#NAME?</v>
          </cell>
          <cell r="BH155" t="e">
            <v>#NAME?</v>
          </cell>
          <cell r="BJ155" t="e">
            <v>#NAME?</v>
          </cell>
          <cell r="BK155" t="e">
            <v>#NAME?</v>
          </cell>
        </row>
        <row r="156">
          <cell r="A156">
            <v>38352</v>
          </cell>
          <cell r="B156">
            <v>14.5690453434046</v>
          </cell>
          <cell r="C156">
            <v>4.4606622828218168</v>
          </cell>
          <cell r="D156">
            <v>7.9389158576051786</v>
          </cell>
          <cell r="E156">
            <v>0.2472</v>
          </cell>
          <cell r="F156">
            <v>1.9625000000000001</v>
          </cell>
          <cell r="G156">
            <v>78.164407999999995</v>
          </cell>
          <cell r="H156">
            <v>153.39765069999999</v>
          </cell>
          <cell r="I156" t="e">
            <v>#NAME?</v>
          </cell>
          <cell r="K156" t="e">
            <v>#NAME?</v>
          </cell>
          <cell r="L156">
            <v>0.55756163597106934</v>
          </cell>
          <cell r="M156">
            <v>0.543060302734375</v>
          </cell>
          <cell r="N156">
            <v>14.618847700028462</v>
          </cell>
          <cell r="O156">
            <v>7.3958989979453715</v>
          </cell>
          <cell r="P156">
            <v>11.044758859065741</v>
          </cell>
          <cell r="Q156">
            <v>14.693618720186111</v>
          </cell>
          <cell r="R156">
            <v>18.34247858130648</v>
          </cell>
          <cell r="S156">
            <v>21.991338442426851</v>
          </cell>
          <cell r="U156">
            <v>3.4183678786070537E-3</v>
          </cell>
          <cell r="V156">
            <v>0.17309537420876039</v>
          </cell>
          <cell r="X156">
            <v>13.881979232990078</v>
          </cell>
          <cell r="Y156">
            <v>5.3080937139514006E-2</v>
          </cell>
          <cell r="Z156">
            <v>-0.32707222769643551</v>
          </cell>
          <cell r="AA156">
            <v>-6.3044659367773426E-2</v>
          </cell>
          <cell r="AB156">
            <v>0.20098290896088866</v>
          </cell>
          <cell r="AC156">
            <v>0.46501047728955075</v>
          </cell>
          <cell r="AD156">
            <v>0.72903804561821284</v>
          </cell>
          <cell r="AF156" t="e">
            <v>#NAME?</v>
          </cell>
          <cell r="AG156" t="e">
            <v>#NAME?</v>
          </cell>
          <cell r="AH156" t="e">
            <v>#NAME?</v>
          </cell>
          <cell r="AI156" t="e">
            <v>#NAME?</v>
          </cell>
          <cell r="AJ156" t="e">
            <v>#NAME?</v>
          </cell>
          <cell r="AK156" t="e">
            <v>#NAME?</v>
          </cell>
          <cell r="AL156" t="e">
            <v>#NAME?</v>
          </cell>
          <cell r="AN156" t="e">
            <v>#NAME?</v>
          </cell>
          <cell r="AO156" t="e">
            <v>#NAME?</v>
          </cell>
          <cell r="AP156" t="e">
            <v>#NAME?</v>
          </cell>
          <cell r="AQ156" t="e">
            <v>#NAME?</v>
          </cell>
          <cell r="AR156" t="e">
            <v>#NAME?</v>
          </cell>
          <cell r="AS156" t="e">
            <v>#NAME?</v>
          </cell>
          <cell r="AT156" t="e">
            <v>#NAME?</v>
          </cell>
          <cell r="AV156" t="e">
            <v>#NAME?</v>
          </cell>
          <cell r="AW156" t="e">
            <v>#NAME?</v>
          </cell>
          <cell r="AX156" t="e">
            <v>#NAME?</v>
          </cell>
          <cell r="AY156" t="e">
            <v>#NAME?</v>
          </cell>
          <cell r="AZ156" t="e">
            <v>#NAME?</v>
          </cell>
          <cell r="BA156" t="e">
            <v>#NAME?</v>
          </cell>
          <cell r="BB156" t="e">
            <v>#NAME?</v>
          </cell>
          <cell r="BC156" t="e">
            <v>#NAME?</v>
          </cell>
          <cell r="BD156" t="e">
            <v>#NAME?</v>
          </cell>
          <cell r="BE156" t="e">
            <v>#NAME?</v>
          </cell>
          <cell r="BG156" t="e">
            <v>#NAME?</v>
          </cell>
          <cell r="BH156" t="e">
            <v>#NAME?</v>
          </cell>
          <cell r="BJ156" t="e">
            <v>#NAME?</v>
          </cell>
          <cell r="BK156" t="e">
            <v>#NAME?</v>
          </cell>
        </row>
        <row r="157">
          <cell r="A157">
            <v>38383</v>
          </cell>
          <cell r="B157">
            <v>15.27426509925559</v>
          </cell>
          <cell r="C157">
            <v>4.3582927105859151</v>
          </cell>
          <cell r="D157">
            <v>8.4445792880258903</v>
          </cell>
          <cell r="E157">
            <v>0.2472</v>
          </cell>
          <cell r="F157">
            <v>2.0874999999999999</v>
          </cell>
          <cell r="G157">
            <v>78.164407999999995</v>
          </cell>
          <cell r="H157">
            <v>163.16820169999997</v>
          </cell>
          <cell r="I157" t="e">
            <v>#NAME?</v>
          </cell>
          <cell r="K157" t="e">
            <v>#NAME?</v>
          </cell>
          <cell r="L157">
            <v>0.56150686740875244</v>
          </cell>
          <cell r="M157">
            <v>0.54691779613494873</v>
          </cell>
          <cell r="N157">
            <v>15.440308118886371</v>
          </cell>
          <cell r="O157">
            <v>7.3958989979453715</v>
          </cell>
          <cell r="P157">
            <v>11.044758859065741</v>
          </cell>
          <cell r="Q157">
            <v>14.693618720186111</v>
          </cell>
          <cell r="R157">
            <v>18.34247858130648</v>
          </cell>
          <cell r="S157">
            <v>21.991338442426851</v>
          </cell>
          <cell r="U157">
            <v>1.0870769791659018E-2</v>
          </cell>
          <cell r="V157">
            <v>0.17309537420876039</v>
          </cell>
          <cell r="X157">
            <v>14.453699737918884</v>
          </cell>
          <cell r="Y157">
            <v>6.8259919526288959E-2</v>
          </cell>
          <cell r="Z157">
            <v>-0.32707222769643551</v>
          </cell>
          <cell r="AA157">
            <v>-6.3044659367773426E-2</v>
          </cell>
          <cell r="AB157">
            <v>0.20098290896088866</v>
          </cell>
          <cell r="AC157">
            <v>0.46501047728955075</v>
          </cell>
          <cell r="AD157">
            <v>0.72903804561821284</v>
          </cell>
          <cell r="AF157" t="e">
            <v>#NAME?</v>
          </cell>
          <cell r="AG157" t="e">
            <v>#NAME?</v>
          </cell>
          <cell r="AH157" t="e">
            <v>#NAME?</v>
          </cell>
          <cell r="AI157" t="e">
            <v>#NAME?</v>
          </cell>
          <cell r="AJ157" t="e">
            <v>#NAME?</v>
          </cell>
          <cell r="AK157" t="e">
            <v>#NAME?</v>
          </cell>
          <cell r="AL157" t="e">
            <v>#NAME?</v>
          </cell>
          <cell r="AN157" t="e">
            <v>#NAME?</v>
          </cell>
          <cell r="AO157" t="e">
            <v>#NAME?</v>
          </cell>
          <cell r="AP157" t="e">
            <v>#NAME?</v>
          </cell>
          <cell r="AQ157" t="e">
            <v>#NAME?</v>
          </cell>
          <cell r="AR157" t="e">
            <v>#NAME?</v>
          </cell>
          <cell r="AS157" t="e">
            <v>#NAME?</v>
          </cell>
          <cell r="AT157" t="e">
            <v>#NAME?</v>
          </cell>
          <cell r="AV157" t="e">
            <v>#NAME?</v>
          </cell>
          <cell r="AW157" t="e">
            <v>#NAME?</v>
          </cell>
          <cell r="AX157" t="e">
            <v>#NAME?</v>
          </cell>
          <cell r="AY157" t="e">
            <v>#NAME?</v>
          </cell>
          <cell r="AZ157" t="e">
            <v>#NAME?</v>
          </cell>
          <cell r="BA157" t="e">
            <v>#NAME?</v>
          </cell>
          <cell r="BB157" t="e">
            <v>#NAME?</v>
          </cell>
          <cell r="BC157" t="e">
            <v>#NAME?</v>
          </cell>
          <cell r="BD157" t="e">
            <v>#NAME?</v>
          </cell>
          <cell r="BE157" t="e">
            <v>#NAME?</v>
          </cell>
          <cell r="BG157" t="e">
            <v>#NAME?</v>
          </cell>
          <cell r="BH157" t="e">
            <v>#NAME?</v>
          </cell>
          <cell r="BJ157" t="e">
            <v>#NAME?</v>
          </cell>
          <cell r="BK157" t="e">
            <v>#NAME?</v>
          </cell>
        </row>
        <row r="158">
          <cell r="A158">
            <v>38411</v>
          </cell>
          <cell r="B158">
            <v>14.72223001217781</v>
          </cell>
          <cell r="C158">
            <v>4.6124721034323475</v>
          </cell>
          <cell r="D158">
            <v>11.579692556634305</v>
          </cell>
          <cell r="E158">
            <v>0.2472</v>
          </cell>
          <cell r="F158">
            <v>2.8625000000000003</v>
          </cell>
          <cell r="G158">
            <v>78.164407999999995</v>
          </cell>
          <cell r="H158">
            <v>223.74561790000001</v>
          </cell>
          <cell r="I158" t="e">
            <v>#NAME?</v>
          </cell>
          <cell r="K158" t="e">
            <v>#NAME?</v>
          </cell>
          <cell r="L158">
            <v>0.56495893001556396</v>
          </cell>
          <cell r="M158">
            <v>0.55029314756393433</v>
          </cell>
          <cell r="N158">
            <v>21.042770762994007</v>
          </cell>
          <cell r="O158">
            <v>7.3958989979453715</v>
          </cell>
          <cell r="P158">
            <v>11.044758859065741</v>
          </cell>
          <cell r="Q158">
            <v>14.693618720186111</v>
          </cell>
          <cell r="R158">
            <v>18.34247858130648</v>
          </cell>
          <cell r="S158">
            <v>21.991338442426851</v>
          </cell>
          <cell r="U158">
            <v>0.42931952194660883</v>
          </cell>
          <cell r="V158">
            <v>0.17309537420876039</v>
          </cell>
          <cell r="X158">
            <v>14.456787872344441</v>
          </cell>
          <cell r="Y158">
            <v>0.4555633622630948</v>
          </cell>
          <cell r="Z158">
            <v>-0.32707222769643551</v>
          </cell>
          <cell r="AA158">
            <v>-6.3044659367773426E-2</v>
          </cell>
          <cell r="AB158">
            <v>0.20098290896088866</v>
          </cell>
          <cell r="AC158">
            <v>0.46501047728955075</v>
          </cell>
          <cell r="AD158">
            <v>0.72903804561821284</v>
          </cell>
          <cell r="AF158" t="e">
            <v>#NAME?</v>
          </cell>
          <cell r="AG158" t="e">
            <v>#NAME?</v>
          </cell>
          <cell r="AH158" t="e">
            <v>#NAME?</v>
          </cell>
          <cell r="AI158" t="e">
            <v>#NAME?</v>
          </cell>
          <cell r="AJ158" t="e">
            <v>#NAME?</v>
          </cell>
          <cell r="AK158" t="e">
            <v>#NAME?</v>
          </cell>
          <cell r="AL158" t="e">
            <v>#NAME?</v>
          </cell>
          <cell r="AN158" t="e">
            <v>#NAME?</v>
          </cell>
          <cell r="AO158" t="e">
            <v>#NAME?</v>
          </cell>
          <cell r="AP158" t="e">
            <v>#NAME?</v>
          </cell>
          <cell r="AQ158" t="e">
            <v>#NAME?</v>
          </cell>
          <cell r="AR158" t="e">
            <v>#NAME?</v>
          </cell>
          <cell r="AS158" t="e">
            <v>#NAME?</v>
          </cell>
          <cell r="AT158" t="e">
            <v>#NAME?</v>
          </cell>
          <cell r="AV158" t="e">
            <v>#NAME?</v>
          </cell>
          <cell r="AW158" t="e">
            <v>#NAME?</v>
          </cell>
          <cell r="AX158" t="e">
            <v>#NAME?</v>
          </cell>
          <cell r="AY158" t="e">
            <v>#NAME?</v>
          </cell>
          <cell r="AZ158" t="e">
            <v>#NAME?</v>
          </cell>
          <cell r="BA158" t="e">
            <v>#NAME?</v>
          </cell>
          <cell r="BB158" t="e">
            <v>#NAME?</v>
          </cell>
          <cell r="BC158" t="e">
            <v>#NAME?</v>
          </cell>
          <cell r="BD158" t="e">
            <v>#NAME?</v>
          </cell>
          <cell r="BE158" t="e">
            <v>#NAME?</v>
          </cell>
          <cell r="BG158" t="e">
            <v>#NAME?</v>
          </cell>
          <cell r="BH158" t="e">
            <v>#NAME?</v>
          </cell>
          <cell r="BJ158" t="e">
            <v>#NAME?</v>
          </cell>
          <cell r="BK158" t="e">
            <v>#NAME?</v>
          </cell>
        </row>
        <row r="159">
          <cell r="A159">
            <v>38442</v>
          </cell>
          <cell r="B159">
            <v>14.420766923632181</v>
          </cell>
          <cell r="C159">
            <v>4.8340615143276429</v>
          </cell>
          <cell r="D159">
            <v>11.114482200647249</v>
          </cell>
          <cell r="E159">
            <v>0.2472</v>
          </cell>
          <cell r="F159">
            <v>2.7475000000000001</v>
          </cell>
          <cell r="G159">
            <v>78.164407999999995</v>
          </cell>
          <cell r="H159">
            <v>214.75671097999998</v>
          </cell>
          <cell r="I159" t="e">
            <v>#NAME?</v>
          </cell>
          <cell r="K159" t="e">
            <v>#NAME?</v>
          </cell>
          <cell r="L159">
            <v>0.56878083944320679</v>
          </cell>
          <cell r="M159">
            <v>0.55403012037277222</v>
          </cell>
          <cell r="N159">
            <v>20.061151536615029</v>
          </cell>
          <cell r="O159">
            <v>7.3958989979453715</v>
          </cell>
          <cell r="P159">
            <v>11.044758859065741</v>
          </cell>
          <cell r="Q159">
            <v>14.693618720186111</v>
          </cell>
          <cell r="R159">
            <v>18.34247858130648</v>
          </cell>
          <cell r="S159">
            <v>21.991338442426851</v>
          </cell>
          <cell r="U159">
            <v>0.39112930975533677</v>
          </cell>
          <cell r="V159">
            <v>0.17309537420876039</v>
          </cell>
          <cell r="X159">
            <v>14.437434708806164</v>
          </cell>
          <cell r="Y159">
            <v>0.38952327343711968</v>
          </cell>
          <cell r="Z159">
            <v>-0.32707222769643551</v>
          </cell>
          <cell r="AA159">
            <v>-6.3044659367773426E-2</v>
          </cell>
          <cell r="AB159">
            <v>0.20098290896088866</v>
          </cell>
          <cell r="AC159">
            <v>0.46501047728955075</v>
          </cell>
          <cell r="AD159">
            <v>0.72903804561821284</v>
          </cell>
          <cell r="AF159" t="e">
            <v>#NAME?</v>
          </cell>
          <cell r="AG159" t="e">
            <v>#NAME?</v>
          </cell>
          <cell r="AH159" t="e">
            <v>#NAME?</v>
          </cell>
          <cell r="AI159" t="e">
            <v>#NAME?</v>
          </cell>
          <cell r="AJ159" t="e">
            <v>#NAME?</v>
          </cell>
          <cell r="AK159" t="e">
            <v>#NAME?</v>
          </cell>
          <cell r="AL159" t="e">
            <v>#NAME?</v>
          </cell>
          <cell r="AN159" t="e">
            <v>#NAME?</v>
          </cell>
          <cell r="AO159" t="e">
            <v>#NAME?</v>
          </cell>
          <cell r="AP159" t="e">
            <v>#NAME?</v>
          </cell>
          <cell r="AQ159" t="e">
            <v>#NAME?</v>
          </cell>
          <cell r="AR159" t="e">
            <v>#NAME?</v>
          </cell>
          <cell r="AS159" t="e">
            <v>#NAME?</v>
          </cell>
          <cell r="AT159" t="e">
            <v>#NAME?</v>
          </cell>
          <cell r="AV159" t="e">
            <v>#NAME?</v>
          </cell>
          <cell r="AW159" t="e">
            <v>#NAME?</v>
          </cell>
          <cell r="AX159" t="e">
            <v>#NAME?</v>
          </cell>
          <cell r="AY159" t="e">
            <v>#NAME?</v>
          </cell>
          <cell r="AZ159" t="e">
            <v>#NAME?</v>
          </cell>
          <cell r="BA159" t="e">
            <v>#NAME?</v>
          </cell>
          <cell r="BB159" t="e">
            <v>#NAME?</v>
          </cell>
          <cell r="BC159" t="e">
            <v>#NAME?</v>
          </cell>
          <cell r="BD159" t="e">
            <v>#NAME?</v>
          </cell>
          <cell r="BE159" t="e">
            <v>#NAME?</v>
          </cell>
          <cell r="BG159" t="e">
            <v>#NAME?</v>
          </cell>
          <cell r="BH159" t="e">
            <v>#NAME?</v>
          </cell>
          <cell r="BJ159" t="e">
            <v>#NAME?</v>
          </cell>
          <cell r="BK159" t="e">
            <v>#NAME?</v>
          </cell>
        </row>
        <row r="160">
          <cell r="A160">
            <v>38472</v>
          </cell>
          <cell r="B160">
            <v>13.433498862599325</v>
          </cell>
          <cell r="C160">
            <v>5.176971189799735</v>
          </cell>
          <cell r="D160">
            <v>10.386326860841425</v>
          </cell>
          <cell r="E160">
            <v>0.2472</v>
          </cell>
          <cell r="F160">
            <v>2.5675000000000003</v>
          </cell>
          <cell r="G160">
            <v>78.164407999999995</v>
          </cell>
          <cell r="H160">
            <v>200.68711754</v>
          </cell>
          <cell r="I160" t="e">
            <v>#NAME?</v>
          </cell>
          <cell r="K160" t="e">
            <v>#NAME?</v>
          </cell>
          <cell r="L160">
            <v>0.57247942686080933</v>
          </cell>
          <cell r="M160">
            <v>0.55764657258987427</v>
          </cell>
          <cell r="N160">
            <v>18.625285927257252</v>
          </cell>
          <cell r="O160">
            <v>7.3958989979453715</v>
          </cell>
          <cell r="P160">
            <v>11.044758859065741</v>
          </cell>
          <cell r="Q160">
            <v>14.693618720186111</v>
          </cell>
          <cell r="R160">
            <v>18.34247858130648</v>
          </cell>
          <cell r="S160">
            <v>21.991338442426851</v>
          </cell>
          <cell r="U160">
            <v>0.38648062710695297</v>
          </cell>
          <cell r="V160">
            <v>0.17309537420876039</v>
          </cell>
          <cell r="X160">
            <v>13.321454214645351</v>
          </cell>
          <cell r="Y160">
            <v>0.39814209673752954</v>
          </cell>
          <cell r="Z160">
            <v>-0.32707222769643551</v>
          </cell>
          <cell r="AA160">
            <v>-6.3044659367773426E-2</v>
          </cell>
          <cell r="AB160">
            <v>0.20098290896088866</v>
          </cell>
          <cell r="AC160">
            <v>0.46501047728955075</v>
          </cell>
          <cell r="AD160">
            <v>0.72903804561821284</v>
          </cell>
          <cell r="AF160" t="e">
            <v>#NAME?</v>
          </cell>
          <cell r="AG160" t="e">
            <v>#NAME?</v>
          </cell>
          <cell r="AH160" t="e">
            <v>#NAME?</v>
          </cell>
          <cell r="AI160" t="e">
            <v>#NAME?</v>
          </cell>
          <cell r="AJ160" t="e">
            <v>#NAME?</v>
          </cell>
          <cell r="AK160" t="e">
            <v>#NAME?</v>
          </cell>
          <cell r="AL160" t="e">
            <v>#NAME?</v>
          </cell>
          <cell r="AN160" t="e">
            <v>#NAME?</v>
          </cell>
          <cell r="AO160" t="e">
            <v>#NAME?</v>
          </cell>
          <cell r="AP160" t="e">
            <v>#NAME?</v>
          </cell>
          <cell r="AQ160" t="e">
            <v>#NAME?</v>
          </cell>
          <cell r="AR160" t="e">
            <v>#NAME?</v>
          </cell>
          <cell r="AS160" t="e">
            <v>#NAME?</v>
          </cell>
          <cell r="AT160" t="e">
            <v>#NAME?</v>
          </cell>
          <cell r="AV160" t="e">
            <v>#NAME?</v>
          </cell>
          <cell r="AW160" t="e">
            <v>#NAME?</v>
          </cell>
          <cell r="AX160" t="e">
            <v>#NAME?</v>
          </cell>
          <cell r="AY160" t="e">
            <v>#NAME?</v>
          </cell>
          <cell r="AZ160" t="e">
            <v>#NAME?</v>
          </cell>
          <cell r="BA160" t="e">
            <v>#NAME?</v>
          </cell>
          <cell r="BB160" t="e">
            <v>#NAME?</v>
          </cell>
          <cell r="BC160" t="e">
            <v>#NAME?</v>
          </cell>
          <cell r="BD160" t="e">
            <v>#NAME?</v>
          </cell>
          <cell r="BE160" t="e">
            <v>#NAME?</v>
          </cell>
          <cell r="BG160" t="e">
            <v>#NAME?</v>
          </cell>
          <cell r="BH160" t="e">
            <v>#NAME?</v>
          </cell>
          <cell r="BJ160" t="e">
            <v>#NAME?</v>
          </cell>
          <cell r="BK160" t="e">
            <v>#NAME?</v>
          </cell>
        </row>
        <row r="161">
          <cell r="A161">
            <v>38503</v>
          </cell>
          <cell r="B161">
            <v>13.651971946838563</v>
          </cell>
          <cell r="C161">
            <v>5.0462716112538377</v>
          </cell>
          <cell r="D161">
            <v>11.377427184466018</v>
          </cell>
          <cell r="E161">
            <v>0.2472</v>
          </cell>
          <cell r="F161">
            <v>2.8125</v>
          </cell>
          <cell r="G161">
            <v>78.164407999999995</v>
          </cell>
          <cell r="H161">
            <v>219.83739749999998</v>
          </cell>
          <cell r="I161" t="e">
            <v>#NAME?</v>
          </cell>
          <cell r="K161" t="e">
            <v>#NAME?</v>
          </cell>
          <cell r="L161">
            <v>0.57630139589309692</v>
          </cell>
          <cell r="M161">
            <v>0.56138354539871216</v>
          </cell>
          <cell r="N161">
            <v>20.266762853523634</v>
          </cell>
          <cell r="O161">
            <v>7.3958989979453715</v>
          </cell>
          <cell r="P161">
            <v>11.044758859065741</v>
          </cell>
          <cell r="Q161">
            <v>14.693618720186111</v>
          </cell>
          <cell r="R161">
            <v>18.34247858130648</v>
          </cell>
          <cell r="S161">
            <v>21.991338442426851</v>
          </cell>
          <cell r="U161">
            <v>0.48453006880202998</v>
          </cell>
          <cell r="V161">
            <v>0.17309537420876039</v>
          </cell>
          <cell r="X161">
            <v>13.783993555822713</v>
          </cell>
          <cell r="Y161">
            <v>0.47031139933770727</v>
          </cell>
          <cell r="Z161">
            <v>-0.32707222769643551</v>
          </cell>
          <cell r="AA161">
            <v>-6.3044659367773426E-2</v>
          </cell>
          <cell r="AB161">
            <v>0.20098290896088866</v>
          </cell>
          <cell r="AC161">
            <v>0.46501047728955075</v>
          </cell>
          <cell r="AD161">
            <v>0.72903804561821284</v>
          </cell>
          <cell r="AF161" t="e">
            <v>#NAME?</v>
          </cell>
          <cell r="AG161" t="e">
            <v>#NAME?</v>
          </cell>
          <cell r="AH161" t="e">
            <v>#NAME?</v>
          </cell>
          <cell r="AI161" t="e">
            <v>#NAME?</v>
          </cell>
          <cell r="AJ161" t="e">
            <v>#NAME?</v>
          </cell>
          <cell r="AK161" t="e">
            <v>#NAME?</v>
          </cell>
          <cell r="AL161" t="e">
            <v>#NAME?</v>
          </cell>
          <cell r="AN161" t="e">
            <v>#NAME?</v>
          </cell>
          <cell r="AO161" t="e">
            <v>#NAME?</v>
          </cell>
          <cell r="AP161" t="e">
            <v>#NAME?</v>
          </cell>
          <cell r="AQ161" t="e">
            <v>#NAME?</v>
          </cell>
          <cell r="AR161" t="e">
            <v>#NAME?</v>
          </cell>
          <cell r="AS161" t="e">
            <v>#NAME?</v>
          </cell>
          <cell r="AT161" t="e">
            <v>#NAME?</v>
          </cell>
          <cell r="AV161" t="e">
            <v>#NAME?</v>
          </cell>
          <cell r="AW161" t="e">
            <v>#NAME?</v>
          </cell>
          <cell r="AX161" t="e">
            <v>#NAME?</v>
          </cell>
          <cell r="AY161" t="e">
            <v>#NAME?</v>
          </cell>
          <cell r="AZ161" t="e">
            <v>#NAME?</v>
          </cell>
          <cell r="BA161" t="e">
            <v>#NAME?</v>
          </cell>
          <cell r="BB161" t="e">
            <v>#NAME?</v>
          </cell>
          <cell r="BC161" t="e">
            <v>#NAME?</v>
          </cell>
          <cell r="BD161" t="e">
            <v>#NAME?</v>
          </cell>
          <cell r="BE161" t="e">
            <v>#NAME?</v>
          </cell>
          <cell r="BG161" t="e">
            <v>#NAME?</v>
          </cell>
          <cell r="BH161" t="e">
            <v>#NAME?</v>
          </cell>
          <cell r="BJ161" t="e">
            <v>#NAME?</v>
          </cell>
          <cell r="BK161" t="e">
            <v>#NAME?</v>
          </cell>
        </row>
        <row r="162">
          <cell r="A162">
            <v>38533</v>
          </cell>
          <cell r="B162">
            <v>13.787040407644017</v>
          </cell>
          <cell r="C162">
            <v>4.8584590055419472</v>
          </cell>
          <cell r="D162">
            <v>3.4283980582524274</v>
          </cell>
          <cell r="E162">
            <v>0.98880000000000001</v>
          </cell>
          <cell r="F162">
            <v>3.39</v>
          </cell>
          <cell r="G162">
            <v>79.888407999999998</v>
          </cell>
          <cell r="H162">
            <v>270.82170312</v>
          </cell>
          <cell r="I162" t="e">
            <v>#NAME?</v>
          </cell>
          <cell r="K162" t="e">
            <v>#NAME?</v>
          </cell>
          <cell r="L162">
            <v>0.14499999582767487</v>
          </cell>
          <cell r="M162">
            <v>0.14124999940395355</v>
          </cell>
          <cell r="N162">
            <v>24.271844762616453</v>
          </cell>
          <cell r="O162">
            <v>7.3958989979453715</v>
          </cell>
          <cell r="P162">
            <v>11.044758859065741</v>
          </cell>
          <cell r="Q162">
            <v>14.693618720186111</v>
          </cell>
          <cell r="R162">
            <v>18.34247858130648</v>
          </cell>
          <cell r="S162">
            <v>21.991338442426851</v>
          </cell>
          <cell r="U162">
            <v>0.76048260141163393</v>
          </cell>
          <cell r="V162">
            <v>0.17309537420876039</v>
          </cell>
          <cell r="X162">
            <v>14.92730689495793</v>
          </cell>
          <cell r="Y162">
            <v>0.62600293096505411</v>
          </cell>
          <cell r="Z162">
            <v>-0.32707222769643551</v>
          </cell>
          <cell r="AA162">
            <v>-6.3044659367773426E-2</v>
          </cell>
          <cell r="AB162">
            <v>0.20098290896088866</v>
          </cell>
          <cell r="AC162">
            <v>0.46501047728955075</v>
          </cell>
          <cell r="AD162">
            <v>0.72903804561821284</v>
          </cell>
          <cell r="AF162" t="e">
            <v>#NAME?</v>
          </cell>
          <cell r="AG162" t="e">
            <v>#NAME?</v>
          </cell>
          <cell r="AH162" t="e">
            <v>#NAME?</v>
          </cell>
          <cell r="AI162" t="e">
            <v>#NAME?</v>
          </cell>
          <cell r="AJ162" t="e">
            <v>#NAME?</v>
          </cell>
          <cell r="AK162" t="e">
            <v>#NAME?</v>
          </cell>
          <cell r="AL162" t="e">
            <v>#NAME?</v>
          </cell>
          <cell r="AN162" t="e">
            <v>#NAME?</v>
          </cell>
          <cell r="AO162" t="e">
            <v>#NAME?</v>
          </cell>
          <cell r="AP162" t="e">
            <v>#NAME?</v>
          </cell>
          <cell r="AQ162" t="e">
            <v>#NAME?</v>
          </cell>
          <cell r="AR162" t="e">
            <v>#NAME?</v>
          </cell>
          <cell r="AS162" t="e">
            <v>#NAME?</v>
          </cell>
          <cell r="AT162" t="e">
            <v>#NAME?</v>
          </cell>
          <cell r="AV162" t="e">
            <v>#NAME?</v>
          </cell>
          <cell r="AW162" t="e">
            <v>#NAME?</v>
          </cell>
          <cell r="AX162" t="e">
            <v>#NAME?</v>
          </cell>
          <cell r="AY162" t="e">
            <v>#NAME?</v>
          </cell>
          <cell r="AZ162" t="e">
            <v>#NAME?</v>
          </cell>
          <cell r="BA162" t="e">
            <v>#NAME?</v>
          </cell>
          <cell r="BB162" t="e">
            <v>#NAME?</v>
          </cell>
          <cell r="BC162" t="e">
            <v>#NAME?</v>
          </cell>
          <cell r="BD162" t="e">
            <v>#NAME?</v>
          </cell>
          <cell r="BE162" t="e">
            <v>#NAME?</v>
          </cell>
          <cell r="BG162" t="e">
            <v>#NAME?</v>
          </cell>
          <cell r="BH162" t="e">
            <v>#NAME?</v>
          </cell>
          <cell r="BJ162" t="e">
            <v>#NAME?</v>
          </cell>
          <cell r="BK162" t="e">
            <v>#NAME?</v>
          </cell>
        </row>
        <row r="163">
          <cell r="A163">
            <v>38564</v>
          </cell>
          <cell r="B163">
            <v>14.040157035712596</v>
          </cell>
          <cell r="C163">
            <v>4.778092329323032</v>
          </cell>
          <cell r="D163">
            <v>3.5902103559870553</v>
          </cell>
          <cell r="E163">
            <v>0.98880000000000001</v>
          </cell>
          <cell r="F163">
            <v>3.5500000000000003</v>
          </cell>
          <cell r="G163">
            <v>79.888407999999998</v>
          </cell>
          <cell r="H163">
            <v>283.6038484</v>
          </cell>
          <cell r="I163" t="e">
            <v>#NAME?</v>
          </cell>
          <cell r="K163" t="e">
            <v>#NAME?</v>
          </cell>
          <cell r="L163">
            <v>0.17533332978685698</v>
          </cell>
          <cell r="M163">
            <v>0.17189583306511244</v>
          </cell>
          <cell r="N163">
            <v>20.88596501712243</v>
          </cell>
          <cell r="O163">
            <v>7.3958989979453715</v>
          </cell>
          <cell r="P163">
            <v>11.044758859065741</v>
          </cell>
          <cell r="Q163">
            <v>14.693618720186111</v>
          </cell>
          <cell r="R163">
            <v>18.34247858130648</v>
          </cell>
          <cell r="S163">
            <v>21.991338442426851</v>
          </cell>
          <cell r="U163">
            <v>0.48758770745916946</v>
          </cell>
          <cell r="V163">
            <v>0.17309537420876039</v>
          </cell>
          <cell r="X163">
            <v>14.88373503639485</v>
          </cell>
          <cell r="Y163">
            <v>0.40327444462364248</v>
          </cell>
          <cell r="Z163">
            <v>-0.32707222769643551</v>
          </cell>
          <cell r="AA163">
            <v>-6.3044659367773426E-2</v>
          </cell>
          <cell r="AB163">
            <v>0.20098290896088866</v>
          </cell>
          <cell r="AC163">
            <v>0.46501047728955075</v>
          </cell>
          <cell r="AD163">
            <v>0.72903804561821284</v>
          </cell>
          <cell r="AF163" t="e">
            <v>#NAME?</v>
          </cell>
          <cell r="AG163" t="e">
            <v>#NAME?</v>
          </cell>
          <cell r="AH163" t="e">
            <v>#NAME?</v>
          </cell>
          <cell r="AI163" t="e">
            <v>#NAME?</v>
          </cell>
          <cell r="AJ163" t="e">
            <v>#NAME?</v>
          </cell>
          <cell r="AK163" t="e">
            <v>#NAME?</v>
          </cell>
          <cell r="AL163" t="e">
            <v>#NAME?</v>
          </cell>
          <cell r="AN163" t="e">
            <v>#NAME?</v>
          </cell>
          <cell r="AO163" t="e">
            <v>#NAME?</v>
          </cell>
          <cell r="AP163" t="e">
            <v>#NAME?</v>
          </cell>
          <cell r="AQ163" t="e">
            <v>#NAME?</v>
          </cell>
          <cell r="AR163" t="e">
            <v>#NAME?</v>
          </cell>
          <cell r="AS163" t="e">
            <v>#NAME?</v>
          </cell>
          <cell r="AT163" t="e">
            <v>#NAME?</v>
          </cell>
          <cell r="AV163" t="e">
            <v>#NAME?</v>
          </cell>
          <cell r="AW163" t="e">
            <v>#NAME?</v>
          </cell>
          <cell r="AX163" t="e">
            <v>#NAME?</v>
          </cell>
          <cell r="AY163" t="e">
            <v>#NAME?</v>
          </cell>
          <cell r="AZ163" t="e">
            <v>#NAME?</v>
          </cell>
          <cell r="BA163" t="e">
            <v>#NAME?</v>
          </cell>
          <cell r="BB163" t="e">
            <v>#NAME?</v>
          </cell>
          <cell r="BC163" t="e">
            <v>#NAME?</v>
          </cell>
          <cell r="BD163" t="e">
            <v>#NAME?</v>
          </cell>
          <cell r="BE163" t="e">
            <v>#NAME?</v>
          </cell>
          <cell r="BG163" t="e">
            <v>#NAME?</v>
          </cell>
          <cell r="BH163" t="e">
            <v>#NAME?</v>
          </cell>
          <cell r="BJ163" t="e">
            <v>#NAME?</v>
          </cell>
          <cell r="BK163" t="e">
            <v>#NAME?</v>
          </cell>
        </row>
        <row r="164">
          <cell r="A164">
            <v>38595</v>
          </cell>
          <cell r="B164">
            <v>14.422936277363666</v>
          </cell>
          <cell r="C164">
            <v>4.7014546332602869</v>
          </cell>
          <cell r="D164">
            <v>4.4397249190938508</v>
          </cell>
          <cell r="E164">
            <v>0.98880000000000001</v>
          </cell>
          <cell r="F164">
            <v>4.3899999999999997</v>
          </cell>
          <cell r="G164">
            <v>79.888407999999998</v>
          </cell>
          <cell r="H164">
            <v>350.71011111999997</v>
          </cell>
          <cell r="I164" t="e">
            <v>#NAME?</v>
          </cell>
          <cell r="K164" t="e">
            <v>#NAME?</v>
          </cell>
          <cell r="L164">
            <v>0.20566666374603906</v>
          </cell>
          <cell r="M164">
            <v>0.2025416667262713</v>
          </cell>
          <cell r="N164">
            <v>21.920057195411548</v>
          </cell>
          <cell r="O164">
            <v>7.3958989979453715</v>
          </cell>
          <cell r="P164">
            <v>11.044758859065741</v>
          </cell>
          <cell r="Q164">
            <v>14.693618720186111</v>
          </cell>
          <cell r="R164">
            <v>18.34247858130648</v>
          </cell>
          <cell r="S164">
            <v>21.991338442426851</v>
          </cell>
          <cell r="U164">
            <v>0.51980545250098431</v>
          </cell>
          <cell r="V164">
            <v>0.17309537420876039</v>
          </cell>
          <cell r="X164">
            <v>15.781184822127377</v>
          </cell>
          <cell r="Y164">
            <v>0.38899945995668417</v>
          </cell>
          <cell r="Z164">
            <v>-0.32707222769643551</v>
          </cell>
          <cell r="AA164">
            <v>-6.3044659367773426E-2</v>
          </cell>
          <cell r="AB164">
            <v>0.20098290896088866</v>
          </cell>
          <cell r="AC164">
            <v>0.46501047728955075</v>
          </cell>
          <cell r="AD164">
            <v>0.72903804561821284</v>
          </cell>
          <cell r="AF164" t="e">
            <v>#NAME?</v>
          </cell>
          <cell r="AG164" t="e">
            <v>#NAME?</v>
          </cell>
          <cell r="AH164" t="e">
            <v>#NAME?</v>
          </cell>
          <cell r="AI164" t="e">
            <v>#NAME?</v>
          </cell>
          <cell r="AJ164" t="e">
            <v>#NAME?</v>
          </cell>
          <cell r="AK164" t="e">
            <v>#NAME?</v>
          </cell>
          <cell r="AL164" t="e">
            <v>#NAME?</v>
          </cell>
          <cell r="AN164" t="e">
            <v>#NAME?</v>
          </cell>
          <cell r="AO164" t="e">
            <v>#NAME?</v>
          </cell>
          <cell r="AP164" t="e">
            <v>#NAME?</v>
          </cell>
          <cell r="AQ164" t="e">
            <v>#NAME?</v>
          </cell>
          <cell r="AR164" t="e">
            <v>#NAME?</v>
          </cell>
          <cell r="AS164" t="e">
            <v>#NAME?</v>
          </cell>
          <cell r="AT164" t="e">
            <v>#NAME?</v>
          </cell>
          <cell r="AV164" t="e">
            <v>#NAME?</v>
          </cell>
          <cell r="AW164" t="e">
            <v>#NAME?</v>
          </cell>
          <cell r="AX164" t="e">
            <v>#NAME?</v>
          </cell>
          <cell r="AY164" t="e">
            <v>#NAME?</v>
          </cell>
          <cell r="AZ164" t="e">
            <v>#NAME?</v>
          </cell>
          <cell r="BA164" t="e">
            <v>#NAME?</v>
          </cell>
          <cell r="BB164" t="e">
            <v>#NAME?</v>
          </cell>
          <cell r="BC164" t="e">
            <v>#NAME?</v>
          </cell>
          <cell r="BD164" t="e">
            <v>#NAME?</v>
          </cell>
          <cell r="BE164" t="e">
            <v>#NAME?</v>
          </cell>
          <cell r="BG164" t="e">
            <v>#NAME?</v>
          </cell>
          <cell r="BH164" t="e">
            <v>#NAME?</v>
          </cell>
          <cell r="BJ164" t="e">
            <v>#NAME?</v>
          </cell>
          <cell r="BK164" t="e">
            <v>#NAME?</v>
          </cell>
        </row>
        <row r="165">
          <cell r="A165">
            <v>38625</v>
          </cell>
          <cell r="B165">
            <v>14.33793073245258</v>
          </cell>
          <cell r="C165">
            <v>4.8272250637084309</v>
          </cell>
          <cell r="D165">
            <v>3.8127022653721681</v>
          </cell>
          <cell r="E165">
            <v>0.98880000000000001</v>
          </cell>
          <cell r="F165">
            <v>3.77</v>
          </cell>
          <cell r="G165">
            <v>79.888407999999998</v>
          </cell>
          <cell r="H165">
            <v>301.17929815999997</v>
          </cell>
          <cell r="I165" t="e">
            <v>#NAME?</v>
          </cell>
          <cell r="K165" t="e">
            <v>#NAME?</v>
          </cell>
          <cell r="L165">
            <v>0.23599999770522118</v>
          </cell>
          <cell r="M165">
            <v>0.23318750038743019</v>
          </cell>
          <cell r="N165">
            <v>16.350371520932899</v>
          </cell>
          <cell r="O165">
            <v>7.3958989979453715</v>
          </cell>
          <cell r="P165">
            <v>11.044758859065741</v>
          </cell>
          <cell r="Q165">
            <v>14.693618720186111</v>
          </cell>
          <cell r="R165">
            <v>18.34247858130648</v>
          </cell>
          <cell r="S165">
            <v>21.991338442426851</v>
          </cell>
          <cell r="U165">
            <v>0.14035782610703684</v>
          </cell>
          <cell r="V165">
            <v>0.17309537420876039</v>
          </cell>
          <cell r="X165">
            <v>16.429385808860822</v>
          </cell>
          <cell r="Y165">
            <v>-4.8093269491126245E-3</v>
          </cell>
          <cell r="Z165">
            <v>-0.32707222769643551</v>
          </cell>
          <cell r="AA165">
            <v>-6.3044659367773426E-2</v>
          </cell>
          <cell r="AB165">
            <v>0.20098290896088866</v>
          </cell>
          <cell r="AC165">
            <v>0.46501047728955075</v>
          </cell>
          <cell r="AD165">
            <v>0.72903804561821284</v>
          </cell>
          <cell r="AF165" t="e">
            <v>#NAME?</v>
          </cell>
          <cell r="AG165" t="e">
            <v>#NAME?</v>
          </cell>
          <cell r="AH165" t="e">
            <v>#NAME?</v>
          </cell>
          <cell r="AI165" t="e">
            <v>#NAME?</v>
          </cell>
          <cell r="AJ165" t="e">
            <v>#NAME?</v>
          </cell>
          <cell r="AK165" t="e">
            <v>#NAME?</v>
          </cell>
          <cell r="AL165" t="e">
            <v>#NAME?</v>
          </cell>
          <cell r="AN165" t="e">
            <v>#NAME?</v>
          </cell>
          <cell r="AO165" t="e">
            <v>#NAME?</v>
          </cell>
          <cell r="AP165" t="e">
            <v>#NAME?</v>
          </cell>
          <cell r="AQ165" t="e">
            <v>#NAME?</v>
          </cell>
          <cell r="AR165" t="e">
            <v>#NAME?</v>
          </cell>
          <cell r="AS165" t="e">
            <v>#NAME?</v>
          </cell>
          <cell r="AT165" t="e">
            <v>#NAME?</v>
          </cell>
          <cell r="AV165" t="e">
            <v>#NAME?</v>
          </cell>
          <cell r="AW165" t="e">
            <v>#NAME?</v>
          </cell>
          <cell r="AX165" t="e">
            <v>#NAME?</v>
          </cell>
          <cell r="AY165" t="e">
            <v>#NAME?</v>
          </cell>
          <cell r="AZ165" t="e">
            <v>#NAME?</v>
          </cell>
          <cell r="BA165" t="e">
            <v>#NAME?</v>
          </cell>
          <cell r="BB165" t="e">
            <v>#NAME?</v>
          </cell>
          <cell r="BC165" t="e">
            <v>#NAME?</v>
          </cell>
          <cell r="BD165" t="e">
            <v>#NAME?</v>
          </cell>
          <cell r="BE165" t="e">
            <v>#NAME?</v>
          </cell>
          <cell r="BG165" t="e">
            <v>#NAME?</v>
          </cell>
          <cell r="BH165" t="e">
            <v>#NAME?</v>
          </cell>
          <cell r="BJ165" t="e">
            <v>#NAME?</v>
          </cell>
          <cell r="BK165" t="e">
            <v>#NAME?</v>
          </cell>
        </row>
        <row r="166">
          <cell r="A166">
            <v>38656</v>
          </cell>
          <cell r="B166">
            <v>13.748023773001668</v>
          </cell>
          <cell r="C166">
            <v>5.0152400233131704</v>
          </cell>
          <cell r="D166">
            <v>3.8632686084142396</v>
          </cell>
          <cell r="E166">
            <v>0.98880000000000001</v>
          </cell>
          <cell r="F166">
            <v>3.8200000000000003</v>
          </cell>
          <cell r="G166">
            <v>79.888407999999998</v>
          </cell>
          <cell r="H166">
            <v>305.17371856</v>
          </cell>
          <cell r="I166" t="e">
            <v>#NAME?</v>
          </cell>
          <cell r="K166" t="e">
            <v>#NAME?</v>
          </cell>
          <cell r="L166">
            <v>0.26633333166440326</v>
          </cell>
          <cell r="M166">
            <v>0.26383333404858905</v>
          </cell>
          <cell r="N166">
            <v>14.642837389542134</v>
          </cell>
          <cell r="O166">
            <v>7.3958989979453715</v>
          </cell>
          <cell r="P166">
            <v>11.044758859065741</v>
          </cell>
          <cell r="Q166">
            <v>14.693618720186111</v>
          </cell>
          <cell r="R166">
            <v>18.34247858130648</v>
          </cell>
          <cell r="S166">
            <v>21.991338442426851</v>
          </cell>
          <cell r="U166">
            <v>6.5086708556447048E-2</v>
          </cell>
          <cell r="V166">
            <v>0.17309537420876039</v>
          </cell>
          <cell r="X166">
            <v>15.387824422635365</v>
          </cell>
          <cell r="Y166">
            <v>-4.8414058585004471E-2</v>
          </cell>
          <cell r="Z166">
            <v>-0.32707222769643551</v>
          </cell>
          <cell r="AA166">
            <v>-6.3044659367773426E-2</v>
          </cell>
          <cell r="AB166">
            <v>0.20098290896088866</v>
          </cell>
          <cell r="AC166">
            <v>0.46501047728955075</v>
          </cell>
          <cell r="AD166">
            <v>0.72903804561821284</v>
          </cell>
          <cell r="AF166" t="e">
            <v>#NAME?</v>
          </cell>
          <cell r="AG166" t="e">
            <v>#NAME?</v>
          </cell>
          <cell r="AH166" t="e">
            <v>#NAME?</v>
          </cell>
          <cell r="AI166" t="e">
            <v>#NAME?</v>
          </cell>
          <cell r="AJ166" t="e">
            <v>#NAME?</v>
          </cell>
          <cell r="AK166" t="e">
            <v>#NAME?</v>
          </cell>
          <cell r="AL166" t="e">
            <v>#NAME?</v>
          </cell>
          <cell r="AN166" t="e">
            <v>#NAME?</v>
          </cell>
          <cell r="AO166" t="e">
            <v>#NAME?</v>
          </cell>
          <cell r="AP166" t="e">
            <v>#NAME?</v>
          </cell>
          <cell r="AQ166" t="e">
            <v>#NAME?</v>
          </cell>
          <cell r="AR166" t="e">
            <v>#NAME?</v>
          </cell>
          <cell r="AS166" t="e">
            <v>#NAME?</v>
          </cell>
          <cell r="AT166" t="e">
            <v>#NAME?</v>
          </cell>
          <cell r="AV166" t="e">
            <v>#NAME?</v>
          </cell>
          <cell r="AW166" t="e">
            <v>#NAME?</v>
          </cell>
          <cell r="AX166" t="e">
            <v>#NAME?</v>
          </cell>
          <cell r="AY166" t="e">
            <v>#NAME?</v>
          </cell>
          <cell r="AZ166" t="e">
            <v>#NAME?</v>
          </cell>
          <cell r="BA166" t="e">
            <v>#NAME?</v>
          </cell>
          <cell r="BB166" t="e">
            <v>#NAME?</v>
          </cell>
          <cell r="BC166" t="e">
            <v>#NAME?</v>
          </cell>
          <cell r="BD166" t="e">
            <v>#NAME?</v>
          </cell>
          <cell r="BE166" t="e">
            <v>#NAME?</v>
          </cell>
          <cell r="BG166" t="e">
            <v>#NAME?</v>
          </cell>
          <cell r="BH166" t="e">
            <v>#NAME?</v>
          </cell>
          <cell r="BJ166" t="e">
            <v>#NAME?</v>
          </cell>
          <cell r="BK166" t="e">
            <v>#NAME?</v>
          </cell>
        </row>
        <row r="167">
          <cell r="A167">
            <v>38686</v>
          </cell>
          <cell r="B167">
            <v>14.436101042421948</v>
          </cell>
          <cell r="C167">
            <v>4.9053029055716726</v>
          </cell>
          <cell r="D167">
            <v>4.217233009708738</v>
          </cell>
          <cell r="E167">
            <v>0.98880000000000001</v>
          </cell>
          <cell r="F167">
            <v>4.17</v>
          </cell>
          <cell r="G167">
            <v>79.888407999999998</v>
          </cell>
          <cell r="H167">
            <v>333.13466136</v>
          </cell>
          <cell r="I167" t="e">
            <v>#NAME?</v>
          </cell>
          <cell r="K167" t="e">
            <v>#NAME?</v>
          </cell>
          <cell r="L167">
            <v>0.29666666562358535</v>
          </cell>
          <cell r="M167">
            <v>0.29447916770974791</v>
          </cell>
          <cell r="N167">
            <v>14.320989299539976</v>
          </cell>
          <cell r="O167">
            <v>7.3958989979453715</v>
          </cell>
          <cell r="P167">
            <v>11.044758859065741</v>
          </cell>
          <cell r="Q167">
            <v>14.693618720186111</v>
          </cell>
          <cell r="R167">
            <v>18.34247858130648</v>
          </cell>
          <cell r="S167">
            <v>21.991338442426851</v>
          </cell>
          <cell r="U167">
            <v>-7.9738803811156833E-3</v>
          </cell>
          <cell r="V167">
            <v>0.17309537420876039</v>
          </cell>
          <cell r="X167">
            <v>16.207355747739584</v>
          </cell>
          <cell r="Y167">
            <v>-0.11638952569191907</v>
          </cell>
          <cell r="Z167">
            <v>-0.32707222769643551</v>
          </cell>
          <cell r="AA167">
            <v>-6.3044659367773426E-2</v>
          </cell>
          <cell r="AB167">
            <v>0.20098290896088866</v>
          </cell>
          <cell r="AC167">
            <v>0.46501047728955075</v>
          </cell>
          <cell r="AD167">
            <v>0.72903804561821284</v>
          </cell>
          <cell r="AF167" t="e">
            <v>#NAME?</v>
          </cell>
          <cell r="AG167" t="e">
            <v>#NAME?</v>
          </cell>
          <cell r="AH167" t="e">
            <v>#NAME?</v>
          </cell>
          <cell r="AI167" t="e">
            <v>#NAME?</v>
          </cell>
          <cell r="AJ167" t="e">
            <v>#NAME?</v>
          </cell>
          <cell r="AK167" t="e">
            <v>#NAME?</v>
          </cell>
          <cell r="AL167" t="e">
            <v>#NAME?</v>
          </cell>
          <cell r="AN167" t="e">
            <v>#NAME?</v>
          </cell>
          <cell r="AO167" t="e">
            <v>#NAME?</v>
          </cell>
          <cell r="AP167" t="e">
            <v>#NAME?</v>
          </cell>
          <cell r="AQ167" t="e">
            <v>#NAME?</v>
          </cell>
          <cell r="AR167" t="e">
            <v>#NAME?</v>
          </cell>
          <cell r="AS167" t="e">
            <v>#NAME?</v>
          </cell>
          <cell r="AT167" t="e">
            <v>#NAME?</v>
          </cell>
          <cell r="AV167" t="e">
            <v>#NAME?</v>
          </cell>
          <cell r="AW167" t="e">
            <v>#NAME?</v>
          </cell>
          <cell r="AX167" t="e">
            <v>#NAME?</v>
          </cell>
          <cell r="AY167" t="e">
            <v>#NAME?</v>
          </cell>
          <cell r="AZ167" t="e">
            <v>#NAME?</v>
          </cell>
          <cell r="BA167" t="e">
            <v>#NAME?</v>
          </cell>
          <cell r="BB167" t="e">
            <v>#NAME?</v>
          </cell>
          <cell r="BC167" t="e">
            <v>#NAME?</v>
          </cell>
          <cell r="BD167" t="e">
            <v>#NAME?</v>
          </cell>
          <cell r="BE167" t="e">
            <v>#NAME?</v>
          </cell>
          <cell r="BG167" t="e">
            <v>#NAME?</v>
          </cell>
          <cell r="BH167" t="e">
            <v>#NAME?</v>
          </cell>
          <cell r="BJ167" t="e">
            <v>#NAME?</v>
          </cell>
          <cell r="BK167" t="e">
            <v>#NAME?</v>
          </cell>
        </row>
        <row r="168">
          <cell r="A168">
            <v>38717</v>
          </cell>
          <cell r="B168">
            <v>14.241230714413172</v>
          </cell>
          <cell r="C168">
            <v>4.8882735933045645</v>
          </cell>
          <cell r="D168">
            <v>4.7936893203883493</v>
          </cell>
          <cell r="E168">
            <v>0.98880000000000001</v>
          </cell>
          <cell r="F168">
            <v>4.74</v>
          </cell>
          <cell r="G168">
            <v>79.888407999999998</v>
          </cell>
          <cell r="H168">
            <v>378.67105392000002</v>
          </cell>
          <cell r="I168" t="e">
            <v>#NAME?</v>
          </cell>
          <cell r="K168" t="e">
            <v>#NAME?</v>
          </cell>
          <cell r="L168">
            <v>0.32699999958276749</v>
          </cell>
          <cell r="M168">
            <v>0.32512500137090683</v>
          </cell>
          <cell r="N168">
            <v>14.744142407306432</v>
          </cell>
          <cell r="O168">
            <v>7.3958989979453715</v>
          </cell>
          <cell r="P168">
            <v>11.044758859065741</v>
          </cell>
          <cell r="Q168">
            <v>14.693618720186111</v>
          </cell>
          <cell r="R168">
            <v>18.34247858130648</v>
          </cell>
          <cell r="S168">
            <v>21.991338442426851</v>
          </cell>
          <cell r="U168">
            <v>3.5313780317053345E-2</v>
          </cell>
          <cell r="V168">
            <v>0.17309537420876039</v>
          </cell>
          <cell r="X168">
            <v>16.581374582988705</v>
          </cell>
          <cell r="Y168">
            <v>-0.11080095721178274</v>
          </cell>
          <cell r="Z168">
            <v>-0.32707222769643551</v>
          </cell>
          <cell r="AA168">
            <v>-6.3044659367773426E-2</v>
          </cell>
          <cell r="AB168">
            <v>0.20098290896088866</v>
          </cell>
          <cell r="AC168">
            <v>0.46501047728955075</v>
          </cell>
          <cell r="AD168">
            <v>0.72903804561821284</v>
          </cell>
          <cell r="AF168" t="e">
            <v>#NAME?</v>
          </cell>
          <cell r="AG168" t="e">
            <v>#NAME?</v>
          </cell>
          <cell r="AH168" t="e">
            <v>#NAME?</v>
          </cell>
          <cell r="AI168" t="e">
            <v>#NAME?</v>
          </cell>
          <cell r="AJ168" t="e">
            <v>#NAME?</v>
          </cell>
          <cell r="AK168" t="e">
            <v>#NAME?</v>
          </cell>
          <cell r="AL168" t="e">
            <v>#NAME?</v>
          </cell>
          <cell r="AN168" t="e">
            <v>#NAME?</v>
          </cell>
          <cell r="AO168" t="e">
            <v>#NAME?</v>
          </cell>
          <cell r="AP168" t="e">
            <v>#NAME?</v>
          </cell>
          <cell r="AQ168" t="e">
            <v>#NAME?</v>
          </cell>
          <cell r="AR168" t="e">
            <v>#NAME?</v>
          </cell>
          <cell r="AS168" t="e">
            <v>#NAME?</v>
          </cell>
          <cell r="AT168" t="e">
            <v>#NAME?</v>
          </cell>
          <cell r="AV168" t="e">
            <v>#NAME?</v>
          </cell>
          <cell r="AW168" t="e">
            <v>#NAME?</v>
          </cell>
          <cell r="AX168" t="e">
            <v>#NAME?</v>
          </cell>
          <cell r="AY168" t="e">
            <v>#NAME?</v>
          </cell>
          <cell r="AZ168" t="e">
            <v>#NAME?</v>
          </cell>
          <cell r="BA168" t="e">
            <v>#NAME?</v>
          </cell>
          <cell r="BB168" t="e">
            <v>#NAME?</v>
          </cell>
          <cell r="BC168" t="e">
            <v>#NAME?</v>
          </cell>
          <cell r="BD168" t="e">
            <v>#NAME?</v>
          </cell>
          <cell r="BE168" t="e">
            <v>#NAME?</v>
          </cell>
          <cell r="BG168" t="e">
            <v>#NAME?</v>
          </cell>
          <cell r="BH168" t="e">
            <v>#NAME?</v>
          </cell>
          <cell r="BJ168" t="e">
            <v>#NAME?</v>
          </cell>
          <cell r="BK168" t="e">
            <v>#NAME?</v>
          </cell>
        </row>
        <row r="169">
          <cell r="A169">
            <v>38748</v>
          </cell>
          <cell r="B169">
            <v>14.357178992640945</v>
          </cell>
          <cell r="C169">
            <v>4.9238470498912026</v>
          </cell>
          <cell r="D169">
            <v>5.8151294498381878</v>
          </cell>
          <cell r="E169">
            <v>0.98880000000000001</v>
          </cell>
          <cell r="F169">
            <v>5.75</v>
          </cell>
          <cell r="G169">
            <v>79.888407999999998</v>
          </cell>
          <cell r="H169">
            <v>459.35834599999998</v>
          </cell>
          <cell r="I169" t="e">
            <v>#NAME?</v>
          </cell>
          <cell r="K169" t="e">
            <v>#NAME?</v>
          </cell>
          <cell r="L169">
            <v>0.35733333354194963</v>
          </cell>
          <cell r="M169">
            <v>0.35577083503206575</v>
          </cell>
          <cell r="N169">
            <v>16.345155018999993</v>
          </cell>
          <cell r="O169">
            <v>7.3958989979453715</v>
          </cell>
          <cell r="P169">
            <v>11.044758859065741</v>
          </cell>
          <cell r="Q169">
            <v>14.693618720186111</v>
          </cell>
          <cell r="R169">
            <v>18.34247858130648</v>
          </cell>
          <cell r="S169">
            <v>21.991338442426851</v>
          </cell>
          <cell r="U169">
            <v>0.1384656433814766</v>
          </cell>
          <cell r="V169">
            <v>0.17309537420876039</v>
          </cell>
          <cell r="X169">
            <v>17.57704519766089</v>
          </cell>
          <cell r="Y169">
            <v>-7.0085168741833459E-2</v>
          </cell>
          <cell r="Z169">
            <v>-0.32707222769643551</v>
          </cell>
          <cell r="AA169">
            <v>-6.3044659367773426E-2</v>
          </cell>
          <cell r="AB169">
            <v>0.20098290896088866</v>
          </cell>
          <cell r="AC169">
            <v>0.46501047728955075</v>
          </cell>
          <cell r="AD169">
            <v>0.72903804561821284</v>
          </cell>
          <cell r="AF169" t="e">
            <v>#NAME?</v>
          </cell>
          <cell r="AG169" t="e">
            <v>#NAME?</v>
          </cell>
          <cell r="AH169" t="e">
            <v>#NAME?</v>
          </cell>
          <cell r="AI169" t="e">
            <v>#NAME?</v>
          </cell>
          <cell r="AJ169" t="e">
            <v>#NAME?</v>
          </cell>
          <cell r="AK169" t="e">
            <v>#NAME?</v>
          </cell>
          <cell r="AL169" t="e">
            <v>#NAME?</v>
          </cell>
          <cell r="AN169" t="e">
            <v>#NAME?</v>
          </cell>
          <cell r="AO169" t="e">
            <v>#NAME?</v>
          </cell>
          <cell r="AP169" t="e">
            <v>#NAME?</v>
          </cell>
          <cell r="AQ169" t="e">
            <v>#NAME?</v>
          </cell>
          <cell r="AR169" t="e">
            <v>#NAME?</v>
          </cell>
          <cell r="AS169" t="e">
            <v>#NAME?</v>
          </cell>
          <cell r="AT169" t="e">
            <v>#NAME?</v>
          </cell>
          <cell r="AV169" t="e">
            <v>#NAME?</v>
          </cell>
          <cell r="AW169" t="e">
            <v>#NAME?</v>
          </cell>
          <cell r="AX169" t="e">
            <v>#NAME?</v>
          </cell>
          <cell r="AY169" t="e">
            <v>#NAME?</v>
          </cell>
          <cell r="AZ169" t="e">
            <v>#NAME?</v>
          </cell>
          <cell r="BA169" t="e">
            <v>#NAME?</v>
          </cell>
          <cell r="BB169" t="e">
            <v>#NAME?</v>
          </cell>
          <cell r="BC169" t="e">
            <v>#NAME?</v>
          </cell>
          <cell r="BD169" t="e">
            <v>#NAME?</v>
          </cell>
          <cell r="BE169" t="e">
            <v>#NAME?</v>
          </cell>
          <cell r="BG169" t="e">
            <v>#NAME?</v>
          </cell>
          <cell r="BH169" t="e">
            <v>#NAME?</v>
          </cell>
          <cell r="BJ169" t="e">
            <v>#NAME?</v>
          </cell>
          <cell r="BK169" t="e">
            <v>#NAME?</v>
          </cell>
        </row>
        <row r="170">
          <cell r="A170">
            <v>38776</v>
          </cell>
          <cell r="B170">
            <v>14.810234269710241</v>
          </cell>
          <cell r="C170">
            <v>4.8176854608296562</v>
          </cell>
          <cell r="D170">
            <v>6.2196601941747574</v>
          </cell>
          <cell r="E170">
            <v>0.98880000000000001</v>
          </cell>
          <cell r="F170">
            <v>6.15</v>
          </cell>
          <cell r="G170">
            <v>79.888407999999998</v>
          </cell>
          <cell r="H170">
            <v>491.31370920000001</v>
          </cell>
          <cell r="I170" t="e">
            <v>#NAME?</v>
          </cell>
          <cell r="K170" t="e">
            <v>#NAME?</v>
          </cell>
          <cell r="L170">
            <v>0.38766666750113166</v>
          </cell>
          <cell r="M170">
            <v>0.38641666869322455</v>
          </cell>
          <cell r="N170">
            <v>16.095734729064013</v>
          </cell>
          <cell r="O170">
            <v>7.3958989979453715</v>
          </cell>
          <cell r="P170">
            <v>11.044758859065741</v>
          </cell>
          <cell r="Q170">
            <v>14.693618720186111</v>
          </cell>
          <cell r="R170">
            <v>18.34247858130648</v>
          </cell>
          <cell r="S170">
            <v>21.991338442426851</v>
          </cell>
          <cell r="U170">
            <v>8.6798117838207789E-2</v>
          </cell>
          <cell r="V170">
            <v>0.17309537420876039</v>
          </cell>
          <cell r="X170">
            <v>17.904946318181754</v>
          </cell>
          <cell r="Y170">
            <v>-0.10104535121004854</v>
          </cell>
          <cell r="Z170">
            <v>-0.32707222769643551</v>
          </cell>
          <cell r="AA170">
            <v>-6.3044659367773426E-2</v>
          </cell>
          <cell r="AB170">
            <v>0.20098290896088866</v>
          </cell>
          <cell r="AC170">
            <v>0.46501047728955075</v>
          </cell>
          <cell r="AD170">
            <v>0.72903804561821284</v>
          </cell>
          <cell r="AF170" t="e">
            <v>#NAME?</v>
          </cell>
          <cell r="AG170" t="e">
            <v>#NAME?</v>
          </cell>
          <cell r="AH170" t="e">
            <v>#NAME?</v>
          </cell>
          <cell r="AI170" t="e">
            <v>#NAME?</v>
          </cell>
          <cell r="AJ170" t="e">
            <v>#NAME?</v>
          </cell>
          <cell r="AK170" t="e">
            <v>#NAME?</v>
          </cell>
          <cell r="AL170" t="e">
            <v>#NAME?</v>
          </cell>
          <cell r="AN170" t="e">
            <v>#NAME?</v>
          </cell>
          <cell r="AO170" t="e">
            <v>#NAME?</v>
          </cell>
          <cell r="AP170" t="e">
            <v>#NAME?</v>
          </cell>
          <cell r="AQ170" t="e">
            <v>#NAME?</v>
          </cell>
          <cell r="AR170" t="e">
            <v>#NAME?</v>
          </cell>
          <cell r="AS170" t="e">
            <v>#NAME?</v>
          </cell>
          <cell r="AT170" t="e">
            <v>#NAME?</v>
          </cell>
          <cell r="AV170" t="e">
            <v>#NAME?</v>
          </cell>
          <cell r="AW170" t="e">
            <v>#NAME?</v>
          </cell>
          <cell r="AX170" t="e">
            <v>#NAME?</v>
          </cell>
          <cell r="AY170" t="e">
            <v>#NAME?</v>
          </cell>
          <cell r="AZ170" t="e">
            <v>#NAME?</v>
          </cell>
          <cell r="BA170" t="e">
            <v>#NAME?</v>
          </cell>
          <cell r="BB170" t="e">
            <v>#NAME?</v>
          </cell>
          <cell r="BC170" t="e">
            <v>#NAME?</v>
          </cell>
          <cell r="BD170" t="e">
            <v>#NAME?</v>
          </cell>
          <cell r="BE170" t="e">
            <v>#NAME?</v>
          </cell>
          <cell r="BG170" t="e">
            <v>#NAME?</v>
          </cell>
          <cell r="BH170" t="e">
            <v>#NAME?</v>
          </cell>
          <cell r="BJ170" t="e">
            <v>#NAME?</v>
          </cell>
          <cell r="BK170" t="e">
            <v>#NAME?</v>
          </cell>
        </row>
        <row r="171">
          <cell r="A171">
            <v>38807</v>
          </cell>
          <cell r="B171">
            <v>15.657979467207584</v>
          </cell>
          <cell r="C171">
            <v>4.8569728579065456</v>
          </cell>
          <cell r="D171">
            <v>6.6646440129449838</v>
          </cell>
          <cell r="E171">
            <v>0.98880000000000001</v>
          </cell>
          <cell r="F171">
            <v>6.59</v>
          </cell>
          <cell r="G171">
            <v>79.888407999999998</v>
          </cell>
          <cell r="H171">
            <v>526.46460872</v>
          </cell>
          <cell r="I171" t="e">
            <v>#NAME?</v>
          </cell>
          <cell r="K171" t="e">
            <v>#NAME?</v>
          </cell>
          <cell r="L171">
            <v>0.4180000014603138</v>
          </cell>
          <cell r="M171">
            <v>0.41706250235438347</v>
          </cell>
          <cell r="N171">
            <v>15.979964574427141</v>
          </cell>
          <cell r="O171">
            <v>7.3958989979453715</v>
          </cell>
          <cell r="P171">
            <v>11.044758859065741</v>
          </cell>
          <cell r="Q171">
            <v>14.693618720186111</v>
          </cell>
          <cell r="R171">
            <v>18.34247858130648</v>
          </cell>
          <cell r="S171">
            <v>21.991338442426851</v>
          </cell>
          <cell r="U171">
            <v>2.0563643469701187E-2</v>
          </cell>
          <cell r="V171">
            <v>0.17309537420876039</v>
          </cell>
          <cell r="X171">
            <v>18.268139741453698</v>
          </cell>
          <cell r="Y171">
            <v>-0.12525496297985261</v>
          </cell>
          <cell r="Z171">
            <v>-0.32707222769643551</v>
          </cell>
          <cell r="AA171">
            <v>-6.3044659367773426E-2</v>
          </cell>
          <cell r="AB171">
            <v>0.20098290896088866</v>
          </cell>
          <cell r="AC171">
            <v>0.46501047728955075</v>
          </cell>
          <cell r="AD171">
            <v>0.72903804561821284</v>
          </cell>
          <cell r="AF171" t="e">
            <v>#NAME?</v>
          </cell>
          <cell r="AG171" t="e">
            <v>#NAME?</v>
          </cell>
          <cell r="AH171" t="e">
            <v>#NAME?</v>
          </cell>
          <cell r="AI171" t="e">
            <v>#NAME?</v>
          </cell>
          <cell r="AJ171" t="e">
            <v>#NAME?</v>
          </cell>
          <cell r="AK171" t="e">
            <v>#NAME?</v>
          </cell>
          <cell r="AL171" t="e">
            <v>#NAME?</v>
          </cell>
          <cell r="AN171" t="e">
            <v>#NAME?</v>
          </cell>
          <cell r="AO171" t="e">
            <v>#NAME?</v>
          </cell>
          <cell r="AP171" t="e">
            <v>#NAME?</v>
          </cell>
          <cell r="AQ171" t="e">
            <v>#NAME?</v>
          </cell>
          <cell r="AR171" t="e">
            <v>#NAME?</v>
          </cell>
          <cell r="AS171" t="e">
            <v>#NAME?</v>
          </cell>
          <cell r="AT171" t="e">
            <v>#NAME?</v>
          </cell>
          <cell r="AV171" t="e">
            <v>#NAME?</v>
          </cell>
          <cell r="AW171" t="e">
            <v>#NAME?</v>
          </cell>
          <cell r="AX171" t="e">
            <v>#NAME?</v>
          </cell>
          <cell r="AY171" t="e">
            <v>#NAME?</v>
          </cell>
          <cell r="AZ171" t="e">
            <v>#NAME?</v>
          </cell>
          <cell r="BA171" t="e">
            <v>#NAME?</v>
          </cell>
          <cell r="BB171" t="e">
            <v>#NAME?</v>
          </cell>
          <cell r="BC171" t="e">
            <v>#NAME?</v>
          </cell>
          <cell r="BD171" t="e">
            <v>#NAME?</v>
          </cell>
          <cell r="BE171" t="e">
            <v>#NAME?</v>
          </cell>
          <cell r="BG171" t="e">
            <v>#NAME?</v>
          </cell>
          <cell r="BH171" t="e">
            <v>#NAME?</v>
          </cell>
          <cell r="BJ171" t="e">
            <v>#NAME?</v>
          </cell>
          <cell r="BK171" t="e">
            <v>#NAME?</v>
          </cell>
        </row>
        <row r="172">
          <cell r="A172">
            <v>38837</v>
          </cell>
          <cell r="B172">
            <v>15.578841659679501</v>
          </cell>
          <cell r="C172">
            <v>4.9122662458424271</v>
          </cell>
          <cell r="D172">
            <v>6.3713592233009715</v>
          </cell>
          <cell r="E172">
            <v>0.98880000000000001</v>
          </cell>
          <cell r="F172">
            <v>6.3000000000000007</v>
          </cell>
          <cell r="G172">
            <v>79.888407999999998</v>
          </cell>
          <cell r="H172">
            <v>503.29697040000002</v>
          </cell>
          <cell r="I172" t="e">
            <v>#NAME?</v>
          </cell>
          <cell r="K172" t="e">
            <v>#NAME?</v>
          </cell>
          <cell r="L172">
            <v>0.44833333541949588</v>
          </cell>
          <cell r="M172">
            <v>0.44770833601554233</v>
          </cell>
          <cell r="N172">
            <v>14.231048901175223</v>
          </cell>
          <cell r="O172">
            <v>7.3958989979453715</v>
          </cell>
          <cell r="P172">
            <v>11.044758859065741</v>
          </cell>
          <cell r="Q172">
            <v>14.693618720186111</v>
          </cell>
          <cell r="R172">
            <v>18.34247858130648</v>
          </cell>
          <cell r="S172">
            <v>21.991338442426851</v>
          </cell>
          <cell r="U172">
            <v>-8.6514311394060739E-2</v>
          </cell>
          <cell r="V172">
            <v>0.17309537420876039</v>
          </cell>
          <cell r="X172">
            <v>18.241513148719349</v>
          </cell>
          <cell r="Y172">
            <v>-0.21985370483509925</v>
          </cell>
          <cell r="Z172">
            <v>-0.32707222769643551</v>
          </cell>
          <cell r="AA172">
            <v>-6.3044659367773426E-2</v>
          </cell>
          <cell r="AB172">
            <v>0.20098290896088866</v>
          </cell>
          <cell r="AC172">
            <v>0.46501047728955075</v>
          </cell>
          <cell r="AD172">
            <v>0.72903804561821284</v>
          </cell>
          <cell r="AF172" t="e">
            <v>#NAME?</v>
          </cell>
          <cell r="AG172" t="e">
            <v>#NAME?</v>
          </cell>
          <cell r="AH172" t="e">
            <v>#NAME?</v>
          </cell>
          <cell r="AI172" t="e">
            <v>#NAME?</v>
          </cell>
          <cell r="AJ172" t="e">
            <v>#NAME?</v>
          </cell>
          <cell r="AK172" t="e">
            <v>#NAME?</v>
          </cell>
          <cell r="AL172" t="e">
            <v>#NAME?</v>
          </cell>
          <cell r="AN172" t="e">
            <v>#NAME?</v>
          </cell>
          <cell r="AO172" t="e">
            <v>#NAME?</v>
          </cell>
          <cell r="AP172" t="e">
            <v>#NAME?</v>
          </cell>
          <cell r="AQ172" t="e">
            <v>#NAME?</v>
          </cell>
          <cell r="AR172" t="e">
            <v>#NAME?</v>
          </cell>
          <cell r="AS172" t="e">
            <v>#NAME?</v>
          </cell>
          <cell r="AT172" t="e">
            <v>#NAME?</v>
          </cell>
          <cell r="AV172" t="e">
            <v>#NAME?</v>
          </cell>
          <cell r="AW172" t="e">
            <v>#NAME?</v>
          </cell>
          <cell r="AX172" t="e">
            <v>#NAME?</v>
          </cell>
          <cell r="AY172" t="e">
            <v>#NAME?</v>
          </cell>
          <cell r="AZ172" t="e">
            <v>#NAME?</v>
          </cell>
          <cell r="BA172" t="e">
            <v>#NAME?</v>
          </cell>
          <cell r="BB172" t="e">
            <v>#NAME?</v>
          </cell>
          <cell r="BC172" t="e">
            <v>#NAME?</v>
          </cell>
          <cell r="BD172" t="e">
            <v>#NAME?</v>
          </cell>
          <cell r="BE172" t="e">
            <v>#NAME?</v>
          </cell>
          <cell r="BG172" t="e">
            <v>#NAME?</v>
          </cell>
          <cell r="BH172" t="e">
            <v>#NAME?</v>
          </cell>
          <cell r="BJ172" t="e">
            <v>#NAME?</v>
          </cell>
          <cell r="BK172" t="e">
            <v>#NAME?</v>
          </cell>
        </row>
        <row r="173">
          <cell r="A173">
            <v>38868</v>
          </cell>
          <cell r="B173">
            <v>14.71768423424599</v>
          </cell>
          <cell r="C173">
            <v>5.2392842070815409</v>
          </cell>
          <cell r="D173">
            <v>6.25</v>
          </cell>
          <cell r="E173">
            <v>0.98880000000000001</v>
          </cell>
          <cell r="F173">
            <v>6.18</v>
          </cell>
          <cell r="G173">
            <v>79.888407999999998</v>
          </cell>
          <cell r="H173">
            <v>493.71036143999999</v>
          </cell>
          <cell r="I173" t="e">
            <v>#NAME?</v>
          </cell>
          <cell r="K173" t="e">
            <v>#NAME?</v>
          </cell>
          <cell r="L173">
            <v>0.47866666937867802</v>
          </cell>
          <cell r="M173">
            <v>0.47835416967670125</v>
          </cell>
          <cell r="N173">
            <v>13.065632947705051</v>
          </cell>
          <cell r="O173">
            <v>7.3958989979453715</v>
          </cell>
          <cell r="P173">
            <v>11.044758859065741</v>
          </cell>
          <cell r="Q173">
            <v>14.693618720186111</v>
          </cell>
          <cell r="R173">
            <v>18.34247858130648</v>
          </cell>
          <cell r="S173">
            <v>21.991338442426851</v>
          </cell>
          <cell r="U173">
            <v>-0.11224940420292795</v>
          </cell>
          <cell r="V173">
            <v>0.17309537420876039</v>
          </cell>
          <cell r="X173">
            <v>18.208538998895108</v>
          </cell>
          <cell r="Y173">
            <v>-0.28244473933367897</v>
          </cell>
          <cell r="Z173">
            <v>-0.32707222769643551</v>
          </cell>
          <cell r="AA173">
            <v>-6.3044659367773426E-2</v>
          </cell>
          <cell r="AB173">
            <v>0.20098290896088866</v>
          </cell>
          <cell r="AC173">
            <v>0.46501047728955075</v>
          </cell>
          <cell r="AD173">
            <v>0.72903804561821284</v>
          </cell>
          <cell r="AF173" t="e">
            <v>#NAME?</v>
          </cell>
          <cell r="AG173" t="e">
            <v>#NAME?</v>
          </cell>
          <cell r="AH173" t="e">
            <v>#NAME?</v>
          </cell>
          <cell r="AI173" t="e">
            <v>#NAME?</v>
          </cell>
          <cell r="AJ173" t="e">
            <v>#NAME?</v>
          </cell>
          <cell r="AK173" t="e">
            <v>#NAME?</v>
          </cell>
          <cell r="AL173" t="e">
            <v>#NAME?</v>
          </cell>
          <cell r="AN173" t="e">
            <v>#NAME?</v>
          </cell>
          <cell r="AO173" t="e">
            <v>#NAME?</v>
          </cell>
          <cell r="AP173" t="e">
            <v>#NAME?</v>
          </cell>
          <cell r="AQ173" t="e">
            <v>#NAME?</v>
          </cell>
          <cell r="AR173" t="e">
            <v>#NAME?</v>
          </cell>
          <cell r="AS173" t="e">
            <v>#NAME?</v>
          </cell>
          <cell r="AT173" t="e">
            <v>#NAME?</v>
          </cell>
          <cell r="AV173" t="e">
            <v>#NAME?</v>
          </cell>
          <cell r="AW173" t="e">
            <v>#NAME?</v>
          </cell>
          <cell r="AX173" t="e">
            <v>#NAME?</v>
          </cell>
          <cell r="AY173" t="e">
            <v>#NAME?</v>
          </cell>
          <cell r="AZ173" t="e">
            <v>#NAME?</v>
          </cell>
          <cell r="BA173" t="e">
            <v>#NAME?</v>
          </cell>
          <cell r="BB173" t="e">
            <v>#NAME?</v>
          </cell>
          <cell r="BC173" t="e">
            <v>#NAME?</v>
          </cell>
          <cell r="BD173" t="e">
            <v>#NAME?</v>
          </cell>
          <cell r="BE173" t="e">
            <v>#NAME?</v>
          </cell>
          <cell r="BG173" t="e">
            <v>#NAME?</v>
          </cell>
          <cell r="BH173" t="e">
            <v>#NAME?</v>
          </cell>
          <cell r="BJ173" t="e">
            <v>#NAME?</v>
          </cell>
          <cell r="BK173" t="e">
            <v>#NAME?</v>
          </cell>
        </row>
        <row r="174">
          <cell r="A174">
            <v>38898</v>
          </cell>
          <cell r="B174">
            <v>14.591671757492648</v>
          </cell>
          <cell r="C174">
            <v>5.1684979301215561</v>
          </cell>
          <cell r="D174">
            <v>6.2702265372168284</v>
          </cell>
          <cell r="E174">
            <v>0.98880000000000001</v>
          </cell>
          <cell r="F174">
            <v>6.2</v>
          </cell>
          <cell r="G174">
            <v>81.568408000000005</v>
          </cell>
          <cell r="H174">
            <v>505.72412960000003</v>
          </cell>
          <cell r="I174" t="e">
            <v>#NAME?</v>
          </cell>
          <cell r="K174" t="e">
            <v>#NAME?</v>
          </cell>
          <cell r="L174">
            <v>0.50900000333786011</v>
          </cell>
          <cell r="M174">
            <v>0.50900000333786011</v>
          </cell>
          <cell r="N174">
            <v>12.318716102354966</v>
          </cell>
          <cell r="O174">
            <v>7.3958989979453715</v>
          </cell>
          <cell r="P174">
            <v>11.044758859065741</v>
          </cell>
          <cell r="Q174">
            <v>14.693618720186111</v>
          </cell>
          <cell r="R174">
            <v>18.34247858130648</v>
          </cell>
          <cell r="S174">
            <v>21.991338442426851</v>
          </cell>
          <cell r="U174">
            <v>-0.15577075011782304</v>
          </cell>
          <cell r="V174">
            <v>0.17309537420876039</v>
          </cell>
          <cell r="X174">
            <v>16.225469071181447</v>
          </cell>
          <cell r="Y174">
            <v>-0.24077904630599467</v>
          </cell>
          <cell r="Z174">
            <v>-0.32707222769643551</v>
          </cell>
          <cell r="AA174">
            <v>-6.3044659367773426E-2</v>
          </cell>
          <cell r="AB174">
            <v>0.20098290896088866</v>
          </cell>
          <cell r="AC174">
            <v>0.46501047728955075</v>
          </cell>
          <cell r="AD174">
            <v>0.72903804561821284</v>
          </cell>
          <cell r="AF174" t="e">
            <v>#NAME?</v>
          </cell>
          <cell r="AG174" t="e">
            <v>#NAME?</v>
          </cell>
          <cell r="AH174" t="e">
            <v>#NAME?</v>
          </cell>
          <cell r="AI174" t="e">
            <v>#NAME?</v>
          </cell>
          <cell r="AJ174" t="e">
            <v>#NAME?</v>
          </cell>
          <cell r="AK174" t="e">
            <v>#NAME?</v>
          </cell>
          <cell r="AL174" t="e">
            <v>#NAME?</v>
          </cell>
          <cell r="AN174" t="e">
            <v>#NAME?</v>
          </cell>
          <cell r="AO174" t="e">
            <v>#NAME?</v>
          </cell>
          <cell r="AP174" t="e">
            <v>#NAME?</v>
          </cell>
          <cell r="AQ174" t="e">
            <v>#NAME?</v>
          </cell>
          <cell r="AR174" t="e">
            <v>#NAME?</v>
          </cell>
          <cell r="AS174" t="e">
            <v>#NAME?</v>
          </cell>
          <cell r="AT174" t="e">
            <v>#NAME?</v>
          </cell>
          <cell r="AV174" t="e">
            <v>#NAME?</v>
          </cell>
          <cell r="AW174" t="e">
            <v>#NAME?</v>
          </cell>
          <cell r="AX174" t="e">
            <v>#NAME?</v>
          </cell>
          <cell r="AY174" t="e">
            <v>#NAME?</v>
          </cell>
          <cell r="AZ174" t="e">
            <v>#NAME?</v>
          </cell>
          <cell r="BA174" t="e">
            <v>#NAME?</v>
          </cell>
          <cell r="BB174" t="e">
            <v>#NAME?</v>
          </cell>
          <cell r="BC174" t="e">
            <v>#NAME?</v>
          </cell>
          <cell r="BD174" t="e">
            <v>#NAME?</v>
          </cell>
          <cell r="BE174" t="e">
            <v>#NAME?</v>
          </cell>
          <cell r="BG174" t="e">
            <v>#NAME?</v>
          </cell>
          <cell r="BH174" t="e">
            <v>#NAME?</v>
          </cell>
          <cell r="BJ174" t="e">
            <v>#NAME?</v>
          </cell>
          <cell r="BK174" t="e">
            <v>#NAME?</v>
          </cell>
        </row>
        <row r="175">
          <cell r="A175">
            <v>38929</v>
          </cell>
          <cell r="B175">
            <v>14.162375062072213</v>
          </cell>
          <cell r="C175">
            <v>5.3188221969698191</v>
          </cell>
          <cell r="D175">
            <v>6.108414239482201</v>
          </cell>
          <cell r="E175">
            <v>0.98880000000000001</v>
          </cell>
          <cell r="F175">
            <v>6.04</v>
          </cell>
          <cell r="G175">
            <v>81.568408000000005</v>
          </cell>
          <cell r="H175">
            <v>492.67318432000002</v>
          </cell>
          <cell r="I175" t="e">
            <v>#NAME?</v>
          </cell>
          <cell r="K175" t="e">
            <v>#NAME?</v>
          </cell>
          <cell r="L175">
            <v>0.45843562483787537</v>
          </cell>
          <cell r="M175">
            <v>0.45843562483787537</v>
          </cell>
          <cell r="N175">
            <v>13.324475473829999</v>
          </cell>
          <cell r="O175">
            <v>7.3958989979453715</v>
          </cell>
          <cell r="P175">
            <v>11.044758859065741</v>
          </cell>
          <cell r="Q175">
            <v>14.693618720186111</v>
          </cell>
          <cell r="R175">
            <v>18.34247858130648</v>
          </cell>
          <cell r="S175">
            <v>21.991338442426851</v>
          </cell>
          <cell r="U175">
            <v>-5.9163776172413751E-2</v>
          </cell>
          <cell r="V175">
            <v>0.17309537420876039</v>
          </cell>
          <cell r="X175">
            <v>15.556292018770764</v>
          </cell>
          <cell r="Y175">
            <v>-0.14346712842930542</v>
          </cell>
          <cell r="Z175">
            <v>-0.32707222769643551</v>
          </cell>
          <cell r="AA175">
            <v>-6.3044659367773426E-2</v>
          </cell>
          <cell r="AB175">
            <v>0.20098290896088866</v>
          </cell>
          <cell r="AC175">
            <v>0.46501047728955075</v>
          </cell>
          <cell r="AD175">
            <v>0.72903804561821284</v>
          </cell>
          <cell r="AF175" t="e">
            <v>#NAME?</v>
          </cell>
          <cell r="AG175" t="e">
            <v>#NAME?</v>
          </cell>
          <cell r="AH175" t="e">
            <v>#NAME?</v>
          </cell>
          <cell r="AI175" t="e">
            <v>#NAME?</v>
          </cell>
          <cell r="AJ175" t="e">
            <v>#NAME?</v>
          </cell>
          <cell r="AK175" t="e">
            <v>#NAME?</v>
          </cell>
          <cell r="AL175" t="e">
            <v>#NAME?</v>
          </cell>
          <cell r="AN175" t="e">
            <v>#NAME?</v>
          </cell>
          <cell r="AO175" t="e">
            <v>#NAME?</v>
          </cell>
          <cell r="AP175" t="e">
            <v>#NAME?</v>
          </cell>
          <cell r="AQ175" t="e">
            <v>#NAME?</v>
          </cell>
          <cell r="AR175" t="e">
            <v>#NAME?</v>
          </cell>
          <cell r="AS175" t="e">
            <v>#NAME?</v>
          </cell>
          <cell r="AT175" t="e">
            <v>#NAME?</v>
          </cell>
          <cell r="AV175" t="e">
            <v>#NAME?</v>
          </cell>
          <cell r="AW175" t="e">
            <v>#NAME?</v>
          </cell>
          <cell r="AX175" t="e">
            <v>#NAME?</v>
          </cell>
          <cell r="AY175" t="e">
            <v>#NAME?</v>
          </cell>
          <cell r="AZ175" t="e">
            <v>#NAME?</v>
          </cell>
          <cell r="BA175" t="e">
            <v>#NAME?</v>
          </cell>
          <cell r="BB175" t="e">
            <v>#NAME?</v>
          </cell>
          <cell r="BC175" t="e">
            <v>#NAME?</v>
          </cell>
          <cell r="BD175" t="e">
            <v>#NAME?</v>
          </cell>
          <cell r="BE175" t="e">
            <v>#NAME?</v>
          </cell>
          <cell r="BG175" t="e">
            <v>#NAME?</v>
          </cell>
          <cell r="BH175" t="e">
            <v>#NAME?</v>
          </cell>
          <cell r="BJ175" t="e">
            <v>#NAME?</v>
          </cell>
          <cell r="BK175" t="e">
            <v>#NAME?</v>
          </cell>
        </row>
        <row r="176">
          <cell r="A176">
            <v>38960</v>
          </cell>
          <cell r="B176">
            <v>14.697045119067729</v>
          </cell>
          <cell r="C176">
            <v>5.1681685031276814</v>
          </cell>
          <cell r="D176">
            <v>6.9983818770226538</v>
          </cell>
          <cell r="E176">
            <v>0.98880000000000001</v>
          </cell>
          <cell r="F176">
            <v>6.92</v>
          </cell>
          <cell r="G176">
            <v>81.568408000000005</v>
          </cell>
          <cell r="H176">
            <v>564.45338335999998</v>
          </cell>
          <cell r="I176" t="e">
            <v>#NAME?</v>
          </cell>
          <cell r="K176" t="e">
            <v>#NAME?</v>
          </cell>
          <cell r="L176">
            <v>0.46973973512649536</v>
          </cell>
          <cell r="M176">
            <v>0.46973973512649536</v>
          </cell>
          <cell r="N176">
            <v>14.898424284115697</v>
          </cell>
          <cell r="O176">
            <v>7.3958989979453715</v>
          </cell>
          <cell r="P176">
            <v>11.044758859065741</v>
          </cell>
          <cell r="Q176">
            <v>14.693618720186111</v>
          </cell>
          <cell r="R176">
            <v>18.34247858130648</v>
          </cell>
          <cell r="S176">
            <v>21.991338442426851</v>
          </cell>
          <cell r="U176">
            <v>1.3702017202539718E-2</v>
          </cell>
          <cell r="V176">
            <v>0.17309537420876039</v>
          </cell>
          <cell r="X176">
            <v>15.002249415703416</v>
          </cell>
          <cell r="Y176">
            <v>-6.9206376131196734E-3</v>
          </cell>
          <cell r="Z176">
            <v>-0.32707222769643551</v>
          </cell>
          <cell r="AA176">
            <v>-6.3044659367773426E-2</v>
          </cell>
          <cell r="AB176">
            <v>0.20098290896088866</v>
          </cell>
          <cell r="AC176">
            <v>0.46501047728955075</v>
          </cell>
          <cell r="AD176">
            <v>0.72903804561821284</v>
          </cell>
          <cell r="AF176" t="e">
            <v>#NAME?</v>
          </cell>
          <cell r="AG176" t="e">
            <v>#NAME?</v>
          </cell>
          <cell r="AH176" t="e">
            <v>#NAME?</v>
          </cell>
          <cell r="AI176" t="e">
            <v>#NAME?</v>
          </cell>
          <cell r="AJ176" t="e">
            <v>#NAME?</v>
          </cell>
          <cell r="AK176" t="e">
            <v>#NAME?</v>
          </cell>
          <cell r="AL176" t="e">
            <v>#NAME?</v>
          </cell>
          <cell r="AN176" t="e">
            <v>#NAME?</v>
          </cell>
          <cell r="AO176" t="e">
            <v>#NAME?</v>
          </cell>
          <cell r="AP176" t="e">
            <v>#NAME?</v>
          </cell>
          <cell r="AQ176" t="e">
            <v>#NAME?</v>
          </cell>
          <cell r="AR176" t="e">
            <v>#NAME?</v>
          </cell>
          <cell r="AS176" t="e">
            <v>#NAME?</v>
          </cell>
          <cell r="AT176" t="e">
            <v>#NAME?</v>
          </cell>
          <cell r="AV176" t="e">
            <v>#NAME?</v>
          </cell>
          <cell r="AW176" t="e">
            <v>#NAME?</v>
          </cell>
          <cell r="AX176" t="e">
            <v>#NAME?</v>
          </cell>
          <cell r="AY176" t="e">
            <v>#NAME?</v>
          </cell>
          <cell r="AZ176" t="e">
            <v>#NAME?</v>
          </cell>
          <cell r="BA176" t="e">
            <v>#NAME?</v>
          </cell>
          <cell r="BB176" t="e">
            <v>#NAME?</v>
          </cell>
          <cell r="BC176" t="e">
            <v>#NAME?</v>
          </cell>
          <cell r="BD176" t="e">
            <v>#NAME?</v>
          </cell>
          <cell r="BE176" t="e">
            <v>#NAME?</v>
          </cell>
          <cell r="BG176" t="e">
            <v>#NAME?</v>
          </cell>
          <cell r="BH176" t="e">
            <v>#NAME?</v>
          </cell>
          <cell r="BJ176" t="e">
            <v>#NAME?</v>
          </cell>
          <cell r="BK176" t="e">
            <v>#NAME?</v>
          </cell>
        </row>
        <row r="177">
          <cell r="A177">
            <v>38990</v>
          </cell>
          <cell r="B177">
            <v>14.736506018223668</v>
          </cell>
          <cell r="C177">
            <v>5.0378700321439833</v>
          </cell>
          <cell r="D177">
            <v>6.3713592233009715</v>
          </cell>
          <cell r="E177">
            <v>0.98880000000000001</v>
          </cell>
          <cell r="F177">
            <v>6.3000000000000007</v>
          </cell>
          <cell r="G177">
            <v>81.568408000000005</v>
          </cell>
          <cell r="H177">
            <v>513.88097040000014</v>
          </cell>
          <cell r="I177" t="e">
            <v>#NAME?</v>
          </cell>
          <cell r="K177" t="e">
            <v>#NAME?</v>
          </cell>
          <cell r="L177">
            <v>0.46288767457008362</v>
          </cell>
          <cell r="M177">
            <v>0.46288767457008362</v>
          </cell>
          <cell r="N177">
            <v>13.764374325193474</v>
          </cell>
          <cell r="O177">
            <v>7.3958989979453715</v>
          </cell>
          <cell r="P177">
            <v>11.044758859065741</v>
          </cell>
          <cell r="Q177">
            <v>14.693618720186111</v>
          </cell>
          <cell r="R177">
            <v>18.34247858130648</v>
          </cell>
          <cell r="S177">
            <v>21.991338442426851</v>
          </cell>
          <cell r="U177">
            <v>-6.5967583620433645E-2</v>
          </cell>
          <cell r="V177">
            <v>0.17309537420876039</v>
          </cell>
          <cell r="X177">
            <v>14.576810701220266</v>
          </cell>
          <cell r="Y177">
            <v>-5.5734851242787986E-2</v>
          </cell>
          <cell r="Z177">
            <v>-0.32707222769643551</v>
          </cell>
          <cell r="AA177">
            <v>-6.3044659367773426E-2</v>
          </cell>
          <cell r="AB177">
            <v>0.20098290896088866</v>
          </cell>
          <cell r="AC177">
            <v>0.46501047728955075</v>
          </cell>
          <cell r="AD177">
            <v>0.72903804561821284</v>
          </cell>
          <cell r="AF177" t="e">
            <v>#NAME?</v>
          </cell>
          <cell r="AG177" t="e">
            <v>#NAME?</v>
          </cell>
          <cell r="AH177" t="e">
            <v>#NAME?</v>
          </cell>
          <cell r="AI177" t="e">
            <v>#NAME?</v>
          </cell>
          <cell r="AJ177" t="e">
            <v>#NAME?</v>
          </cell>
          <cell r="AK177" t="e">
            <v>#NAME?</v>
          </cell>
          <cell r="AL177" t="e">
            <v>#NAME?</v>
          </cell>
          <cell r="AN177" t="e">
            <v>#NAME?</v>
          </cell>
          <cell r="AO177" t="e">
            <v>#NAME?</v>
          </cell>
          <cell r="AP177" t="e">
            <v>#NAME?</v>
          </cell>
          <cell r="AQ177" t="e">
            <v>#NAME?</v>
          </cell>
          <cell r="AR177" t="e">
            <v>#NAME?</v>
          </cell>
          <cell r="AS177" t="e">
            <v>#NAME?</v>
          </cell>
          <cell r="AT177" t="e">
            <v>#NAME?</v>
          </cell>
          <cell r="AV177" t="e">
            <v>#NAME?</v>
          </cell>
          <cell r="AW177" t="e">
            <v>#NAME?</v>
          </cell>
          <cell r="AX177" t="e">
            <v>#NAME?</v>
          </cell>
          <cell r="AY177" t="e">
            <v>#NAME?</v>
          </cell>
          <cell r="AZ177" t="e">
            <v>#NAME?</v>
          </cell>
          <cell r="BA177" t="e">
            <v>#NAME?</v>
          </cell>
          <cell r="BB177" t="e">
            <v>#NAME?</v>
          </cell>
          <cell r="BC177" t="e">
            <v>#NAME?</v>
          </cell>
          <cell r="BD177" t="e">
            <v>#NAME?</v>
          </cell>
          <cell r="BE177" t="e">
            <v>#NAME?</v>
          </cell>
          <cell r="BG177" t="e">
            <v>#NAME?</v>
          </cell>
          <cell r="BH177" t="e">
            <v>#NAME?</v>
          </cell>
          <cell r="BJ177" t="e">
            <v>#NAME?</v>
          </cell>
          <cell r="BK177" t="e">
            <v>#NAME?</v>
          </cell>
        </row>
        <row r="178">
          <cell r="A178">
            <v>39021</v>
          </cell>
          <cell r="B178">
            <v>15.224814821258933</v>
          </cell>
          <cell r="C178">
            <v>4.834149948813975</v>
          </cell>
          <cell r="D178">
            <v>6.6747572815533989</v>
          </cell>
          <cell r="E178">
            <v>0.98880000000000001</v>
          </cell>
          <cell r="F178">
            <v>6.6000000000000005</v>
          </cell>
          <cell r="G178">
            <v>81.568408000000005</v>
          </cell>
          <cell r="H178">
            <v>538.35149280000007</v>
          </cell>
          <cell r="I178" t="e">
            <v>#NAME?</v>
          </cell>
          <cell r="K178" t="e">
            <v>#NAME?</v>
          </cell>
          <cell r="L178">
            <v>0.45726302266120911</v>
          </cell>
          <cell r="M178">
            <v>0.45726302266120911</v>
          </cell>
          <cell r="N178">
            <v>14.597194504614023</v>
          </cell>
          <cell r="O178">
            <v>7.3958989979453715</v>
          </cell>
          <cell r="P178">
            <v>11.044758859065741</v>
          </cell>
          <cell r="Q178">
            <v>14.693618720186111</v>
          </cell>
          <cell r="R178">
            <v>18.34247858130648</v>
          </cell>
          <cell r="S178">
            <v>21.991338442426851</v>
          </cell>
          <cell r="U178">
            <v>-4.1223510697058985E-2</v>
          </cell>
          <cell r="V178">
            <v>0.17309537420876039</v>
          </cell>
          <cell r="X178">
            <v>14.987212336054347</v>
          </cell>
          <cell r="Y178">
            <v>-2.6023373973428465E-2</v>
          </cell>
          <cell r="Z178">
            <v>-0.32707222769643551</v>
          </cell>
          <cell r="AA178">
            <v>-6.3044659367773426E-2</v>
          </cell>
          <cell r="AB178">
            <v>0.20098290896088866</v>
          </cell>
          <cell r="AC178">
            <v>0.46501047728955075</v>
          </cell>
          <cell r="AD178">
            <v>0.72903804561821284</v>
          </cell>
          <cell r="AF178" t="e">
            <v>#NAME?</v>
          </cell>
          <cell r="AG178" t="e">
            <v>#NAME?</v>
          </cell>
          <cell r="AH178" t="e">
            <v>#NAME?</v>
          </cell>
          <cell r="AI178" t="e">
            <v>#NAME?</v>
          </cell>
          <cell r="AJ178" t="e">
            <v>#NAME?</v>
          </cell>
          <cell r="AK178" t="e">
            <v>#NAME?</v>
          </cell>
          <cell r="AL178" t="e">
            <v>#NAME?</v>
          </cell>
          <cell r="AN178" t="e">
            <v>#NAME?</v>
          </cell>
          <cell r="AO178" t="e">
            <v>#NAME?</v>
          </cell>
          <cell r="AP178" t="e">
            <v>#NAME?</v>
          </cell>
          <cell r="AQ178" t="e">
            <v>#NAME?</v>
          </cell>
          <cell r="AR178" t="e">
            <v>#NAME?</v>
          </cell>
          <cell r="AS178" t="e">
            <v>#NAME?</v>
          </cell>
          <cell r="AT178" t="e">
            <v>#NAME?</v>
          </cell>
          <cell r="AV178" t="e">
            <v>#NAME?</v>
          </cell>
          <cell r="AW178" t="e">
            <v>#NAME?</v>
          </cell>
          <cell r="AX178" t="e">
            <v>#NAME?</v>
          </cell>
          <cell r="AY178" t="e">
            <v>#NAME?</v>
          </cell>
          <cell r="AZ178" t="e">
            <v>#NAME?</v>
          </cell>
          <cell r="BA178" t="e">
            <v>#NAME?</v>
          </cell>
          <cell r="BB178" t="e">
            <v>#NAME?</v>
          </cell>
          <cell r="BC178" t="e">
            <v>#NAME?</v>
          </cell>
          <cell r="BD178" t="e">
            <v>#NAME?</v>
          </cell>
          <cell r="BE178" t="e">
            <v>#NAME?</v>
          </cell>
          <cell r="BG178" t="e">
            <v>#NAME?</v>
          </cell>
          <cell r="BH178" t="e">
            <v>#NAME?</v>
          </cell>
          <cell r="BJ178" t="e">
            <v>#NAME?</v>
          </cell>
          <cell r="BK178" t="e">
            <v>#NAME?</v>
          </cell>
        </row>
        <row r="179">
          <cell r="A179">
            <v>39051</v>
          </cell>
          <cell r="B179">
            <v>15.363895430909766</v>
          </cell>
          <cell r="C179">
            <v>4.8559150238593523</v>
          </cell>
          <cell r="D179">
            <v>8.0703883495145643</v>
          </cell>
          <cell r="E179">
            <v>0.98880000000000001</v>
          </cell>
          <cell r="F179">
            <v>7.98</v>
          </cell>
          <cell r="G179">
            <v>81.568408000000005</v>
          </cell>
          <cell r="H179">
            <v>650.91589584000008</v>
          </cell>
          <cell r="I179" t="e">
            <v>#NAME?</v>
          </cell>
          <cell r="K179" t="e">
            <v>#NAME?</v>
          </cell>
          <cell r="L179">
            <v>0.46769589185714722</v>
          </cell>
          <cell r="M179">
            <v>0.46769589185714722</v>
          </cell>
          <cell r="N179">
            <v>17.255632324389925</v>
          </cell>
          <cell r="O179">
            <v>7.3958989979453715</v>
          </cell>
          <cell r="P179">
            <v>11.044758859065741</v>
          </cell>
          <cell r="Q179">
            <v>14.693618720186111</v>
          </cell>
          <cell r="R179">
            <v>18.34247858130648</v>
          </cell>
          <cell r="S179">
            <v>21.991338442426851</v>
          </cell>
          <cell r="U179">
            <v>0.1231287274758639</v>
          </cell>
          <cell r="V179">
            <v>0.17309537420876039</v>
          </cell>
          <cell r="X179">
            <v>14.683013038565242</v>
          </cell>
          <cell r="Y179">
            <v>0.1752105837587723</v>
          </cell>
          <cell r="Z179">
            <v>-0.32707222769643551</v>
          </cell>
          <cell r="AA179">
            <v>-6.3044659367773426E-2</v>
          </cell>
          <cell r="AB179">
            <v>0.20098290896088866</v>
          </cell>
          <cell r="AC179">
            <v>0.46501047728955075</v>
          </cell>
          <cell r="AD179">
            <v>0.72903804561821284</v>
          </cell>
          <cell r="AF179" t="e">
            <v>#NAME?</v>
          </cell>
          <cell r="AG179" t="e">
            <v>#NAME?</v>
          </cell>
          <cell r="AH179" t="e">
            <v>#NAME?</v>
          </cell>
          <cell r="AI179" t="e">
            <v>#NAME?</v>
          </cell>
          <cell r="AJ179" t="e">
            <v>#NAME?</v>
          </cell>
          <cell r="AK179" t="e">
            <v>#NAME?</v>
          </cell>
          <cell r="AL179" t="e">
            <v>#NAME?</v>
          </cell>
          <cell r="AN179" t="e">
            <v>#NAME?</v>
          </cell>
          <cell r="AO179" t="e">
            <v>#NAME?</v>
          </cell>
          <cell r="AP179" t="e">
            <v>#NAME?</v>
          </cell>
          <cell r="AQ179" t="e">
            <v>#NAME?</v>
          </cell>
          <cell r="AR179" t="e">
            <v>#NAME?</v>
          </cell>
          <cell r="AS179" t="e">
            <v>#NAME?</v>
          </cell>
          <cell r="AT179" t="e">
            <v>#NAME?</v>
          </cell>
          <cell r="AV179" t="e">
            <v>#NAME?</v>
          </cell>
          <cell r="AW179" t="e">
            <v>#NAME?</v>
          </cell>
          <cell r="AX179" t="e">
            <v>#NAME?</v>
          </cell>
          <cell r="AY179" t="e">
            <v>#NAME?</v>
          </cell>
          <cell r="AZ179" t="e">
            <v>#NAME?</v>
          </cell>
          <cell r="BA179" t="e">
            <v>#NAME?</v>
          </cell>
          <cell r="BB179" t="e">
            <v>#NAME?</v>
          </cell>
          <cell r="BC179" t="e">
            <v>#NAME?</v>
          </cell>
          <cell r="BD179" t="e">
            <v>#NAME?</v>
          </cell>
          <cell r="BE179" t="e">
            <v>#NAME?</v>
          </cell>
          <cell r="BG179" t="e">
            <v>#NAME?</v>
          </cell>
          <cell r="BH179" t="e">
            <v>#NAME?</v>
          </cell>
          <cell r="BJ179" t="e">
            <v>#NAME?</v>
          </cell>
          <cell r="BK179" t="e">
            <v>#NAME?</v>
          </cell>
        </row>
        <row r="180">
          <cell r="A180">
            <v>39082</v>
          </cell>
          <cell r="B180">
            <v>15.816777165567238</v>
          </cell>
          <cell r="C180">
            <v>4.8242998864283848</v>
          </cell>
          <cell r="D180">
            <v>9.516585760517799</v>
          </cell>
          <cell r="E180">
            <v>0.98880000000000001</v>
          </cell>
          <cell r="F180">
            <v>9.41</v>
          </cell>
          <cell r="G180">
            <v>81.568408000000005</v>
          </cell>
          <cell r="H180">
            <v>767.5587192800001</v>
          </cell>
          <cell r="I180" t="e">
            <v>#NAME?</v>
          </cell>
          <cell r="K180" t="e">
            <v>#NAME?</v>
          </cell>
          <cell r="L180">
            <v>0.54724657535552979</v>
          </cell>
          <cell r="M180">
            <v>0.54724657535552979</v>
          </cell>
          <cell r="N180">
            <v>17.389941187544494</v>
          </cell>
          <cell r="O180">
            <v>7.3958989979453715</v>
          </cell>
          <cell r="P180">
            <v>11.044758859065741</v>
          </cell>
          <cell r="Q180">
            <v>14.693618720186111</v>
          </cell>
          <cell r="R180">
            <v>18.34247858130648</v>
          </cell>
          <cell r="S180">
            <v>21.991338442426851</v>
          </cell>
          <cell r="U180">
            <v>9.9461730130585568E-2</v>
          </cell>
          <cell r="V180">
            <v>0.17309537420876039</v>
          </cell>
          <cell r="X180">
            <v>15.117685717289824</v>
          </cell>
          <cell r="Y180">
            <v>0.15030445219905131</v>
          </cell>
          <cell r="Z180">
            <v>-0.32707222769643551</v>
          </cell>
          <cell r="AA180">
            <v>-6.3044659367773426E-2</v>
          </cell>
          <cell r="AB180">
            <v>0.20098290896088866</v>
          </cell>
          <cell r="AC180">
            <v>0.46501047728955075</v>
          </cell>
          <cell r="AD180">
            <v>0.72903804561821284</v>
          </cell>
          <cell r="AF180" t="e">
            <v>#NAME?</v>
          </cell>
          <cell r="AG180" t="e">
            <v>#NAME?</v>
          </cell>
          <cell r="AH180" t="e">
            <v>#NAME?</v>
          </cell>
          <cell r="AI180" t="e">
            <v>#NAME?</v>
          </cell>
          <cell r="AJ180" t="e">
            <v>#NAME?</v>
          </cell>
          <cell r="AK180" t="e">
            <v>#NAME?</v>
          </cell>
          <cell r="AL180" t="e">
            <v>#NAME?</v>
          </cell>
          <cell r="AN180" t="e">
            <v>#NAME?</v>
          </cell>
          <cell r="AO180" t="e">
            <v>#NAME?</v>
          </cell>
          <cell r="AP180" t="e">
            <v>#NAME?</v>
          </cell>
          <cell r="AQ180" t="e">
            <v>#NAME?</v>
          </cell>
          <cell r="AR180" t="e">
            <v>#NAME?</v>
          </cell>
          <cell r="AS180" t="e">
            <v>#NAME?</v>
          </cell>
          <cell r="AT180" t="e">
            <v>#NAME?</v>
          </cell>
          <cell r="AV180" t="e">
            <v>#NAME?</v>
          </cell>
          <cell r="AW180" t="e">
            <v>#NAME?</v>
          </cell>
          <cell r="AX180" t="e">
            <v>#NAME?</v>
          </cell>
          <cell r="AY180" t="e">
            <v>#NAME?</v>
          </cell>
          <cell r="AZ180" t="e">
            <v>#NAME?</v>
          </cell>
          <cell r="BA180" t="e">
            <v>#NAME?</v>
          </cell>
          <cell r="BB180" t="e">
            <v>#NAME?</v>
          </cell>
          <cell r="BC180" t="e">
            <v>#NAME?</v>
          </cell>
          <cell r="BD180" t="e">
            <v>#NAME?</v>
          </cell>
          <cell r="BE180" t="e">
            <v>#NAME?</v>
          </cell>
          <cell r="BG180" t="e">
            <v>#NAME?</v>
          </cell>
          <cell r="BH180" t="e">
            <v>#NAME?</v>
          </cell>
          <cell r="BJ180" t="e">
            <v>#NAME?</v>
          </cell>
          <cell r="BK180" t="e">
            <v>#NAME?</v>
          </cell>
        </row>
        <row r="181">
          <cell r="A181">
            <v>39113</v>
          </cell>
          <cell r="B181">
            <v>15.818470289145225</v>
          </cell>
          <cell r="C181">
            <v>4.7215735683017277</v>
          </cell>
          <cell r="D181">
            <v>9.4660194174757279</v>
          </cell>
          <cell r="E181">
            <v>0.98880000000000001</v>
          </cell>
          <cell r="F181">
            <v>9.36</v>
          </cell>
          <cell r="G181">
            <v>81.568408000000005</v>
          </cell>
          <cell r="H181">
            <v>763.48029887999996</v>
          </cell>
          <cell r="I181" t="e">
            <v>#NAME?</v>
          </cell>
          <cell r="K181" t="e">
            <v>#NAME?</v>
          </cell>
          <cell r="L181">
            <v>0.5535205602645874</v>
          </cell>
          <cell r="M181">
            <v>0.5535205602645874</v>
          </cell>
          <cell r="N181">
            <v>17.101477518650604</v>
          </cell>
          <cell r="O181">
            <v>7.3958989979453715</v>
          </cell>
          <cell r="P181">
            <v>11.044758859065741</v>
          </cell>
          <cell r="Q181">
            <v>14.693618720186111</v>
          </cell>
          <cell r="R181">
            <v>18.34247858130648</v>
          </cell>
          <cell r="S181">
            <v>21.991338442426851</v>
          </cell>
          <cell r="U181">
            <v>8.1108173296996489E-2</v>
          </cell>
          <cell r="V181">
            <v>0.17309537420876039</v>
          </cell>
          <cell r="X181">
            <v>14.781137006405011</v>
          </cell>
          <cell r="Y181">
            <v>0.15697983932089499</v>
          </cell>
          <cell r="Z181">
            <v>-0.32707222769643551</v>
          </cell>
          <cell r="AA181">
            <v>-6.3044659367773426E-2</v>
          </cell>
          <cell r="AB181">
            <v>0.20098290896088866</v>
          </cell>
          <cell r="AC181">
            <v>0.46501047728955075</v>
          </cell>
          <cell r="AD181">
            <v>0.72903804561821284</v>
          </cell>
          <cell r="AF181" t="e">
            <v>#NAME?</v>
          </cell>
          <cell r="AG181" t="e">
            <v>#NAME?</v>
          </cell>
          <cell r="AH181" t="e">
            <v>#NAME?</v>
          </cell>
          <cell r="AI181" t="e">
            <v>#NAME?</v>
          </cell>
          <cell r="AJ181" t="e">
            <v>#NAME?</v>
          </cell>
          <cell r="AK181" t="e">
            <v>#NAME?</v>
          </cell>
          <cell r="AL181" t="e">
            <v>#NAME?</v>
          </cell>
          <cell r="AN181" t="e">
            <v>#NAME?</v>
          </cell>
          <cell r="AO181" t="e">
            <v>#NAME?</v>
          </cell>
          <cell r="AP181" t="e">
            <v>#NAME?</v>
          </cell>
          <cell r="AQ181" t="e">
            <v>#NAME?</v>
          </cell>
          <cell r="AR181" t="e">
            <v>#NAME?</v>
          </cell>
          <cell r="AS181" t="e">
            <v>#NAME?</v>
          </cell>
          <cell r="AT181" t="e">
            <v>#NAME?</v>
          </cell>
          <cell r="AV181" t="e">
            <v>#NAME?</v>
          </cell>
          <cell r="AW181" t="e">
            <v>#NAME?</v>
          </cell>
          <cell r="AX181" t="e">
            <v>#NAME?</v>
          </cell>
          <cell r="AY181" t="e">
            <v>#NAME?</v>
          </cell>
          <cell r="AZ181" t="e">
            <v>#NAME?</v>
          </cell>
          <cell r="BA181" t="e">
            <v>#NAME?</v>
          </cell>
          <cell r="BB181" t="e">
            <v>#NAME?</v>
          </cell>
          <cell r="BC181" t="e">
            <v>#NAME?</v>
          </cell>
          <cell r="BD181" t="e">
            <v>#NAME?</v>
          </cell>
          <cell r="BE181" t="e">
            <v>#NAME?</v>
          </cell>
          <cell r="BG181" t="e">
            <v>#NAME?</v>
          </cell>
          <cell r="BH181" t="e">
            <v>#NAME?</v>
          </cell>
          <cell r="BJ181" t="e">
            <v>#NAME?</v>
          </cell>
          <cell r="BK181" t="e">
            <v>#NAME?</v>
          </cell>
        </row>
        <row r="182">
          <cell r="A182">
            <v>39141</v>
          </cell>
          <cell r="B182">
            <v>15.812002761839757</v>
          </cell>
          <cell r="C182">
            <v>4.7831805742624338</v>
          </cell>
          <cell r="D182">
            <v>10.78074433656958</v>
          </cell>
          <cell r="E182">
            <v>0.98880000000000001</v>
          </cell>
          <cell r="F182">
            <v>10.66</v>
          </cell>
          <cell r="G182">
            <v>81.568408000000005</v>
          </cell>
          <cell r="H182">
            <v>869.5192292800001</v>
          </cell>
          <cell r="I182" t="e">
            <v>#NAME?</v>
          </cell>
          <cell r="K182" t="e">
            <v>#NAME?</v>
          </cell>
          <cell r="L182">
            <v>0.5772629976272583</v>
          </cell>
          <cell r="M182">
            <v>0.5772629976272583</v>
          </cell>
          <cell r="N182">
            <v>18.675619918272957</v>
          </cell>
          <cell r="O182">
            <v>7.3958989979453715</v>
          </cell>
          <cell r="P182">
            <v>11.044758859065741</v>
          </cell>
          <cell r="Q182">
            <v>14.693618720186111</v>
          </cell>
          <cell r="R182">
            <v>18.34247858130648</v>
          </cell>
          <cell r="S182">
            <v>21.991338442426851</v>
          </cell>
          <cell r="U182">
            <v>0.18110401317056257</v>
          </cell>
          <cell r="V182">
            <v>0.17309537420876039</v>
          </cell>
          <cell r="X182">
            <v>14.640420310741929</v>
          </cell>
          <cell r="Y182">
            <v>0.27562047549757396</v>
          </cell>
          <cell r="Z182">
            <v>-0.32707222769643551</v>
          </cell>
          <cell r="AA182">
            <v>-6.3044659367773426E-2</v>
          </cell>
          <cell r="AB182">
            <v>0.20098290896088866</v>
          </cell>
          <cell r="AC182">
            <v>0.46501047728955075</v>
          </cell>
          <cell r="AD182">
            <v>0.72903804561821284</v>
          </cell>
          <cell r="AF182" t="e">
            <v>#NAME?</v>
          </cell>
          <cell r="AG182" t="e">
            <v>#NAME?</v>
          </cell>
          <cell r="AH182" t="e">
            <v>#NAME?</v>
          </cell>
          <cell r="AI182" t="e">
            <v>#NAME?</v>
          </cell>
          <cell r="AJ182" t="e">
            <v>#NAME?</v>
          </cell>
          <cell r="AK182" t="e">
            <v>#NAME?</v>
          </cell>
          <cell r="AL182" t="e">
            <v>#NAME?</v>
          </cell>
          <cell r="AN182" t="e">
            <v>#NAME?</v>
          </cell>
          <cell r="AO182" t="e">
            <v>#NAME?</v>
          </cell>
          <cell r="AP182" t="e">
            <v>#NAME?</v>
          </cell>
          <cell r="AQ182" t="e">
            <v>#NAME?</v>
          </cell>
          <cell r="AR182" t="e">
            <v>#NAME?</v>
          </cell>
          <cell r="AS182" t="e">
            <v>#NAME?</v>
          </cell>
          <cell r="AT182" t="e">
            <v>#NAME?</v>
          </cell>
          <cell r="AV182" t="e">
            <v>#NAME?</v>
          </cell>
          <cell r="AW182" t="e">
            <v>#NAME?</v>
          </cell>
          <cell r="AX182" t="e">
            <v>#NAME?</v>
          </cell>
          <cell r="AY182" t="e">
            <v>#NAME?</v>
          </cell>
          <cell r="AZ182" t="e">
            <v>#NAME?</v>
          </cell>
          <cell r="BA182" t="e">
            <v>#NAME?</v>
          </cell>
          <cell r="BB182" t="e">
            <v>#NAME?</v>
          </cell>
          <cell r="BC182" t="e">
            <v>#NAME?</v>
          </cell>
          <cell r="BD182" t="e">
            <v>#NAME?</v>
          </cell>
          <cell r="BE182" t="e">
            <v>#NAME?</v>
          </cell>
          <cell r="BG182" t="e">
            <v>#NAME?</v>
          </cell>
          <cell r="BH182" t="e">
            <v>#NAME?</v>
          </cell>
          <cell r="BJ182" t="e">
            <v>#NAME?</v>
          </cell>
          <cell r="BK182" t="e">
            <v>#NAME?</v>
          </cell>
        </row>
        <row r="183">
          <cell r="A183">
            <v>39172</v>
          </cell>
          <cell r="B183">
            <v>16.391073624083926</v>
          </cell>
          <cell r="C183">
            <v>4.9152912836071616</v>
          </cell>
          <cell r="D183">
            <v>10.740291262135923</v>
          </cell>
          <cell r="E183">
            <v>0.98880000000000001</v>
          </cell>
          <cell r="F183">
            <v>10.620000000000001</v>
          </cell>
          <cell r="G183">
            <v>81.568408000000005</v>
          </cell>
          <cell r="H183">
            <v>866.25649296000017</v>
          </cell>
          <cell r="I183" t="e">
            <v>#NAME?</v>
          </cell>
          <cell r="K183" t="e">
            <v>#NAME?</v>
          </cell>
          <cell r="L183">
            <v>0.6605725884437561</v>
          </cell>
          <cell r="M183">
            <v>0.6605725884437561</v>
          </cell>
          <cell r="N183">
            <v>16.259062894872748</v>
          </cell>
          <cell r="O183">
            <v>7.3958989979453715</v>
          </cell>
          <cell r="P183">
            <v>11.044758859065741</v>
          </cell>
          <cell r="Q183">
            <v>14.693618720186111</v>
          </cell>
          <cell r="R183">
            <v>18.34247858130648</v>
          </cell>
          <cell r="S183">
            <v>21.991338442426851</v>
          </cell>
          <cell r="U183">
            <v>-8.0538183305582933E-3</v>
          </cell>
          <cell r="V183">
            <v>0.17309537420876039</v>
          </cell>
          <cell r="X183">
            <v>14.525435501535123</v>
          </cell>
          <cell r="Y183">
            <v>0.11935114738242492</v>
          </cell>
          <cell r="Z183">
            <v>-0.32707222769643551</v>
          </cell>
          <cell r="AA183">
            <v>-6.3044659367773426E-2</v>
          </cell>
          <cell r="AB183">
            <v>0.20098290896088866</v>
          </cell>
          <cell r="AC183">
            <v>0.46501047728955075</v>
          </cell>
          <cell r="AD183">
            <v>0.72903804561821284</v>
          </cell>
          <cell r="AF183" t="e">
            <v>#NAME?</v>
          </cell>
          <cell r="AG183" t="e">
            <v>#NAME?</v>
          </cell>
          <cell r="AH183" t="e">
            <v>#NAME?</v>
          </cell>
          <cell r="AI183" t="e">
            <v>#NAME?</v>
          </cell>
          <cell r="AJ183" t="e">
            <v>#NAME?</v>
          </cell>
          <cell r="AK183" t="e">
            <v>#NAME?</v>
          </cell>
          <cell r="AL183" t="e">
            <v>#NAME?</v>
          </cell>
          <cell r="AN183" t="e">
            <v>#NAME?</v>
          </cell>
          <cell r="AO183" t="e">
            <v>#NAME?</v>
          </cell>
          <cell r="AP183" t="e">
            <v>#NAME?</v>
          </cell>
          <cell r="AQ183" t="e">
            <v>#NAME?</v>
          </cell>
          <cell r="AR183" t="e">
            <v>#NAME?</v>
          </cell>
          <cell r="AS183" t="e">
            <v>#NAME?</v>
          </cell>
          <cell r="AT183" t="e">
            <v>#NAME?</v>
          </cell>
          <cell r="AV183" t="e">
            <v>#NAME?</v>
          </cell>
          <cell r="AW183" t="e">
            <v>#NAME?</v>
          </cell>
          <cell r="AX183" t="e">
            <v>#NAME?</v>
          </cell>
          <cell r="AY183" t="e">
            <v>#NAME?</v>
          </cell>
          <cell r="AZ183" t="e">
            <v>#NAME?</v>
          </cell>
          <cell r="BA183" t="e">
            <v>#NAME?</v>
          </cell>
          <cell r="BB183" t="e">
            <v>#NAME?</v>
          </cell>
          <cell r="BC183" t="e">
            <v>#NAME?</v>
          </cell>
          <cell r="BD183" t="e">
            <v>#NAME?</v>
          </cell>
          <cell r="BE183" t="e">
            <v>#NAME?</v>
          </cell>
          <cell r="BG183" t="e">
            <v>#NAME?</v>
          </cell>
          <cell r="BH183" t="e">
            <v>#NAME?</v>
          </cell>
          <cell r="BJ183" t="e">
            <v>#NAME?</v>
          </cell>
          <cell r="BK183" t="e">
            <v>#NAME?</v>
          </cell>
        </row>
        <row r="184">
          <cell r="A184">
            <v>39202</v>
          </cell>
          <cell r="B184">
            <v>16.682377896614661</v>
          </cell>
          <cell r="C184">
            <v>4.7659741987460436</v>
          </cell>
          <cell r="D184">
            <v>13.784385113268609</v>
          </cell>
          <cell r="E184">
            <v>0.98880000000000001</v>
          </cell>
          <cell r="F184">
            <v>13.63</v>
          </cell>
          <cell r="G184">
            <v>81.568408000000005</v>
          </cell>
          <cell r="H184">
            <v>1111.7774010400001</v>
          </cell>
          <cell r="I184" t="e">
            <v>#NAME?</v>
          </cell>
          <cell r="K184" t="e">
            <v>#NAME?</v>
          </cell>
          <cell r="L184">
            <v>0.66179454326629639</v>
          </cell>
          <cell r="M184">
            <v>0.66179454326629639</v>
          </cell>
          <cell r="N184">
            <v>20.828798383914712</v>
          </cell>
          <cell r="O184">
            <v>7.3958989979453715</v>
          </cell>
          <cell r="P184">
            <v>11.044758859065741</v>
          </cell>
          <cell r="Q184">
            <v>14.693618720186111</v>
          </cell>
          <cell r="R184">
            <v>18.34247858130648</v>
          </cell>
          <cell r="S184">
            <v>21.991338442426851</v>
          </cell>
          <cell r="U184">
            <v>0.24855092679212598</v>
          </cell>
          <cell r="V184">
            <v>0.17309537420876039</v>
          </cell>
          <cell r="X184">
            <v>15.373292379600683</v>
          </cell>
          <cell r="Y184">
            <v>0.35486907225892073</v>
          </cell>
          <cell r="Z184">
            <v>-0.32707222769643551</v>
          </cell>
          <cell r="AA184">
            <v>-6.3044659367773426E-2</v>
          </cell>
          <cell r="AB184">
            <v>0.20098290896088866</v>
          </cell>
          <cell r="AC184">
            <v>0.46501047728955075</v>
          </cell>
          <cell r="AD184">
            <v>0.72903804561821284</v>
          </cell>
          <cell r="AF184" t="e">
            <v>#NAME?</v>
          </cell>
          <cell r="AG184" t="e">
            <v>#NAME?</v>
          </cell>
          <cell r="AH184" t="e">
            <v>#NAME?</v>
          </cell>
          <cell r="AI184" t="e">
            <v>#NAME?</v>
          </cell>
          <cell r="AJ184" t="e">
            <v>#NAME?</v>
          </cell>
          <cell r="AK184" t="e">
            <v>#NAME?</v>
          </cell>
          <cell r="AL184" t="e">
            <v>#NAME?</v>
          </cell>
          <cell r="AN184" t="e">
            <v>#NAME?</v>
          </cell>
          <cell r="AO184" t="e">
            <v>#NAME?</v>
          </cell>
          <cell r="AP184" t="e">
            <v>#NAME?</v>
          </cell>
          <cell r="AQ184" t="e">
            <v>#NAME?</v>
          </cell>
          <cell r="AR184" t="e">
            <v>#NAME?</v>
          </cell>
          <cell r="AS184" t="e">
            <v>#NAME?</v>
          </cell>
          <cell r="AT184" t="e">
            <v>#NAME?</v>
          </cell>
          <cell r="AV184" t="e">
            <v>#NAME?</v>
          </cell>
          <cell r="AW184" t="e">
            <v>#NAME?</v>
          </cell>
          <cell r="AX184" t="e">
            <v>#NAME?</v>
          </cell>
          <cell r="AY184" t="e">
            <v>#NAME?</v>
          </cell>
          <cell r="AZ184" t="e">
            <v>#NAME?</v>
          </cell>
          <cell r="BA184" t="e">
            <v>#NAME?</v>
          </cell>
          <cell r="BB184" t="e">
            <v>#NAME?</v>
          </cell>
          <cell r="BC184" t="e">
            <v>#NAME?</v>
          </cell>
          <cell r="BD184" t="e">
            <v>#NAME?</v>
          </cell>
          <cell r="BE184" t="e">
            <v>#NAME?</v>
          </cell>
          <cell r="BG184" t="e">
            <v>#NAME?</v>
          </cell>
          <cell r="BH184" t="e">
            <v>#NAME?</v>
          </cell>
          <cell r="BJ184" t="e">
            <v>#NAME?</v>
          </cell>
          <cell r="BK184" t="e">
            <v>#NAME?</v>
          </cell>
        </row>
        <row r="185">
          <cell r="A185">
            <v>39233</v>
          </cell>
          <cell r="B185">
            <v>17.009269561602952</v>
          </cell>
          <cell r="C185">
            <v>4.639368627280942</v>
          </cell>
          <cell r="D185">
            <v>13.703478964401295</v>
          </cell>
          <cell r="E185">
            <v>0.98880000000000001</v>
          </cell>
          <cell r="F185">
            <v>13.55</v>
          </cell>
          <cell r="G185">
            <v>81.568408000000005</v>
          </cell>
          <cell r="H185">
            <v>1105.2519284000002</v>
          </cell>
          <cell r="I185" t="e">
            <v>#NAME?</v>
          </cell>
          <cell r="K185" t="e">
            <v>#NAME?</v>
          </cell>
          <cell r="L185">
            <v>0.67609590291976929</v>
          </cell>
          <cell r="M185">
            <v>0.67609590291976929</v>
          </cell>
          <cell r="N185">
            <v>20.268543124166005</v>
          </cell>
          <cell r="O185">
            <v>7.3958989979453715</v>
          </cell>
          <cell r="P185">
            <v>11.044758859065741</v>
          </cell>
          <cell r="Q185">
            <v>14.693618720186111</v>
          </cell>
          <cell r="R185">
            <v>18.34247858130648</v>
          </cell>
          <cell r="S185">
            <v>21.991338442426851</v>
          </cell>
          <cell r="U185">
            <v>0.19161749131900407</v>
          </cell>
          <cell r="V185">
            <v>0.17309537420876039</v>
          </cell>
          <cell r="X185">
            <v>15.944698884238822</v>
          </cell>
          <cell r="Y185">
            <v>0.27117754128309457</v>
          </cell>
          <cell r="Z185">
            <v>-0.32707222769643551</v>
          </cell>
          <cell r="AA185">
            <v>-6.3044659367773426E-2</v>
          </cell>
          <cell r="AB185">
            <v>0.20098290896088866</v>
          </cell>
          <cell r="AC185">
            <v>0.46501047728955075</v>
          </cell>
          <cell r="AD185">
            <v>0.72903804561821284</v>
          </cell>
          <cell r="AF185" t="e">
            <v>#NAME?</v>
          </cell>
          <cell r="AG185" t="e">
            <v>#NAME?</v>
          </cell>
          <cell r="AH185" t="e">
            <v>#NAME?</v>
          </cell>
          <cell r="AI185" t="e">
            <v>#NAME?</v>
          </cell>
          <cell r="AJ185" t="e">
            <v>#NAME?</v>
          </cell>
          <cell r="AK185" t="e">
            <v>#NAME?</v>
          </cell>
          <cell r="AL185" t="e">
            <v>#NAME?</v>
          </cell>
          <cell r="AN185" t="e">
            <v>#NAME?</v>
          </cell>
          <cell r="AO185" t="e">
            <v>#NAME?</v>
          </cell>
          <cell r="AP185" t="e">
            <v>#NAME?</v>
          </cell>
          <cell r="AQ185" t="e">
            <v>#NAME?</v>
          </cell>
          <cell r="AR185" t="e">
            <v>#NAME?</v>
          </cell>
          <cell r="AS185" t="e">
            <v>#NAME?</v>
          </cell>
          <cell r="AT185" t="e">
            <v>#NAME?</v>
          </cell>
          <cell r="AV185" t="e">
            <v>#NAME?</v>
          </cell>
          <cell r="AW185" t="e">
            <v>#NAME?</v>
          </cell>
          <cell r="AX185" t="e">
            <v>#NAME?</v>
          </cell>
          <cell r="AY185" t="e">
            <v>#NAME?</v>
          </cell>
          <cell r="AZ185" t="e">
            <v>#NAME?</v>
          </cell>
          <cell r="BA185" t="e">
            <v>#NAME?</v>
          </cell>
          <cell r="BB185" t="e">
            <v>#NAME?</v>
          </cell>
          <cell r="BC185" t="e">
            <v>#NAME?</v>
          </cell>
          <cell r="BD185" t="e">
            <v>#NAME?</v>
          </cell>
          <cell r="BE185" t="e">
            <v>#NAME?</v>
          </cell>
          <cell r="BG185" t="e">
            <v>#NAME?</v>
          </cell>
          <cell r="BH185" t="e">
            <v>#NAME?</v>
          </cell>
          <cell r="BJ185" t="e">
            <v>#NAME?</v>
          </cell>
          <cell r="BK185" t="e">
            <v>#NAME?</v>
          </cell>
        </row>
        <row r="186">
          <cell r="A186">
            <v>39263</v>
          </cell>
          <cell r="B186">
            <v>16.921258216202528</v>
          </cell>
          <cell r="C186">
            <v>4.6465720520191924</v>
          </cell>
          <cell r="D186">
            <v>14.735032362459547</v>
          </cell>
          <cell r="E186">
            <v>0.98880000000000001</v>
          </cell>
          <cell r="F186">
            <v>14.57</v>
          </cell>
          <cell r="G186">
            <v>83.052531999999999</v>
          </cell>
          <cell r="H186">
            <v>1210.07539124</v>
          </cell>
          <cell r="I186" t="e">
            <v>#NAME?</v>
          </cell>
          <cell r="K186" t="e">
            <v>#NAME?</v>
          </cell>
          <cell r="L186">
            <v>0.72699999809265137</v>
          </cell>
          <cell r="M186">
            <v>0.72699999809265137</v>
          </cell>
          <cell r="N186">
            <v>20.268270152844849</v>
          </cell>
          <cell r="O186">
            <v>7.3958989979453715</v>
          </cell>
          <cell r="P186">
            <v>11.044758859065741</v>
          </cell>
          <cell r="Q186">
            <v>14.693618720186111</v>
          </cell>
          <cell r="R186">
            <v>18.34247858130648</v>
          </cell>
          <cell r="S186">
            <v>21.991338442426851</v>
          </cell>
          <cell r="U186">
            <v>0.19779923536876676</v>
          </cell>
          <cell r="V186">
            <v>0.17309537420876039</v>
          </cell>
          <cell r="X186">
            <v>15.809685119037745</v>
          </cell>
          <cell r="Y186">
            <v>0.28201605536331353</v>
          </cell>
          <cell r="Z186">
            <v>-0.32707222769643551</v>
          </cell>
          <cell r="AA186">
            <v>-6.3044659367773426E-2</v>
          </cell>
          <cell r="AB186">
            <v>0.20098290896088866</v>
          </cell>
          <cell r="AC186">
            <v>0.46501047728955075</v>
          </cell>
          <cell r="AD186">
            <v>0.72903804561821284</v>
          </cell>
          <cell r="AF186" t="e">
            <v>#NAME?</v>
          </cell>
          <cell r="AG186" t="e">
            <v>#NAME?</v>
          </cell>
          <cell r="AH186" t="e">
            <v>#NAME?</v>
          </cell>
          <cell r="AI186" t="e">
            <v>#NAME?</v>
          </cell>
          <cell r="AJ186" t="e">
            <v>#NAME?</v>
          </cell>
          <cell r="AK186" t="e">
            <v>#NAME?</v>
          </cell>
          <cell r="AL186" t="e">
            <v>#NAME?</v>
          </cell>
          <cell r="AN186" t="e">
            <v>#NAME?</v>
          </cell>
          <cell r="AO186" t="e">
            <v>#NAME?</v>
          </cell>
          <cell r="AP186" t="e">
            <v>#NAME?</v>
          </cell>
          <cell r="AQ186" t="e">
            <v>#NAME?</v>
          </cell>
          <cell r="AR186" t="e">
            <v>#NAME?</v>
          </cell>
          <cell r="AS186" t="e">
            <v>#NAME?</v>
          </cell>
          <cell r="AT186" t="e">
            <v>#NAME?</v>
          </cell>
          <cell r="AV186" t="e">
            <v>#NAME?</v>
          </cell>
          <cell r="AW186" t="e">
            <v>#NAME?</v>
          </cell>
          <cell r="AX186" t="e">
            <v>#NAME?</v>
          </cell>
          <cell r="AY186" t="e">
            <v>#NAME?</v>
          </cell>
          <cell r="AZ186" t="e">
            <v>#NAME?</v>
          </cell>
          <cell r="BA186" t="e">
            <v>#NAME?</v>
          </cell>
          <cell r="BB186" t="e">
            <v>#NAME?</v>
          </cell>
          <cell r="BC186" t="e">
            <v>#NAME?</v>
          </cell>
          <cell r="BD186" t="e">
            <v>#NAME?</v>
          </cell>
          <cell r="BE186" t="e">
            <v>#NAME?</v>
          </cell>
          <cell r="BG186" t="e">
            <v>#NAME?</v>
          </cell>
          <cell r="BH186" t="e">
            <v>#NAME?</v>
          </cell>
          <cell r="BJ186" t="e">
            <v>#NAME?</v>
          </cell>
          <cell r="BK186" t="e">
            <v>#NAME?</v>
          </cell>
        </row>
        <row r="187">
          <cell r="A187">
            <v>39294</v>
          </cell>
          <cell r="B187">
            <v>16.116885989743814</v>
          </cell>
          <cell r="C187">
            <v>4.85187312352185</v>
          </cell>
          <cell r="D187">
            <v>16.585760517799354</v>
          </cell>
          <cell r="E187">
            <v>0.98880000000000001</v>
          </cell>
          <cell r="F187">
            <v>16.400000000000002</v>
          </cell>
          <cell r="G187">
            <v>83.052531999999999</v>
          </cell>
          <cell r="H187">
            <v>1362.0615248000001</v>
          </cell>
          <cell r="I187" t="e">
            <v>#NAME?</v>
          </cell>
          <cell r="K187" t="e">
            <v>#NAME?</v>
          </cell>
          <cell r="L187">
            <v>0.7338794469833374</v>
          </cell>
          <cell r="M187">
            <v>0.7338794469833374</v>
          </cell>
          <cell r="N187">
            <v>22.600115844606737</v>
          </cell>
          <cell r="O187">
            <v>7.3958989979453715</v>
          </cell>
          <cell r="P187">
            <v>11.044758859065741</v>
          </cell>
          <cell r="Q187">
            <v>14.693618720186111</v>
          </cell>
          <cell r="R187">
            <v>18.34247858130648</v>
          </cell>
          <cell r="S187">
            <v>21.991338442426851</v>
          </cell>
          <cell r="U187">
            <v>0.40226318278782935</v>
          </cell>
          <cell r="V187">
            <v>0.17309537420876039</v>
          </cell>
          <cell r="X187">
            <v>15.508205769902009</v>
          </cell>
          <cell r="Y187">
            <v>0.45730048852385963</v>
          </cell>
          <cell r="Z187">
            <v>-0.32707222769643551</v>
          </cell>
          <cell r="AA187">
            <v>-6.3044659367773426E-2</v>
          </cell>
          <cell r="AB187">
            <v>0.20098290896088866</v>
          </cell>
          <cell r="AC187">
            <v>0.46501047728955075</v>
          </cell>
          <cell r="AD187">
            <v>0.72903804561821284</v>
          </cell>
          <cell r="AF187" t="e">
            <v>#NAME?</v>
          </cell>
          <cell r="AG187" t="e">
            <v>#NAME?</v>
          </cell>
          <cell r="AH187" t="e">
            <v>#NAME?</v>
          </cell>
          <cell r="AI187" t="e">
            <v>#NAME?</v>
          </cell>
          <cell r="AJ187" t="e">
            <v>#NAME?</v>
          </cell>
          <cell r="AK187" t="e">
            <v>#NAME?</v>
          </cell>
          <cell r="AL187" t="e">
            <v>#NAME?</v>
          </cell>
          <cell r="AN187" t="e">
            <v>#NAME?</v>
          </cell>
          <cell r="AO187" t="e">
            <v>#NAME?</v>
          </cell>
          <cell r="AP187" t="e">
            <v>#NAME?</v>
          </cell>
          <cell r="AQ187" t="e">
            <v>#NAME?</v>
          </cell>
          <cell r="AR187" t="e">
            <v>#NAME?</v>
          </cell>
          <cell r="AS187" t="e">
            <v>#NAME?</v>
          </cell>
          <cell r="AT187" t="e">
            <v>#NAME?</v>
          </cell>
          <cell r="AV187" t="e">
            <v>#NAME?</v>
          </cell>
          <cell r="AW187" t="e">
            <v>#NAME?</v>
          </cell>
          <cell r="AX187" t="e">
            <v>#NAME?</v>
          </cell>
          <cell r="AY187" t="e">
            <v>#NAME?</v>
          </cell>
          <cell r="AZ187" t="e">
            <v>#NAME?</v>
          </cell>
          <cell r="BA187" t="e">
            <v>#NAME?</v>
          </cell>
          <cell r="BB187" t="e">
            <v>#NAME?</v>
          </cell>
          <cell r="BC187" t="e">
            <v>#NAME?</v>
          </cell>
          <cell r="BD187" t="e">
            <v>#NAME?</v>
          </cell>
          <cell r="BE187" t="e">
            <v>#NAME?</v>
          </cell>
          <cell r="BG187" t="e">
            <v>#NAME?</v>
          </cell>
          <cell r="BH187" t="e">
            <v>#NAME?</v>
          </cell>
          <cell r="BJ187" t="e">
            <v>#NAME?</v>
          </cell>
          <cell r="BK187" t="e">
            <v>#NAME?</v>
          </cell>
        </row>
        <row r="188">
          <cell r="A188">
            <v>39325</v>
          </cell>
          <cell r="B188">
            <v>15.722699418927936</v>
          </cell>
          <cell r="C188">
            <v>5.1054237634271145</v>
          </cell>
          <cell r="D188">
            <v>13.5</v>
          </cell>
          <cell r="E188">
            <v>1</v>
          </cell>
          <cell r="F188">
            <v>13.5</v>
          </cell>
          <cell r="G188">
            <v>83.052531999999999</v>
          </cell>
          <cell r="H188">
            <v>1121.2091820000001</v>
          </cell>
          <cell r="I188" t="e">
            <v>#NAME?</v>
          </cell>
          <cell r="K188" t="e">
            <v>#NAME?</v>
          </cell>
          <cell r="L188">
            <v>0.74075889587402344</v>
          </cell>
          <cell r="M188">
            <v>0.74075889587402344</v>
          </cell>
          <cell r="N188">
            <v>18.224553326587206</v>
          </cell>
          <cell r="O188">
            <v>7.3958989979453715</v>
          </cell>
          <cell r="P188">
            <v>11.044758859065741</v>
          </cell>
          <cell r="Q188">
            <v>14.693618720186111</v>
          </cell>
          <cell r="R188">
            <v>18.34247858130648</v>
          </cell>
          <cell r="S188">
            <v>21.991338442426851</v>
          </cell>
          <cell r="U188">
            <v>0.15912368741511318</v>
          </cell>
          <cell r="V188">
            <v>0.17309537420876039</v>
          </cell>
          <cell r="X188">
            <v>15.125704953248153</v>
          </cell>
          <cell r="Y188">
            <v>0.20487298826185252</v>
          </cell>
          <cell r="Z188">
            <v>-0.32707222769643551</v>
          </cell>
          <cell r="AA188">
            <v>-6.3044659367773426E-2</v>
          </cell>
          <cell r="AB188">
            <v>0.20098290896088866</v>
          </cell>
          <cell r="AC188">
            <v>0.46501047728955075</v>
          </cell>
          <cell r="AD188">
            <v>0.72903804561821284</v>
          </cell>
          <cell r="AF188" t="e">
            <v>#NAME?</v>
          </cell>
          <cell r="AG188" t="e">
            <v>#NAME?</v>
          </cell>
          <cell r="AH188" t="e">
            <v>#NAME?</v>
          </cell>
          <cell r="AI188" t="e">
            <v>#NAME?</v>
          </cell>
          <cell r="AJ188" t="e">
            <v>#NAME?</v>
          </cell>
          <cell r="AK188" t="e">
            <v>#NAME?</v>
          </cell>
          <cell r="AL188" t="e">
            <v>#NAME?</v>
          </cell>
          <cell r="AN188" t="e">
            <v>#NAME?</v>
          </cell>
          <cell r="AO188" t="e">
            <v>#NAME?</v>
          </cell>
          <cell r="AP188" t="e">
            <v>#NAME?</v>
          </cell>
          <cell r="AQ188" t="e">
            <v>#NAME?</v>
          </cell>
          <cell r="AR188" t="e">
            <v>#NAME?</v>
          </cell>
          <cell r="AS188" t="e">
            <v>#NAME?</v>
          </cell>
          <cell r="AT188" t="e">
            <v>#NAME?</v>
          </cell>
          <cell r="AV188" t="e">
            <v>#NAME?</v>
          </cell>
          <cell r="AW188" t="e">
            <v>#NAME?</v>
          </cell>
          <cell r="AX188" t="e">
            <v>#NAME?</v>
          </cell>
          <cell r="AY188" t="e">
            <v>#NAME?</v>
          </cell>
          <cell r="AZ188" t="e">
            <v>#NAME?</v>
          </cell>
          <cell r="BA188" t="e">
            <v>#NAME?</v>
          </cell>
          <cell r="BB188" t="e">
            <v>#NAME?</v>
          </cell>
          <cell r="BC188" t="e">
            <v>#NAME?</v>
          </cell>
          <cell r="BD188" t="e">
            <v>#NAME?</v>
          </cell>
          <cell r="BE188" t="e">
            <v>#NAME?</v>
          </cell>
          <cell r="BG188" t="e">
            <v>#NAME?</v>
          </cell>
          <cell r="BH188" t="e">
            <v>#NAME?</v>
          </cell>
          <cell r="BJ188" t="e">
            <v>#NAME?</v>
          </cell>
          <cell r="BK188" t="e">
            <v>#NAME?</v>
          </cell>
        </row>
        <row r="189">
          <cell r="A189">
            <v>39355</v>
          </cell>
          <cell r="B189">
            <v>15.81428895545265</v>
          </cell>
          <cell r="C189">
            <v>5.0974246854074545</v>
          </cell>
          <cell r="D189">
            <v>14.5</v>
          </cell>
          <cell r="E189">
            <v>1</v>
          </cell>
          <cell r="F189">
            <v>14.5</v>
          </cell>
          <cell r="G189">
            <v>83.052531999999999</v>
          </cell>
          <cell r="H189">
            <v>1204.261714</v>
          </cell>
          <cell r="I189" t="e">
            <v>#NAME?</v>
          </cell>
          <cell r="K189" t="e">
            <v>#NAME?</v>
          </cell>
          <cell r="L189">
            <v>0.7571643590927124</v>
          </cell>
          <cell r="M189">
            <v>0.7571643590927124</v>
          </cell>
          <cell r="N189">
            <v>19.150399547827263</v>
          </cell>
          <cell r="O189">
            <v>7.3958989979453715</v>
          </cell>
          <cell r="P189">
            <v>11.044758859065741</v>
          </cell>
          <cell r="Q189">
            <v>14.693618720186111</v>
          </cell>
          <cell r="R189">
            <v>18.34247858130648</v>
          </cell>
          <cell r="S189">
            <v>21.991338442426851</v>
          </cell>
          <cell r="U189">
            <v>0.21095545944380545</v>
          </cell>
          <cell r="V189">
            <v>0.17309537420876039</v>
          </cell>
          <cell r="X189">
            <v>16.000901179501959</v>
          </cell>
          <cell r="Y189">
            <v>0.19683256167846253</v>
          </cell>
          <cell r="Z189">
            <v>-0.32707222769643551</v>
          </cell>
          <cell r="AA189">
            <v>-6.3044659367773426E-2</v>
          </cell>
          <cell r="AB189">
            <v>0.20098290896088866</v>
          </cell>
          <cell r="AC189">
            <v>0.46501047728955075</v>
          </cell>
          <cell r="AD189">
            <v>0.72903804561821284</v>
          </cell>
          <cell r="AF189" t="e">
            <v>#NAME?</v>
          </cell>
          <cell r="AG189" t="e">
            <v>#NAME?</v>
          </cell>
          <cell r="AH189" t="e">
            <v>#NAME?</v>
          </cell>
          <cell r="AI189" t="e">
            <v>#NAME?</v>
          </cell>
          <cell r="AJ189" t="e">
            <v>#NAME?</v>
          </cell>
          <cell r="AK189" t="e">
            <v>#NAME?</v>
          </cell>
          <cell r="AL189" t="e">
            <v>#NAME?</v>
          </cell>
          <cell r="AN189" t="e">
            <v>#NAME?</v>
          </cell>
          <cell r="AO189" t="e">
            <v>#NAME?</v>
          </cell>
          <cell r="AP189" t="e">
            <v>#NAME?</v>
          </cell>
          <cell r="AQ189" t="e">
            <v>#NAME?</v>
          </cell>
          <cell r="AR189" t="e">
            <v>#NAME?</v>
          </cell>
          <cell r="AS189" t="e">
            <v>#NAME?</v>
          </cell>
          <cell r="AT189" t="e">
            <v>#NAME?</v>
          </cell>
          <cell r="AV189" t="e">
            <v>#NAME?</v>
          </cell>
          <cell r="AW189" t="e">
            <v>#NAME?</v>
          </cell>
          <cell r="AX189" t="e">
            <v>#NAME?</v>
          </cell>
          <cell r="AY189" t="e">
            <v>#NAME?</v>
          </cell>
          <cell r="AZ189" t="e">
            <v>#NAME?</v>
          </cell>
          <cell r="BA189" t="e">
            <v>#NAME?</v>
          </cell>
          <cell r="BB189" t="e">
            <v>#NAME?</v>
          </cell>
          <cell r="BC189" t="e">
            <v>#NAME?</v>
          </cell>
          <cell r="BD189" t="e">
            <v>#NAME?</v>
          </cell>
          <cell r="BE189" t="e">
            <v>#NAME?</v>
          </cell>
          <cell r="BG189" t="e">
            <v>#NAME?</v>
          </cell>
          <cell r="BH189" t="e">
            <v>#NAME?</v>
          </cell>
          <cell r="BJ189" t="e">
            <v>#NAME?</v>
          </cell>
          <cell r="BK189" t="e">
            <v>#NAME?</v>
          </cell>
        </row>
        <row r="190">
          <cell r="A190">
            <v>39386</v>
          </cell>
          <cell r="B190">
            <v>16.29062925108077</v>
          </cell>
          <cell r="C190">
            <v>4.9502860034060472</v>
          </cell>
          <cell r="D190">
            <v>16.84</v>
          </cell>
          <cell r="E190">
            <v>1</v>
          </cell>
          <cell r="F190">
            <v>16.84</v>
          </cell>
          <cell r="G190">
            <v>83.052531999999999</v>
          </cell>
          <cell r="H190">
            <v>1398.60463888</v>
          </cell>
          <cell r="I190" t="e">
            <v>#NAME?</v>
          </cell>
          <cell r="K190" t="e">
            <v>#NAME?</v>
          </cell>
          <cell r="L190">
            <v>0.79401367902755737</v>
          </cell>
          <cell r="M190">
            <v>0.79401367902755737</v>
          </cell>
          <cell r="N190">
            <v>21.208702626665382</v>
          </cell>
          <cell r="O190">
            <v>7.3958989979453715</v>
          </cell>
          <cell r="P190">
            <v>11.044758859065741</v>
          </cell>
          <cell r="Q190">
            <v>14.693618720186111</v>
          </cell>
          <cell r="R190">
            <v>18.34247858130648</v>
          </cell>
          <cell r="S190">
            <v>21.991338442426851</v>
          </cell>
          <cell r="U190">
            <v>0.30189585066263369</v>
          </cell>
          <cell r="V190">
            <v>0.17309537420876039</v>
          </cell>
          <cell r="X190">
            <v>17.767897530071401</v>
          </cell>
          <cell r="Y190">
            <v>0.19365291198750811</v>
          </cell>
          <cell r="Z190">
            <v>-0.32707222769643551</v>
          </cell>
          <cell r="AA190">
            <v>-6.3044659367773426E-2</v>
          </cell>
          <cell r="AB190">
            <v>0.20098290896088866</v>
          </cell>
          <cell r="AC190">
            <v>0.46501047728955075</v>
          </cell>
          <cell r="AD190">
            <v>0.72903804561821284</v>
          </cell>
          <cell r="AF190" t="e">
            <v>#NAME?</v>
          </cell>
          <cell r="AG190" t="e">
            <v>#NAME?</v>
          </cell>
          <cell r="AH190" t="e">
            <v>#NAME?</v>
          </cell>
          <cell r="AI190" t="e">
            <v>#NAME?</v>
          </cell>
          <cell r="AJ190" t="e">
            <v>#NAME?</v>
          </cell>
          <cell r="AK190" t="e">
            <v>#NAME?</v>
          </cell>
          <cell r="AL190" t="e">
            <v>#NAME?</v>
          </cell>
          <cell r="AN190" t="e">
            <v>#NAME?</v>
          </cell>
          <cell r="AO190" t="e">
            <v>#NAME?</v>
          </cell>
          <cell r="AP190" t="e">
            <v>#NAME?</v>
          </cell>
          <cell r="AQ190" t="e">
            <v>#NAME?</v>
          </cell>
          <cell r="AR190" t="e">
            <v>#NAME?</v>
          </cell>
          <cell r="AS190" t="e">
            <v>#NAME?</v>
          </cell>
          <cell r="AT190" t="e">
            <v>#NAME?</v>
          </cell>
          <cell r="AV190" t="e">
            <v>#NAME?</v>
          </cell>
          <cell r="AW190" t="e">
            <v>#NAME?</v>
          </cell>
          <cell r="AX190" t="e">
            <v>#NAME?</v>
          </cell>
          <cell r="AY190" t="e">
            <v>#NAME?</v>
          </cell>
          <cell r="AZ190" t="e">
            <v>#NAME?</v>
          </cell>
          <cell r="BA190" t="e">
            <v>#NAME?</v>
          </cell>
          <cell r="BB190" t="e">
            <v>#NAME?</v>
          </cell>
          <cell r="BC190" t="e">
            <v>#NAME?</v>
          </cell>
          <cell r="BD190" t="e">
            <v>#NAME?</v>
          </cell>
          <cell r="BE190" t="e">
            <v>#NAME?</v>
          </cell>
          <cell r="BG190" t="e">
            <v>#NAME?</v>
          </cell>
          <cell r="BH190" t="e">
            <v>#NAME?</v>
          </cell>
          <cell r="BJ190" t="e">
            <v>#NAME?</v>
          </cell>
          <cell r="BK190" t="e">
            <v>#NAME?</v>
          </cell>
        </row>
        <row r="191">
          <cell r="A191">
            <v>39416</v>
          </cell>
          <cell r="B191">
            <v>15.696904966840087</v>
          </cell>
          <cell r="C191">
            <v>5.0883011611730211</v>
          </cell>
          <cell r="D191">
            <v>14.61</v>
          </cell>
          <cell r="E191">
            <v>1</v>
          </cell>
          <cell r="F191">
            <v>14.61</v>
          </cell>
          <cell r="G191">
            <v>83.052531999999999</v>
          </cell>
          <cell r="H191">
            <v>1213.39749252</v>
          </cell>
          <cell r="I191" t="e">
            <v>#NAME?</v>
          </cell>
          <cell r="K191" t="e">
            <v>#NAME?</v>
          </cell>
          <cell r="L191">
            <v>0.80182194709777832</v>
          </cell>
          <cell r="M191">
            <v>0.80182194709777832</v>
          </cell>
          <cell r="N191">
            <v>18.221002870875996</v>
          </cell>
          <cell r="O191">
            <v>7.3958989979453715</v>
          </cell>
          <cell r="P191">
            <v>11.044758859065741</v>
          </cell>
          <cell r="Q191">
            <v>14.693618720186111</v>
          </cell>
          <cell r="R191">
            <v>18.34247858130648</v>
          </cell>
          <cell r="S191">
            <v>21.991338442426851</v>
          </cell>
          <cell r="U191">
            <v>0.16080226703086353</v>
          </cell>
          <cell r="V191">
            <v>0.17309537420876039</v>
          </cell>
          <cell r="X191">
            <v>16.886626169774335</v>
          </cell>
          <cell r="Y191">
            <v>7.9019733585983243E-2</v>
          </cell>
          <cell r="Z191">
            <v>-0.32707222769643551</v>
          </cell>
          <cell r="AA191">
            <v>-6.3044659367773426E-2</v>
          </cell>
          <cell r="AB191">
            <v>0.20098290896088866</v>
          </cell>
          <cell r="AC191">
            <v>0.46501047728955075</v>
          </cell>
          <cell r="AD191">
            <v>0.72903804561821284</v>
          </cell>
          <cell r="AF191" t="e">
            <v>#NAME?</v>
          </cell>
          <cell r="AG191" t="e">
            <v>#NAME?</v>
          </cell>
          <cell r="AH191" t="e">
            <v>#NAME?</v>
          </cell>
          <cell r="AI191" t="e">
            <v>#NAME?</v>
          </cell>
          <cell r="AJ191" t="e">
            <v>#NAME?</v>
          </cell>
          <cell r="AK191" t="e">
            <v>#NAME?</v>
          </cell>
          <cell r="AL191" t="e">
            <v>#NAME?</v>
          </cell>
          <cell r="AN191" t="e">
            <v>#NAME?</v>
          </cell>
          <cell r="AO191" t="e">
            <v>#NAME?</v>
          </cell>
          <cell r="AP191" t="e">
            <v>#NAME?</v>
          </cell>
          <cell r="AQ191" t="e">
            <v>#NAME?</v>
          </cell>
          <cell r="AR191" t="e">
            <v>#NAME?</v>
          </cell>
          <cell r="AS191" t="e">
            <v>#NAME?</v>
          </cell>
          <cell r="AT191" t="e">
            <v>#NAME?</v>
          </cell>
          <cell r="AV191" t="e">
            <v>#NAME?</v>
          </cell>
          <cell r="AW191" t="e">
            <v>#NAME?</v>
          </cell>
          <cell r="AX191" t="e">
            <v>#NAME?</v>
          </cell>
          <cell r="AY191" t="e">
            <v>#NAME?</v>
          </cell>
          <cell r="AZ191" t="e">
            <v>#NAME?</v>
          </cell>
          <cell r="BA191" t="e">
            <v>#NAME?</v>
          </cell>
          <cell r="BB191" t="e">
            <v>#NAME?</v>
          </cell>
          <cell r="BC191" t="e">
            <v>#NAME?</v>
          </cell>
          <cell r="BD191" t="e">
            <v>#NAME?</v>
          </cell>
          <cell r="BE191" t="e">
            <v>#NAME?</v>
          </cell>
          <cell r="BG191" t="e">
            <v>#NAME?</v>
          </cell>
          <cell r="BH191" t="e">
            <v>#NAME?</v>
          </cell>
          <cell r="BJ191" t="e">
            <v>#NAME?</v>
          </cell>
          <cell r="BK191" t="e">
            <v>#NAME?</v>
          </cell>
        </row>
        <row r="192">
          <cell r="A192">
            <v>39447</v>
          </cell>
          <cell r="B192">
            <v>14.989372474865624</v>
          </cell>
          <cell r="C192">
            <v>5.4301084271860862</v>
          </cell>
          <cell r="D192">
            <v>13.790000000000001</v>
          </cell>
          <cell r="E192">
            <v>1</v>
          </cell>
          <cell r="F192">
            <v>13.790000000000001</v>
          </cell>
          <cell r="G192">
            <v>83.052531999999999</v>
          </cell>
          <cell r="H192">
            <v>1145.2944162800002</v>
          </cell>
          <cell r="I192" t="e">
            <v>#NAME?</v>
          </cell>
          <cell r="K192" t="e">
            <v>#NAME?</v>
          </cell>
          <cell r="L192">
            <v>0.78477595628415298</v>
          </cell>
          <cell r="M192">
            <v>0.78477595628415298</v>
          </cell>
          <cell r="N192">
            <v>17.571894105031546</v>
          </cell>
          <cell r="O192">
            <v>7.3958989979453715</v>
          </cell>
          <cell r="P192">
            <v>11.044758859065741</v>
          </cell>
          <cell r="Q192">
            <v>14.693618720186111</v>
          </cell>
          <cell r="R192">
            <v>18.34247858130648</v>
          </cell>
          <cell r="S192">
            <v>21.991338442426851</v>
          </cell>
          <cell r="U192">
            <v>0.17229017655651213</v>
          </cell>
          <cell r="V192">
            <v>0.17309537420876039</v>
          </cell>
          <cell r="X192">
            <v>15.618749291139205</v>
          </cell>
          <cell r="Y192">
            <v>0.12505129428003525</v>
          </cell>
          <cell r="Z192">
            <v>-0.32707222769643551</v>
          </cell>
          <cell r="AA192">
            <v>-6.3044659367773426E-2</v>
          </cell>
          <cell r="AB192">
            <v>0.20098290896088866</v>
          </cell>
          <cell r="AC192">
            <v>0.46501047728955075</v>
          </cell>
          <cell r="AD192">
            <v>0.72903804561821284</v>
          </cell>
          <cell r="AF192" t="e">
            <v>#NAME?</v>
          </cell>
          <cell r="AG192" t="e">
            <v>#NAME?</v>
          </cell>
          <cell r="AH192" t="e">
            <v>#NAME?</v>
          </cell>
          <cell r="AI192" t="e">
            <v>#NAME?</v>
          </cell>
          <cell r="AJ192" t="e">
            <v>#NAME?</v>
          </cell>
          <cell r="AK192" t="e">
            <v>#NAME?</v>
          </cell>
          <cell r="AL192" t="e">
            <v>#NAME?</v>
          </cell>
          <cell r="AN192" t="e">
            <v>#NAME?</v>
          </cell>
          <cell r="AO192" t="e">
            <v>#NAME?</v>
          </cell>
          <cell r="AP192" t="e">
            <v>#NAME?</v>
          </cell>
          <cell r="AQ192" t="e">
            <v>#NAME?</v>
          </cell>
          <cell r="AR192" t="e">
            <v>#NAME?</v>
          </cell>
          <cell r="AS192" t="e">
            <v>#NAME?</v>
          </cell>
          <cell r="AT192" t="e">
            <v>#NAME?</v>
          </cell>
          <cell r="AV192" t="e">
            <v>#NAME?</v>
          </cell>
          <cell r="AW192" t="e">
            <v>#NAME?</v>
          </cell>
          <cell r="AX192" t="e">
            <v>#NAME?</v>
          </cell>
          <cell r="AY192" t="e">
            <v>#NAME?</v>
          </cell>
          <cell r="AZ192" t="e">
            <v>#NAME?</v>
          </cell>
          <cell r="BA192" t="e">
            <v>#NAME?</v>
          </cell>
          <cell r="BB192" t="e">
            <v>#NAME?</v>
          </cell>
          <cell r="BC192" t="e">
            <v>#NAME?</v>
          </cell>
          <cell r="BD192" t="e">
            <v>#NAME?</v>
          </cell>
          <cell r="BE192" t="e">
            <v>#NAME?</v>
          </cell>
          <cell r="BG192" t="e">
            <v>#NAME?</v>
          </cell>
          <cell r="BH192" t="e">
            <v>#NAME?</v>
          </cell>
          <cell r="BJ192" t="e">
            <v>#NAME?</v>
          </cell>
          <cell r="BK192" t="e">
            <v>#NAME?</v>
          </cell>
        </row>
        <row r="193">
          <cell r="A193">
            <v>39478</v>
          </cell>
          <cell r="B193">
            <v>12.517152452673628</v>
          </cell>
          <cell r="C193">
            <v>6.4853261685134944</v>
          </cell>
          <cell r="D193">
            <v>11.42</v>
          </cell>
          <cell r="E193">
            <v>1</v>
          </cell>
          <cell r="F193">
            <v>11.42</v>
          </cell>
          <cell r="G193">
            <v>83.052531999999999</v>
          </cell>
          <cell r="H193">
            <v>948.45991544000003</v>
          </cell>
          <cell r="I193" t="e">
            <v>#NAME?</v>
          </cell>
          <cell r="K193" t="e">
            <v>#NAME?</v>
          </cell>
          <cell r="L193">
            <v>0.79780601092896175</v>
          </cell>
          <cell r="M193">
            <v>0.79780601092896175</v>
          </cell>
          <cell r="N193">
            <v>14.314256653321781</v>
          </cell>
          <cell r="O193">
            <v>7.3958989979453715</v>
          </cell>
          <cell r="P193">
            <v>11.044758859065741</v>
          </cell>
          <cell r="Q193">
            <v>14.693618720186111</v>
          </cell>
          <cell r="R193">
            <v>18.34247858130648</v>
          </cell>
          <cell r="S193">
            <v>21.991338442426851</v>
          </cell>
          <cell r="U193">
            <v>0.14357132801912131</v>
          </cell>
          <cell r="V193">
            <v>0.17309537420876039</v>
          </cell>
          <cell r="X193">
            <v>12.210707969300303</v>
          </cell>
          <cell r="Y193">
            <v>0.17227082076732492</v>
          </cell>
          <cell r="Z193">
            <v>-0.32707222769643551</v>
          </cell>
          <cell r="AA193">
            <v>-6.3044659367773426E-2</v>
          </cell>
          <cell r="AB193">
            <v>0.20098290896088866</v>
          </cell>
          <cell r="AC193">
            <v>0.46501047728955075</v>
          </cell>
          <cell r="AD193">
            <v>0.72903804561821284</v>
          </cell>
          <cell r="AF193" t="e">
            <v>#NAME?</v>
          </cell>
          <cell r="AG193" t="e">
            <v>#NAME?</v>
          </cell>
          <cell r="AH193" t="e">
            <v>#NAME?</v>
          </cell>
          <cell r="AI193" t="e">
            <v>#NAME?</v>
          </cell>
          <cell r="AJ193" t="e">
            <v>#NAME?</v>
          </cell>
          <cell r="AK193" t="e">
            <v>#NAME?</v>
          </cell>
          <cell r="AL193" t="e">
            <v>#NAME?</v>
          </cell>
          <cell r="AN193" t="e">
            <v>#NAME?</v>
          </cell>
          <cell r="AO193" t="e">
            <v>#NAME?</v>
          </cell>
          <cell r="AP193" t="e">
            <v>#NAME?</v>
          </cell>
          <cell r="AQ193" t="e">
            <v>#NAME?</v>
          </cell>
          <cell r="AR193" t="e">
            <v>#NAME?</v>
          </cell>
          <cell r="AS193" t="e">
            <v>#NAME?</v>
          </cell>
          <cell r="AT193" t="e">
            <v>#NAME?</v>
          </cell>
          <cell r="AV193" t="e">
            <v>#NAME?</v>
          </cell>
          <cell r="AW193" t="e">
            <v>#NAME?</v>
          </cell>
          <cell r="AX193" t="e">
            <v>#NAME?</v>
          </cell>
          <cell r="AY193" t="e">
            <v>#NAME?</v>
          </cell>
          <cell r="AZ193" t="e">
            <v>#NAME?</v>
          </cell>
          <cell r="BA193" t="e">
            <v>#NAME?</v>
          </cell>
          <cell r="BB193" t="e">
            <v>#NAME?</v>
          </cell>
          <cell r="BC193" t="e">
            <v>#NAME?</v>
          </cell>
          <cell r="BD193" t="e">
            <v>#NAME?</v>
          </cell>
          <cell r="BE193" t="e">
            <v>#NAME?</v>
          </cell>
          <cell r="BG193" t="e">
            <v>#NAME?</v>
          </cell>
          <cell r="BH193" t="e">
            <v>#NAME?</v>
          </cell>
          <cell r="BJ193" t="e">
            <v>#NAME?</v>
          </cell>
          <cell r="BK193" t="e">
            <v>#NAME?</v>
          </cell>
        </row>
        <row r="194">
          <cell r="A194">
            <v>39507</v>
          </cell>
          <cell r="B194">
            <v>12.76507838017096</v>
          </cell>
          <cell r="C194">
            <v>6.4993883957053589</v>
          </cell>
          <cell r="D194">
            <v>12.44</v>
          </cell>
          <cell r="E194">
            <v>1</v>
          </cell>
          <cell r="F194">
            <v>12.44</v>
          </cell>
          <cell r="G194">
            <v>83.052531999999999</v>
          </cell>
          <cell r="H194">
            <v>1033.1734980799999</v>
          </cell>
          <cell r="I194" t="e">
            <v>#NAME?</v>
          </cell>
          <cell r="K194" t="e">
            <v>#NAME?</v>
          </cell>
          <cell r="L194">
            <v>0.83131506849315073</v>
          </cell>
          <cell r="M194">
            <v>0.83131506849315073</v>
          </cell>
          <cell r="N194">
            <v>14.964242164584912</v>
          </cell>
          <cell r="O194">
            <v>7.3958989979453715</v>
          </cell>
          <cell r="P194">
            <v>11.044758859065741</v>
          </cell>
          <cell r="Q194">
            <v>14.693618720186111</v>
          </cell>
          <cell r="R194">
            <v>18.34247858130648</v>
          </cell>
          <cell r="S194">
            <v>21.991338442426851</v>
          </cell>
          <cell r="U194">
            <v>0.17227969299664392</v>
          </cell>
          <cell r="V194">
            <v>0.17309537420876039</v>
          </cell>
          <cell r="X194">
            <v>12.861701683885171</v>
          </cell>
          <cell r="Y194">
            <v>0.16347296278330581</v>
          </cell>
          <cell r="Z194">
            <v>-0.32707222769643551</v>
          </cell>
          <cell r="AA194">
            <v>-6.3044659367773426E-2</v>
          </cell>
          <cell r="AB194">
            <v>0.20098290896088866</v>
          </cell>
          <cell r="AC194">
            <v>0.46501047728955075</v>
          </cell>
          <cell r="AD194">
            <v>0.72903804561821284</v>
          </cell>
          <cell r="AF194" t="e">
            <v>#NAME?</v>
          </cell>
          <cell r="AG194" t="e">
            <v>#NAME?</v>
          </cell>
          <cell r="AH194" t="e">
            <v>#NAME?</v>
          </cell>
          <cell r="AI194" t="e">
            <v>#NAME?</v>
          </cell>
          <cell r="AJ194" t="e">
            <v>#NAME?</v>
          </cell>
          <cell r="AK194" t="e">
            <v>#NAME?</v>
          </cell>
          <cell r="AL194" t="e">
            <v>#NAME?</v>
          </cell>
          <cell r="AN194" t="e">
            <v>#NAME?</v>
          </cell>
          <cell r="AO194" t="e">
            <v>#NAME?</v>
          </cell>
          <cell r="AP194" t="e">
            <v>#NAME?</v>
          </cell>
          <cell r="AQ194" t="e">
            <v>#NAME?</v>
          </cell>
          <cell r="AR194" t="e">
            <v>#NAME?</v>
          </cell>
          <cell r="AS194" t="e">
            <v>#NAME?</v>
          </cell>
          <cell r="AT194" t="e">
            <v>#NAME?</v>
          </cell>
          <cell r="AV194" t="e">
            <v>#NAME?</v>
          </cell>
          <cell r="AW194" t="e">
            <v>#NAME?</v>
          </cell>
          <cell r="AX194" t="e">
            <v>#NAME?</v>
          </cell>
          <cell r="AY194" t="e">
            <v>#NAME?</v>
          </cell>
          <cell r="AZ194" t="e">
            <v>#NAME?</v>
          </cell>
          <cell r="BA194" t="e">
            <v>#NAME?</v>
          </cell>
          <cell r="BB194" t="e">
            <v>#NAME?</v>
          </cell>
          <cell r="BC194" t="e">
            <v>#NAME?</v>
          </cell>
          <cell r="BD194" t="e">
            <v>#NAME?</v>
          </cell>
          <cell r="BE194" t="e">
            <v>#NAME?</v>
          </cell>
          <cell r="BG194" t="e">
            <v>#NAME?</v>
          </cell>
          <cell r="BH194" t="e">
            <v>#NAME?</v>
          </cell>
          <cell r="BJ194" t="e">
            <v>#NAME?</v>
          </cell>
          <cell r="BK194" t="e">
            <v>#NAME?</v>
          </cell>
        </row>
        <row r="195">
          <cell r="A195">
            <v>39538</v>
          </cell>
          <cell r="B195">
            <v>11.826078778709189</v>
          </cell>
          <cell r="C195">
            <v>6.7842425212242343</v>
          </cell>
          <cell r="D195">
            <v>13.94</v>
          </cell>
          <cell r="E195">
            <v>1</v>
          </cell>
          <cell r="F195">
            <v>13.94</v>
          </cell>
          <cell r="G195">
            <v>83.052531999999999</v>
          </cell>
          <cell r="H195">
            <v>1157.75229608</v>
          </cell>
          <cell r="I195" t="e">
            <v>#NAME?</v>
          </cell>
          <cell r="K195" t="e">
            <v>#NAME?</v>
          </cell>
          <cell r="L195">
            <v>0.84106849315068499</v>
          </cell>
          <cell r="M195">
            <v>0.84106849315068499</v>
          </cell>
          <cell r="N195">
            <v>16.574155509951463</v>
          </cell>
          <cell r="O195">
            <v>7.3958989979453715</v>
          </cell>
          <cell r="P195">
            <v>11.044758859065741</v>
          </cell>
          <cell r="Q195">
            <v>14.693618720186111</v>
          </cell>
          <cell r="R195">
            <v>18.34247858130648</v>
          </cell>
          <cell r="S195">
            <v>21.991338442426851</v>
          </cell>
          <cell r="U195">
            <v>0.40149206005547389</v>
          </cell>
          <cell r="V195">
            <v>0.17309537420876039</v>
          </cell>
          <cell r="X195">
            <v>11.472847581818614</v>
          </cell>
          <cell r="Y195">
            <v>0.44464182860905899</v>
          </cell>
          <cell r="Z195">
            <v>-0.32707222769643551</v>
          </cell>
          <cell r="AA195">
            <v>-6.3044659367773426E-2</v>
          </cell>
          <cell r="AB195">
            <v>0.20098290896088866</v>
          </cell>
          <cell r="AC195">
            <v>0.46501047728955075</v>
          </cell>
          <cell r="AD195">
            <v>0.72903804561821284</v>
          </cell>
          <cell r="AF195" t="e">
            <v>#NAME?</v>
          </cell>
          <cell r="AG195" t="e">
            <v>#NAME?</v>
          </cell>
          <cell r="AH195" t="e">
            <v>#NAME?</v>
          </cell>
          <cell r="AI195" t="e">
            <v>#NAME?</v>
          </cell>
          <cell r="AJ195" t="e">
            <v>#NAME?</v>
          </cell>
          <cell r="AK195" t="e">
            <v>#NAME?</v>
          </cell>
          <cell r="AL195" t="e">
            <v>#NAME?</v>
          </cell>
          <cell r="AN195" t="e">
            <v>#NAME?</v>
          </cell>
          <cell r="AO195" t="e">
            <v>#NAME?</v>
          </cell>
          <cell r="AP195" t="e">
            <v>#NAME?</v>
          </cell>
          <cell r="AQ195" t="e">
            <v>#NAME?</v>
          </cell>
          <cell r="AR195" t="e">
            <v>#NAME?</v>
          </cell>
          <cell r="AS195" t="e">
            <v>#NAME?</v>
          </cell>
          <cell r="AT195" t="e">
            <v>#NAME?</v>
          </cell>
          <cell r="AV195" t="e">
            <v>#NAME?</v>
          </cell>
          <cell r="AW195" t="e">
            <v>#NAME?</v>
          </cell>
          <cell r="AX195" t="e">
            <v>#NAME?</v>
          </cell>
          <cell r="AY195" t="e">
            <v>#NAME?</v>
          </cell>
          <cell r="AZ195" t="e">
            <v>#NAME?</v>
          </cell>
          <cell r="BA195" t="e">
            <v>#NAME?</v>
          </cell>
          <cell r="BB195" t="e">
            <v>#NAME?</v>
          </cell>
          <cell r="BC195" t="e">
            <v>#NAME?</v>
          </cell>
          <cell r="BD195" t="e">
            <v>#NAME?</v>
          </cell>
          <cell r="BE195" t="e">
            <v>#NAME?</v>
          </cell>
          <cell r="BG195" t="e">
            <v>#NAME?</v>
          </cell>
          <cell r="BH195" t="e">
            <v>#NAME?</v>
          </cell>
          <cell r="BJ195" t="e">
            <v>#NAME?</v>
          </cell>
          <cell r="BK195" t="e">
            <v>#NAME?</v>
          </cell>
        </row>
        <row r="196">
          <cell r="A196">
            <v>39568</v>
          </cell>
          <cell r="B196">
            <v>12.092972096534416</v>
          </cell>
          <cell r="C196">
            <v>6.5350667847248944</v>
          </cell>
          <cell r="D196">
            <v>13.41</v>
          </cell>
          <cell r="E196">
            <v>1</v>
          </cell>
          <cell r="F196">
            <v>13.41</v>
          </cell>
          <cell r="G196">
            <v>83.052531999999999</v>
          </cell>
          <cell r="H196">
            <v>1113.73445412</v>
          </cell>
          <cell r="I196" t="e">
            <v>#NAME?</v>
          </cell>
          <cell r="K196" t="e">
            <v>#NAME?</v>
          </cell>
          <cell r="L196">
            <v>0.84873972602739733</v>
          </cell>
          <cell r="M196">
            <v>0.84873972602739733</v>
          </cell>
          <cell r="N196">
            <v>15.799896704218986</v>
          </cell>
          <cell r="O196">
            <v>7.3958989979453715</v>
          </cell>
          <cell r="P196">
            <v>11.044758859065741</v>
          </cell>
          <cell r="Q196">
            <v>14.693618720186111</v>
          </cell>
          <cell r="R196">
            <v>18.34247858130648</v>
          </cell>
          <cell r="S196">
            <v>21.991338442426851</v>
          </cell>
          <cell r="U196">
            <v>0.30653544704257563</v>
          </cell>
          <cell r="V196">
            <v>0.17309537420876039</v>
          </cell>
          <cell r="X196">
            <v>12.215553923249219</v>
          </cell>
          <cell r="Y196">
            <v>0.29342449826592598</v>
          </cell>
          <cell r="Z196">
            <v>-0.32707222769643551</v>
          </cell>
          <cell r="AA196">
            <v>-6.3044659367773426E-2</v>
          </cell>
          <cell r="AB196">
            <v>0.20098290896088866</v>
          </cell>
          <cell r="AC196">
            <v>0.46501047728955075</v>
          </cell>
          <cell r="AD196">
            <v>0.72903804561821284</v>
          </cell>
          <cell r="AF196" t="e">
            <v>#NAME?</v>
          </cell>
          <cell r="AG196" t="e">
            <v>#NAME?</v>
          </cell>
          <cell r="AH196" t="e">
            <v>#NAME?</v>
          </cell>
          <cell r="AI196" t="e">
            <v>#NAME?</v>
          </cell>
          <cell r="AJ196" t="e">
            <v>#NAME?</v>
          </cell>
          <cell r="AK196" t="e">
            <v>#NAME?</v>
          </cell>
          <cell r="AL196" t="e">
            <v>#NAME?</v>
          </cell>
          <cell r="AN196" t="e">
            <v>#NAME?</v>
          </cell>
          <cell r="AO196" t="e">
            <v>#NAME?</v>
          </cell>
          <cell r="AP196" t="e">
            <v>#NAME?</v>
          </cell>
          <cell r="AQ196" t="e">
            <v>#NAME?</v>
          </cell>
          <cell r="AR196" t="e">
            <v>#NAME?</v>
          </cell>
          <cell r="AS196" t="e">
            <v>#NAME?</v>
          </cell>
          <cell r="AT196" t="e">
            <v>#NAME?</v>
          </cell>
          <cell r="AV196" t="e">
            <v>#NAME?</v>
          </cell>
          <cell r="AW196" t="e">
            <v>#NAME?</v>
          </cell>
          <cell r="AX196" t="e">
            <v>#NAME?</v>
          </cell>
          <cell r="AY196" t="e">
            <v>#NAME?</v>
          </cell>
          <cell r="AZ196" t="e">
            <v>#NAME?</v>
          </cell>
          <cell r="BA196" t="e">
            <v>#NAME?</v>
          </cell>
          <cell r="BB196" t="e">
            <v>#NAME?</v>
          </cell>
          <cell r="BC196" t="e">
            <v>#NAME?</v>
          </cell>
          <cell r="BD196" t="e">
            <v>#NAME?</v>
          </cell>
          <cell r="BE196" t="e">
            <v>#NAME?</v>
          </cell>
          <cell r="BG196" t="e">
            <v>#NAME?</v>
          </cell>
          <cell r="BH196" t="e">
            <v>#NAME?</v>
          </cell>
          <cell r="BJ196" t="e">
            <v>#NAME?</v>
          </cell>
          <cell r="BK196" t="e">
            <v>#NAME?</v>
          </cell>
        </row>
        <row r="197">
          <cell r="A197">
            <v>39599</v>
          </cell>
          <cell r="B197">
            <v>11.929356560884328</v>
          </cell>
          <cell r="C197">
            <v>6.6176809126248832</v>
          </cell>
          <cell r="D197">
            <v>13.18</v>
          </cell>
          <cell r="E197">
            <v>1</v>
          </cell>
          <cell r="F197">
            <v>13.18</v>
          </cell>
          <cell r="G197">
            <v>83.052531999999999</v>
          </cell>
          <cell r="H197">
            <v>1094.6323717600001</v>
          </cell>
          <cell r="I197" t="e">
            <v>#NAME?</v>
          </cell>
          <cell r="K197" t="e">
            <v>#NAME?</v>
          </cell>
          <cell r="L197">
            <v>0.85402191780821934</v>
          </cell>
          <cell r="M197">
            <v>0.85402191780821934</v>
          </cell>
          <cell r="N197">
            <v>15.432859186829118</v>
          </cell>
          <cell r="O197">
            <v>7.3958989979453715</v>
          </cell>
          <cell r="P197">
            <v>11.044758859065741</v>
          </cell>
          <cell r="Q197">
            <v>14.693618720186111</v>
          </cell>
          <cell r="R197">
            <v>18.34247858130648</v>
          </cell>
          <cell r="S197">
            <v>21.991338442426851</v>
          </cell>
          <cell r="U197">
            <v>0.29368747660980921</v>
          </cell>
          <cell r="V197">
            <v>0.17309537420876039</v>
          </cell>
          <cell r="X197">
            <v>13.054753804796686</v>
          </cell>
          <cell r="Y197">
            <v>0.18216393948070086</v>
          </cell>
          <cell r="Z197">
            <v>-0.32707222769643551</v>
          </cell>
          <cell r="AA197">
            <v>-6.3044659367773426E-2</v>
          </cell>
          <cell r="AB197">
            <v>0.20098290896088866</v>
          </cell>
          <cell r="AC197">
            <v>0.46501047728955075</v>
          </cell>
          <cell r="AD197">
            <v>0.72903804561821284</v>
          </cell>
          <cell r="AF197" t="e">
            <v>#NAME?</v>
          </cell>
          <cell r="AG197" t="e">
            <v>#NAME?</v>
          </cell>
          <cell r="AH197" t="e">
            <v>#NAME?</v>
          </cell>
          <cell r="AI197" t="e">
            <v>#NAME?</v>
          </cell>
          <cell r="AJ197" t="e">
            <v>#NAME?</v>
          </cell>
          <cell r="AK197" t="e">
            <v>#NAME?</v>
          </cell>
          <cell r="AL197" t="e">
            <v>#NAME?</v>
          </cell>
          <cell r="AN197" t="e">
            <v>#NAME?</v>
          </cell>
          <cell r="AO197" t="e">
            <v>#NAME?</v>
          </cell>
          <cell r="AP197" t="e">
            <v>#NAME?</v>
          </cell>
          <cell r="AQ197" t="e">
            <v>#NAME?</v>
          </cell>
          <cell r="AR197" t="e">
            <v>#NAME?</v>
          </cell>
          <cell r="AS197" t="e">
            <v>#NAME?</v>
          </cell>
          <cell r="AT197" t="e">
            <v>#NAME?</v>
          </cell>
          <cell r="AV197" t="e">
            <v>#NAME?</v>
          </cell>
          <cell r="AW197" t="e">
            <v>#NAME?</v>
          </cell>
          <cell r="AX197" t="e">
            <v>#NAME?</v>
          </cell>
          <cell r="AY197" t="e">
            <v>#NAME?</v>
          </cell>
          <cell r="AZ197" t="e">
            <v>#NAME?</v>
          </cell>
          <cell r="BA197" t="e">
            <v>#NAME?</v>
          </cell>
          <cell r="BB197" t="e">
            <v>#NAME?</v>
          </cell>
          <cell r="BC197" t="e">
            <v>#NAME?</v>
          </cell>
          <cell r="BD197" t="e">
            <v>#NAME?</v>
          </cell>
          <cell r="BE197" t="e">
            <v>#NAME?</v>
          </cell>
          <cell r="BG197" t="e">
            <v>#NAME?</v>
          </cell>
          <cell r="BH197" t="e">
            <v>#NAME?</v>
          </cell>
          <cell r="BJ197" t="e">
            <v>#NAME?</v>
          </cell>
          <cell r="BK197" t="e">
            <v>#NAME?</v>
          </cell>
        </row>
        <row r="198">
          <cell r="A198">
            <v>39629</v>
          </cell>
          <cell r="B198">
            <v>9.5670619924122136</v>
          </cell>
          <cell r="C198">
            <v>8.134539308890389</v>
          </cell>
          <cell r="D198">
            <v>13.14</v>
          </cell>
          <cell r="E198">
            <v>1</v>
          </cell>
          <cell r="F198">
            <v>13.14</v>
          </cell>
          <cell r="G198">
            <v>84.317532</v>
          </cell>
          <cell r="H198">
            <v>1107.9323704800001</v>
          </cell>
          <cell r="I198" t="e">
            <v>#NAME?</v>
          </cell>
          <cell r="K198" t="e">
            <v>#NAME?</v>
          </cell>
          <cell r="L198">
            <v>0.86127123287671259</v>
          </cell>
          <cell r="M198">
            <v>0.86127123287671259</v>
          </cell>
          <cell r="N198">
            <v>15.25651792189945</v>
          </cell>
          <cell r="O198">
            <v>7.3958989979453715</v>
          </cell>
          <cell r="P198">
            <v>11.044758859065741</v>
          </cell>
          <cell r="Q198">
            <v>14.693618720186111</v>
          </cell>
          <cell r="R198">
            <v>18.34247858130648</v>
          </cell>
          <cell r="S198">
            <v>21.991338442426851</v>
          </cell>
          <cell r="U198">
            <v>0.59469207307317884</v>
          </cell>
          <cell r="V198">
            <v>0.17309537420876039</v>
          </cell>
          <cell r="X198">
            <v>12.074932315269944</v>
          </cell>
          <cell r="Y198">
            <v>0.26348682738420637</v>
          </cell>
          <cell r="Z198">
            <v>-0.32707222769643551</v>
          </cell>
          <cell r="AA198">
            <v>-6.3044659367773426E-2</v>
          </cell>
          <cell r="AB198">
            <v>0.20098290896088866</v>
          </cell>
          <cell r="AC198">
            <v>0.46501047728955075</v>
          </cell>
          <cell r="AD198">
            <v>0.72903804561821284</v>
          </cell>
          <cell r="AF198" t="e">
            <v>#NAME?</v>
          </cell>
          <cell r="AG198" t="e">
            <v>#NAME?</v>
          </cell>
          <cell r="AH198" t="e">
            <v>#NAME?</v>
          </cell>
          <cell r="AI198" t="e">
            <v>#NAME?</v>
          </cell>
          <cell r="AJ198" t="e">
            <v>#NAME?</v>
          </cell>
          <cell r="AK198" t="e">
            <v>#NAME?</v>
          </cell>
          <cell r="AL198" t="e">
            <v>#NAME?</v>
          </cell>
          <cell r="AN198" t="e">
            <v>#NAME?</v>
          </cell>
          <cell r="AO198" t="e">
            <v>#NAME?</v>
          </cell>
          <cell r="AP198" t="e">
            <v>#NAME?</v>
          </cell>
          <cell r="AQ198" t="e">
            <v>#NAME?</v>
          </cell>
          <cell r="AR198" t="e">
            <v>#NAME?</v>
          </cell>
          <cell r="AS198" t="e">
            <v>#NAME?</v>
          </cell>
          <cell r="AT198" t="e">
            <v>#NAME?</v>
          </cell>
          <cell r="AV198" t="e">
            <v>#NAME?</v>
          </cell>
          <cell r="AW198" t="e">
            <v>#NAME?</v>
          </cell>
          <cell r="AX198" t="e">
            <v>#NAME?</v>
          </cell>
          <cell r="AY198" t="e">
            <v>#NAME?</v>
          </cell>
          <cell r="AZ198" t="e">
            <v>#NAME?</v>
          </cell>
          <cell r="BA198" t="e">
            <v>#NAME?</v>
          </cell>
          <cell r="BB198" t="e">
            <v>#NAME?</v>
          </cell>
          <cell r="BC198" t="e">
            <v>#NAME?</v>
          </cell>
          <cell r="BD198" t="e">
            <v>#NAME?</v>
          </cell>
          <cell r="BE198" t="e">
            <v>#NAME?</v>
          </cell>
          <cell r="BG198" t="e">
            <v>#NAME?</v>
          </cell>
          <cell r="BH198" t="e">
            <v>#NAME?</v>
          </cell>
          <cell r="BJ198" t="e">
            <v>#NAME?</v>
          </cell>
          <cell r="BK198" t="e">
            <v>#NAME?</v>
          </cell>
        </row>
        <row r="199">
          <cell r="A199">
            <v>39660</v>
          </cell>
          <cell r="B199">
            <v>9.9789255967727879</v>
          </cell>
          <cell r="C199">
            <v>7.7737047863148474</v>
          </cell>
          <cell r="D199">
            <v>13.77</v>
          </cell>
          <cell r="E199">
            <v>1</v>
          </cell>
          <cell r="F199">
            <v>13.77</v>
          </cell>
          <cell r="G199">
            <v>84.317532</v>
          </cell>
          <cell r="H199">
            <v>1161.0524156399999</v>
          </cell>
          <cell r="I199" t="e">
            <v>#NAME?</v>
          </cell>
          <cell r="K199" t="e">
            <v>#NAME?</v>
          </cell>
          <cell r="L199">
            <v>0.85825753424657547</v>
          </cell>
          <cell r="M199">
            <v>0.85825753424657547</v>
          </cell>
          <cell r="N199">
            <v>16.044135298023388</v>
          </cell>
          <cell r="O199">
            <v>7.3958989979453715</v>
          </cell>
          <cell r="P199">
            <v>11.044758859065741</v>
          </cell>
          <cell r="Q199">
            <v>14.693618720186111</v>
          </cell>
          <cell r="R199">
            <v>18.34247858130648</v>
          </cell>
          <cell r="S199">
            <v>21.991338442426851</v>
          </cell>
          <cell r="U199">
            <v>0.60780187630741578</v>
          </cell>
          <cell r="V199">
            <v>0.17309537420876039</v>
          </cell>
          <cell r="X199">
            <v>11.886919684223567</v>
          </cell>
          <cell r="Y199">
            <v>0.34973026858398959</v>
          </cell>
          <cell r="Z199">
            <v>-0.32707222769643551</v>
          </cell>
          <cell r="AA199">
            <v>-6.3044659367773426E-2</v>
          </cell>
          <cell r="AB199">
            <v>0.20098290896088866</v>
          </cell>
          <cell r="AC199">
            <v>0.46501047728955075</v>
          </cell>
          <cell r="AD199">
            <v>0.72903804561821284</v>
          </cell>
          <cell r="AF199" t="e">
            <v>#NAME?</v>
          </cell>
          <cell r="AG199" t="e">
            <v>#NAME?</v>
          </cell>
          <cell r="AH199" t="e">
            <v>#NAME?</v>
          </cell>
          <cell r="AI199" t="e">
            <v>#NAME?</v>
          </cell>
          <cell r="AJ199" t="e">
            <v>#NAME?</v>
          </cell>
          <cell r="AK199" t="e">
            <v>#NAME?</v>
          </cell>
          <cell r="AL199" t="e">
            <v>#NAME?</v>
          </cell>
          <cell r="AN199" t="e">
            <v>#NAME?</v>
          </cell>
          <cell r="AO199" t="e">
            <v>#NAME?</v>
          </cell>
          <cell r="AP199" t="e">
            <v>#NAME?</v>
          </cell>
          <cell r="AQ199" t="e">
            <v>#NAME?</v>
          </cell>
          <cell r="AR199" t="e">
            <v>#NAME?</v>
          </cell>
          <cell r="AS199" t="e">
            <v>#NAME?</v>
          </cell>
          <cell r="AT199" t="e">
            <v>#NAME?</v>
          </cell>
          <cell r="AV199" t="e">
            <v>#NAME?</v>
          </cell>
          <cell r="AW199" t="e">
            <v>#NAME?</v>
          </cell>
          <cell r="AX199" t="e">
            <v>#NAME?</v>
          </cell>
          <cell r="AY199" t="e">
            <v>#NAME?</v>
          </cell>
          <cell r="AZ199" t="e">
            <v>#NAME?</v>
          </cell>
          <cell r="BA199" t="e">
            <v>#NAME?</v>
          </cell>
          <cell r="BB199" t="e">
            <v>#NAME?</v>
          </cell>
          <cell r="BC199" t="e">
            <v>#NAME?</v>
          </cell>
          <cell r="BD199" t="e">
            <v>#NAME?</v>
          </cell>
          <cell r="BE199" t="e">
            <v>#NAME?</v>
          </cell>
          <cell r="BG199" t="e">
            <v>#NAME?</v>
          </cell>
          <cell r="BH199" t="e">
            <v>#NAME?</v>
          </cell>
          <cell r="BJ199" t="e">
            <v>#NAME?</v>
          </cell>
          <cell r="BK199" t="e">
            <v>#NAME?</v>
          </cell>
        </row>
        <row r="200">
          <cell r="A200">
            <v>39691</v>
          </cell>
          <cell r="B200">
            <v>10.54867326849056</v>
          </cell>
          <cell r="C200">
            <v>7.3904525429439527</v>
          </cell>
          <cell r="D200">
            <v>16.400000000000002</v>
          </cell>
          <cell r="E200">
            <v>1</v>
          </cell>
          <cell r="F200">
            <v>16.400000000000002</v>
          </cell>
          <cell r="G200">
            <v>84.317532</v>
          </cell>
          <cell r="H200">
            <v>1382.8075248000002</v>
          </cell>
          <cell r="I200" t="e">
            <v>#NAME?</v>
          </cell>
          <cell r="K200" t="e">
            <v>#NAME?</v>
          </cell>
          <cell r="L200">
            <v>0.8679863013698631</v>
          </cell>
          <cell r="M200">
            <v>0.8679863013698631</v>
          </cell>
          <cell r="N200">
            <v>18.89430740337421</v>
          </cell>
          <cell r="O200">
            <v>7.3958989979453715</v>
          </cell>
          <cell r="P200">
            <v>11.044758859065741</v>
          </cell>
          <cell r="Q200">
            <v>14.693618720186111</v>
          </cell>
          <cell r="R200">
            <v>18.34247858130648</v>
          </cell>
          <cell r="S200">
            <v>21.991338442426851</v>
          </cell>
          <cell r="U200">
            <v>0.79115486113429023</v>
          </cell>
          <cell r="V200">
            <v>0.17309537420876039</v>
          </cell>
          <cell r="X200">
            <v>12.860629089879547</v>
          </cell>
          <cell r="Y200">
            <v>0.4691588779465512</v>
          </cell>
          <cell r="Z200">
            <v>-0.32707222769643551</v>
          </cell>
          <cell r="AA200">
            <v>-6.3044659367773426E-2</v>
          </cell>
          <cell r="AB200">
            <v>0.20098290896088866</v>
          </cell>
          <cell r="AC200">
            <v>0.46501047728955075</v>
          </cell>
          <cell r="AD200">
            <v>0.72903804561821284</v>
          </cell>
          <cell r="AF200" t="e">
            <v>#NAME?</v>
          </cell>
          <cell r="AG200" t="e">
            <v>#NAME?</v>
          </cell>
          <cell r="AH200" t="e">
            <v>#NAME?</v>
          </cell>
          <cell r="AI200" t="e">
            <v>#NAME?</v>
          </cell>
          <cell r="AJ200" t="e">
            <v>#NAME?</v>
          </cell>
          <cell r="AK200" t="e">
            <v>#NAME?</v>
          </cell>
          <cell r="AL200" t="e">
            <v>#NAME?</v>
          </cell>
          <cell r="AN200" t="e">
            <v>#NAME?</v>
          </cell>
          <cell r="AO200" t="e">
            <v>#NAME?</v>
          </cell>
          <cell r="AP200" t="e">
            <v>#NAME?</v>
          </cell>
          <cell r="AQ200" t="e">
            <v>#NAME?</v>
          </cell>
          <cell r="AR200" t="e">
            <v>#NAME?</v>
          </cell>
          <cell r="AS200" t="e">
            <v>#NAME?</v>
          </cell>
          <cell r="AT200" t="e">
            <v>#NAME?</v>
          </cell>
          <cell r="AV200" t="e">
            <v>#NAME?</v>
          </cell>
          <cell r="AW200" t="e">
            <v>#NAME?</v>
          </cell>
          <cell r="AX200" t="e">
            <v>#NAME?</v>
          </cell>
          <cell r="AY200" t="e">
            <v>#NAME?</v>
          </cell>
          <cell r="AZ200" t="e">
            <v>#NAME?</v>
          </cell>
          <cell r="BA200" t="e">
            <v>#NAME?</v>
          </cell>
          <cell r="BB200" t="e">
            <v>#NAME?</v>
          </cell>
          <cell r="BC200" t="e">
            <v>#NAME?</v>
          </cell>
          <cell r="BD200" t="e">
            <v>#NAME?</v>
          </cell>
          <cell r="BE200" t="e">
            <v>#NAME?</v>
          </cell>
          <cell r="BG200" t="e">
            <v>#NAME?</v>
          </cell>
          <cell r="BH200" t="e">
            <v>#NAME?</v>
          </cell>
          <cell r="BJ200" t="e">
            <v>#NAME?</v>
          </cell>
          <cell r="BK200" t="e">
            <v>#NAME?</v>
          </cell>
        </row>
        <row r="201">
          <cell r="A201">
            <v>39721</v>
          </cell>
          <cell r="B201">
            <v>9.8599500889592608</v>
          </cell>
          <cell r="C201">
            <v>7.4057329998818187</v>
          </cell>
          <cell r="D201">
            <v>12</v>
          </cell>
          <cell r="E201">
            <v>1</v>
          </cell>
          <cell r="F201">
            <v>12</v>
          </cell>
          <cell r="G201">
            <v>84.317532</v>
          </cell>
          <cell r="H201">
            <v>1011.810384</v>
          </cell>
          <cell r="I201" t="e">
            <v>#NAME?</v>
          </cell>
          <cell r="K201" t="e">
            <v>#NAME?</v>
          </cell>
          <cell r="L201">
            <v>0.90313972602739723</v>
          </cell>
          <cell r="M201">
            <v>0.90313972602739723</v>
          </cell>
          <cell r="N201">
            <v>13.286980579166743</v>
          </cell>
          <cell r="O201">
            <v>7.3958989979453715</v>
          </cell>
          <cell r="P201">
            <v>11.044758859065741</v>
          </cell>
          <cell r="Q201">
            <v>14.693618720186111</v>
          </cell>
          <cell r="R201">
            <v>18.34247858130648</v>
          </cell>
          <cell r="S201">
            <v>21.991338442426851</v>
          </cell>
          <cell r="U201">
            <v>0.34757077462744168</v>
          </cell>
          <cell r="V201">
            <v>0.17309537420876039</v>
          </cell>
          <cell r="X201">
            <v>10.209822820002694</v>
          </cell>
          <cell r="Y201">
            <v>0.30139188636411984</v>
          </cell>
          <cell r="Z201">
            <v>-0.32707222769643551</v>
          </cell>
          <cell r="AA201">
            <v>-6.3044659367773426E-2</v>
          </cell>
          <cell r="AB201">
            <v>0.20098290896088866</v>
          </cell>
          <cell r="AC201">
            <v>0.46501047728955075</v>
          </cell>
          <cell r="AD201">
            <v>0.72903804561821284</v>
          </cell>
          <cell r="AF201" t="e">
            <v>#NAME?</v>
          </cell>
          <cell r="AG201" t="e">
            <v>#NAME?</v>
          </cell>
          <cell r="AH201" t="e">
            <v>#NAME?</v>
          </cell>
          <cell r="AI201" t="e">
            <v>#NAME?</v>
          </cell>
          <cell r="AJ201" t="e">
            <v>#NAME?</v>
          </cell>
          <cell r="AK201" t="e">
            <v>#NAME?</v>
          </cell>
          <cell r="AL201" t="e">
            <v>#NAME?</v>
          </cell>
          <cell r="AN201" t="e">
            <v>#NAME?</v>
          </cell>
          <cell r="AO201" t="e">
            <v>#NAME?</v>
          </cell>
          <cell r="AP201" t="e">
            <v>#NAME?</v>
          </cell>
          <cell r="AQ201" t="e">
            <v>#NAME?</v>
          </cell>
          <cell r="AR201" t="e">
            <v>#NAME?</v>
          </cell>
          <cell r="AS201" t="e">
            <v>#NAME?</v>
          </cell>
          <cell r="AT201" t="e">
            <v>#NAME?</v>
          </cell>
          <cell r="AV201" t="e">
            <v>#NAME?</v>
          </cell>
          <cell r="AW201" t="e">
            <v>#NAME?</v>
          </cell>
          <cell r="AX201" t="e">
            <v>#NAME?</v>
          </cell>
          <cell r="AY201" t="e">
            <v>#NAME?</v>
          </cell>
          <cell r="AZ201" t="e">
            <v>#NAME?</v>
          </cell>
          <cell r="BA201" t="e">
            <v>#NAME?</v>
          </cell>
          <cell r="BB201" t="e">
            <v>#NAME?</v>
          </cell>
          <cell r="BC201" t="e">
            <v>#NAME?</v>
          </cell>
          <cell r="BD201" t="e">
            <v>#NAME?</v>
          </cell>
          <cell r="BE201" t="e">
            <v>#NAME?</v>
          </cell>
          <cell r="BG201" t="e">
            <v>#NAME?</v>
          </cell>
          <cell r="BH201" t="e">
            <v>#NAME?</v>
          </cell>
          <cell r="BJ201" t="e">
            <v>#NAME?</v>
          </cell>
          <cell r="BK201" t="e">
            <v>#NAME?</v>
          </cell>
        </row>
        <row r="202">
          <cell r="A202">
            <v>39752</v>
          </cell>
          <cell r="B202">
            <v>8.1170312647546652</v>
          </cell>
          <cell r="C202">
            <v>8.9080669383576865</v>
          </cell>
          <cell r="D202">
            <v>8</v>
          </cell>
          <cell r="E202">
            <v>1</v>
          </cell>
          <cell r="F202">
            <v>8</v>
          </cell>
          <cell r="G202">
            <v>84.317532</v>
          </cell>
          <cell r="H202">
            <v>674.540256</v>
          </cell>
          <cell r="I202" t="e">
            <v>#NAME?</v>
          </cell>
          <cell r="K202" t="e">
            <v>#NAME?</v>
          </cell>
          <cell r="L202">
            <v>0.8791013698630139</v>
          </cell>
          <cell r="M202">
            <v>0.8791013698630139</v>
          </cell>
          <cell r="N202">
            <v>9.1002019496871007</v>
          </cell>
          <cell r="O202">
            <v>7.3958989979453715</v>
          </cell>
          <cell r="P202">
            <v>11.044758859065741</v>
          </cell>
          <cell r="Q202">
            <v>14.693618720186111</v>
          </cell>
          <cell r="R202">
            <v>18.34247858130648</v>
          </cell>
          <cell r="S202">
            <v>21.991338442426851</v>
          </cell>
          <cell r="U202">
            <v>0.12112441764287718</v>
          </cell>
          <cell r="V202">
            <v>0.17309537420876039</v>
          </cell>
          <cell r="X202">
            <v>5.8570168746199087</v>
          </cell>
          <cell r="Y202">
            <v>0.55372643523033371</v>
          </cell>
          <cell r="Z202">
            <v>-0.32707222769643551</v>
          </cell>
          <cell r="AA202">
            <v>-6.3044659367773426E-2</v>
          </cell>
          <cell r="AB202">
            <v>0.20098290896088866</v>
          </cell>
          <cell r="AC202">
            <v>0.46501047728955075</v>
          </cell>
          <cell r="AD202">
            <v>0.72903804561821284</v>
          </cell>
          <cell r="AF202" t="e">
            <v>#NAME?</v>
          </cell>
          <cell r="AG202" t="e">
            <v>#NAME?</v>
          </cell>
          <cell r="AH202" t="e">
            <v>#NAME?</v>
          </cell>
          <cell r="AI202" t="e">
            <v>#NAME?</v>
          </cell>
          <cell r="AJ202" t="e">
            <v>#NAME?</v>
          </cell>
          <cell r="AK202" t="e">
            <v>#NAME?</v>
          </cell>
          <cell r="AL202" t="e">
            <v>#NAME?</v>
          </cell>
          <cell r="AN202" t="e">
            <v>#NAME?</v>
          </cell>
          <cell r="AO202" t="e">
            <v>#NAME?</v>
          </cell>
          <cell r="AP202" t="e">
            <v>#NAME?</v>
          </cell>
          <cell r="AQ202" t="e">
            <v>#NAME?</v>
          </cell>
          <cell r="AR202" t="e">
            <v>#NAME?</v>
          </cell>
          <cell r="AS202" t="e">
            <v>#NAME?</v>
          </cell>
          <cell r="AT202" t="e">
            <v>#NAME?</v>
          </cell>
          <cell r="AV202" t="e">
            <v>#NAME?</v>
          </cell>
          <cell r="AW202" t="e">
            <v>#NAME?</v>
          </cell>
          <cell r="AX202" t="e">
            <v>#NAME?</v>
          </cell>
          <cell r="AY202" t="e">
            <v>#NAME?</v>
          </cell>
          <cell r="AZ202" t="e">
            <v>#NAME?</v>
          </cell>
          <cell r="BA202" t="e">
            <v>#NAME?</v>
          </cell>
          <cell r="BB202" t="e">
            <v>#NAME?</v>
          </cell>
          <cell r="BC202" t="e">
            <v>#NAME?</v>
          </cell>
          <cell r="BD202" t="e">
            <v>#NAME?</v>
          </cell>
          <cell r="BE202" t="e">
            <v>#NAME?</v>
          </cell>
          <cell r="BG202" t="e">
            <v>#NAME?</v>
          </cell>
          <cell r="BH202" t="e">
            <v>#NAME?</v>
          </cell>
          <cell r="BJ202" t="e">
            <v>#NAME?</v>
          </cell>
          <cell r="BK202" t="e">
            <v>#NAME?</v>
          </cell>
        </row>
        <row r="203">
          <cell r="A203">
            <v>39782</v>
          </cell>
          <cell r="B203">
            <v>7.3555440344806122</v>
          </cell>
          <cell r="C203">
            <v>9.8307549924793722</v>
          </cell>
          <cell r="D203">
            <v>6.47</v>
          </cell>
          <cell r="E203">
            <v>1</v>
          </cell>
          <cell r="F203">
            <v>6.47</v>
          </cell>
          <cell r="G203">
            <v>84.317532</v>
          </cell>
          <cell r="H203">
            <v>545.53443203999996</v>
          </cell>
          <cell r="I203" t="e">
            <v>#NAME?</v>
          </cell>
          <cell r="K203" t="e">
            <v>#NAME?</v>
          </cell>
          <cell r="L203">
            <v>0.87944657534246584</v>
          </cell>
          <cell r="M203">
            <v>0.87944657534246584</v>
          </cell>
          <cell r="N203">
            <v>7.3568994199340798</v>
          </cell>
          <cell r="O203">
            <v>7.3958989979453715</v>
          </cell>
          <cell r="P203">
            <v>11.044758859065741</v>
          </cell>
          <cell r="Q203">
            <v>14.693618720186111</v>
          </cell>
          <cell r="R203">
            <v>18.34247858130648</v>
          </cell>
          <cell r="S203">
            <v>21.991338442426851</v>
          </cell>
          <cell r="U203">
            <v>1.842671931693296E-4</v>
          </cell>
          <cell r="V203">
            <v>0.17309537420876039</v>
          </cell>
          <cell r="X203">
            <v>4.5517861802594117</v>
          </cell>
          <cell r="Y203">
            <v>0.61626647838603033</v>
          </cell>
          <cell r="Z203">
            <v>-0.32707222769643551</v>
          </cell>
          <cell r="AA203">
            <v>-6.3044659367773426E-2</v>
          </cell>
          <cell r="AB203">
            <v>0.20098290896088866</v>
          </cell>
          <cell r="AC203">
            <v>0.46501047728955075</v>
          </cell>
          <cell r="AD203">
            <v>0.72903804561821284</v>
          </cell>
          <cell r="AF203" t="e">
            <v>#NAME?</v>
          </cell>
          <cell r="AG203" t="e">
            <v>#NAME?</v>
          </cell>
          <cell r="AH203" t="e">
            <v>#NAME?</v>
          </cell>
          <cell r="AI203" t="e">
            <v>#NAME?</v>
          </cell>
          <cell r="AJ203" t="e">
            <v>#NAME?</v>
          </cell>
          <cell r="AK203" t="e">
            <v>#NAME?</v>
          </cell>
          <cell r="AL203" t="e">
            <v>#NAME?</v>
          </cell>
          <cell r="AN203" t="e">
            <v>#NAME?</v>
          </cell>
          <cell r="AO203" t="e">
            <v>#NAME?</v>
          </cell>
          <cell r="AP203" t="e">
            <v>#NAME?</v>
          </cell>
          <cell r="AQ203" t="e">
            <v>#NAME?</v>
          </cell>
          <cell r="AR203" t="e">
            <v>#NAME?</v>
          </cell>
          <cell r="AS203" t="e">
            <v>#NAME?</v>
          </cell>
          <cell r="AT203" t="e">
            <v>#NAME?</v>
          </cell>
          <cell r="AV203" t="e">
            <v>#NAME?</v>
          </cell>
          <cell r="AW203" t="e">
            <v>#NAME?</v>
          </cell>
          <cell r="AX203" t="e">
            <v>#NAME?</v>
          </cell>
          <cell r="AY203" t="e">
            <v>#NAME?</v>
          </cell>
          <cell r="AZ203" t="e">
            <v>#NAME?</v>
          </cell>
          <cell r="BA203" t="e">
            <v>#NAME?</v>
          </cell>
          <cell r="BB203" t="e">
            <v>#NAME?</v>
          </cell>
          <cell r="BC203" t="e">
            <v>#NAME?</v>
          </cell>
          <cell r="BD203" t="e">
            <v>#NAME?</v>
          </cell>
          <cell r="BE203" t="e">
            <v>#NAME?</v>
          </cell>
          <cell r="BG203" t="e">
            <v>#NAME?</v>
          </cell>
          <cell r="BH203" t="e">
            <v>#NAME?</v>
          </cell>
          <cell r="BJ203" t="e">
            <v>#NAME?</v>
          </cell>
          <cell r="BK203" t="e">
            <v>#NAME?</v>
          </cell>
        </row>
        <row r="204">
          <cell r="A204">
            <v>39813</v>
          </cell>
          <cell r="B204">
            <v>7.4394341131949684</v>
          </cell>
          <cell r="C204">
            <v>8.7645508288128138</v>
          </cell>
          <cell r="D204">
            <v>6.74</v>
          </cell>
          <cell r="E204">
            <v>1</v>
          </cell>
          <cell r="F204">
            <v>6.74</v>
          </cell>
          <cell r="G204">
            <v>84.317532</v>
          </cell>
          <cell r="H204">
            <v>568.30016567999996</v>
          </cell>
          <cell r="I204">
            <v>1649.323539</v>
          </cell>
          <cell r="K204">
            <v>1649.323539</v>
          </cell>
          <cell r="L204">
            <v>0.82953972602739734</v>
          </cell>
          <cell r="M204">
            <v>0.82953972602739734</v>
          </cell>
          <cell r="N204">
            <v>8.1249876148516087</v>
          </cell>
          <cell r="O204">
            <v>7.3958989979453715</v>
          </cell>
          <cell r="P204">
            <v>11.044758859065741</v>
          </cell>
          <cell r="Q204">
            <v>14.693618720186111</v>
          </cell>
          <cell r="R204">
            <v>18.34247858130648</v>
          </cell>
          <cell r="S204">
            <v>21.991338442426851</v>
          </cell>
          <cell r="U204">
            <v>9.2151296889733336E-2</v>
          </cell>
          <cell r="V204">
            <v>0.17309537420876039</v>
          </cell>
          <cell r="X204">
            <v>4.4044416437089895</v>
          </cell>
          <cell r="Y204">
            <v>0.84472590900524214</v>
          </cell>
          <cell r="Z204">
            <v>-0.32707222769643551</v>
          </cell>
          <cell r="AA204">
            <v>-6.3044659367773426E-2</v>
          </cell>
          <cell r="AB204">
            <v>0.20098290896088866</v>
          </cell>
          <cell r="AC204">
            <v>0.46501047728955075</v>
          </cell>
          <cell r="AD204">
            <v>0.72903804561821284</v>
          </cell>
          <cell r="AF204" t="e">
            <v>#NAME?</v>
          </cell>
          <cell r="AG204" t="e">
            <v>#NAME?</v>
          </cell>
          <cell r="AH204" t="e">
            <v>#NAME?</v>
          </cell>
          <cell r="AI204" t="e">
            <v>#NAME?</v>
          </cell>
          <cell r="AJ204" t="e">
            <v>#NAME?</v>
          </cell>
          <cell r="AK204" t="e">
            <v>#NAME?</v>
          </cell>
          <cell r="AL204" t="e">
            <v>#NAME?</v>
          </cell>
          <cell r="AN204" t="e">
            <v>#NAME?</v>
          </cell>
          <cell r="AO204" t="e">
            <v>#NAME?</v>
          </cell>
          <cell r="AP204" t="e">
            <v>#NAME?</v>
          </cell>
          <cell r="AQ204" t="e">
            <v>#NAME?</v>
          </cell>
          <cell r="AR204" t="e">
            <v>#NAME?</v>
          </cell>
          <cell r="AS204" t="e">
            <v>#NAME?</v>
          </cell>
          <cell r="AT204" t="e">
            <v>#NAME?</v>
          </cell>
          <cell r="AV204" t="e">
            <v>#NAME?</v>
          </cell>
          <cell r="AW204" t="e">
            <v>#NAME?</v>
          </cell>
          <cell r="AX204" t="e">
            <v>#NAME?</v>
          </cell>
          <cell r="AY204" t="e">
            <v>#NAME?</v>
          </cell>
          <cell r="AZ204" t="e">
            <v>#NAME?</v>
          </cell>
          <cell r="BA204" t="e">
            <v>#NAME?</v>
          </cell>
          <cell r="BB204" t="e">
            <v>#NAME?</v>
          </cell>
          <cell r="BC204" t="e">
            <v>#NAME?</v>
          </cell>
          <cell r="BD204" t="e">
            <v>#NAME?</v>
          </cell>
          <cell r="BE204" t="e">
            <v>#NAME?</v>
          </cell>
          <cell r="BG204" t="e">
            <v>#NAME?</v>
          </cell>
          <cell r="BH204" t="e">
            <v>#NAME?</v>
          </cell>
          <cell r="BJ204" t="e">
            <v>#NAME?</v>
          </cell>
          <cell r="BK204" t="e">
            <v>#NAME?</v>
          </cell>
        </row>
        <row r="205">
          <cell r="A205">
            <v>39844</v>
          </cell>
          <cell r="B205">
            <v>7.1473125835874631</v>
          </cell>
          <cell r="C205">
            <v>8.9894069019497902</v>
          </cell>
          <cell r="D205">
            <v>6.36</v>
          </cell>
          <cell r="E205">
            <v>1</v>
          </cell>
          <cell r="F205">
            <v>6.36</v>
          </cell>
          <cell r="G205">
            <v>84.317532</v>
          </cell>
          <cell r="H205">
            <v>536.25950352000007</v>
          </cell>
          <cell r="I205">
            <v>1649.323539</v>
          </cell>
          <cell r="K205">
            <v>1649.323539</v>
          </cell>
          <cell r="L205">
            <v>0.82778904109589035</v>
          </cell>
          <cell r="M205">
            <v>0.82778904109589035</v>
          </cell>
          <cell r="N205">
            <v>7.6831169346964856</v>
          </cell>
          <cell r="O205">
            <v>7.3958989979453715</v>
          </cell>
          <cell r="P205">
            <v>11.044758859065741</v>
          </cell>
          <cell r="Q205">
            <v>14.693618720186111</v>
          </cell>
          <cell r="R205">
            <v>18.34247858130648</v>
          </cell>
          <cell r="S205">
            <v>21.991338442426851</v>
          </cell>
          <cell r="U205">
            <v>7.4965848330098561E-2</v>
          </cell>
          <cell r="V205">
            <v>0.17309537420876039</v>
          </cell>
          <cell r="X205">
            <v>4.0726757308097694</v>
          </cell>
          <cell r="Y205">
            <v>0.88650347892265224</v>
          </cell>
          <cell r="Z205">
            <v>-0.32707222769643551</v>
          </cell>
          <cell r="AA205">
            <v>-6.3044659367773426E-2</v>
          </cell>
          <cell r="AB205">
            <v>0.20098290896088866</v>
          </cell>
          <cell r="AC205">
            <v>0.46501047728955075</v>
          </cell>
          <cell r="AD205">
            <v>0.72903804561821284</v>
          </cell>
          <cell r="AF205" t="e">
            <v>#NAME?</v>
          </cell>
          <cell r="AG205" t="e">
            <v>#NAME?</v>
          </cell>
          <cell r="AH205" t="e">
            <v>#NAME?</v>
          </cell>
          <cell r="AI205" t="e">
            <v>#NAME?</v>
          </cell>
          <cell r="AJ205" t="e">
            <v>#NAME?</v>
          </cell>
          <cell r="AK205" t="e">
            <v>#NAME?</v>
          </cell>
          <cell r="AL205" t="e">
            <v>#NAME?</v>
          </cell>
          <cell r="AN205" t="e">
            <v>#NAME?</v>
          </cell>
          <cell r="AO205" t="e">
            <v>#NAME?</v>
          </cell>
          <cell r="AP205" t="e">
            <v>#NAME?</v>
          </cell>
          <cell r="AQ205" t="e">
            <v>#NAME?</v>
          </cell>
          <cell r="AR205" t="e">
            <v>#NAME?</v>
          </cell>
          <cell r="AS205" t="e">
            <v>#NAME?</v>
          </cell>
          <cell r="AT205" t="e">
            <v>#NAME?</v>
          </cell>
          <cell r="AV205" t="e">
            <v>#NAME?</v>
          </cell>
          <cell r="AW205" t="e">
            <v>#NAME?</v>
          </cell>
          <cell r="AX205" t="e">
            <v>#NAME?</v>
          </cell>
          <cell r="AY205" t="e">
            <v>#NAME?</v>
          </cell>
          <cell r="AZ205" t="e">
            <v>#NAME?</v>
          </cell>
          <cell r="BA205" t="e">
            <v>#NAME?</v>
          </cell>
          <cell r="BB205" t="e">
            <v>#NAME?</v>
          </cell>
          <cell r="BC205" t="e">
            <v>#NAME?</v>
          </cell>
          <cell r="BD205" t="e">
            <v>#NAME?</v>
          </cell>
          <cell r="BE205" t="e">
            <v>#NAME?</v>
          </cell>
          <cell r="BG205" t="e">
            <v>#NAME?</v>
          </cell>
          <cell r="BH205" t="e">
            <v>#NAME?</v>
          </cell>
          <cell r="BJ205" t="e">
            <v>#NAME?</v>
          </cell>
          <cell r="BK205" t="e">
            <v>#NAME?</v>
          </cell>
        </row>
        <row r="206">
          <cell r="A206">
            <v>39872</v>
          </cell>
          <cell r="B206">
            <v>6.7574866793423061</v>
          </cell>
          <cell r="C206">
            <v>9.1704724963135558</v>
          </cell>
          <cell r="D206">
            <v>7.15</v>
          </cell>
          <cell r="E206">
            <v>1</v>
          </cell>
          <cell r="F206">
            <v>7.15</v>
          </cell>
          <cell r="G206">
            <v>84.317532</v>
          </cell>
          <cell r="H206">
            <v>602.87035379999998</v>
          </cell>
          <cell r="I206">
            <v>1649.323539</v>
          </cell>
          <cell r="K206">
            <v>1649.323539</v>
          </cell>
          <cell r="L206">
            <v>0.81800000000000006</v>
          </cell>
          <cell r="M206">
            <v>0.81800000000000006</v>
          </cell>
          <cell r="N206">
            <v>8.7408312958435204</v>
          </cell>
          <cell r="O206">
            <v>7.3958989979453715</v>
          </cell>
          <cell r="P206">
            <v>11.044758859065741</v>
          </cell>
          <cell r="Q206">
            <v>14.693618720186111</v>
          </cell>
          <cell r="R206">
            <v>18.34247858130648</v>
          </cell>
          <cell r="S206">
            <v>21.991338442426851</v>
          </cell>
          <cell r="U206">
            <v>0.29350329650879159</v>
          </cell>
          <cell r="V206">
            <v>0.17309537420876039</v>
          </cell>
          <cell r="X206">
            <v>4.4289418057172787</v>
          </cell>
          <cell r="Y206">
            <v>0.9735710423108439</v>
          </cell>
          <cell r="Z206">
            <v>-0.32707222769643551</v>
          </cell>
          <cell r="AA206">
            <v>-6.3044659367773426E-2</v>
          </cell>
          <cell r="AB206">
            <v>0.20098290896088866</v>
          </cell>
          <cell r="AC206">
            <v>0.46501047728955075</v>
          </cell>
          <cell r="AD206">
            <v>0.72903804561821284</v>
          </cell>
          <cell r="AF206" t="e">
            <v>#NAME?</v>
          </cell>
          <cell r="AG206" t="e">
            <v>#NAME?</v>
          </cell>
          <cell r="AH206" t="e">
            <v>#NAME?</v>
          </cell>
          <cell r="AI206" t="e">
            <v>#NAME?</v>
          </cell>
          <cell r="AJ206" t="e">
            <v>#NAME?</v>
          </cell>
          <cell r="AK206" t="e">
            <v>#NAME?</v>
          </cell>
          <cell r="AL206" t="e">
            <v>#NAME?</v>
          </cell>
          <cell r="AN206" t="e">
            <v>#NAME?</v>
          </cell>
          <cell r="AO206" t="e">
            <v>#NAME?</v>
          </cell>
          <cell r="AP206" t="e">
            <v>#NAME?</v>
          </cell>
          <cell r="AQ206" t="e">
            <v>#NAME?</v>
          </cell>
          <cell r="AR206" t="e">
            <v>#NAME?</v>
          </cell>
          <cell r="AS206" t="e">
            <v>#NAME?</v>
          </cell>
          <cell r="AT206" t="e">
            <v>#NAME?</v>
          </cell>
          <cell r="AV206" t="e">
            <v>#NAME?</v>
          </cell>
          <cell r="AW206" t="e">
            <v>#NAME?</v>
          </cell>
          <cell r="AX206" t="e">
            <v>#NAME?</v>
          </cell>
          <cell r="AY206" t="e">
            <v>#NAME?</v>
          </cell>
          <cell r="AZ206" t="e">
            <v>#NAME?</v>
          </cell>
          <cell r="BA206" t="e">
            <v>#NAME?</v>
          </cell>
          <cell r="BB206" t="e">
            <v>#NAME?</v>
          </cell>
          <cell r="BC206" t="e">
            <v>#NAME?</v>
          </cell>
          <cell r="BD206" t="e">
            <v>#NAME?</v>
          </cell>
          <cell r="BE206" t="e">
            <v>#NAME?</v>
          </cell>
          <cell r="BG206" t="e">
            <v>#NAME?</v>
          </cell>
          <cell r="BH206" t="e">
            <v>#NAME?</v>
          </cell>
          <cell r="BJ206" t="e">
            <v>#NAME?</v>
          </cell>
          <cell r="BK206" t="e">
            <v>#NAME?</v>
          </cell>
        </row>
        <row r="207">
          <cell r="A207">
            <v>39903</v>
          </cell>
          <cell r="B207">
            <v>6.6336133063948699</v>
          </cell>
          <cell r="C207">
            <v>8.1532763996020048</v>
          </cell>
          <cell r="D207">
            <v>8.33</v>
          </cell>
          <cell r="E207">
            <v>1</v>
          </cell>
          <cell r="F207">
            <v>8.33</v>
          </cell>
          <cell r="G207">
            <v>84.317532</v>
          </cell>
          <cell r="H207">
            <v>702.36504156000001</v>
          </cell>
          <cell r="I207">
            <v>1649.323539</v>
          </cell>
          <cell r="K207">
            <v>1649.323539</v>
          </cell>
          <cell r="L207">
            <v>0.81790410958904114</v>
          </cell>
          <cell r="M207">
            <v>0.81790410958904114</v>
          </cell>
          <cell r="N207">
            <v>10.184567973604434</v>
          </cell>
          <cell r="O207">
            <v>7.3958989979453715</v>
          </cell>
          <cell r="P207">
            <v>11.044758859065741</v>
          </cell>
          <cell r="Q207">
            <v>14.693618720186111</v>
          </cell>
          <cell r="R207">
            <v>18.34247858130648</v>
          </cell>
          <cell r="S207">
            <v>21.991338442426851</v>
          </cell>
          <cell r="U207">
            <v>0.5352972057907579</v>
          </cell>
          <cell r="V207">
            <v>0.17309537420876039</v>
          </cell>
          <cell r="X207">
            <v>5.8263010610245614</v>
          </cell>
          <cell r="Y207">
            <v>0.74803324904282698</v>
          </cell>
          <cell r="Z207">
            <v>-0.32707222769643551</v>
          </cell>
          <cell r="AA207">
            <v>-6.3044659367773426E-2</v>
          </cell>
          <cell r="AB207">
            <v>0.20098290896088866</v>
          </cell>
          <cell r="AC207">
            <v>0.46501047728955075</v>
          </cell>
          <cell r="AD207">
            <v>0.72903804561821284</v>
          </cell>
          <cell r="AF207" t="e">
            <v>#NAME?</v>
          </cell>
          <cell r="AG207" t="e">
            <v>#NAME?</v>
          </cell>
          <cell r="AH207" t="e">
            <v>#NAME?</v>
          </cell>
          <cell r="AI207" t="e">
            <v>#NAME?</v>
          </cell>
          <cell r="AJ207" t="e">
            <v>#NAME?</v>
          </cell>
          <cell r="AK207" t="e">
            <v>#NAME?</v>
          </cell>
          <cell r="AL207" t="e">
            <v>#NAME?</v>
          </cell>
          <cell r="AN207" t="e">
            <v>#NAME?</v>
          </cell>
          <cell r="AO207" t="e">
            <v>#NAME?</v>
          </cell>
          <cell r="AP207" t="e">
            <v>#NAME?</v>
          </cell>
          <cell r="AQ207" t="e">
            <v>#NAME?</v>
          </cell>
          <cell r="AR207" t="e">
            <v>#NAME?</v>
          </cell>
          <cell r="AS207" t="e">
            <v>#NAME?</v>
          </cell>
          <cell r="AT207" t="e">
            <v>#NAME?</v>
          </cell>
          <cell r="AV207" t="e">
            <v>#NAME?</v>
          </cell>
          <cell r="AW207" t="e">
            <v>#NAME?</v>
          </cell>
          <cell r="AX207" t="e">
            <v>#NAME?</v>
          </cell>
          <cell r="AY207" t="e">
            <v>#NAME?</v>
          </cell>
          <cell r="AZ207" t="e">
            <v>#NAME?</v>
          </cell>
          <cell r="BA207" t="e">
            <v>#NAME?</v>
          </cell>
          <cell r="BB207" t="e">
            <v>#NAME?</v>
          </cell>
          <cell r="BC207" t="e">
            <v>#NAME?</v>
          </cell>
          <cell r="BD207" t="e">
            <v>#NAME?</v>
          </cell>
          <cell r="BE207" t="e">
            <v>#NAME?</v>
          </cell>
          <cell r="BG207" t="e">
            <v>#NAME?</v>
          </cell>
          <cell r="BH207" t="e">
            <v>#NAME?</v>
          </cell>
          <cell r="BJ207" t="e">
            <v>#NAME?</v>
          </cell>
          <cell r="BK207" t="e">
            <v>#NAME?</v>
          </cell>
        </row>
        <row r="208">
          <cell r="A208">
            <v>39933</v>
          </cell>
          <cell r="B208">
            <v>7.7305366003141298</v>
          </cell>
          <cell r="C208">
            <v>7.204382192884113</v>
          </cell>
          <cell r="D208">
            <v>10.100000000000001</v>
          </cell>
          <cell r="E208">
            <v>1</v>
          </cell>
          <cell r="F208">
            <v>10.100000000000001</v>
          </cell>
          <cell r="G208">
            <v>84.317532</v>
          </cell>
          <cell r="H208">
            <v>851.60707320000017</v>
          </cell>
          <cell r="I208">
            <v>1649.323539</v>
          </cell>
          <cell r="K208">
            <v>1649.323539</v>
          </cell>
          <cell r="L208">
            <v>0.80850684931506844</v>
          </cell>
          <cell r="M208">
            <v>0.80850684931506844</v>
          </cell>
          <cell r="N208">
            <v>12.492163806102916</v>
          </cell>
          <cell r="O208">
            <v>7.3958989979453715</v>
          </cell>
          <cell r="P208">
            <v>11.044758859065741</v>
          </cell>
          <cell r="Q208">
            <v>14.693618720186111</v>
          </cell>
          <cell r="R208">
            <v>18.34247858130648</v>
          </cell>
          <cell r="S208">
            <v>21.991338442426851</v>
          </cell>
          <cell r="U208">
            <v>0.61595041223856284</v>
          </cell>
          <cell r="V208">
            <v>0.17309537420876039</v>
          </cell>
          <cell r="X208">
            <v>7.0914237538538414</v>
          </cell>
          <cell r="Y208">
            <v>0.76158755134524814</v>
          </cell>
          <cell r="Z208">
            <v>-0.32707222769643551</v>
          </cell>
          <cell r="AA208">
            <v>-6.3044659367773426E-2</v>
          </cell>
          <cell r="AB208">
            <v>0.20098290896088866</v>
          </cell>
          <cell r="AC208">
            <v>0.46501047728955075</v>
          </cell>
          <cell r="AD208">
            <v>0.72903804561821284</v>
          </cell>
          <cell r="AF208" t="e">
            <v>#NAME?</v>
          </cell>
          <cell r="AG208" t="e">
            <v>#NAME?</v>
          </cell>
          <cell r="AH208" t="e">
            <v>#NAME?</v>
          </cell>
          <cell r="AI208" t="e">
            <v>#NAME?</v>
          </cell>
          <cell r="AJ208" t="e">
            <v>#NAME?</v>
          </cell>
          <cell r="AK208" t="e">
            <v>#NAME?</v>
          </cell>
          <cell r="AL208" t="e">
            <v>#NAME?</v>
          </cell>
          <cell r="AN208" t="e">
            <v>#NAME?</v>
          </cell>
          <cell r="AO208" t="e">
            <v>#NAME?</v>
          </cell>
          <cell r="AP208" t="e">
            <v>#NAME?</v>
          </cell>
          <cell r="AQ208" t="e">
            <v>#NAME?</v>
          </cell>
          <cell r="AR208" t="e">
            <v>#NAME?</v>
          </cell>
          <cell r="AS208" t="e">
            <v>#NAME?</v>
          </cell>
          <cell r="AT208" t="e">
            <v>#NAME?</v>
          </cell>
          <cell r="AV208" t="e">
            <v>#NAME?</v>
          </cell>
          <cell r="AW208" t="e">
            <v>#NAME?</v>
          </cell>
          <cell r="AX208" t="e">
            <v>#NAME?</v>
          </cell>
          <cell r="AY208" t="e">
            <v>#NAME?</v>
          </cell>
          <cell r="AZ208" t="e">
            <v>#NAME?</v>
          </cell>
          <cell r="BA208" t="e">
            <v>#NAME?</v>
          </cell>
          <cell r="BB208" t="e">
            <v>#NAME?</v>
          </cell>
          <cell r="BC208" t="e">
            <v>#NAME?</v>
          </cell>
          <cell r="BD208" t="e">
            <v>#NAME?</v>
          </cell>
          <cell r="BE208" t="e">
            <v>#NAME?</v>
          </cell>
          <cell r="BG208" t="e">
            <v>#NAME?</v>
          </cell>
          <cell r="BH208" t="e">
            <v>#NAME?</v>
          </cell>
          <cell r="BJ208" t="e">
            <v>#NAME?</v>
          </cell>
          <cell r="BK208" t="e">
            <v>#NAME?</v>
          </cell>
        </row>
        <row r="209">
          <cell r="A209">
            <v>39964</v>
          </cell>
          <cell r="B209">
            <v>8.0673750087117977</v>
          </cell>
          <cell r="C209">
            <v>6.6444511401314958</v>
          </cell>
          <cell r="D209">
            <v>10</v>
          </cell>
          <cell r="E209">
            <v>1</v>
          </cell>
          <cell r="F209">
            <v>10</v>
          </cell>
          <cell r="G209">
            <v>84.317532</v>
          </cell>
          <cell r="H209">
            <v>843.17532000000006</v>
          </cell>
          <cell r="I209">
            <v>1649.323539</v>
          </cell>
          <cell r="K209">
            <v>1649.323539</v>
          </cell>
          <cell r="L209">
            <v>0.78235616438356159</v>
          </cell>
          <cell r="M209">
            <v>0.78235616438356159</v>
          </cell>
          <cell r="N209">
            <v>12.781902227202691</v>
          </cell>
          <cell r="O209">
            <v>7.3958989979453715</v>
          </cell>
          <cell r="P209">
            <v>11.044758859065741</v>
          </cell>
          <cell r="Q209">
            <v>14.693618720186111</v>
          </cell>
          <cell r="R209">
            <v>18.34247858130648</v>
          </cell>
          <cell r="S209">
            <v>21.991338442426851</v>
          </cell>
          <cell r="U209">
            <v>0.58439420671529074</v>
          </cell>
          <cell r="V209">
            <v>0.17309537420876039</v>
          </cell>
          <cell r="X209">
            <v>7.7844690914620527</v>
          </cell>
          <cell r="Y209">
            <v>0.64197481896636788</v>
          </cell>
          <cell r="Z209">
            <v>-0.32707222769643551</v>
          </cell>
          <cell r="AA209">
            <v>-6.3044659367773426E-2</v>
          </cell>
          <cell r="AB209">
            <v>0.20098290896088866</v>
          </cell>
          <cell r="AC209">
            <v>0.46501047728955075</v>
          </cell>
          <cell r="AD209">
            <v>0.72903804561821284</v>
          </cell>
          <cell r="AF209" t="e">
            <v>#NAME?</v>
          </cell>
          <cell r="AG209" t="e">
            <v>#NAME?</v>
          </cell>
          <cell r="AH209" t="e">
            <v>#NAME?</v>
          </cell>
          <cell r="AI209" t="e">
            <v>#NAME?</v>
          </cell>
          <cell r="AJ209" t="e">
            <v>#NAME?</v>
          </cell>
          <cell r="AK209" t="e">
            <v>#NAME?</v>
          </cell>
          <cell r="AL209" t="e">
            <v>#NAME?</v>
          </cell>
          <cell r="AN209" t="e">
            <v>#NAME?</v>
          </cell>
          <cell r="AO209" t="e">
            <v>#NAME?</v>
          </cell>
          <cell r="AP209" t="e">
            <v>#NAME?</v>
          </cell>
          <cell r="AQ209" t="e">
            <v>#NAME?</v>
          </cell>
          <cell r="AR209" t="e">
            <v>#NAME?</v>
          </cell>
          <cell r="AS209" t="e">
            <v>#NAME?</v>
          </cell>
          <cell r="AT209" t="e">
            <v>#NAME?</v>
          </cell>
          <cell r="AV209" t="e">
            <v>#NAME?</v>
          </cell>
          <cell r="AW209" t="e">
            <v>#NAME?</v>
          </cell>
          <cell r="AX209" t="e">
            <v>#NAME?</v>
          </cell>
          <cell r="AY209" t="e">
            <v>#NAME?</v>
          </cell>
          <cell r="AZ209" t="e">
            <v>#NAME?</v>
          </cell>
          <cell r="BA209" t="e">
            <v>#NAME?</v>
          </cell>
          <cell r="BB209" t="e">
            <v>#NAME?</v>
          </cell>
          <cell r="BC209" t="e">
            <v>#NAME?</v>
          </cell>
          <cell r="BD209" t="e">
            <v>#NAME?</v>
          </cell>
          <cell r="BE209" t="e">
            <v>#NAME?</v>
          </cell>
          <cell r="BG209" t="e">
            <v>#NAME?</v>
          </cell>
          <cell r="BH209" t="e">
            <v>#NAME?</v>
          </cell>
          <cell r="BJ209" t="e">
            <v>#NAME?</v>
          </cell>
          <cell r="BK209" t="e">
            <v>#NAME?</v>
          </cell>
        </row>
        <row r="210">
          <cell r="A210">
            <v>39994</v>
          </cell>
          <cell r="B210">
            <v>8.992316037678691</v>
          </cell>
          <cell r="C210">
            <v>5.7126788322571542</v>
          </cell>
          <cell r="D210">
            <v>11.9</v>
          </cell>
          <cell r="E210">
            <v>1</v>
          </cell>
          <cell r="F210">
            <v>11.9</v>
          </cell>
          <cell r="G210">
            <v>85.948448999999997</v>
          </cell>
          <cell r="H210">
            <v>1022.7865431</v>
          </cell>
          <cell r="I210">
            <v>1649.323539</v>
          </cell>
          <cell r="K210">
            <v>1649.323539</v>
          </cell>
          <cell r="L210">
            <v>0.77500000000000002</v>
          </cell>
          <cell r="M210">
            <v>0.77500000000000002</v>
          </cell>
          <cell r="N210">
            <v>15.35483870967742</v>
          </cell>
          <cell r="O210">
            <v>7.3958989979453715</v>
          </cell>
          <cell r="P210">
            <v>11.044758859065741</v>
          </cell>
          <cell r="Q210">
            <v>14.693618720186111</v>
          </cell>
          <cell r="R210">
            <v>18.34247858130648</v>
          </cell>
          <cell r="S210">
            <v>21.991338442426851</v>
          </cell>
          <cell r="U210">
            <v>0.70755105195804191</v>
          </cell>
          <cell r="V210">
            <v>0.17309537420876039</v>
          </cell>
          <cell r="X210">
            <v>9.423892472965882</v>
          </cell>
          <cell r="Y210">
            <v>0.62935207014782013</v>
          </cell>
          <cell r="Z210">
            <v>-0.32707222769643551</v>
          </cell>
          <cell r="AA210">
            <v>-6.3044659367773426E-2</v>
          </cell>
          <cell r="AB210">
            <v>0.20098290896088866</v>
          </cell>
          <cell r="AC210">
            <v>0.46501047728955075</v>
          </cell>
          <cell r="AD210">
            <v>0.72903804561821284</v>
          </cell>
          <cell r="AF210" t="e">
            <v>#NAME?</v>
          </cell>
          <cell r="AG210" t="e">
            <v>#NAME?</v>
          </cell>
          <cell r="AH210" t="e">
            <v>#NAME?</v>
          </cell>
          <cell r="AI210" t="e">
            <v>#NAME?</v>
          </cell>
          <cell r="AJ210" t="e">
            <v>#NAME?</v>
          </cell>
          <cell r="AK210" t="e">
            <v>#NAME?</v>
          </cell>
          <cell r="AL210" t="e">
            <v>#NAME?</v>
          </cell>
          <cell r="AN210" t="e">
            <v>#NAME?</v>
          </cell>
          <cell r="AO210" t="e">
            <v>#NAME?</v>
          </cell>
          <cell r="AP210" t="e">
            <v>#NAME?</v>
          </cell>
          <cell r="AQ210" t="e">
            <v>#NAME?</v>
          </cell>
          <cell r="AR210" t="e">
            <v>#NAME?</v>
          </cell>
          <cell r="AS210" t="e">
            <v>#NAME?</v>
          </cell>
          <cell r="AT210" t="e">
            <v>#NAME?</v>
          </cell>
          <cell r="AV210" t="e">
            <v>#NAME?</v>
          </cell>
          <cell r="AW210" t="e">
            <v>#NAME?</v>
          </cell>
          <cell r="AX210" t="e">
            <v>#NAME?</v>
          </cell>
          <cell r="AY210" t="e">
            <v>#NAME?</v>
          </cell>
          <cell r="AZ210" t="e">
            <v>#NAME?</v>
          </cell>
          <cell r="BA210" t="e">
            <v>#NAME?</v>
          </cell>
          <cell r="BB210" t="e">
            <v>#NAME?</v>
          </cell>
          <cell r="BC210" t="e">
            <v>#NAME?</v>
          </cell>
          <cell r="BD210" t="e">
            <v>#NAME?</v>
          </cell>
          <cell r="BE210" t="e">
            <v>#NAME?</v>
          </cell>
          <cell r="BG210" t="e">
            <v>#NAME?</v>
          </cell>
          <cell r="BH210" t="e">
            <v>#NAME?</v>
          </cell>
          <cell r="BJ210" t="e">
            <v>#NAME?</v>
          </cell>
          <cell r="BK210" t="e">
            <v>#NAME?</v>
          </cell>
        </row>
        <row r="211">
          <cell r="A211">
            <v>40025</v>
          </cell>
          <cell r="B211">
            <v>9.9740631120892207</v>
          </cell>
          <cell r="C211">
            <v>5.0760268967754429</v>
          </cell>
          <cell r="D211">
            <v>11.64</v>
          </cell>
          <cell r="E211">
            <v>1</v>
          </cell>
          <cell r="F211">
            <v>11.64</v>
          </cell>
          <cell r="G211">
            <v>85.948448999999997</v>
          </cell>
          <cell r="H211">
            <v>1000.43994636</v>
          </cell>
          <cell r="I211">
            <v>1649.323539</v>
          </cell>
          <cell r="K211">
            <v>1649.323539</v>
          </cell>
          <cell r="L211">
            <v>0.78247945205479441</v>
          </cell>
          <cell r="M211">
            <v>0.78247945205479441</v>
          </cell>
          <cell r="N211">
            <v>14.875789989671052</v>
          </cell>
          <cell r="O211">
            <v>7.3958989979453715</v>
          </cell>
          <cell r="P211">
            <v>11.044758859065741</v>
          </cell>
          <cell r="Q211">
            <v>14.693618720186111</v>
          </cell>
          <cell r="R211">
            <v>18.34247858130648</v>
          </cell>
          <cell r="S211">
            <v>21.991338442426851</v>
          </cell>
          <cell r="U211">
            <v>0.49144734923931011</v>
          </cell>
          <cell r="V211">
            <v>0.17309537420876039</v>
          </cell>
          <cell r="X211">
            <v>10.526715228323626</v>
          </cell>
          <cell r="Y211">
            <v>0.41314642478839181</v>
          </cell>
          <cell r="Z211">
            <v>-0.32707222769643551</v>
          </cell>
          <cell r="AA211">
            <v>-6.3044659367773426E-2</v>
          </cell>
          <cell r="AB211">
            <v>0.20098290896088866</v>
          </cell>
          <cell r="AC211">
            <v>0.46501047728955075</v>
          </cell>
          <cell r="AD211">
            <v>0.72903804561821284</v>
          </cell>
          <cell r="AF211" t="e">
            <v>#NAME?</v>
          </cell>
          <cell r="AG211" t="e">
            <v>#NAME?</v>
          </cell>
          <cell r="AH211" t="e">
            <v>#NAME?</v>
          </cell>
          <cell r="AI211" t="e">
            <v>#NAME?</v>
          </cell>
          <cell r="AJ211" t="e">
            <v>#NAME?</v>
          </cell>
          <cell r="AK211" t="e">
            <v>#NAME?</v>
          </cell>
          <cell r="AL211" t="e">
            <v>#NAME?</v>
          </cell>
          <cell r="AN211" t="e">
            <v>#NAME?</v>
          </cell>
          <cell r="AO211" t="e">
            <v>#NAME?</v>
          </cell>
          <cell r="AP211" t="e">
            <v>#NAME?</v>
          </cell>
          <cell r="AQ211" t="e">
            <v>#NAME?</v>
          </cell>
          <cell r="AR211" t="e">
            <v>#NAME?</v>
          </cell>
          <cell r="AS211" t="e">
            <v>#NAME?</v>
          </cell>
          <cell r="AT211" t="e">
            <v>#NAME?</v>
          </cell>
          <cell r="AV211" t="e">
            <v>#NAME?</v>
          </cell>
          <cell r="AW211" t="e">
            <v>#NAME?</v>
          </cell>
          <cell r="AX211" t="e">
            <v>#NAME?</v>
          </cell>
          <cell r="AY211" t="e">
            <v>#NAME?</v>
          </cell>
          <cell r="AZ211" t="e">
            <v>#NAME?</v>
          </cell>
          <cell r="BA211" t="e">
            <v>#NAME?</v>
          </cell>
          <cell r="BB211" t="e">
            <v>#NAME?</v>
          </cell>
          <cell r="BC211" t="e">
            <v>#NAME?</v>
          </cell>
          <cell r="BD211" t="e">
            <v>#NAME?</v>
          </cell>
          <cell r="BE211" t="e">
            <v>#NAME?</v>
          </cell>
          <cell r="BG211" t="e">
            <v>#NAME?</v>
          </cell>
          <cell r="BH211" t="e">
            <v>#NAME?</v>
          </cell>
          <cell r="BJ211" t="e">
            <v>#NAME?</v>
          </cell>
          <cell r="BK211" t="e">
            <v>#NAME?</v>
          </cell>
        </row>
        <row r="212">
          <cell r="A212">
            <v>40056</v>
          </cell>
          <cell r="B212">
            <v>10.42539060380042</v>
          </cell>
          <cell r="C212">
            <v>4.7132655305457769</v>
          </cell>
          <cell r="D212">
            <v>12.93</v>
          </cell>
          <cell r="E212">
            <v>1</v>
          </cell>
          <cell r="F212">
            <v>12.93</v>
          </cell>
          <cell r="G212">
            <v>85.948448999999997</v>
          </cell>
          <cell r="H212">
            <v>1111.3134455699999</v>
          </cell>
          <cell r="I212">
            <v>1649.323539</v>
          </cell>
          <cell r="K212">
            <v>1649.323539</v>
          </cell>
          <cell r="L212">
            <v>0.83039726027397265</v>
          </cell>
          <cell r="M212">
            <v>0.83039726027397265</v>
          </cell>
          <cell r="N212">
            <v>15.57086062125736</v>
          </cell>
          <cell r="O212">
            <v>7.3958989979453715</v>
          </cell>
          <cell r="P212">
            <v>11.044758859065741</v>
          </cell>
          <cell r="Q212">
            <v>14.693618720186111</v>
          </cell>
          <cell r="R212">
            <v>18.34247858130648</v>
          </cell>
          <cell r="S212">
            <v>21.991338442426851</v>
          </cell>
          <cell r="U212">
            <v>0.49355177307037645</v>
          </cell>
          <cell r="V212">
            <v>0.17309537420876039</v>
          </cell>
          <cell r="X212">
            <v>12.467647271981724</v>
          </cell>
          <cell r="Y212">
            <v>0.24890127877209212</v>
          </cell>
          <cell r="Z212">
            <v>-0.32707222769643551</v>
          </cell>
          <cell r="AA212">
            <v>-6.3044659367773426E-2</v>
          </cell>
          <cell r="AB212">
            <v>0.20098290896088866</v>
          </cell>
          <cell r="AC212">
            <v>0.46501047728955075</v>
          </cell>
          <cell r="AD212">
            <v>0.72903804561821284</v>
          </cell>
          <cell r="AF212" t="e">
            <v>#NAME?</v>
          </cell>
          <cell r="AG212" t="e">
            <v>#NAME?</v>
          </cell>
          <cell r="AH212" t="e">
            <v>#NAME?</v>
          </cell>
          <cell r="AI212" t="e">
            <v>#NAME?</v>
          </cell>
          <cell r="AJ212" t="e">
            <v>#NAME?</v>
          </cell>
          <cell r="AK212" t="e">
            <v>#NAME?</v>
          </cell>
          <cell r="AL212" t="e">
            <v>#NAME?</v>
          </cell>
          <cell r="AN212" t="e">
            <v>#NAME?</v>
          </cell>
          <cell r="AO212" t="e">
            <v>#NAME?</v>
          </cell>
          <cell r="AP212" t="e">
            <v>#NAME?</v>
          </cell>
          <cell r="AQ212" t="e">
            <v>#NAME?</v>
          </cell>
          <cell r="AR212" t="e">
            <v>#NAME?</v>
          </cell>
          <cell r="AS212" t="e">
            <v>#NAME?</v>
          </cell>
          <cell r="AT212" t="e">
            <v>#NAME?</v>
          </cell>
          <cell r="AV212" t="e">
            <v>#NAME?</v>
          </cell>
          <cell r="AW212" t="e">
            <v>#NAME?</v>
          </cell>
          <cell r="AX212" t="e">
            <v>#NAME?</v>
          </cell>
          <cell r="AY212" t="e">
            <v>#NAME?</v>
          </cell>
          <cell r="AZ212" t="e">
            <v>#NAME?</v>
          </cell>
          <cell r="BA212" t="e">
            <v>#NAME?</v>
          </cell>
          <cell r="BB212" t="e">
            <v>#NAME?</v>
          </cell>
          <cell r="BC212" t="e">
            <v>#NAME?</v>
          </cell>
          <cell r="BD212" t="e">
            <v>#NAME?</v>
          </cell>
          <cell r="BE212" t="e">
            <v>#NAME?</v>
          </cell>
          <cell r="BG212" t="e">
            <v>#NAME?</v>
          </cell>
          <cell r="BH212" t="e">
            <v>#NAME?</v>
          </cell>
          <cell r="BJ212" t="e">
            <v>#NAME?</v>
          </cell>
          <cell r="BK212" t="e">
            <v>#NAME?</v>
          </cell>
        </row>
        <row r="213">
          <cell r="A213">
            <v>40086</v>
          </cell>
          <cell r="B213">
            <v>11.489822534928599</v>
          </cell>
          <cell r="C213">
            <v>4.3640822324583377</v>
          </cell>
          <cell r="D213">
            <v>13.38</v>
          </cell>
          <cell r="E213">
            <v>1</v>
          </cell>
          <cell r="F213">
            <v>13.38</v>
          </cell>
          <cell r="G213">
            <v>85.948448999999997</v>
          </cell>
          <cell r="H213">
            <v>1149.99024762</v>
          </cell>
          <cell r="I213" t="e">
            <v>#NAME?</v>
          </cell>
          <cell r="K213" t="e">
            <v>#NAME?</v>
          </cell>
          <cell r="L213">
            <v>0.84039726027397266</v>
          </cell>
          <cell r="M213">
            <v>0.84039726027397266</v>
          </cell>
          <cell r="N213">
            <v>15.921041907773558</v>
          </cell>
          <cell r="O213">
            <v>7.3958989979453715</v>
          </cell>
          <cell r="P213">
            <v>11.044758859065741</v>
          </cell>
          <cell r="Q213">
            <v>14.693618720186111</v>
          </cell>
          <cell r="R213">
            <v>18.34247858130648</v>
          </cell>
          <cell r="S213">
            <v>21.991338442426851</v>
          </cell>
          <cell r="U213">
            <v>0.38566473584550409</v>
          </cell>
          <cell r="V213">
            <v>0.17309537420876039</v>
          </cell>
          <cell r="X213">
            <v>13.517409080481679</v>
          </cell>
          <cell r="Y213">
            <v>0.17781756940111992</v>
          </cell>
          <cell r="Z213">
            <v>-0.32707222769643551</v>
          </cell>
          <cell r="AA213">
            <v>-6.3044659367773426E-2</v>
          </cell>
          <cell r="AB213">
            <v>0.20098290896088866</v>
          </cell>
          <cell r="AC213">
            <v>0.46501047728955075</v>
          </cell>
          <cell r="AD213">
            <v>0.72903804561821284</v>
          </cell>
          <cell r="AF213" t="e">
            <v>#NAME?</v>
          </cell>
          <cell r="AG213" t="e">
            <v>#NAME?</v>
          </cell>
          <cell r="AH213" t="e">
            <v>#NAME?</v>
          </cell>
          <cell r="AI213" t="e">
            <v>#NAME?</v>
          </cell>
          <cell r="AJ213" t="e">
            <v>#NAME?</v>
          </cell>
          <cell r="AK213" t="e">
            <v>#NAME?</v>
          </cell>
          <cell r="AL213" t="e">
            <v>#NAME?</v>
          </cell>
          <cell r="AN213" t="e">
            <v>#NAME?</v>
          </cell>
          <cell r="AO213" t="e">
            <v>#NAME?</v>
          </cell>
          <cell r="AP213" t="e">
            <v>#NAME?</v>
          </cell>
          <cell r="AQ213" t="e">
            <v>#NAME?</v>
          </cell>
          <cell r="AR213" t="e">
            <v>#NAME?</v>
          </cell>
          <cell r="AS213" t="e">
            <v>#NAME?</v>
          </cell>
          <cell r="AT213" t="e">
            <v>#NAME?</v>
          </cell>
          <cell r="AV213" t="e">
            <v>#NAME?</v>
          </cell>
          <cell r="AW213" t="e">
            <v>#NAME?</v>
          </cell>
          <cell r="AX213" t="e">
            <v>#NAME?</v>
          </cell>
          <cell r="AY213" t="e">
            <v>#NAME?</v>
          </cell>
          <cell r="AZ213" t="e">
            <v>#NAME?</v>
          </cell>
          <cell r="BA213" t="e">
            <v>#NAME?</v>
          </cell>
          <cell r="BB213" t="e">
            <v>#NAME?</v>
          </cell>
          <cell r="BC213" t="e">
            <v>#NAME?</v>
          </cell>
          <cell r="BD213" t="e">
            <v>#NAME?</v>
          </cell>
          <cell r="BE213" t="e">
            <v>#NAME?</v>
          </cell>
          <cell r="BG213" t="e">
            <v>#NAME?</v>
          </cell>
          <cell r="BH213" t="e">
            <v>#NAME?</v>
          </cell>
          <cell r="BJ213" t="e">
            <v>#NAME?</v>
          </cell>
          <cell r="BK213" t="e">
            <v>#NAME?</v>
          </cell>
        </row>
        <row r="214">
          <cell r="A214">
            <v>40117</v>
          </cell>
          <cell r="B214">
            <v>11.534129033349441</v>
          </cell>
          <cell r="C214">
            <v>4.1242836481166707</v>
          </cell>
          <cell r="D214">
            <v>13.38</v>
          </cell>
          <cell r="E214">
            <v>1</v>
          </cell>
          <cell r="F214">
            <v>13.38</v>
          </cell>
          <cell r="G214">
            <v>85.948448999999997</v>
          </cell>
          <cell r="H214">
            <v>1149.99024762</v>
          </cell>
          <cell r="I214">
            <v>1649.323539</v>
          </cell>
          <cell r="K214">
            <v>1649.323539</v>
          </cell>
          <cell r="L214">
            <v>0.85266659999999994</v>
          </cell>
          <cell r="M214">
            <v>0.85266659999999994</v>
          </cell>
          <cell r="N214">
            <v>15.691948060355598</v>
          </cell>
          <cell r="O214">
            <v>7.3958989979453715</v>
          </cell>
          <cell r="P214">
            <v>11.044758859065741</v>
          </cell>
          <cell r="Q214">
            <v>14.693618720186111</v>
          </cell>
          <cell r="R214">
            <v>18.34247858130648</v>
          </cell>
          <cell r="S214">
            <v>21.991338442426851</v>
          </cell>
          <cell r="U214">
            <v>0.36047966994164549</v>
          </cell>
          <cell r="V214">
            <v>0.17309537420876039</v>
          </cell>
          <cell r="X214">
            <v>12.734416976269653</v>
          </cell>
          <cell r="Y214">
            <v>0.23224707417679569</v>
          </cell>
          <cell r="Z214">
            <v>-0.32707222769643551</v>
          </cell>
          <cell r="AA214">
            <v>-6.3044659367773426E-2</v>
          </cell>
          <cell r="AB214">
            <v>0.20098290896088866</v>
          </cell>
          <cell r="AC214">
            <v>0.46501047728955075</v>
          </cell>
          <cell r="AD214">
            <v>0.72903804561821284</v>
          </cell>
          <cell r="AF214" t="e">
            <v>#NAME?</v>
          </cell>
          <cell r="AG214" t="e">
            <v>#NAME?</v>
          </cell>
          <cell r="AH214" t="e">
            <v>#NAME?</v>
          </cell>
          <cell r="AI214" t="e">
            <v>#NAME?</v>
          </cell>
          <cell r="AJ214" t="e">
            <v>#NAME?</v>
          </cell>
          <cell r="AK214" t="e">
            <v>#NAME?</v>
          </cell>
          <cell r="AL214" t="e">
            <v>#NAME?</v>
          </cell>
          <cell r="AN214" t="e">
            <v>#NAME?</v>
          </cell>
          <cell r="AO214" t="e">
            <v>#NAME?</v>
          </cell>
          <cell r="AP214" t="e">
            <v>#NAME?</v>
          </cell>
          <cell r="AQ214" t="e">
            <v>#NAME?</v>
          </cell>
          <cell r="AR214" t="e">
            <v>#NAME?</v>
          </cell>
          <cell r="AS214" t="e">
            <v>#NAME?</v>
          </cell>
          <cell r="AT214" t="e">
            <v>#NAME?</v>
          </cell>
          <cell r="AV214" t="e">
            <v>#NAME?</v>
          </cell>
          <cell r="AW214" t="e">
            <v>#NAME?</v>
          </cell>
          <cell r="AX214" t="e">
            <v>#NAME?</v>
          </cell>
          <cell r="AY214" t="e">
            <v>#NAME?</v>
          </cell>
          <cell r="AZ214" t="e">
            <v>#NAME?</v>
          </cell>
          <cell r="BA214" t="e">
            <v>#NAME?</v>
          </cell>
          <cell r="BB214" t="e">
            <v>#NAME?</v>
          </cell>
          <cell r="BC214" t="e">
            <v>#NAME?</v>
          </cell>
          <cell r="BD214" t="e">
            <v>#NAME?</v>
          </cell>
          <cell r="BE214" t="e">
            <v>#NAME?</v>
          </cell>
          <cell r="BG214" t="e">
            <v>#NAME?</v>
          </cell>
          <cell r="BH214" t="e">
            <v>#NAME?</v>
          </cell>
          <cell r="BJ214" t="e">
            <v>#NAME?</v>
          </cell>
          <cell r="BK214" t="e">
            <v>#NAME?</v>
          </cell>
        </row>
        <row r="215">
          <cell r="A215">
            <v>40147</v>
          </cell>
          <cell r="B215">
            <v>11.750757265032991</v>
          </cell>
          <cell r="C215" t="e">
            <v>#REF!</v>
          </cell>
          <cell r="D215">
            <v>12.91</v>
          </cell>
          <cell r="E215">
            <v>1</v>
          </cell>
          <cell r="F215">
            <v>12.91</v>
          </cell>
          <cell r="G215">
            <v>85.948448999999997</v>
          </cell>
          <cell r="H215">
            <v>1109.5944765899999</v>
          </cell>
          <cell r="I215">
            <v>1649.323539</v>
          </cell>
          <cell r="K215">
            <v>1649.323539</v>
          </cell>
          <cell r="L215">
            <v>0.84875</v>
          </cell>
          <cell r="M215">
            <v>0.84875</v>
          </cell>
          <cell r="N215">
            <v>15.210603829160529</v>
          </cell>
          <cell r="O215">
            <v>7.3958989979453715</v>
          </cell>
          <cell r="P215">
            <v>11.044758859065741</v>
          </cell>
          <cell r="Q215">
            <v>14.693618720186111</v>
          </cell>
          <cell r="R215">
            <v>18.34247858130648</v>
          </cell>
          <cell r="S215">
            <v>21.991338442426851</v>
          </cell>
          <cell r="U215">
            <v>0.29443605089376557</v>
          </cell>
          <cell r="V215">
            <v>0.17309537420876039</v>
          </cell>
          <cell r="X215">
            <v>12.777151277486267</v>
          </cell>
          <cell r="Y215">
            <v>0.19045345075956654</v>
          </cell>
          <cell r="Z215">
            <v>-0.32707222769643551</v>
          </cell>
          <cell r="AA215">
            <v>-6.3044659367773426E-2</v>
          </cell>
          <cell r="AB215">
            <v>0.20098290896088866</v>
          </cell>
          <cell r="AC215">
            <v>0.46501047728955075</v>
          </cell>
          <cell r="AD215">
            <v>0.72903804561821284</v>
          </cell>
          <cell r="AF215" t="e">
            <v>#NAME?</v>
          </cell>
          <cell r="AG215" t="e">
            <v>#NAME?</v>
          </cell>
          <cell r="AH215" t="e">
            <v>#NAME?</v>
          </cell>
          <cell r="AI215" t="e">
            <v>#NAME?</v>
          </cell>
          <cell r="AJ215" t="e">
            <v>#NAME?</v>
          </cell>
          <cell r="AK215" t="e">
            <v>#NAME?</v>
          </cell>
          <cell r="AL215" t="e">
            <v>#NAME?</v>
          </cell>
          <cell r="AN215" t="e">
            <v>#NAME?</v>
          </cell>
          <cell r="AO215" t="e">
            <v>#NAME?</v>
          </cell>
          <cell r="AP215" t="e">
            <v>#NAME?</v>
          </cell>
          <cell r="AQ215" t="e">
            <v>#NAME?</v>
          </cell>
          <cell r="AR215" t="e">
            <v>#NAME?</v>
          </cell>
          <cell r="AS215" t="e">
            <v>#NAME?</v>
          </cell>
          <cell r="AT215" t="e">
            <v>#NAME?</v>
          </cell>
          <cell r="AV215" t="e">
            <v>#NAME?</v>
          </cell>
          <cell r="AW215" t="e">
            <v>#NAME?</v>
          </cell>
          <cell r="AX215" t="e">
            <v>#NAME?</v>
          </cell>
          <cell r="AY215" t="e">
            <v>#NAME?</v>
          </cell>
          <cell r="AZ215" t="e">
            <v>#NAME?</v>
          </cell>
          <cell r="BA215" t="e">
            <v>#NAME?</v>
          </cell>
          <cell r="BB215" t="e">
            <v>#NAME?</v>
          </cell>
          <cell r="BC215" t="e">
            <v>#NAME?</v>
          </cell>
          <cell r="BD215" t="e">
            <v>#NAME?</v>
          </cell>
          <cell r="BE215" t="e">
            <v>#NAME?</v>
          </cell>
          <cell r="BG215" t="e">
            <v>#NAME?</v>
          </cell>
          <cell r="BH215" t="e">
            <v>#NAME?</v>
          </cell>
          <cell r="BJ215" t="e">
            <v>#NAME?</v>
          </cell>
          <cell r="BK215" t="e">
            <v>#NAME?</v>
          </cell>
        </row>
        <row r="216">
          <cell r="A216">
            <v>40178</v>
          </cell>
          <cell r="B216">
            <v>12.104013563920866</v>
          </cell>
          <cell r="C216" t="e">
            <v>#REF!</v>
          </cell>
          <cell r="D216">
            <v>14.32</v>
          </cell>
          <cell r="E216">
            <v>1</v>
          </cell>
          <cell r="F216">
            <v>14.32</v>
          </cell>
          <cell r="G216">
            <v>85.948448999999997</v>
          </cell>
          <cell r="H216">
            <v>1230.78178968</v>
          </cell>
          <cell r="I216">
            <v>1649.323539</v>
          </cell>
          <cell r="K216">
            <v>1649.323539</v>
          </cell>
          <cell r="L216">
            <v>0.85950000000000004</v>
          </cell>
          <cell r="M216">
            <v>0.85950000000000004</v>
          </cell>
          <cell r="N216">
            <v>16.6608493310064</v>
          </cell>
          <cell r="O216">
            <v>7.3958989979453715</v>
          </cell>
          <cell r="P216">
            <v>11.044758859065741</v>
          </cell>
          <cell r="Q216">
            <v>14.693618720186111</v>
          </cell>
          <cell r="R216">
            <v>18.34247858130648</v>
          </cell>
          <cell r="S216">
            <v>21.991338442426851</v>
          </cell>
          <cell r="U216">
            <v>0.37647312133459265</v>
          </cell>
          <cell r="V216">
            <v>0.17309537420876039</v>
          </cell>
          <cell r="X216">
            <v>13.453418159532763</v>
          </cell>
          <cell r="Y216">
            <v>0.23841012993422273</v>
          </cell>
          <cell r="Z216">
            <v>-0.32707222769643551</v>
          </cell>
          <cell r="AA216">
            <v>-6.3044659367773426E-2</v>
          </cell>
          <cell r="AB216">
            <v>0.20098290896088866</v>
          </cell>
          <cell r="AC216">
            <v>0.46501047728955075</v>
          </cell>
          <cell r="AD216">
            <v>0.72903804561821284</v>
          </cell>
          <cell r="AF216" t="e">
            <v>#NAME?</v>
          </cell>
          <cell r="AG216" t="e">
            <v>#NAME?</v>
          </cell>
          <cell r="AH216" t="e">
            <v>#NAME?</v>
          </cell>
          <cell r="AI216" t="e">
            <v>#NAME?</v>
          </cell>
          <cell r="AJ216" t="e">
            <v>#NAME?</v>
          </cell>
          <cell r="AK216" t="e">
            <v>#NAME?</v>
          </cell>
          <cell r="AL216" t="e">
            <v>#NAME?</v>
          </cell>
          <cell r="AN216" t="e">
            <v>#NAME?</v>
          </cell>
          <cell r="AO216" t="e">
            <v>#NAME?</v>
          </cell>
          <cell r="AP216" t="e">
            <v>#NAME?</v>
          </cell>
          <cell r="AQ216" t="e">
            <v>#NAME?</v>
          </cell>
          <cell r="AR216" t="e">
            <v>#NAME?</v>
          </cell>
          <cell r="AS216" t="e">
            <v>#NAME?</v>
          </cell>
          <cell r="AT216" t="e">
            <v>#NAME?</v>
          </cell>
          <cell r="AV216" t="e">
            <v>#NAME?</v>
          </cell>
          <cell r="AW216" t="e">
            <v>#NAME?</v>
          </cell>
          <cell r="AX216" t="e">
            <v>#NAME?</v>
          </cell>
          <cell r="AY216" t="e">
            <v>#NAME?</v>
          </cell>
          <cell r="AZ216" t="e">
            <v>#NAME?</v>
          </cell>
          <cell r="BA216" t="e">
            <v>#NAME?</v>
          </cell>
          <cell r="BB216" t="e">
            <v>#NAME?</v>
          </cell>
          <cell r="BC216" t="e">
            <v>#NAME?</v>
          </cell>
          <cell r="BD216" t="e">
            <v>#NAME?</v>
          </cell>
          <cell r="BE216" t="e">
            <v>#NAME?</v>
          </cell>
          <cell r="BG216" t="e">
            <v>#NAME?</v>
          </cell>
          <cell r="BH216" t="e">
            <v>#NAME?</v>
          </cell>
          <cell r="BJ216" t="e">
            <v>#NAME?</v>
          </cell>
          <cell r="BK216" t="e">
            <v>#NAME?</v>
          </cell>
        </row>
        <row r="217">
          <cell r="A217">
            <v>40209</v>
          </cell>
          <cell r="B217">
            <v>11.445538980945694</v>
          </cell>
          <cell r="C217" t="e">
            <v>#REF!</v>
          </cell>
          <cell r="D217">
            <v>12.85</v>
          </cell>
          <cell r="E217">
            <v>1</v>
          </cell>
          <cell r="F217">
            <v>12.85</v>
          </cell>
          <cell r="G217">
            <v>85.948448999999997</v>
          </cell>
          <cell r="H217">
            <v>1104.4375696499999</v>
          </cell>
          <cell r="I217">
            <v>1649.323539</v>
          </cell>
          <cell r="K217">
            <v>1649.323539</v>
          </cell>
          <cell r="L217">
            <v>0.8655834</v>
          </cell>
          <cell r="M217">
            <v>0.8655834</v>
          </cell>
          <cell r="N217">
            <v>14.845478783442474</v>
          </cell>
          <cell r="O217">
            <v>7.3958989979453715</v>
          </cell>
          <cell r="P217">
            <v>11.044758859065741</v>
          </cell>
          <cell r="Q217">
            <v>14.693618720186111</v>
          </cell>
          <cell r="R217">
            <v>18.34247858130648</v>
          </cell>
          <cell r="S217">
            <v>21.991338442426851</v>
          </cell>
          <cell r="U217">
            <v>0.29705370871192116</v>
          </cell>
          <cell r="V217">
            <v>0.17309537420876039</v>
          </cell>
          <cell r="X217">
            <v>11.939919894507071</v>
          </cell>
          <cell r="Y217">
            <v>0.24334827323859165</v>
          </cell>
          <cell r="Z217">
            <v>-0.32707222769643551</v>
          </cell>
          <cell r="AA217">
            <v>-6.3044659367773426E-2</v>
          </cell>
          <cell r="AB217">
            <v>0.20098290896088866</v>
          </cell>
          <cell r="AC217">
            <v>0.46501047728955075</v>
          </cell>
          <cell r="AD217">
            <v>0.72903804561821284</v>
          </cell>
          <cell r="AF217" t="e">
            <v>#NAME?</v>
          </cell>
          <cell r="AG217" t="e">
            <v>#NAME?</v>
          </cell>
          <cell r="AH217" t="e">
            <v>#NAME?</v>
          </cell>
          <cell r="AI217" t="e">
            <v>#NAME?</v>
          </cell>
          <cell r="AJ217" t="e">
            <v>#NAME?</v>
          </cell>
          <cell r="AK217" t="e">
            <v>#NAME?</v>
          </cell>
          <cell r="AL217" t="e">
            <v>#NAME?</v>
          </cell>
          <cell r="AN217" t="e">
            <v>#NAME?</v>
          </cell>
          <cell r="AO217" t="e">
            <v>#NAME?</v>
          </cell>
          <cell r="AP217" t="e">
            <v>#NAME?</v>
          </cell>
          <cell r="AQ217" t="e">
            <v>#NAME?</v>
          </cell>
          <cell r="AR217" t="e">
            <v>#NAME?</v>
          </cell>
          <cell r="AS217" t="e">
            <v>#NAME?</v>
          </cell>
          <cell r="AT217" t="e">
            <v>#NAME?</v>
          </cell>
          <cell r="AV217" t="e">
            <v>#NAME?</v>
          </cell>
          <cell r="AW217" t="e">
            <v>#NAME?</v>
          </cell>
          <cell r="AX217" t="e">
            <v>#NAME?</v>
          </cell>
          <cell r="AY217" t="e">
            <v>#NAME?</v>
          </cell>
          <cell r="AZ217" t="e">
            <v>#NAME?</v>
          </cell>
          <cell r="BA217" t="e">
            <v>#NAME?</v>
          </cell>
          <cell r="BB217" t="e">
            <v>#NAME?</v>
          </cell>
          <cell r="BC217" t="e">
            <v>#NAME?</v>
          </cell>
          <cell r="BD217" t="e">
            <v>#NAME?</v>
          </cell>
          <cell r="BE217" t="e">
            <v>#NAME?</v>
          </cell>
          <cell r="BG217" t="e">
            <v>#NAME?</v>
          </cell>
          <cell r="BH217" t="e">
            <v>#NAME?</v>
          </cell>
          <cell r="BJ217" t="e">
            <v>#NAME?</v>
          </cell>
          <cell r="BK217" t="e">
            <v>#NAME?</v>
          </cell>
        </row>
        <row r="218">
          <cell r="A218">
            <v>40237</v>
          </cell>
          <cell r="B218">
            <v>11.95637829084019</v>
          </cell>
          <cell r="C218" t="e">
            <v>#REF!</v>
          </cell>
          <cell r="D218">
            <v>14.21</v>
          </cell>
          <cell r="E218">
            <v>1</v>
          </cell>
          <cell r="F218">
            <v>14.21</v>
          </cell>
          <cell r="G218">
            <v>85.948448999999997</v>
          </cell>
          <cell r="H218">
            <v>1221.3274602900001</v>
          </cell>
          <cell r="I218">
            <v>1649.323539</v>
          </cell>
          <cell r="K218">
            <v>1649.323539</v>
          </cell>
          <cell r="L218">
            <v>0.98199999999999998</v>
          </cell>
          <cell r="M218">
            <v>0.98199999999999998</v>
          </cell>
          <cell r="N218">
            <v>14.470468431771895</v>
          </cell>
          <cell r="O218">
            <v>7.3958989979453715</v>
          </cell>
          <cell r="P218">
            <v>11.044758859065741</v>
          </cell>
          <cell r="Q218">
            <v>14.693618720186111</v>
          </cell>
          <cell r="R218">
            <v>18.34247858130648</v>
          </cell>
          <cell r="S218">
            <v>21.991338442426851</v>
          </cell>
          <cell r="U218">
            <v>0.21027187997704577</v>
          </cell>
          <cell r="V218">
            <v>0.17309537420876039</v>
          </cell>
          <cell r="X218">
            <v>11.900682909783086</v>
          </cell>
          <cell r="Y218">
            <v>0.21593597119340857</v>
          </cell>
          <cell r="Z218">
            <v>-0.32707222769643551</v>
          </cell>
          <cell r="AA218">
            <v>-6.3044659367773426E-2</v>
          </cell>
          <cell r="AB218">
            <v>0.20098290896088866</v>
          </cell>
          <cell r="AC218">
            <v>0.46501047728955075</v>
          </cell>
          <cell r="AD218">
            <v>0.72903804561821284</v>
          </cell>
          <cell r="AF218" t="e">
            <v>#NAME?</v>
          </cell>
          <cell r="AG218" t="e">
            <v>#NAME?</v>
          </cell>
          <cell r="AH218" t="e">
            <v>#NAME?</v>
          </cell>
          <cell r="AI218" t="e">
            <v>#NAME?</v>
          </cell>
          <cell r="AJ218" t="e">
            <v>#NAME?</v>
          </cell>
          <cell r="AK218" t="e">
            <v>#NAME?</v>
          </cell>
          <cell r="AL218" t="e">
            <v>#NAME?</v>
          </cell>
          <cell r="AN218" t="e">
            <v>#NAME?</v>
          </cell>
          <cell r="AO218" t="e">
            <v>#NAME?</v>
          </cell>
          <cell r="AP218" t="e">
            <v>#NAME?</v>
          </cell>
          <cell r="AQ218" t="e">
            <v>#NAME?</v>
          </cell>
          <cell r="AR218" t="e">
            <v>#NAME?</v>
          </cell>
          <cell r="AS218" t="e">
            <v>#NAME?</v>
          </cell>
          <cell r="AT218" t="e">
            <v>#NAME?</v>
          </cell>
          <cell r="AV218" t="e">
            <v>#NAME?</v>
          </cell>
          <cell r="AW218" t="e">
            <v>#NAME?</v>
          </cell>
          <cell r="AX218" t="e">
            <v>#NAME?</v>
          </cell>
          <cell r="AY218" t="e">
            <v>#NAME?</v>
          </cell>
          <cell r="AZ218" t="e">
            <v>#NAME?</v>
          </cell>
          <cell r="BA218" t="e">
            <v>#NAME?</v>
          </cell>
          <cell r="BB218" t="e">
            <v>#NAME?</v>
          </cell>
          <cell r="BC218" t="e">
            <v>#NAME?</v>
          </cell>
          <cell r="BD218" t="e">
            <v>#NAME?</v>
          </cell>
          <cell r="BE218" t="e">
            <v>#NAME?</v>
          </cell>
          <cell r="BG218" t="e">
            <v>#NAME?</v>
          </cell>
          <cell r="BH218" t="e">
            <v>#NAME?</v>
          </cell>
          <cell r="BJ218" t="e">
            <v>#NAME?</v>
          </cell>
          <cell r="BK218" t="e">
            <v>#NAME?</v>
          </cell>
        </row>
        <row r="219">
          <cell r="A219">
            <v>40268</v>
          </cell>
          <cell r="B219">
            <v>11.779439450221448</v>
          </cell>
          <cell r="C219" t="e">
            <v>#REF!</v>
          </cell>
          <cell r="D219">
            <v>15.3</v>
          </cell>
          <cell r="E219">
            <v>1</v>
          </cell>
          <cell r="F219">
            <v>15.3</v>
          </cell>
          <cell r="G219">
            <v>85.948448999999997</v>
          </cell>
          <cell r="H219">
            <v>1315.0112697</v>
          </cell>
          <cell r="I219">
            <v>1649.323539</v>
          </cell>
          <cell r="K219">
            <v>1649.323539</v>
          </cell>
          <cell r="L219">
            <v>1.0004999999999999</v>
          </cell>
          <cell r="M219">
            <v>1.0004999999999999</v>
          </cell>
          <cell r="N219">
            <v>15.292353823088458</v>
          </cell>
          <cell r="O219">
            <v>7.3958989979453715</v>
          </cell>
          <cell r="P219">
            <v>11.044758859065741</v>
          </cell>
          <cell r="Q219">
            <v>14.693618720186111</v>
          </cell>
          <cell r="R219">
            <v>18.34247858130648</v>
          </cell>
          <cell r="S219">
            <v>21.991338442426851</v>
          </cell>
          <cell r="U219">
            <v>0.29822423959240019</v>
          </cell>
          <cell r="V219">
            <v>0.17309537420876039</v>
          </cell>
          <cell r="X219">
            <v>11.761940204161414</v>
          </cell>
          <cell r="Y219">
            <v>0.30015571900951943</v>
          </cell>
          <cell r="Z219">
            <v>-0.32707222769643551</v>
          </cell>
          <cell r="AA219">
            <v>-6.3044659367773426E-2</v>
          </cell>
          <cell r="AB219">
            <v>0.20098290896088866</v>
          </cell>
          <cell r="AC219">
            <v>0.46501047728955075</v>
          </cell>
          <cell r="AD219">
            <v>0.72903804561821284</v>
          </cell>
          <cell r="AF219" t="e">
            <v>#NAME?</v>
          </cell>
          <cell r="AG219" t="e">
            <v>#NAME?</v>
          </cell>
          <cell r="AH219" t="e">
            <v>#NAME?</v>
          </cell>
          <cell r="AI219" t="e">
            <v>#NAME?</v>
          </cell>
          <cell r="AJ219" t="e">
            <v>#NAME?</v>
          </cell>
          <cell r="AK219" t="e">
            <v>#NAME?</v>
          </cell>
          <cell r="AL219" t="e">
            <v>#NAME?</v>
          </cell>
          <cell r="AN219" t="e">
            <v>#NAME?</v>
          </cell>
          <cell r="AO219" t="e">
            <v>#NAME?</v>
          </cell>
          <cell r="AP219" t="e">
            <v>#NAME?</v>
          </cell>
          <cell r="AQ219" t="e">
            <v>#NAME?</v>
          </cell>
          <cell r="AR219" t="e">
            <v>#NAME?</v>
          </cell>
          <cell r="AS219" t="e">
            <v>#NAME?</v>
          </cell>
          <cell r="AT219" t="e">
            <v>#NAME?</v>
          </cell>
          <cell r="AV219" t="e">
            <v>#NAME?</v>
          </cell>
          <cell r="AW219" t="e">
            <v>#NAME?</v>
          </cell>
          <cell r="AX219" t="e">
            <v>#NAME?</v>
          </cell>
          <cell r="AY219" t="e">
            <v>#NAME?</v>
          </cell>
          <cell r="AZ219" t="e">
            <v>#NAME?</v>
          </cell>
          <cell r="BA219" t="e">
            <v>#NAME?</v>
          </cell>
          <cell r="BB219" t="e">
            <v>#NAME?</v>
          </cell>
          <cell r="BC219" t="e">
            <v>#NAME?</v>
          </cell>
          <cell r="BD219" t="e">
            <v>#NAME?</v>
          </cell>
          <cell r="BE219" t="e">
            <v>#NAME?</v>
          </cell>
          <cell r="BG219" t="e">
            <v>#NAME?</v>
          </cell>
          <cell r="BH219" t="e">
            <v>#NAME?</v>
          </cell>
          <cell r="BJ219" t="e">
            <v>#NAME?</v>
          </cell>
          <cell r="BK219" t="e">
            <v>#NAME?</v>
          </cell>
        </row>
        <row r="220">
          <cell r="A220">
            <v>40298</v>
          </cell>
          <cell r="B220">
            <v>11.706457548653514</v>
          </cell>
          <cell r="C220" t="e">
            <v>#REF!</v>
          </cell>
          <cell r="D220">
            <v>15.43</v>
          </cell>
          <cell r="E220">
            <v>1</v>
          </cell>
          <cell r="F220">
            <v>15.43</v>
          </cell>
          <cell r="G220">
            <v>85.948448999999997</v>
          </cell>
          <cell r="H220">
            <v>1326.1845680699998</v>
          </cell>
          <cell r="I220">
            <v>1649.323539</v>
          </cell>
          <cell r="K220">
            <v>1649.323539</v>
          </cell>
          <cell r="L220">
            <v>1.0035000000000001</v>
          </cell>
          <cell r="M220">
            <v>1.0035000000000001</v>
          </cell>
          <cell r="N220">
            <v>15.376183358246138</v>
          </cell>
          <cell r="O220">
            <v>7.3958989979453715</v>
          </cell>
          <cell r="P220">
            <v>11.044758859065741</v>
          </cell>
          <cell r="Q220">
            <v>14.693618720186111</v>
          </cell>
          <cell r="R220">
            <v>18.34247858130648</v>
          </cell>
          <cell r="S220">
            <v>21.991338442426851</v>
          </cell>
          <cell r="U220">
            <v>0.31347876113169004</v>
          </cell>
          <cell r="V220">
            <v>0.17309537420876039</v>
          </cell>
          <cell r="X220">
            <v>11.444076878706104</v>
          </cell>
          <cell r="Y220">
            <v>0.34359315488840081</v>
          </cell>
          <cell r="Z220">
            <v>-0.32707222769643551</v>
          </cell>
          <cell r="AA220">
            <v>-6.3044659367773426E-2</v>
          </cell>
          <cell r="AB220">
            <v>0.20098290896088866</v>
          </cell>
          <cell r="AC220">
            <v>0.46501047728955075</v>
          </cell>
          <cell r="AD220">
            <v>0.72903804561821284</v>
          </cell>
          <cell r="AF220" t="e">
            <v>#NAME?</v>
          </cell>
          <cell r="AG220" t="e">
            <v>#NAME?</v>
          </cell>
          <cell r="AH220" t="e">
            <v>#NAME?</v>
          </cell>
          <cell r="AI220" t="e">
            <v>#NAME?</v>
          </cell>
          <cell r="AJ220" t="e">
            <v>#NAME?</v>
          </cell>
          <cell r="AK220" t="e">
            <v>#NAME?</v>
          </cell>
          <cell r="AL220" t="e">
            <v>#NAME?</v>
          </cell>
          <cell r="AN220" t="e">
            <v>#NAME?</v>
          </cell>
          <cell r="AO220" t="e">
            <v>#NAME?</v>
          </cell>
          <cell r="AP220" t="e">
            <v>#NAME?</v>
          </cell>
          <cell r="AQ220" t="e">
            <v>#NAME?</v>
          </cell>
          <cell r="AR220" t="e">
            <v>#NAME?</v>
          </cell>
          <cell r="AS220" t="e">
            <v>#NAME?</v>
          </cell>
          <cell r="AT220" t="e">
            <v>#NAME?</v>
          </cell>
          <cell r="AV220" t="e">
            <v>#NAME?</v>
          </cell>
          <cell r="AW220" t="e">
            <v>#NAME?</v>
          </cell>
          <cell r="AX220" t="e">
            <v>#NAME?</v>
          </cell>
          <cell r="AY220" t="e">
            <v>#NAME?</v>
          </cell>
          <cell r="AZ220" t="e">
            <v>#NAME?</v>
          </cell>
          <cell r="BA220" t="e">
            <v>#NAME?</v>
          </cell>
          <cell r="BB220" t="e">
            <v>#NAME?</v>
          </cell>
          <cell r="BC220" t="e">
            <v>#NAME?</v>
          </cell>
          <cell r="BD220" t="e">
            <v>#NAME?</v>
          </cell>
          <cell r="BE220" t="e">
            <v>#NAME?</v>
          </cell>
          <cell r="BG220" t="e">
            <v>#NAME?</v>
          </cell>
          <cell r="BH220" t="e">
            <v>#NAME?</v>
          </cell>
          <cell r="BJ220" t="e">
            <v>#NAME?</v>
          </cell>
          <cell r="BK220" t="e">
            <v>#NAME?</v>
          </cell>
        </row>
        <row r="221">
          <cell r="A221">
            <v>40329</v>
          </cell>
          <cell r="B221">
            <v>10.771949656449511</v>
          </cell>
          <cell r="C221" t="e">
            <v>#REF!</v>
          </cell>
          <cell r="D221">
            <v>13.23</v>
          </cell>
          <cell r="E221">
            <v>1</v>
          </cell>
          <cell r="F221">
            <v>13.23</v>
          </cell>
          <cell r="G221">
            <v>85.948448999999997</v>
          </cell>
          <cell r="H221">
            <v>1137.0979802699999</v>
          </cell>
          <cell r="I221">
            <v>1649.323539</v>
          </cell>
          <cell r="K221">
            <v>1649.323539</v>
          </cell>
          <cell r="L221">
            <v>1.0082500000000001</v>
          </cell>
          <cell r="M221">
            <v>1.0082500000000001</v>
          </cell>
          <cell r="N221">
            <v>13.121745598809818</v>
          </cell>
          <cell r="O221">
            <v>7.3958989979453715</v>
          </cell>
          <cell r="P221">
            <v>11.044758859065741</v>
          </cell>
          <cell r="Q221">
            <v>14.693618720186111</v>
          </cell>
          <cell r="R221">
            <v>18.34247858130648</v>
          </cell>
          <cell r="S221">
            <v>21.991338442426851</v>
          </cell>
          <cell r="U221">
            <v>0.21814026404713194</v>
          </cell>
          <cell r="V221">
            <v>0.17309537420876039</v>
          </cell>
          <cell r="X221">
            <v>9.6173121866549316</v>
          </cell>
          <cell r="Y221">
            <v>0.36438802693934269</v>
          </cell>
          <cell r="Z221">
            <v>-0.32707222769643551</v>
          </cell>
          <cell r="AA221">
            <v>-6.3044659367773426E-2</v>
          </cell>
          <cell r="AB221">
            <v>0.20098290896088866</v>
          </cell>
          <cell r="AC221">
            <v>0.46501047728955075</v>
          </cell>
          <cell r="AD221">
            <v>0.72903804561821284</v>
          </cell>
          <cell r="AF221" t="e">
            <v>#NAME?</v>
          </cell>
          <cell r="AG221" t="e">
            <v>#NAME?</v>
          </cell>
          <cell r="AH221" t="e">
            <v>#NAME?</v>
          </cell>
          <cell r="AI221" t="e">
            <v>#NAME?</v>
          </cell>
          <cell r="AJ221" t="e">
            <v>#NAME?</v>
          </cell>
          <cell r="AK221" t="e">
            <v>#NAME?</v>
          </cell>
          <cell r="AL221" t="e">
            <v>#NAME?</v>
          </cell>
          <cell r="AN221" t="e">
            <v>#NAME?</v>
          </cell>
          <cell r="AO221" t="e">
            <v>#NAME?</v>
          </cell>
          <cell r="AP221" t="e">
            <v>#NAME?</v>
          </cell>
          <cell r="AQ221" t="e">
            <v>#NAME?</v>
          </cell>
          <cell r="AR221" t="e">
            <v>#NAME?</v>
          </cell>
          <cell r="AS221" t="e">
            <v>#NAME?</v>
          </cell>
          <cell r="AT221" t="e">
            <v>#NAME?</v>
          </cell>
          <cell r="AV221" t="e">
            <v>#NAME?</v>
          </cell>
          <cell r="AW221" t="e">
            <v>#NAME?</v>
          </cell>
          <cell r="AX221" t="e">
            <v>#NAME?</v>
          </cell>
          <cell r="AY221" t="e">
            <v>#NAME?</v>
          </cell>
          <cell r="AZ221" t="e">
            <v>#NAME?</v>
          </cell>
          <cell r="BA221" t="e">
            <v>#NAME?</v>
          </cell>
          <cell r="BB221" t="e">
            <v>#NAME?</v>
          </cell>
          <cell r="BC221" t="e">
            <v>#NAME?</v>
          </cell>
          <cell r="BD221" t="e">
            <v>#NAME?</v>
          </cell>
          <cell r="BE221" t="e">
            <v>#NAME?</v>
          </cell>
          <cell r="BG221" t="e">
            <v>#NAME?</v>
          </cell>
          <cell r="BH221" t="e">
            <v>#NAME?</v>
          </cell>
          <cell r="BJ221" t="e">
            <v>#NAME?</v>
          </cell>
          <cell r="BK221" t="e">
            <v>#NAME?</v>
          </cell>
        </row>
        <row r="222">
          <cell r="A222">
            <v>40359</v>
          </cell>
          <cell r="B222">
            <v>10.451741135269209</v>
          </cell>
          <cell r="C222" t="e">
            <v>#REF!</v>
          </cell>
          <cell r="D222">
            <v>12.74</v>
          </cell>
          <cell r="E222">
            <v>1</v>
          </cell>
          <cell r="F222">
            <v>12.74</v>
          </cell>
          <cell r="G222">
            <v>86.036699999999996</v>
          </cell>
          <cell r="H222">
            <v>1096.1075579999999</v>
          </cell>
          <cell r="I222">
            <v>1649.323539</v>
          </cell>
          <cell r="K222">
            <v>1649.323539</v>
          </cell>
          <cell r="L222">
            <v>1.014</v>
          </cell>
          <cell r="M222">
            <v>1.014</v>
          </cell>
          <cell r="N222">
            <v>12.564102564102564</v>
          </cell>
          <cell r="O222">
            <v>7.3958989979453715</v>
          </cell>
          <cell r="P222">
            <v>11.044758859065741</v>
          </cell>
          <cell r="Q222">
            <v>14.693618720186111</v>
          </cell>
          <cell r="R222">
            <v>18.34247858130648</v>
          </cell>
          <cell r="S222">
            <v>21.991338442426851</v>
          </cell>
          <cell r="U222">
            <v>0.20210617556391908</v>
          </cell>
          <cell r="V222">
            <v>0.17309537420876039</v>
          </cell>
          <cell r="X222">
            <v>9.3805157938286534</v>
          </cell>
          <cell r="Y222">
            <v>0.33938291243732666</v>
          </cell>
          <cell r="Z222">
            <v>-0.32707222769643551</v>
          </cell>
          <cell r="AA222">
            <v>-6.3044659367773426E-2</v>
          </cell>
          <cell r="AB222">
            <v>0.20098290896088866</v>
          </cell>
          <cell r="AC222">
            <v>0.46501047728955075</v>
          </cell>
          <cell r="AD222">
            <v>0.72903804561821284</v>
          </cell>
          <cell r="AF222" t="e">
            <v>#NAME?</v>
          </cell>
          <cell r="AG222" t="e">
            <v>#NAME?</v>
          </cell>
          <cell r="AH222" t="e">
            <v>#NAME?</v>
          </cell>
          <cell r="AI222" t="e">
            <v>#NAME?</v>
          </cell>
          <cell r="AJ222" t="e">
            <v>#NAME?</v>
          </cell>
          <cell r="AK222" t="e">
            <v>#NAME?</v>
          </cell>
          <cell r="AL222" t="e">
            <v>#NAME?</v>
          </cell>
          <cell r="AN222" t="e">
            <v>#NAME?</v>
          </cell>
          <cell r="AO222" t="e">
            <v>#NAME?</v>
          </cell>
          <cell r="AP222" t="e">
            <v>#NAME?</v>
          </cell>
          <cell r="AQ222" t="e">
            <v>#NAME?</v>
          </cell>
          <cell r="AR222" t="e">
            <v>#NAME?</v>
          </cell>
          <cell r="AS222" t="e">
            <v>#NAME?</v>
          </cell>
          <cell r="AT222" t="e">
            <v>#NAME?</v>
          </cell>
          <cell r="AV222" t="e">
            <v>#NAME?</v>
          </cell>
          <cell r="AW222" t="e">
            <v>#NAME?</v>
          </cell>
          <cell r="AX222" t="e">
            <v>#NAME?</v>
          </cell>
          <cell r="AY222" t="e">
            <v>#NAME?</v>
          </cell>
          <cell r="AZ222" t="e">
            <v>#NAME?</v>
          </cell>
          <cell r="BA222" t="e">
            <v>#NAME?</v>
          </cell>
          <cell r="BB222" t="e">
            <v>#NAME?</v>
          </cell>
          <cell r="BC222" t="e">
            <v>#NAME?</v>
          </cell>
          <cell r="BD222" t="e">
            <v>#NAME?</v>
          </cell>
          <cell r="BE222" t="e">
            <v>#NAME?</v>
          </cell>
          <cell r="BG222" t="e">
            <v>#NAME?</v>
          </cell>
          <cell r="BH222" t="e">
            <v>#NAME?</v>
          </cell>
          <cell r="BJ222" t="e">
            <v>#NAME?</v>
          </cell>
          <cell r="BK222" t="e">
            <v>#NAME?</v>
          </cell>
        </row>
        <row r="223">
          <cell r="A223">
            <v>40390</v>
          </cell>
          <cell r="B223">
            <v>10.579900368640134</v>
          </cell>
          <cell r="C223" t="e">
            <v>#REF!</v>
          </cell>
          <cell r="D223">
            <v>13.55</v>
          </cell>
          <cell r="E223">
            <v>1</v>
          </cell>
          <cell r="F223">
            <v>13.55</v>
          </cell>
          <cell r="G223">
            <v>86.036699999999996</v>
          </cell>
          <cell r="H223">
            <v>1165.7972850000001</v>
          </cell>
          <cell r="I223">
            <v>1649.323539</v>
          </cell>
          <cell r="K223">
            <v>1649.323539</v>
          </cell>
          <cell r="L223">
            <v>1.028</v>
          </cell>
          <cell r="M223">
            <v>1.028</v>
          </cell>
          <cell r="N223">
            <v>13.180933852140079</v>
          </cell>
          <cell r="O223">
            <v>7.3958989979453715</v>
          </cell>
          <cell r="P223">
            <v>11.044758859065741</v>
          </cell>
          <cell r="Q223">
            <v>14.693618720186111</v>
          </cell>
          <cell r="R223">
            <v>18.34247858130648</v>
          </cell>
          <cell r="S223">
            <v>21.991338442426851</v>
          </cell>
          <cell r="U223">
            <v>0.24584668974857871</v>
          </cell>
          <cell r="V223">
            <v>0.17309537420876039</v>
          </cell>
          <cell r="X223">
            <v>9.9920388129070954</v>
          </cell>
          <cell r="Y223">
            <v>0.31914358009836463</v>
          </cell>
          <cell r="Z223">
            <v>-0.32707222769643551</v>
          </cell>
          <cell r="AA223">
            <v>-6.3044659367773426E-2</v>
          </cell>
          <cell r="AB223">
            <v>0.20098290896088866</v>
          </cell>
          <cell r="AC223">
            <v>0.46501047728955075</v>
          </cell>
          <cell r="AD223">
            <v>0.72903804561821284</v>
          </cell>
          <cell r="AF223" t="e">
            <v>#NAME?</v>
          </cell>
          <cell r="AG223" t="e">
            <v>#NAME?</v>
          </cell>
          <cell r="AH223" t="e">
            <v>#NAME?</v>
          </cell>
          <cell r="AI223" t="e">
            <v>#NAME?</v>
          </cell>
          <cell r="AJ223" t="e">
            <v>#NAME?</v>
          </cell>
          <cell r="AK223" t="e">
            <v>#NAME?</v>
          </cell>
          <cell r="AL223" t="e">
            <v>#NAME?</v>
          </cell>
          <cell r="AN223" t="e">
            <v>#NAME?</v>
          </cell>
          <cell r="AO223" t="e">
            <v>#NAME?</v>
          </cell>
          <cell r="AP223" t="e">
            <v>#NAME?</v>
          </cell>
          <cell r="AQ223" t="e">
            <v>#NAME?</v>
          </cell>
          <cell r="AR223" t="e">
            <v>#NAME?</v>
          </cell>
          <cell r="AS223" t="e">
            <v>#NAME?</v>
          </cell>
          <cell r="AT223" t="e">
            <v>#NAME?</v>
          </cell>
          <cell r="AV223" t="e">
            <v>#NAME?</v>
          </cell>
          <cell r="AW223" t="e">
            <v>#NAME?</v>
          </cell>
          <cell r="AX223" t="e">
            <v>#NAME?</v>
          </cell>
          <cell r="AY223" t="e">
            <v>#NAME?</v>
          </cell>
          <cell r="AZ223" t="e">
            <v>#NAME?</v>
          </cell>
          <cell r="BA223" t="e">
            <v>#NAME?</v>
          </cell>
          <cell r="BB223" t="e">
            <v>#NAME?</v>
          </cell>
          <cell r="BC223" t="e">
            <v>#NAME?</v>
          </cell>
          <cell r="BD223" t="e">
            <v>#NAME?</v>
          </cell>
          <cell r="BE223" t="e">
            <v>#NAME?</v>
          </cell>
          <cell r="BG223" t="e">
            <v>#NAME?</v>
          </cell>
          <cell r="BH223" t="e">
            <v>#NAME?</v>
          </cell>
          <cell r="BJ223" t="e">
            <v>#NAME?</v>
          </cell>
          <cell r="BK223" t="e">
            <v>#NAME?</v>
          </cell>
        </row>
        <row r="224">
          <cell r="A224">
            <v>40421</v>
          </cell>
          <cell r="B224">
            <v>10.6939694569012</v>
          </cell>
          <cell r="C224" t="e">
            <v>#REF!</v>
          </cell>
          <cell r="D224">
            <v>14.950000000000001</v>
          </cell>
          <cell r="E224">
            <v>1</v>
          </cell>
          <cell r="F224">
            <v>14.950000000000001</v>
          </cell>
          <cell r="G224">
            <v>86.036699999999996</v>
          </cell>
          <cell r="H224">
            <v>1286.2486650000001</v>
          </cell>
          <cell r="I224">
            <v>1649.323539</v>
          </cell>
          <cell r="K224">
            <v>1649.323539</v>
          </cell>
          <cell r="L224">
            <v>1.020167</v>
          </cell>
          <cell r="M224">
            <v>1.020167</v>
          </cell>
          <cell r="N224">
            <v>14.654463435888438</v>
          </cell>
          <cell r="O224">
            <v>7.3958989979453715</v>
          </cell>
          <cell r="P224">
            <v>11.044758859065741</v>
          </cell>
          <cell r="Q224">
            <v>14.693618720186111</v>
          </cell>
          <cell r="R224">
            <v>18.34247858130648</v>
          </cell>
          <cell r="S224">
            <v>21.991338442426851</v>
          </cell>
          <cell r="U224">
            <v>0.37034835333585026</v>
          </cell>
          <cell r="V224">
            <v>0.17309537420876039</v>
          </cell>
          <cell r="X224">
            <v>10.208191804804871</v>
          </cell>
          <cell r="Y224">
            <v>0.43555917797222055</v>
          </cell>
          <cell r="Z224">
            <v>-0.32707222769643551</v>
          </cell>
          <cell r="AA224">
            <v>-6.3044659367773426E-2</v>
          </cell>
          <cell r="AB224">
            <v>0.20098290896088866</v>
          </cell>
          <cell r="AC224">
            <v>0.46501047728955075</v>
          </cell>
          <cell r="AD224">
            <v>0.72903804561821284</v>
          </cell>
          <cell r="AF224" t="e">
            <v>#NAME?</v>
          </cell>
          <cell r="AG224" t="e">
            <v>#NAME?</v>
          </cell>
          <cell r="AH224" t="e">
            <v>#NAME?</v>
          </cell>
          <cell r="AI224" t="e">
            <v>#NAME?</v>
          </cell>
          <cell r="AJ224" t="e">
            <v>#NAME?</v>
          </cell>
          <cell r="AK224" t="e">
            <v>#NAME?</v>
          </cell>
          <cell r="AL224" t="e">
            <v>#NAME?</v>
          </cell>
          <cell r="AN224" t="e">
            <v>#NAME?</v>
          </cell>
          <cell r="AO224" t="e">
            <v>#NAME?</v>
          </cell>
          <cell r="AP224" t="e">
            <v>#NAME?</v>
          </cell>
          <cell r="AQ224" t="e">
            <v>#NAME?</v>
          </cell>
          <cell r="AR224" t="e">
            <v>#NAME?</v>
          </cell>
          <cell r="AS224" t="e">
            <v>#NAME?</v>
          </cell>
          <cell r="AT224" t="e">
            <v>#NAME?</v>
          </cell>
          <cell r="AV224" t="e">
            <v>#NAME?</v>
          </cell>
          <cell r="AW224" t="e">
            <v>#NAME?</v>
          </cell>
          <cell r="AX224" t="e">
            <v>#NAME?</v>
          </cell>
          <cell r="AY224" t="e">
            <v>#NAME?</v>
          </cell>
          <cell r="AZ224" t="e">
            <v>#NAME?</v>
          </cell>
          <cell r="BA224" t="e">
            <v>#NAME?</v>
          </cell>
          <cell r="BB224" t="e">
            <v>#NAME?</v>
          </cell>
          <cell r="BC224" t="e">
            <v>#NAME?</v>
          </cell>
          <cell r="BD224" t="e">
            <v>#NAME?</v>
          </cell>
          <cell r="BE224" t="e">
            <v>#NAME?</v>
          </cell>
          <cell r="BG224" t="e">
            <v>#NAME?</v>
          </cell>
          <cell r="BH224" t="e">
            <v>#NAME?</v>
          </cell>
          <cell r="BJ224" t="e">
            <v>#NAME?</v>
          </cell>
          <cell r="BK224" t="e">
            <v>#NAME?</v>
          </cell>
        </row>
        <row r="225">
          <cell r="A225">
            <v>40451</v>
          </cell>
          <cell r="B225">
            <v>11.157067255388844</v>
          </cell>
          <cell r="C225" t="e">
            <v>#REF!</v>
          </cell>
          <cell r="D225">
            <v>16.059999999999999</v>
          </cell>
          <cell r="E225">
            <v>1</v>
          </cell>
          <cell r="F225">
            <v>16.059999999999999</v>
          </cell>
          <cell r="G225">
            <v>86.036699999999996</v>
          </cell>
          <cell r="H225">
            <v>1381.7494019999999</v>
          </cell>
          <cell r="I225">
            <v>1649.323539</v>
          </cell>
          <cell r="K225">
            <v>1649.323539</v>
          </cell>
          <cell r="L225">
            <v>1.0329999999999999</v>
          </cell>
          <cell r="M225">
            <v>1.0329999999999999</v>
          </cell>
          <cell r="N225">
            <v>15.546950629235237</v>
          </cell>
          <cell r="O225">
            <v>7.3958989979453715</v>
          </cell>
          <cell r="P225">
            <v>11.044758859065741</v>
          </cell>
          <cell r="Q225">
            <v>14.693618720186111</v>
          </cell>
          <cell r="R225">
            <v>18.34247858130648</v>
          </cell>
          <cell r="S225">
            <v>21.991338442426851</v>
          </cell>
          <cell r="U225">
            <v>0.39346212345597253</v>
          </cell>
          <cell r="V225">
            <v>0.17309537420876039</v>
          </cell>
          <cell r="X225">
            <v>11.688525634750206</v>
          </cell>
          <cell r="Y225">
            <v>0.3301036516542224</v>
          </cell>
          <cell r="Z225">
            <v>-0.32707222769643551</v>
          </cell>
          <cell r="AA225">
            <v>-6.3044659367773426E-2</v>
          </cell>
          <cell r="AB225">
            <v>0.20098290896088866</v>
          </cell>
          <cell r="AC225">
            <v>0.46501047728955075</v>
          </cell>
          <cell r="AD225">
            <v>0.72903804561821284</v>
          </cell>
          <cell r="AF225" t="e">
            <v>#NAME?</v>
          </cell>
          <cell r="AG225" t="e">
            <v>#NAME?</v>
          </cell>
          <cell r="AH225" t="e">
            <v>#NAME?</v>
          </cell>
          <cell r="AI225" t="e">
            <v>#NAME?</v>
          </cell>
          <cell r="AJ225" t="e">
            <v>#NAME?</v>
          </cell>
          <cell r="AK225" t="e">
            <v>#NAME?</v>
          </cell>
          <cell r="AL225" t="e">
            <v>#NAME?</v>
          </cell>
          <cell r="AN225" t="e">
            <v>#NAME?</v>
          </cell>
          <cell r="AO225" t="e">
            <v>#NAME?</v>
          </cell>
          <cell r="AP225" t="e">
            <v>#NAME?</v>
          </cell>
          <cell r="AQ225" t="e">
            <v>#NAME?</v>
          </cell>
          <cell r="AR225" t="e">
            <v>#NAME?</v>
          </cell>
          <cell r="AS225" t="e">
            <v>#NAME?</v>
          </cell>
          <cell r="AT225" t="e">
            <v>#NAME?</v>
          </cell>
          <cell r="AV225" t="e">
            <v>#NAME?</v>
          </cell>
          <cell r="AW225" t="e">
            <v>#NAME?</v>
          </cell>
          <cell r="AX225" t="e">
            <v>#NAME?</v>
          </cell>
          <cell r="AY225" t="e">
            <v>#NAME?</v>
          </cell>
          <cell r="AZ225" t="e">
            <v>#NAME?</v>
          </cell>
          <cell r="BA225" t="e">
            <v>#NAME?</v>
          </cell>
          <cell r="BB225" t="e">
            <v>#NAME?</v>
          </cell>
          <cell r="BC225" t="e">
            <v>#NAME?</v>
          </cell>
          <cell r="BD225" t="e">
            <v>#NAME?</v>
          </cell>
          <cell r="BE225" t="e">
            <v>#NAME?</v>
          </cell>
          <cell r="BG225" t="e">
            <v>#NAME?</v>
          </cell>
          <cell r="BH225" t="e">
            <v>#NAME?</v>
          </cell>
          <cell r="BJ225" t="e">
            <v>#NAME?</v>
          </cell>
          <cell r="BK225" t="e">
            <v>#NAME?</v>
          </cell>
        </row>
        <row r="226">
          <cell r="A226">
            <v>40482</v>
          </cell>
          <cell r="B226">
            <v>11.377009788604543</v>
          </cell>
          <cell r="C226" t="e">
            <v>#REF!</v>
          </cell>
          <cell r="D226">
            <v>16.72</v>
          </cell>
          <cell r="E226">
            <v>1</v>
          </cell>
          <cell r="F226">
            <v>16.72</v>
          </cell>
          <cell r="G226">
            <v>86.036699999999996</v>
          </cell>
          <cell r="H226">
            <v>1438.5336239999999</v>
          </cell>
          <cell r="I226">
            <v>1649.323539</v>
          </cell>
          <cell r="K226">
            <v>1649.323539</v>
          </cell>
          <cell r="L226">
            <v>1.0336669999999999</v>
          </cell>
          <cell r="M226">
            <v>1.0336669999999999</v>
          </cell>
          <cell r="N226">
            <v>16.17542206532665</v>
          </cell>
          <cell r="O226">
            <v>7.3958989979453715</v>
          </cell>
          <cell r="P226">
            <v>11.044758859065741</v>
          </cell>
          <cell r="Q226">
            <v>14.693618720186111</v>
          </cell>
          <cell r="R226">
            <v>18.34247858130648</v>
          </cell>
          <cell r="S226">
            <v>21.991338442426851</v>
          </cell>
          <cell r="U226">
            <v>0.42176392267222096</v>
          </cell>
          <cell r="V226">
            <v>0.17309537420876039</v>
          </cell>
          <cell r="X226">
            <v>11.230227414148677</v>
          </cell>
          <cell r="Y226">
            <v>0.44034679519914688</v>
          </cell>
          <cell r="Z226">
            <v>-0.32707222769643551</v>
          </cell>
          <cell r="AA226">
            <v>-6.3044659367773426E-2</v>
          </cell>
          <cell r="AB226">
            <v>0.20098290896088866</v>
          </cell>
          <cell r="AC226">
            <v>0.46501047728955075</v>
          </cell>
          <cell r="AD226">
            <v>0.72903804561821284</v>
          </cell>
          <cell r="AF226" t="e">
            <v>#NAME?</v>
          </cell>
          <cell r="AG226" t="e">
            <v>#NAME?</v>
          </cell>
          <cell r="AH226" t="e">
            <v>#NAME?</v>
          </cell>
          <cell r="AI226" t="e">
            <v>#NAME?</v>
          </cell>
          <cell r="AJ226" t="e">
            <v>#NAME?</v>
          </cell>
          <cell r="AK226" t="e">
            <v>#NAME?</v>
          </cell>
          <cell r="AL226" t="e">
            <v>#NAME?</v>
          </cell>
          <cell r="AN226" t="e">
            <v>#NAME?</v>
          </cell>
          <cell r="AO226" t="e">
            <v>#NAME?</v>
          </cell>
          <cell r="AP226" t="e">
            <v>#NAME?</v>
          </cell>
          <cell r="AQ226" t="e">
            <v>#NAME?</v>
          </cell>
          <cell r="AR226" t="e">
            <v>#NAME?</v>
          </cell>
          <cell r="AS226" t="e">
            <v>#NAME?</v>
          </cell>
          <cell r="AT226" t="e">
            <v>#NAME?</v>
          </cell>
          <cell r="AV226" t="e">
            <v>#NAME?</v>
          </cell>
          <cell r="AW226" t="e">
            <v>#NAME?</v>
          </cell>
          <cell r="AX226" t="e">
            <v>#NAME?</v>
          </cell>
          <cell r="AY226" t="e">
            <v>#NAME?</v>
          </cell>
          <cell r="AZ226" t="e">
            <v>#NAME?</v>
          </cell>
          <cell r="BA226" t="e">
            <v>#NAME?</v>
          </cell>
          <cell r="BB226" t="e">
            <v>#NAME?</v>
          </cell>
          <cell r="BC226" t="e">
            <v>#NAME?</v>
          </cell>
          <cell r="BD226" t="e">
            <v>#NAME?</v>
          </cell>
          <cell r="BE226" t="e">
            <v>#NAME?</v>
          </cell>
          <cell r="BG226" t="e">
            <v>#NAME?</v>
          </cell>
          <cell r="BH226" t="e">
            <v>#NAME?</v>
          </cell>
          <cell r="BJ226" t="e">
            <v>#NAME?</v>
          </cell>
          <cell r="BK226" t="e">
            <v>#NAME?</v>
          </cell>
        </row>
        <row r="227">
          <cell r="A227">
            <v>40512</v>
          </cell>
          <cell r="B227">
            <v>11.287501332643147</v>
          </cell>
          <cell r="C227" t="e">
            <v>#N/A</v>
          </cell>
          <cell r="D227">
            <v>16.7</v>
          </cell>
          <cell r="E227">
            <v>1</v>
          </cell>
          <cell r="F227">
            <v>16.7</v>
          </cell>
          <cell r="G227">
            <v>86.036699999999996</v>
          </cell>
          <cell r="H227">
            <v>1436.8128899999999</v>
          </cell>
          <cell r="I227">
            <v>1649.323539</v>
          </cell>
          <cell r="K227">
            <v>1649.323539</v>
          </cell>
          <cell r="L227">
            <v>1.0420829999999999</v>
          </cell>
          <cell r="M227">
            <v>1.0420829999999999</v>
          </cell>
          <cell r="N227">
            <v>16.025594890234274</v>
          </cell>
          <cell r="O227">
            <v>7.3958989979453715</v>
          </cell>
          <cell r="P227">
            <v>11.044758859065741</v>
          </cell>
          <cell r="Q227">
            <v>14.693618720186111</v>
          </cell>
          <cell r="R227">
            <v>18.34247858130648</v>
          </cell>
          <cell r="S227">
            <v>21.991338442426851</v>
          </cell>
          <cell r="U227">
            <v>0.4197646067060643</v>
          </cell>
          <cell r="V227">
            <v>0.17309537420876039</v>
          </cell>
          <cell r="X227">
            <v>11.83835100099482</v>
          </cell>
          <cell r="Y227">
            <v>0.35370161679507439</v>
          </cell>
          <cell r="Z227">
            <v>-0.32707222769643551</v>
          </cell>
          <cell r="AA227">
            <v>-6.3044659367773426E-2</v>
          </cell>
          <cell r="AB227">
            <v>0.20098290896088866</v>
          </cell>
          <cell r="AC227">
            <v>0.46501047728955075</v>
          </cell>
          <cell r="AD227">
            <v>0.72903804561821284</v>
          </cell>
          <cell r="AF227" t="e">
            <v>#NAME?</v>
          </cell>
          <cell r="AG227" t="e">
            <v>#NAME?</v>
          </cell>
          <cell r="AH227" t="e">
            <v>#NAME?</v>
          </cell>
          <cell r="AI227" t="e">
            <v>#NAME?</v>
          </cell>
          <cell r="AJ227" t="e">
            <v>#NAME?</v>
          </cell>
          <cell r="AK227" t="e">
            <v>#NAME?</v>
          </cell>
          <cell r="AL227" t="e">
            <v>#NAME?</v>
          </cell>
          <cell r="AN227" t="e">
            <v>#NAME?</v>
          </cell>
          <cell r="AO227" t="e">
            <v>#NAME?</v>
          </cell>
          <cell r="AP227" t="e">
            <v>#NAME?</v>
          </cell>
          <cell r="AQ227" t="e">
            <v>#NAME?</v>
          </cell>
          <cell r="AR227" t="e">
            <v>#NAME?</v>
          </cell>
          <cell r="AS227" t="e">
            <v>#NAME?</v>
          </cell>
          <cell r="AT227" t="e">
            <v>#NAME?</v>
          </cell>
          <cell r="AV227" t="e">
            <v>#NAME?</v>
          </cell>
          <cell r="AW227" t="e">
            <v>#NAME?</v>
          </cell>
          <cell r="AX227" t="e">
            <v>#NAME?</v>
          </cell>
          <cell r="AY227" t="e">
            <v>#NAME?</v>
          </cell>
          <cell r="AZ227" t="e">
            <v>#NAME?</v>
          </cell>
          <cell r="BA227" t="e">
            <v>#NAME?</v>
          </cell>
          <cell r="BB227" t="e">
            <v>#NAME?</v>
          </cell>
          <cell r="BC227" t="e">
            <v>#NAME?</v>
          </cell>
          <cell r="BD227" t="e">
            <v>#NAME?</v>
          </cell>
          <cell r="BE227" t="e">
            <v>#NAME?</v>
          </cell>
          <cell r="BG227" t="e">
            <v>#NAME?</v>
          </cell>
          <cell r="BH227" t="e">
            <v>#NAME?</v>
          </cell>
          <cell r="BJ227" t="e">
            <v>#NAME?</v>
          </cell>
          <cell r="BK227" t="e">
            <v>#NAME?</v>
          </cell>
        </row>
        <row r="228">
          <cell r="A228">
            <v>40543</v>
          </cell>
          <cell r="B228">
            <v>11.727842135975116</v>
          </cell>
          <cell r="C228" t="e">
            <v>#N/A</v>
          </cell>
          <cell r="D228">
            <v>18.3</v>
          </cell>
          <cell r="E228">
            <v>1</v>
          </cell>
          <cell r="F228">
            <v>18.3</v>
          </cell>
          <cell r="G228">
            <v>86.036699999999996</v>
          </cell>
          <cell r="H228">
            <v>1574.4716100000001</v>
          </cell>
          <cell r="I228">
            <v>1649.323539</v>
          </cell>
          <cell r="K228">
            <v>1649.323539</v>
          </cell>
          <cell r="L228">
            <v>1.0605</v>
          </cell>
          <cell r="M228">
            <v>1.0605</v>
          </cell>
          <cell r="N228">
            <v>17.256011315417258</v>
          </cell>
          <cell r="O228">
            <v>7.3958989979453715</v>
          </cell>
          <cell r="P228">
            <v>11.044758859065741</v>
          </cell>
          <cell r="Q228">
            <v>14.693618720186111</v>
          </cell>
          <cell r="R228">
            <v>18.34247858130648</v>
          </cell>
          <cell r="S228">
            <v>21.991338442426851</v>
          </cell>
          <cell r="U228">
            <v>0.47137138404041967</v>
          </cell>
          <cell r="V228">
            <v>0.17309537420876039</v>
          </cell>
          <cell r="X228">
            <v>12.618674519665092</v>
          </cell>
          <cell r="Y228">
            <v>0.3674979324116241</v>
          </cell>
          <cell r="Z228">
            <v>-0.32707222769643551</v>
          </cell>
          <cell r="AA228">
            <v>-6.3044659367773426E-2</v>
          </cell>
          <cell r="AB228">
            <v>0.20098290896088866</v>
          </cell>
          <cell r="AC228">
            <v>0.46501047728955075</v>
          </cell>
          <cell r="AD228">
            <v>0.72903804561821284</v>
          </cell>
          <cell r="AF228" t="e">
            <v>#NAME?</v>
          </cell>
          <cell r="AG228" t="e">
            <v>#NAME?</v>
          </cell>
          <cell r="AH228" t="e">
            <v>#NAME?</v>
          </cell>
          <cell r="AI228" t="e">
            <v>#NAME?</v>
          </cell>
          <cell r="AJ228" t="e">
            <v>#NAME?</v>
          </cell>
          <cell r="AK228" t="e">
            <v>#NAME?</v>
          </cell>
          <cell r="AL228" t="e">
            <v>#NAME?</v>
          </cell>
          <cell r="AN228" t="e">
            <v>#NAME?</v>
          </cell>
          <cell r="AO228" t="e">
            <v>#NAME?</v>
          </cell>
          <cell r="AP228" t="e">
            <v>#NAME?</v>
          </cell>
          <cell r="AQ228" t="e">
            <v>#NAME?</v>
          </cell>
          <cell r="AR228" t="e">
            <v>#NAME?</v>
          </cell>
          <cell r="AS228" t="e">
            <v>#NAME?</v>
          </cell>
          <cell r="AT228" t="e">
            <v>#NAME?</v>
          </cell>
          <cell r="AV228" t="e">
            <v>#NAME?</v>
          </cell>
          <cell r="AW228" t="e">
            <v>#NAME?</v>
          </cell>
          <cell r="AX228" t="e">
            <v>#NAME?</v>
          </cell>
          <cell r="AY228" t="e">
            <v>#NAME?</v>
          </cell>
          <cell r="AZ228" t="e">
            <v>#NAME?</v>
          </cell>
          <cell r="BA228" t="e">
            <v>#NAME?</v>
          </cell>
          <cell r="BB228" t="e">
            <v>#NAME?</v>
          </cell>
          <cell r="BC228" t="e">
            <v>#NAME?</v>
          </cell>
          <cell r="BD228" t="e">
            <v>#NAME?</v>
          </cell>
          <cell r="BE228" t="e">
            <v>#NAME?</v>
          </cell>
          <cell r="BG228" t="e">
            <v>#NAME?</v>
          </cell>
          <cell r="BH228" t="e">
            <v>#NAME?</v>
          </cell>
          <cell r="BJ228" t="e">
            <v>#NAME?</v>
          </cell>
          <cell r="BK228" t="e">
            <v>#NAME?</v>
          </cell>
        </row>
        <row r="229">
          <cell r="A229">
            <v>40574</v>
          </cell>
          <cell r="B229">
            <v>12.181774481797907</v>
          </cell>
          <cell r="C229" t="e">
            <v>#N/A</v>
          </cell>
          <cell r="D229">
            <v>19.170000000000002</v>
          </cell>
          <cell r="E229">
            <v>1</v>
          </cell>
          <cell r="F229">
            <v>19.170000000000002</v>
          </cell>
          <cell r="G229">
            <v>86.036699999999996</v>
          </cell>
          <cell r="H229">
            <v>1649.323539</v>
          </cell>
          <cell r="I229">
            <v>1649.323539</v>
          </cell>
          <cell r="K229">
            <v>1649.323539</v>
          </cell>
          <cell r="L229">
            <v>1.069917</v>
          </cell>
          <cell r="M229">
            <v>1.069917</v>
          </cell>
          <cell r="N229">
            <v>17.917277695372633</v>
          </cell>
          <cell r="O229">
            <v>7.3958989979453715</v>
          </cell>
          <cell r="P229">
            <v>11.044758859065741</v>
          </cell>
          <cell r="Q229">
            <v>14.693618720186111</v>
          </cell>
          <cell r="R229">
            <v>18.34247858130648</v>
          </cell>
          <cell r="S229">
            <v>21.991338442426851</v>
          </cell>
          <cell r="U229">
            <v>0.4708265796698794</v>
          </cell>
          <cell r="V229">
            <v>0.17309537420876039</v>
          </cell>
          <cell r="X229">
            <v>12.050352963179998</v>
          </cell>
          <cell r="Y229">
            <v>0.48686745941127985</v>
          </cell>
          <cell r="Z229">
            <v>-0.32707222769643551</v>
          </cell>
          <cell r="AA229">
            <v>-6.3044659367773426E-2</v>
          </cell>
          <cell r="AB229">
            <v>0.20098290896088866</v>
          </cell>
          <cell r="AC229">
            <v>0.46501047728955075</v>
          </cell>
          <cell r="AD229">
            <v>0.72903804561821284</v>
          </cell>
          <cell r="AF229" t="e">
            <v>#NAME?</v>
          </cell>
          <cell r="AG229" t="e">
            <v>#NAME?</v>
          </cell>
          <cell r="AH229" t="e">
            <v>#NAME?</v>
          </cell>
          <cell r="AI229" t="e">
            <v>#NAME?</v>
          </cell>
          <cell r="AJ229" t="e">
            <v>#NAME?</v>
          </cell>
          <cell r="AK229" t="e">
            <v>#NAME?</v>
          </cell>
          <cell r="AL229" t="e">
            <v>#NAME?</v>
          </cell>
          <cell r="AN229" t="e">
            <v>#NAME?</v>
          </cell>
          <cell r="AO229" t="e">
            <v>#NAME?</v>
          </cell>
          <cell r="AP229" t="e">
            <v>#NAME?</v>
          </cell>
          <cell r="AQ229" t="e">
            <v>#NAME?</v>
          </cell>
          <cell r="AR229" t="e">
            <v>#NAME?</v>
          </cell>
          <cell r="AS229" t="e">
            <v>#NAME?</v>
          </cell>
          <cell r="AT229" t="e">
            <v>#NAME?</v>
          </cell>
          <cell r="AV229" t="e">
            <v>#NAME?</v>
          </cell>
          <cell r="AW229" t="e">
            <v>#NAME?</v>
          </cell>
          <cell r="AX229" t="e">
            <v>#NAME?</v>
          </cell>
          <cell r="AY229" t="e">
            <v>#NAME?</v>
          </cell>
          <cell r="AZ229" t="e">
            <v>#NAME?</v>
          </cell>
          <cell r="BA229" t="e">
            <v>#NAME?</v>
          </cell>
          <cell r="BB229" t="e">
            <v>#NAME?</v>
          </cell>
          <cell r="BC229" t="e">
            <v>#NAME?</v>
          </cell>
          <cell r="BD229" t="e">
            <v>#NAME?</v>
          </cell>
          <cell r="BE229" t="e">
            <v>#NAME?</v>
          </cell>
          <cell r="BG229" t="e">
            <v>#NAME?</v>
          </cell>
          <cell r="BH229" t="e">
            <v>#NAME?</v>
          </cell>
          <cell r="BJ229" t="e">
            <v>#NAME?</v>
          </cell>
          <cell r="BK229" t="e">
            <v>#NAME?</v>
          </cell>
        </row>
        <row r="230">
          <cell r="A230">
            <v>40602</v>
          </cell>
          <cell r="B230">
            <v>11.92</v>
          </cell>
          <cell r="C230" t="e">
            <v>#N/A</v>
          </cell>
          <cell r="D230">
            <v>20.04</v>
          </cell>
          <cell r="E230">
            <v>1</v>
          </cell>
          <cell r="F230">
            <v>20.04</v>
          </cell>
          <cell r="G230">
            <v>86.036699999999996</v>
          </cell>
          <cell r="H230">
            <v>1724.1754679999999</v>
          </cell>
          <cell r="I230">
            <v>1843.7664809999999</v>
          </cell>
          <cell r="K230">
            <v>1843.7664809999999</v>
          </cell>
          <cell r="L230">
            <v>1.080667</v>
          </cell>
          <cell r="M230">
            <v>1.080667</v>
          </cell>
          <cell r="N230">
            <v>18.544102854996034</v>
          </cell>
          <cell r="O230">
            <v>7.4982008216694203</v>
          </cell>
          <cell r="P230">
            <v>11.155926843166254</v>
          </cell>
          <cell r="Q230">
            <v>14.813652864663089</v>
          </cell>
          <cell r="R230">
            <v>18.471378886159922</v>
          </cell>
          <cell r="S230">
            <v>22.129104907656757</v>
          </cell>
          <cell r="U230">
            <v>0.55571332676141227</v>
          </cell>
          <cell r="V230">
            <v>0.1832334343850209</v>
          </cell>
          <cell r="X230">
            <v>12.181676194390466</v>
          </cell>
          <cell r="Y230">
            <v>0.52229484342519283</v>
          </cell>
          <cell r="Z230">
            <v>-0.32020516378232478</v>
          </cell>
          <cell r="AA230">
            <v>-5.4943446444632782E-2</v>
          </cell>
          <cell r="AB230">
            <v>0.21031827089305921</v>
          </cell>
          <cell r="AC230">
            <v>0.4755799882307512</v>
          </cell>
          <cell r="AD230">
            <v>0.7408417055684432</v>
          </cell>
          <cell r="AF230" t="e">
            <v>#NAME?</v>
          </cell>
          <cell r="AG230" t="e">
            <v>#NAME?</v>
          </cell>
          <cell r="AH230" t="e">
            <v>#NAME?</v>
          </cell>
          <cell r="AI230" t="e">
            <v>#NAME?</v>
          </cell>
          <cell r="AJ230" t="e">
            <v>#NAME?</v>
          </cell>
          <cell r="AK230" t="e">
            <v>#NAME?</v>
          </cell>
          <cell r="AL230" t="e">
            <v>#NAME?</v>
          </cell>
          <cell r="AN230" t="e">
            <v>#NAME?</v>
          </cell>
          <cell r="AO230" t="e">
            <v>#NAME?</v>
          </cell>
          <cell r="AP230" t="e">
            <v>#NAME?</v>
          </cell>
          <cell r="AQ230" t="e">
            <v>#NAME?</v>
          </cell>
          <cell r="AR230" t="e">
            <v>#NAME?</v>
          </cell>
          <cell r="AS230" t="e">
            <v>#NAME?</v>
          </cell>
          <cell r="AT230" t="e">
            <v>#NAME?</v>
          </cell>
          <cell r="AV230" t="e">
            <v>#NAME?</v>
          </cell>
          <cell r="AW230" t="e">
            <v>#NAME?</v>
          </cell>
          <cell r="AX230" t="e">
            <v>#NAME?</v>
          </cell>
          <cell r="AY230" t="e">
            <v>#NAME?</v>
          </cell>
          <cell r="AZ230" t="e">
            <v>#NAME?</v>
          </cell>
          <cell r="BA230" t="e">
            <v>#NAME?</v>
          </cell>
          <cell r="BB230" t="e">
            <v>#NAME?</v>
          </cell>
          <cell r="BC230" t="e">
            <v>#NAME?</v>
          </cell>
          <cell r="BD230" t="e">
            <v>#NAME?</v>
          </cell>
          <cell r="BE230" t="e">
            <v>#NAME?</v>
          </cell>
          <cell r="BG230" t="e">
            <v>#NAME?</v>
          </cell>
          <cell r="BH230" t="e">
            <v>#NAME?</v>
          </cell>
          <cell r="BJ230" t="e">
            <v>#NAME?</v>
          </cell>
          <cell r="BK230" t="e">
            <v>#NAME?</v>
          </cell>
        </row>
        <row r="231">
          <cell r="A231">
            <v>40633</v>
          </cell>
          <cell r="B231">
            <v>12.463402681801734</v>
          </cell>
          <cell r="C231" t="e">
            <v>#N/A</v>
          </cell>
          <cell r="D231">
            <v>21.400000000000002</v>
          </cell>
          <cell r="E231">
            <v>1</v>
          </cell>
          <cell r="F231">
            <v>21.400000000000002</v>
          </cell>
          <cell r="G231">
            <v>86.036699999999996</v>
          </cell>
          <cell r="H231">
            <v>1841.1853800000001</v>
          </cell>
          <cell r="I231">
            <v>1843.7664809999999</v>
          </cell>
          <cell r="K231">
            <v>1843.7664809999999</v>
          </cell>
          <cell r="L231">
            <v>1.1440000000000001</v>
          </cell>
          <cell r="M231" t="str">
            <v>F&amp;C Absolute Score</v>
          </cell>
          <cell r="N231">
            <v>18.706293706293707</v>
          </cell>
          <cell r="O231" t="str">
            <v/>
          </cell>
          <cell r="P231" t="str">
            <v/>
          </cell>
          <cell r="Q231">
            <v>0</v>
          </cell>
          <cell r="R231" t="str">
            <v/>
          </cell>
          <cell r="S231" t="str">
            <v/>
          </cell>
          <cell r="U231">
            <v>0.50599241746314672</v>
          </cell>
          <cell r="V231">
            <v>0.1832334343850209</v>
          </cell>
          <cell r="X231" t="str">
            <v>F&amp;C Relative Score</v>
          </cell>
          <cell r="Y231">
            <v>0.47648179768104848</v>
          </cell>
          <cell r="Z231" t="str">
            <v/>
          </cell>
          <cell r="AA231" t="str">
            <v/>
          </cell>
          <cell r="AB231" t="str">
            <v/>
          </cell>
          <cell r="AC231">
            <v>-1</v>
          </cell>
          <cell r="AD231" t="str">
            <v/>
          </cell>
          <cell r="AF231" t="e">
            <v>#NAME?</v>
          </cell>
          <cell r="AG231" t="e">
            <v>#NAME?</v>
          </cell>
          <cell r="AH231" t="e">
            <v>#NAME?</v>
          </cell>
          <cell r="AI231" t="e">
            <v>#NAME?</v>
          </cell>
          <cell r="AJ231" t="e">
            <v>#NAME?</v>
          </cell>
          <cell r="AK231" t="e">
            <v>#NAME?</v>
          </cell>
          <cell r="AL231" t="e">
            <v>#NAME?</v>
          </cell>
          <cell r="AN231" t="e">
            <v>#NAME?</v>
          </cell>
          <cell r="AO231" t="e">
            <v>#NAME?</v>
          </cell>
          <cell r="AP231" t="e">
            <v>#NAME?</v>
          </cell>
          <cell r="AQ231" t="e">
            <v>#NAME?</v>
          </cell>
          <cell r="AR231" t="e">
            <v>#NAME?</v>
          </cell>
          <cell r="AS231" t="e">
            <v>#NAME?</v>
          </cell>
          <cell r="AT231" t="e">
            <v>#NAME?</v>
          </cell>
          <cell r="AV231" t="e">
            <v>#NAME?</v>
          </cell>
          <cell r="AW231" t="e">
            <v>#NAME?</v>
          </cell>
          <cell r="AX231" t="e">
            <v>#NAME?</v>
          </cell>
          <cell r="AY231" t="e">
            <v>#NAME?</v>
          </cell>
          <cell r="AZ231" t="e">
            <v>#NAME?</v>
          </cell>
          <cell r="BA231" t="e">
            <v>#NAME?</v>
          </cell>
          <cell r="BB231" t="e">
            <v>#NAME?</v>
          </cell>
          <cell r="BC231" t="e">
            <v>#NAME?</v>
          </cell>
          <cell r="BD231" t="e">
            <v>#NAME?</v>
          </cell>
          <cell r="BE231" t="e">
            <v>#NAME?</v>
          </cell>
          <cell r="BG231" t="e">
            <v>#NAME?</v>
          </cell>
          <cell r="BH231" t="e">
            <v>#NAME?</v>
          </cell>
          <cell r="BJ231" t="e">
            <v>#NAME?</v>
          </cell>
          <cell r="BK231" t="e">
            <v>#NAME?</v>
          </cell>
        </row>
        <row r="232">
          <cell r="A232">
            <v>40663</v>
          </cell>
          <cell r="B232">
            <v>12.668658997978852</v>
          </cell>
          <cell r="C232">
            <v>12.566030839890292</v>
          </cell>
          <cell r="D232">
            <v>21.43</v>
          </cell>
          <cell r="E232">
            <v>1</v>
          </cell>
          <cell r="F232">
            <v>21.43</v>
          </cell>
          <cell r="G232">
            <v>86.036699999999996</v>
          </cell>
          <cell r="H232">
            <v>1843.7664809999999</v>
          </cell>
          <cell r="I232">
            <v>1843.7664809999999</v>
          </cell>
          <cell r="K232">
            <v>1843.7664809999999</v>
          </cell>
          <cell r="L232">
            <v>1.1492500000000001</v>
          </cell>
          <cell r="M232">
            <v>1.1492500000000001</v>
          </cell>
          <cell r="N232">
            <v>18.646943658907983</v>
          </cell>
          <cell r="O232">
            <v>7.4982008216694203</v>
          </cell>
          <cell r="P232">
            <v>11.155926843166254</v>
          </cell>
          <cell r="Q232">
            <v>14.813652864663089</v>
          </cell>
          <cell r="R232">
            <v>18.471378886159922</v>
          </cell>
          <cell r="S232">
            <v>22.129104907656757</v>
          </cell>
          <cell r="U232">
            <v>0.48805971598433429</v>
          </cell>
          <cell r="V232">
            <v>0.1832334343850209</v>
          </cell>
          <cell r="X232">
            <v>12.583579545482849</v>
          </cell>
          <cell r="Y232">
            <v>0.4818473226564306</v>
          </cell>
          <cell r="Z232">
            <v>-0.32020516378232478</v>
          </cell>
          <cell r="AA232">
            <v>-5.4943446444632782E-2</v>
          </cell>
          <cell r="AB232">
            <v>0.21031827089305921</v>
          </cell>
          <cell r="AC232">
            <v>0.4755799882307512</v>
          </cell>
          <cell r="AD232">
            <v>0.7408417055684432</v>
          </cell>
          <cell r="AF232" t="e">
            <v>#NAME?</v>
          </cell>
          <cell r="AG232" t="e">
            <v>#NAME?</v>
          </cell>
          <cell r="AH232" t="e">
            <v>#NAME?</v>
          </cell>
          <cell r="AI232" t="e">
            <v>#NAME?</v>
          </cell>
          <cell r="AJ232" t="e">
            <v>#NAME?</v>
          </cell>
          <cell r="AK232" t="e">
            <v>#NAME?</v>
          </cell>
          <cell r="AL232" t="e">
            <v>#NAME?</v>
          </cell>
          <cell r="AN232" t="e">
            <v>#NAME?</v>
          </cell>
          <cell r="AO232" t="e">
            <v>#NAME?</v>
          </cell>
          <cell r="AP232" t="e">
            <v>#NAME?</v>
          </cell>
          <cell r="AQ232" t="e">
            <v>#NAME?</v>
          </cell>
          <cell r="AR232" t="e">
            <v>#NAME?</v>
          </cell>
          <cell r="AS232" t="e">
            <v>#NAME?</v>
          </cell>
          <cell r="AT232" t="e">
            <v>#NAME?</v>
          </cell>
          <cell r="AV232" t="e">
            <v>#NAME?</v>
          </cell>
          <cell r="AW232" t="e">
            <v>#NAME?</v>
          </cell>
          <cell r="AX232" t="e">
            <v>#NAME?</v>
          </cell>
          <cell r="AY232" t="e">
            <v>#NAME?</v>
          </cell>
          <cell r="AZ232" t="e">
            <v>#NAME?</v>
          </cell>
          <cell r="BA232" t="e">
            <v>#NAME?</v>
          </cell>
          <cell r="BB232" t="e">
            <v>#NAME?</v>
          </cell>
          <cell r="BC232" t="e">
            <v>#NAME?</v>
          </cell>
          <cell r="BD232" t="e">
            <v>#NAME?</v>
          </cell>
          <cell r="BE232" t="e">
            <v>#NAME?</v>
          </cell>
          <cell r="BG232" t="e">
            <v>#NAME?</v>
          </cell>
          <cell r="BH232" t="e">
            <v>#NAME?</v>
          </cell>
          <cell r="BJ232" t="e">
            <v>#NAME?</v>
          </cell>
          <cell r="BK232" t="e">
            <v>#NAME?</v>
          </cell>
        </row>
        <row r="233">
          <cell r="A233">
            <v>40694</v>
          </cell>
          <cell r="B233">
            <v>11.986230497287732</v>
          </cell>
          <cell r="C233">
            <v>8.125120431998182</v>
          </cell>
          <cell r="D233">
            <v>19.02</v>
          </cell>
          <cell r="E233">
            <v>1</v>
          </cell>
          <cell r="F233">
            <v>19.02</v>
          </cell>
          <cell r="G233">
            <v>86.036699999999996</v>
          </cell>
          <cell r="H233">
            <v>1636.4180339999998</v>
          </cell>
          <cell r="I233">
            <v>1630.3954649999998</v>
          </cell>
          <cell r="K233">
            <v>1630.3954649999998</v>
          </cell>
          <cell r="L233">
            <v>1.1805829999999999</v>
          </cell>
          <cell r="M233">
            <v>1.1805829999999999</v>
          </cell>
          <cell r="N233">
            <v>16.110684297503862</v>
          </cell>
          <cell r="O233">
            <v>7.6790510491361825</v>
          </cell>
          <cell r="P233">
            <v>11.254892869306826</v>
          </cell>
          <cell r="Q233">
            <v>14.83073468947747</v>
          </cell>
          <cell r="R233">
            <v>18.406576509648115</v>
          </cell>
          <cell r="S233">
            <v>21.982418329818756</v>
          </cell>
          <cell r="U233">
            <v>0.34409932306486346</v>
          </cell>
          <cell r="V233">
            <v>0.19006161364589438</v>
          </cell>
          <cell r="X233">
            <v>11.486504198265342</v>
          </cell>
          <cell r="Y233">
            <v>0.32672848685583511</v>
          </cell>
          <cell r="Z233">
            <v>-0.30793068244461758</v>
          </cell>
          <cell r="AA233">
            <v>-4.6095345378842079E-2</v>
          </cell>
          <cell r="AB233">
            <v>0.21573999168693342</v>
          </cell>
          <cell r="AC233">
            <v>0.47757532875270892</v>
          </cell>
          <cell r="AD233">
            <v>0.73941066581848447</v>
          </cell>
          <cell r="AF233" t="e">
            <v>#NAME?</v>
          </cell>
          <cell r="AG233" t="e">
            <v>#NAME?</v>
          </cell>
          <cell r="AH233" t="e">
            <v>#NAME?</v>
          </cell>
          <cell r="AI233" t="e">
            <v>#NAME?</v>
          </cell>
          <cell r="AJ233" t="e">
            <v>#NAME?</v>
          </cell>
          <cell r="AK233" t="e">
            <v>#NAME?</v>
          </cell>
          <cell r="AL233" t="e">
            <v>#NAME?</v>
          </cell>
          <cell r="AN233" t="e">
            <v>#NAME?</v>
          </cell>
          <cell r="AO233" t="e">
            <v>#NAME?</v>
          </cell>
          <cell r="AP233" t="e">
            <v>#NAME?</v>
          </cell>
          <cell r="AQ233" t="e">
            <v>#NAME?</v>
          </cell>
          <cell r="AR233" t="e">
            <v>#NAME?</v>
          </cell>
          <cell r="AS233" t="e">
            <v>#NAME?</v>
          </cell>
          <cell r="AT233" t="e">
            <v>#NAME?</v>
          </cell>
          <cell r="AV233" t="e">
            <v>#NAME?</v>
          </cell>
          <cell r="AW233" t="e">
            <v>#NAME?</v>
          </cell>
          <cell r="AX233" t="e">
            <v>#NAME?</v>
          </cell>
          <cell r="AY233" t="e">
            <v>#NAME?</v>
          </cell>
          <cell r="AZ233" t="e">
            <v>#NAME?</v>
          </cell>
          <cell r="BA233" t="e">
            <v>#NAME?</v>
          </cell>
          <cell r="BB233" t="e">
            <v>#NAME?</v>
          </cell>
          <cell r="BC233" t="e">
            <v>#NAME?</v>
          </cell>
          <cell r="BD233" t="e">
            <v>#NAME?</v>
          </cell>
          <cell r="BE233" t="e">
            <v>#NAME?</v>
          </cell>
          <cell r="BG233" t="e">
            <v>#NAME?</v>
          </cell>
          <cell r="BH233" t="e">
            <v>#NAME?</v>
          </cell>
          <cell r="BJ233" t="e">
            <v>#NAME?</v>
          </cell>
          <cell r="BK233" t="e">
            <v>#NAME?</v>
          </cell>
        </row>
        <row r="234">
          <cell r="A234">
            <v>40724</v>
          </cell>
          <cell r="B234">
            <v>12.461525261032802</v>
          </cell>
          <cell r="C234">
            <v>8.125120431998182</v>
          </cell>
          <cell r="D234">
            <v>18.400000000000002</v>
          </cell>
          <cell r="E234">
            <v>1</v>
          </cell>
          <cell r="F234">
            <v>18.400000000000002</v>
          </cell>
          <cell r="G234" t="e">
            <v>#N/A</v>
          </cell>
          <cell r="H234" t="e">
            <v>#N/A</v>
          </cell>
          <cell r="I234">
            <v>1630.3954649999998</v>
          </cell>
          <cell r="K234">
            <v>1630.3954649999998</v>
          </cell>
          <cell r="L234">
            <v>1.1919999999999999</v>
          </cell>
          <cell r="M234" t="str">
            <v>F&amp;C Absolute Score</v>
          </cell>
          <cell r="N234">
            <v>15.436241610738257</v>
          </cell>
          <cell r="O234" t="str">
            <v/>
          </cell>
          <cell r="P234" t="str">
            <v/>
          </cell>
          <cell r="Q234" t="str">
            <v/>
          </cell>
          <cell r="R234">
            <v>-1</v>
          </cell>
          <cell r="S234" t="str">
            <v/>
          </cell>
          <cell r="U234">
            <v>0.33930958162444247</v>
          </cell>
          <cell r="V234">
            <v>0.19006161364589438</v>
          </cell>
          <cell r="X234">
            <v>12.625663523193959</v>
          </cell>
          <cell r="Y234">
            <v>11.866223973241548</v>
          </cell>
          <cell r="Z234" t="str">
            <v/>
          </cell>
          <cell r="AA234" t="str">
            <v/>
          </cell>
          <cell r="AB234" t="str">
            <v/>
          </cell>
          <cell r="AC234">
            <v>-1</v>
          </cell>
          <cell r="AD234" t="str">
            <v/>
          </cell>
          <cell r="AF234" t="e">
            <v>#NAME?</v>
          </cell>
          <cell r="AG234" t="e">
            <v>#NAME?</v>
          </cell>
          <cell r="AH234" t="e">
            <v>#NAME?</v>
          </cell>
          <cell r="AI234" t="e">
            <v>#NAME?</v>
          </cell>
          <cell r="AJ234" t="e">
            <v>#NAME?</v>
          </cell>
          <cell r="AK234" t="e">
            <v>#NAME?</v>
          </cell>
          <cell r="AL234" t="e">
            <v>#NAME?</v>
          </cell>
          <cell r="AN234" t="e">
            <v>#NAME?</v>
          </cell>
          <cell r="AO234" t="e">
            <v>#NAME?</v>
          </cell>
          <cell r="AP234" t="e">
            <v>#NAME?</v>
          </cell>
          <cell r="AQ234" t="e">
            <v>#NAME?</v>
          </cell>
          <cell r="AR234" t="e">
            <v>#NAME?</v>
          </cell>
          <cell r="AS234" t="e">
            <v>#NAME?</v>
          </cell>
          <cell r="AT234" t="e">
            <v>#NAME?</v>
          </cell>
          <cell r="AV234" t="e">
            <v>#NAME?</v>
          </cell>
          <cell r="AW234" t="e">
            <v>#NAME?</v>
          </cell>
          <cell r="AX234" t="e">
            <v>#NAME?</v>
          </cell>
          <cell r="AY234" t="e">
            <v>#NAME?</v>
          </cell>
          <cell r="AZ234" t="e">
            <v>#NAME?</v>
          </cell>
          <cell r="BA234" t="e">
            <v>#NAME?</v>
          </cell>
          <cell r="BB234" t="e">
            <v>#NAME?</v>
          </cell>
          <cell r="BC234" t="e">
            <v>#NAME?</v>
          </cell>
          <cell r="BD234" t="e">
            <v>#NAME?</v>
          </cell>
          <cell r="BE234" t="e">
            <v>#NAME?</v>
          </cell>
          <cell r="BG234" t="e">
            <v>#NAME?</v>
          </cell>
          <cell r="BH234" t="e">
            <v>#NAME?</v>
          </cell>
          <cell r="BJ234" t="e">
            <v>#NAME?</v>
          </cell>
          <cell r="BK234" t="e">
            <v>#NAME?</v>
          </cell>
        </row>
        <row r="235">
          <cell r="A235">
            <v>40755</v>
          </cell>
          <cell r="B235">
            <v>12.660004338870857</v>
          </cell>
          <cell r="C235">
            <v>12.56076479995183</v>
          </cell>
          <cell r="D235">
            <v>19.150000000000002</v>
          </cell>
          <cell r="E235">
            <v>1</v>
          </cell>
          <cell r="F235">
            <v>19.150000000000002</v>
          </cell>
          <cell r="G235" t="e">
            <v>#N/A</v>
          </cell>
          <cell r="H235" t="e">
            <v>#N/A</v>
          </cell>
          <cell r="I235">
            <v>1630.3954649999998</v>
          </cell>
          <cell r="K235">
            <v>1630.3954649999998</v>
          </cell>
          <cell r="L235">
            <v>1.1995</v>
          </cell>
          <cell r="M235">
            <v>1.1995</v>
          </cell>
          <cell r="N235">
            <v>15.964985410587747</v>
          </cell>
          <cell r="O235">
            <v>7.6790510491361825</v>
          </cell>
          <cell r="P235">
            <v>11.254892869306826</v>
          </cell>
          <cell r="Q235">
            <v>14.83073468947747</v>
          </cell>
          <cell r="R235">
            <v>18.406576509648115</v>
          </cell>
          <cell r="S235">
            <v>21.982418329818756</v>
          </cell>
          <cell r="U235">
            <v>0.38082412658569975</v>
          </cell>
          <cell r="V235">
            <v>0.19006161364589438</v>
          </cell>
          <cell r="X235">
            <v>11.612134413104906</v>
          </cell>
          <cell r="Y235">
            <v>18.02787379239528</v>
          </cell>
          <cell r="Z235">
            <v>-0.30793068244461758</v>
          </cell>
          <cell r="AA235">
            <v>-4.6095345378842079E-2</v>
          </cell>
          <cell r="AB235">
            <v>0.21573999168693342</v>
          </cell>
          <cell r="AC235">
            <v>0.47757532875270892</v>
          </cell>
          <cell r="AD235">
            <v>0.73941066581848447</v>
          </cell>
          <cell r="AF235" t="e">
            <v>#NAME?</v>
          </cell>
          <cell r="AG235" t="e">
            <v>#NAME?</v>
          </cell>
          <cell r="AH235" t="e">
            <v>#NAME?</v>
          </cell>
          <cell r="AI235" t="e">
            <v>#NAME?</v>
          </cell>
          <cell r="AJ235" t="e">
            <v>#NAME?</v>
          </cell>
          <cell r="AK235" t="e">
            <v>#NAME?</v>
          </cell>
          <cell r="AL235" t="e">
            <v>#NAME?</v>
          </cell>
          <cell r="AN235" t="e">
            <v>#NAME?</v>
          </cell>
          <cell r="AO235" t="e">
            <v>#NAME?</v>
          </cell>
          <cell r="AP235" t="e">
            <v>#NAME?</v>
          </cell>
          <cell r="AQ235" t="e">
            <v>#NAME?</v>
          </cell>
          <cell r="AR235" t="e">
            <v>#NAME?</v>
          </cell>
          <cell r="AS235" t="e">
            <v>#NAME?</v>
          </cell>
          <cell r="AT235" t="e">
            <v>#NAME?</v>
          </cell>
          <cell r="AV235" t="e">
            <v>#NAME?</v>
          </cell>
          <cell r="AW235" t="e">
            <v>#NAME?</v>
          </cell>
          <cell r="AX235" t="e">
            <v>#NAME?</v>
          </cell>
          <cell r="AY235" t="e">
            <v>#NAME?</v>
          </cell>
          <cell r="AZ235" t="e">
            <v>#NAME?</v>
          </cell>
          <cell r="BA235" t="e">
            <v>#NAME?</v>
          </cell>
          <cell r="BB235" t="e">
            <v>#NAME?</v>
          </cell>
          <cell r="BC235" t="e">
            <v>#NAME?</v>
          </cell>
          <cell r="BD235" t="e">
            <v>#NAME?</v>
          </cell>
          <cell r="BE235" t="e">
            <v>#NAME?</v>
          </cell>
          <cell r="BG235" t="e">
            <v>#NAME?</v>
          </cell>
          <cell r="BH235" t="e">
            <v>#NAME?</v>
          </cell>
          <cell r="BJ235" t="e">
            <v>#NAME?</v>
          </cell>
          <cell r="BK235" t="e">
            <v>#NAME?</v>
          </cell>
        </row>
        <row r="236">
          <cell r="A236">
            <v>40786</v>
          </cell>
          <cell r="B236">
            <v>10.510988069179012</v>
          </cell>
          <cell r="C236">
            <v>8.125120431998182</v>
          </cell>
          <cell r="D236">
            <v>18.95</v>
          </cell>
          <cell r="E236">
            <v>1</v>
          </cell>
          <cell r="F236">
            <v>18.95</v>
          </cell>
          <cell r="G236">
            <v>86.036699999999996</v>
          </cell>
          <cell r="H236">
            <v>1630.3954649999998</v>
          </cell>
          <cell r="I236">
            <v>1630.3954649999998</v>
          </cell>
          <cell r="K236">
            <v>1630.3954649999998</v>
          </cell>
          <cell r="L236">
            <v>1.2130000000000001</v>
          </cell>
          <cell r="M236">
            <v>1.2130000000000001</v>
          </cell>
          <cell r="N236">
            <v>15.622423742786479</v>
          </cell>
          <cell r="O236">
            <v>7.6790510491361825</v>
          </cell>
          <cell r="P236">
            <v>11.254892869306826</v>
          </cell>
          <cell r="Q236">
            <v>14.83073468947747</v>
          </cell>
          <cell r="R236">
            <v>18.406576509648115</v>
          </cell>
          <cell r="S236">
            <v>21.982418329818756</v>
          </cell>
          <cell r="U236">
            <v>0.48629449866806951</v>
          </cell>
          <cell r="V236">
            <v>0.19006161364589438</v>
          </cell>
          <cell r="X236">
            <v>11.506163980236764</v>
          </cell>
          <cell r="Y236">
            <v>0.5562557177254952</v>
          </cell>
          <cell r="Z236">
            <v>-0.30793068244461758</v>
          </cell>
          <cell r="AA236">
            <v>-4.6095345378842079E-2</v>
          </cell>
          <cell r="AB236">
            <v>0.21573999168693342</v>
          </cell>
          <cell r="AC236">
            <v>0.47757532875270892</v>
          </cell>
          <cell r="AD236">
            <v>0.73941066581848447</v>
          </cell>
          <cell r="AF236" t="e">
            <v>#NAME?</v>
          </cell>
          <cell r="AG236" t="e">
            <v>#NAME?</v>
          </cell>
          <cell r="AH236" t="e">
            <v>#NAME?</v>
          </cell>
          <cell r="AI236" t="e">
            <v>#NAME?</v>
          </cell>
          <cell r="AJ236" t="e">
            <v>#NAME?</v>
          </cell>
          <cell r="AK236" t="e">
            <v>#NAME?</v>
          </cell>
          <cell r="AL236" t="e">
            <v>#NAME?</v>
          </cell>
          <cell r="AN236" t="e">
            <v>#NAME?</v>
          </cell>
          <cell r="AO236" t="e">
            <v>#NAME?</v>
          </cell>
          <cell r="AP236" t="e">
            <v>#NAME?</v>
          </cell>
          <cell r="AQ236" t="e">
            <v>#NAME?</v>
          </cell>
          <cell r="AR236" t="e">
            <v>#NAME?</v>
          </cell>
          <cell r="AS236" t="e">
            <v>#NAME?</v>
          </cell>
          <cell r="AT236" t="e">
            <v>#NAME?</v>
          </cell>
          <cell r="AV236" t="e">
            <v>#NAME?</v>
          </cell>
          <cell r="AW236" t="e">
            <v>#NAME?</v>
          </cell>
          <cell r="AX236" t="e">
            <v>#NAME?</v>
          </cell>
          <cell r="AY236" t="e">
            <v>#NAME?</v>
          </cell>
          <cell r="AZ236" t="e">
            <v>#NAME?</v>
          </cell>
          <cell r="BA236" t="e">
            <v>#NAME?</v>
          </cell>
          <cell r="BB236" t="e">
            <v>#NAME?</v>
          </cell>
          <cell r="BC236" t="e">
            <v>#NAME?</v>
          </cell>
          <cell r="BD236" t="e">
            <v>#NAME?</v>
          </cell>
          <cell r="BE236" t="e">
            <v>#NAME?</v>
          </cell>
          <cell r="BG236" t="e">
            <v>#NAME?</v>
          </cell>
          <cell r="BH236" t="e">
            <v>#NAME?</v>
          </cell>
          <cell r="BJ236" t="e">
            <v>#NAME?</v>
          </cell>
          <cell r="BK236" t="e">
            <v>#NAME?</v>
          </cell>
        </row>
        <row r="237">
          <cell r="X237">
            <v>12.61763625346809</v>
          </cell>
          <cell r="Y237">
            <v>11.876654737980539</v>
          </cell>
        </row>
        <row r="238">
          <cell r="B238">
            <v>12.426477157558212</v>
          </cell>
          <cell r="M238" t="str">
            <v>F&amp;C Absolute Score</v>
          </cell>
          <cell r="O238" t="str">
            <v/>
          </cell>
          <cell r="P238" t="str">
            <v/>
          </cell>
          <cell r="Q238">
            <v>0</v>
          </cell>
          <cell r="R238" t="str">
            <v/>
          </cell>
          <cell r="S238" t="str">
            <v/>
          </cell>
          <cell r="X238" t="str">
            <v>F&amp;C Relative Score</v>
          </cell>
          <cell r="Y238">
            <v>19.160586034150491</v>
          </cell>
          <cell r="Z238" t="str">
            <v/>
          </cell>
          <cell r="AA238" t="str">
            <v/>
          </cell>
          <cell r="AB238" t="str">
            <v/>
          </cell>
          <cell r="AC238">
            <v>-1</v>
          </cell>
          <cell r="AD238" t="str">
            <v/>
          </cell>
        </row>
        <row r="239">
          <cell r="B239">
            <v>12.606201391876906</v>
          </cell>
          <cell r="C239">
            <v>12.516339274717559</v>
          </cell>
        </row>
        <row r="240">
          <cell r="W240" t="str">
            <v>Small Industrials</v>
          </cell>
          <cell r="X240">
            <v>11.502481213084113</v>
          </cell>
        </row>
        <row r="241">
          <cell r="W241" t="str">
            <v>LT average</v>
          </cell>
          <cell r="X241">
            <v>12.566030839890292</v>
          </cell>
          <cell r="Y241">
            <v>11.858332802850445</v>
          </cell>
        </row>
        <row r="242">
          <cell r="W242" t="str">
            <v>MND premium</v>
          </cell>
          <cell r="X242">
            <v>0.17309537420876039</v>
          </cell>
          <cell r="Y242">
            <v>20.980424997932545</v>
          </cell>
        </row>
        <row r="243">
          <cell r="W243" t="str">
            <v>MND multiople</v>
          </cell>
          <cell r="X243">
            <v>14.741152650439926</v>
          </cell>
        </row>
        <row r="244">
          <cell r="W244" t="str">
            <v>LT average</v>
          </cell>
          <cell r="X244">
            <v>12.56076479995183</v>
          </cell>
        </row>
        <row r="245">
          <cell r="W245" t="str">
            <v>Small Mining Services</v>
          </cell>
          <cell r="X245">
            <v>0.1832334343850209</v>
          </cell>
        </row>
        <row r="246">
          <cell r="W246" t="str">
            <v>LT average</v>
          </cell>
          <cell r="X246">
            <v>11.866223973241548</v>
          </cell>
          <cell r="Y246" t="str">
            <v>s.d.</v>
          </cell>
          <cell r="Z246">
            <v>3.4666195399760142</v>
          </cell>
          <cell r="AA246" t="str">
            <v>DCF adjustment</v>
          </cell>
          <cell r="AB246">
            <v>8.3996044332655337</v>
          </cell>
          <cell r="AC246">
            <v>15.332843513217561</v>
          </cell>
        </row>
        <row r="247">
          <cell r="W247" t="str">
            <v>MND premium</v>
          </cell>
          <cell r="X247">
            <v>0.20098290896088866</v>
          </cell>
          <cell r="AA247" t="str">
            <v>6mth WA PE</v>
          </cell>
          <cell r="AB247">
            <v>12.295913615041151</v>
          </cell>
        </row>
        <row r="248">
          <cell r="W248" t="str">
            <v>MND multiople</v>
          </cell>
          <cell r="X248">
            <v>14.251132185765067</v>
          </cell>
          <cell r="AA248" t="str">
            <v>s.d. variation</v>
          </cell>
          <cell r="AB248">
            <v>0.1239506201486929</v>
          </cell>
        </row>
        <row r="249">
          <cell r="W249" t="str">
            <v>LT average</v>
          </cell>
          <cell r="X249">
            <v>11.876654737980539</v>
          </cell>
          <cell r="Y249" t="str">
            <v>s.d.</v>
          </cell>
          <cell r="Z249">
            <v>3.4296010477145416</v>
          </cell>
          <cell r="AA249" t="str">
            <v>DCF adjustment</v>
          </cell>
          <cell r="AB249">
            <v>8.4470536902659976</v>
          </cell>
          <cell r="AC249">
            <v>15.306255785695081</v>
          </cell>
        </row>
        <row r="250">
          <cell r="W250" t="str">
            <v>Average of two</v>
          </cell>
          <cell r="X250">
            <v>14.496142418102497</v>
          </cell>
          <cell r="AA250" t="str">
            <v>6mth WA PE</v>
          </cell>
          <cell r="AB250">
            <v>12.448264067127679</v>
          </cell>
        </row>
        <row r="251">
          <cell r="W251" t="str">
            <v>MS Premium</v>
          </cell>
          <cell r="X251">
            <v>0.1</v>
          </cell>
          <cell r="AA251" t="str">
            <v>s.d. variation</v>
          </cell>
          <cell r="AB251">
            <v>0.16666933593575151</v>
          </cell>
        </row>
        <row r="252">
          <cell r="W252" t="str">
            <v>Valuation Multiple</v>
          </cell>
          <cell r="X252">
            <v>15.945756659912748</v>
          </cell>
          <cell r="AA252" t="str">
            <v>DCF adjustment</v>
          </cell>
        </row>
        <row r="253">
          <cell r="W253" t="str">
            <v>Forward EPS</v>
          </cell>
          <cell r="X253">
            <v>126.50134429601782</v>
          </cell>
          <cell r="Y253" t="str">
            <v>s.d.</v>
          </cell>
          <cell r="Z253">
            <v>3.3821164617308468</v>
          </cell>
          <cell r="AA253" t="str">
            <v>DCF adjustment</v>
          </cell>
          <cell r="AB253">
            <v>8.4762163411195974</v>
          </cell>
          <cell r="AC253">
            <v>15.240449264581292</v>
          </cell>
        </row>
        <row r="254">
          <cell r="W254" t="str">
            <v>MS Premium</v>
          </cell>
          <cell r="X254">
            <v>0.05</v>
          </cell>
          <cell r="AA254" t="str">
            <v>6mth WA PE</v>
          </cell>
          <cell r="AB254">
            <v>11.721089435420961</v>
          </cell>
        </row>
        <row r="255">
          <cell r="W255" t="str">
            <v>Valuation Multiple</v>
          </cell>
          <cell r="X255">
            <v>20.171596532961416</v>
          </cell>
          <cell r="AA255" t="str">
            <v>s.d. variation</v>
          </cell>
          <cell r="AB255">
            <v>-4.057913705291144E-2</v>
          </cell>
        </row>
        <row r="256">
          <cell r="W256" t="str">
            <v>Forward EPS</v>
          </cell>
          <cell r="X256">
            <v>133.29537081472412</v>
          </cell>
          <cell r="AA256" t="str">
            <v>DCF adjustment</v>
          </cell>
        </row>
        <row r="257">
          <cell r="W257" t="str">
            <v>EPS on $120m in FY12</v>
          </cell>
          <cell r="X257">
            <v>134.03666475284987</v>
          </cell>
        </row>
        <row r="258">
          <cell r="W258" t="str">
            <v>MS Premium</v>
          </cell>
          <cell r="X258">
            <v>21.373160396552478</v>
          </cell>
        </row>
        <row r="259">
          <cell r="W259" t="str">
            <v>Valuation Multiple</v>
          </cell>
          <cell r="X259">
            <v>15.388728777118279</v>
          </cell>
        </row>
        <row r="260">
          <cell r="W260" t="str">
            <v>EPS on $120m in FY12</v>
          </cell>
          <cell r="X260">
            <v>132.55605051090885</v>
          </cell>
        </row>
        <row r="261">
          <cell r="X261">
            <v>20.346486541371316</v>
          </cell>
        </row>
        <row r="262">
          <cell r="X262">
            <v>22.395083659537736</v>
          </cell>
        </row>
        <row r="264">
          <cell r="W264" t="str">
            <v>EPS on $120m in FY12</v>
          </cell>
          <cell r="X264">
            <v>129.68721055097967</v>
          </cell>
        </row>
        <row r="265">
          <cell r="X265">
            <v>19.957213090300581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2">
          <cell r="B2" t="str">
            <v>ABARE's list of major minerals and energy projects</v>
          </cell>
        </row>
        <row r="4">
          <cell r="B4" t="str">
            <v>Note: Projects that are under construction or committed are shown in the blue shaded areas. Less advanced projects are shown in the yellow shaded areas.</v>
          </cell>
        </row>
        <row r="8">
          <cell r="B8" t="str">
            <v>Mining projects – energy a</v>
          </cell>
        </row>
        <row r="9">
          <cell r="B9" t="str">
            <v>Project</v>
          </cell>
          <cell r="C9" t="str">
            <v>Major Holder</v>
          </cell>
          <cell r="D9" t="str">
            <v>Commodity</v>
          </cell>
          <cell r="E9" t="str">
            <v>Status</v>
          </cell>
          <cell r="F9" t="str">
            <v>Startup</v>
          </cell>
          <cell r="G9" t="str">
            <v>New Capacity</v>
          </cell>
          <cell r="H9" t="str">
            <v>Capital Expend. e</v>
          </cell>
        </row>
        <row r="10">
          <cell r="B10" t="str">
            <v>RGP5</v>
          </cell>
          <cell r="C10" t="str">
            <v>BHP Billiton</v>
          </cell>
          <cell r="D10" t="str">
            <v>Iron Ore</v>
          </cell>
          <cell r="E10" t="str">
            <v>Construction</v>
          </cell>
          <cell r="F10">
            <v>2011</v>
          </cell>
          <cell r="G10" t="str">
            <v>45 Mt</v>
          </cell>
          <cell r="H10" t="str">
            <v>US$5.65b</v>
          </cell>
        </row>
        <row r="11">
          <cell r="B11" t="str">
            <v>Worsley Efficiency and Growth</v>
          </cell>
          <cell r="C11" t="str">
            <v>BHP Billiton</v>
          </cell>
          <cell r="D11" t="str">
            <v>Alumina</v>
          </cell>
          <cell r="E11" t="str">
            <v>Construction</v>
          </cell>
          <cell r="F11">
            <v>2011</v>
          </cell>
          <cell r="G11" t="str">
            <v>1100 kt</v>
          </cell>
          <cell r="H11" t="str">
            <v>US$2.2b (A$2.7b)</v>
          </cell>
        </row>
        <row r="12">
          <cell r="B12" t="str">
            <v>Karara</v>
          </cell>
          <cell r="C12" t="str">
            <v>Gindalbie Metals</v>
          </cell>
          <cell r="D12" t="str">
            <v>Iron Ore</v>
          </cell>
          <cell r="E12" t="str">
            <v>Construction</v>
          </cell>
          <cell r="F12">
            <v>2011</v>
          </cell>
          <cell r="G12" t="str">
            <v>8 Mt concentrates</v>
          </cell>
          <cell r="H12" t="str">
            <v>A$1.7b</v>
          </cell>
        </row>
        <row r="13">
          <cell r="B13" t="str">
            <v>Yarwun expansion</v>
          </cell>
          <cell r="C13" t="str">
            <v>Rio Tinto</v>
          </cell>
          <cell r="D13" t="str">
            <v>Alumina</v>
          </cell>
          <cell r="E13" t="str">
            <v>Construction</v>
          </cell>
          <cell r="F13">
            <v>2012</v>
          </cell>
          <cell r="G13" t="str">
            <v>2000 kt</v>
          </cell>
          <cell r="H13" t="str">
            <v>US$1.8b (A$2.2b)</v>
          </cell>
        </row>
        <row r="14">
          <cell r="B14" t="str">
            <v>Cadia East (expansion)</v>
          </cell>
          <cell r="C14" t="str">
            <v>Newcrest</v>
          </cell>
          <cell r="D14" t="str">
            <v>Gold</v>
          </cell>
          <cell r="E14" t="str">
            <v>Construction</v>
          </cell>
          <cell r="F14">
            <v>2012</v>
          </cell>
          <cell r="G14" t="str">
            <v>700 000oz</v>
          </cell>
          <cell r="H14" t="str">
            <v>A$1.91b</v>
          </cell>
        </row>
        <row r="15">
          <cell r="B15" t="str">
            <v>Kestrel (expansion)</v>
          </cell>
          <cell r="C15" t="str">
            <v>Rio Tinto</v>
          </cell>
          <cell r="D15" t="str">
            <v>Coking Coal</v>
          </cell>
          <cell r="E15" t="str">
            <v>Construction</v>
          </cell>
          <cell r="F15">
            <v>2012</v>
          </cell>
          <cell r="G15" t="str">
            <v xml:space="preserve">1.7 Mt coking </v>
          </cell>
          <cell r="H15" t="str">
            <v>US$1b</v>
          </cell>
        </row>
        <row r="16">
          <cell r="B16" t="str">
            <v>Mangoola</v>
          </cell>
          <cell r="C16" t="str">
            <v>Xstrata Coal</v>
          </cell>
          <cell r="D16" t="str">
            <v>Thermal Coal</v>
          </cell>
          <cell r="E16" t="str">
            <v>Construction</v>
          </cell>
          <cell r="F16">
            <v>2012</v>
          </cell>
          <cell r="G16" t="str">
            <v>8 Mt thermal</v>
          </cell>
          <cell r="H16" t="str">
            <v>A$1b</v>
          </cell>
        </row>
        <row r="17">
          <cell r="B17" t="str">
            <v>Yerilla</v>
          </cell>
          <cell r="C17" t="str">
            <v>Shanshan Ningbo</v>
          </cell>
          <cell r="D17" t="str">
            <v>Nickel</v>
          </cell>
          <cell r="E17" t="str">
            <v>Feasibility</v>
          </cell>
          <cell r="F17">
            <v>2012</v>
          </cell>
          <cell r="G17" t="str">
            <v>21 kt Ni, 1.4 kt Co</v>
          </cell>
          <cell r="H17" t="str">
            <v>$1.2b</v>
          </cell>
        </row>
        <row r="18">
          <cell r="B18" t="str">
            <v>Alpha Coal</v>
          </cell>
          <cell r="C18" t="str">
            <v>Hancock Coal</v>
          </cell>
          <cell r="D18" t="str">
            <v>Thermal Coal</v>
          </cell>
          <cell r="E18" t="str">
            <v>Feasibility</v>
          </cell>
          <cell r="F18">
            <v>2013</v>
          </cell>
          <cell r="G18" t="str">
            <v xml:space="preserve">30 Mt thermal </v>
          </cell>
          <cell r="H18" t="str">
            <v>A$7.5b</v>
          </cell>
        </row>
        <row r="19">
          <cell r="B19" t="str">
            <v xml:space="preserve">West Pilbara </v>
          </cell>
          <cell r="C19" t="str">
            <v>Aquila Resources</v>
          </cell>
          <cell r="D19" t="str">
            <v>Iron Ore</v>
          </cell>
          <cell r="E19" t="str">
            <v>Feasibility</v>
          </cell>
          <cell r="F19">
            <v>2013</v>
          </cell>
          <cell r="G19" t="str">
            <v>30 Mt hematite</v>
          </cell>
          <cell r="H19" t="str">
            <v>$4.2b (incl. infrastructure)</v>
          </cell>
        </row>
        <row r="20">
          <cell r="B20" t="str">
            <v>CHALCO alumina refinery</v>
          </cell>
          <cell r="C20" t="str">
            <v>CHALCO</v>
          </cell>
          <cell r="D20" t="str">
            <v>Alumina</v>
          </cell>
          <cell r="E20" t="str">
            <v>Feasibility</v>
          </cell>
          <cell r="F20">
            <v>2013</v>
          </cell>
          <cell r="G20" t="str">
            <v>2300 kt</v>
          </cell>
          <cell r="H20" t="str">
            <v>$2.2b</v>
          </cell>
        </row>
        <row r="21">
          <cell r="B21" t="str">
            <v>Southdown</v>
          </cell>
          <cell r="C21" t="str">
            <v>Grange Resources</v>
          </cell>
          <cell r="D21" t="str">
            <v>Iron Ore</v>
          </cell>
          <cell r="E21" t="str">
            <v>Feasibility</v>
          </cell>
          <cell r="F21">
            <v>2013</v>
          </cell>
          <cell r="G21" t="str">
            <v>3.5 Mt concentrates (initally), 6.6 Mt concentrates (ultimately)</v>
          </cell>
          <cell r="H21" t="str">
            <v>US$1.6b (A$1.9b)</v>
          </cell>
        </row>
        <row r="22">
          <cell r="B22" t="str">
            <v>Wandoan opencut</v>
          </cell>
          <cell r="C22" t="str">
            <v>Xstrata</v>
          </cell>
          <cell r="D22" t="str">
            <v>Thermal Coal</v>
          </cell>
          <cell r="E22" t="str">
            <v>Feasibility</v>
          </cell>
          <cell r="F22">
            <v>2013</v>
          </cell>
          <cell r="G22" t="str">
            <v>up to 22 Mt thermal</v>
          </cell>
          <cell r="H22" t="str">
            <v>US$1.6b</v>
          </cell>
        </row>
        <row r="23">
          <cell r="B23" t="str">
            <v>Weipa (expansion)</v>
          </cell>
          <cell r="C23" t="str">
            <v>Rio Tinto Alcan</v>
          </cell>
          <cell r="D23" t="str">
            <v>Bauxite</v>
          </cell>
          <cell r="E23" t="str">
            <v>Feasibility</v>
          </cell>
          <cell r="F23">
            <v>2013</v>
          </cell>
          <cell r="G23" t="str">
            <v>14 Mt bauxite</v>
          </cell>
          <cell r="H23" t="str">
            <v>US$1b</v>
          </cell>
        </row>
        <row r="24">
          <cell r="B24" t="str">
            <v>PNG LNG</v>
          </cell>
          <cell r="C24" t="str">
            <v>Exxon Mobil</v>
          </cell>
          <cell r="D24" t="str">
            <v>Oil &amp; gas</v>
          </cell>
          <cell r="E24" t="str">
            <v>Construction</v>
          </cell>
          <cell r="F24">
            <v>2014</v>
          </cell>
        </row>
        <row r="25">
          <cell r="B25" t="str">
            <v>Curtis LNG</v>
          </cell>
          <cell r="C25" t="str">
            <v>BG Group</v>
          </cell>
          <cell r="D25" t="str">
            <v>Oil &amp; gas</v>
          </cell>
          <cell r="E25" t="str">
            <v>FEED</v>
          </cell>
          <cell r="F25">
            <v>2014</v>
          </cell>
          <cell r="G25" t="str">
            <v>7.4Mt LNG (12Mt ultimately)</v>
          </cell>
          <cell r="H25" t="str">
            <v>A$8b</v>
          </cell>
        </row>
        <row r="26">
          <cell r="B26" t="str">
            <v>Gladstone LNG</v>
          </cell>
          <cell r="C26" t="str">
            <v>Santos</v>
          </cell>
          <cell r="D26" t="str">
            <v>Oil &amp; gas</v>
          </cell>
          <cell r="E26" t="str">
            <v>FEED</v>
          </cell>
          <cell r="F26">
            <v>2014</v>
          </cell>
          <cell r="G26" t="str">
            <v>3.5 Mt LNG (initally) 10 Mt (ultimately)</v>
          </cell>
          <cell r="H26" t="str">
            <v>A$7.7b</v>
          </cell>
        </row>
        <row r="27">
          <cell r="B27" t="str">
            <v>Gorgon</v>
          </cell>
          <cell r="C27" t="str">
            <v>Chevron</v>
          </cell>
          <cell r="D27" t="str">
            <v>Oil &amp; gas</v>
          </cell>
          <cell r="E27" t="str">
            <v>Construction</v>
          </cell>
          <cell r="F27">
            <v>2015</v>
          </cell>
          <cell r="G27" t="str">
            <v xml:space="preserve">15 Mt LNG </v>
          </cell>
          <cell r="H27" t="str">
            <v>A$43b</v>
          </cell>
        </row>
        <row r="28">
          <cell r="B28" t="str">
            <v>Australia Pacific LNG</v>
          </cell>
          <cell r="C28" t="str">
            <v>APLNG</v>
          </cell>
          <cell r="D28" t="str">
            <v>Oil &amp; gas</v>
          </cell>
          <cell r="E28" t="str">
            <v>FEED</v>
          </cell>
          <cell r="F28">
            <v>2015</v>
          </cell>
          <cell r="G28" t="str">
            <v>7-8 Mt LNG (initially) 14-16 Mt (ultimately)</v>
          </cell>
          <cell r="H28" t="str">
            <v>A$35b</v>
          </cell>
        </row>
        <row r="29">
          <cell r="B29" t="str">
            <v>Ichthys</v>
          </cell>
          <cell r="C29" t="str">
            <v>Inpex</v>
          </cell>
          <cell r="D29" t="str">
            <v>Oil &amp; gas</v>
          </cell>
          <cell r="E29" t="str">
            <v>FEED</v>
          </cell>
          <cell r="F29">
            <v>2015</v>
          </cell>
          <cell r="G29" t="str">
            <v>8 Mt LNG, 100 kbpd condensates, 1.6 Mtpa LPG (initally)</v>
          </cell>
          <cell r="H29" t="str">
            <v>US$20b</v>
          </cell>
        </row>
        <row r="30">
          <cell r="B30" t="str">
            <v>Wheatstone</v>
          </cell>
          <cell r="C30" t="str">
            <v>Chevron</v>
          </cell>
          <cell r="D30" t="str">
            <v>Oil &amp; gas</v>
          </cell>
          <cell r="E30" t="str">
            <v>FEED</v>
          </cell>
          <cell r="F30">
            <v>2016</v>
          </cell>
          <cell r="G30" t="str">
            <v>8.6 Mt LNG (initally) 25Mt LNG (ultimately)</v>
          </cell>
          <cell r="H30" t="str">
            <v>US$17.8b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>
        <row r="2">
          <cell r="C2" t="str">
            <v>FY02</v>
          </cell>
          <cell r="D2" t="str">
            <v>FY03</v>
          </cell>
          <cell r="E2" t="str">
            <v>FY04</v>
          </cell>
          <cell r="F2" t="str">
            <v>FY05</v>
          </cell>
          <cell r="G2" t="str">
            <v>FY06</v>
          </cell>
          <cell r="H2" t="str">
            <v>1H07</v>
          </cell>
          <cell r="I2" t="str">
            <v>2H07</v>
          </cell>
          <cell r="J2" t="str">
            <v>1H08</v>
          </cell>
          <cell r="K2" t="str">
            <v>2H08</v>
          </cell>
          <cell r="L2" t="str">
            <v>1H09</v>
          </cell>
          <cell r="M2" t="str">
            <v>2H09</v>
          </cell>
          <cell r="N2" t="str">
            <v>1H10</v>
          </cell>
          <cell r="O2" t="str">
            <v>2H10</v>
          </cell>
          <cell r="P2" t="str">
            <v>1H11</v>
          </cell>
          <cell r="Q2" t="str">
            <v>2H11</v>
          </cell>
        </row>
        <row r="3">
          <cell r="B3" t="str">
            <v>Employees (EOP) (LHS)</v>
          </cell>
          <cell r="C3">
            <v>1198</v>
          </cell>
          <cell r="D3">
            <v>1376</v>
          </cell>
          <cell r="E3">
            <v>1539</v>
          </cell>
          <cell r="F3">
            <v>1740</v>
          </cell>
          <cell r="G3">
            <v>3142</v>
          </cell>
          <cell r="H3">
            <v>3647</v>
          </cell>
          <cell r="I3">
            <v>4034</v>
          </cell>
          <cell r="J3">
            <v>3808</v>
          </cell>
          <cell r="K3">
            <v>3848</v>
          </cell>
          <cell r="L3">
            <v>4782</v>
          </cell>
          <cell r="M3">
            <v>4211</v>
          </cell>
          <cell r="N3">
            <v>4632</v>
          </cell>
          <cell r="O3">
            <v>5424</v>
          </cell>
          <cell r="P3">
            <v>5424</v>
          </cell>
          <cell r="Q3">
            <v>5649</v>
          </cell>
        </row>
        <row r="4">
          <cell r="B4" t="str">
            <v>Revenue (A$m) (RHS)</v>
          </cell>
          <cell r="C4">
            <v>1546.7288699999999</v>
          </cell>
          <cell r="D4">
            <v>2437.3500000000004</v>
          </cell>
          <cell r="E4">
            <v>2207.6</v>
          </cell>
          <cell r="F4">
            <v>3905.6400000000003</v>
          </cell>
          <cell r="G4">
            <v>5319.6299999999992</v>
          </cell>
          <cell r="H4">
            <v>4994.3599999999997</v>
          </cell>
          <cell r="I4">
            <v>4642.8100000000004</v>
          </cell>
          <cell r="J4">
            <v>4601.97</v>
          </cell>
          <cell r="K4">
            <v>4937.9399999999996</v>
          </cell>
          <cell r="L4">
            <v>5627.06</v>
          </cell>
          <cell r="M4">
            <v>5598.15</v>
          </cell>
          <cell r="N4">
            <v>6195.13</v>
          </cell>
          <cell r="O4">
            <v>6559.0700000000006</v>
          </cell>
          <cell r="P4">
            <v>6559.0700000000006</v>
          </cell>
          <cell r="Q4">
            <v>7437.91</v>
          </cell>
        </row>
        <row r="5">
          <cell r="B5" t="str">
            <v>Revenue/Employee (A$000s) (RHS)</v>
          </cell>
          <cell r="C5">
            <v>129.10925459098496</v>
          </cell>
          <cell r="D5">
            <v>189.38228438228438</v>
          </cell>
          <cell r="E5">
            <v>151.46483704974273</v>
          </cell>
          <cell r="F5">
            <v>238.2214089661482</v>
          </cell>
          <cell r="G5">
            <v>217.92830807046289</v>
          </cell>
          <cell r="H5">
            <v>294.26189424068349</v>
          </cell>
          <cell r="I5">
            <v>241.78153886212732</v>
          </cell>
          <cell r="J5">
            <v>234.73450650344301</v>
          </cell>
          <cell r="K5">
            <v>257.9905956112853</v>
          </cell>
          <cell r="L5">
            <v>260.81390498261879</v>
          </cell>
          <cell r="M5">
            <v>249.00033359279439</v>
          </cell>
          <cell r="N5">
            <v>280.22752459572541</v>
          </cell>
          <cell r="O5">
            <v>260.90175019888625</v>
          </cell>
          <cell r="P5">
            <v>260.90175019888625</v>
          </cell>
          <cell r="Q5">
            <v>261.18549732244753</v>
          </cell>
          <cell r="Y5" t="str">
            <v>Base Case</v>
          </cell>
          <cell r="Z5" t="str">
            <v>Bear Case</v>
          </cell>
          <cell r="AA5" t="str">
            <v>Bull Case</v>
          </cell>
          <cell r="AB5" t="str">
            <v>Bull Case</v>
          </cell>
        </row>
        <row r="6">
          <cell r="X6" t="str">
            <v>Key Value Drivers</v>
          </cell>
        </row>
        <row r="7">
          <cell r="X7" t="str">
            <v>Revenue Growth (3 yr CAGR)</v>
          </cell>
          <cell r="Y7">
            <v>0.14440216951520313</v>
          </cell>
          <cell r="Z7">
            <v>6.0736444983632953E-2</v>
          </cell>
          <cell r="AA7">
            <v>0.19575906593106396</v>
          </cell>
        </row>
        <row r="8">
          <cell r="X8" t="str">
            <v>Margins FY12E</v>
          </cell>
          <cell r="Y8">
            <v>9.7605021631360978E-2</v>
          </cell>
          <cell r="Z8">
            <v>8.8884903118399278E-2</v>
          </cell>
          <cell r="AA8">
            <v>0.10999681958609404</v>
          </cell>
        </row>
        <row r="9">
          <cell r="X9" t="str">
            <v>Earnings Impact</v>
          </cell>
        </row>
        <row r="10">
          <cell r="X10" t="str">
            <v>EPS FY12E</v>
          </cell>
          <cell r="Y10">
            <v>117.67427443878172</v>
          </cell>
          <cell r="Z10">
            <v>79.555001927736924</v>
          </cell>
          <cell r="AA10">
            <v>151.58474535900135</v>
          </cell>
        </row>
        <row r="11">
          <cell r="X11" t="str">
            <v xml:space="preserve">Implied P/E - Blended valuation </v>
          </cell>
          <cell r="Y11">
            <v>16.633907402767477</v>
          </cell>
          <cell r="Z11">
            <v>16.309773577903094</v>
          </cell>
          <cell r="AA11">
            <v>16.296537420316163</v>
          </cell>
        </row>
        <row r="12">
          <cell r="X12" t="str">
            <v>Valuation Impact</v>
          </cell>
        </row>
        <row r="13">
          <cell r="X13" t="str">
            <v>PE Relative Prospective</v>
          </cell>
          <cell r="Y13">
            <v>20.171596532961416</v>
          </cell>
          <cell r="Z13">
            <v>14.340691218644858</v>
          </cell>
          <cell r="AA13">
            <v>25.391998923789831</v>
          </cell>
        </row>
        <row r="14">
          <cell r="X14" t="str">
            <v>Sum of The Parts</v>
          </cell>
          <cell r="Y14">
            <v>19.63947772098631</v>
          </cell>
          <cell r="Z14">
            <v>13.857257440312997</v>
          </cell>
          <cell r="AA14">
            <v>25.061394430286615</v>
          </cell>
        </row>
        <row r="15">
          <cell r="X15" t="str">
            <v>Discounted Cash Flow</v>
          </cell>
          <cell r="Y15">
            <v>18.910415287128579</v>
          </cell>
          <cell r="Z15">
            <v>10.727773393973143</v>
          </cell>
          <cell r="AA15">
            <v>23.655800898685417</v>
          </cell>
        </row>
        <row r="16">
          <cell r="X16" t="str">
            <v>Blended Valuation</v>
          </cell>
          <cell r="Y16">
            <v>19.573829847025433</v>
          </cell>
          <cell r="Z16">
            <v>12.975240684310334</v>
          </cell>
          <cell r="AA16">
            <v>24.703064750920621</v>
          </cell>
        </row>
        <row r="18">
          <cell r="X18" t="str">
            <v>Initiation FY12 EPS</v>
          </cell>
          <cell r="Y18">
            <v>117.1</v>
          </cell>
          <cell r="Z18">
            <v>79.599999999999994</v>
          </cell>
          <cell r="AA18">
            <v>151.6</v>
          </cell>
        </row>
        <row r="19">
          <cell r="X19" t="str">
            <v>Initiation FY13 EPS</v>
          </cell>
          <cell r="Y19">
            <v>131.73998659593872</v>
          </cell>
          <cell r="Z19">
            <v>78.301680094307784</v>
          </cell>
          <cell r="AA19">
            <v>195.13872471898637</v>
          </cell>
        </row>
        <row r="20">
          <cell r="X20" t="str">
            <v>Current FY13 EPS</v>
          </cell>
          <cell r="Y20">
            <v>132.38605753417522</v>
          </cell>
          <cell r="Z20">
            <v>78.685682258200387</v>
          </cell>
          <cell r="AA20">
            <v>196.09571175248405</v>
          </cell>
        </row>
        <row r="21">
          <cell r="X21" t="str">
            <v xml:space="preserve">Implied P/E FY13 - Blended valuation </v>
          </cell>
          <cell r="Y21">
            <v>14.785416388710333</v>
          </cell>
          <cell r="Z21">
            <v>16.489964008614912</v>
          </cell>
          <cell r="AA21">
            <v>12.597452810238567</v>
          </cell>
        </row>
        <row r="38">
          <cell r="B38" t="str">
            <v>Construction (EC + MiE)</v>
          </cell>
          <cell r="C38" t="str">
            <v>FY06A</v>
          </cell>
          <cell r="D38" t="str">
            <v>FY07A</v>
          </cell>
          <cell r="E38" t="str">
            <v>FY08A</v>
          </cell>
          <cell r="F38" t="str">
            <v>FY09A</v>
          </cell>
          <cell r="G38" t="str">
            <v>FY10E</v>
          </cell>
          <cell r="H38" t="str">
            <v>FY11E</v>
          </cell>
        </row>
        <row r="39">
          <cell r="B39" t="str">
            <v>Revenue Actual</v>
          </cell>
          <cell r="C39">
            <v>309.5</v>
          </cell>
          <cell r="D39">
            <v>682.1</v>
          </cell>
          <cell r="E39">
            <v>622.6</v>
          </cell>
          <cell r="F39">
            <v>760.09999999999991</v>
          </cell>
          <cell r="G39">
            <v>890</v>
          </cell>
        </row>
        <row r="40">
          <cell r="B40" t="str">
            <v>1H</v>
          </cell>
          <cell r="C40">
            <v>141.4</v>
          </cell>
          <cell r="D40">
            <v>394.7</v>
          </cell>
          <cell r="E40">
            <v>305.60000000000002</v>
          </cell>
          <cell r="F40">
            <v>373.4</v>
          </cell>
          <cell r="G40">
            <v>438.3</v>
          </cell>
        </row>
        <row r="41">
          <cell r="B41" t="str">
            <v>2H</v>
          </cell>
          <cell r="C41">
            <v>173.9</v>
          </cell>
          <cell r="D41">
            <v>334.59999999999997</v>
          </cell>
          <cell r="E41">
            <v>346.4</v>
          </cell>
          <cell r="F41">
            <v>401.59999999999997</v>
          </cell>
        </row>
        <row r="42">
          <cell r="B42" t="str">
            <v>Revenue Estimated</v>
          </cell>
          <cell r="C42">
            <v>262.4904356479434</v>
          </cell>
          <cell r="D42">
            <v>414.72140372527372</v>
          </cell>
          <cell r="E42">
            <v>510.5011961722488</v>
          </cell>
          <cell r="F42">
            <v>494.52107674933757</v>
          </cell>
          <cell r="G42">
            <v>553.92046238785372</v>
          </cell>
        </row>
        <row r="43">
          <cell r="B43" t="str">
            <v>Contracts announced before start of FY</v>
          </cell>
          <cell r="C43">
            <v>61.063025210084021</v>
          </cell>
          <cell r="D43">
            <v>286.77734778121771</v>
          </cell>
          <cell r="E43">
            <v>132.39804931910194</v>
          </cell>
          <cell r="F43">
            <v>394.89685314685312</v>
          </cell>
          <cell r="G43">
            <v>367.94824016563143</v>
          </cell>
          <cell r="H43">
            <v>96.455314009661834</v>
          </cell>
        </row>
        <row r="44">
          <cell r="B44" t="str">
            <v>Revenue Estimated two years earlier</v>
          </cell>
          <cell r="C44">
            <v>0</v>
          </cell>
          <cell r="D44">
            <v>0</v>
          </cell>
          <cell r="E44">
            <v>70.34210526315789</v>
          </cell>
          <cell r="F44">
            <v>0</v>
          </cell>
          <cell r="G44">
            <v>0</v>
          </cell>
          <cell r="H44">
            <v>2.5</v>
          </cell>
        </row>
        <row r="76">
          <cell r="C76" t="str">
            <v>FY97A</v>
          </cell>
          <cell r="D76" t="str">
            <v>FY98A</v>
          </cell>
          <cell r="E76" t="str">
            <v>FY99A</v>
          </cell>
          <cell r="F76" t="str">
            <v>FY00A</v>
          </cell>
          <cell r="G76" t="str">
            <v>FY01A</v>
          </cell>
          <cell r="H76" t="str">
            <v>FY02A</v>
          </cell>
          <cell r="I76" t="str">
            <v>FY03A</v>
          </cell>
          <cell r="J76" t="str">
            <v>FY04A</v>
          </cell>
          <cell r="K76" t="str">
            <v>FY05A</v>
          </cell>
          <cell r="L76" t="str">
            <v>FY06A</v>
          </cell>
          <cell r="M76" t="str">
            <v>FY07A</v>
          </cell>
          <cell r="N76" t="str">
            <v>FY08A</v>
          </cell>
          <cell r="O76" t="str">
            <v>FY09A</v>
          </cell>
          <cell r="P76" t="str">
            <v>FY10E</v>
          </cell>
          <cell r="Q76" t="str">
            <v>FY11E</v>
          </cell>
          <cell r="R76" t="str">
            <v>FY12E</v>
          </cell>
        </row>
        <row r="77">
          <cell r="B77" t="str">
            <v>Sales</v>
          </cell>
          <cell r="C77">
            <v>107.93064516129033</v>
          </cell>
          <cell r="D77">
            <v>133.834</v>
          </cell>
          <cell r="E77">
            <v>164.56</v>
          </cell>
          <cell r="F77">
            <v>159.70739699999999</v>
          </cell>
          <cell r="G77">
            <v>129.63913299999999</v>
          </cell>
          <cell r="H77">
            <v>154.672887</v>
          </cell>
          <cell r="I77">
            <v>243.73500000000001</v>
          </cell>
          <cell r="J77">
            <v>220.76</v>
          </cell>
          <cell r="K77">
            <v>390.56400000000002</v>
          </cell>
          <cell r="L77">
            <v>531.96299999999997</v>
          </cell>
          <cell r="M77">
            <v>963.71699999999998</v>
          </cell>
          <cell r="N77">
            <v>953.99099999999999</v>
          </cell>
          <cell r="O77">
            <v>1122.521</v>
          </cell>
          <cell r="P77">
            <v>1275.42</v>
          </cell>
          <cell r="Q77">
            <v>1424.5798345449716</v>
          </cell>
          <cell r="R77">
            <v>1659.7193352323716</v>
          </cell>
        </row>
        <row r="78">
          <cell r="B78" t="str">
            <v>EBITDA</v>
          </cell>
          <cell r="C78">
            <v>8.661999999999999</v>
          </cell>
          <cell r="D78">
            <v>10.614000000000001</v>
          </cell>
          <cell r="E78">
            <v>12.437000000000001</v>
          </cell>
          <cell r="F78">
            <v>13.681000000000001</v>
          </cell>
          <cell r="G78">
            <v>9.9359999999999999</v>
          </cell>
          <cell r="H78">
            <v>11.981</v>
          </cell>
          <cell r="I78">
            <v>15.324000000000041</v>
          </cell>
          <cell r="J78">
            <v>16.126999999999981</v>
          </cell>
          <cell r="K78">
            <v>28.948999999999955</v>
          </cell>
          <cell r="L78">
            <v>48.95599999999996</v>
          </cell>
          <cell r="M78">
            <v>94.049000000000092</v>
          </cell>
          <cell r="N78">
            <v>104.51999999999998</v>
          </cell>
          <cell r="O78">
            <v>116.12599999999986</v>
          </cell>
          <cell r="P78">
            <v>129.42700000000013</v>
          </cell>
          <cell r="Q78">
            <v>140.41911384394461</v>
          </cell>
          <cell r="R78">
            <v>163.21741943796519</v>
          </cell>
        </row>
        <row r="79">
          <cell r="B79" t="str">
            <v>EBITDA Margin (%)</v>
          </cell>
          <cell r="C79">
            <v>6.6816244443720557E-2</v>
          </cell>
          <cell r="D79">
            <v>6.6459038212237601E-2</v>
          </cell>
          <cell r="E79">
            <v>7.5577297034516294E-2</v>
          </cell>
          <cell r="F79">
            <v>8.8451184078564463E-2</v>
          </cell>
          <cell r="G79">
            <v>4.0765585574496888E-2</v>
          </cell>
          <cell r="H79">
            <v>5.4271607175212899E-2</v>
          </cell>
          <cell r="I79">
            <v>6.2871561326851053E-2</v>
          </cell>
          <cell r="J79">
            <v>7.3052183366551823E-2</v>
          </cell>
          <cell r="K79">
            <v>7.412101473766132E-2</v>
          </cell>
          <cell r="L79">
            <v>9.2028956901137798E-2</v>
          </cell>
          <cell r="M79">
            <v>9.7589852622709874E-2</v>
          </cell>
          <cell r="N79">
            <v>0.10956078201995614</v>
          </cell>
          <cell r="O79">
            <v>0.10345107129398903</v>
          </cell>
          <cell r="P79">
            <v>0.10147794452023658</v>
          </cell>
          <cell r="Q79">
            <v>9.8568792312574191E-2</v>
          </cell>
          <cell r="R79">
            <v>9.8340373563891567E-2</v>
          </cell>
        </row>
        <row r="80">
          <cell r="B80" t="str">
            <v>EBIT</v>
          </cell>
          <cell r="C80">
            <v>5.7370000000000001</v>
          </cell>
          <cell r="D80">
            <v>7.3929999999999998</v>
          </cell>
          <cell r="E80">
            <v>8.620000000000001</v>
          </cell>
          <cell r="F80">
            <v>9.245000000000001</v>
          </cell>
          <cell r="G80">
            <v>5.4819999999999993</v>
          </cell>
          <cell r="H80">
            <v>6.8289999999999997</v>
          </cell>
          <cell r="I80">
            <v>10.08800000000004</v>
          </cell>
          <cell r="J80">
            <v>11.896999999999981</v>
          </cell>
          <cell r="K80">
            <v>23.777999999999956</v>
          </cell>
          <cell r="L80">
            <v>41.445999999999962</v>
          </cell>
          <cell r="M80">
            <v>83.659000000000091</v>
          </cell>
          <cell r="N80">
            <v>91.801999999999978</v>
          </cell>
          <cell r="O80">
            <v>101.05999999999986</v>
          </cell>
          <cell r="P80">
            <v>112.63800000000013</v>
          </cell>
          <cell r="Q80">
            <v>120.92235906094601</v>
          </cell>
          <cell r="R80">
            <v>141.11078754207452</v>
          </cell>
        </row>
        <row r="81">
          <cell r="B81" t="str">
            <v>EBIT Margin (%)</v>
          </cell>
          <cell r="C81">
            <v>4.4253612834636906E-2</v>
          </cell>
          <cell r="D81">
            <v>4.6290905361133651E-2</v>
          </cell>
          <cell r="E81">
            <v>5.2382109868740888E-2</v>
          </cell>
          <cell r="F81">
            <v>5.9771303033866567E-2</v>
          </cell>
          <cell r="G81">
            <v>2.2491640511210942E-2</v>
          </cell>
          <cell r="H81">
            <v>3.0934046022830224E-2</v>
          </cell>
          <cell r="I81">
            <v>4.1389213695201918E-2</v>
          </cell>
          <cell r="J81">
            <v>5.3891103460771791E-2</v>
          </cell>
          <cell r="K81">
            <v>6.0881187206194003E-2</v>
          </cell>
          <cell r="L81">
            <v>7.7911433689937012E-2</v>
          </cell>
          <cell r="M81">
            <v>8.6808679311457707E-2</v>
          </cell>
          <cell r="N81">
            <v>9.6229419355109203E-2</v>
          </cell>
          <cell r="O81">
            <v>9.0029496107422363E-2</v>
          </cell>
          <cell r="P81">
            <v>8.8314437597026965E-2</v>
          </cell>
          <cell r="Q81">
            <v>8.4882823783315797E-2</v>
          </cell>
          <cell r="R81">
            <v>8.502087343720563E-2</v>
          </cell>
        </row>
        <row r="82">
          <cell r="B82" t="str">
            <v>Depreciation</v>
          </cell>
          <cell r="C82">
            <v>-2.9249999999999998</v>
          </cell>
          <cell r="D82">
            <v>-3.2210000000000001</v>
          </cell>
          <cell r="E82">
            <v>-3.8170000000000002</v>
          </cell>
          <cell r="F82">
            <v>-4.4359999999999999</v>
          </cell>
          <cell r="G82">
            <v>-4.4539999999999997</v>
          </cell>
          <cell r="H82">
            <v>-5.1520000000000001</v>
          </cell>
          <cell r="I82">
            <v>-5.2359999999999998</v>
          </cell>
        </row>
        <row r="83">
          <cell r="B83" t="str">
            <v>Interest Income</v>
          </cell>
          <cell r="C83">
            <v>0.153</v>
          </cell>
          <cell r="D83">
            <v>0.19500000000000001</v>
          </cell>
          <cell r="E83">
            <v>0.23400000000000001</v>
          </cell>
          <cell r="F83">
            <v>0.57399999999999995</v>
          </cell>
          <cell r="G83">
            <v>0.42899999999999999</v>
          </cell>
          <cell r="H83">
            <v>0.24099999999999999</v>
          </cell>
          <cell r="I83">
            <v>0.44700000000000001</v>
          </cell>
        </row>
        <row r="84">
          <cell r="B84" t="str">
            <v>Interest Expense</v>
          </cell>
          <cell r="C84">
            <v>-0.61</v>
          </cell>
          <cell r="D84">
            <v>-0.70299999999999996</v>
          </cell>
          <cell r="E84">
            <v>-0.61399999999999999</v>
          </cell>
          <cell r="F84">
            <v>-0.52200000000000002</v>
          </cell>
          <cell r="G84">
            <v>-0.30299999999999999</v>
          </cell>
          <cell r="H84">
            <v>-0.222</v>
          </cell>
          <cell r="I84">
            <v>-0.40500000000000003</v>
          </cell>
        </row>
        <row r="85">
          <cell r="B85" t="str">
            <v>PBT</v>
          </cell>
          <cell r="C85">
            <v>5.28</v>
          </cell>
          <cell r="D85">
            <v>6.8849999999999998</v>
          </cell>
          <cell r="E85">
            <v>8.24</v>
          </cell>
          <cell r="F85">
            <v>9.2970000000000006</v>
          </cell>
          <cell r="G85">
            <v>5.6079999999999997</v>
          </cell>
          <cell r="H85">
            <v>6.8479999999999999</v>
          </cell>
          <cell r="I85">
            <v>10.130000000000001</v>
          </cell>
        </row>
        <row r="86">
          <cell r="B86" t="str">
            <v>Net Profit</v>
          </cell>
          <cell r="C86">
            <v>3.5529999999999999</v>
          </cell>
          <cell r="D86">
            <v>4.21</v>
          </cell>
          <cell r="E86">
            <v>5.2279999999999998</v>
          </cell>
          <cell r="F86">
            <v>5.5810000000000004</v>
          </cell>
          <cell r="G86">
            <v>3.39</v>
          </cell>
          <cell r="H86">
            <v>4.7729999999999997</v>
          </cell>
          <cell r="I86">
            <v>7.07</v>
          </cell>
          <cell r="J86">
            <v>8.5280000000000005</v>
          </cell>
          <cell r="K86">
            <v>16.658000000000001</v>
          </cell>
          <cell r="L86">
            <v>29.396000000000001</v>
          </cell>
          <cell r="M86">
            <v>60.417999999999999</v>
          </cell>
          <cell r="N86">
            <v>66.160124999999965</v>
          </cell>
          <cell r="O86">
            <v>74.240999999999858</v>
          </cell>
          <cell r="P86">
            <v>83.217000000000141</v>
          </cell>
          <cell r="Q86">
            <v>87.44037269360814</v>
          </cell>
          <cell r="R86">
            <v>102.84945859021917</v>
          </cell>
        </row>
        <row r="87">
          <cell r="B87" t="str">
            <v>5 year CAGR (actual)</v>
          </cell>
          <cell r="H87">
            <v>6.0814006627831541E-2</v>
          </cell>
          <cell r="I87">
            <v>0.10924495865429318</v>
          </cell>
          <cell r="J87">
            <v>0.102814131551481</v>
          </cell>
          <cell r="K87">
            <v>0.24446351069464067</v>
          </cell>
          <cell r="L87">
            <v>0.54034395340579944</v>
          </cell>
          <cell r="M87">
            <v>0.66140296847612179</v>
          </cell>
          <cell r="N87">
            <v>0.5639950732665937</v>
          </cell>
          <cell r="O87">
            <v>0.54155606508811638</v>
          </cell>
          <cell r="P87">
            <v>0.37948772222574978</v>
          </cell>
          <cell r="Q87">
            <v>0.24361156539909468</v>
          </cell>
          <cell r="R87">
            <v>0.11226208459618769</v>
          </cell>
        </row>
        <row r="88">
          <cell r="B88" t="str">
            <v>Target CAGR</v>
          </cell>
          <cell r="H88">
            <v>0.1486983549970351</v>
          </cell>
          <cell r="I88">
            <v>0.1486983549970351</v>
          </cell>
          <cell r="J88">
            <v>0.1486983549970351</v>
          </cell>
          <cell r="K88">
            <v>0.1486983549970351</v>
          </cell>
          <cell r="L88">
            <v>0.1486983549970351</v>
          </cell>
          <cell r="M88">
            <v>0.1486983549970351</v>
          </cell>
          <cell r="N88">
            <v>0.1486983549970351</v>
          </cell>
          <cell r="O88">
            <v>0.1486983549970351</v>
          </cell>
          <cell r="P88">
            <v>0.1486983549970351</v>
          </cell>
          <cell r="Q88">
            <v>0.1486983549970351</v>
          </cell>
          <cell r="R88">
            <v>0.1486983549970351</v>
          </cell>
        </row>
        <row r="152">
          <cell r="D152" t="str">
            <v>1H05A</v>
          </cell>
          <cell r="E152" t="str">
            <v>2H05A</v>
          </cell>
          <cell r="F152" t="str">
            <v>1H06A</v>
          </cell>
          <cell r="G152" t="str">
            <v>2H06A</v>
          </cell>
          <cell r="H152" t="str">
            <v>1H07A</v>
          </cell>
          <cell r="I152" t="str">
            <v>2H07A</v>
          </cell>
          <cell r="J152" t="str">
            <v>1H08A</v>
          </cell>
          <cell r="K152" t="str">
            <v>2H08A</v>
          </cell>
          <cell r="L152" t="str">
            <v>1H09A</v>
          </cell>
          <cell r="M152" t="str">
            <v>2H09A</v>
          </cell>
          <cell r="N152" t="str">
            <v>1H10A</v>
          </cell>
        </row>
        <row r="153">
          <cell r="B153" t="str">
            <v>Business Development and Tendering Costs</v>
          </cell>
          <cell r="D153">
            <v>1.3540000000000001</v>
          </cell>
          <cell r="E153">
            <v>2.2370000000000001</v>
          </cell>
          <cell r="F153">
            <v>2.08</v>
          </cell>
          <cell r="G153">
            <v>1.6389999999999998</v>
          </cell>
          <cell r="H153">
            <v>1.9710000000000001</v>
          </cell>
          <cell r="I153">
            <v>3.4719999999999995</v>
          </cell>
          <cell r="J153">
            <v>3.9529999999999998</v>
          </cell>
          <cell r="K153">
            <v>6.4130000000000003</v>
          </cell>
          <cell r="L153">
            <v>5.601</v>
          </cell>
          <cell r="M153">
            <v>5.899</v>
          </cell>
          <cell r="N153">
            <v>5.8380000000000001</v>
          </cell>
        </row>
        <row r="155">
          <cell r="B155" t="str">
            <v>Business Development and Tendering Costs</v>
          </cell>
          <cell r="D155" t="str">
            <v>FY05A</v>
          </cell>
          <cell r="E155" t="str">
            <v>FY06A</v>
          </cell>
          <cell r="F155" t="str">
            <v>FY07A</v>
          </cell>
          <cell r="G155" t="str">
            <v>FY08A</v>
          </cell>
          <cell r="H155" t="str">
            <v>FY09A</v>
          </cell>
          <cell r="I155" t="str">
            <v>FY10E</v>
          </cell>
        </row>
        <row r="156">
          <cell r="D156">
            <v>3.5910000000000002</v>
          </cell>
          <cell r="E156">
            <v>3.7189999999999999</v>
          </cell>
          <cell r="F156">
            <v>5.4429999999999996</v>
          </cell>
          <cell r="G156">
            <v>10.366</v>
          </cell>
          <cell r="H156">
            <v>11.5</v>
          </cell>
          <cell r="I156">
            <v>11.577999999999999</v>
          </cell>
        </row>
        <row r="194">
          <cell r="B194" t="str">
            <v>Results Summary</v>
          </cell>
        </row>
        <row r="195">
          <cell r="B195" t="str">
            <v>$m</v>
          </cell>
          <cell r="C195" t="str">
            <v>FY09</v>
          </cell>
          <cell r="D195" t="str">
            <v>FY10</v>
          </cell>
          <cell r="E195" t="str">
            <v>Variance</v>
          </cell>
        </row>
        <row r="196">
          <cell r="B196" t="str">
            <v>Sales</v>
          </cell>
          <cell r="C196">
            <v>1275.42</v>
          </cell>
          <cell r="D196">
            <v>1424.5798345449716</v>
          </cell>
          <cell r="E196">
            <v>0.11694958095762309</v>
          </cell>
        </row>
        <row r="197">
          <cell r="B197" t="str">
            <v>EBITDA</v>
          </cell>
          <cell r="C197">
            <v>129.42700000000013</v>
          </cell>
          <cell r="D197">
            <v>140.41911384394461</v>
          </cell>
          <cell r="E197">
            <v>8.4929063054420384E-2</v>
          </cell>
        </row>
        <row r="198">
          <cell r="B198" t="str">
            <v>Depreciation &amp; Amortisation</v>
          </cell>
          <cell r="C198">
            <v>-16.789000000000001</v>
          </cell>
          <cell r="D198">
            <v>-19.496754782998611</v>
          </cell>
          <cell r="E198">
            <v>0.16128148091003691</v>
          </cell>
        </row>
        <row r="199">
          <cell r="B199" t="str">
            <v>EBIT</v>
          </cell>
          <cell r="C199">
            <v>112.63800000000013</v>
          </cell>
          <cell r="D199">
            <v>120.92235906094601</v>
          </cell>
          <cell r="E199">
            <v>7.3548527681118747E-2</v>
          </cell>
        </row>
        <row r="200">
          <cell r="B200" t="str">
            <v>Net Interest</v>
          </cell>
          <cell r="C200">
            <v>2.5100000000000002</v>
          </cell>
          <cell r="D200">
            <v>2.3599399307474536</v>
          </cell>
          <cell r="E200">
            <v>-5.9784888148424975E-2</v>
          </cell>
        </row>
        <row r="201">
          <cell r="B201" t="str">
            <v>Tax</v>
          </cell>
          <cell r="C201">
            <v>-31.931000000000001</v>
          </cell>
          <cell r="D201">
            <v>-35.841926298085326</v>
          </cell>
          <cell r="E201">
            <v>0.12248054549138221</v>
          </cell>
        </row>
        <row r="202">
          <cell r="B202" t="str">
            <v>Underlying NPAT</v>
          </cell>
          <cell r="C202">
            <v>83.217000000000141</v>
          </cell>
          <cell r="D202">
            <v>87.44037269360814</v>
          </cell>
          <cell r="E202">
            <v>5.0751321167646024E-2</v>
          </cell>
        </row>
        <row r="203">
          <cell r="B203" t="str">
            <v>EPS</v>
          </cell>
          <cell r="C203">
            <v>87.172212000000002</v>
          </cell>
          <cell r="D203">
            <v>87.315538028955316</v>
          </cell>
          <cell r="E203">
            <v>1.6441710685890509E-3</v>
          </cell>
        </row>
        <row r="204">
          <cell r="B204" t="str">
            <v>DPS</v>
          </cell>
          <cell r="C204">
            <v>83</v>
          </cell>
          <cell r="D204">
            <v>89</v>
          </cell>
          <cell r="E204">
            <v>7.2289156626506035E-2</v>
          </cell>
        </row>
        <row r="205">
          <cell r="B205" t="str">
            <v>Operating Cash Flow</v>
          </cell>
          <cell r="C205">
            <v>95.966999999999928</v>
          </cell>
          <cell r="D205">
            <v>120.1862735952724</v>
          </cell>
        </row>
        <row r="206">
          <cell r="B206" t="str">
            <v>Free Cash Flow</v>
          </cell>
          <cell r="C206">
            <v>78.885999999999925</v>
          </cell>
          <cell r="D206">
            <v>107.15274026193906</v>
          </cell>
        </row>
        <row r="207">
          <cell r="B207" t="str">
            <v>Net Cash</v>
          </cell>
          <cell r="C207">
            <v>116.59100000000001</v>
          </cell>
          <cell r="D207">
            <v>143.74661012360127</v>
          </cell>
        </row>
        <row r="208">
          <cell r="B208" t="str">
            <v>Working Capital</v>
          </cell>
          <cell r="C208">
            <v>-23.015999999999991</v>
          </cell>
          <cell r="D208">
            <v>-29.457019442656758</v>
          </cell>
        </row>
        <row r="209">
          <cell r="B209" t="str">
            <v>EBITDA margin</v>
          </cell>
          <cell r="C209">
            <v>0.10147794452023658</v>
          </cell>
          <cell r="D209">
            <v>9.8568792312574191E-2</v>
          </cell>
        </row>
        <row r="210">
          <cell r="B210" t="str">
            <v>EBIT margin</v>
          </cell>
          <cell r="C210">
            <v>8.8314437597026965E-2</v>
          </cell>
          <cell r="D210">
            <v>8.4882823783315797E-2</v>
          </cell>
        </row>
        <row r="211">
          <cell r="B211" t="str">
            <v>ROA</v>
          </cell>
          <cell r="C211">
            <v>0.84420144575062583</v>
          </cell>
          <cell r="D211">
            <v>0.76281953478931575</v>
          </cell>
        </row>
        <row r="212">
          <cell r="B212" t="str">
            <v>ROE</v>
          </cell>
          <cell r="C212">
            <v>0.62369636988431854</v>
          </cell>
          <cell r="D212">
            <v>0.55160373100498727</v>
          </cell>
        </row>
        <row r="215">
          <cell r="B215" t="str">
            <v>Assets</v>
          </cell>
          <cell r="C215">
            <v>420.702</v>
          </cell>
          <cell r="D215">
            <v>479.82459626586848</v>
          </cell>
          <cell r="F215">
            <v>373.23099999999999</v>
          </cell>
        </row>
        <row r="216">
          <cell r="B216" t="str">
            <v>Equity</v>
          </cell>
          <cell r="C216">
            <v>144.286</v>
          </cell>
          <cell r="D216">
            <v>172.75454116638144</v>
          </cell>
          <cell r="F216">
            <v>122.565</v>
          </cell>
        </row>
        <row r="220">
          <cell r="B220" t="str">
            <v>Result vs actual</v>
          </cell>
        </row>
        <row r="221">
          <cell r="B221" t="str">
            <v>$m</v>
          </cell>
          <cell r="C221" t="str">
            <v>MS Estimate</v>
          </cell>
          <cell r="D221" t="str">
            <v>Actual</v>
          </cell>
          <cell r="E221" t="str">
            <v>Variance</v>
          </cell>
        </row>
        <row r="222">
          <cell r="B222" t="str">
            <v>Sales</v>
          </cell>
          <cell r="C222">
            <v>1266.7783012677107</v>
          </cell>
          <cell r="D222">
            <v>1424.5798345449716</v>
          </cell>
          <cell r="E222">
            <v>0.12456917924734201</v>
          </cell>
        </row>
        <row r="223">
          <cell r="B223" t="str">
            <v>EBITDA</v>
          </cell>
          <cell r="C223">
            <v>129.71829213417845</v>
          </cell>
          <cell r="D223">
            <v>140.41911384394461</v>
          </cell>
          <cell r="E223">
            <v>8.2492773638257688E-2</v>
          </cell>
        </row>
        <row r="224">
          <cell r="B224" t="str">
            <v>EBIT</v>
          </cell>
          <cell r="C224">
            <v>111.92823553936194</v>
          </cell>
          <cell r="D224">
            <v>120.92235906094601</v>
          </cell>
          <cell r="E224">
            <v>8.035616284169067E-2</v>
          </cell>
        </row>
        <row r="225">
          <cell r="B225" t="str">
            <v>NPAT</v>
          </cell>
          <cell r="C225">
            <v>81.418997314730973</v>
          </cell>
          <cell r="D225">
            <v>87.44037269360814</v>
          </cell>
          <cell r="E225">
            <v>7.3955410622426498E-2</v>
          </cell>
        </row>
        <row r="226">
          <cell r="B226" t="str">
            <v>EPS</v>
          </cell>
          <cell r="C226">
            <v>91.058828857534252</v>
          </cell>
          <cell r="D226">
            <v>87.315538028955316</v>
          </cell>
          <cell r="E226">
            <v>-4.110848860614591E-2</v>
          </cell>
        </row>
        <row r="227">
          <cell r="B227" t="str">
            <v>DPS</v>
          </cell>
          <cell r="C227">
            <v>83</v>
          </cell>
          <cell r="D227">
            <v>89</v>
          </cell>
          <cell r="E227">
            <v>7.2289156626506035E-2</v>
          </cell>
        </row>
      </sheetData>
      <sheetData sheetId="15" refreshError="1"/>
      <sheetData sheetId="16" refreshError="1">
        <row r="2">
          <cell r="D2">
            <v>39629</v>
          </cell>
          <cell r="E2">
            <v>39994</v>
          </cell>
          <cell r="F2">
            <v>40359</v>
          </cell>
          <cell r="G2">
            <v>40724</v>
          </cell>
          <cell r="H2">
            <v>41090</v>
          </cell>
          <cell r="I2">
            <v>41455</v>
          </cell>
          <cell r="J2">
            <v>41820</v>
          </cell>
          <cell r="K2">
            <v>42185</v>
          </cell>
        </row>
        <row r="3">
          <cell r="A3" t="str">
            <v>Named Ranges</v>
          </cell>
          <cell r="D3">
            <v>54</v>
          </cell>
          <cell r="E3">
            <v>57</v>
          </cell>
          <cell r="F3">
            <v>60</v>
          </cell>
          <cell r="G3">
            <v>63</v>
          </cell>
          <cell r="H3">
            <v>66</v>
          </cell>
          <cell r="I3">
            <v>69</v>
          </cell>
          <cell r="J3">
            <v>72</v>
          </cell>
          <cell r="K3">
            <v>75</v>
          </cell>
          <cell r="N3">
            <v>57</v>
          </cell>
          <cell r="O3">
            <v>60</v>
          </cell>
          <cell r="P3">
            <v>63</v>
          </cell>
          <cell r="Q3">
            <v>66</v>
          </cell>
          <cell r="R3">
            <v>69</v>
          </cell>
          <cell r="S3">
            <v>72</v>
          </cell>
          <cell r="T3">
            <v>75</v>
          </cell>
          <cell r="AC3">
            <v>51</v>
          </cell>
          <cell r="AD3">
            <v>52</v>
          </cell>
          <cell r="AE3">
            <v>53</v>
          </cell>
          <cell r="AF3">
            <v>54</v>
          </cell>
          <cell r="AG3">
            <v>55</v>
          </cell>
          <cell r="AH3">
            <v>56</v>
          </cell>
          <cell r="AI3">
            <v>57</v>
          </cell>
          <cell r="AJ3">
            <v>58</v>
          </cell>
          <cell r="AK3">
            <v>59</v>
          </cell>
          <cell r="AL3">
            <v>60</v>
          </cell>
        </row>
        <row r="4">
          <cell r="A4" t="str">
            <v>Rows</v>
          </cell>
          <cell r="D4">
            <v>2008</v>
          </cell>
          <cell r="E4">
            <v>2009</v>
          </cell>
          <cell r="F4">
            <v>2010</v>
          </cell>
          <cell r="G4">
            <v>2011</v>
          </cell>
          <cell r="H4">
            <v>2012</v>
          </cell>
          <cell r="I4">
            <v>2013</v>
          </cell>
          <cell r="J4">
            <v>2014</v>
          </cell>
          <cell r="K4">
            <v>2015</v>
          </cell>
          <cell r="N4">
            <v>2009</v>
          </cell>
          <cell r="O4">
            <v>2010</v>
          </cell>
          <cell r="P4">
            <v>2011</v>
          </cell>
          <cell r="Q4">
            <v>2012</v>
          </cell>
          <cell r="R4">
            <v>2013</v>
          </cell>
          <cell r="S4">
            <v>2014</v>
          </cell>
          <cell r="T4">
            <v>2015</v>
          </cell>
          <cell r="AC4">
            <v>2007</v>
          </cell>
          <cell r="AD4">
            <v>2008</v>
          </cell>
          <cell r="AE4">
            <v>2008</v>
          </cell>
          <cell r="AF4">
            <v>2008</v>
          </cell>
          <cell r="AG4">
            <v>2009</v>
          </cell>
          <cell r="AH4">
            <v>2009</v>
          </cell>
          <cell r="AI4">
            <v>2009</v>
          </cell>
          <cell r="AJ4">
            <v>2010</v>
          </cell>
          <cell r="AK4">
            <v>2010</v>
          </cell>
          <cell r="AL4">
            <v>2010</v>
          </cell>
        </row>
        <row r="6">
          <cell r="D6" t="str">
            <v>Monadelphous</v>
          </cell>
        </row>
        <row r="7">
          <cell r="A7" t="str">
            <v>LHS Table</v>
          </cell>
          <cell r="B7" t="str">
            <v>RHS Table</v>
          </cell>
          <cell r="D7" t="str">
            <v>Balance Sheet ($m)</v>
          </cell>
          <cell r="E7" t="str">
            <v>FY09A</v>
          </cell>
          <cell r="F7" t="str">
            <v>FY10A</v>
          </cell>
          <cell r="G7" t="str">
            <v>FY11E</v>
          </cell>
          <cell r="H7" t="str">
            <v>FY12E</v>
          </cell>
          <cell r="I7" t="str">
            <v>FY13E</v>
          </cell>
          <cell r="J7" t="str">
            <v>FY14E</v>
          </cell>
          <cell r="K7" t="str">
            <v>FY15E</v>
          </cell>
          <cell r="M7" t="str">
            <v>P&amp;L ($m)</v>
          </cell>
          <cell r="N7" t="str">
            <v>FY09A</v>
          </cell>
          <cell r="O7" t="str">
            <v>FY10A</v>
          </cell>
          <cell r="P7" t="str">
            <v>FY11E</v>
          </cell>
          <cell r="Q7" t="str">
            <v>FY12E</v>
          </cell>
          <cell r="R7" t="str">
            <v>FY13E</v>
          </cell>
          <cell r="S7" t="str">
            <v>FY14E</v>
          </cell>
          <cell r="T7" t="str">
            <v>FY15E</v>
          </cell>
          <cell r="V7" t="str">
            <v>3 Year CAGR</v>
          </cell>
          <cell r="W7" t="str">
            <v>5 Year CAGR</v>
          </cell>
          <cell r="AC7" t="str">
            <v>FY07A</v>
          </cell>
          <cell r="AD7" t="str">
            <v>1H08A</v>
          </cell>
          <cell r="AE7" t="str">
            <v>2H08A</v>
          </cell>
          <cell r="AF7" t="str">
            <v>FY08A</v>
          </cell>
          <cell r="AG7" t="str">
            <v>1H09A</v>
          </cell>
          <cell r="AH7" t="str">
            <v>2H09A</v>
          </cell>
          <cell r="AI7" t="str">
            <v>FY09A</v>
          </cell>
          <cell r="AJ7" t="str">
            <v>1H10A</v>
          </cell>
          <cell r="AK7" t="str">
            <v>2H10A</v>
          </cell>
          <cell r="AL7" t="str">
            <v>FY10A</v>
          </cell>
          <cell r="AM7" t="str">
            <v>D% pcp</v>
          </cell>
          <cell r="AP7" t="str">
            <v>Table 2: MND – 1H09 Result Review</v>
          </cell>
          <cell r="AU7" t="str">
            <v>Table 2: MND – FY09 Result Review</v>
          </cell>
          <cell r="AZ7" t="str">
            <v>Table 2: MND – 2H09 Result Review</v>
          </cell>
          <cell r="BE7" t="str">
            <v>Table 2: MND – 2H09 vs 1H09 Result Review</v>
          </cell>
        </row>
        <row r="8">
          <cell r="A8">
            <v>255</v>
          </cell>
          <cell r="B8">
            <v>7</v>
          </cell>
          <cell r="D8" t="str">
            <v xml:space="preserve">Cash </v>
          </cell>
          <cell r="E8">
            <v>152.23500000000001</v>
          </cell>
          <cell r="F8">
            <v>149.19200000000001</v>
          </cell>
          <cell r="G8">
            <v>175.77061012360127</v>
          </cell>
          <cell r="H8">
            <v>220.47697649465871</v>
          </cell>
          <cell r="I8">
            <v>281.40974484200336</v>
          </cell>
          <cell r="J8">
            <v>313.60430687498081</v>
          </cell>
          <cell r="K8">
            <v>341.96967515469157</v>
          </cell>
          <cell r="M8" t="str">
            <v>Sales Revenue</v>
          </cell>
          <cell r="N8">
            <v>1122.521</v>
          </cell>
          <cell r="O8">
            <v>1275.42</v>
          </cell>
          <cell r="P8">
            <v>1424.5798345449716</v>
          </cell>
          <cell r="Q8">
            <v>1659.7193352323716</v>
          </cell>
          <cell r="R8">
            <v>1911.5657488022919</v>
          </cell>
          <cell r="S8">
            <v>2150.5374541080223</v>
          </cell>
          <cell r="T8">
            <v>2346.0684968568694</v>
          </cell>
          <cell r="V8">
            <v>0.14440216951520313</v>
          </cell>
          <cell r="W8">
            <v>0.12963331740761785</v>
          </cell>
          <cell r="AB8" t="str">
            <v>Period End</v>
          </cell>
          <cell r="AC8">
            <v>39263</v>
          </cell>
          <cell r="AD8">
            <v>39447</v>
          </cell>
          <cell r="AE8">
            <v>39629</v>
          </cell>
          <cell r="AF8">
            <v>39629</v>
          </cell>
          <cell r="AG8">
            <v>39813</v>
          </cell>
          <cell r="AH8">
            <v>39994</v>
          </cell>
          <cell r="AI8">
            <v>39994</v>
          </cell>
          <cell r="AJ8">
            <v>40178</v>
          </cell>
          <cell r="AK8">
            <v>40359</v>
          </cell>
          <cell r="AL8">
            <v>40359</v>
          </cell>
          <cell r="AP8" t="str">
            <v>$m</v>
          </cell>
          <cell r="AQ8" t="str">
            <v>1H10A</v>
          </cell>
          <cell r="AR8" t="str">
            <v>1H09A</v>
          </cell>
          <cell r="AS8" t="str">
            <v>% Chg</v>
          </cell>
          <cell r="AU8" t="str">
            <v>$m</v>
          </cell>
          <cell r="AV8" t="str">
            <v>FY10A</v>
          </cell>
          <cell r="AW8" t="str">
            <v>FY09A</v>
          </cell>
          <cell r="AX8" t="str">
            <v>% Chg</v>
          </cell>
          <cell r="AZ8" t="str">
            <v>$m</v>
          </cell>
          <cell r="BA8" t="str">
            <v>2H10A</v>
          </cell>
          <cell r="BB8" t="str">
            <v>2H09A</v>
          </cell>
          <cell r="BC8" t="str">
            <v>% Chg</v>
          </cell>
          <cell r="BE8" t="str">
            <v>$m</v>
          </cell>
          <cell r="BF8" t="str">
            <v>2H10A</v>
          </cell>
          <cell r="BG8" t="str">
            <v>1H10A</v>
          </cell>
          <cell r="BH8" t="str">
            <v>% Chg</v>
          </cell>
        </row>
        <row r="9">
          <cell r="A9">
            <v>256</v>
          </cell>
          <cell r="B9" t="str">
            <v>Calculated</v>
          </cell>
          <cell r="D9" t="str">
            <v xml:space="preserve">Receivables </v>
          </cell>
          <cell r="E9">
            <v>110.604</v>
          </cell>
          <cell r="F9">
            <v>121.4</v>
          </cell>
          <cell r="G9">
            <v>138.35722408862529</v>
          </cell>
          <cell r="H9">
            <v>177.81748213866419</v>
          </cell>
          <cell r="I9">
            <v>195.90078049015867</v>
          </cell>
          <cell r="J9">
            <v>218.97046353106754</v>
          </cell>
          <cell r="K9">
            <v>236.51057652073121</v>
          </cell>
          <cell r="M9" t="str">
            <v>% chg</v>
          </cell>
          <cell r="N9">
            <v>0.17665785106987375</v>
          </cell>
          <cell r="O9">
            <v>0.13621036933830211</v>
          </cell>
          <cell r="P9">
            <v>0.11694958095762309</v>
          </cell>
          <cell r="Q9">
            <v>0.16505884400820992</v>
          </cell>
          <cell r="R9">
            <v>0.15174036249608447</v>
          </cell>
          <cell r="S9">
            <v>0.12501359446069804</v>
          </cell>
          <cell r="T9">
            <v>9.0921942501088537E-2</v>
          </cell>
          <cell r="AB9" t="str">
            <v>Summary Profit &amp; Loss</v>
          </cell>
          <cell r="AP9" t="str">
            <v>Sales</v>
          </cell>
          <cell r="AQ9">
            <v>619.51300000000003</v>
          </cell>
          <cell r="AR9">
            <v>562.70600000000002</v>
          </cell>
          <cell r="AS9">
            <v>0.10095325089833773</v>
          </cell>
          <cell r="AU9" t="str">
            <v>Sales</v>
          </cell>
          <cell r="AV9">
            <v>1275.42</v>
          </cell>
          <cell r="AW9">
            <v>1122.521</v>
          </cell>
          <cell r="AX9">
            <v>0.13621036933830211</v>
          </cell>
          <cell r="AZ9" t="str">
            <v>Sales</v>
          </cell>
          <cell r="BA9">
            <v>655.90700000000004</v>
          </cell>
          <cell r="BB9">
            <v>559.81499999999994</v>
          </cell>
          <cell r="BC9">
            <v>0.17164956280199739</v>
          </cell>
          <cell r="BE9" t="str">
            <v>Sales</v>
          </cell>
          <cell r="BF9">
            <v>655.90700000000004</v>
          </cell>
          <cell r="BG9">
            <v>619.51300000000003</v>
          </cell>
          <cell r="BH9">
            <v>5.8746144148710266E-2</v>
          </cell>
        </row>
        <row r="10">
          <cell r="A10">
            <v>257</v>
          </cell>
          <cell r="B10">
            <v>129</v>
          </cell>
          <cell r="D10" t="str">
            <v>Inventory</v>
          </cell>
          <cell r="E10">
            <v>15.36</v>
          </cell>
          <cell r="F10">
            <v>23.547000000000001</v>
          </cell>
          <cell r="G10">
            <v>22.855621905809421</v>
          </cell>
          <cell r="H10">
            <v>23.832568108472184</v>
          </cell>
          <cell r="I10">
            <v>27.930863122937367</v>
          </cell>
          <cell r="J10">
            <v>33.357293611359502</v>
          </cell>
          <cell r="K10">
            <v>36.174944935508393</v>
          </cell>
          <cell r="M10" t="str">
            <v>EBITDA</v>
          </cell>
          <cell r="N10">
            <v>116.12599999999986</v>
          </cell>
          <cell r="O10">
            <v>129.42700000000013</v>
          </cell>
          <cell r="P10">
            <v>140.41911384394461</v>
          </cell>
          <cell r="Q10">
            <v>163.21741943796519</v>
          </cell>
          <cell r="R10">
            <v>186.57841626161644</v>
          </cell>
          <cell r="S10">
            <v>208.6587172931952</v>
          </cell>
          <cell r="T10">
            <v>227.14870273465976</v>
          </cell>
          <cell r="AA10">
            <v>7</v>
          </cell>
          <cell r="AB10" t="str">
            <v>Sales Revenue</v>
          </cell>
          <cell r="AC10">
            <v>963.71699999999998</v>
          </cell>
          <cell r="AD10">
            <v>460.197</v>
          </cell>
          <cell r="AE10">
            <v>493.79399999999998</v>
          </cell>
          <cell r="AF10">
            <v>953.99099999999999</v>
          </cell>
          <cell r="AG10">
            <v>562.70600000000002</v>
          </cell>
          <cell r="AH10">
            <v>559.81499999999994</v>
          </cell>
          <cell r="AI10">
            <v>1122.521</v>
          </cell>
          <cell r="AJ10">
            <v>619.51300000000003</v>
          </cell>
          <cell r="AK10">
            <v>655.90700000000004</v>
          </cell>
          <cell r="AL10">
            <v>1275.42</v>
          </cell>
          <cell r="AM10">
            <v>0.17665785106987375</v>
          </cell>
          <cell r="AP10" t="str">
            <v>EBITDA</v>
          </cell>
          <cell r="AQ10">
            <v>64.157000000000039</v>
          </cell>
          <cell r="AR10">
            <v>57.492999999999995</v>
          </cell>
          <cell r="AS10">
            <v>0.11590976292766153</v>
          </cell>
          <cell r="AU10" t="str">
            <v>EBITDA</v>
          </cell>
          <cell r="AV10">
            <v>129.42700000000013</v>
          </cell>
          <cell r="AW10">
            <v>116.12599999999986</v>
          </cell>
          <cell r="AX10">
            <v>0.11453937963935967</v>
          </cell>
          <cell r="AZ10" t="str">
            <v>EBITDA</v>
          </cell>
          <cell r="BA10">
            <v>65.269999999999982</v>
          </cell>
          <cell r="BB10">
            <v>58.632999999999811</v>
          </cell>
          <cell r="BC10">
            <v>0.11319564068016641</v>
          </cell>
          <cell r="BE10" t="str">
            <v>EBITDA</v>
          </cell>
          <cell r="BF10">
            <v>65.269999999999982</v>
          </cell>
          <cell r="BG10">
            <v>64.157000000000039</v>
          </cell>
          <cell r="BH10">
            <v>1.7348068020635932E-2</v>
          </cell>
        </row>
        <row r="11">
          <cell r="A11" t="str">
            <v>Calculated</v>
          </cell>
          <cell r="B11" t="str">
            <v>Calculated</v>
          </cell>
          <cell r="D11" t="str">
            <v>Other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M11" t="str">
            <v>% chg</v>
          </cell>
          <cell r="N11">
            <v>0.11104094910064943</v>
          </cell>
          <cell r="O11">
            <v>0.11453937963935967</v>
          </cell>
          <cell r="P11">
            <v>8.4929063054420384E-2</v>
          </cell>
          <cell r="Q11">
            <v>0.16235899066673776</v>
          </cell>
          <cell r="R11">
            <v>0.14312808586298087</v>
          </cell>
          <cell r="S11">
            <v>0.11834327610873396</v>
          </cell>
          <cell r="T11">
            <v>8.8613529697316729E-2</v>
          </cell>
          <cell r="AA11">
            <v>129</v>
          </cell>
          <cell r="AB11" t="str">
            <v>EBITDA</v>
          </cell>
          <cell r="AC11">
            <v>94.049000000000092</v>
          </cell>
          <cell r="AD11">
            <v>51.357000000000028</v>
          </cell>
          <cell r="AE11">
            <v>53.162999999999954</v>
          </cell>
          <cell r="AF11">
            <v>104.51999999999998</v>
          </cell>
          <cell r="AG11">
            <v>57.492999999999995</v>
          </cell>
          <cell r="AH11">
            <v>58.632999999999811</v>
          </cell>
          <cell r="AI11">
            <v>116.12599999999986</v>
          </cell>
          <cell r="AJ11">
            <v>64.157000000000039</v>
          </cell>
          <cell r="AK11">
            <v>65.269999999999982</v>
          </cell>
          <cell r="AL11">
            <v>129.42700000000013</v>
          </cell>
          <cell r="AM11">
            <v>0.11104094910064943</v>
          </cell>
          <cell r="AP11" t="str">
            <v>D&amp;A</v>
          </cell>
          <cell r="AQ11">
            <v>-8.6590000000000007</v>
          </cell>
          <cell r="AR11">
            <v>-7.21</v>
          </cell>
          <cell r="AS11">
            <v>0.20097087378640777</v>
          </cell>
          <cell r="AU11" t="str">
            <v>D&amp;A</v>
          </cell>
          <cell r="AV11">
            <v>-16.789000000000001</v>
          </cell>
          <cell r="AW11">
            <v>-15.066000000000001</v>
          </cell>
          <cell r="AX11">
            <v>0.11436346741006242</v>
          </cell>
          <cell r="AZ11" t="str">
            <v>D&amp;A</v>
          </cell>
          <cell r="BA11">
            <v>-8.1300000000000008</v>
          </cell>
          <cell r="BB11">
            <v>-7.8560000000000008</v>
          </cell>
          <cell r="BC11">
            <v>3.4877800407332016E-2</v>
          </cell>
          <cell r="BE11" t="str">
            <v>D&amp;A</v>
          </cell>
          <cell r="BF11">
            <v>-8.1300000000000008</v>
          </cell>
          <cell r="BG11">
            <v>-8.6590000000000007</v>
          </cell>
          <cell r="BH11">
            <v>-6.1092504908187961E-2</v>
          </cell>
        </row>
        <row r="12">
          <cell r="A12">
            <v>264</v>
          </cell>
          <cell r="B12">
            <v>109</v>
          </cell>
          <cell r="D12" t="str">
            <v>Total Current Assets</v>
          </cell>
          <cell r="E12">
            <v>278.19900000000001</v>
          </cell>
          <cell r="F12">
            <v>294.13900000000001</v>
          </cell>
          <cell r="G12">
            <v>336.98345611803597</v>
          </cell>
          <cell r="H12">
            <v>422.12702674179508</v>
          </cell>
          <cell r="I12">
            <v>505.24138845509935</v>
          </cell>
          <cell r="J12">
            <v>565.93206401740792</v>
          </cell>
          <cell r="K12">
            <v>614.65519661093117</v>
          </cell>
          <cell r="M12" t="str">
            <v>Depreciation</v>
          </cell>
          <cell r="N12">
            <v>-15.066000000000001</v>
          </cell>
          <cell r="O12">
            <v>-16.789000000000001</v>
          </cell>
          <cell r="P12">
            <v>-19.496754782998611</v>
          </cell>
          <cell r="Q12">
            <v>-22.106631895890672</v>
          </cell>
          <cell r="R12">
            <v>-24.318792077261008</v>
          </cell>
          <cell r="S12">
            <v>-26.206857559957495</v>
          </cell>
          <cell r="T12">
            <v>-27.831282691496753</v>
          </cell>
          <cell r="Z12">
            <v>109</v>
          </cell>
          <cell r="AA12">
            <v>117</v>
          </cell>
          <cell r="AB12" t="str">
            <v>Depreciation &amp; Amortisation</v>
          </cell>
          <cell r="AC12">
            <v>-10.39</v>
          </cell>
          <cell r="AD12">
            <v>-6.2119999999999997</v>
          </cell>
          <cell r="AE12">
            <v>-6.5060000000000002</v>
          </cell>
          <cell r="AF12">
            <v>-12.718</v>
          </cell>
          <cell r="AG12">
            <v>-7.21</v>
          </cell>
          <cell r="AH12">
            <v>-7.8560000000000008</v>
          </cell>
          <cell r="AI12">
            <v>-15.066000000000001</v>
          </cell>
          <cell r="AJ12">
            <v>-8.6590000000000007</v>
          </cell>
          <cell r="AK12">
            <v>-8.1300000000000008</v>
          </cell>
          <cell r="AL12">
            <v>-16.789000000000001</v>
          </cell>
          <cell r="AM12">
            <v>0.18462022330555117</v>
          </cell>
          <cell r="AP12" t="str">
            <v>EBIT</v>
          </cell>
          <cell r="AQ12">
            <v>55.49800000000004</v>
          </cell>
          <cell r="AR12">
            <v>50.282999999999994</v>
          </cell>
          <cell r="AS12">
            <v>0.1037129845076874</v>
          </cell>
          <cell r="AU12" t="str">
            <v>EBIT</v>
          </cell>
          <cell r="AV12">
            <v>112.63800000000013</v>
          </cell>
          <cell r="AW12">
            <v>101.05999999999986</v>
          </cell>
          <cell r="AX12">
            <v>0.1145656045913348</v>
          </cell>
          <cell r="AZ12" t="str">
            <v>EBIT</v>
          </cell>
          <cell r="BA12">
            <v>57.139999999999979</v>
          </cell>
          <cell r="BB12">
            <v>50.776999999999809</v>
          </cell>
          <cell r="BC12">
            <v>0.12531264155031208</v>
          </cell>
          <cell r="BE12" t="str">
            <v>EBIT</v>
          </cell>
          <cell r="BF12">
            <v>57.139999999999979</v>
          </cell>
          <cell r="BG12">
            <v>55.49800000000004</v>
          </cell>
          <cell r="BH12">
            <v>2.9586651771233985E-2</v>
          </cell>
        </row>
        <row r="13">
          <cell r="A13">
            <v>272</v>
          </cell>
          <cell r="B13" t="str">
            <v>Calculated</v>
          </cell>
          <cell r="D13" t="str">
            <v xml:space="preserve">Receivables 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M13" t="str">
            <v>EBITA</v>
          </cell>
          <cell r="N13">
            <v>101.05999999999986</v>
          </cell>
          <cell r="O13">
            <v>112.63800000000013</v>
          </cell>
          <cell r="P13">
            <v>120.92235906094601</v>
          </cell>
          <cell r="Q13">
            <v>141.11078754207452</v>
          </cell>
          <cell r="R13">
            <v>162.25962418435543</v>
          </cell>
          <cell r="S13">
            <v>182.45185973323771</v>
          </cell>
          <cell r="T13">
            <v>199.317420043163</v>
          </cell>
          <cell r="AB13" t="str">
            <v>EBIT</v>
          </cell>
          <cell r="AC13">
            <v>83.659000000000091</v>
          </cell>
          <cell r="AD13">
            <v>45.145000000000024</v>
          </cell>
          <cell r="AE13">
            <v>46.656999999999954</v>
          </cell>
          <cell r="AF13">
            <v>91.801999999999978</v>
          </cell>
          <cell r="AG13">
            <v>50.282999999999994</v>
          </cell>
          <cell r="AH13">
            <v>50.776999999999809</v>
          </cell>
          <cell r="AI13">
            <v>101.05999999999986</v>
          </cell>
          <cell r="AJ13">
            <v>55.49800000000004</v>
          </cell>
          <cell r="AK13">
            <v>57.139999999999979</v>
          </cell>
          <cell r="AL13">
            <v>112.63800000000013</v>
          </cell>
          <cell r="AM13">
            <v>0.10084747608984435</v>
          </cell>
          <cell r="AP13" t="str">
            <v>Net Int.</v>
          </cell>
          <cell r="AQ13">
            <v>1.0129999999999999</v>
          </cell>
          <cell r="AR13">
            <v>2.0329999999999999</v>
          </cell>
          <cell r="AS13">
            <v>-0.50172159370388592</v>
          </cell>
          <cell r="AU13" t="str">
            <v>Net Int.</v>
          </cell>
          <cell r="AV13">
            <v>2.5100000000000002</v>
          </cell>
          <cell r="AW13">
            <v>3.0890000000000004</v>
          </cell>
          <cell r="AX13">
            <v>-0.1874393007445776</v>
          </cell>
          <cell r="AZ13" t="str">
            <v>Net Int.</v>
          </cell>
          <cell r="BA13">
            <v>1.4970000000000003</v>
          </cell>
          <cell r="BB13">
            <v>1.0560000000000005</v>
          </cell>
          <cell r="BC13">
            <v>0.41761363636363602</v>
          </cell>
          <cell r="BE13" t="str">
            <v>Net Int.</v>
          </cell>
          <cell r="BF13">
            <v>1.4970000000000003</v>
          </cell>
          <cell r="BG13">
            <v>1.0129999999999999</v>
          </cell>
          <cell r="BH13">
            <v>0.47778874629812496</v>
          </cell>
        </row>
        <row r="14">
          <cell r="A14">
            <v>0</v>
          </cell>
          <cell r="B14">
            <v>117</v>
          </cell>
          <cell r="D14" t="str">
            <v>Equity Accounted Investments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M14" t="str">
            <v>Amortisation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AA14">
            <v>150</v>
          </cell>
          <cell r="AB14" t="str">
            <v>Net Interest</v>
          </cell>
          <cell r="AC14">
            <v>3.1760000000000002</v>
          </cell>
          <cell r="AD14">
            <v>1.1040000000000001</v>
          </cell>
          <cell r="AE14">
            <v>1.9929999999999994</v>
          </cell>
          <cell r="AF14">
            <v>3.0969999999999995</v>
          </cell>
          <cell r="AG14">
            <v>2.0329999999999999</v>
          </cell>
          <cell r="AH14">
            <v>1.0560000000000005</v>
          </cell>
          <cell r="AI14">
            <v>3.0890000000000004</v>
          </cell>
          <cell r="AJ14">
            <v>1.0129999999999999</v>
          </cell>
          <cell r="AK14">
            <v>1.4970000000000003</v>
          </cell>
          <cell r="AL14">
            <v>2.5100000000000002</v>
          </cell>
          <cell r="AM14">
            <v>-2.5831449790116867E-3</v>
          </cell>
          <cell r="AP14" t="str">
            <v>Tax</v>
          </cell>
          <cell r="AQ14">
            <v>-15.962</v>
          </cell>
          <cell r="AR14">
            <v>-15.467000000000001</v>
          </cell>
          <cell r="AS14">
            <v>3.2003620611624761E-2</v>
          </cell>
          <cell r="AU14" t="str">
            <v>Tax</v>
          </cell>
          <cell r="AV14">
            <v>-31.931000000000001</v>
          </cell>
          <cell r="AW14">
            <v>-29.908000000000001</v>
          </cell>
          <cell r="AX14">
            <v>6.764076501270555E-2</v>
          </cell>
          <cell r="AZ14" t="str">
            <v>Tax</v>
          </cell>
          <cell r="BA14">
            <v>-15.969000000000001</v>
          </cell>
          <cell r="BB14">
            <v>-14.441000000000001</v>
          </cell>
          <cell r="BC14">
            <v>0.1058098469635067</v>
          </cell>
          <cell r="BE14" t="str">
            <v>Tax</v>
          </cell>
          <cell r="BF14">
            <v>-15.969000000000001</v>
          </cell>
          <cell r="BG14">
            <v>-15.962</v>
          </cell>
          <cell r="BH14">
            <v>4.3854153614852898E-4</v>
          </cell>
        </row>
        <row r="15">
          <cell r="A15">
            <v>276</v>
          </cell>
          <cell r="B15" t="str">
            <v>Calculated</v>
          </cell>
          <cell r="D15" t="str">
            <v>PP&amp;E</v>
          </cell>
          <cell r="E15">
            <v>70.075000000000003</v>
          </cell>
          <cell r="F15">
            <v>91.150999999999996</v>
          </cell>
          <cell r="G15">
            <v>105.47177855033473</v>
          </cell>
          <cell r="H15">
            <v>117.5736859877774</v>
          </cell>
          <cell r="I15">
            <v>127.86616942384973</v>
          </cell>
          <cell r="J15">
            <v>136.68540564262557</v>
          </cell>
          <cell r="K15">
            <v>144.30747954322413</v>
          </cell>
          <cell r="M15" t="str">
            <v>EBIT</v>
          </cell>
          <cell r="N15">
            <v>101.05999999999986</v>
          </cell>
          <cell r="O15">
            <v>112.63800000000013</v>
          </cell>
          <cell r="P15">
            <v>120.92235906094601</v>
          </cell>
          <cell r="Q15">
            <v>141.11078754207452</v>
          </cell>
          <cell r="R15">
            <v>162.25962418435543</v>
          </cell>
          <cell r="S15">
            <v>182.45185973323771</v>
          </cell>
          <cell r="T15">
            <v>199.317420043163</v>
          </cell>
          <cell r="AB15" t="str">
            <v>Pre Tax Profit</v>
          </cell>
          <cell r="AC15">
            <v>86.835000000000093</v>
          </cell>
          <cell r="AD15">
            <v>46.249000000000024</v>
          </cell>
          <cell r="AE15">
            <v>48.649999999999956</v>
          </cell>
          <cell r="AF15">
            <v>94.898999999999972</v>
          </cell>
          <cell r="AG15">
            <v>52.315999999999995</v>
          </cell>
          <cell r="AH15">
            <v>51.832999999999807</v>
          </cell>
          <cell r="AI15">
            <v>104.14899999999986</v>
          </cell>
          <cell r="AJ15">
            <v>56.511000000000038</v>
          </cell>
          <cell r="AK15">
            <v>58.636999999999979</v>
          </cell>
          <cell r="AL15">
            <v>115.14800000000014</v>
          </cell>
          <cell r="AM15">
            <v>9.7472049231286828E-2</v>
          </cell>
          <cell r="AP15" t="str">
            <v>NPAT</v>
          </cell>
          <cell r="AQ15">
            <v>40.549000000000035</v>
          </cell>
          <cell r="AR15">
            <v>36.848999999999997</v>
          </cell>
          <cell r="AS15">
            <v>0.10040978045537297</v>
          </cell>
          <cell r="AU15" t="str">
            <v>NPAT</v>
          </cell>
          <cell r="AV15">
            <v>83.217000000000141</v>
          </cell>
          <cell r="AW15">
            <v>74.240999999999858</v>
          </cell>
          <cell r="AX15">
            <v>0.12090354386390678</v>
          </cell>
          <cell r="AZ15" t="str">
            <v>NPAT</v>
          </cell>
          <cell r="BA15">
            <v>42.667999999999978</v>
          </cell>
          <cell r="BB15">
            <v>37.391999999999804</v>
          </cell>
          <cell r="BC15">
            <v>0.1410997004706942</v>
          </cell>
          <cell r="BE15" t="str">
            <v>NPAT</v>
          </cell>
          <cell r="BF15">
            <v>42.667999999999978</v>
          </cell>
          <cell r="BG15">
            <v>40.549000000000035</v>
          </cell>
          <cell r="BH15">
            <v>5.2257762213616665E-2</v>
          </cell>
        </row>
        <row r="16">
          <cell r="A16">
            <v>279</v>
          </cell>
          <cell r="B16" t="str">
            <v>Composite</v>
          </cell>
          <cell r="D16" t="str">
            <v xml:space="preserve">Intangibles </v>
          </cell>
          <cell r="E16">
            <v>2.5510000000000002</v>
          </cell>
          <cell r="F16">
            <v>2.5510000000000002</v>
          </cell>
          <cell r="G16">
            <v>2.5510000000000002</v>
          </cell>
          <cell r="H16">
            <v>2.5510000000000002</v>
          </cell>
          <cell r="I16">
            <v>2.5510000000000002</v>
          </cell>
          <cell r="J16">
            <v>2.5510000000000002</v>
          </cell>
          <cell r="K16">
            <v>2.5510000000000002</v>
          </cell>
          <cell r="M16" t="str">
            <v>% chg</v>
          </cell>
          <cell r="N16">
            <v>0.10084747608984435</v>
          </cell>
          <cell r="O16">
            <v>0.1145656045913348</v>
          </cell>
          <cell r="P16">
            <v>7.3548527681118747E-2</v>
          </cell>
          <cell r="Q16">
            <v>0.16695364395722168</v>
          </cell>
          <cell r="R16">
            <v>0.14987398915887296</v>
          </cell>
          <cell r="S16">
            <v>0.12444399307828014</v>
          </cell>
          <cell r="T16">
            <v>9.2438412711080886E-2</v>
          </cell>
          <cell r="AA16">
            <v>161</v>
          </cell>
          <cell r="AB16" t="str">
            <v>Tax Expense</v>
          </cell>
          <cell r="AC16">
            <v>-26.417000000000002</v>
          </cell>
          <cell r="AD16">
            <v>-14.166</v>
          </cell>
          <cell r="AE16">
            <v>-14.572875</v>
          </cell>
          <cell r="AF16">
            <v>-28.738875</v>
          </cell>
          <cell r="AG16">
            <v>-15.467000000000001</v>
          </cell>
          <cell r="AH16">
            <v>-14.441000000000001</v>
          </cell>
          <cell r="AI16">
            <v>-29.908000000000001</v>
          </cell>
          <cell r="AJ16">
            <v>-15.962</v>
          </cell>
          <cell r="AK16">
            <v>-15.969000000000001</v>
          </cell>
          <cell r="AL16">
            <v>-31.931000000000001</v>
          </cell>
          <cell r="AM16">
            <v>4.0680959153759577E-2</v>
          </cell>
        </row>
        <row r="17">
          <cell r="A17">
            <v>280</v>
          </cell>
          <cell r="B17">
            <v>150</v>
          </cell>
          <cell r="D17" t="str">
            <v>Deferred Tax</v>
          </cell>
          <cell r="E17">
            <v>13.455</v>
          </cell>
          <cell r="F17">
            <v>15.981</v>
          </cell>
          <cell r="G17">
            <v>17.938361597497778</v>
          </cell>
          <cell r="H17">
            <v>20.720084228687181</v>
          </cell>
          <cell r="I17">
            <v>24.067437538753794</v>
          </cell>
          <cell r="J17">
            <v>27.048433638639992</v>
          </cell>
          <cell r="K17">
            <v>29.582745818888764</v>
          </cell>
          <cell r="M17" t="str">
            <v>Net Interest (Expense)/Income</v>
          </cell>
          <cell r="N17">
            <v>3.0890000000000004</v>
          </cell>
          <cell r="O17">
            <v>2.5100000000000002</v>
          </cell>
          <cell r="P17">
            <v>2.3599399307474536</v>
          </cell>
          <cell r="Q17">
            <v>3.1386466132663826</v>
          </cell>
          <cell r="R17">
            <v>4.35081341368564</v>
          </cell>
          <cell r="S17">
            <v>5.3112010528480287</v>
          </cell>
          <cell r="T17">
            <v>5.8086647515715626</v>
          </cell>
          <cell r="AA17">
            <v>171</v>
          </cell>
          <cell r="AB17" t="str">
            <v>Minorities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 t="e">
            <v>#DIV/0!</v>
          </cell>
          <cell r="AO17">
            <v>213</v>
          </cell>
          <cell r="AP17" t="str">
            <v>EPS</v>
          </cell>
          <cell r="AQ17">
            <v>47.178280087404524</v>
          </cell>
          <cell r="AR17">
            <v>43.707422572502637</v>
          </cell>
          <cell r="AS17">
            <v>7.9411168872846938E-2</v>
          </cell>
          <cell r="AU17" t="str">
            <v>EPS</v>
          </cell>
          <cell r="AV17">
            <v>96.864913760579725</v>
          </cell>
          <cell r="AW17">
            <v>87.475780263375441</v>
          </cell>
          <cell r="AX17">
            <v>0.10733409257894144</v>
          </cell>
          <cell r="AZ17" t="str">
            <v>EPS</v>
          </cell>
          <cell r="BA17">
            <v>49.602066273206923</v>
          </cell>
          <cell r="BB17">
            <v>43.698961986858585</v>
          </cell>
          <cell r="BC17">
            <v>0.13508568666055631</v>
          </cell>
          <cell r="BE17" t="str">
            <v>EPS</v>
          </cell>
          <cell r="BF17">
            <v>49.602066273206923</v>
          </cell>
          <cell r="BG17">
            <v>47.178280087404524</v>
          </cell>
          <cell r="BH17">
            <v>5.1375043374026985E-2</v>
          </cell>
        </row>
        <row r="18">
          <cell r="A18" t="str">
            <v>Calculated</v>
          </cell>
          <cell r="B18" t="str">
            <v>Calculated</v>
          </cell>
          <cell r="D18" t="str">
            <v xml:space="preserve">Other </v>
          </cell>
          <cell r="E18">
            <v>8.9510000000000076</v>
          </cell>
          <cell r="F18">
            <v>16.879999999999995</v>
          </cell>
          <cell r="G18">
            <v>16.879999999999995</v>
          </cell>
          <cell r="H18">
            <v>16.879999999999967</v>
          </cell>
          <cell r="I18">
            <v>16.879999999999995</v>
          </cell>
          <cell r="J18">
            <v>16.879999999999995</v>
          </cell>
          <cell r="K18">
            <v>16.879999999999995</v>
          </cell>
          <cell r="M18" t="str">
            <v>Op. Profit before Tax</v>
          </cell>
          <cell r="N18">
            <v>104.14899999999986</v>
          </cell>
          <cell r="O18">
            <v>115.14800000000014</v>
          </cell>
          <cell r="P18">
            <v>123.28229899169347</v>
          </cell>
          <cell r="Q18">
            <v>144.24943415534091</v>
          </cell>
          <cell r="R18">
            <v>166.61043759804107</v>
          </cell>
          <cell r="S18">
            <v>187.76306078608573</v>
          </cell>
          <cell r="T18">
            <v>205.12608479473457</v>
          </cell>
          <cell r="V18">
            <v>0.13105034176090369</v>
          </cell>
          <cell r="AB18" t="str">
            <v>Net Profit</v>
          </cell>
          <cell r="AC18">
            <v>60.418000000000092</v>
          </cell>
          <cell r="AD18">
            <v>32.083000000000027</v>
          </cell>
          <cell r="AE18">
            <v>34.077124999999953</v>
          </cell>
          <cell r="AF18">
            <v>66.160124999999965</v>
          </cell>
          <cell r="AG18">
            <v>36.848999999999997</v>
          </cell>
          <cell r="AH18">
            <v>37.391999999999804</v>
          </cell>
          <cell r="AI18">
            <v>74.240999999999858</v>
          </cell>
          <cell r="AJ18">
            <v>40.549000000000035</v>
          </cell>
          <cell r="AK18">
            <v>42.667999999999978</v>
          </cell>
          <cell r="AL18">
            <v>83.217000000000141</v>
          </cell>
          <cell r="AM18">
            <v>0.12214116886870907</v>
          </cell>
          <cell r="AO18">
            <v>243</v>
          </cell>
          <cell r="AP18" t="str">
            <v>DPS</v>
          </cell>
          <cell r="AQ18">
            <v>35</v>
          </cell>
          <cell r="AR18">
            <v>30</v>
          </cell>
          <cell r="AS18">
            <v>0.16666666666666674</v>
          </cell>
          <cell r="AU18" t="str">
            <v>DPS</v>
          </cell>
          <cell r="AV18">
            <v>83</v>
          </cell>
          <cell r="AW18">
            <v>74</v>
          </cell>
          <cell r="AX18">
            <v>0.12162162162162171</v>
          </cell>
          <cell r="AZ18" t="str">
            <v>DPS</v>
          </cell>
          <cell r="BA18">
            <v>48</v>
          </cell>
          <cell r="BB18">
            <v>44</v>
          </cell>
          <cell r="BC18">
            <v>9.0909090909090828E-2</v>
          </cell>
          <cell r="BE18" t="str">
            <v>DPS</v>
          </cell>
          <cell r="BF18">
            <v>48</v>
          </cell>
          <cell r="BG18">
            <v>35</v>
          </cell>
          <cell r="BH18">
            <v>0.37142857142857144</v>
          </cell>
        </row>
        <row r="19">
          <cell r="A19">
            <v>283</v>
          </cell>
          <cell r="B19">
            <v>161</v>
          </cell>
          <cell r="D19" t="str">
            <v>Total Non Current Assets</v>
          </cell>
          <cell r="E19">
            <v>95.032000000000011</v>
          </cell>
          <cell r="F19">
            <v>126.56299999999999</v>
          </cell>
          <cell r="G19">
            <v>142.8411401478325</v>
          </cell>
          <cell r="H19">
            <v>157.72477021646455</v>
          </cell>
          <cell r="I19">
            <v>171.36460696260349</v>
          </cell>
          <cell r="J19">
            <v>183.16483928126553</v>
          </cell>
          <cell r="K19">
            <v>193.32122536211287</v>
          </cell>
          <cell r="M19" t="str">
            <v>Tax Expense</v>
          </cell>
          <cell r="N19">
            <v>-29.908000000000001</v>
          </cell>
          <cell r="O19">
            <v>-31.931000000000001</v>
          </cell>
          <cell r="P19">
            <v>-35.841926298085326</v>
          </cell>
          <cell r="Q19">
            <v>-41.399975565121736</v>
          </cell>
          <cell r="R19">
            <v>-48.088188977532539</v>
          </cell>
          <cell r="S19">
            <v>-54.044398630587175</v>
          </cell>
          <cell r="T19">
            <v>-59.108106923405117</v>
          </cell>
          <cell r="AB19" t="str">
            <v>Operating Margins</v>
          </cell>
          <cell r="AP19" t="str">
            <v>Franking</v>
          </cell>
          <cell r="AQ19">
            <v>1</v>
          </cell>
          <cell r="AR19">
            <v>1</v>
          </cell>
          <cell r="AU19" t="str">
            <v>Franking</v>
          </cell>
          <cell r="AV19">
            <v>1</v>
          </cell>
          <cell r="AW19">
            <v>1</v>
          </cell>
          <cell r="AZ19" t="str">
            <v>Franking</v>
          </cell>
          <cell r="BA19">
            <v>1</v>
          </cell>
          <cell r="BB19">
            <v>1</v>
          </cell>
          <cell r="BE19" t="str">
            <v>Franking</v>
          </cell>
          <cell r="BF19">
            <v>1</v>
          </cell>
          <cell r="BG19">
            <v>1</v>
          </cell>
        </row>
        <row r="20">
          <cell r="A20" t="str">
            <v>Calculated</v>
          </cell>
          <cell r="B20" t="str">
            <v>Calculated</v>
          </cell>
          <cell r="D20" t="str">
            <v>Total Assets</v>
          </cell>
          <cell r="E20">
            <v>373.23099999999999</v>
          </cell>
          <cell r="F20">
            <v>420.702</v>
          </cell>
          <cell r="G20">
            <v>479.82459626586848</v>
          </cell>
          <cell r="H20">
            <v>579.85179695825968</v>
          </cell>
          <cell r="I20">
            <v>676.60599541770284</v>
          </cell>
          <cell r="J20">
            <v>749.0969032986734</v>
          </cell>
          <cell r="K20">
            <v>807.97642197304401</v>
          </cell>
          <cell r="M20" t="str">
            <v>Op. Profit after tax</v>
          </cell>
          <cell r="N20">
            <v>74.240999999999858</v>
          </cell>
          <cell r="O20">
            <v>83.217000000000141</v>
          </cell>
          <cell r="P20">
            <v>87.44037269360814</v>
          </cell>
          <cell r="Q20">
            <v>102.84945859021917</v>
          </cell>
          <cell r="R20">
            <v>118.52224862050853</v>
          </cell>
          <cell r="S20">
            <v>133.71866215549855</v>
          </cell>
          <cell r="T20">
            <v>146.01797787132944</v>
          </cell>
          <cell r="AB20" t="str">
            <v>EBITDA Margin</v>
          </cell>
          <cell r="AC20">
            <v>9.7589852622709874E-2</v>
          </cell>
          <cell r="AD20">
            <v>0.11159785917770004</v>
          </cell>
          <cell r="AE20">
            <v>0.10766230452374868</v>
          </cell>
          <cell r="AF20">
            <v>0.10956078201995614</v>
          </cell>
          <cell r="AG20">
            <v>0.10217235998905289</v>
          </cell>
          <cell r="AH20">
            <v>0.10473638612755967</v>
          </cell>
          <cell r="AI20">
            <v>0.10345107129398903</v>
          </cell>
          <cell r="AJ20">
            <v>0.10356037726407684</v>
          </cell>
          <cell r="AK20">
            <v>9.9511058732411728E-2</v>
          </cell>
          <cell r="AL20">
            <v>0.10147794452023658</v>
          </cell>
          <cell r="AM20" t="str">
            <v>-61bps</v>
          </cell>
        </row>
        <row r="21">
          <cell r="A21">
            <v>297</v>
          </cell>
          <cell r="B21">
            <v>171</v>
          </cell>
          <cell r="D21" t="str">
            <v xml:space="preserve">Creditors </v>
          </cell>
          <cell r="E21">
            <v>170.322</v>
          </cell>
          <cell r="F21">
            <v>167.96299999999999</v>
          </cell>
          <cell r="G21">
            <v>190.66986543709146</v>
          </cell>
          <cell r="H21">
            <v>243.26237742329533</v>
          </cell>
          <cell r="I21">
            <v>248.90506801454592</v>
          </cell>
          <cell r="J21">
            <v>260.65197007741983</v>
          </cell>
          <cell r="K21">
            <v>267.34233579232546</v>
          </cell>
          <cell r="M21" t="str">
            <v>Minority Interests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AB21" t="str">
            <v>EBIT Margin</v>
          </cell>
          <cell r="AC21">
            <v>8.6808679311457707E-2</v>
          </cell>
          <cell r="AD21">
            <v>9.8099292259619303E-2</v>
          </cell>
          <cell r="AE21">
            <v>9.4486769786591082E-2</v>
          </cell>
          <cell r="AF21">
            <v>9.6229419355109203E-2</v>
          </cell>
          <cell r="AG21">
            <v>8.935927464786228E-2</v>
          </cell>
          <cell r="AH21">
            <v>9.0703178728686829E-2</v>
          </cell>
          <cell r="AI21">
            <v>9.0029496107422363E-2</v>
          </cell>
          <cell r="AJ21">
            <v>8.9583269439059449E-2</v>
          </cell>
          <cell r="AK21">
            <v>8.711600882442172E-2</v>
          </cell>
          <cell r="AL21">
            <v>8.8314437597026965E-2</v>
          </cell>
          <cell r="AM21" t="str">
            <v>-62bps</v>
          </cell>
          <cell r="AP21" t="str">
            <v>EBITDA margin</v>
          </cell>
          <cell r="AQ21">
            <v>0.10356037726407684</v>
          </cell>
          <cell r="AR21">
            <v>0.10217235998905289</v>
          </cell>
          <cell r="AU21" t="str">
            <v>EBITDA margin</v>
          </cell>
          <cell r="AV21">
            <v>0.10147794452023658</v>
          </cell>
          <cell r="AW21">
            <v>0.10345107129398903</v>
          </cell>
          <cell r="AZ21" t="str">
            <v>EBITDA margin</v>
          </cell>
          <cell r="BA21">
            <v>9.9511058732411728E-2</v>
          </cell>
          <cell r="BB21">
            <v>0.10473638612755967</v>
          </cell>
          <cell r="BE21" t="str">
            <v>EBITDA margin</v>
          </cell>
          <cell r="BF21">
            <v>9.9511058732411728E-2</v>
          </cell>
          <cell r="BG21">
            <v>0.10356037726407684</v>
          </cell>
        </row>
        <row r="22">
          <cell r="A22">
            <v>298</v>
          </cell>
          <cell r="B22">
            <v>204</v>
          </cell>
          <cell r="D22" t="str">
            <v>Borrowings</v>
          </cell>
          <cell r="E22">
            <v>10.702999999999999</v>
          </cell>
          <cell r="F22">
            <v>11.529</v>
          </cell>
          <cell r="G22">
            <v>18.37127631749501</v>
          </cell>
          <cell r="H22">
            <v>21.403617949416137</v>
          </cell>
          <cell r="I22">
            <v>24.651410695788243</v>
          </cell>
          <cell r="J22">
            <v>27.733172155395629</v>
          </cell>
          <cell r="K22">
            <v>30.254726039481302</v>
          </cell>
          <cell r="M22" t="str">
            <v>Significant items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AB22" t="str">
            <v>Other Items</v>
          </cell>
          <cell r="AP22" t="str">
            <v>EBIT margin</v>
          </cell>
          <cell r="AQ22">
            <v>8.9583269439059449E-2</v>
          </cell>
          <cell r="AR22">
            <v>8.935927464786228E-2</v>
          </cell>
          <cell r="AU22" t="str">
            <v>EBIT margin</v>
          </cell>
          <cell r="AV22">
            <v>8.8314437597026965E-2</v>
          </cell>
          <cell r="AW22">
            <v>9.0029496107422363E-2</v>
          </cell>
          <cell r="AZ22" t="str">
            <v>EBIT margin</v>
          </cell>
          <cell r="BA22">
            <v>8.711600882442172E-2</v>
          </cell>
          <cell r="BB22">
            <v>9.0703178728686829E-2</v>
          </cell>
          <cell r="BE22" t="str">
            <v>EBIT margin</v>
          </cell>
          <cell r="BF22">
            <v>8.711600882442172E-2</v>
          </cell>
          <cell r="BG22">
            <v>8.9583269439059449E-2</v>
          </cell>
        </row>
        <row r="23">
          <cell r="A23">
            <v>300</v>
          </cell>
          <cell r="B23" t="str">
            <v>Calculated</v>
          </cell>
          <cell r="D23" t="str">
            <v xml:space="preserve">Tax </v>
          </cell>
          <cell r="E23">
            <v>6.6289999999999996</v>
          </cell>
          <cell r="F23">
            <v>8.9060000000000006</v>
          </cell>
          <cell r="G23">
            <v>8.7801727622703769</v>
          </cell>
          <cell r="H23">
            <v>10.014263988957239</v>
          </cell>
          <cell r="I23">
            <v>11.62375062212619</v>
          </cell>
          <cell r="J23">
            <v>13.091241188521606</v>
          </cell>
          <cell r="K23">
            <v>14.313263265003581</v>
          </cell>
          <cell r="M23" t="str">
            <v>Reported NPAT</v>
          </cell>
          <cell r="N23">
            <v>74.240999999999858</v>
          </cell>
          <cell r="O23">
            <v>83.217000000000141</v>
          </cell>
          <cell r="P23">
            <v>87.44037269360814</v>
          </cell>
          <cell r="Q23">
            <v>102.84945859021917</v>
          </cell>
          <cell r="R23">
            <v>118.52224862050853</v>
          </cell>
          <cell r="S23">
            <v>133.71866215549855</v>
          </cell>
          <cell r="T23">
            <v>146.01797787132944</v>
          </cell>
          <cell r="V23">
            <v>0.12511248093882577</v>
          </cell>
          <cell r="W23">
            <v>0.11902259277214666</v>
          </cell>
          <cell r="AA23">
            <v>429</v>
          </cell>
          <cell r="AB23" t="str">
            <v>Capital Expenditure</v>
          </cell>
          <cell r="AC23">
            <v>-9.1959999999999997</v>
          </cell>
          <cell r="AD23">
            <v>-3.206</v>
          </cell>
          <cell r="AE23">
            <v>-4.9350000000000005</v>
          </cell>
          <cell r="AF23">
            <v>-8.141</v>
          </cell>
          <cell r="AG23">
            <v>-5.3979999999999997</v>
          </cell>
          <cell r="AH23">
            <v>-4.9260000000000002</v>
          </cell>
          <cell r="AI23">
            <v>-10.324</v>
          </cell>
          <cell r="AJ23">
            <v>-5.3659999999999997</v>
          </cell>
          <cell r="AK23">
            <v>-11.715</v>
          </cell>
          <cell r="AL23">
            <v>-17.081</v>
          </cell>
          <cell r="AM23">
            <v>0.26814887605945215</v>
          </cell>
          <cell r="AP23" t="str">
            <v>ROA</v>
          </cell>
          <cell r="AQ23">
            <v>0.28849237806859107</v>
          </cell>
          <cell r="AR23">
            <v>0.26128402419902752</v>
          </cell>
          <cell r="AU23" t="str">
            <v>ROA</v>
          </cell>
          <cell r="AV23">
            <v>0.28374686528964066</v>
          </cell>
          <cell r="AW23">
            <v>0.2574242545815324</v>
          </cell>
          <cell r="AZ23" t="str">
            <v>ROA</v>
          </cell>
          <cell r="BA23">
            <v>0.27976855688337621</v>
          </cell>
          <cell r="BB23">
            <v>0.27781835690114004</v>
          </cell>
          <cell r="BE23" t="str">
            <v>ROA</v>
          </cell>
          <cell r="BF23">
            <v>0.27976855688337621</v>
          </cell>
          <cell r="BG23">
            <v>0.28849237806859107</v>
          </cell>
        </row>
        <row r="24">
          <cell r="A24" t="str">
            <v>Calculated</v>
          </cell>
          <cell r="B24" t="str">
            <v>Composite</v>
          </cell>
          <cell r="D24" t="str">
            <v>Provisions &amp; Others</v>
          </cell>
          <cell r="E24">
            <v>45.472000000000008</v>
          </cell>
          <cell r="F24">
            <v>63.543000000000006</v>
          </cell>
          <cell r="G24">
            <v>71.765478553781833</v>
          </cell>
          <cell r="H24">
            <v>82.807053507761509</v>
          </cell>
          <cell r="I24">
            <v>94.446281884220582</v>
          </cell>
          <cell r="J24">
            <v>106.25335106601528</v>
          </cell>
          <cell r="K24">
            <v>115.91411214218749</v>
          </cell>
          <cell r="M24" t="str">
            <v>% chg</v>
          </cell>
          <cell r="N24">
            <v>6.7555325482073547E-2</v>
          </cell>
          <cell r="O24">
            <v>0.12090354386390678</v>
          </cell>
          <cell r="P24">
            <v>5.0751321167646024E-2</v>
          </cell>
          <cell r="Q24">
            <v>0.17622392748261273</v>
          </cell>
          <cell r="R24">
            <v>0.15238573197292271</v>
          </cell>
          <cell r="S24">
            <v>0.12821570390253711</v>
          </cell>
          <cell r="T24">
            <v>9.1979051521830835E-2</v>
          </cell>
          <cell r="AA24">
            <v>659</v>
          </cell>
          <cell r="AB24" t="str">
            <v>Operating Cash Flow</v>
          </cell>
          <cell r="AC24">
            <v>96.30799999999995</v>
          </cell>
          <cell r="AD24">
            <v>14.888999999999971</v>
          </cell>
          <cell r="AE24">
            <v>77.580000000000211</v>
          </cell>
          <cell r="AF24">
            <v>92.469000000000122</v>
          </cell>
          <cell r="AG24">
            <v>74.457000000000022</v>
          </cell>
          <cell r="AH24">
            <v>39.348999999999783</v>
          </cell>
          <cell r="AI24">
            <v>113.80599999999981</v>
          </cell>
          <cell r="AJ24">
            <v>56.582999999999942</v>
          </cell>
          <cell r="AK24">
            <v>39.384000000000015</v>
          </cell>
          <cell r="AL24">
            <v>95.966999999999928</v>
          </cell>
          <cell r="AM24">
            <v>0.23074760189901111</v>
          </cell>
          <cell r="AP24" t="str">
            <v>ROE</v>
          </cell>
          <cell r="AQ24">
            <v>0.63381085242237434</v>
          </cell>
          <cell r="AR24">
            <v>0.71072921639254139</v>
          </cell>
          <cell r="AU24" t="str">
            <v>ROE</v>
          </cell>
          <cell r="AV24">
            <v>0.62369636988431854</v>
          </cell>
          <cell r="AW24">
            <v>0.66173757253255483</v>
          </cell>
          <cell r="AZ24" t="str">
            <v>ROE</v>
          </cell>
          <cell r="BA24">
            <v>0.61475288786753413</v>
          </cell>
          <cell r="BB24">
            <v>0.6556118087974192</v>
          </cell>
          <cell r="BE24" t="str">
            <v>ROE</v>
          </cell>
          <cell r="BF24">
            <v>0.61475288786753413</v>
          </cell>
          <cell r="BG24">
            <v>0.63381085242237434</v>
          </cell>
        </row>
        <row r="25">
          <cell r="A25">
            <v>305</v>
          </cell>
          <cell r="B25" t="str">
            <v>Calculated</v>
          </cell>
          <cell r="D25" t="str">
            <v>Total Current Liabilities</v>
          </cell>
          <cell r="E25">
            <v>233.126</v>
          </cell>
          <cell r="F25">
            <v>251.941</v>
          </cell>
          <cell r="G25">
            <v>289.58679307063869</v>
          </cell>
          <cell r="H25">
            <v>357.48731286943018</v>
          </cell>
          <cell r="I25">
            <v>379.62651121668091</v>
          </cell>
          <cell r="J25">
            <v>407.72973448735235</v>
          </cell>
          <cell r="K25">
            <v>427.8244372389978</v>
          </cell>
          <cell r="M25" t="str">
            <v>Add back Amortisation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Y25">
            <v>256</v>
          </cell>
          <cell r="Z25">
            <v>257</v>
          </cell>
          <cell r="AA25">
            <v>297</v>
          </cell>
          <cell r="AB25" t="str">
            <v>Working Capital</v>
          </cell>
          <cell r="AC25">
            <v>-6.8449999999999847</v>
          </cell>
          <cell r="AD25">
            <v>2.5470000000000255</v>
          </cell>
          <cell r="AE25">
            <v>-29.003000000000014</v>
          </cell>
          <cell r="AF25">
            <v>-29.003000000000014</v>
          </cell>
          <cell r="AG25">
            <v>-53.423000000000016</v>
          </cell>
          <cell r="AH25">
            <v>-44.358000000000004</v>
          </cell>
          <cell r="AI25">
            <v>-44.358000000000004</v>
          </cell>
          <cell r="AJ25">
            <v>-60.061000000000007</v>
          </cell>
          <cell r="AK25">
            <v>-23.015999999999991</v>
          </cell>
          <cell r="AL25">
            <v>-23.015999999999991</v>
          </cell>
          <cell r="AM25">
            <v>0.52942799020790887</v>
          </cell>
          <cell r="AP25" t="str">
            <v>Source: Company data, Merrill Lynch estimates</v>
          </cell>
          <cell r="AU25" t="str">
            <v>Source: Company data, Merrill Lynch estimates</v>
          </cell>
          <cell r="AZ25" t="str">
            <v>Source: Company data, Merrill Lynch estimates</v>
          </cell>
          <cell r="BE25" t="str">
            <v>Source: Company data, Merrill Lynch estimates</v>
          </cell>
        </row>
        <row r="26">
          <cell r="A26">
            <v>314</v>
          </cell>
          <cell r="B26" t="str">
            <v>Calculated</v>
          </cell>
          <cell r="D26" t="str">
            <v xml:space="preserve">Creditors 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M26" t="str">
            <v>Add back Significant items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AA26">
            <v>255</v>
          </cell>
          <cell r="AB26" t="str">
            <v>Cash</v>
          </cell>
          <cell r="AC26">
            <v>101.364</v>
          </cell>
          <cell r="AD26">
            <v>70.620999999999995</v>
          </cell>
          <cell r="AE26">
            <v>126.447</v>
          </cell>
          <cell r="AF26">
            <v>126.447</v>
          </cell>
          <cell r="AG26">
            <v>152.905</v>
          </cell>
          <cell r="AH26">
            <v>152.23500000000001</v>
          </cell>
          <cell r="AI26">
            <v>152.23500000000001</v>
          </cell>
          <cell r="AJ26">
            <v>158.61699999999999</v>
          </cell>
          <cell r="AK26">
            <v>149.19200000000001</v>
          </cell>
          <cell r="AL26">
            <v>149.19200000000001</v>
          </cell>
          <cell r="AM26">
            <v>0.20394315404873198</v>
          </cell>
        </row>
        <row r="27">
          <cell r="A27">
            <v>315</v>
          </cell>
          <cell r="B27" t="str">
            <v>Calculated</v>
          </cell>
          <cell r="D27" t="str">
            <v>Borrowings</v>
          </cell>
          <cell r="E27">
            <v>14.205</v>
          </cell>
          <cell r="F27">
            <v>21.071999999999999</v>
          </cell>
          <cell r="G27">
            <v>13.652723682504991</v>
          </cell>
          <cell r="H27">
            <v>10.043382050583865</v>
          </cell>
          <cell r="I27">
            <v>6.2185893042117613</v>
          </cell>
          <cell r="J27">
            <v>2.5598278446043778</v>
          </cell>
          <cell r="K27">
            <v>-0.53872603948129338</v>
          </cell>
          <cell r="M27" t="str">
            <v>Normalised NPAT</v>
          </cell>
          <cell r="N27">
            <v>74.240999999999858</v>
          </cell>
          <cell r="O27">
            <v>83.217000000000141</v>
          </cell>
          <cell r="P27">
            <v>87.44037269360814</v>
          </cell>
          <cell r="Q27">
            <v>102.84945859021917</v>
          </cell>
          <cell r="R27">
            <v>118.52224862050853</v>
          </cell>
          <cell r="S27">
            <v>133.71866215549855</v>
          </cell>
          <cell r="T27">
            <v>146.01797787132944</v>
          </cell>
          <cell r="Z27">
            <v>298</v>
          </cell>
          <cell r="AA27">
            <v>315</v>
          </cell>
          <cell r="AB27" t="str">
            <v>Gross Debt</v>
          </cell>
          <cell r="AC27">
            <v>27.485999999999997</v>
          </cell>
          <cell r="AD27">
            <v>25.542999999999999</v>
          </cell>
          <cell r="AE27">
            <v>24.881999999999998</v>
          </cell>
          <cell r="AF27">
            <v>24.881999999999998</v>
          </cell>
          <cell r="AG27">
            <v>23.23</v>
          </cell>
          <cell r="AH27">
            <v>24.908000000000001</v>
          </cell>
          <cell r="AI27">
            <v>24.908000000000001</v>
          </cell>
          <cell r="AJ27">
            <v>26.486999999999998</v>
          </cell>
          <cell r="AK27">
            <v>32.600999999999999</v>
          </cell>
          <cell r="AL27">
            <v>32.600999999999999</v>
          </cell>
          <cell r="AM27">
            <v>1.0449320794150285E-3</v>
          </cell>
          <cell r="AP27" t="str">
            <v>Assets</v>
          </cell>
          <cell r="AU27" t="str">
            <v>Assets</v>
          </cell>
          <cell r="AZ27" t="str">
            <v>Assets</v>
          </cell>
          <cell r="BE27" t="str">
            <v>Assets</v>
          </cell>
        </row>
        <row r="28">
          <cell r="A28">
            <v>316</v>
          </cell>
          <cell r="B28" t="str">
            <v>Composite</v>
          </cell>
          <cell r="D28" t="str">
            <v xml:space="preserve">Tax </v>
          </cell>
          <cell r="E28">
            <v>0.317</v>
          </cell>
          <cell r="F28">
            <v>9.9000000000000005E-2</v>
          </cell>
          <cell r="G28">
            <v>9.9000000000000005E-2</v>
          </cell>
          <cell r="H28">
            <v>9.9000000000000005E-2</v>
          </cell>
          <cell r="I28">
            <v>9.9000000000000005E-2</v>
          </cell>
          <cell r="J28">
            <v>9.9000000000000005E-2</v>
          </cell>
          <cell r="K28">
            <v>9.9000000000000005E-2</v>
          </cell>
          <cell r="M28" t="str">
            <v>% chg</v>
          </cell>
          <cell r="N28">
            <v>0.12214116886870907</v>
          </cell>
          <cell r="O28">
            <v>0.12090354386390678</v>
          </cell>
          <cell r="P28">
            <v>5.0751321167646024E-2</v>
          </cell>
          <cell r="Q28">
            <v>0.17622392748261273</v>
          </cell>
          <cell r="R28">
            <v>0.15238573197292271</v>
          </cell>
          <cell r="S28">
            <v>0.12821570390253711</v>
          </cell>
          <cell r="T28">
            <v>9.1979051521830835E-2</v>
          </cell>
          <cell r="AO28">
            <v>293</v>
          </cell>
          <cell r="AP28" t="str">
            <v>Open</v>
          </cell>
          <cell r="AQ28">
            <v>373.23099999999999</v>
          </cell>
          <cell r="AR28">
            <v>411.93200000000002</v>
          </cell>
          <cell r="AU28" t="str">
            <v>Open</v>
          </cell>
          <cell r="AV28">
            <v>373.23099999999999</v>
          </cell>
          <cell r="AW28">
            <v>411.93200000000002</v>
          </cell>
          <cell r="AZ28" t="str">
            <v>Open</v>
          </cell>
          <cell r="BA28">
            <v>396.25900000000001</v>
          </cell>
          <cell r="BB28">
            <v>357.85099999999994</v>
          </cell>
          <cell r="BE28" t="str">
            <v>Open</v>
          </cell>
          <cell r="BF28">
            <v>396.25900000000001</v>
          </cell>
          <cell r="BG28">
            <v>373.23099999999999</v>
          </cell>
        </row>
        <row r="29">
          <cell r="A29" t="str">
            <v>Calculated</v>
          </cell>
          <cell r="B29" t="str">
            <v>mscalc:netIncome</v>
          </cell>
          <cell r="D29" t="str">
            <v>Other</v>
          </cell>
          <cell r="E29">
            <v>3.0179999999999989</v>
          </cell>
          <cell r="F29">
            <v>3.3039999999999985</v>
          </cell>
          <cell r="G29">
            <v>3.7315383463433456</v>
          </cell>
          <cell r="H29">
            <v>4.305659235315364</v>
          </cell>
          <cell r="I29">
            <v>4.9108558825592858</v>
          </cell>
          <cell r="J29">
            <v>5.5247796283164874</v>
          </cell>
          <cell r="K29">
            <v>6.0271033240134635</v>
          </cell>
          <cell r="M29" t="str">
            <v>ModelWare NPAT</v>
          </cell>
          <cell r="N29">
            <v>74.241</v>
          </cell>
          <cell r="O29">
            <v>83.216999999999999</v>
          </cell>
          <cell r="P29">
            <v>87.440372693606903</v>
          </cell>
          <cell r="Q29">
            <v>102.84945859021499</v>
          </cell>
          <cell r="R29">
            <v>118.522248620507</v>
          </cell>
          <cell r="S29">
            <v>133.71866215549301</v>
          </cell>
          <cell r="T29">
            <v>146.01797787133199</v>
          </cell>
          <cell r="AO29">
            <v>293</v>
          </cell>
          <cell r="AP29" t="str">
            <v>Close</v>
          </cell>
          <cell r="AQ29">
            <v>396.25900000000001</v>
          </cell>
          <cell r="AR29">
            <v>357.85099999999994</v>
          </cell>
          <cell r="AU29" t="str">
            <v>Close</v>
          </cell>
          <cell r="AV29">
            <v>420.702</v>
          </cell>
          <cell r="AW29">
            <v>373.23099999999999</v>
          </cell>
          <cell r="AZ29" t="str">
            <v>Close</v>
          </cell>
          <cell r="BA29">
            <v>420.702</v>
          </cell>
          <cell r="BB29">
            <v>373.23099999999999</v>
          </cell>
          <cell r="BE29" t="str">
            <v>Close</v>
          </cell>
          <cell r="BF29">
            <v>420.702</v>
          </cell>
          <cell r="BG29">
            <v>396.25900000000001</v>
          </cell>
        </row>
        <row r="30">
          <cell r="A30">
            <v>321</v>
          </cell>
          <cell r="D30" t="str">
            <v>Total Non Current Liabilities</v>
          </cell>
          <cell r="E30">
            <v>17.54</v>
          </cell>
          <cell r="F30">
            <v>24.474999999999998</v>
          </cell>
          <cell r="G30">
            <v>17.483262028848337</v>
          </cell>
          <cell r="H30">
            <v>14.44804128589923</v>
          </cell>
          <cell r="I30">
            <v>11.228445186771047</v>
          </cell>
          <cell r="J30">
            <v>8.1836074729208654</v>
          </cell>
          <cell r="K30">
            <v>5.5873772845321703</v>
          </cell>
          <cell r="M30" t="str">
            <v>% chg</v>
          </cell>
          <cell r="N30">
            <v>0.12214116886870907</v>
          </cell>
          <cell r="O30">
            <v>0.12090354386390278</v>
          </cell>
          <cell r="P30">
            <v>5.0751321167632923E-2</v>
          </cell>
          <cell r="Q30">
            <v>0.17622392748258164</v>
          </cell>
          <cell r="R30">
            <v>0.15238573197295469</v>
          </cell>
          <cell r="S30">
            <v>0.12821570390250492</v>
          </cell>
          <cell r="T30">
            <v>9.1979051521895228E-2</v>
          </cell>
          <cell r="AP30" t="str">
            <v>Equity</v>
          </cell>
          <cell r="AU30" t="str">
            <v>Equity</v>
          </cell>
          <cell r="AZ30" t="str">
            <v>Equity</v>
          </cell>
          <cell r="BE30" t="str">
            <v>Equity</v>
          </cell>
        </row>
        <row r="31">
          <cell r="A31" t="str">
            <v>Calculated</v>
          </cell>
          <cell r="D31" t="str">
            <v>Total Liabilities</v>
          </cell>
          <cell r="E31">
            <v>250.666</v>
          </cell>
          <cell r="F31">
            <v>276.416</v>
          </cell>
          <cell r="G31">
            <v>307.07005509948704</v>
          </cell>
          <cell r="H31">
            <v>371.93535415532943</v>
          </cell>
          <cell r="I31">
            <v>390.85495640345198</v>
          </cell>
          <cell r="J31">
            <v>415.91334196027321</v>
          </cell>
          <cell r="K31">
            <v>433.41181452352998</v>
          </cell>
          <cell r="AO31">
            <v>342</v>
          </cell>
          <cell r="AP31" t="str">
            <v>Open</v>
          </cell>
          <cell r="AQ31">
            <v>122.565</v>
          </cell>
          <cell r="AR31">
            <v>101.81700000000001</v>
          </cell>
          <cell r="AU31" t="str">
            <v>Open</v>
          </cell>
          <cell r="AV31">
            <v>122.565</v>
          </cell>
          <cell r="AW31">
            <v>101.81700000000001</v>
          </cell>
          <cell r="AZ31" t="str">
            <v>Open</v>
          </cell>
          <cell r="BA31">
            <v>133.34100000000001</v>
          </cell>
          <cell r="BB31">
            <v>105.57</v>
          </cell>
          <cell r="BE31" t="str">
            <v>Open</v>
          </cell>
          <cell r="BF31">
            <v>133.34100000000001</v>
          </cell>
          <cell r="BG31">
            <v>122.565</v>
          </cell>
        </row>
        <row r="32">
          <cell r="A32">
            <v>342</v>
          </cell>
          <cell r="D32" t="str">
            <v>Shareholders Equity</v>
          </cell>
          <cell r="E32">
            <v>122.565</v>
          </cell>
          <cell r="F32">
            <v>144.286</v>
          </cell>
          <cell r="G32">
            <v>172.75454116638144</v>
          </cell>
          <cell r="H32">
            <v>207.91644280293025</v>
          </cell>
          <cell r="I32">
            <v>285.75103901425086</v>
          </cell>
          <cell r="J32">
            <v>333.18356133840018</v>
          </cell>
          <cell r="K32">
            <v>374.56460744951403</v>
          </cell>
          <cell r="M32" t="str">
            <v>Ratios</v>
          </cell>
          <cell r="N32" t="str">
            <v>FY09A</v>
          </cell>
          <cell r="O32" t="str">
            <v>FY10A</v>
          </cell>
          <cell r="P32" t="str">
            <v>FY11E</v>
          </cell>
          <cell r="Q32" t="str">
            <v>FY12E</v>
          </cell>
          <cell r="R32" t="str">
            <v>FY13E</v>
          </cell>
          <cell r="S32" t="str">
            <v>FY14E</v>
          </cell>
          <cell r="T32" t="str">
            <v>FY15E</v>
          </cell>
          <cell r="AO32">
            <v>342</v>
          </cell>
          <cell r="AP32" t="str">
            <v>Close</v>
          </cell>
          <cell r="AQ32">
            <v>133.34100000000001</v>
          </cell>
          <cell r="AR32">
            <v>105.57</v>
          </cell>
          <cell r="AU32" t="str">
            <v>Close</v>
          </cell>
          <cell r="AV32">
            <v>144.286</v>
          </cell>
          <cell r="AW32">
            <v>122.565</v>
          </cell>
          <cell r="AZ32" t="str">
            <v>Close</v>
          </cell>
          <cell r="BA32">
            <v>144.286</v>
          </cell>
          <cell r="BB32">
            <v>122.565</v>
          </cell>
          <cell r="BE32" t="str">
            <v>Close</v>
          </cell>
          <cell r="BF32">
            <v>144.286</v>
          </cell>
          <cell r="BG32">
            <v>133.34100000000001</v>
          </cell>
        </row>
        <row r="33">
          <cell r="B33" t="str">
            <v>Calculated</v>
          </cell>
          <cell r="M33" t="str">
            <v>EBITDA margin</v>
          </cell>
          <cell r="N33">
            <v>0.10345107129398903</v>
          </cell>
          <cell r="O33">
            <v>0.10147794452023658</v>
          </cell>
          <cell r="P33">
            <v>9.8568792312574191E-2</v>
          </cell>
          <cell r="Q33">
            <v>9.8340373563891567E-2</v>
          </cell>
          <cell r="R33">
            <v>9.7605021631360978E-2</v>
          </cell>
          <cell r="S33">
            <v>9.7026311675999385E-2</v>
          </cell>
          <cell r="T33">
            <v>9.6821002046181007E-2</v>
          </cell>
        </row>
        <row r="34">
          <cell r="B34" t="str">
            <v>Calculated</v>
          </cell>
          <cell r="D34" t="str">
            <v>Cashflow ($m)</v>
          </cell>
          <cell r="E34" t="str">
            <v>FY09A</v>
          </cell>
          <cell r="F34" t="str">
            <v>FY10A</v>
          </cell>
          <cell r="G34" t="str">
            <v>FY11E</v>
          </cell>
          <cell r="H34" t="str">
            <v>FY12E</v>
          </cell>
          <cell r="I34" t="str">
            <v>FY13E</v>
          </cell>
          <cell r="J34" t="str">
            <v>FY14E</v>
          </cell>
          <cell r="K34" t="str">
            <v>FY15E</v>
          </cell>
          <cell r="M34" t="str">
            <v>EBIT margin</v>
          </cell>
          <cell r="N34">
            <v>9.0029496107422363E-2</v>
          </cell>
          <cell r="O34">
            <v>8.8314437597026965E-2</v>
          </cell>
          <cell r="P34">
            <v>8.4882823783315797E-2</v>
          </cell>
          <cell r="Q34">
            <v>8.502087343720563E-2</v>
          </cell>
          <cell r="R34">
            <v>8.4883098729939377E-2</v>
          </cell>
          <cell r="S34">
            <v>8.4840121888931808E-2</v>
          </cell>
          <cell r="T34">
            <v>8.4958056557256217E-2</v>
          </cell>
        </row>
        <row r="35">
          <cell r="A35">
            <v>651</v>
          </cell>
          <cell r="B35" t="str">
            <v>Calculated</v>
          </cell>
          <cell r="D35" t="str">
            <v>EBITDA</v>
          </cell>
          <cell r="E35">
            <v>116.12599999999986</v>
          </cell>
          <cell r="F35">
            <v>129.42700000000013</v>
          </cell>
          <cell r="G35">
            <v>140.41911384394461</v>
          </cell>
          <cell r="H35">
            <v>163.21741943796519</v>
          </cell>
          <cell r="I35">
            <v>186.57841626161644</v>
          </cell>
          <cell r="J35">
            <v>208.6587172931952</v>
          </cell>
          <cell r="K35">
            <v>227.14870273465976</v>
          </cell>
          <cell r="M35" t="str">
            <v xml:space="preserve">Effective tax rate </v>
          </cell>
          <cell r="N35">
            <v>0.28716550326935486</v>
          </cell>
          <cell r="O35">
            <v>0.27730399138499984</v>
          </cell>
          <cell r="P35">
            <v>0.2907305151772055</v>
          </cell>
          <cell r="Q35">
            <v>0.28700268952555114</v>
          </cell>
          <cell r="R35">
            <v>0.28862650906390713</v>
          </cell>
          <cell r="S35">
            <v>0.28783296567666605</v>
          </cell>
          <cell r="T35">
            <v>0.28815499980196757</v>
          </cell>
        </row>
        <row r="36">
          <cell r="A36">
            <v>658</v>
          </cell>
          <cell r="B36">
            <v>221</v>
          </cell>
          <cell r="D36" t="str">
            <v>Tax paid</v>
          </cell>
          <cell r="E36">
            <v>-37.262</v>
          </cell>
          <cell r="F36">
            <v>-32.768000000000001</v>
          </cell>
          <cell r="G36">
            <v>-35.046253535814948</v>
          </cell>
          <cell r="H36">
            <v>-40.165884338434878</v>
          </cell>
          <cell r="I36">
            <v>-46.47870234436359</v>
          </cell>
          <cell r="J36">
            <v>-52.576908064191755</v>
          </cell>
          <cell r="K36">
            <v>-57.88608484692314</v>
          </cell>
          <cell r="M36" t="str">
            <v>Weighted Avge Dil Shares (m)</v>
          </cell>
          <cell r="N36">
            <v>86.000151000000002</v>
          </cell>
          <cell r="O36">
            <v>87.172212000000002</v>
          </cell>
          <cell r="P36">
            <v>87.315538028955316</v>
          </cell>
          <cell r="Q36">
            <v>87.401820899881614</v>
          </cell>
          <cell r="R36">
            <v>89.527742443657431</v>
          </cell>
          <cell r="S36">
            <v>91.051700000000011</v>
          </cell>
          <cell r="T36">
            <v>91.051699999999997</v>
          </cell>
        </row>
        <row r="37">
          <cell r="A37">
            <v>652</v>
          </cell>
          <cell r="B37" t="str">
            <v>Calculated</v>
          </cell>
          <cell r="D37" t="str">
            <v>Change in working Capital</v>
          </cell>
          <cell r="E37">
            <v>15.35499999999999</v>
          </cell>
          <cell r="F37">
            <v>-21.342000000000013</v>
          </cell>
          <cell r="G37">
            <v>6.4410194426567671</v>
          </cell>
          <cell r="H37">
            <v>12.155307733502212</v>
          </cell>
          <cell r="I37">
            <v>-16.538902774709101</v>
          </cell>
          <cell r="J37">
            <v>-16.749211466457069</v>
          </cell>
          <cell r="K37">
            <v>-13.667398598906942</v>
          </cell>
          <cell r="M37" t="str">
            <v>Reported EPS</v>
          </cell>
          <cell r="N37">
            <v>86.326592612610483</v>
          </cell>
          <cell r="O37">
            <v>95.462760541168933</v>
          </cell>
          <cell r="P37">
            <v>100.1429695876253</v>
          </cell>
          <cell r="Q37">
            <v>117.67427443878172</v>
          </cell>
          <cell r="R37">
            <v>132.38605753417522</v>
          </cell>
          <cell r="S37">
            <v>146.86014885553871</v>
          </cell>
          <cell r="T37">
            <v>160.36820605362607</v>
          </cell>
          <cell r="V37">
            <v>0.11515718449857726</v>
          </cell>
          <cell r="W37">
            <v>0.10932003433569815</v>
          </cell>
        </row>
        <row r="38">
          <cell r="A38" t="str">
            <v>Calculated</v>
          </cell>
          <cell r="B38" t="str">
            <v>Composite</v>
          </cell>
          <cell r="D38" t="str">
            <v>Other</v>
          </cell>
          <cell r="E38">
            <v>16.538999999999959</v>
          </cell>
          <cell r="F38">
            <v>18.215999999999809</v>
          </cell>
          <cell r="G38">
            <v>6.0124539137384971</v>
          </cell>
          <cell r="H38">
            <v>9.8465141068241167</v>
          </cell>
          <cell r="I38">
            <v>10.72158116579692</v>
          </cell>
          <cell r="J38">
            <v>11.955914105186253</v>
          </cell>
          <cell r="K38">
            <v>11.372017104652116</v>
          </cell>
          <cell r="M38" t="str">
            <v>…change (%)</v>
          </cell>
          <cell r="N38">
            <v>0.11732847042347183</v>
          </cell>
          <cell r="O38">
            <v>0.10583260212246405</v>
          </cell>
          <cell r="P38">
            <v>4.9026542076980886E-2</v>
          </cell>
          <cell r="Q38">
            <v>0.17506276200264356</v>
          </cell>
          <cell r="R38">
            <v>0.12502123480733324</v>
          </cell>
          <cell r="S38">
            <v>0.1093324447525528</v>
          </cell>
          <cell r="T38">
            <v>9.1979051521830946E-2</v>
          </cell>
        </row>
        <row r="39">
          <cell r="A39" t="str">
            <v>Calculated</v>
          </cell>
          <cell r="B39" t="str">
            <v>Calculated</v>
          </cell>
          <cell r="D39" t="str">
            <v>Gross Cashflow</v>
          </cell>
          <cell r="E39">
            <v>110.75799999999981</v>
          </cell>
          <cell r="F39">
            <v>93.53299999999993</v>
          </cell>
          <cell r="G39">
            <v>117.82633366452494</v>
          </cell>
          <cell r="H39">
            <v>145.05335693985663</v>
          </cell>
          <cell r="I39">
            <v>134.28239230834066</v>
          </cell>
          <cell r="J39">
            <v>151.28851186773264</v>
          </cell>
          <cell r="K39">
            <v>166.96723639348178</v>
          </cell>
          <cell r="M39" t="str">
            <v>Reported PE (x)</v>
          </cell>
          <cell r="N39">
            <v>22.206367029943067</v>
          </cell>
          <cell r="O39">
            <v>20.081128904430557</v>
          </cell>
          <cell r="P39">
            <v>19.142631858171743</v>
          </cell>
          <cell r="Q39">
            <v>16.290731420632561</v>
          </cell>
          <cell r="R39">
            <v>14.480376828995984</v>
          </cell>
          <cell r="S39">
            <v>13.053234760681656</v>
          </cell>
          <cell r="T39">
            <v>11.953741001249139</v>
          </cell>
        </row>
        <row r="40">
          <cell r="A40">
            <v>657</v>
          </cell>
          <cell r="B40" t="str">
            <v>Calculated</v>
          </cell>
          <cell r="D40" t="str">
            <v>Interest paid</v>
          </cell>
          <cell r="E40">
            <v>3.048</v>
          </cell>
          <cell r="F40">
            <v>2.4339999999999997</v>
          </cell>
          <cell r="G40">
            <v>2.3599399307474536</v>
          </cell>
          <cell r="H40">
            <v>3.1386466132663826</v>
          </cell>
          <cell r="I40">
            <v>4.35081341368564</v>
          </cell>
          <cell r="J40">
            <v>5.3112010528480287</v>
          </cell>
          <cell r="K40">
            <v>5.8086647515715626</v>
          </cell>
          <cell r="M40" t="str">
            <v xml:space="preserve">Normalised EPS (¢) </v>
          </cell>
          <cell r="N40">
            <v>86.326592612610483</v>
          </cell>
          <cell r="O40">
            <v>95.462760541168933</v>
          </cell>
          <cell r="P40">
            <v>100.1429695876253</v>
          </cell>
          <cell r="Q40">
            <v>117.67427443878172</v>
          </cell>
          <cell r="R40">
            <v>132.38605753417522</v>
          </cell>
          <cell r="S40">
            <v>146.86014885553871</v>
          </cell>
          <cell r="T40">
            <v>160.36820605362607</v>
          </cell>
          <cell r="V40">
            <v>0.11515718449857726</v>
          </cell>
          <cell r="W40">
            <v>0.10932003433569815</v>
          </cell>
        </row>
        <row r="41">
          <cell r="A41">
            <v>659</v>
          </cell>
          <cell r="B41" t="str">
            <v>Composite</v>
          </cell>
          <cell r="D41" t="str">
            <v>Operating Cashflow</v>
          </cell>
          <cell r="E41">
            <v>113.80599999999981</v>
          </cell>
          <cell r="F41">
            <v>95.966999999999928</v>
          </cell>
          <cell r="G41">
            <v>120.1862735952724</v>
          </cell>
          <cell r="H41">
            <v>148.19200355312302</v>
          </cell>
          <cell r="I41">
            <v>138.6332057220263</v>
          </cell>
          <cell r="J41">
            <v>156.59971292058066</v>
          </cell>
          <cell r="K41">
            <v>172.77590114505335</v>
          </cell>
          <cell r="M41" t="str">
            <v>…change (%)</v>
          </cell>
          <cell r="N41">
            <v>0.11732847042347183</v>
          </cell>
          <cell r="O41">
            <v>0.10583260212246405</v>
          </cell>
          <cell r="P41">
            <v>4.9026542076980886E-2</v>
          </cell>
          <cell r="Q41">
            <v>0.17506276200264356</v>
          </cell>
          <cell r="R41">
            <v>0.12502123480733324</v>
          </cell>
          <cell r="S41">
            <v>0.1093324447525528</v>
          </cell>
          <cell r="T41">
            <v>9.1979051521830946E-2</v>
          </cell>
        </row>
        <row r="42">
          <cell r="A42">
            <v>429</v>
          </cell>
          <cell r="B42" t="str">
            <v>Calculated</v>
          </cell>
          <cell r="D42" t="str">
            <v>Capital Expenditure</v>
          </cell>
          <cell r="E42">
            <v>-10.324</v>
          </cell>
          <cell r="F42">
            <v>-17.081</v>
          </cell>
          <cell r="G42">
            <v>-13.033533333333335</v>
          </cell>
          <cell r="H42">
            <v>-13.424539333333335</v>
          </cell>
          <cell r="I42">
            <v>-13.827275513333335</v>
          </cell>
          <cell r="J42">
            <v>-14.242093778733336</v>
          </cell>
          <cell r="K42">
            <v>-14.669356592095337</v>
          </cell>
          <cell r="M42" t="str">
            <v>Normalised PE (x)</v>
          </cell>
          <cell r="N42">
            <v>22.206367029943067</v>
          </cell>
          <cell r="O42">
            <v>20.081128904430557</v>
          </cell>
          <cell r="P42">
            <v>19.142631858171743</v>
          </cell>
          <cell r="Q42">
            <v>16.290731420632561</v>
          </cell>
          <cell r="R42">
            <v>14.480376828995984</v>
          </cell>
          <cell r="S42">
            <v>13.053234760681656</v>
          </cell>
          <cell r="T42">
            <v>11.953741001249139</v>
          </cell>
        </row>
        <row r="43">
          <cell r="A43" t="str">
            <v>Calculated</v>
          </cell>
          <cell r="B43" t="str">
            <v>mscalc:dilutedEarningsPerShareBeforeOperatingLeaseAdjustments</v>
          </cell>
          <cell r="D43" t="str">
            <v>Free Cash Flow</v>
          </cell>
          <cell r="E43">
            <v>103.48199999999981</v>
          </cell>
          <cell r="F43">
            <v>78.885999999999925</v>
          </cell>
          <cell r="G43">
            <v>107.15274026193906</v>
          </cell>
          <cell r="H43">
            <v>134.76746421978967</v>
          </cell>
          <cell r="I43">
            <v>124.80593020869297</v>
          </cell>
          <cell r="J43">
            <v>142.35761914184732</v>
          </cell>
          <cell r="K43">
            <v>158.10654455295801</v>
          </cell>
          <cell r="M43" t="str">
            <v>ModelWare EPS</v>
          </cell>
          <cell r="N43">
            <v>86.326592612610597</v>
          </cell>
          <cell r="O43">
            <v>95.462760541168805</v>
          </cell>
          <cell r="P43">
            <v>100.14296958762401</v>
          </cell>
          <cell r="Q43">
            <v>117.674274438777</v>
          </cell>
          <cell r="R43">
            <v>132.38605753417301</v>
          </cell>
          <cell r="S43">
            <v>146.860148855532</v>
          </cell>
          <cell r="T43">
            <v>160.368206053629</v>
          </cell>
        </row>
        <row r="44">
          <cell r="A44" t="str">
            <v>Composite</v>
          </cell>
          <cell r="D44" t="str">
            <v>Acquisitions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M44" t="str">
            <v>% chg</v>
          </cell>
          <cell r="N44">
            <v>0.11732847042347183</v>
          </cell>
          <cell r="O44">
            <v>0.10583260212246115</v>
          </cell>
          <cell r="P44">
            <v>4.902654207696866E-2</v>
          </cell>
          <cell r="Q44">
            <v>0.17506276200261173</v>
          </cell>
          <cell r="R44">
            <v>0.12502123480735938</v>
          </cell>
          <cell r="S44">
            <v>0.1093324447525208</v>
          </cell>
          <cell r="T44">
            <v>9.1979051521900779E-2</v>
          </cell>
        </row>
        <row r="45">
          <cell r="A45" t="str">
            <v>Composite</v>
          </cell>
          <cell r="B45">
            <v>243</v>
          </cell>
          <cell r="D45" t="str">
            <v>Asset sales</v>
          </cell>
          <cell r="E45">
            <v>2.0059999999999998</v>
          </cell>
          <cell r="F45">
            <v>1.726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M45" t="str">
            <v xml:space="preserve">DPS (¢) </v>
          </cell>
          <cell r="N45">
            <v>74</v>
          </cell>
          <cell r="O45">
            <v>83</v>
          </cell>
          <cell r="P45">
            <v>89</v>
          </cell>
          <cell r="Q45">
            <v>105</v>
          </cell>
          <cell r="R45">
            <v>118</v>
          </cell>
          <cell r="S45">
            <v>129</v>
          </cell>
          <cell r="T45">
            <v>141</v>
          </cell>
        </row>
        <row r="46">
          <cell r="A46">
            <v>382</v>
          </cell>
          <cell r="B46" t="str">
            <v>Calculated</v>
          </cell>
          <cell r="D46" t="str">
            <v>Equity Issues</v>
          </cell>
          <cell r="E46">
            <v>4.4909999999999997</v>
          </cell>
          <cell r="F46">
            <v>1.1419999999999999</v>
          </cell>
          <cell r="G46">
            <v>1.4269499999999999</v>
          </cell>
          <cell r="H46">
            <v>0</v>
          </cell>
          <cell r="I46">
            <v>42.575000000000003</v>
          </cell>
          <cell r="J46">
            <v>7.3319999999999999</v>
          </cell>
          <cell r="K46">
            <v>0</v>
          </cell>
          <cell r="M46" t="str">
            <v xml:space="preserve">…Payout </v>
          </cell>
          <cell r="N46">
            <v>0.85720978623671718</v>
          </cell>
          <cell r="O46">
            <v>0.86944898229928846</v>
          </cell>
          <cell r="P46">
            <v>0.88872938725992956</v>
          </cell>
          <cell r="Q46">
            <v>0.89229358328973318</v>
          </cell>
          <cell r="R46">
            <v>0.89133253303157334</v>
          </cell>
          <cell r="S46">
            <v>0.87838668968593292</v>
          </cell>
          <cell r="T46">
            <v>0.87922664641425574</v>
          </cell>
        </row>
        <row r="47">
          <cell r="A47">
            <v>385</v>
          </cell>
          <cell r="B47" t="str">
            <v>Calculated</v>
          </cell>
          <cell r="D47" t="str">
            <v>Dividends</v>
          </cell>
          <cell r="E47">
            <v>-62.003999999999998</v>
          </cell>
          <cell r="F47">
            <v>-67.875</v>
          </cell>
          <cell r="G47">
            <v>-73.18947</v>
          </cell>
          <cell r="H47">
            <v>-82.746431999999999</v>
          </cell>
          <cell r="I47">
            <v>-100.401387</v>
          </cell>
          <cell r="J47">
            <v>-110.67507400000001</v>
          </cell>
          <cell r="K47">
            <v>-122.00927799999999</v>
          </cell>
          <cell r="M47" t="str">
            <v>Dividend Yield</v>
          </cell>
          <cell r="N47">
            <v>3.8601982263954088E-2</v>
          </cell>
          <cell r="O47">
            <v>4.329681794470526E-2</v>
          </cell>
          <cell r="P47">
            <v>4.6426708398539379E-2</v>
          </cell>
          <cell r="Q47">
            <v>5.4773082942097026E-2</v>
          </cell>
          <cell r="R47">
            <v>6.15545122587376E-2</v>
          </cell>
          <cell r="S47">
            <v>6.729264475743349E-2</v>
          </cell>
          <cell r="T47">
            <v>7.3552425665101714E-2</v>
          </cell>
        </row>
        <row r="48">
          <cell r="A48" t="str">
            <v>Calculated</v>
          </cell>
          <cell r="B48" t="str">
            <v>Calculated</v>
          </cell>
          <cell r="D48" t="str">
            <v>Other</v>
          </cell>
          <cell r="E48">
            <v>-22.212999999999802</v>
          </cell>
          <cell r="F48">
            <v>-24.614999999999924</v>
          </cell>
          <cell r="G48">
            <v>-8.2346101383377999</v>
          </cell>
          <cell r="H48">
            <v>-6.7376658487322345</v>
          </cell>
          <cell r="I48">
            <v>-5.469774861348327</v>
          </cell>
          <cell r="J48">
            <v>-6.2429831088698649</v>
          </cell>
          <cell r="K48">
            <v>-7.1548982732472552</v>
          </cell>
          <cell r="M48" t="str">
            <v xml:space="preserve">OpCF/share (¢) </v>
          </cell>
          <cell r="N48">
            <v>132.33232578859057</v>
          </cell>
          <cell r="O48">
            <v>110.08898110787865</v>
          </cell>
          <cell r="P48">
            <v>137.64591767780962</v>
          </cell>
          <cell r="Q48">
            <v>169.55253566499064</v>
          </cell>
          <cell r="R48">
            <v>154.84943765813424</v>
          </cell>
          <cell r="S48">
            <v>171.98988368210658</v>
          </cell>
          <cell r="T48">
            <v>189.75582130268117</v>
          </cell>
        </row>
        <row r="49">
          <cell r="A49">
            <v>411</v>
          </cell>
          <cell r="B49" t="str">
            <v>Calculated</v>
          </cell>
          <cell r="D49" t="str">
            <v xml:space="preserve">Change in Net Debt </v>
          </cell>
          <cell r="E49">
            <v>-25.762000000000015</v>
          </cell>
          <cell r="F49">
            <v>10.736000000000004</v>
          </cell>
          <cell r="G49">
            <v>-27.155610123601264</v>
          </cell>
          <cell r="H49">
            <v>-45.28336637105744</v>
          </cell>
          <cell r="I49">
            <v>-61.509768347344647</v>
          </cell>
          <cell r="J49">
            <v>-32.771562032977442</v>
          </cell>
          <cell r="K49">
            <v>-28.942368279710763</v>
          </cell>
          <cell r="M49" t="str">
            <v>P/CFS</v>
          </cell>
          <cell r="N49">
            <v>14.486256389557692</v>
          </cell>
          <cell r="O49">
            <v>17.413186866735455</v>
          </cell>
          <cell r="P49">
            <v>13.927038537293624</v>
          </cell>
          <cell r="Q49">
            <v>11.306230204587994</v>
          </cell>
          <cell r="R49">
            <v>12.37976726936664</v>
          </cell>
          <cell r="S49">
            <v>11.146004398393814</v>
          </cell>
          <cell r="T49">
            <v>10.102456867144944</v>
          </cell>
        </row>
        <row r="50">
          <cell r="B50" t="str">
            <v>Calculated</v>
          </cell>
          <cell r="M50" t="str">
            <v>FCF Yield</v>
          </cell>
          <cell r="N50">
            <v>6.2768751019142852E-2</v>
          </cell>
          <cell r="O50">
            <v>4.7206277603914611E-2</v>
          </cell>
          <cell r="P50">
            <v>6.4016162227772302E-2</v>
          </cell>
          <cell r="Q50">
            <v>8.0434517916991091E-2</v>
          </cell>
          <cell r="R50">
            <v>7.2720268764346022E-2</v>
          </cell>
          <cell r="S50">
            <v>8.1558746877254104E-2</v>
          </cell>
          <cell r="T50">
            <v>9.0581534901783195E-2</v>
          </cell>
        </row>
        <row r="51">
          <cell r="B51">
            <v>410</v>
          </cell>
          <cell r="M51" t="str">
            <v>Net Debt ($m)</v>
          </cell>
          <cell r="N51">
            <v>-127.32700000000001</v>
          </cell>
          <cell r="O51">
            <v>-116.59100000000001</v>
          </cell>
          <cell r="P51">
            <v>-143.74661012360127</v>
          </cell>
          <cell r="Q51">
            <v>-189.02997649465871</v>
          </cell>
          <cell r="R51">
            <v>-250.53974484200336</v>
          </cell>
          <cell r="S51">
            <v>-283.3113068749808</v>
          </cell>
          <cell r="T51">
            <v>-312.25367515469156</v>
          </cell>
        </row>
        <row r="52">
          <cell r="B52" t="str">
            <v>Calculated</v>
          </cell>
          <cell r="M52" t="str">
            <v>Gearing (ND/ND+equity) (%)</v>
          </cell>
          <cell r="N52">
            <v>26.738135237295175</v>
          </cell>
          <cell r="O52">
            <v>-4.2098212673767845</v>
          </cell>
          <cell r="P52">
            <v>-4.9554244289814173</v>
          </cell>
          <cell r="Q52">
            <v>-10.008753009125426</v>
          </cell>
          <cell r="R52">
            <v>-7.1153233850595399</v>
          </cell>
          <cell r="S52">
            <v>-5.6807399208869889</v>
          </cell>
          <cell r="T52">
            <v>-5.0112181547416412</v>
          </cell>
        </row>
        <row r="53">
          <cell r="B53" t="str">
            <v>Calculated</v>
          </cell>
          <cell r="M53" t="str">
            <v>ROE (%)</v>
          </cell>
          <cell r="N53">
            <v>0.66173757253255483</v>
          </cell>
          <cell r="O53">
            <v>0.62369636988431854</v>
          </cell>
          <cell r="P53">
            <v>0.55160373100498727</v>
          </cell>
          <cell r="Q53">
            <v>0.54035880285801097</v>
          </cell>
          <cell r="R53">
            <v>0.48017036967567833</v>
          </cell>
          <cell r="S53">
            <v>0.43209302591682391</v>
          </cell>
          <cell r="T53">
            <v>0.41262693232085379</v>
          </cell>
        </row>
        <row r="54">
          <cell r="B54" t="str">
            <v>Calculated</v>
          </cell>
          <cell r="M54" t="str">
            <v>ROIC (%)</v>
          </cell>
          <cell r="N54">
            <v>0.52550263513122342</v>
          </cell>
          <cell r="O54">
            <v>0.50193015796261242</v>
          </cell>
          <cell r="P54">
            <v>0.44943297240096136</v>
          </cell>
          <cell r="Q54">
            <v>0.45306057804876354</v>
          </cell>
          <cell r="R54">
            <v>0.41521732734964423</v>
          </cell>
          <cell r="S54">
            <v>0.38211044939908917</v>
          </cell>
          <cell r="T54">
            <v>0.36960412661230535</v>
          </cell>
          <cell r="V54">
            <v>-8.6712830612968195E-2</v>
          </cell>
          <cell r="W54">
            <v>-0.20883721584178849</v>
          </cell>
        </row>
        <row r="55">
          <cell r="V55">
            <v>0.29528480876552721</v>
          </cell>
        </row>
        <row r="56">
          <cell r="M56" t="str">
            <v>For Profit Decomposition</v>
          </cell>
        </row>
        <row r="57">
          <cell r="B57">
            <v>24</v>
          </cell>
          <cell r="M57" t="str">
            <v>Total Revenue</v>
          </cell>
          <cell r="N57">
            <v>1124.569</v>
          </cell>
          <cell r="O57">
            <v>1276.5530000000001</v>
          </cell>
          <cell r="P57">
            <v>1426.496167878305</v>
          </cell>
          <cell r="Q57">
            <v>1661.4184463434826</v>
          </cell>
          <cell r="R57">
            <v>1913.1485636171067</v>
          </cell>
          <cell r="S57">
            <v>2152.2702071944423</v>
          </cell>
          <cell r="T57">
            <v>2347.7400565276512</v>
          </cell>
        </row>
        <row r="58">
          <cell r="B58">
            <v>62</v>
          </cell>
          <cell r="M58" t="str">
            <v>Total Costs</v>
          </cell>
          <cell r="N58">
            <v>-993.00400000000013</v>
          </cell>
          <cell r="O58">
            <v>-1147.126</v>
          </cell>
          <cell r="P58">
            <v>-1286.0770540343603</v>
          </cell>
          <cell r="Q58">
            <v>-1498.2010269055174</v>
          </cell>
          <cell r="R58">
            <v>-1726.5701473554902</v>
          </cell>
          <cell r="S58">
            <v>-1943.6114899012471</v>
          </cell>
          <cell r="T58">
            <v>-2120.5913537929914</v>
          </cell>
        </row>
        <row r="59">
          <cell r="B59">
            <v>11</v>
          </cell>
          <cell r="M59" t="str">
            <v>Cost of Sales</v>
          </cell>
          <cell r="N59">
            <v>-987.32</v>
          </cell>
          <cell r="O59">
            <v>-1126.481</v>
          </cell>
          <cell r="P59">
            <v>-1259.7183609095862</v>
          </cell>
          <cell r="Q59">
            <v>-1468.7430361359695</v>
          </cell>
          <cell r="R59">
            <v>-1691.9730904065275</v>
          </cell>
          <cell r="S59">
            <v>-1903.5788140900838</v>
          </cell>
          <cell r="T59">
            <v>-2077.0364871096576</v>
          </cell>
        </row>
        <row r="62">
          <cell r="M62" t="str">
            <v>Pre-abnormal EPS</v>
          </cell>
          <cell r="N62">
            <v>86.326592612610483</v>
          </cell>
          <cell r="O62">
            <v>95.462760541168933</v>
          </cell>
          <cell r="P62">
            <v>100.1429695876253</v>
          </cell>
          <cell r="Q62">
            <v>117.67427443878172</v>
          </cell>
          <cell r="R62">
            <v>132.38605753417522</v>
          </cell>
          <cell r="S62">
            <v>146.86014885553871</v>
          </cell>
          <cell r="T62">
            <v>160.36820605362607</v>
          </cell>
        </row>
        <row r="65">
          <cell r="L65">
            <v>12817</v>
          </cell>
          <cell r="M65" t="str">
            <v>Current NPAT (in iQ)</v>
          </cell>
          <cell r="N65" t="e">
            <v>#NAME?</v>
          </cell>
          <cell r="O65" t="e">
            <v>#NAME?</v>
          </cell>
          <cell r="P65" t="e">
            <v>#NAME?</v>
          </cell>
          <cell r="Q65" t="e">
            <v>#NAME?</v>
          </cell>
          <cell r="R65" t="e">
            <v>#NAME?</v>
          </cell>
          <cell r="S65" t="e">
            <v>#NAME?</v>
          </cell>
          <cell r="T65" t="e">
            <v>#NAME?</v>
          </cell>
        </row>
        <row r="66">
          <cell r="M66" t="str">
            <v>New NPAT (in this sheet)</v>
          </cell>
          <cell r="N66">
            <v>74.240999999999858</v>
          </cell>
          <cell r="O66">
            <v>83.217000000000141</v>
          </cell>
          <cell r="P66">
            <v>87.44037269360814</v>
          </cell>
          <cell r="Q66">
            <v>102.84945859021917</v>
          </cell>
          <cell r="R66">
            <v>118.52224862050853</v>
          </cell>
          <cell r="S66">
            <v>133.71866215549855</v>
          </cell>
          <cell r="T66">
            <v>146.01797787132944</v>
          </cell>
          <cell r="V66">
            <v>0.17622392748261273</v>
          </cell>
        </row>
        <row r="67">
          <cell r="L67">
            <v>12817</v>
          </cell>
          <cell r="M67" t="str">
            <v>Current NPAT (in iQ)</v>
          </cell>
          <cell r="N67" t="e">
            <v>#NAME?</v>
          </cell>
          <cell r="O67" t="e">
            <v>#NAME?</v>
          </cell>
          <cell r="P67" t="e">
            <v>#NAME?</v>
          </cell>
          <cell r="Q67" t="e">
            <v>#NAME?</v>
          </cell>
          <cell r="R67" t="e">
            <v>#NAME?</v>
          </cell>
          <cell r="S67" t="e">
            <v>#NAME?</v>
          </cell>
          <cell r="T67" t="e">
            <v>#NAME?</v>
          </cell>
        </row>
        <row r="68">
          <cell r="M68" t="str">
            <v>Change</v>
          </cell>
          <cell r="N68" t="e">
            <v>#NAME?</v>
          </cell>
          <cell r="O68" t="e">
            <v>#NAME?</v>
          </cell>
          <cell r="P68" t="e">
            <v>#NAME?</v>
          </cell>
          <cell r="Q68" t="e">
            <v>#NAME?</v>
          </cell>
          <cell r="R68" t="e">
            <v>#NAME?</v>
          </cell>
          <cell r="S68" t="e">
            <v>#NAME?</v>
          </cell>
          <cell r="T68" t="e">
            <v>#NAME?</v>
          </cell>
        </row>
        <row r="70">
          <cell r="L70">
            <v>12774</v>
          </cell>
          <cell r="M70" t="str">
            <v>Current EPS (in iQ)</v>
          </cell>
          <cell r="N70" t="e">
            <v>#NAME?</v>
          </cell>
          <cell r="O70" t="e">
            <v>#NAME?</v>
          </cell>
          <cell r="P70" t="e">
            <v>#NAME?</v>
          </cell>
          <cell r="Q70" t="e">
            <v>#NAME?</v>
          </cell>
          <cell r="R70" t="e">
            <v>#NAME?</v>
          </cell>
          <cell r="S70" t="e">
            <v>#NAME?</v>
          </cell>
          <cell r="T70" t="e">
            <v>#NAME?</v>
          </cell>
        </row>
        <row r="71">
          <cell r="M71" t="str">
            <v>New EPS (in this sheet)</v>
          </cell>
          <cell r="N71">
            <v>86.326592612610483</v>
          </cell>
          <cell r="O71">
            <v>95.462760541168933</v>
          </cell>
          <cell r="P71">
            <v>100.1429695876253</v>
          </cell>
          <cell r="Q71">
            <v>117.67427443878172</v>
          </cell>
          <cell r="R71">
            <v>132.38605753417522</v>
          </cell>
          <cell r="S71">
            <v>146.86014885553871</v>
          </cell>
          <cell r="T71">
            <v>160.36820605362607</v>
          </cell>
          <cell r="V71">
            <v>4.9026542076980872E-2</v>
          </cell>
          <cell r="W71">
            <v>0.17506276200264348</v>
          </cell>
          <cell r="X71">
            <v>0.12502123480733318</v>
          </cell>
        </row>
        <row r="72">
          <cell r="L72">
            <v>12774</v>
          </cell>
          <cell r="M72" t="str">
            <v>Current EPS (in iQ)</v>
          </cell>
          <cell r="N72" t="e">
            <v>#NAME?</v>
          </cell>
          <cell r="O72" t="e">
            <v>#NAME?</v>
          </cell>
          <cell r="P72" t="e">
            <v>#NAME?</v>
          </cell>
          <cell r="Q72" t="e">
            <v>#NAME?</v>
          </cell>
          <cell r="R72" t="e">
            <v>#NAME?</v>
          </cell>
          <cell r="S72" t="e">
            <v>#NAME?</v>
          </cell>
          <cell r="T72" t="e">
            <v>#NAME?</v>
          </cell>
        </row>
        <row r="73">
          <cell r="M73" t="str">
            <v>Change</v>
          </cell>
          <cell r="N73" t="e">
            <v>#NAME?</v>
          </cell>
          <cell r="O73" t="e">
            <v>#NAME?</v>
          </cell>
          <cell r="P73" t="e">
            <v>#NAME?</v>
          </cell>
          <cell r="Q73" t="e">
            <v>#NAME?</v>
          </cell>
          <cell r="R73" t="e">
            <v>#NAME?</v>
          </cell>
          <cell r="S73" t="e">
            <v>#NAME?</v>
          </cell>
          <cell r="T73" t="e">
            <v>#NAME?</v>
          </cell>
        </row>
        <row r="75">
          <cell r="L75">
            <v>12571</v>
          </cell>
          <cell r="M75" t="str">
            <v>Current DPS (in iQ)</v>
          </cell>
          <cell r="N75" t="e">
            <v>#NAME?</v>
          </cell>
          <cell r="O75" t="e">
            <v>#NAME?</v>
          </cell>
          <cell r="P75" t="e">
            <v>#NAME?</v>
          </cell>
          <cell r="Q75" t="e">
            <v>#NAME?</v>
          </cell>
          <cell r="R75" t="e">
            <v>#NAME?</v>
          </cell>
          <cell r="S75" t="e">
            <v>#NAME?</v>
          </cell>
          <cell r="T75" t="e">
            <v>#NAME?</v>
          </cell>
        </row>
        <row r="76">
          <cell r="M76" t="str">
            <v>New DPS (in this sheet)</v>
          </cell>
          <cell r="N76">
            <v>74</v>
          </cell>
          <cell r="O76">
            <v>83</v>
          </cell>
          <cell r="P76">
            <v>89</v>
          </cell>
          <cell r="Q76">
            <v>105</v>
          </cell>
          <cell r="R76">
            <v>118</v>
          </cell>
          <cell r="S76">
            <v>129</v>
          </cell>
          <cell r="T76">
            <v>141</v>
          </cell>
        </row>
        <row r="77">
          <cell r="L77">
            <v>12571</v>
          </cell>
          <cell r="M77" t="str">
            <v>Current DPS (in iQ)</v>
          </cell>
          <cell r="N77" t="e">
            <v>#NAME?</v>
          </cell>
          <cell r="O77" t="e">
            <v>#NAME?</v>
          </cell>
          <cell r="P77" t="e">
            <v>#NAME?</v>
          </cell>
          <cell r="Q77" t="e">
            <v>#NAME?</v>
          </cell>
          <cell r="R77" t="e">
            <v>#NAME?</v>
          </cell>
          <cell r="S77" t="e">
            <v>#NAME?</v>
          </cell>
          <cell r="T77" t="e">
            <v>#NAME?</v>
          </cell>
        </row>
        <row r="78">
          <cell r="M78" t="str">
            <v>Change</v>
          </cell>
          <cell r="N78" t="e">
            <v>#NAME?</v>
          </cell>
          <cell r="O78" t="e">
            <v>#NAME?</v>
          </cell>
          <cell r="P78" t="e">
            <v>#NAME?</v>
          </cell>
          <cell r="Q78" t="e">
            <v>#NAME?</v>
          </cell>
          <cell r="R78" t="e">
            <v>#NAME?</v>
          </cell>
          <cell r="S78" t="e">
            <v>#NAME?</v>
          </cell>
          <cell r="T78" t="e">
            <v>#NAME?</v>
          </cell>
        </row>
        <row r="81">
          <cell r="M81" t="str">
            <v>Table 4: Monadelphous – Balance Sheet Analysis ($m)</v>
          </cell>
        </row>
        <row r="82">
          <cell r="M82" t="str">
            <v>Table 5: Monadelphous – Earnings Outlook ($m)</v>
          </cell>
        </row>
        <row r="83">
          <cell r="M83" t="str">
            <v>Table 6: Monadelphous – Cash Flow Analysis ($m)</v>
          </cell>
        </row>
        <row r="84">
          <cell r="M84" t="str">
            <v>Table 7: Monadelphous – Ratio Analysis</v>
          </cell>
        </row>
        <row r="86">
          <cell r="M86" t="str">
            <v>Table 2: Monadelphous – Earnings Outlook ($m)</v>
          </cell>
        </row>
        <row r="87">
          <cell r="N87" t="str">
            <v>FY09A</v>
          </cell>
          <cell r="O87" t="str">
            <v>FY10A</v>
          </cell>
          <cell r="P87" t="str">
            <v>FY11E</v>
          </cell>
          <cell r="Q87" t="str">
            <v>FY12E</v>
          </cell>
          <cell r="R87" t="str">
            <v>FY13E</v>
          </cell>
          <cell r="S87" t="str">
            <v>FY14E</v>
          </cell>
          <cell r="T87" t="str">
            <v>FY15E</v>
          </cell>
        </row>
        <row r="88">
          <cell r="M88" t="str">
            <v>Sales Revenue</v>
          </cell>
          <cell r="N88">
            <v>1122.521</v>
          </cell>
          <cell r="O88">
            <v>1275.42</v>
          </cell>
          <cell r="P88">
            <v>1424.5798345449716</v>
          </cell>
          <cell r="Q88">
            <v>1659.7193352323716</v>
          </cell>
          <cell r="R88">
            <v>1911.5657488022919</v>
          </cell>
          <cell r="S88">
            <v>2150.5374541080223</v>
          </cell>
          <cell r="T88">
            <v>2346.0684968568694</v>
          </cell>
        </row>
        <row r="89">
          <cell r="M89" t="str">
            <v>% chg</v>
          </cell>
          <cell r="N89">
            <v>0.17665785106987375</v>
          </cell>
          <cell r="O89">
            <v>0.13621036933830211</v>
          </cell>
          <cell r="P89">
            <v>0.11694958095762309</v>
          </cell>
          <cell r="Q89">
            <v>0.16505884400820992</v>
          </cell>
          <cell r="R89">
            <v>0.15174036249608447</v>
          </cell>
          <cell r="S89">
            <v>0.12501359446069804</v>
          </cell>
          <cell r="T89">
            <v>9.0921942501088537E-2</v>
          </cell>
        </row>
        <row r="90">
          <cell r="M90" t="str">
            <v>EBITDA</v>
          </cell>
          <cell r="N90">
            <v>116.12599999999986</v>
          </cell>
          <cell r="O90">
            <v>129.42700000000013</v>
          </cell>
          <cell r="P90">
            <v>140.41911384394461</v>
          </cell>
          <cell r="Q90">
            <v>163.21741943796519</v>
          </cell>
          <cell r="R90">
            <v>186.57841626161644</v>
          </cell>
          <cell r="S90">
            <v>208.6587172931952</v>
          </cell>
          <cell r="T90">
            <v>227.14870273465976</v>
          </cell>
        </row>
        <row r="91">
          <cell r="M91" t="str">
            <v>Depreciation</v>
          </cell>
          <cell r="N91">
            <v>-15.066000000000001</v>
          </cell>
          <cell r="O91">
            <v>-16.789000000000001</v>
          </cell>
          <cell r="P91">
            <v>-19.496754782998611</v>
          </cell>
          <cell r="Q91">
            <v>-22.106631895890672</v>
          </cell>
          <cell r="R91">
            <v>-24.318792077261008</v>
          </cell>
          <cell r="S91">
            <v>-26.206857559957495</v>
          </cell>
          <cell r="T91">
            <v>-27.831282691496753</v>
          </cell>
        </row>
        <row r="92">
          <cell r="M92" t="str">
            <v>EBIT</v>
          </cell>
          <cell r="N92">
            <v>101.05999999999986</v>
          </cell>
          <cell r="O92">
            <v>112.63800000000013</v>
          </cell>
          <cell r="P92">
            <v>120.92235906094601</v>
          </cell>
          <cell r="Q92">
            <v>141.11078754207452</v>
          </cell>
          <cell r="R92">
            <v>162.25962418435543</v>
          </cell>
          <cell r="S92">
            <v>182.45185973323771</v>
          </cell>
          <cell r="T92">
            <v>199.317420043163</v>
          </cell>
        </row>
        <row r="93">
          <cell r="M93" t="str">
            <v>% chg</v>
          </cell>
          <cell r="N93">
            <v>0.10084747608984435</v>
          </cell>
          <cell r="O93">
            <v>0.1145656045913348</v>
          </cell>
          <cell r="P93">
            <v>7.3548527681118747E-2</v>
          </cell>
          <cell r="Q93">
            <v>0.16695364395722168</v>
          </cell>
          <cell r="R93">
            <v>0.14987398915887296</v>
          </cell>
          <cell r="S93">
            <v>0.12444399307828014</v>
          </cell>
          <cell r="T93">
            <v>9.2438412711080886E-2</v>
          </cell>
        </row>
        <row r="94">
          <cell r="M94" t="str">
            <v>Net Interest (Expense)/Income</v>
          </cell>
          <cell r="N94">
            <v>3.0890000000000004</v>
          </cell>
          <cell r="O94">
            <v>2.5100000000000002</v>
          </cell>
          <cell r="P94">
            <v>2.3599399307474536</v>
          </cell>
          <cell r="Q94">
            <v>3.1386466132663826</v>
          </cell>
          <cell r="R94">
            <v>4.35081341368564</v>
          </cell>
          <cell r="S94">
            <v>5.3112010528480287</v>
          </cell>
          <cell r="T94">
            <v>5.8086647515715626</v>
          </cell>
        </row>
        <row r="95">
          <cell r="M95" t="str">
            <v>Op. Profit before Tax</v>
          </cell>
          <cell r="N95">
            <v>104.14899999999986</v>
          </cell>
          <cell r="O95">
            <v>115.14800000000014</v>
          </cell>
          <cell r="P95">
            <v>123.28229899169347</v>
          </cell>
          <cell r="Q95">
            <v>144.24943415534091</v>
          </cell>
          <cell r="R95">
            <v>166.61043759804107</v>
          </cell>
          <cell r="S95">
            <v>187.76306078608573</v>
          </cell>
          <cell r="T95">
            <v>205.12608479473457</v>
          </cell>
        </row>
        <row r="96">
          <cell r="M96" t="str">
            <v>Tax Expense</v>
          </cell>
          <cell r="N96">
            <v>-29.908000000000001</v>
          </cell>
          <cell r="O96">
            <v>-31.931000000000001</v>
          </cell>
          <cell r="P96">
            <v>-35.841926298085326</v>
          </cell>
          <cell r="Q96">
            <v>-41.399975565121736</v>
          </cell>
          <cell r="R96">
            <v>-48.088188977532539</v>
          </cell>
          <cell r="S96">
            <v>-54.044398630587175</v>
          </cell>
          <cell r="T96">
            <v>-59.108106923405117</v>
          </cell>
        </row>
        <row r="97">
          <cell r="M97" t="str">
            <v>Op. Profit after tax</v>
          </cell>
          <cell r="N97">
            <v>74.240999999999858</v>
          </cell>
          <cell r="O97">
            <v>83.217000000000141</v>
          </cell>
          <cell r="P97">
            <v>87.44037269360814</v>
          </cell>
          <cell r="Q97">
            <v>102.84945859021917</v>
          </cell>
          <cell r="R97">
            <v>118.52224862050853</v>
          </cell>
          <cell r="S97">
            <v>133.71866215549855</v>
          </cell>
          <cell r="T97">
            <v>146.01797787132944</v>
          </cell>
        </row>
        <row r="98">
          <cell r="M98" t="str">
            <v>Significant items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</row>
        <row r="99">
          <cell r="M99" t="str">
            <v>Reported NPAT</v>
          </cell>
          <cell r="N99">
            <v>74.240999999999858</v>
          </cell>
          <cell r="O99">
            <v>83.217000000000141</v>
          </cell>
          <cell r="P99">
            <v>87.44037269360814</v>
          </cell>
          <cell r="Q99">
            <v>102.84945859021917</v>
          </cell>
          <cell r="R99">
            <v>118.52224862050853</v>
          </cell>
          <cell r="S99">
            <v>133.71866215549855</v>
          </cell>
          <cell r="T99">
            <v>146.01797787132944</v>
          </cell>
        </row>
        <row r="100">
          <cell r="M100" t="str">
            <v>Normalised NPAT</v>
          </cell>
          <cell r="N100">
            <v>74.240999999999858</v>
          </cell>
          <cell r="O100">
            <v>83.217000000000141</v>
          </cell>
          <cell r="P100">
            <v>87.44037269360814</v>
          </cell>
          <cell r="Q100">
            <v>102.84945859021917</v>
          </cell>
          <cell r="R100">
            <v>118.52224862050853</v>
          </cell>
          <cell r="S100">
            <v>133.71866215549855</v>
          </cell>
          <cell r="T100">
            <v>146.01797787132944</v>
          </cell>
        </row>
        <row r="101">
          <cell r="M101" t="str">
            <v>% chg</v>
          </cell>
          <cell r="N101">
            <v>0.12214116886870907</v>
          </cell>
          <cell r="O101">
            <v>0.12090354386390678</v>
          </cell>
          <cell r="P101">
            <v>5.0751321167646024E-2</v>
          </cell>
          <cell r="Q101">
            <v>0.17622392748261273</v>
          </cell>
          <cell r="R101">
            <v>0.15238573197292271</v>
          </cell>
          <cell r="S101">
            <v>0.12821570390253711</v>
          </cell>
          <cell r="T101">
            <v>9.1979051521830835E-2</v>
          </cell>
        </row>
        <row r="102">
          <cell r="M102" t="str">
            <v>Source: Company data, Merrill Lynch estimates</v>
          </cell>
        </row>
        <row r="104">
          <cell r="N104" t="str">
            <v>FY10A</v>
          </cell>
          <cell r="O104" t="str">
            <v>FY11E</v>
          </cell>
          <cell r="P104" t="str">
            <v>FY12E</v>
          </cell>
          <cell r="Q104" t="str">
            <v>FY13E</v>
          </cell>
        </row>
        <row r="105">
          <cell r="M105" t="str">
            <v>Sales Revenue</v>
          </cell>
          <cell r="N105">
            <v>1275.42</v>
          </cell>
          <cell r="O105">
            <v>1424.5798345449716</v>
          </cell>
          <cell r="P105">
            <v>1659.7193352323716</v>
          </cell>
          <cell r="Q105">
            <v>1911.5657488022919</v>
          </cell>
        </row>
        <row r="106">
          <cell r="M106" t="str">
            <v>% chg</v>
          </cell>
          <cell r="N106">
            <v>0.13621036933830211</v>
          </cell>
          <cell r="O106">
            <v>0.11694958095762309</v>
          </cell>
          <cell r="P106">
            <v>0.16505884400820992</v>
          </cell>
          <cell r="Q106">
            <v>0.15174036249608447</v>
          </cell>
        </row>
        <row r="107">
          <cell r="M107" t="str">
            <v>EBIT Margin</v>
          </cell>
          <cell r="N107">
            <v>8.8314437597026965E-2</v>
          </cell>
          <cell r="O107">
            <v>8.4882823783315797E-2</v>
          </cell>
          <cell r="P107">
            <v>8.502087343720563E-2</v>
          </cell>
          <cell r="Q107">
            <v>8.4883098729939377E-2</v>
          </cell>
        </row>
        <row r="108">
          <cell r="M108" t="str">
            <v>EBIT</v>
          </cell>
          <cell r="N108">
            <v>120.92235906094601</v>
          </cell>
          <cell r="O108">
            <v>141.11078754207452</v>
          </cell>
          <cell r="P108">
            <v>162.25962418435543</v>
          </cell>
          <cell r="Q108">
            <v>182.45185973323771</v>
          </cell>
        </row>
        <row r="109">
          <cell r="M109" t="str">
            <v>NPAT</v>
          </cell>
          <cell r="N109">
            <v>83.217000000000141</v>
          </cell>
          <cell r="O109">
            <v>87.44037269360814</v>
          </cell>
          <cell r="P109">
            <v>102.84945859021917</v>
          </cell>
          <cell r="Q109">
            <v>118.52224862050853</v>
          </cell>
        </row>
        <row r="110">
          <cell r="M110" t="str">
            <v>EPS</v>
          </cell>
          <cell r="N110">
            <v>95.462760541168933</v>
          </cell>
          <cell r="O110">
            <v>100.1429695876253</v>
          </cell>
          <cell r="P110">
            <v>117.67427443878172</v>
          </cell>
          <cell r="Q110">
            <v>132.38605753417522</v>
          </cell>
        </row>
        <row r="111">
          <cell r="M111" t="str">
            <v>EPS growth</v>
          </cell>
          <cell r="N111">
            <v>0.10583260212246405</v>
          </cell>
          <cell r="O111">
            <v>4.9026542076980886E-2</v>
          </cell>
          <cell r="P111">
            <v>0.17506276200264356</v>
          </cell>
          <cell r="Q111">
            <v>0.12502123480733324</v>
          </cell>
        </row>
        <row r="112">
          <cell r="M112" t="str">
            <v>P/E</v>
          </cell>
          <cell r="N112">
            <v>20.081128904430557</v>
          </cell>
          <cell r="O112">
            <v>19.142631858171743</v>
          </cell>
          <cell r="P112">
            <v>16.290731420632561</v>
          </cell>
          <cell r="Q112">
            <v>14.480376828995984</v>
          </cell>
        </row>
        <row r="113">
          <cell r="M113" t="str">
            <v>Yield</v>
          </cell>
          <cell r="N113">
            <v>4.329681794470526E-2</v>
          </cell>
          <cell r="O113">
            <v>4.6426708398539379E-2</v>
          </cell>
          <cell r="P113">
            <v>5.4773082942097026E-2</v>
          </cell>
          <cell r="Q113">
            <v>6.15545122587376E-2</v>
          </cell>
        </row>
      </sheetData>
      <sheetData sheetId="17" refreshError="1">
        <row r="2">
          <cell r="D2">
            <v>39629</v>
          </cell>
          <cell r="E2">
            <v>39994</v>
          </cell>
          <cell r="F2">
            <v>40359</v>
          </cell>
          <cell r="G2">
            <v>40724</v>
          </cell>
          <cell r="H2">
            <v>41090</v>
          </cell>
          <cell r="I2">
            <v>41455</v>
          </cell>
          <cell r="J2">
            <v>41820</v>
          </cell>
          <cell r="K2">
            <v>42185</v>
          </cell>
        </row>
        <row r="3">
          <cell r="A3" t="str">
            <v>Named Ranges</v>
          </cell>
          <cell r="D3">
            <v>54</v>
          </cell>
          <cell r="E3">
            <v>57</v>
          </cell>
          <cell r="F3">
            <v>60</v>
          </cell>
          <cell r="G3">
            <v>63</v>
          </cell>
          <cell r="H3">
            <v>66</v>
          </cell>
          <cell r="I3">
            <v>69</v>
          </cell>
          <cell r="J3">
            <v>72</v>
          </cell>
          <cell r="K3">
            <v>75</v>
          </cell>
          <cell r="N3">
            <v>57</v>
          </cell>
          <cell r="O3">
            <v>60</v>
          </cell>
          <cell r="P3">
            <v>63</v>
          </cell>
          <cell r="Q3">
            <v>66</v>
          </cell>
          <cell r="R3">
            <v>69</v>
          </cell>
          <cell r="S3">
            <v>72</v>
          </cell>
          <cell r="T3">
            <v>75</v>
          </cell>
        </row>
        <row r="4">
          <cell r="A4" t="str">
            <v>Rows</v>
          </cell>
          <cell r="D4">
            <v>2008</v>
          </cell>
          <cell r="E4">
            <v>2009</v>
          </cell>
          <cell r="F4">
            <v>2010</v>
          </cell>
          <cell r="G4">
            <v>2011</v>
          </cell>
          <cell r="H4">
            <v>2012</v>
          </cell>
          <cell r="I4">
            <v>2013</v>
          </cell>
          <cell r="J4">
            <v>2014</v>
          </cell>
          <cell r="K4">
            <v>2015</v>
          </cell>
          <cell r="N4">
            <v>2009</v>
          </cell>
          <cell r="O4">
            <v>2010</v>
          </cell>
          <cell r="P4">
            <v>2011</v>
          </cell>
          <cell r="Q4">
            <v>2012</v>
          </cell>
          <cell r="R4">
            <v>2013</v>
          </cell>
          <cell r="S4">
            <v>2014</v>
          </cell>
          <cell r="T4">
            <v>2015</v>
          </cell>
        </row>
        <row r="6">
          <cell r="D6" t="str">
            <v>Monadelphous</v>
          </cell>
        </row>
        <row r="7">
          <cell r="A7" t="str">
            <v>LHS Table</v>
          </cell>
          <cell r="B7" t="str">
            <v>RHS Table</v>
          </cell>
          <cell r="D7" t="str">
            <v>Balance Sheet ($m)</v>
          </cell>
          <cell r="E7" t="str">
            <v>FY09A</v>
          </cell>
          <cell r="F7" t="str">
            <v>FY10A</v>
          </cell>
          <cell r="G7" t="str">
            <v>FY11E</v>
          </cell>
          <cell r="H7" t="str">
            <v>FY12E</v>
          </cell>
          <cell r="I7" t="str">
            <v>FY13E</v>
          </cell>
          <cell r="J7" t="str">
            <v>FY14E</v>
          </cell>
          <cell r="K7" t="str">
            <v>FY15E</v>
          </cell>
          <cell r="M7" t="str">
            <v>P&amp;L ($m)</v>
          </cell>
          <cell r="N7" t="str">
            <v>FY09A</v>
          </cell>
          <cell r="O7" t="str">
            <v>FY10A</v>
          </cell>
          <cell r="P7" t="str">
            <v>FY11E</v>
          </cell>
          <cell r="Q7" t="str">
            <v>FY12E</v>
          </cell>
          <cell r="R7" t="str">
            <v>FY13E</v>
          </cell>
          <cell r="S7" t="str">
            <v>FY14E</v>
          </cell>
          <cell r="T7" t="str">
            <v>FY15E</v>
          </cell>
        </row>
        <row r="8">
          <cell r="A8">
            <v>255</v>
          </cell>
          <cell r="B8">
            <v>7</v>
          </cell>
          <cell r="D8" t="str">
            <v xml:space="preserve">Cash </v>
          </cell>
          <cell r="E8">
            <v>152.23500000000001</v>
          </cell>
          <cell r="F8">
            <v>149.19200000000001</v>
          </cell>
          <cell r="G8">
            <v>175.77061012360127</v>
          </cell>
          <cell r="H8">
            <v>220.47697649465871</v>
          </cell>
          <cell r="I8">
            <v>281.40974484200336</v>
          </cell>
          <cell r="J8">
            <v>313.60430687498081</v>
          </cell>
          <cell r="K8">
            <v>341.96967515469157</v>
          </cell>
          <cell r="M8" t="str">
            <v>Sales Revenue</v>
          </cell>
          <cell r="N8">
            <v>1122.521</v>
          </cell>
          <cell r="O8">
            <v>1275.42</v>
          </cell>
          <cell r="P8">
            <v>1424.5798345449716</v>
          </cell>
          <cell r="Q8">
            <v>1659.7193352323716</v>
          </cell>
          <cell r="R8">
            <v>1911.5657488022919</v>
          </cell>
          <cell r="S8">
            <v>2150.5374541080223</v>
          </cell>
          <cell r="T8">
            <v>2346.0684968568694</v>
          </cell>
        </row>
        <row r="9">
          <cell r="A9">
            <v>256</v>
          </cell>
          <cell r="B9" t="str">
            <v>Calculated</v>
          </cell>
          <cell r="D9" t="str">
            <v xml:space="preserve">Receivables </v>
          </cell>
          <cell r="E9">
            <v>110.604</v>
          </cell>
          <cell r="F9">
            <v>121.4</v>
          </cell>
          <cell r="G9">
            <v>138.35722408862529</v>
          </cell>
          <cell r="H9">
            <v>177.81748213866419</v>
          </cell>
          <cell r="I9">
            <v>195.90078049015867</v>
          </cell>
          <cell r="J9">
            <v>218.97046353106754</v>
          </cell>
          <cell r="K9">
            <v>236.51057652073121</v>
          </cell>
          <cell r="M9" t="str">
            <v>% chg</v>
          </cell>
          <cell r="N9">
            <v>0.17665785106987375</v>
          </cell>
          <cell r="O9">
            <v>0.13621036933830211</v>
          </cell>
          <cell r="P9">
            <v>0.11694958095762309</v>
          </cell>
          <cell r="Q9">
            <v>0.16505884400820992</v>
          </cell>
          <cell r="R9">
            <v>0.15174036249608447</v>
          </cell>
          <cell r="S9">
            <v>0.12501359446069804</v>
          </cell>
          <cell r="T9">
            <v>9.0921942501088537E-2</v>
          </cell>
        </row>
        <row r="10">
          <cell r="A10">
            <v>257</v>
          </cell>
          <cell r="B10">
            <v>129</v>
          </cell>
          <cell r="D10" t="str">
            <v>Inventory</v>
          </cell>
          <cell r="E10">
            <v>15.36</v>
          </cell>
          <cell r="F10">
            <v>23.547000000000001</v>
          </cell>
          <cell r="G10">
            <v>22.855621905809421</v>
          </cell>
          <cell r="H10">
            <v>23.832568108472184</v>
          </cell>
          <cell r="I10">
            <v>27.930863122937367</v>
          </cell>
          <cell r="J10">
            <v>33.357293611359502</v>
          </cell>
          <cell r="K10">
            <v>36.174944935508393</v>
          </cell>
          <cell r="M10" t="str">
            <v>EBITDA</v>
          </cell>
          <cell r="N10">
            <v>116.12599999999986</v>
          </cell>
          <cell r="O10">
            <v>129.42700000000013</v>
          </cell>
          <cell r="P10">
            <v>140.41911384394461</v>
          </cell>
          <cell r="Q10">
            <v>163.21741943796519</v>
          </cell>
          <cell r="R10">
            <v>186.57841626161644</v>
          </cell>
          <cell r="S10">
            <v>208.6587172931952</v>
          </cell>
          <cell r="T10">
            <v>227.14870273465976</v>
          </cell>
        </row>
        <row r="11">
          <cell r="A11" t="str">
            <v>Calculated</v>
          </cell>
          <cell r="B11" t="str">
            <v>Calculated</v>
          </cell>
          <cell r="D11" t="str">
            <v>Other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M11" t="str">
            <v>% chg</v>
          </cell>
          <cell r="N11">
            <v>0.11104094910064943</v>
          </cell>
          <cell r="O11">
            <v>0.11453937963935967</v>
          </cell>
          <cell r="P11">
            <v>8.4929063054420384E-2</v>
          </cell>
          <cell r="Q11">
            <v>0.16235899066673776</v>
          </cell>
          <cell r="R11">
            <v>0.14312808586298087</v>
          </cell>
          <cell r="S11">
            <v>0.11834327610873396</v>
          </cell>
          <cell r="T11">
            <v>8.8613529697316729E-2</v>
          </cell>
        </row>
        <row r="12">
          <cell r="A12">
            <v>264</v>
          </cell>
          <cell r="B12">
            <v>109</v>
          </cell>
          <cell r="D12" t="str">
            <v>Total Current Assets</v>
          </cell>
          <cell r="E12">
            <v>278.19900000000001</v>
          </cell>
          <cell r="F12">
            <v>294.13900000000001</v>
          </cell>
          <cell r="G12">
            <v>336.98345611803597</v>
          </cell>
          <cell r="H12">
            <v>422.12702674179508</v>
          </cell>
          <cell r="I12">
            <v>505.24138845509935</v>
          </cell>
          <cell r="J12">
            <v>565.93206401740792</v>
          </cell>
          <cell r="K12">
            <v>614.65519661093117</v>
          </cell>
          <cell r="M12" t="str">
            <v>Depreciation</v>
          </cell>
          <cell r="N12">
            <v>-15.066000000000001</v>
          </cell>
          <cell r="O12">
            <v>-16.789000000000001</v>
          </cell>
          <cell r="P12">
            <v>-19.496754782998611</v>
          </cell>
          <cell r="Q12">
            <v>-22.106631895890672</v>
          </cell>
          <cell r="R12">
            <v>-24.318792077261008</v>
          </cell>
          <cell r="S12">
            <v>-26.206857559957495</v>
          </cell>
          <cell r="T12">
            <v>-27.831282691496753</v>
          </cell>
        </row>
        <row r="13">
          <cell r="A13">
            <v>272</v>
          </cell>
          <cell r="B13" t="str">
            <v>Calculated</v>
          </cell>
          <cell r="D13" t="str">
            <v xml:space="preserve">Receivables 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M13" t="str">
            <v>EBITA</v>
          </cell>
          <cell r="N13">
            <v>101.05999999999986</v>
          </cell>
          <cell r="O13">
            <v>112.63800000000013</v>
          </cell>
          <cell r="P13">
            <v>120.92235906094601</v>
          </cell>
          <cell r="Q13">
            <v>141.11078754207452</v>
          </cell>
          <cell r="R13">
            <v>162.25962418435543</v>
          </cell>
          <cell r="S13">
            <v>182.45185973323771</v>
          </cell>
          <cell r="T13">
            <v>199.317420043163</v>
          </cell>
        </row>
        <row r="14">
          <cell r="A14">
            <v>0</v>
          </cell>
          <cell r="B14">
            <v>117</v>
          </cell>
          <cell r="D14" t="str">
            <v>Equity Accounted Investments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M14" t="str">
            <v>Amortisation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</row>
        <row r="15">
          <cell r="A15">
            <v>276</v>
          </cell>
          <cell r="B15" t="str">
            <v>Calculated</v>
          </cell>
          <cell r="D15" t="str">
            <v>PP&amp;E</v>
          </cell>
          <cell r="E15">
            <v>70.075000000000003</v>
          </cell>
          <cell r="F15">
            <v>91.150999999999996</v>
          </cell>
          <cell r="G15">
            <v>105.47177855033473</v>
          </cell>
          <cell r="H15">
            <v>117.5736859877774</v>
          </cell>
          <cell r="I15">
            <v>127.86616942384973</v>
          </cell>
          <cell r="J15">
            <v>136.68540564262557</v>
          </cell>
          <cell r="K15">
            <v>144.30747954322413</v>
          </cell>
          <cell r="M15" t="str">
            <v>EBIT</v>
          </cell>
          <cell r="N15">
            <v>101.05999999999986</v>
          </cell>
          <cell r="O15">
            <v>112.63800000000013</v>
          </cell>
          <cell r="P15">
            <v>120.92235906094601</v>
          </cell>
          <cell r="Q15">
            <v>141.11078754207452</v>
          </cell>
          <cell r="R15">
            <v>162.25962418435543</v>
          </cell>
          <cell r="S15">
            <v>182.45185973323771</v>
          </cell>
          <cell r="T15">
            <v>199.317420043163</v>
          </cell>
        </row>
        <row r="16">
          <cell r="A16">
            <v>279</v>
          </cell>
          <cell r="B16" t="str">
            <v>Composite</v>
          </cell>
          <cell r="D16" t="str">
            <v xml:space="preserve">Intangibles </v>
          </cell>
          <cell r="E16">
            <v>2.5510000000000002</v>
          </cell>
          <cell r="F16">
            <v>2.5510000000000002</v>
          </cell>
          <cell r="G16">
            <v>2.5510000000000002</v>
          </cell>
          <cell r="H16">
            <v>2.5510000000000002</v>
          </cell>
          <cell r="I16">
            <v>2.5510000000000002</v>
          </cell>
          <cell r="J16">
            <v>2.5510000000000002</v>
          </cell>
          <cell r="K16">
            <v>2.5510000000000002</v>
          </cell>
          <cell r="M16" t="str">
            <v>% chg</v>
          </cell>
          <cell r="N16">
            <v>0.10084747608984435</v>
          </cell>
          <cell r="O16">
            <v>0.1145656045913348</v>
          </cell>
          <cell r="P16">
            <v>7.3548527681118747E-2</v>
          </cell>
          <cell r="Q16">
            <v>0.16695364395722168</v>
          </cell>
          <cell r="R16">
            <v>0.14987398915887296</v>
          </cell>
          <cell r="S16">
            <v>0.12444399307828014</v>
          </cell>
          <cell r="T16">
            <v>9.2438412711080886E-2</v>
          </cell>
        </row>
        <row r="17">
          <cell r="A17">
            <v>280</v>
          </cell>
          <cell r="B17">
            <v>150</v>
          </cell>
          <cell r="D17" t="str">
            <v>Deferred Tax</v>
          </cell>
          <cell r="E17">
            <v>13.455</v>
          </cell>
          <cell r="F17">
            <v>15.981</v>
          </cell>
          <cell r="G17">
            <v>17.938361597497778</v>
          </cell>
          <cell r="H17">
            <v>20.720084228687181</v>
          </cell>
          <cell r="I17">
            <v>24.067437538753794</v>
          </cell>
          <cell r="J17">
            <v>27.048433638639992</v>
          </cell>
          <cell r="K17">
            <v>29.582745818888764</v>
          </cell>
          <cell r="M17" t="str">
            <v>Net Interest (Expense)/Income</v>
          </cell>
          <cell r="N17">
            <v>3.0890000000000004</v>
          </cell>
          <cell r="O17">
            <v>2.5100000000000002</v>
          </cell>
          <cell r="P17">
            <v>2.3599399307474536</v>
          </cell>
          <cell r="Q17">
            <v>3.1386466132663826</v>
          </cell>
          <cell r="R17">
            <v>4.35081341368564</v>
          </cell>
          <cell r="S17">
            <v>5.3112010528480287</v>
          </cell>
          <cell r="T17">
            <v>5.8086647515715626</v>
          </cell>
        </row>
        <row r="18">
          <cell r="A18" t="str">
            <v>Calculated</v>
          </cell>
          <cell r="B18" t="str">
            <v>Calculated</v>
          </cell>
          <cell r="D18" t="str">
            <v xml:space="preserve">Other </v>
          </cell>
          <cell r="E18">
            <v>8.9510000000000076</v>
          </cell>
          <cell r="F18">
            <v>16.879999999999995</v>
          </cell>
          <cell r="G18">
            <v>16.879999999999995</v>
          </cell>
          <cell r="H18">
            <v>16.879999999999967</v>
          </cell>
          <cell r="I18">
            <v>16.879999999999995</v>
          </cell>
          <cell r="J18">
            <v>16.879999999999995</v>
          </cell>
          <cell r="K18">
            <v>16.879999999999995</v>
          </cell>
          <cell r="M18" t="str">
            <v>Op. Profit before Tax</v>
          </cell>
          <cell r="N18">
            <v>104.14899999999986</v>
          </cell>
          <cell r="O18">
            <v>115.14800000000014</v>
          </cell>
          <cell r="P18">
            <v>123.28229899169347</v>
          </cell>
          <cell r="Q18">
            <v>144.24943415534091</v>
          </cell>
          <cell r="R18">
            <v>166.61043759804107</v>
          </cell>
          <cell r="S18">
            <v>187.76306078608573</v>
          </cell>
          <cell r="T18">
            <v>205.12608479473457</v>
          </cell>
        </row>
        <row r="19">
          <cell r="A19">
            <v>283</v>
          </cell>
          <cell r="B19">
            <v>161</v>
          </cell>
          <cell r="D19" t="str">
            <v>Total Non Curr. Assets</v>
          </cell>
          <cell r="E19">
            <v>95.032000000000011</v>
          </cell>
          <cell r="F19">
            <v>126.56299999999999</v>
          </cell>
          <cell r="G19">
            <v>142.8411401478325</v>
          </cell>
          <cell r="H19">
            <v>157.72477021646455</v>
          </cell>
          <cell r="I19">
            <v>171.36460696260349</v>
          </cell>
          <cell r="J19">
            <v>183.16483928126553</v>
          </cell>
          <cell r="K19">
            <v>193.32122536211287</v>
          </cell>
          <cell r="M19" t="str">
            <v>Tax Expense</v>
          </cell>
          <cell r="N19">
            <v>-29.908000000000001</v>
          </cell>
          <cell r="O19">
            <v>-31.931000000000001</v>
          </cell>
          <cell r="P19">
            <v>-35.841926298085326</v>
          </cell>
          <cell r="Q19">
            <v>-41.399975565121736</v>
          </cell>
          <cell r="R19">
            <v>-48.088188977532539</v>
          </cell>
          <cell r="S19">
            <v>-54.044398630587175</v>
          </cell>
          <cell r="T19">
            <v>-59.108106923405117</v>
          </cell>
        </row>
        <row r="20">
          <cell r="A20" t="str">
            <v>Calculated</v>
          </cell>
          <cell r="B20" t="str">
            <v>Calculated</v>
          </cell>
          <cell r="D20" t="str">
            <v>Total Assets</v>
          </cell>
          <cell r="E20">
            <v>373.23099999999999</v>
          </cell>
          <cell r="F20">
            <v>420.702</v>
          </cell>
          <cell r="G20">
            <v>479.82459626586848</v>
          </cell>
          <cell r="H20">
            <v>579.85179695825968</v>
          </cell>
          <cell r="I20">
            <v>676.60599541770284</v>
          </cell>
          <cell r="J20">
            <v>749.0969032986734</v>
          </cell>
          <cell r="K20">
            <v>807.97642197304401</v>
          </cell>
          <cell r="M20" t="str">
            <v>Op. Profit after tax</v>
          </cell>
          <cell r="N20">
            <v>74.240999999999858</v>
          </cell>
          <cell r="O20">
            <v>83.217000000000141</v>
          </cell>
          <cell r="P20">
            <v>87.44037269360814</v>
          </cell>
          <cell r="Q20">
            <v>102.84945859021917</v>
          </cell>
          <cell r="R20">
            <v>118.52224862050853</v>
          </cell>
          <cell r="S20">
            <v>133.71866215549855</v>
          </cell>
          <cell r="T20">
            <v>146.01797787132944</v>
          </cell>
        </row>
        <row r="21">
          <cell r="A21">
            <v>297</v>
          </cell>
          <cell r="B21">
            <v>171</v>
          </cell>
          <cell r="D21" t="str">
            <v xml:space="preserve">Creditors </v>
          </cell>
          <cell r="E21">
            <v>170.322</v>
          </cell>
          <cell r="F21">
            <v>167.96299999999999</v>
          </cell>
          <cell r="G21">
            <v>190.66986543709146</v>
          </cell>
          <cell r="H21">
            <v>243.26237742329533</v>
          </cell>
          <cell r="I21">
            <v>248.90506801454592</v>
          </cell>
          <cell r="J21">
            <v>260.65197007741983</v>
          </cell>
          <cell r="K21">
            <v>267.34233579232546</v>
          </cell>
          <cell r="M21" t="str">
            <v>Minority Interests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</row>
        <row r="22">
          <cell r="A22">
            <v>298</v>
          </cell>
          <cell r="B22">
            <v>204</v>
          </cell>
          <cell r="D22" t="str">
            <v>Borrowings</v>
          </cell>
          <cell r="E22">
            <v>10.702999999999999</v>
          </cell>
          <cell r="F22">
            <v>11.529</v>
          </cell>
          <cell r="G22">
            <v>18.37127631749501</v>
          </cell>
          <cell r="H22">
            <v>21.403617949416137</v>
          </cell>
          <cell r="I22">
            <v>24.651410695788243</v>
          </cell>
          <cell r="J22">
            <v>27.733172155395629</v>
          </cell>
          <cell r="K22">
            <v>30.254726039481302</v>
          </cell>
          <cell r="M22" t="str">
            <v>Significant items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</row>
        <row r="23">
          <cell r="A23">
            <v>300</v>
          </cell>
          <cell r="B23" t="str">
            <v>Calculated</v>
          </cell>
          <cell r="D23" t="str">
            <v xml:space="preserve">Tax </v>
          </cell>
          <cell r="E23">
            <v>6.6289999999999996</v>
          </cell>
          <cell r="F23">
            <v>8.9060000000000006</v>
          </cell>
          <cell r="G23">
            <v>8.7801727622703769</v>
          </cell>
          <cell r="H23">
            <v>10.014263988957239</v>
          </cell>
          <cell r="I23">
            <v>11.62375062212619</v>
          </cell>
          <cell r="J23">
            <v>13.091241188521606</v>
          </cell>
          <cell r="K23">
            <v>14.313263265003581</v>
          </cell>
          <cell r="M23" t="str">
            <v>Reported NPAT</v>
          </cell>
          <cell r="N23">
            <v>74.240999999999858</v>
          </cell>
          <cell r="O23">
            <v>83.217000000000141</v>
          </cell>
          <cell r="P23">
            <v>87.44037269360814</v>
          </cell>
          <cell r="Q23">
            <v>102.84945859021917</v>
          </cell>
          <cell r="R23">
            <v>118.52224862050853</v>
          </cell>
          <cell r="S23">
            <v>133.71866215549855</v>
          </cell>
          <cell r="T23">
            <v>146.01797787132944</v>
          </cell>
        </row>
        <row r="24">
          <cell r="A24" t="str">
            <v>Calculated</v>
          </cell>
          <cell r="B24" t="str">
            <v>Composite</v>
          </cell>
          <cell r="D24" t="str">
            <v>Provisions &amp; Others</v>
          </cell>
          <cell r="E24">
            <v>45.472000000000008</v>
          </cell>
          <cell r="F24">
            <v>63.543000000000006</v>
          </cell>
          <cell r="G24">
            <v>71.765478553781833</v>
          </cell>
          <cell r="H24">
            <v>82.807053507761509</v>
          </cell>
          <cell r="I24">
            <v>94.446281884220582</v>
          </cell>
          <cell r="J24">
            <v>106.25335106601528</v>
          </cell>
          <cell r="K24">
            <v>115.91411214218749</v>
          </cell>
          <cell r="M24" t="str">
            <v>% chg</v>
          </cell>
          <cell r="N24">
            <v>6.7555325482073547E-2</v>
          </cell>
          <cell r="O24">
            <v>0.12090354386390678</v>
          </cell>
          <cell r="P24">
            <v>5.0751321167646024E-2</v>
          </cell>
          <cell r="Q24">
            <v>0.17622392748261273</v>
          </cell>
          <cell r="R24">
            <v>0.15238573197292271</v>
          </cell>
          <cell r="S24">
            <v>0.12821570390253711</v>
          </cell>
          <cell r="T24">
            <v>9.1979051521830835E-2</v>
          </cell>
        </row>
        <row r="25">
          <cell r="A25">
            <v>305</v>
          </cell>
          <cell r="B25" t="str">
            <v>Calculated</v>
          </cell>
          <cell r="D25" t="str">
            <v>Total Current Liabilities</v>
          </cell>
          <cell r="E25">
            <v>233.126</v>
          </cell>
          <cell r="F25">
            <v>251.941</v>
          </cell>
          <cell r="G25">
            <v>289.58679307063869</v>
          </cell>
          <cell r="H25">
            <v>357.48731286943018</v>
          </cell>
          <cell r="I25">
            <v>379.62651121668091</v>
          </cell>
          <cell r="J25">
            <v>407.72973448735235</v>
          </cell>
          <cell r="K25">
            <v>427.8244372389978</v>
          </cell>
          <cell r="M25" t="str">
            <v>Add back Amortisation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</row>
        <row r="26">
          <cell r="A26">
            <v>314</v>
          </cell>
          <cell r="B26" t="str">
            <v>Calculated</v>
          </cell>
          <cell r="D26" t="str">
            <v xml:space="preserve">Creditors 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M26" t="str">
            <v>Add back Significant items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</row>
        <row r="27">
          <cell r="A27">
            <v>315</v>
          </cell>
          <cell r="B27" t="str">
            <v>Calculated</v>
          </cell>
          <cell r="D27" t="str">
            <v>Borrowings</v>
          </cell>
          <cell r="E27">
            <v>14.205</v>
          </cell>
          <cell r="F27">
            <v>21.071999999999999</v>
          </cell>
          <cell r="G27">
            <v>13.652723682504991</v>
          </cell>
          <cell r="H27">
            <v>10.043382050583865</v>
          </cell>
          <cell r="I27">
            <v>6.2185893042117613</v>
          </cell>
          <cell r="J27">
            <v>2.5598278446043778</v>
          </cell>
          <cell r="K27">
            <v>-0.53872603948129338</v>
          </cell>
          <cell r="M27" t="str">
            <v>Normalised NPAT</v>
          </cell>
          <cell r="N27">
            <v>74.240999999999858</v>
          </cell>
          <cell r="O27">
            <v>83.217000000000141</v>
          </cell>
          <cell r="P27">
            <v>87.44037269360814</v>
          </cell>
          <cell r="Q27">
            <v>102.84945859021917</v>
          </cell>
          <cell r="R27">
            <v>118.52224862050853</v>
          </cell>
          <cell r="S27">
            <v>133.71866215549855</v>
          </cell>
          <cell r="T27">
            <v>146.01797787132944</v>
          </cell>
        </row>
        <row r="28">
          <cell r="A28">
            <v>316</v>
          </cell>
          <cell r="B28" t="str">
            <v>Composite</v>
          </cell>
          <cell r="D28" t="str">
            <v xml:space="preserve">Tax </v>
          </cell>
          <cell r="E28">
            <v>0.317</v>
          </cell>
          <cell r="F28">
            <v>9.9000000000000005E-2</v>
          </cell>
          <cell r="G28">
            <v>9.9000000000000005E-2</v>
          </cell>
          <cell r="H28">
            <v>9.9000000000000005E-2</v>
          </cell>
          <cell r="I28">
            <v>9.9000000000000005E-2</v>
          </cell>
          <cell r="J28">
            <v>9.9000000000000005E-2</v>
          </cell>
          <cell r="K28">
            <v>9.9000000000000005E-2</v>
          </cell>
          <cell r="M28" t="str">
            <v>% chg</v>
          </cell>
          <cell r="N28">
            <v>0.12214116886870907</v>
          </cell>
          <cell r="O28">
            <v>0.12090354386390678</v>
          </cell>
          <cell r="P28">
            <v>5.0751321167646024E-2</v>
          </cell>
          <cell r="Q28">
            <v>0.17622392748261273</v>
          </cell>
          <cell r="R28">
            <v>0.15238573197292271</v>
          </cell>
          <cell r="S28">
            <v>0.12821570390253711</v>
          </cell>
          <cell r="T28">
            <v>9.1979051521830835E-2</v>
          </cell>
        </row>
        <row r="29">
          <cell r="A29" t="str">
            <v>Calculated</v>
          </cell>
          <cell r="B29" t="str">
            <v>mscalc:netIncome</v>
          </cell>
          <cell r="D29" t="str">
            <v>Other</v>
          </cell>
          <cell r="E29">
            <v>3.0179999999999989</v>
          </cell>
          <cell r="F29">
            <v>3.3039999999999985</v>
          </cell>
          <cell r="G29">
            <v>3.7315383463433456</v>
          </cell>
          <cell r="H29">
            <v>4.305659235315364</v>
          </cell>
          <cell r="I29">
            <v>4.9108558825592858</v>
          </cell>
          <cell r="J29">
            <v>5.5247796283164874</v>
          </cell>
          <cell r="K29">
            <v>6.0271033240134635</v>
          </cell>
          <cell r="M29" t="str">
            <v>ModelWare NPAT</v>
          </cell>
          <cell r="N29">
            <v>74.241</v>
          </cell>
          <cell r="O29">
            <v>83.216999999999999</v>
          </cell>
          <cell r="P29">
            <v>87.440372693606903</v>
          </cell>
          <cell r="Q29">
            <v>102.84945859021499</v>
          </cell>
          <cell r="R29">
            <v>118.522248620507</v>
          </cell>
          <cell r="S29">
            <v>133.71866215549301</v>
          </cell>
          <cell r="T29">
            <v>146.01797787133199</v>
          </cell>
        </row>
        <row r="30">
          <cell r="A30">
            <v>321</v>
          </cell>
          <cell r="D30" t="str">
            <v>Total Non Curr. Liabs.</v>
          </cell>
          <cell r="E30">
            <v>17.54</v>
          </cell>
          <cell r="F30">
            <v>24.474999999999998</v>
          </cell>
          <cell r="G30">
            <v>17.483262028848337</v>
          </cell>
          <cell r="H30">
            <v>14.44804128589923</v>
          </cell>
          <cell r="I30">
            <v>11.228445186771047</v>
          </cell>
          <cell r="J30">
            <v>8.1836074729208654</v>
          </cell>
          <cell r="K30">
            <v>5.5873772845321703</v>
          </cell>
          <cell r="M30" t="str">
            <v>% chg</v>
          </cell>
          <cell r="N30">
            <v>0.12214116886870907</v>
          </cell>
          <cell r="O30">
            <v>0.12090354386390278</v>
          </cell>
          <cell r="P30">
            <v>5.0751321167632923E-2</v>
          </cell>
          <cell r="Q30">
            <v>0.17622392748258164</v>
          </cell>
          <cell r="R30">
            <v>0.15238573197295469</v>
          </cell>
          <cell r="S30">
            <v>0.12821570390250492</v>
          </cell>
          <cell r="T30">
            <v>9.1979051521895228E-2</v>
          </cell>
        </row>
        <row r="31">
          <cell r="A31" t="str">
            <v>Calculated</v>
          </cell>
          <cell r="D31" t="str">
            <v>Total Liabilities</v>
          </cell>
          <cell r="E31">
            <v>250.666</v>
          </cell>
          <cell r="F31">
            <v>276.416</v>
          </cell>
          <cell r="G31">
            <v>307.07005509948704</v>
          </cell>
          <cell r="H31">
            <v>371.93535415532943</v>
          </cell>
          <cell r="I31">
            <v>390.85495640345198</v>
          </cell>
          <cell r="J31">
            <v>415.91334196027321</v>
          </cell>
          <cell r="K31">
            <v>433.41181452352998</v>
          </cell>
        </row>
        <row r="32">
          <cell r="A32">
            <v>342</v>
          </cell>
          <cell r="D32" t="str">
            <v>Shareholders Equity</v>
          </cell>
          <cell r="E32">
            <v>122.565</v>
          </cell>
          <cell r="F32">
            <v>144.286</v>
          </cell>
          <cell r="G32">
            <v>172.75454116638144</v>
          </cell>
          <cell r="H32">
            <v>207.91644280293025</v>
          </cell>
          <cell r="I32">
            <v>285.75103901425086</v>
          </cell>
          <cell r="J32">
            <v>333.18356133840018</v>
          </cell>
          <cell r="K32">
            <v>374.56460744951403</v>
          </cell>
          <cell r="M32" t="str">
            <v>Ratios</v>
          </cell>
          <cell r="N32" t="str">
            <v>FY09A</v>
          </cell>
          <cell r="O32" t="str">
            <v>FY10A</v>
          </cell>
          <cell r="P32" t="str">
            <v>FY11E</v>
          </cell>
          <cell r="Q32" t="str">
            <v>FY12E</v>
          </cell>
          <cell r="R32" t="str">
            <v>FY13E</v>
          </cell>
          <cell r="S32" t="str">
            <v>FY14E</v>
          </cell>
          <cell r="T32" t="str">
            <v>FY15E</v>
          </cell>
        </row>
        <row r="33">
          <cell r="B33" t="str">
            <v>Calculated</v>
          </cell>
          <cell r="M33" t="str">
            <v>EBITDA margin</v>
          </cell>
          <cell r="N33">
            <v>0.10345107129398903</v>
          </cell>
          <cell r="O33">
            <v>0.10147794452023658</v>
          </cell>
          <cell r="P33">
            <v>9.8568792312574191E-2</v>
          </cell>
          <cell r="Q33">
            <v>9.8340373563891567E-2</v>
          </cell>
          <cell r="R33">
            <v>9.7605021631360978E-2</v>
          </cell>
          <cell r="S33">
            <v>9.7026311675999385E-2</v>
          </cell>
          <cell r="T33">
            <v>9.6821002046181007E-2</v>
          </cell>
        </row>
        <row r="34">
          <cell r="B34" t="str">
            <v>Calculated</v>
          </cell>
          <cell r="D34" t="str">
            <v>Cashflow ($m)</v>
          </cell>
          <cell r="E34" t="str">
            <v>FY09A</v>
          </cell>
          <cell r="F34" t="str">
            <v>FY10A</v>
          </cell>
          <cell r="G34" t="str">
            <v>FY11E</v>
          </cell>
          <cell r="H34" t="str">
            <v>FY12E</v>
          </cell>
          <cell r="I34" t="str">
            <v>FY13E</v>
          </cell>
          <cell r="J34" t="str">
            <v>FY14E</v>
          </cell>
          <cell r="K34" t="str">
            <v>FY15E</v>
          </cell>
          <cell r="M34" t="str">
            <v>EBIT margin</v>
          </cell>
          <cell r="N34">
            <v>9.0029496107422363E-2</v>
          </cell>
          <cell r="O34">
            <v>8.8314437597026965E-2</v>
          </cell>
          <cell r="P34">
            <v>8.4882823783315797E-2</v>
          </cell>
          <cell r="Q34">
            <v>8.502087343720563E-2</v>
          </cell>
          <cell r="R34">
            <v>8.4883098729939377E-2</v>
          </cell>
          <cell r="S34">
            <v>8.4840121888931808E-2</v>
          </cell>
          <cell r="T34">
            <v>8.4958056557256217E-2</v>
          </cell>
        </row>
        <row r="35">
          <cell r="A35">
            <v>651</v>
          </cell>
          <cell r="B35" t="str">
            <v>Calculated</v>
          </cell>
          <cell r="D35" t="str">
            <v>EBITDA</v>
          </cell>
          <cell r="E35">
            <v>116.12599999999986</v>
          </cell>
          <cell r="F35">
            <v>129.42700000000013</v>
          </cell>
          <cell r="G35">
            <v>140.41911384394461</v>
          </cell>
          <cell r="H35">
            <v>163.21741943796519</v>
          </cell>
          <cell r="I35">
            <v>186.57841626161644</v>
          </cell>
          <cell r="J35">
            <v>208.6587172931952</v>
          </cell>
          <cell r="K35">
            <v>227.14870273465976</v>
          </cell>
          <cell r="M35" t="str">
            <v xml:space="preserve">Effective tax rate </v>
          </cell>
          <cell r="N35">
            <v>0.28716550326935486</v>
          </cell>
          <cell r="O35">
            <v>0.27730399138499984</v>
          </cell>
          <cell r="P35">
            <v>0.2907305151772055</v>
          </cell>
          <cell r="Q35">
            <v>0.28700268952555114</v>
          </cell>
          <cell r="R35">
            <v>0.28862650906390713</v>
          </cell>
          <cell r="S35">
            <v>0.28783296567666605</v>
          </cell>
          <cell r="T35">
            <v>0.28815499980196757</v>
          </cell>
        </row>
        <row r="36">
          <cell r="A36">
            <v>658</v>
          </cell>
          <cell r="B36">
            <v>221</v>
          </cell>
          <cell r="D36" t="str">
            <v>Tax paid</v>
          </cell>
          <cell r="E36">
            <v>-37.262</v>
          </cell>
          <cell r="F36">
            <v>-32.768000000000001</v>
          </cell>
          <cell r="G36">
            <v>-35.046253535814948</v>
          </cell>
          <cell r="H36">
            <v>-40.165884338434878</v>
          </cell>
          <cell r="I36">
            <v>-46.47870234436359</v>
          </cell>
          <cell r="J36">
            <v>-52.576908064191755</v>
          </cell>
          <cell r="K36">
            <v>-57.88608484692314</v>
          </cell>
          <cell r="M36" t="str">
            <v>EFPOWA (m)</v>
          </cell>
          <cell r="N36">
            <v>86.000151000000002</v>
          </cell>
          <cell r="O36">
            <v>87.172212000000002</v>
          </cell>
          <cell r="P36">
            <v>87.315538028955316</v>
          </cell>
          <cell r="Q36">
            <v>87.401820899881614</v>
          </cell>
          <cell r="R36">
            <v>89.527742443657431</v>
          </cell>
          <cell r="S36">
            <v>91.051700000000011</v>
          </cell>
          <cell r="T36">
            <v>91.051699999999997</v>
          </cell>
        </row>
        <row r="37">
          <cell r="A37">
            <v>652</v>
          </cell>
          <cell r="B37" t="str">
            <v>Calculated</v>
          </cell>
          <cell r="D37" t="str">
            <v>Change in WK</v>
          </cell>
          <cell r="E37">
            <v>15.35499999999999</v>
          </cell>
          <cell r="F37">
            <v>-21.342000000000013</v>
          </cell>
          <cell r="G37">
            <v>6.4410194426567671</v>
          </cell>
          <cell r="H37">
            <v>12.155307733502212</v>
          </cell>
          <cell r="I37">
            <v>-16.538902774709101</v>
          </cell>
          <cell r="J37">
            <v>-16.749211466457069</v>
          </cell>
          <cell r="K37">
            <v>-13.667398598906942</v>
          </cell>
          <cell r="M37" t="str">
            <v>Reported EPS</v>
          </cell>
          <cell r="N37">
            <v>86.326592612610483</v>
          </cell>
          <cell r="O37">
            <v>95.462760541168933</v>
          </cell>
          <cell r="P37">
            <v>100.1429695876253</v>
          </cell>
          <cell r="Q37">
            <v>117.67427443878172</v>
          </cell>
          <cell r="R37">
            <v>132.38605753417522</v>
          </cell>
          <cell r="S37">
            <v>146.86014885553871</v>
          </cell>
          <cell r="T37">
            <v>160.36820605362607</v>
          </cell>
        </row>
        <row r="38">
          <cell r="A38" t="str">
            <v>Calculated</v>
          </cell>
          <cell r="B38" t="str">
            <v>Composite</v>
          </cell>
          <cell r="D38" t="str">
            <v>Other</v>
          </cell>
          <cell r="E38">
            <v>16.538999999999959</v>
          </cell>
          <cell r="F38">
            <v>18.215999999999809</v>
          </cell>
          <cell r="G38">
            <v>6.0124539137384971</v>
          </cell>
          <cell r="H38">
            <v>9.8465141068241167</v>
          </cell>
          <cell r="I38">
            <v>10.72158116579692</v>
          </cell>
          <cell r="J38">
            <v>11.955914105186253</v>
          </cell>
          <cell r="K38">
            <v>11.372017104652116</v>
          </cell>
          <cell r="M38" t="str">
            <v>…change (%)</v>
          </cell>
          <cell r="N38">
            <v>0.11732847042347183</v>
          </cell>
          <cell r="O38">
            <v>0.10583260212246405</v>
          </cell>
          <cell r="P38">
            <v>4.9026542076980886E-2</v>
          </cell>
          <cell r="Q38">
            <v>0.17506276200264356</v>
          </cell>
          <cell r="R38">
            <v>0.12502123480733324</v>
          </cell>
          <cell r="S38">
            <v>0.1093324447525528</v>
          </cell>
          <cell r="T38">
            <v>9.1979051521830946E-2</v>
          </cell>
        </row>
        <row r="39">
          <cell r="A39" t="str">
            <v>Calculated</v>
          </cell>
          <cell r="B39" t="str">
            <v>Calculated</v>
          </cell>
          <cell r="D39" t="str">
            <v>Gross Cashflow</v>
          </cell>
          <cell r="E39">
            <v>110.75799999999981</v>
          </cell>
          <cell r="F39">
            <v>93.53299999999993</v>
          </cell>
          <cell r="G39">
            <v>117.82633366452494</v>
          </cell>
          <cell r="H39">
            <v>145.05335693985663</v>
          </cell>
          <cell r="I39">
            <v>134.28239230834066</v>
          </cell>
          <cell r="J39">
            <v>151.28851186773264</v>
          </cell>
          <cell r="K39">
            <v>166.96723639348178</v>
          </cell>
          <cell r="M39" t="str">
            <v xml:space="preserve">Normalised EPS (¢) </v>
          </cell>
          <cell r="N39">
            <v>86.326592612610483</v>
          </cell>
          <cell r="O39">
            <v>95.462760541168933</v>
          </cell>
          <cell r="P39">
            <v>100.1429695876253</v>
          </cell>
          <cell r="Q39">
            <v>117.67427443878172</v>
          </cell>
          <cell r="R39">
            <v>132.38605753417522</v>
          </cell>
          <cell r="S39">
            <v>146.86014885553871</v>
          </cell>
          <cell r="T39">
            <v>160.36820605362607</v>
          </cell>
        </row>
        <row r="40">
          <cell r="A40">
            <v>657</v>
          </cell>
          <cell r="B40" t="str">
            <v>Composite</v>
          </cell>
          <cell r="D40" t="str">
            <v>Interest paid</v>
          </cell>
          <cell r="E40">
            <v>3.048</v>
          </cell>
          <cell r="F40">
            <v>2.4339999999999997</v>
          </cell>
          <cell r="G40">
            <v>2.3599399307474536</v>
          </cell>
          <cell r="H40">
            <v>3.1386466132663826</v>
          </cell>
          <cell r="I40">
            <v>4.35081341368564</v>
          </cell>
          <cell r="J40">
            <v>5.3112010528480287</v>
          </cell>
          <cell r="K40">
            <v>5.8086647515715626</v>
          </cell>
          <cell r="M40" t="str">
            <v>…change (%)</v>
          </cell>
          <cell r="N40">
            <v>0.11732847042347183</v>
          </cell>
          <cell r="O40">
            <v>0.10583260212246405</v>
          </cell>
          <cell r="P40">
            <v>4.9026542076980886E-2</v>
          </cell>
          <cell r="Q40">
            <v>0.17506276200264356</v>
          </cell>
          <cell r="R40">
            <v>0.12502123480733324</v>
          </cell>
          <cell r="S40">
            <v>0.1093324447525528</v>
          </cell>
          <cell r="T40">
            <v>9.1979051521830946E-2</v>
          </cell>
        </row>
        <row r="41">
          <cell r="A41">
            <v>659</v>
          </cell>
          <cell r="B41" t="str">
            <v>mscalc:dilutedEarningsPerShareBeforeOperatingLeaseAdjustments</v>
          </cell>
          <cell r="D41" t="str">
            <v>Operating Cashflow</v>
          </cell>
          <cell r="E41">
            <v>113.80599999999981</v>
          </cell>
          <cell r="F41">
            <v>95.966999999999928</v>
          </cell>
          <cell r="G41">
            <v>120.1862735952724</v>
          </cell>
          <cell r="H41">
            <v>148.19200355312302</v>
          </cell>
          <cell r="I41">
            <v>138.6332057220263</v>
          </cell>
          <cell r="J41">
            <v>156.59971292058066</v>
          </cell>
          <cell r="K41">
            <v>172.77590114505335</v>
          </cell>
          <cell r="M41" t="str">
            <v>ModelWare EPS</v>
          </cell>
          <cell r="N41">
            <v>86.326592612610597</v>
          </cell>
          <cell r="O41">
            <v>95.462760541168805</v>
          </cell>
          <cell r="P41">
            <v>100.14296958762401</v>
          </cell>
          <cell r="Q41">
            <v>117.674274438777</v>
          </cell>
          <cell r="R41">
            <v>132.38605753417301</v>
          </cell>
          <cell r="S41">
            <v>146.860148855532</v>
          </cell>
          <cell r="T41">
            <v>160.368206053629</v>
          </cell>
        </row>
        <row r="42">
          <cell r="A42">
            <v>429</v>
          </cell>
          <cell r="D42" t="str">
            <v>Capital Expenditure</v>
          </cell>
          <cell r="E42">
            <v>-10.324</v>
          </cell>
          <cell r="F42">
            <v>-17.081</v>
          </cell>
          <cell r="G42">
            <v>-13.033533333333335</v>
          </cell>
          <cell r="H42">
            <v>-13.424539333333335</v>
          </cell>
          <cell r="I42">
            <v>-13.827275513333335</v>
          </cell>
          <cell r="J42">
            <v>-14.242093778733336</v>
          </cell>
          <cell r="K42">
            <v>-14.669356592095337</v>
          </cell>
          <cell r="M42" t="str">
            <v>% chg</v>
          </cell>
          <cell r="N42">
            <v>0.11732847042347183</v>
          </cell>
          <cell r="O42">
            <v>0.10583260212246115</v>
          </cell>
          <cell r="P42">
            <v>4.902654207696866E-2</v>
          </cell>
          <cell r="Q42">
            <v>0.17506276200261173</v>
          </cell>
          <cell r="R42">
            <v>0.12502123480735938</v>
          </cell>
          <cell r="S42">
            <v>0.1093324447525208</v>
          </cell>
          <cell r="T42">
            <v>9.1979051521900779E-2</v>
          </cell>
        </row>
        <row r="43">
          <cell r="A43" t="str">
            <v>Calculated</v>
          </cell>
          <cell r="B43">
            <v>243</v>
          </cell>
          <cell r="D43" t="str">
            <v>Free Cash Flow</v>
          </cell>
          <cell r="E43">
            <v>103.48199999999981</v>
          </cell>
          <cell r="F43">
            <v>78.885999999999925</v>
          </cell>
          <cell r="G43">
            <v>107.15274026193906</v>
          </cell>
          <cell r="H43">
            <v>134.76746421978967</v>
          </cell>
          <cell r="I43">
            <v>124.80593020869297</v>
          </cell>
          <cell r="J43">
            <v>142.35761914184732</v>
          </cell>
          <cell r="K43">
            <v>158.10654455295801</v>
          </cell>
          <cell r="M43" t="str">
            <v xml:space="preserve">DPS (¢) </v>
          </cell>
          <cell r="N43">
            <v>74</v>
          </cell>
          <cell r="O43">
            <v>83</v>
          </cell>
          <cell r="P43">
            <v>89</v>
          </cell>
          <cell r="Q43">
            <v>105</v>
          </cell>
          <cell r="R43">
            <v>118</v>
          </cell>
          <cell r="S43">
            <v>129</v>
          </cell>
          <cell r="T43">
            <v>141</v>
          </cell>
        </row>
        <row r="44">
          <cell r="A44" t="str">
            <v>Composite</v>
          </cell>
          <cell r="B44" t="str">
            <v>Calculated</v>
          </cell>
          <cell r="D44" t="str">
            <v>Acquisitions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M44" t="str">
            <v xml:space="preserve">…Payout </v>
          </cell>
          <cell r="N44">
            <v>0.85720978623671718</v>
          </cell>
          <cell r="O44">
            <v>0.86944898229928846</v>
          </cell>
          <cell r="P44">
            <v>0.88872938725992956</v>
          </cell>
          <cell r="Q44">
            <v>0.89229358328973318</v>
          </cell>
          <cell r="R44">
            <v>0.89133253303157334</v>
          </cell>
          <cell r="S44">
            <v>0.87838668968593292</v>
          </cell>
          <cell r="T44">
            <v>0.87922664641425574</v>
          </cell>
        </row>
        <row r="45">
          <cell r="A45" t="str">
            <v>Composite</v>
          </cell>
          <cell r="B45" t="str">
            <v>Calculated</v>
          </cell>
          <cell r="D45" t="str">
            <v>Asset sales</v>
          </cell>
          <cell r="E45">
            <v>2.0059999999999998</v>
          </cell>
          <cell r="F45">
            <v>1.726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M45" t="str">
            <v xml:space="preserve">OpCF/share (¢) </v>
          </cell>
          <cell r="N45">
            <v>132.33232578859057</v>
          </cell>
          <cell r="O45">
            <v>110.08898110787865</v>
          </cell>
          <cell r="P45">
            <v>137.64591767780962</v>
          </cell>
          <cell r="Q45">
            <v>169.55253566499064</v>
          </cell>
          <cell r="R45">
            <v>154.84943765813424</v>
          </cell>
          <cell r="S45">
            <v>171.98988368210658</v>
          </cell>
          <cell r="T45">
            <v>189.75582130268117</v>
          </cell>
        </row>
        <row r="46">
          <cell r="A46">
            <v>382</v>
          </cell>
          <cell r="B46">
            <v>410</v>
          </cell>
          <cell r="D46" t="str">
            <v>Equity Issues</v>
          </cell>
          <cell r="E46">
            <v>4.4909999999999997</v>
          </cell>
          <cell r="F46">
            <v>1.1419999999999999</v>
          </cell>
          <cell r="G46">
            <v>1.4269499999999999</v>
          </cell>
          <cell r="H46">
            <v>0</v>
          </cell>
          <cell r="I46">
            <v>42.575000000000003</v>
          </cell>
          <cell r="J46">
            <v>7.3319999999999999</v>
          </cell>
          <cell r="K46">
            <v>0</v>
          </cell>
          <cell r="M46" t="str">
            <v>Net Debt ($m)</v>
          </cell>
          <cell r="N46">
            <v>-127.32700000000001</v>
          </cell>
          <cell r="O46">
            <v>-116.59100000000001</v>
          </cell>
          <cell r="P46">
            <v>-143.74661012360127</v>
          </cell>
          <cell r="Q46">
            <v>-189.02997649465871</v>
          </cell>
          <cell r="R46">
            <v>-250.53974484200336</v>
          </cell>
          <cell r="S46">
            <v>-283.3113068749808</v>
          </cell>
          <cell r="T46">
            <v>-312.25367515469156</v>
          </cell>
        </row>
        <row r="47">
          <cell r="A47">
            <v>385</v>
          </cell>
          <cell r="B47" t="str">
            <v>Calculated</v>
          </cell>
          <cell r="D47" t="str">
            <v>Dividends</v>
          </cell>
          <cell r="E47">
            <v>-62.003999999999998</v>
          </cell>
          <cell r="F47">
            <v>-67.875</v>
          </cell>
          <cell r="G47">
            <v>-73.18947</v>
          </cell>
          <cell r="H47">
            <v>-82.746431999999999</v>
          </cell>
          <cell r="I47">
            <v>-100.401387</v>
          </cell>
          <cell r="J47">
            <v>-110.67507400000001</v>
          </cell>
          <cell r="K47">
            <v>-122.00927799999999</v>
          </cell>
          <cell r="M47" t="str">
            <v>Gearing (ND/ND+equity) (%)</v>
          </cell>
          <cell r="N47">
            <v>26.738135237295175</v>
          </cell>
          <cell r="O47">
            <v>-4.2098212673767845</v>
          </cell>
          <cell r="P47">
            <v>-4.9554244289814173</v>
          </cell>
          <cell r="Q47">
            <v>-10.008753009125426</v>
          </cell>
          <cell r="R47">
            <v>-7.1153233850595399</v>
          </cell>
          <cell r="S47">
            <v>-5.6807399208869889</v>
          </cell>
          <cell r="T47">
            <v>-5.0112181547416412</v>
          </cell>
        </row>
        <row r="48">
          <cell r="A48" t="str">
            <v>Calculated</v>
          </cell>
          <cell r="B48" t="str">
            <v>Calculated</v>
          </cell>
          <cell r="D48" t="str">
            <v>Other</v>
          </cell>
          <cell r="E48">
            <v>-22.212999999999802</v>
          </cell>
          <cell r="F48">
            <v>-24.614999999999924</v>
          </cell>
          <cell r="G48">
            <v>-8.2346101383377999</v>
          </cell>
          <cell r="H48">
            <v>-6.7376658487322345</v>
          </cell>
          <cell r="I48">
            <v>-5.469774861348327</v>
          </cell>
          <cell r="J48">
            <v>-6.2429831088698649</v>
          </cell>
          <cell r="K48">
            <v>-7.1548982732472552</v>
          </cell>
          <cell r="M48" t="str">
            <v>ROE (%)</v>
          </cell>
          <cell r="N48">
            <v>0.66173757253255483</v>
          </cell>
          <cell r="O48">
            <v>0.62369636988431854</v>
          </cell>
          <cell r="P48">
            <v>0.55160373100498727</v>
          </cell>
          <cell r="Q48">
            <v>0.54035880285801097</v>
          </cell>
          <cell r="R48">
            <v>0.48017036967567833</v>
          </cell>
          <cell r="S48">
            <v>0.43209302591682391</v>
          </cell>
          <cell r="T48">
            <v>0.41262693232085379</v>
          </cell>
        </row>
        <row r="49">
          <cell r="A49">
            <v>411</v>
          </cell>
          <cell r="B49" t="str">
            <v>Calculated</v>
          </cell>
          <cell r="D49" t="str">
            <v xml:space="preserve">Change in Net Debt </v>
          </cell>
          <cell r="E49">
            <v>-25.762000000000015</v>
          </cell>
          <cell r="F49">
            <v>10.736000000000004</v>
          </cell>
          <cell r="G49">
            <v>-27.155610123601264</v>
          </cell>
          <cell r="H49">
            <v>-45.28336637105744</v>
          </cell>
          <cell r="I49">
            <v>-61.509768347344647</v>
          </cell>
          <cell r="J49">
            <v>-32.771562032977442</v>
          </cell>
          <cell r="K49">
            <v>-28.942368279710763</v>
          </cell>
          <cell r="M49" t="str">
            <v>ROIC (%)</v>
          </cell>
          <cell r="N49">
            <v>0.52550263513122342</v>
          </cell>
          <cell r="O49">
            <v>0.50193015796261242</v>
          </cell>
          <cell r="P49">
            <v>0.44943297240096136</v>
          </cell>
          <cell r="Q49">
            <v>0.45306057804876354</v>
          </cell>
          <cell r="R49">
            <v>0.41521732734964423</v>
          </cell>
          <cell r="S49">
            <v>0.38211044939908917</v>
          </cell>
          <cell r="T49">
            <v>0.36960412661230535</v>
          </cell>
        </row>
      </sheetData>
      <sheetData sheetId="18" refreshError="1"/>
      <sheetData sheetId="19" refreshError="1">
        <row r="3">
          <cell r="C3" t="str">
            <v>Revenue</v>
          </cell>
          <cell r="D3" t="str">
            <v>EBITDA Margin</v>
          </cell>
          <cell r="E3" t="str">
            <v>EBITDA</v>
          </cell>
          <cell r="F3" t="str">
            <v>EBIT Margin</v>
          </cell>
          <cell r="G3" t="str">
            <v>EBIT</v>
          </cell>
          <cell r="H3" t="str">
            <v>NPAT</v>
          </cell>
          <cell r="J3" t="str">
            <v>Cash</v>
          </cell>
          <cell r="K3" t="str">
            <v>ST Debt</v>
          </cell>
          <cell r="L3" t="str">
            <v>LT Debt</v>
          </cell>
        </row>
        <row r="4">
          <cell r="B4" t="str">
            <v>1H05</v>
          </cell>
          <cell r="C4">
            <v>199.512</v>
          </cell>
          <cell r="D4">
            <v>6.8086130157584385E-2</v>
          </cell>
          <cell r="E4">
            <v>13.583999999999975</v>
          </cell>
          <cell r="F4">
            <v>5.6121937527567133E-2</v>
          </cell>
          <cell r="G4">
            <v>11.196999999999974</v>
          </cell>
          <cell r="H4">
            <v>7.9939999999999749</v>
          </cell>
          <cell r="J4">
            <v>25.599</v>
          </cell>
          <cell r="K4">
            <v>5.5759999999999996</v>
          </cell>
          <cell r="L4">
            <v>13.103</v>
          </cell>
          <cell r="M4">
            <v>18.678999999999998</v>
          </cell>
        </row>
        <row r="5">
          <cell r="B5" t="str">
            <v>2H05</v>
          </cell>
          <cell r="C5">
            <v>191.05200000000002</v>
          </cell>
          <cell r="D5">
            <v>8.0423130875363819E-2</v>
          </cell>
          <cell r="E5">
            <v>15.365000000000009</v>
          </cell>
          <cell r="F5">
            <v>6.5851181877185305E-2</v>
          </cell>
          <cell r="G5">
            <v>12.581000000000008</v>
          </cell>
          <cell r="H5">
            <v>8.6640000000000086</v>
          </cell>
          <cell r="J5">
            <v>22.236999999999998</v>
          </cell>
          <cell r="K5">
            <v>5.7169999999999996</v>
          </cell>
          <cell r="L5">
            <v>11.805</v>
          </cell>
          <cell r="M5">
            <v>17.521999999999998</v>
          </cell>
        </row>
        <row r="6">
          <cell r="B6" t="str">
            <v>1H06</v>
          </cell>
          <cell r="C6">
            <v>243.45599999999999</v>
          </cell>
          <cell r="D6">
            <v>8.545692034700296E-2</v>
          </cell>
          <cell r="E6">
            <v>20.80499999999995</v>
          </cell>
          <cell r="F6">
            <v>7.1676196109358367E-2</v>
          </cell>
          <cell r="G6">
            <v>17.44999999999995</v>
          </cell>
          <cell r="H6">
            <v>12.454999999999949</v>
          </cell>
          <cell r="J6">
            <v>47.515000000000001</v>
          </cell>
          <cell r="K6">
            <v>6.8490000000000002</v>
          </cell>
          <cell r="L6">
            <v>15.983000000000001</v>
          </cell>
          <cell r="M6">
            <v>22.832000000000001</v>
          </cell>
        </row>
        <row r="7">
          <cell r="B7" t="str">
            <v>2H06</v>
          </cell>
          <cell r="C7">
            <v>288.50699999999995</v>
          </cell>
          <cell r="D7">
            <v>9.7574755551858211E-2</v>
          </cell>
          <cell r="E7">
            <v>28.150999999999954</v>
          </cell>
          <cell r="F7">
            <v>8.3173025264551489E-2</v>
          </cell>
          <cell r="G7">
            <v>23.995999999999952</v>
          </cell>
          <cell r="H7">
            <v>16.940999999999953</v>
          </cell>
          <cell r="J7">
            <v>61.65</v>
          </cell>
          <cell r="K7">
            <v>8.0920000000000005</v>
          </cell>
          <cell r="L7">
            <v>18.279</v>
          </cell>
          <cell r="M7">
            <v>26.371000000000002</v>
          </cell>
        </row>
        <row r="8">
          <cell r="B8" t="str">
            <v>1H07</v>
          </cell>
          <cell r="C8">
            <v>499.43599999999998</v>
          </cell>
          <cell r="D8">
            <v>9.7628124524463511E-2</v>
          </cell>
          <cell r="E8">
            <v>48.758999999999958</v>
          </cell>
          <cell r="F8">
            <v>8.7760994401685027E-2</v>
          </cell>
          <cell r="G8">
            <v>43.83099999999996</v>
          </cell>
          <cell r="H8">
            <v>31.421999999999962</v>
          </cell>
          <cell r="J8">
            <v>73.347999999999999</v>
          </cell>
          <cell r="K8">
            <v>9.7509999999999994</v>
          </cell>
          <cell r="L8">
            <v>18.315000000000001</v>
          </cell>
          <cell r="M8">
            <v>28.066000000000003</v>
          </cell>
        </row>
        <row r="9">
          <cell r="B9" t="str">
            <v>2H07</v>
          </cell>
          <cell r="C9">
            <v>464.28100000000001</v>
          </cell>
          <cell r="D9">
            <v>9.754868280201015E-2</v>
          </cell>
          <cell r="E9">
            <v>45.290000000000077</v>
          </cell>
          <cell r="F9">
            <v>8.5784255655519129E-2</v>
          </cell>
          <cell r="G9">
            <v>39.828000000000074</v>
          </cell>
          <cell r="H9">
            <v>28.996000000000073</v>
          </cell>
          <cell r="J9">
            <v>101.364</v>
          </cell>
          <cell r="K9">
            <v>10.557</v>
          </cell>
          <cell r="L9">
            <v>16.928999999999998</v>
          </cell>
          <cell r="M9">
            <v>27.485999999999997</v>
          </cell>
        </row>
        <row r="10">
          <cell r="B10" t="str">
            <v>1H08</v>
          </cell>
          <cell r="C10">
            <v>460.197</v>
          </cell>
          <cell r="D10">
            <v>0.11159785917770004</v>
          </cell>
          <cell r="E10">
            <v>51.357000000000028</v>
          </cell>
          <cell r="F10">
            <v>9.8099292259619303E-2</v>
          </cell>
          <cell r="G10">
            <v>45.145000000000024</v>
          </cell>
          <cell r="H10">
            <v>32.083000000000027</v>
          </cell>
          <cell r="J10">
            <v>70.620999999999995</v>
          </cell>
          <cell r="K10">
            <v>11.922000000000001</v>
          </cell>
          <cell r="L10">
            <v>13.621</v>
          </cell>
          <cell r="M10">
            <v>25.542999999999999</v>
          </cell>
        </row>
        <row r="11">
          <cell r="B11" t="str">
            <v>2H08</v>
          </cell>
          <cell r="C11">
            <v>493.79399999999998</v>
          </cell>
          <cell r="D11">
            <v>0.10766230452374868</v>
          </cell>
          <cell r="E11">
            <v>53.162999999999954</v>
          </cell>
          <cell r="F11">
            <v>9.4486769786591082E-2</v>
          </cell>
          <cell r="G11">
            <v>46.656999999999954</v>
          </cell>
          <cell r="H11">
            <v>34.077124999999953</v>
          </cell>
          <cell r="J11">
            <v>126.447</v>
          </cell>
          <cell r="K11">
            <v>11.757999999999999</v>
          </cell>
          <cell r="L11">
            <v>13.124000000000001</v>
          </cell>
          <cell r="M11">
            <v>24.881999999999998</v>
          </cell>
        </row>
        <row r="12">
          <cell r="B12" t="str">
            <v>1H09</v>
          </cell>
          <cell r="C12">
            <v>562.70600000000002</v>
          </cell>
          <cell r="D12">
            <v>0.10217235998905289</v>
          </cell>
          <cell r="E12">
            <v>57.492999999999995</v>
          </cell>
          <cell r="F12">
            <v>8.935927464786228E-2</v>
          </cell>
          <cell r="G12">
            <v>50.282999999999994</v>
          </cell>
          <cell r="H12">
            <v>36.849000000000046</v>
          </cell>
          <cell r="J12">
            <v>152.905</v>
          </cell>
          <cell r="K12">
            <v>10.756</v>
          </cell>
          <cell r="L12">
            <v>12.474</v>
          </cell>
          <cell r="M12">
            <v>23.23</v>
          </cell>
        </row>
        <row r="13">
          <cell r="B13" t="str">
            <v>2H09</v>
          </cell>
          <cell r="C13">
            <v>559.81499999999994</v>
          </cell>
          <cell r="D13">
            <v>0.10473638612755967</v>
          </cell>
          <cell r="E13">
            <v>58.632999999999811</v>
          </cell>
          <cell r="F13">
            <v>9.0703178728686829E-2</v>
          </cell>
          <cell r="G13">
            <v>50.776999999999809</v>
          </cell>
          <cell r="H13">
            <v>37.391999999999804</v>
          </cell>
          <cell r="J13">
            <v>152.23500000000001</v>
          </cell>
          <cell r="K13">
            <v>10.702999999999999</v>
          </cell>
          <cell r="L13">
            <v>14.205</v>
          </cell>
          <cell r="M13">
            <v>24.908000000000001</v>
          </cell>
        </row>
        <row r="14">
          <cell r="B14" t="str">
            <v>1H10</v>
          </cell>
          <cell r="C14">
            <v>619.51300000000003</v>
          </cell>
          <cell r="D14">
            <v>0.10356037726407684</v>
          </cell>
          <cell r="E14">
            <v>64.157000000000039</v>
          </cell>
          <cell r="F14">
            <v>8.9583269439059449E-2</v>
          </cell>
          <cell r="G14">
            <v>55.49800000000004</v>
          </cell>
          <cell r="H14">
            <v>40.549000000000035</v>
          </cell>
          <cell r="J14">
            <v>158.61699999999999</v>
          </cell>
          <cell r="K14">
            <v>10.096</v>
          </cell>
          <cell r="L14">
            <v>16.390999999999998</v>
          </cell>
          <cell r="M14">
            <v>26.486999999999998</v>
          </cell>
        </row>
        <row r="15">
          <cell r="B15" t="str">
            <v>2H10</v>
          </cell>
          <cell r="C15">
            <v>655.90700000000004</v>
          </cell>
          <cell r="D15">
            <v>9.9511058732411728E-2</v>
          </cell>
          <cell r="E15">
            <v>65.269999999999982</v>
          </cell>
          <cell r="F15">
            <v>8.711600882442172E-2</v>
          </cell>
          <cell r="G15">
            <v>57.139999999999979</v>
          </cell>
          <cell r="H15">
            <v>42.667999999999978</v>
          </cell>
          <cell r="J15">
            <v>149.19200000000001</v>
          </cell>
          <cell r="K15">
            <v>11.529</v>
          </cell>
          <cell r="L15">
            <v>21.071999999999999</v>
          </cell>
          <cell r="M15">
            <v>32.600999999999999</v>
          </cell>
        </row>
        <row r="16">
          <cell r="B16" t="str">
            <v>2H10</v>
          </cell>
          <cell r="C16">
            <v>700.10500000000002</v>
          </cell>
          <cell r="D16">
            <v>0.1049871090764956</v>
          </cell>
          <cell r="E16">
            <v>73.501999999999953</v>
          </cell>
          <cell r="F16">
            <v>8.9847951378721688E-2</v>
          </cell>
          <cell r="G16">
            <v>62.902999999999949</v>
          </cell>
          <cell r="H16">
            <v>42.667999999999978</v>
          </cell>
          <cell r="J16">
            <v>161.887</v>
          </cell>
          <cell r="K16">
            <v>12.188000000000001</v>
          </cell>
          <cell r="L16">
            <v>20.571000000000002</v>
          </cell>
          <cell r="M16">
            <v>32.759</v>
          </cell>
        </row>
        <row r="17">
          <cell r="B17" t="str">
            <v>2H11</v>
          </cell>
          <cell r="C17">
            <v>743.79099999999994</v>
          </cell>
          <cell r="D17">
            <v>0.10729492559065645</v>
          </cell>
          <cell r="E17">
            <v>79.80499999999995</v>
          </cell>
          <cell r="F17">
            <v>8.8719815109351896E-2</v>
          </cell>
          <cell r="G17">
            <v>65.988999999999947</v>
          </cell>
          <cell r="H17">
            <v>49.546999999999947</v>
          </cell>
          <cell r="J17">
            <v>172.47900000000001</v>
          </cell>
          <cell r="K17">
            <v>13.654</v>
          </cell>
          <cell r="L17">
            <v>29.302</v>
          </cell>
          <cell r="M17">
            <v>42.956000000000003</v>
          </cell>
        </row>
        <row r="63">
          <cell r="B63" t="str">
            <v>Table 3: Monadelphous – Divisional Revenue Breakdown</v>
          </cell>
        </row>
        <row r="64">
          <cell r="B64" t="str">
            <v>Table 3: Monadelphous – Divisional Revenue Breakdown</v>
          </cell>
          <cell r="C64" t="str">
            <v>1H06A</v>
          </cell>
          <cell r="D64" t="str">
            <v>2H06A</v>
          </cell>
          <cell r="E64" t="str">
            <v>FY06A</v>
          </cell>
          <cell r="F64" t="str">
            <v>1H07A</v>
          </cell>
          <cell r="G64" t="str">
            <v>2H07A</v>
          </cell>
          <cell r="H64" t="str">
            <v>FY07A</v>
          </cell>
          <cell r="I64" t="str">
            <v>1H08A</v>
          </cell>
          <cell r="J64" t="str">
            <v>2H08A</v>
          </cell>
          <cell r="K64" t="str">
            <v>FY08A</v>
          </cell>
          <cell r="L64" t="str">
            <v>1H09A</v>
          </cell>
          <cell r="M64" t="str">
            <v>2H09A</v>
          </cell>
          <cell r="N64" t="str">
            <v>FY09A</v>
          </cell>
          <cell r="O64" t="str">
            <v>1H09A</v>
          </cell>
          <cell r="P64" t="str">
            <v>D% pcp</v>
          </cell>
        </row>
        <row r="65">
          <cell r="A65" t="str">
            <v>Engineering Construction</v>
          </cell>
          <cell r="B65" t="str">
            <v>Table 3: Monadelphous – Divisional Revenue Breakdown</v>
          </cell>
          <cell r="C65" t="str">
            <v>1H06A</v>
          </cell>
          <cell r="D65" t="str">
            <v>2H06A</v>
          </cell>
          <cell r="E65" t="str">
            <v>FY06A</v>
          </cell>
          <cell r="F65" t="str">
            <v>1H07A</v>
          </cell>
          <cell r="G65" t="str">
            <v>2H07A</v>
          </cell>
          <cell r="H65" t="str">
            <v>FY07A</v>
          </cell>
          <cell r="I65" t="str">
            <v>1H08A</v>
          </cell>
          <cell r="J65" t="str">
            <v>2H08A</v>
          </cell>
          <cell r="K65" t="str">
            <v>FY08A</v>
          </cell>
          <cell r="L65" t="str">
            <v>1H09A</v>
          </cell>
          <cell r="M65" t="str">
            <v>2H09A</v>
          </cell>
          <cell r="N65" t="str">
            <v>FY09A</v>
          </cell>
          <cell r="O65" t="str">
            <v>1H09A</v>
          </cell>
          <cell r="P65" t="str">
            <v>D% pcp</v>
          </cell>
        </row>
        <row r="66">
          <cell r="A66" t="str">
            <v>Engineering Construction</v>
          </cell>
          <cell r="B66" t="str">
            <v>Sales</v>
          </cell>
          <cell r="C66">
            <v>130.6</v>
          </cell>
          <cell r="D66">
            <v>158.70000000000002</v>
          </cell>
          <cell r="E66">
            <v>289.3</v>
          </cell>
          <cell r="F66">
            <v>354.3</v>
          </cell>
          <cell r="G66">
            <v>303.2</v>
          </cell>
          <cell r="H66">
            <v>657.5</v>
          </cell>
          <cell r="I66">
            <v>265.3</v>
          </cell>
          <cell r="J66">
            <v>310.7</v>
          </cell>
          <cell r="K66">
            <v>576</v>
          </cell>
          <cell r="L66">
            <v>324.5</v>
          </cell>
          <cell r="M66">
            <v>350.29999999999995</v>
          </cell>
          <cell r="N66">
            <v>674.8</v>
          </cell>
          <cell r="O66" t="str">
            <v>1H09A</v>
          </cell>
          <cell r="P66">
            <v>-1</v>
          </cell>
        </row>
        <row r="67">
          <cell r="A67" t="str">
            <v>Engineering Construction</v>
          </cell>
          <cell r="B67" t="str">
            <v>Sales Growth</v>
          </cell>
          <cell r="C67">
            <v>130.6</v>
          </cell>
          <cell r="D67">
            <v>158.70000000000002</v>
          </cell>
          <cell r="E67">
            <v>0.20599999999999999</v>
          </cell>
          <cell r="F67">
            <v>1.7128637059724352</v>
          </cell>
          <cell r="G67">
            <v>0.91052299936988002</v>
          </cell>
          <cell r="H67">
            <v>1.2727272727272725</v>
          </cell>
          <cell r="I67">
            <v>-0.25119954840530623</v>
          </cell>
          <cell r="J67">
            <v>2.4736147757255855E-2</v>
          </cell>
          <cell r="K67">
            <v>-0.12395437262357412</v>
          </cell>
          <cell r="L67">
            <v>0.22314361100640778</v>
          </cell>
          <cell r="M67">
            <v>0.12745413582233645</v>
          </cell>
          <cell r="N67">
            <v>0.17152777777777772</v>
          </cell>
          <cell r="P67">
            <v>-1</v>
          </cell>
        </row>
        <row r="68">
          <cell r="A68" t="str">
            <v>Maintenance and Industrial Services</v>
          </cell>
          <cell r="B68" t="str">
            <v>Sales Growth</v>
          </cell>
          <cell r="C68">
            <v>130.6</v>
          </cell>
          <cell r="D68">
            <v>158.70000000000002</v>
          </cell>
          <cell r="E68">
            <v>0.20599999999999999</v>
          </cell>
          <cell r="F68">
            <v>1.7128637059724352</v>
          </cell>
          <cell r="G68">
            <v>0.91052299936988002</v>
          </cell>
          <cell r="H68">
            <v>1.2727272727272725</v>
          </cell>
          <cell r="I68">
            <v>-0.25119954840530623</v>
          </cell>
          <cell r="J68">
            <v>2.4736147757255855E-2</v>
          </cell>
          <cell r="K68">
            <v>-0.12395437262357412</v>
          </cell>
          <cell r="L68">
            <v>0.22314361100640778</v>
          </cell>
          <cell r="M68">
            <v>0.12745413582233645</v>
          </cell>
          <cell r="N68">
            <v>0.17152777777777772</v>
          </cell>
          <cell r="P68">
            <v>-1</v>
          </cell>
        </row>
        <row r="69">
          <cell r="A69" t="str">
            <v>Maintenance and Industrial Services</v>
          </cell>
          <cell r="B69" t="str">
            <v>Sales</v>
          </cell>
          <cell r="C69">
            <v>96.3</v>
          </cell>
          <cell r="D69">
            <v>111.2</v>
          </cell>
          <cell r="E69">
            <v>207.5</v>
          </cell>
          <cell r="F69">
            <v>132.19999999999999</v>
          </cell>
          <cell r="G69">
            <v>130.30000000000001</v>
          </cell>
          <cell r="H69">
            <v>262.5</v>
          </cell>
          <cell r="I69">
            <v>160.30000000000001</v>
          </cell>
          <cell r="J69">
            <v>156.39999999999998</v>
          </cell>
          <cell r="K69">
            <v>316.7</v>
          </cell>
          <cell r="L69">
            <v>190.2</v>
          </cell>
          <cell r="M69">
            <v>161.69999999999999</v>
          </cell>
          <cell r="N69">
            <v>351.9</v>
          </cell>
          <cell r="P69">
            <v>-1</v>
          </cell>
        </row>
        <row r="70">
          <cell r="A70" t="str">
            <v>Maintenance and Industrial Services</v>
          </cell>
          <cell r="B70" t="str">
            <v>Sales Growth</v>
          </cell>
          <cell r="C70">
            <v>96.3</v>
          </cell>
          <cell r="D70">
            <v>111.2</v>
          </cell>
          <cell r="E70">
            <v>0.51600000000000001</v>
          </cell>
          <cell r="F70">
            <v>0.37279335410176517</v>
          </cell>
          <cell r="G70">
            <v>0.17176258992805771</v>
          </cell>
          <cell r="H70">
            <v>0.26506024096385539</v>
          </cell>
          <cell r="I70">
            <v>0.21255673222390348</v>
          </cell>
          <cell r="J70">
            <v>0.20030698388334578</v>
          </cell>
          <cell r="K70">
            <v>0.20647619047619048</v>
          </cell>
          <cell r="L70">
            <v>0.18652526512788503</v>
          </cell>
          <cell r="M70">
            <v>3.3887468030690648E-2</v>
          </cell>
          <cell r="N70">
            <v>0.11114619513735402</v>
          </cell>
          <cell r="P70">
            <v>-1</v>
          </cell>
        </row>
        <row r="71">
          <cell r="A71" t="str">
            <v>Electrical and Instrumentation Services</v>
          </cell>
          <cell r="B71" t="str">
            <v>Sales Growth</v>
          </cell>
          <cell r="C71">
            <v>96.3</v>
          </cell>
          <cell r="D71">
            <v>111.2</v>
          </cell>
          <cell r="E71">
            <v>0.51600000000000001</v>
          </cell>
          <cell r="F71">
            <v>0.37279335410176517</v>
          </cell>
          <cell r="G71">
            <v>0.17176258992805771</v>
          </cell>
          <cell r="H71">
            <v>0.26506024096385539</v>
          </cell>
          <cell r="I71">
            <v>0.21255673222390348</v>
          </cell>
          <cell r="J71">
            <v>0.20030698388334578</v>
          </cell>
          <cell r="K71">
            <v>0.20647619047619048</v>
          </cell>
          <cell r="L71">
            <v>0.18652526512788503</v>
          </cell>
          <cell r="M71">
            <v>3.3887468030690648E-2</v>
          </cell>
          <cell r="N71">
            <v>0.11114619513735402</v>
          </cell>
          <cell r="P71">
            <v>-1</v>
          </cell>
        </row>
        <row r="72">
          <cell r="A72" t="str">
            <v>Electrical and Instrumentation Services</v>
          </cell>
          <cell r="B72" t="str">
            <v>Sales</v>
          </cell>
          <cell r="C72">
            <v>10.8</v>
          </cell>
          <cell r="D72">
            <v>15.2</v>
          </cell>
          <cell r="E72">
            <v>26</v>
          </cell>
          <cell r="F72">
            <v>40.4</v>
          </cell>
          <cell r="G72">
            <v>31.4</v>
          </cell>
          <cell r="H72">
            <v>71.8</v>
          </cell>
          <cell r="I72">
            <v>40.299999999999997</v>
          </cell>
          <cell r="J72">
            <v>35.700000000000003</v>
          </cell>
          <cell r="K72">
            <v>76</v>
          </cell>
          <cell r="L72">
            <v>48.9</v>
          </cell>
          <cell r="M72">
            <v>51.300000000000004</v>
          </cell>
          <cell r="N72">
            <v>100.2</v>
          </cell>
          <cell r="P72">
            <v>-1</v>
          </cell>
        </row>
        <row r="73">
          <cell r="A73" t="str">
            <v>Electrical and Instrumentation Services</v>
          </cell>
          <cell r="B73" t="str">
            <v>Sales Growth</v>
          </cell>
          <cell r="C73">
            <v>10.8</v>
          </cell>
          <cell r="D73">
            <v>15.2</v>
          </cell>
          <cell r="E73" t="str">
            <v>n/a</v>
          </cell>
          <cell r="F73">
            <v>2.7407407407407405</v>
          </cell>
          <cell r="G73">
            <v>1.0657894736842106</v>
          </cell>
          <cell r="H73">
            <v>1.7615384615384615</v>
          </cell>
          <cell r="I73">
            <v>-2.4752475247524774E-3</v>
          </cell>
          <cell r="J73">
            <v>0.13694267515923575</v>
          </cell>
          <cell r="K73">
            <v>5.8495821727019504E-2</v>
          </cell>
          <cell r="L73">
            <v>0.21339950372208438</v>
          </cell>
          <cell r="M73">
            <v>0.43697478991596639</v>
          </cell>
          <cell r="N73">
            <v>0.31842105263157894</v>
          </cell>
          <cell r="P73">
            <v>-1</v>
          </cell>
        </row>
        <row r="74">
          <cell r="A74" t="str">
            <v>Skystar</v>
          </cell>
          <cell r="B74" t="str">
            <v>Sales Growth</v>
          </cell>
          <cell r="C74">
            <v>10.8</v>
          </cell>
          <cell r="D74">
            <v>15.2</v>
          </cell>
          <cell r="E74" t="str">
            <v>n/a</v>
          </cell>
          <cell r="F74">
            <v>2.7407407407407405</v>
          </cell>
          <cell r="G74">
            <v>1.0657894736842106</v>
          </cell>
          <cell r="H74">
            <v>1.7615384615384615</v>
          </cell>
          <cell r="I74">
            <v>-2.4752475247524774E-3</v>
          </cell>
          <cell r="J74">
            <v>0.13694267515923575</v>
          </cell>
          <cell r="K74">
            <v>5.8495821727019504E-2</v>
          </cell>
          <cell r="L74">
            <v>0.21339950372208438</v>
          </cell>
          <cell r="M74">
            <v>0.43697478991596639</v>
          </cell>
          <cell r="N74">
            <v>0.31842105263157894</v>
          </cell>
          <cell r="P74">
            <v>-1</v>
          </cell>
        </row>
        <row r="75">
          <cell r="A75" t="str">
            <v>Skystar</v>
          </cell>
          <cell r="B75" t="str">
            <v>Sales</v>
          </cell>
          <cell r="C75">
            <v>9.5</v>
          </cell>
          <cell r="D75">
            <v>9.6999999999999993</v>
          </cell>
          <cell r="E75">
            <v>14.8</v>
          </cell>
          <cell r="F75">
            <v>9.5</v>
          </cell>
          <cell r="G75">
            <v>9.6999999999999993</v>
          </cell>
          <cell r="H75">
            <v>19.2</v>
          </cell>
          <cell r="I75">
            <v>10.199999999999999</v>
          </cell>
          <cell r="J75">
            <v>4.5</v>
          </cell>
          <cell r="K75">
            <v>14.7</v>
          </cell>
          <cell r="L75">
            <v>4.9000000000000004</v>
          </cell>
          <cell r="M75">
            <v>5.6</v>
          </cell>
          <cell r="N75">
            <v>10.5</v>
          </cell>
          <cell r="O75">
            <v>6.5</v>
          </cell>
          <cell r="P75">
            <v>0.32653061224489788</v>
          </cell>
        </row>
        <row r="76">
          <cell r="A76" t="str">
            <v>Skystar</v>
          </cell>
          <cell r="B76" t="str">
            <v>Sales Growth</v>
          </cell>
          <cell r="C76">
            <v>9.5</v>
          </cell>
          <cell r="D76">
            <v>9.6999999999999993</v>
          </cell>
          <cell r="E76">
            <v>1.0269999999999999</v>
          </cell>
          <cell r="F76">
            <v>0</v>
          </cell>
          <cell r="G76">
            <v>0</v>
          </cell>
          <cell r="H76">
            <v>0.29729729729729715</v>
          </cell>
          <cell r="I76">
            <v>7.3684210526315796E-2</v>
          </cell>
          <cell r="J76">
            <v>-0.53608247422680411</v>
          </cell>
          <cell r="K76">
            <v>-0.234375</v>
          </cell>
          <cell r="L76">
            <v>-0.51960784313725483</v>
          </cell>
          <cell r="M76">
            <v>0.24444444444444446</v>
          </cell>
          <cell r="N76">
            <v>-0.2857142857142857</v>
          </cell>
          <cell r="O76">
            <v>0.32653061224489788</v>
          </cell>
          <cell r="P76">
            <v>0.32653061224489788</v>
          </cell>
        </row>
        <row r="77">
          <cell r="B77" t="str">
            <v>Source: Company data, Merrill Lynch estimates</v>
          </cell>
          <cell r="C77">
            <v>9.5</v>
          </cell>
          <cell r="D77">
            <v>9.6999999999999993</v>
          </cell>
          <cell r="E77">
            <v>1.0269999999999999</v>
          </cell>
          <cell r="F77">
            <v>0</v>
          </cell>
          <cell r="G77">
            <v>0</v>
          </cell>
          <cell r="H77">
            <v>0.29729729729729715</v>
          </cell>
          <cell r="I77">
            <v>7.3684210526315796E-2</v>
          </cell>
          <cell r="J77">
            <v>-0.53608247422680411</v>
          </cell>
          <cell r="K77">
            <v>-0.234375</v>
          </cell>
          <cell r="L77">
            <v>-0.51960784313725483</v>
          </cell>
          <cell r="M77">
            <v>0.24444444444444446</v>
          </cell>
          <cell r="N77">
            <v>-0.2857142857142857</v>
          </cell>
          <cell r="O77">
            <v>0.32653061224489788</v>
          </cell>
          <cell r="P77">
            <v>0.32653061224489788</v>
          </cell>
        </row>
        <row r="78">
          <cell r="A78" t="str">
            <v>Adjusted for skystar divestment</v>
          </cell>
          <cell r="B78" t="str">
            <v>Source: Company data, Merrill Lynch estimates</v>
          </cell>
          <cell r="E78">
            <v>4.3</v>
          </cell>
          <cell r="F78">
            <v>0</v>
          </cell>
          <cell r="G78">
            <v>0</v>
          </cell>
          <cell r="H78">
            <v>6.4</v>
          </cell>
          <cell r="I78">
            <v>3.3424283765347886</v>
          </cell>
          <cell r="J78">
            <v>4.5</v>
          </cell>
          <cell r="K78">
            <v>7.4</v>
          </cell>
          <cell r="L78">
            <v>4.9000000000000004</v>
          </cell>
          <cell r="M78">
            <v>5.6</v>
          </cell>
          <cell r="N78">
            <v>10.5</v>
          </cell>
          <cell r="O78">
            <v>6.5</v>
          </cell>
          <cell r="P78">
            <v>0.32653061224489788</v>
          </cell>
        </row>
        <row r="79">
          <cell r="A79" t="str">
            <v>Adjusted for skystar divestment</v>
          </cell>
          <cell r="B79" t="str">
            <v>Source: Company data, Merrill Lynch estimates</v>
          </cell>
          <cell r="E79">
            <v>1.1499999999999999</v>
          </cell>
          <cell r="H79">
            <v>0.48837209302325602</v>
          </cell>
          <cell r="I79">
            <v>3.3424283765347886</v>
          </cell>
          <cell r="J79">
            <v>4.5</v>
          </cell>
          <cell r="K79">
            <v>0.15625</v>
          </cell>
          <cell r="L79">
            <v>0.46599999999999997</v>
          </cell>
          <cell r="M79">
            <v>0.24444444444444446</v>
          </cell>
          <cell r="N79">
            <v>0.41891891891891886</v>
          </cell>
          <cell r="O79">
            <v>0.32653061224489788</v>
          </cell>
          <cell r="P79">
            <v>0.32653061224489788</v>
          </cell>
        </row>
        <row r="80">
          <cell r="A80" t="str">
            <v>Adjusted for skystar divestment</v>
          </cell>
          <cell r="E80">
            <v>1.1499999999999999</v>
          </cell>
          <cell r="H80">
            <v>0.48837209302325602</v>
          </cell>
          <cell r="I80">
            <v>3.3424283765347886</v>
          </cell>
          <cell r="J80">
            <v>4.5</v>
          </cell>
          <cell r="K80">
            <v>0.15625</v>
          </cell>
          <cell r="L80">
            <v>0.46599999999999997</v>
          </cell>
          <cell r="M80">
            <v>0.24444444444444446</v>
          </cell>
          <cell r="N80">
            <v>0.41891891891891886</v>
          </cell>
          <cell r="O80">
            <v>0.32653061224489788</v>
          </cell>
          <cell r="P80">
            <v>0.32653061224489788</v>
          </cell>
        </row>
        <row r="81">
          <cell r="E81">
            <v>1.1499999999999999</v>
          </cell>
          <cell r="H81">
            <v>0.48837209302325602</v>
          </cell>
          <cell r="K81">
            <v>0.15625</v>
          </cell>
          <cell r="L81">
            <v>0.46599999999999997</v>
          </cell>
          <cell r="M81">
            <v>0.24444444444444446</v>
          </cell>
          <cell r="N81">
            <v>0.41891891891891886</v>
          </cell>
          <cell r="O81">
            <v>0.32653061224489788</v>
          </cell>
        </row>
        <row r="83">
          <cell r="C83" t="str">
            <v>1H06A</v>
          </cell>
          <cell r="D83" t="str">
            <v>2H06A</v>
          </cell>
          <cell r="E83" t="str">
            <v>1H07A</v>
          </cell>
          <cell r="F83" t="str">
            <v>2H07A</v>
          </cell>
          <cell r="G83" t="str">
            <v>1H08A</v>
          </cell>
          <cell r="H83" t="str">
            <v>2H08A</v>
          </cell>
          <cell r="I83" t="str">
            <v>1H09A</v>
          </cell>
          <cell r="J83" t="str">
            <v>2H09A</v>
          </cell>
          <cell r="K83" t="str">
            <v>1H10A</v>
          </cell>
          <cell r="L83" t="str">
            <v>2H10A</v>
          </cell>
          <cell r="M83" t="str">
            <v>D% pcp</v>
          </cell>
        </row>
        <row r="84">
          <cell r="B84" t="str">
            <v>Engineering Construction</v>
          </cell>
          <cell r="C84">
            <v>130.6</v>
          </cell>
          <cell r="D84">
            <v>158.69999999999999</v>
          </cell>
          <cell r="E84">
            <v>354.3</v>
          </cell>
          <cell r="F84">
            <v>303.2</v>
          </cell>
          <cell r="G84">
            <v>265.3</v>
          </cell>
          <cell r="H84">
            <v>310.7</v>
          </cell>
          <cell r="I84">
            <v>324.5</v>
          </cell>
          <cell r="J84">
            <v>350.3</v>
          </cell>
          <cell r="K84">
            <v>438.3</v>
          </cell>
          <cell r="L84">
            <v>451.7</v>
          </cell>
          <cell r="M84" t="str">
            <v>1H11A</v>
          </cell>
          <cell r="N84" t="str">
            <v>D% pcp</v>
          </cell>
        </row>
        <row r="85">
          <cell r="B85" t="str">
            <v>Maintenance and Industrial Services</v>
          </cell>
          <cell r="C85">
            <v>96.3</v>
          </cell>
          <cell r="D85">
            <v>111.2</v>
          </cell>
          <cell r="E85">
            <v>132.19999999999999</v>
          </cell>
          <cell r="F85">
            <v>130.30000000000001</v>
          </cell>
          <cell r="G85">
            <v>160.30000000000001</v>
          </cell>
          <cell r="H85">
            <v>156.4</v>
          </cell>
          <cell r="I85">
            <v>190.2</v>
          </cell>
          <cell r="J85">
            <v>161.69999999999999</v>
          </cell>
          <cell r="K85">
            <v>176.9</v>
          </cell>
          <cell r="L85">
            <v>199.29999999999998</v>
          </cell>
          <cell r="M85">
            <v>4.784437434279698E-2</v>
          </cell>
          <cell r="N85" t="str">
            <v>2H11A</v>
          </cell>
          <cell r="O85" t="str">
            <v>D% pcp</v>
          </cell>
        </row>
        <row r="86">
          <cell r="B86" t="str">
            <v>Electrical and Instrumentation Services</v>
          </cell>
          <cell r="C86">
            <v>10.8</v>
          </cell>
          <cell r="D86">
            <v>15.2</v>
          </cell>
          <cell r="E86">
            <v>40.4</v>
          </cell>
          <cell r="F86">
            <v>31.4</v>
          </cell>
          <cell r="G86">
            <v>40.299999999999997</v>
          </cell>
          <cell r="H86">
            <v>35.700000000000003</v>
          </cell>
          <cell r="I86">
            <v>48.9</v>
          </cell>
          <cell r="J86">
            <v>51.3</v>
          </cell>
          <cell r="K86">
            <v>176.9</v>
          </cell>
          <cell r="L86">
            <v>199.29999999999998</v>
          </cell>
          <cell r="M86">
            <v>188.1</v>
          </cell>
          <cell r="N86">
            <v>4.784437434279698E-2</v>
          </cell>
        </row>
        <row r="87">
          <cell r="B87" t="str">
            <v>Engineering Construction (including MiE)</v>
          </cell>
          <cell r="C87">
            <v>141.4</v>
          </cell>
          <cell r="D87">
            <v>173.89999999999998</v>
          </cell>
          <cell r="E87">
            <v>394.7</v>
          </cell>
          <cell r="F87">
            <v>334.59999999999997</v>
          </cell>
          <cell r="G87">
            <v>305.60000000000002</v>
          </cell>
          <cell r="H87">
            <v>346.4</v>
          </cell>
          <cell r="I87">
            <v>373.4</v>
          </cell>
          <cell r="J87">
            <v>401.6</v>
          </cell>
          <cell r="K87">
            <v>438.3</v>
          </cell>
          <cell r="L87">
            <v>451.7</v>
          </cell>
          <cell r="M87">
            <v>0.20969469737546875</v>
          </cell>
          <cell r="N87">
            <v>213.20000000000002</v>
          </cell>
          <cell r="O87">
            <v>4.784437434279698E-2</v>
          </cell>
        </row>
        <row r="88">
          <cell r="B88" t="str">
            <v>Engineering Construction (including MiE)</v>
          </cell>
          <cell r="C88">
            <v>0.40513251998317207</v>
          </cell>
          <cell r="D88">
            <v>0.39003858295334976</v>
          </cell>
          <cell r="E88">
            <v>0.2509014993357373</v>
          </cell>
          <cell r="F88">
            <v>0.28027532802753286</v>
          </cell>
          <cell r="G88">
            <v>0.34406525005365957</v>
          </cell>
          <cell r="H88">
            <v>0.31105807478122516</v>
          </cell>
          <cell r="I88">
            <v>0.33747338537970195</v>
          </cell>
          <cell r="J88">
            <v>0.28705840582282977</v>
          </cell>
          <cell r="K88">
            <v>0.28754876462938883</v>
          </cell>
          <cell r="L88">
            <v>0.30614439324116743</v>
          </cell>
          <cell r="M88">
            <v>466.8</v>
          </cell>
          <cell r="N88">
            <v>0.20969469737546875</v>
          </cell>
        </row>
        <row r="89">
          <cell r="B89" t="str">
            <v>Engineering Construction (including MiE)</v>
          </cell>
          <cell r="C89">
            <v>0.40513251998317207</v>
          </cell>
          <cell r="D89">
            <v>0.39003858295334976</v>
          </cell>
          <cell r="E89">
            <v>0.2509014993357373</v>
          </cell>
          <cell r="F89">
            <v>0.28027532802753286</v>
          </cell>
          <cell r="G89">
            <v>0.34406525005365957</v>
          </cell>
          <cell r="H89">
            <v>0.31105807478122516</v>
          </cell>
          <cell r="I89">
            <v>0.33747338537970195</v>
          </cell>
          <cell r="J89">
            <v>0.28705840582282977</v>
          </cell>
          <cell r="K89">
            <v>0.28754876462938883</v>
          </cell>
          <cell r="L89">
            <v>0.30614439324116743</v>
          </cell>
          <cell r="M89">
            <v>0.28721942281264318</v>
          </cell>
          <cell r="N89">
            <v>462.99999999999994</v>
          </cell>
          <cell r="O89">
            <v>0.20969469737546875</v>
          </cell>
        </row>
        <row r="90">
          <cell r="C90">
            <v>0.40513251998317207</v>
          </cell>
          <cell r="D90">
            <v>0.39003858295334976</v>
          </cell>
          <cell r="E90">
            <v>0.2509014993357373</v>
          </cell>
          <cell r="F90">
            <v>0.28027532802753286</v>
          </cell>
          <cell r="G90">
            <v>0.34406525005365957</v>
          </cell>
          <cell r="H90">
            <v>0.31105807478122516</v>
          </cell>
          <cell r="I90">
            <v>0.33747338537970195</v>
          </cell>
          <cell r="J90">
            <v>0.28705840582282977</v>
          </cell>
          <cell r="K90">
            <v>0.28754876462938883</v>
          </cell>
          <cell r="L90">
            <v>0.30614439324116743</v>
          </cell>
          <cell r="M90">
            <v>0.28721942281264318</v>
          </cell>
          <cell r="N90">
            <v>0.31529133392487435</v>
          </cell>
        </row>
      </sheetData>
      <sheetData sheetId="20" refreshError="1"/>
      <sheetData sheetId="21" refreshError="1">
        <row r="1">
          <cell r="A1" t="str">
            <v>Inputs</v>
          </cell>
          <cell r="J1">
            <v>85948449</v>
          </cell>
        </row>
        <row r="2">
          <cell r="A2" t="str">
            <v>Model</v>
          </cell>
          <cell r="E2" t="str">
            <v>Template</v>
          </cell>
          <cell r="I2" t="str">
            <v>Shareholder</v>
          </cell>
          <cell r="J2" t="str">
            <v>% Holding</v>
          </cell>
        </row>
        <row r="3">
          <cell r="A3" t="str">
            <v>Company Code</v>
          </cell>
          <cell r="B3" t="str">
            <v>MND</v>
          </cell>
          <cell r="E3" t="str">
            <v>Confidence</v>
          </cell>
          <cell r="F3">
            <v>0</v>
          </cell>
          <cell r="I3" t="str">
            <v>Thorney Pty Ltd</v>
          </cell>
          <cell r="J3">
            <v>6.8400000000000002E-2</v>
          </cell>
          <cell r="K3">
            <v>5875486</v>
          </cell>
          <cell r="L3">
            <v>6.8360582050759289E-2</v>
          </cell>
          <cell r="M3">
            <v>40046</v>
          </cell>
        </row>
        <row r="4">
          <cell r="A4" t="str">
            <v>Current Price</v>
          </cell>
          <cell r="B4">
            <v>19.170000000000002</v>
          </cell>
          <cell r="E4" t="str">
            <v>Management Rating</v>
          </cell>
          <cell r="F4">
            <v>0</v>
          </cell>
        </row>
        <row r="5">
          <cell r="A5" t="str">
            <v>Shares Out</v>
          </cell>
          <cell r="B5">
            <v>86.036699999999996</v>
          </cell>
          <cell r="E5" t="str">
            <v>Growth rating</v>
          </cell>
          <cell r="F5">
            <v>0</v>
          </cell>
          <cell r="I5" t="str">
            <v>Barclays Group</v>
          </cell>
          <cell r="J5">
            <v>7.9200000000000007E-2</v>
          </cell>
          <cell r="K5">
            <v>6804352</v>
          </cell>
          <cell r="L5">
            <v>7.9167827682382022E-2</v>
          </cell>
          <cell r="M5">
            <v>39891</v>
          </cell>
        </row>
        <row r="6">
          <cell r="A6" t="str">
            <v>Market Capitalisation</v>
          </cell>
          <cell r="B6">
            <v>1649.323539</v>
          </cell>
          <cell r="E6" t="str">
            <v>Risk rating</v>
          </cell>
          <cell r="F6">
            <v>0</v>
          </cell>
          <cell r="I6" t="str">
            <v>IOOF Holdings Limited</v>
          </cell>
          <cell r="J6">
            <v>5.1150000000000001E-2</v>
          </cell>
          <cell r="K6">
            <v>4396653</v>
          </cell>
          <cell r="L6">
            <v>5.1154535668235267E-2</v>
          </cell>
          <cell r="M6" t="str">
            <v>Ceased</v>
          </cell>
        </row>
        <row r="7">
          <cell r="A7" t="str">
            <v>Adjusted Market Value</v>
          </cell>
          <cell r="B7">
            <v>1649.323539</v>
          </cell>
        </row>
        <row r="8">
          <cell r="A8" t="str">
            <v>Beta</v>
          </cell>
          <cell r="B8">
            <v>1.2</v>
          </cell>
          <cell r="C8" t="str">
            <v>Relative to Small Industrials</v>
          </cell>
          <cell r="D8">
            <v>40543</v>
          </cell>
          <cell r="E8" t="str">
            <v>Export Comment</v>
          </cell>
          <cell r="F8" t="str">
            <v>FY09 Result.</v>
          </cell>
        </row>
        <row r="9">
          <cell r="A9" t="str">
            <v>PE Premium/Discount</v>
          </cell>
          <cell r="B9">
            <v>0.17309537420876039</v>
          </cell>
          <cell r="C9" t="str">
            <v>Relative to Small Industrials (from Dec 1999)</v>
          </cell>
          <cell r="I9" t="str">
            <v>Directors' Shareholdings</v>
          </cell>
          <cell r="J9" t="str">
            <v>% Holding</v>
          </cell>
          <cell r="K9" t="str">
            <v>Shares</v>
          </cell>
          <cell r="L9" t="str">
            <v>Date</v>
          </cell>
          <cell r="M9" t="str">
            <v>Last Change</v>
          </cell>
          <cell r="N9" t="str">
            <v>Value</v>
          </cell>
        </row>
        <row r="10">
          <cell r="A10" t="str">
            <v>Free Float</v>
          </cell>
          <cell r="B10">
            <v>100</v>
          </cell>
          <cell r="I10" t="str">
            <v>John Rubino (Chairman, ex-MND MD)</v>
          </cell>
          <cell r="J10">
            <v>3.4951183354105665E-2</v>
          </cell>
          <cell r="K10">
            <v>3004000</v>
          </cell>
          <cell r="L10">
            <v>39363</v>
          </cell>
          <cell r="M10" t="str">
            <v>Sold 1,000,000 @ $15.00</v>
          </cell>
          <cell r="N10">
            <v>57.586680000000008</v>
          </cell>
        </row>
        <row r="11">
          <cell r="I11" t="str">
            <v>Irwin Tollman (ex-MND Finance Director)</v>
          </cell>
          <cell r="J11">
            <v>7.7672838517423388E-3</v>
          </cell>
          <cell r="K11">
            <v>667586</v>
          </cell>
          <cell r="L11">
            <v>38971</v>
          </cell>
          <cell r="M11" t="str">
            <v>Sold 38,566 @ $6.63</v>
          </cell>
          <cell r="N11">
            <v>12.797623620000001</v>
          </cell>
        </row>
        <row r="12">
          <cell r="A12" t="str">
            <v>FY0</v>
          </cell>
          <cell r="B12">
            <v>2010</v>
          </cell>
          <cell r="C12" t="str">
            <v>West LB Scores</v>
          </cell>
          <cell r="I12" t="str">
            <v>Rob Velletri (Managing Director)</v>
          </cell>
          <cell r="J12">
            <v>1.8034065978316839E-2</v>
          </cell>
          <cell r="K12">
            <v>1550000</v>
          </cell>
          <cell r="L12">
            <v>39114</v>
          </cell>
          <cell r="M12" t="str">
            <v>Exercised 150,000 @ $1.95</v>
          </cell>
          <cell r="N12">
            <v>29.713500000000003</v>
          </cell>
          <cell r="O12" t="str">
            <v>450,000 options</v>
          </cell>
        </row>
        <row r="13">
          <cell r="A13" t="str">
            <v>FY1</v>
          </cell>
          <cell r="B13">
            <v>2011</v>
          </cell>
          <cell r="C13">
            <v>1</v>
          </cell>
          <cell r="I13" t="str">
            <v>Peter Dempsey (ex- MD AW Baulderstone (Holdings) Pty Ltd)</v>
          </cell>
          <cell r="J13">
            <v>7.9117192679067428E-4</v>
          </cell>
          <cell r="K13">
            <v>68000</v>
          </cell>
          <cell r="L13">
            <v>38961</v>
          </cell>
          <cell r="M13" t="str">
            <v>Bought 10,000 @ $6.59</v>
          </cell>
          <cell r="N13">
            <v>1.3035600000000003</v>
          </cell>
        </row>
        <row r="14">
          <cell r="B14">
            <v>2012</v>
          </cell>
          <cell r="C14">
            <v>1</v>
          </cell>
          <cell r="I14" t="str">
            <v>Christopher Michelmore (ex-Connell Wagner)</v>
          </cell>
          <cell r="J14">
            <v>0</v>
          </cell>
          <cell r="K14">
            <v>0</v>
          </cell>
          <cell r="N14">
            <v>0</v>
          </cell>
        </row>
        <row r="15">
          <cell r="B15">
            <v>2013</v>
          </cell>
          <cell r="C15" t="e">
            <v>#REF!</v>
          </cell>
        </row>
        <row r="16">
          <cell r="B16">
            <v>2014</v>
          </cell>
          <cell r="C16" t="e">
            <v>#REF!</v>
          </cell>
          <cell r="G16" t="str">
            <v>Price</v>
          </cell>
          <cell r="H16" t="str">
            <v>Date of Notice</v>
          </cell>
          <cell r="I16" t="str">
            <v>Subtantial Shareholder</v>
          </cell>
          <cell r="J16" t="str">
            <v>Shares</v>
          </cell>
          <cell r="K16" t="str">
            <v>%</v>
          </cell>
          <cell r="N16" t="str">
            <v>% Change from</v>
          </cell>
        </row>
        <row r="17">
          <cell r="G17">
            <v>0.60790149999999998</v>
          </cell>
          <cell r="H17">
            <v>35551</v>
          </cell>
          <cell r="I17" t="str">
            <v>Thorney Pty Ltd</v>
          </cell>
          <cell r="J17">
            <v>1767601</v>
          </cell>
          <cell r="K17">
            <v>0.1212</v>
          </cell>
          <cell r="L17" t="str">
            <v>Increased</v>
          </cell>
          <cell r="M17">
            <v>1567750</v>
          </cell>
          <cell r="N17">
            <v>0.11119999999999999</v>
          </cell>
        </row>
        <row r="18">
          <cell r="C18" t="str">
            <v>Score range: Very undervalued = +2, Very overvalued = -2</v>
          </cell>
          <cell r="G18">
            <v>0.7028276</v>
          </cell>
          <cell r="H18">
            <v>35682</v>
          </cell>
          <cell r="I18" t="str">
            <v>Bontempo Nominees Pty Ltd</v>
          </cell>
          <cell r="L18" t="str">
            <v>Ceased</v>
          </cell>
        </row>
        <row r="19">
          <cell r="A19" t="str">
            <v>F&amp;C Absolute Score</v>
          </cell>
          <cell r="B19">
            <v>0</v>
          </cell>
          <cell r="C19" t="str">
            <v>Relative to Trading History</v>
          </cell>
          <cell r="G19">
            <v>0.71545320000000001</v>
          </cell>
          <cell r="H19">
            <v>35684</v>
          </cell>
          <cell r="I19" t="str">
            <v>Perpetual Trustees Australia Limited</v>
          </cell>
          <cell r="J19">
            <v>1445000</v>
          </cell>
          <cell r="K19">
            <v>9.9000000000000005E-2</v>
          </cell>
          <cell r="L19" t="str">
            <v>Lodged</v>
          </cell>
        </row>
        <row r="20">
          <cell r="A20" t="str">
            <v>F&amp;C Relative Score</v>
          </cell>
          <cell r="B20">
            <v>-1</v>
          </cell>
          <cell r="C20" t="str">
            <v>Value relative to peers</v>
          </cell>
          <cell r="G20">
            <v>0.70142470000000001</v>
          </cell>
          <cell r="H20">
            <v>35733</v>
          </cell>
          <cell r="I20" t="str">
            <v>Perpetual Trustees Australia Limited</v>
          </cell>
          <cell r="J20">
            <v>1607004</v>
          </cell>
          <cell r="K20">
            <v>0.1101</v>
          </cell>
          <cell r="L20" t="str">
            <v>Increased</v>
          </cell>
          <cell r="M20">
            <v>1445000</v>
          </cell>
          <cell r="N20">
            <v>9.9000000000000005E-2</v>
          </cell>
        </row>
        <row r="21">
          <cell r="A21" t="str">
            <v>Date last calculated</v>
          </cell>
          <cell r="B21">
            <v>40578</v>
          </cell>
          <cell r="G21">
            <v>0.65466309999999994</v>
          </cell>
          <cell r="H21">
            <v>35823</v>
          </cell>
          <cell r="I21" t="str">
            <v>Thorney Pty Ltd</v>
          </cell>
          <cell r="J21">
            <v>1470281</v>
          </cell>
          <cell r="K21">
            <v>9.9000000000000005E-2</v>
          </cell>
          <cell r="L21" t="str">
            <v>Decreased</v>
          </cell>
          <cell r="M21">
            <v>1767601</v>
          </cell>
          <cell r="N21">
            <v>0.1212</v>
          </cell>
        </row>
        <row r="22">
          <cell r="G22">
            <v>0.73182000000000003</v>
          </cell>
          <cell r="H22">
            <v>35872</v>
          </cell>
          <cell r="I22" t="str">
            <v>Perpetual Trustees Australia Limited</v>
          </cell>
          <cell r="J22">
            <v>1484461</v>
          </cell>
          <cell r="K22">
            <v>0.1</v>
          </cell>
          <cell r="L22" t="str">
            <v>Decreased</v>
          </cell>
          <cell r="M22">
            <v>1607004</v>
          </cell>
          <cell r="N22">
            <v>0.1101</v>
          </cell>
        </row>
        <row r="23">
          <cell r="G23">
            <v>0.73649599999999993</v>
          </cell>
          <cell r="H23">
            <v>35877</v>
          </cell>
          <cell r="I23" t="str">
            <v>Perpetual Trustees Australia Limited</v>
          </cell>
          <cell r="J23">
            <v>1309461</v>
          </cell>
          <cell r="K23">
            <v>8.8200000000000001E-2</v>
          </cell>
          <cell r="L23" t="str">
            <v>Decreased</v>
          </cell>
          <cell r="M23">
            <v>1484461</v>
          </cell>
          <cell r="N23">
            <v>0.1</v>
          </cell>
        </row>
        <row r="24">
          <cell r="G24">
            <v>0.73649599999999993</v>
          </cell>
          <cell r="H24">
            <v>35877</v>
          </cell>
          <cell r="I24" t="str">
            <v>NM Rothschild &amp; Sons (Australia) Pty Ltd</v>
          </cell>
          <cell r="J24">
            <v>895440</v>
          </cell>
          <cell r="K24">
            <v>6.0299999999999999E-2</v>
          </cell>
          <cell r="L24" t="str">
            <v>Lodged</v>
          </cell>
        </row>
        <row r="25">
          <cell r="G25">
            <v>0.74818639999999992</v>
          </cell>
          <cell r="H25">
            <v>35901</v>
          </cell>
          <cell r="I25" t="str">
            <v>Perpetual Trustees Australia Limited</v>
          </cell>
          <cell r="L25" t="str">
            <v>Ceased</v>
          </cell>
        </row>
        <row r="26">
          <cell r="A26" t="str">
            <v>Betas (relative to XSI)</v>
          </cell>
          <cell r="G26">
            <v>0.74818639999999992</v>
          </cell>
          <cell r="H26">
            <v>35901</v>
          </cell>
          <cell r="I26" t="str">
            <v>NM Rothschild &amp; Sons (Australia) Pty Ltd</v>
          </cell>
          <cell r="J26">
            <v>1685928</v>
          </cell>
          <cell r="K26">
            <v>0.11119999999999999</v>
          </cell>
          <cell r="L26" t="str">
            <v>Increased</v>
          </cell>
          <cell r="M26">
            <v>895440</v>
          </cell>
          <cell r="N26">
            <v>6.0299999999999999E-2</v>
          </cell>
        </row>
        <row r="27">
          <cell r="A27">
            <v>39082</v>
          </cell>
          <cell r="B27" t="e">
            <v>#NAME?</v>
          </cell>
          <cell r="G27">
            <v>0.72480549999999999</v>
          </cell>
          <cell r="H27">
            <v>35916</v>
          </cell>
          <cell r="I27" t="str">
            <v>Mercantile Mutual Holdings Ltd</v>
          </cell>
          <cell r="J27">
            <v>1570934</v>
          </cell>
          <cell r="K27">
            <v>0.1036</v>
          </cell>
          <cell r="L27" t="str">
            <v>Lodged</v>
          </cell>
        </row>
        <row r="28">
          <cell r="A28">
            <v>39172</v>
          </cell>
          <cell r="B28" t="e">
            <v>#NAME?</v>
          </cell>
          <cell r="G28">
            <v>0.64297269999999995</v>
          </cell>
          <cell r="H28">
            <v>36006</v>
          </cell>
          <cell r="I28" t="str">
            <v>NM Rothschild &amp; Sons (Australia) Pty Ltd</v>
          </cell>
          <cell r="J28">
            <v>1856846</v>
          </cell>
          <cell r="K28">
            <v>0.12239999999999999</v>
          </cell>
          <cell r="L28" t="str">
            <v>Increased</v>
          </cell>
          <cell r="M28">
            <v>1685928</v>
          </cell>
          <cell r="N28">
            <v>0.11119999999999999</v>
          </cell>
        </row>
        <row r="29">
          <cell r="A29">
            <v>39263</v>
          </cell>
          <cell r="B29" t="e">
            <v>#NAME?</v>
          </cell>
          <cell r="G29">
            <v>0.63128229999999996</v>
          </cell>
          <cell r="H29">
            <v>36196</v>
          </cell>
          <cell r="I29" t="str">
            <v>NM Rothschild &amp; Sons (Australia) Pty Ltd</v>
          </cell>
          <cell r="J29">
            <v>2194766</v>
          </cell>
          <cell r="K29">
            <v>0.1394</v>
          </cell>
          <cell r="L29" t="str">
            <v>Increased</v>
          </cell>
          <cell r="M29">
            <v>1856846</v>
          </cell>
          <cell r="N29">
            <v>0.12239999999999999</v>
          </cell>
        </row>
        <row r="30">
          <cell r="A30">
            <v>39355</v>
          </cell>
          <cell r="B30" t="e">
            <v>#NAME?</v>
          </cell>
          <cell r="G30">
            <v>0.73182000000000003</v>
          </cell>
          <cell r="H30">
            <v>36341</v>
          </cell>
          <cell r="I30" t="str">
            <v>NM Rothschild &amp; Sons (Australia) Pty Ltd</v>
          </cell>
          <cell r="J30">
            <v>2437380</v>
          </cell>
          <cell r="K30">
            <v>0.15029999999999999</v>
          </cell>
          <cell r="L30" t="str">
            <v>Increased</v>
          </cell>
          <cell r="M30">
            <v>2194766</v>
          </cell>
          <cell r="N30">
            <v>0.1394</v>
          </cell>
        </row>
        <row r="31">
          <cell r="A31">
            <v>39447</v>
          </cell>
          <cell r="B31" t="e">
            <v>#NAME?</v>
          </cell>
          <cell r="G31">
            <v>0.77156720000000001</v>
          </cell>
          <cell r="H31">
            <v>36441</v>
          </cell>
          <cell r="I31" t="str">
            <v>Perpetual Trustees Australia Limited</v>
          </cell>
          <cell r="J31">
            <v>850036</v>
          </cell>
          <cell r="K31">
            <v>5.1499999999999997E-2</v>
          </cell>
          <cell r="L31" t="str">
            <v>Lodged</v>
          </cell>
        </row>
        <row r="32">
          <cell r="A32">
            <v>39538</v>
          </cell>
          <cell r="B32" t="e">
            <v>#NAME?</v>
          </cell>
          <cell r="G32">
            <v>0.79494799999999999</v>
          </cell>
          <cell r="H32">
            <v>36451</v>
          </cell>
          <cell r="I32" t="str">
            <v>Perpetual Trustees Australia Limited</v>
          </cell>
          <cell r="J32">
            <v>1060521</v>
          </cell>
          <cell r="K32">
            <v>6.4199999999999993E-2</v>
          </cell>
          <cell r="L32" t="str">
            <v>Increased</v>
          </cell>
          <cell r="M32">
            <v>850036</v>
          </cell>
          <cell r="N32">
            <v>5.1499999999999997E-2</v>
          </cell>
        </row>
        <row r="33">
          <cell r="A33">
            <v>39629</v>
          </cell>
          <cell r="B33" t="e">
            <v>#NAME?</v>
          </cell>
          <cell r="G33">
            <v>0.86509049999999998</v>
          </cell>
          <cell r="H33">
            <v>36476</v>
          </cell>
          <cell r="I33" t="str">
            <v>NM Rothschild &amp; Sons (Australia) Pty Ltd</v>
          </cell>
          <cell r="J33">
            <v>2285455</v>
          </cell>
          <cell r="K33">
            <v>0.13850000000000001</v>
          </cell>
          <cell r="L33" t="str">
            <v>Decreased</v>
          </cell>
          <cell r="M33">
            <v>2437380</v>
          </cell>
          <cell r="N33">
            <v>0.15029999999999999</v>
          </cell>
        </row>
        <row r="34">
          <cell r="A34">
            <v>39721</v>
          </cell>
          <cell r="B34" t="e">
            <v>#NAME?</v>
          </cell>
          <cell r="G34">
            <v>0.67804399999999998</v>
          </cell>
          <cell r="H34">
            <v>36746</v>
          </cell>
          <cell r="I34" t="str">
            <v>Perpetual Trustees Australia Limited</v>
          </cell>
          <cell r="L34" t="str">
            <v>Ceased</v>
          </cell>
        </row>
        <row r="35">
          <cell r="A35">
            <v>39813</v>
          </cell>
          <cell r="B35" t="e">
            <v>#NAME?</v>
          </cell>
          <cell r="G35">
            <v>0.60790149999999998</v>
          </cell>
          <cell r="H35">
            <v>36822</v>
          </cell>
          <cell r="I35" t="str">
            <v>NM Rothschild &amp; Sons (Australia) Pty Ltd</v>
          </cell>
          <cell r="J35">
            <v>2163121</v>
          </cell>
          <cell r="K35">
            <v>0.12709999999999999</v>
          </cell>
          <cell r="L35" t="str">
            <v>Decreased</v>
          </cell>
          <cell r="M35">
            <v>2285455</v>
          </cell>
          <cell r="N35">
            <v>0.13850000000000001</v>
          </cell>
        </row>
        <row r="36">
          <cell r="A36">
            <v>39903</v>
          </cell>
          <cell r="B36" t="e">
            <v>#NAME?</v>
          </cell>
          <cell r="G36">
            <v>0.60790149999999998</v>
          </cell>
          <cell r="H36">
            <v>36816</v>
          </cell>
          <cell r="I36" t="str">
            <v>Mercantile Mutual Holdings Ltd</v>
          </cell>
          <cell r="J36">
            <v>1556925</v>
          </cell>
          <cell r="K36">
            <v>9.1499999999999998E-2</v>
          </cell>
          <cell r="L36" t="str">
            <v>Decreased</v>
          </cell>
          <cell r="M36">
            <v>1570934</v>
          </cell>
          <cell r="N36">
            <v>0.1036</v>
          </cell>
        </row>
        <row r="37">
          <cell r="A37">
            <v>39994</v>
          </cell>
          <cell r="B37" t="e">
            <v>#NAME?</v>
          </cell>
          <cell r="G37">
            <v>0.64750000000000008</v>
          </cell>
          <cell r="H37">
            <v>36875</v>
          </cell>
          <cell r="I37" t="str">
            <v>NM Rothschild &amp; Sons (Australia) Pty Ltd</v>
          </cell>
          <cell r="J37">
            <v>1875218</v>
          </cell>
          <cell r="K37">
            <v>0.1023</v>
          </cell>
          <cell r="L37" t="str">
            <v>Decreased</v>
          </cell>
          <cell r="M37">
            <v>2163121</v>
          </cell>
          <cell r="N37">
            <v>0.12709999999999999</v>
          </cell>
        </row>
        <row r="38">
          <cell r="A38" t="str">
            <v>Current</v>
          </cell>
          <cell r="B38" t="e">
            <v>#NAME?</v>
          </cell>
          <cell r="G38">
            <v>0.62750000000000006</v>
          </cell>
          <cell r="H38">
            <v>36907</v>
          </cell>
          <cell r="I38" t="str">
            <v>ING Australia Limited</v>
          </cell>
          <cell r="J38">
            <v>1870690</v>
          </cell>
          <cell r="K38">
            <v>0.10199999999999999</v>
          </cell>
          <cell r="L38" t="str">
            <v>Increased</v>
          </cell>
          <cell r="M38">
            <v>1556925</v>
          </cell>
          <cell r="N38">
            <v>9.1499999999999998E-2</v>
          </cell>
        </row>
        <row r="39">
          <cell r="A39" t="str">
            <v>Blended Average</v>
          </cell>
          <cell r="B39" t="e">
            <v>#NAME?</v>
          </cell>
          <cell r="G39">
            <v>0.5</v>
          </cell>
          <cell r="H39">
            <v>37117</v>
          </cell>
          <cell r="I39" t="str">
            <v>Equipsuper Pty Ltd</v>
          </cell>
          <cell r="J39">
            <v>980889</v>
          </cell>
          <cell r="K39">
            <v>5.3499999999999999E-2</v>
          </cell>
          <cell r="L39" t="str">
            <v>Lodged</v>
          </cell>
        </row>
        <row r="40">
          <cell r="A40">
            <v>40268</v>
          </cell>
          <cell r="B40">
            <v>1.393</v>
          </cell>
          <cell r="G40">
            <v>0.4375</v>
          </cell>
          <cell r="H40">
            <v>37144</v>
          </cell>
          <cell r="I40" t="str">
            <v>ING Australia Limited</v>
          </cell>
          <cell r="J40">
            <v>1616633</v>
          </cell>
          <cell r="K40">
            <v>8.8200000000000001E-2</v>
          </cell>
          <cell r="L40" t="str">
            <v>Decreased</v>
          </cell>
          <cell r="M40">
            <v>1870690</v>
          </cell>
          <cell r="N40">
            <v>0.10199999999999999</v>
          </cell>
        </row>
        <row r="41">
          <cell r="A41">
            <v>40359</v>
          </cell>
          <cell r="B41">
            <v>1.4279999999999999</v>
          </cell>
          <cell r="G41">
            <v>0.33750000000000002</v>
          </cell>
          <cell r="H41">
            <v>37186</v>
          </cell>
          <cell r="I41" t="str">
            <v>ING Australia Limited</v>
          </cell>
          <cell r="J41">
            <v>1342612</v>
          </cell>
          <cell r="K41">
            <v>7.3200000000000001E-2</v>
          </cell>
          <cell r="L41" t="str">
            <v>Decreased</v>
          </cell>
          <cell r="M41">
            <v>1616633</v>
          </cell>
          <cell r="N41">
            <v>8.8200000000000001E-2</v>
          </cell>
        </row>
        <row r="42">
          <cell r="A42">
            <v>40451</v>
          </cell>
          <cell r="B42">
            <v>1.4750000000000001</v>
          </cell>
          <cell r="G42">
            <v>0.33250000000000002</v>
          </cell>
          <cell r="H42">
            <v>37194</v>
          </cell>
          <cell r="I42" t="str">
            <v>ING Australia Limited</v>
          </cell>
          <cell r="L42" t="str">
            <v>Ceased</v>
          </cell>
        </row>
        <row r="43">
          <cell r="A43">
            <v>40543</v>
          </cell>
          <cell r="B43">
            <v>1.51</v>
          </cell>
          <cell r="G43">
            <v>0.40750000000000003</v>
          </cell>
          <cell r="H43">
            <v>37216</v>
          </cell>
          <cell r="I43" t="str">
            <v>NM Rothschild &amp; Sons (Australia) Pty Ltd</v>
          </cell>
          <cell r="J43">
            <v>1690538</v>
          </cell>
          <cell r="K43">
            <v>9.2200000000000004E-2</v>
          </cell>
          <cell r="L43" t="str">
            <v>Decreased</v>
          </cell>
          <cell r="M43">
            <v>1875218</v>
          </cell>
          <cell r="N43">
            <v>0.1023</v>
          </cell>
        </row>
        <row r="44">
          <cell r="A44">
            <v>40633</v>
          </cell>
          <cell r="B44">
            <v>1.405</v>
          </cell>
          <cell r="G44">
            <v>0.4</v>
          </cell>
          <cell r="H44">
            <v>37231</v>
          </cell>
          <cell r="I44" t="str">
            <v>Perpetual Trustees Australia Limited</v>
          </cell>
          <cell r="J44">
            <v>1216169</v>
          </cell>
          <cell r="K44">
            <v>6.6299999999999998E-2</v>
          </cell>
          <cell r="L44" t="str">
            <v>Lodged</v>
          </cell>
        </row>
        <row r="45">
          <cell r="A45">
            <v>40724</v>
          </cell>
          <cell r="B45">
            <v>1.3740000000000001</v>
          </cell>
          <cell r="G45">
            <v>0.4</v>
          </cell>
          <cell r="H45">
            <v>37231</v>
          </cell>
          <cell r="I45" t="str">
            <v>NM Rothschild &amp; Sons (Australia) Pty Ltd</v>
          </cell>
          <cell r="L45" t="str">
            <v>Ceased</v>
          </cell>
        </row>
        <row r="46">
          <cell r="A46" t="str">
            <v>Current</v>
          </cell>
          <cell r="B46">
            <v>1.3740000000000001</v>
          </cell>
          <cell r="G46">
            <v>0.42250000000000004</v>
          </cell>
          <cell r="H46">
            <v>37257</v>
          </cell>
          <cell r="I46" t="str">
            <v>Calogero Giovanni Battista Rubino</v>
          </cell>
          <cell r="J46">
            <v>3548238</v>
          </cell>
          <cell r="K46">
            <v>0.19347937538053936</v>
          </cell>
          <cell r="L46" t="str">
            <v>Initial Directors Interest Notice</v>
          </cell>
        </row>
        <row r="47">
          <cell r="A47" t="str">
            <v>Blended Average</v>
          </cell>
          <cell r="B47">
            <v>1.2723333333333333</v>
          </cell>
          <cell r="G47">
            <v>0.42250000000000004</v>
          </cell>
          <cell r="H47">
            <v>37257</v>
          </cell>
          <cell r="I47" t="str">
            <v>Murray Philip Williams</v>
          </cell>
          <cell r="J47">
            <v>1631198</v>
          </cell>
          <cell r="K47">
            <v>8.8946448959169325E-2</v>
          </cell>
          <cell r="L47" t="str">
            <v>Initial Directors Interest Notice</v>
          </cell>
        </row>
        <row r="48">
          <cell r="G48">
            <v>0.57500000000000007</v>
          </cell>
          <cell r="H48">
            <v>37475</v>
          </cell>
          <cell r="I48" t="str">
            <v>Perpetual Trustees Australia Limited</v>
          </cell>
          <cell r="J48">
            <v>1498674</v>
          </cell>
          <cell r="K48">
            <v>8.1699999999999995E-2</v>
          </cell>
          <cell r="L48" t="str">
            <v>Increased</v>
          </cell>
          <cell r="M48">
            <v>1216169</v>
          </cell>
          <cell r="N48">
            <v>6.6299999999999998E-2</v>
          </cell>
        </row>
        <row r="49">
          <cell r="G49">
            <v>0.67500000000000004</v>
          </cell>
          <cell r="H49">
            <v>37564</v>
          </cell>
          <cell r="I49" t="str">
            <v>Perpetual Trustees Australia Limited</v>
          </cell>
          <cell r="J49">
            <v>956739</v>
          </cell>
          <cell r="K49">
            <v>5.1799999999999999E-2</v>
          </cell>
          <cell r="L49" t="str">
            <v>Decreased</v>
          </cell>
          <cell r="M49">
            <v>1498674</v>
          </cell>
          <cell r="N49">
            <v>8.1699999999999995E-2</v>
          </cell>
        </row>
        <row r="50">
          <cell r="G50">
            <v>0.67500000000000004</v>
          </cell>
          <cell r="H50">
            <v>37569</v>
          </cell>
          <cell r="I50" t="str">
            <v>Perpetual Trustees Australia Limited</v>
          </cell>
          <cell r="L50" t="str">
            <v>Ceased</v>
          </cell>
        </row>
        <row r="51">
          <cell r="G51">
            <v>0.67500000000000004</v>
          </cell>
          <cell r="H51">
            <v>37568</v>
          </cell>
          <cell r="I51" t="str">
            <v>Paradice Cooper Investors Pty Ltd</v>
          </cell>
          <cell r="J51">
            <v>951739</v>
          </cell>
          <cell r="K51">
            <v>5.1499999999999997E-2</v>
          </cell>
          <cell r="L51" t="str">
            <v>Lodged</v>
          </cell>
        </row>
        <row r="52">
          <cell r="G52">
            <v>1.125</v>
          </cell>
          <cell r="H52">
            <v>37882</v>
          </cell>
          <cell r="I52" t="str">
            <v>Acorn Capital Limited</v>
          </cell>
          <cell r="J52">
            <v>1015802</v>
          </cell>
          <cell r="K52">
            <v>5.4300000000000001E-2</v>
          </cell>
          <cell r="L52" t="str">
            <v>Lodged</v>
          </cell>
        </row>
        <row r="53">
          <cell r="G53">
            <v>1.2000000000000002</v>
          </cell>
          <cell r="H53">
            <v>37904</v>
          </cell>
          <cell r="I53" t="str">
            <v>Giovanni Nominees Pty Ltd (Rubino)</v>
          </cell>
          <cell r="J53">
            <v>2001000</v>
          </cell>
          <cell r="K53">
            <v>0.1069</v>
          </cell>
          <cell r="L53" t="str">
            <v>Decreased</v>
          </cell>
          <cell r="M53">
            <v>3548238</v>
          </cell>
          <cell r="N53">
            <v>0.18959999999999999</v>
          </cell>
        </row>
        <row r="54">
          <cell r="G54">
            <v>1.2000000000000002</v>
          </cell>
          <cell r="H54">
            <v>37904</v>
          </cell>
          <cell r="I54" t="str">
            <v>Perpetual Trustees Australia Limited</v>
          </cell>
          <cell r="J54">
            <v>1617238</v>
          </cell>
          <cell r="K54">
            <v>8.6400000000000005E-2</v>
          </cell>
          <cell r="L54" t="str">
            <v>Lodged</v>
          </cell>
        </row>
        <row r="55">
          <cell r="G55">
            <v>1.1200000000000001</v>
          </cell>
          <cell r="H55">
            <v>37917</v>
          </cell>
          <cell r="I55" t="str">
            <v>Perpetual Trustees Australia Limited</v>
          </cell>
          <cell r="J55">
            <v>1817238</v>
          </cell>
          <cell r="K55">
            <v>9.6600000000000005E-2</v>
          </cell>
          <cell r="L55" t="str">
            <v>Increased</v>
          </cell>
          <cell r="M55">
            <v>1617238</v>
          </cell>
          <cell r="N55">
            <v>8.6400000000000005E-2</v>
          </cell>
        </row>
        <row r="56">
          <cell r="G56">
            <v>1.1200000000000001</v>
          </cell>
          <cell r="H56">
            <v>37921</v>
          </cell>
          <cell r="I56" t="str">
            <v>Perpetual Trustees Australia Limited</v>
          </cell>
          <cell r="J56">
            <v>2067238</v>
          </cell>
          <cell r="K56">
            <v>0.1099</v>
          </cell>
          <cell r="L56" t="str">
            <v>Increased</v>
          </cell>
          <cell r="M56">
            <v>1817238</v>
          </cell>
          <cell r="N56">
            <v>9.6600000000000005E-2</v>
          </cell>
        </row>
        <row r="57">
          <cell r="G57">
            <v>1.22</v>
          </cell>
          <cell r="H57">
            <v>37942</v>
          </cell>
          <cell r="I57" t="str">
            <v>Paradice Cooper Investors Pty Ltd</v>
          </cell>
          <cell r="L57" t="str">
            <v>Ceased</v>
          </cell>
        </row>
        <row r="58">
          <cell r="G58">
            <v>1.175</v>
          </cell>
          <cell r="H58">
            <v>37953</v>
          </cell>
          <cell r="I58" t="str">
            <v>Perpetual Trustees Australia Limited</v>
          </cell>
          <cell r="J58">
            <v>1912334</v>
          </cell>
          <cell r="K58">
            <v>9.9000000000000005E-2</v>
          </cell>
          <cell r="L58" t="str">
            <v>Decreased</v>
          </cell>
          <cell r="M58">
            <v>2067238</v>
          </cell>
          <cell r="N58">
            <v>0.1099</v>
          </cell>
        </row>
        <row r="59">
          <cell r="G59">
            <v>1.1375</v>
          </cell>
          <cell r="H59">
            <v>37960</v>
          </cell>
          <cell r="I59" t="str">
            <v>Perpetual Trustees Australia Limited</v>
          </cell>
          <cell r="J59">
            <v>2204346</v>
          </cell>
          <cell r="K59">
            <v>0.11409999999999999</v>
          </cell>
          <cell r="L59" t="str">
            <v>Increased</v>
          </cell>
          <cell r="M59">
            <v>1912334</v>
          </cell>
          <cell r="N59">
            <v>9.9000000000000005E-2</v>
          </cell>
        </row>
        <row r="60">
          <cell r="G60">
            <v>1.1825000000000001</v>
          </cell>
          <cell r="H60">
            <v>38015</v>
          </cell>
          <cell r="I60" t="str">
            <v>Equipsuper Pty Ltd</v>
          </cell>
          <cell r="L60" t="str">
            <v>Ceased</v>
          </cell>
        </row>
        <row r="61">
          <cell r="G61">
            <v>1.5250000000000001</v>
          </cell>
          <cell r="H61">
            <v>38114</v>
          </cell>
          <cell r="I61" t="str">
            <v>Perpetual Trustees Australia Limited</v>
          </cell>
          <cell r="J61">
            <v>2032233</v>
          </cell>
          <cell r="K61">
            <v>0.104</v>
          </cell>
          <cell r="L61" t="str">
            <v>Decreased</v>
          </cell>
          <cell r="M61">
            <v>2204346</v>
          </cell>
          <cell r="N61">
            <v>0.11409999999999999</v>
          </cell>
        </row>
        <row r="62">
          <cell r="G62">
            <v>1.4000000000000001</v>
          </cell>
          <cell r="H62">
            <v>38141</v>
          </cell>
          <cell r="I62" t="str">
            <v>Perpetual Trustees Australia Limited</v>
          </cell>
          <cell r="J62">
            <v>1823474</v>
          </cell>
          <cell r="K62">
            <v>9.3299999999999994E-2</v>
          </cell>
          <cell r="L62" t="str">
            <v>Decreased</v>
          </cell>
          <cell r="M62">
            <v>2032233</v>
          </cell>
          <cell r="N62">
            <v>0.104</v>
          </cell>
        </row>
        <row r="63">
          <cell r="G63">
            <v>1.425</v>
          </cell>
          <cell r="H63">
            <v>38155</v>
          </cell>
          <cell r="I63" t="str">
            <v>Perpetual Trustees Australia Limited</v>
          </cell>
          <cell r="J63">
            <v>1065492</v>
          </cell>
          <cell r="K63">
            <v>8.2199999999999995E-2</v>
          </cell>
          <cell r="L63" t="str">
            <v>Decreased</v>
          </cell>
          <cell r="M63">
            <v>1823474</v>
          </cell>
          <cell r="N63">
            <v>9.3299999999999994E-2</v>
          </cell>
        </row>
        <row r="64">
          <cell r="G64">
            <v>1.425</v>
          </cell>
          <cell r="H64">
            <v>38162</v>
          </cell>
          <cell r="I64" t="str">
            <v>Perpetual Trustees Australia Limited</v>
          </cell>
          <cell r="L64" t="str">
            <v>Ceased</v>
          </cell>
        </row>
        <row r="65">
          <cell r="G65">
            <v>1.425</v>
          </cell>
          <cell r="H65">
            <v>38162</v>
          </cell>
          <cell r="I65" t="str">
            <v>Acorn Capital Limited</v>
          </cell>
          <cell r="J65">
            <v>1472386</v>
          </cell>
          <cell r="K65">
            <v>7.5300000000000006E-2</v>
          </cell>
          <cell r="L65" t="str">
            <v>Increased</v>
          </cell>
          <cell r="M65">
            <v>1015802</v>
          </cell>
          <cell r="N65">
            <v>5.4300000000000001E-2</v>
          </cell>
        </row>
        <row r="66">
          <cell r="G66">
            <v>1.3925000000000001</v>
          </cell>
          <cell r="H66">
            <v>38174</v>
          </cell>
          <cell r="I66" t="str">
            <v>Paradice Cooper Investors</v>
          </cell>
          <cell r="J66">
            <v>1280231</v>
          </cell>
          <cell r="K66">
            <v>6.5500000000000003E-2</v>
          </cell>
          <cell r="L66" t="str">
            <v>Lodged</v>
          </cell>
        </row>
        <row r="67">
          <cell r="G67">
            <v>2.33</v>
          </cell>
          <cell r="H67">
            <v>38385</v>
          </cell>
          <cell r="I67" t="str">
            <v>Thorney Pty Ltd</v>
          </cell>
          <cell r="J67">
            <v>2181816</v>
          </cell>
          <cell r="K67">
            <v>0.1114</v>
          </cell>
          <cell r="L67" t="str">
            <v>Increased</v>
          </cell>
          <cell r="M67">
            <v>1470281</v>
          </cell>
          <cell r="N67">
            <v>9.9000000000000005E-2</v>
          </cell>
        </row>
        <row r="68">
          <cell r="G68">
            <v>2.4375</v>
          </cell>
          <cell r="H68">
            <v>38401</v>
          </cell>
          <cell r="I68" t="str">
            <v>Paradice Cooper Investors Pty Ltd</v>
          </cell>
          <cell r="J68">
            <v>1058561</v>
          </cell>
          <cell r="K68">
            <v>5.3499999999999999E-2</v>
          </cell>
          <cell r="L68" t="str">
            <v>Decreased</v>
          </cell>
          <cell r="M68">
            <v>1280231</v>
          </cell>
          <cell r="N68">
            <v>6.5500000000000003E-2</v>
          </cell>
        </row>
        <row r="69">
          <cell r="G69">
            <v>3.04</v>
          </cell>
          <cell r="H69">
            <v>38513</v>
          </cell>
          <cell r="I69" t="str">
            <v>Paradice Cooper Investors Pty Ltd</v>
          </cell>
          <cell r="L69" t="str">
            <v>Ceased</v>
          </cell>
        </row>
        <row r="70">
          <cell r="G70">
            <v>4.38</v>
          </cell>
          <cell r="H70">
            <v>38604</v>
          </cell>
          <cell r="I70" t="str">
            <v>Thorney Pty Ltd</v>
          </cell>
          <cell r="J70">
            <v>8071152</v>
          </cell>
          <cell r="K70">
            <v>0.10100000000000001</v>
          </cell>
          <cell r="L70" t="str">
            <v>Decreased</v>
          </cell>
          <cell r="M70">
            <v>2181816</v>
          </cell>
          <cell r="N70">
            <v>0.1114</v>
          </cell>
        </row>
        <row r="71">
          <cell r="G71">
            <v>4</v>
          </cell>
          <cell r="H71">
            <v>38663</v>
          </cell>
          <cell r="I71" t="str">
            <v>Acorn Capital Limited</v>
          </cell>
          <cell r="J71">
            <v>5162378</v>
          </cell>
          <cell r="K71">
            <v>6.4600000000000005E-2</v>
          </cell>
          <cell r="L71" t="str">
            <v>Decreased</v>
          </cell>
          <cell r="M71">
            <v>1472386</v>
          </cell>
          <cell r="N71">
            <v>7.5300000000000006E-2</v>
          </cell>
        </row>
        <row r="72">
          <cell r="G72">
            <v>4.37</v>
          </cell>
          <cell r="H72">
            <v>38691</v>
          </cell>
          <cell r="I72" t="str">
            <v>Acorn Capital Limited</v>
          </cell>
          <cell r="J72">
            <v>4300248</v>
          </cell>
          <cell r="K72">
            <v>5.3800000000000001E-2</v>
          </cell>
          <cell r="L72" t="str">
            <v>Decreased</v>
          </cell>
          <cell r="M72">
            <v>5162378</v>
          </cell>
          <cell r="N72">
            <v>6.4600000000000005E-2</v>
          </cell>
        </row>
        <row r="73">
          <cell r="G73">
            <v>4.84</v>
          </cell>
          <cell r="H73">
            <v>38720</v>
          </cell>
          <cell r="I73" t="str">
            <v>Acorn Capital Limited</v>
          </cell>
          <cell r="L73" t="str">
            <v>Ceased</v>
          </cell>
        </row>
        <row r="74">
          <cell r="G74">
            <v>6.21</v>
          </cell>
          <cell r="H74">
            <v>38775</v>
          </cell>
          <cell r="I74" t="str">
            <v>Perpetual Limited</v>
          </cell>
          <cell r="J74">
            <v>6954657</v>
          </cell>
          <cell r="K74">
            <v>8.5300000000000001E-2</v>
          </cell>
          <cell r="L74" t="str">
            <v>Lodged</v>
          </cell>
        </row>
        <row r="75">
          <cell r="G75">
            <v>6.21</v>
          </cell>
          <cell r="H75">
            <v>38775</v>
          </cell>
          <cell r="I75" t="str">
            <v>Fadmoor Pty Ltd (Rubino)</v>
          </cell>
          <cell r="L75" t="str">
            <v>Ceased</v>
          </cell>
        </row>
        <row r="76">
          <cell r="G76">
            <v>6.5</v>
          </cell>
          <cell r="H76">
            <v>38951</v>
          </cell>
          <cell r="I76" t="str">
            <v>Perpetual Trustees Australia Limited</v>
          </cell>
          <cell r="J76">
            <v>5778096</v>
          </cell>
          <cell r="K76">
            <v>7.0800000000000002E-2</v>
          </cell>
          <cell r="L76" t="str">
            <v>Decreased</v>
          </cell>
          <cell r="M76">
            <v>6954657</v>
          </cell>
          <cell r="N76">
            <v>8.5300000000000001E-2</v>
          </cell>
        </row>
        <row r="77">
          <cell r="G77">
            <v>8.02</v>
          </cell>
          <cell r="H77">
            <v>39048</v>
          </cell>
          <cell r="I77" t="str">
            <v>Perpetual Trustees Australia Limited</v>
          </cell>
          <cell r="J77">
            <v>4959707</v>
          </cell>
          <cell r="K77">
            <v>6.08E-2</v>
          </cell>
          <cell r="L77" t="str">
            <v>Decreased</v>
          </cell>
          <cell r="M77">
            <v>5778096</v>
          </cell>
          <cell r="N77">
            <v>7.0800000000000002E-2</v>
          </cell>
        </row>
        <row r="78">
          <cell r="G78">
            <v>9.18</v>
          </cell>
          <cell r="H78">
            <v>39092</v>
          </cell>
          <cell r="I78" t="str">
            <v>Perpetual Trustees Australia Limited</v>
          </cell>
          <cell r="J78">
            <v>4137193</v>
          </cell>
          <cell r="K78">
            <v>5.0700000000000002E-2</v>
          </cell>
          <cell r="L78" t="str">
            <v>Decreased</v>
          </cell>
          <cell r="M78">
            <v>4959707</v>
          </cell>
          <cell r="N78">
            <v>6.08E-2</v>
          </cell>
        </row>
        <row r="79">
          <cell r="G79">
            <v>8.86</v>
          </cell>
          <cell r="H79">
            <v>39097</v>
          </cell>
          <cell r="I79" t="str">
            <v>Perpetual Trustees Australia Limited</v>
          </cell>
          <cell r="L79" t="str">
            <v>Ceased</v>
          </cell>
        </row>
        <row r="80">
          <cell r="G80">
            <v>15.950000000000001</v>
          </cell>
          <cell r="H80">
            <v>39272</v>
          </cell>
          <cell r="I80" t="str">
            <v>Thorney Pty Ltd</v>
          </cell>
          <cell r="J80">
            <v>7349765</v>
          </cell>
          <cell r="K80">
            <v>8.8499999999999995E-2</v>
          </cell>
          <cell r="L80" t="str">
            <v>Decreased</v>
          </cell>
          <cell r="M80">
            <v>8071152</v>
          </cell>
          <cell r="N80">
            <v>0.10100000000000001</v>
          </cell>
        </row>
        <row r="81">
          <cell r="G81">
            <v>12.120000000000001</v>
          </cell>
          <cell r="H81">
            <v>39464</v>
          </cell>
          <cell r="I81" t="str">
            <v>Barclays Group</v>
          </cell>
          <cell r="J81">
            <v>4470839</v>
          </cell>
          <cell r="K81">
            <v>5.4300000000000001E-2</v>
          </cell>
          <cell r="L81" t="str">
            <v>Lodged</v>
          </cell>
        </row>
        <row r="82">
          <cell r="G82">
            <v>11.290000000000001</v>
          </cell>
          <cell r="H82">
            <v>39496</v>
          </cell>
          <cell r="I82" t="str">
            <v>Barclays Group</v>
          </cell>
          <cell r="J82">
            <v>5652376</v>
          </cell>
          <cell r="K82">
            <v>6.7699999999999996E-2</v>
          </cell>
          <cell r="L82" t="str">
            <v>Increased</v>
          </cell>
          <cell r="M82">
            <v>4470839</v>
          </cell>
          <cell r="N82">
            <v>5.4300000000000001E-2</v>
          </cell>
        </row>
        <row r="83">
          <cell r="G83">
            <v>15.75</v>
          </cell>
          <cell r="H83">
            <v>39696</v>
          </cell>
          <cell r="I83" t="str">
            <v>Thorney Pty Ltd</v>
          </cell>
          <cell r="J83">
            <v>6687683</v>
          </cell>
          <cell r="K83">
            <v>7.6999999999999999E-2</v>
          </cell>
          <cell r="L83" t="str">
            <v>Decreased</v>
          </cell>
          <cell r="M83">
            <v>7349765</v>
          </cell>
          <cell r="N83">
            <v>8.8499999999999995E-2</v>
          </cell>
        </row>
        <row r="84">
          <cell r="G84">
            <v>7.6000000000000005</v>
          </cell>
          <cell r="H84">
            <v>39759</v>
          </cell>
          <cell r="I84" t="str">
            <v>IOOF Holdings Limited</v>
          </cell>
          <cell r="J84">
            <v>4306569</v>
          </cell>
          <cell r="K84">
            <v>5.108E-2</v>
          </cell>
          <cell r="L84" t="str">
            <v>Lodged</v>
          </cell>
        </row>
        <row r="85">
          <cell r="G85">
            <v>6.44</v>
          </cell>
          <cell r="H85">
            <v>39797</v>
          </cell>
          <cell r="I85" t="str">
            <v>IOOF Holdings Limited</v>
          </cell>
          <cell r="J85">
            <v>5176830</v>
          </cell>
          <cell r="K85">
            <v>6.1400000000000003E-2</v>
          </cell>
          <cell r="L85" t="str">
            <v>Increased</v>
          </cell>
          <cell r="M85">
            <v>4306569</v>
          </cell>
          <cell r="N85">
            <v>5.108E-2</v>
          </cell>
        </row>
        <row r="86">
          <cell r="G86">
            <v>8.01</v>
          </cell>
          <cell r="H86">
            <v>39891</v>
          </cell>
          <cell r="I86" t="str">
            <v>IOOF Holdings Limited</v>
          </cell>
          <cell r="J86">
            <v>4396653</v>
          </cell>
          <cell r="K86">
            <v>5.1150000000000001E-2</v>
          </cell>
          <cell r="L86" t="str">
            <v>Decreased</v>
          </cell>
          <cell r="M86">
            <v>5176830</v>
          </cell>
          <cell r="N86">
            <v>6.1400000000000003E-2</v>
          </cell>
        </row>
        <row r="87">
          <cell r="G87">
            <v>8.0500000000000007</v>
          </cell>
          <cell r="H87">
            <v>39896</v>
          </cell>
          <cell r="I87" t="str">
            <v>IOOF Holdings Limited</v>
          </cell>
          <cell r="L87" t="str">
            <v>Ceased</v>
          </cell>
        </row>
        <row r="88">
          <cell r="G88">
            <v>8.01</v>
          </cell>
          <cell r="H88">
            <v>39891</v>
          </cell>
          <cell r="I88" t="str">
            <v>Barclays Group</v>
          </cell>
          <cell r="J88">
            <v>6804352</v>
          </cell>
          <cell r="K88">
            <v>7.9200000000000007E-2</v>
          </cell>
          <cell r="L88" t="str">
            <v>Increased</v>
          </cell>
          <cell r="M88">
            <v>5652376</v>
          </cell>
          <cell r="N88">
            <v>6.7699999999999996E-2</v>
          </cell>
        </row>
        <row r="89">
          <cell r="G89">
            <v>12.600000000000001</v>
          </cell>
          <cell r="H89">
            <v>40046</v>
          </cell>
          <cell r="I89" t="str">
            <v>Thorney Pty Ltd</v>
          </cell>
          <cell r="J89">
            <v>5875486</v>
          </cell>
          <cell r="K89">
            <v>6.8400000000000002E-2</v>
          </cell>
          <cell r="L89" t="str">
            <v>Decreased</v>
          </cell>
          <cell r="M89">
            <v>6687683</v>
          </cell>
          <cell r="N89">
            <v>7.9299999999999995E-2</v>
          </cell>
        </row>
        <row r="90">
          <cell r="G90">
            <v>13.620000000000001</v>
          </cell>
          <cell r="H90">
            <v>40149</v>
          </cell>
          <cell r="I90" t="str">
            <v>Barclays Group</v>
          </cell>
          <cell r="L90" t="str">
            <v>Ceased</v>
          </cell>
        </row>
        <row r="91">
          <cell r="G91">
            <v>13.620000000000001</v>
          </cell>
          <cell r="H91">
            <v>40149</v>
          </cell>
          <cell r="I91" t="str">
            <v>BlackRock Investment Management (Australia) Ltd</v>
          </cell>
          <cell r="J91">
            <v>7001099</v>
          </cell>
          <cell r="K91">
            <v>8.1500000000000003E-2</v>
          </cell>
          <cell r="L91" t="str">
            <v>Increased</v>
          </cell>
          <cell r="M91">
            <v>6804352</v>
          </cell>
          <cell r="N91">
            <v>7.9200000000000007E-2</v>
          </cell>
        </row>
        <row r="92">
          <cell r="G92">
            <v>12.09</v>
          </cell>
          <cell r="H92">
            <v>40217</v>
          </cell>
          <cell r="I92" t="str">
            <v>BlackRock Investment Management (Australia) Ltd</v>
          </cell>
          <cell r="J92">
            <v>5939504</v>
          </cell>
          <cell r="K92">
            <v>6.9000000000000006E-2</v>
          </cell>
          <cell r="L92" t="str">
            <v>Decreased</v>
          </cell>
          <cell r="M92">
            <v>7001099</v>
          </cell>
          <cell r="N92">
            <v>8.1500000000000003E-2</v>
          </cell>
        </row>
        <row r="93">
          <cell r="G93">
            <v>12.42</v>
          </cell>
          <cell r="H93">
            <v>40219</v>
          </cell>
          <cell r="I93" t="str">
            <v>BlackRock Investment Management (Australia) Ltd</v>
          </cell>
          <cell r="L93" t="str">
            <v>Ceased</v>
          </cell>
        </row>
        <row r="94">
          <cell r="G94">
            <v>15.18</v>
          </cell>
          <cell r="H94">
            <v>40423</v>
          </cell>
          <cell r="I94" t="str">
            <v>Thorney Pty Ltd</v>
          </cell>
          <cell r="J94">
            <v>5004668</v>
          </cell>
          <cell r="K94">
            <v>5.79E-2</v>
          </cell>
          <cell r="L94" t="str">
            <v>Decreased</v>
          </cell>
          <cell r="M94">
            <v>5875486</v>
          </cell>
          <cell r="N94">
            <v>6.8400000000000002E-2</v>
          </cell>
        </row>
      </sheetData>
      <sheetData sheetId="22" refreshError="1"/>
      <sheetData sheetId="23" refreshError="1"/>
      <sheetData sheetId="24" refreshError="1">
        <row r="2">
          <cell r="A2" t="str">
            <v>Monadelphous - Blended Valuation</v>
          </cell>
        </row>
        <row r="5">
          <cell r="A5" t="str">
            <v>PE Relative Prospective</v>
          </cell>
          <cell r="B5">
            <v>20.171596532961416</v>
          </cell>
        </row>
        <row r="6">
          <cell r="A6" t="str">
            <v>Sum of The Parts</v>
          </cell>
          <cell r="B6">
            <v>19.63947772098631</v>
          </cell>
        </row>
        <row r="7">
          <cell r="A7" t="str">
            <v>Discounted Cash Flow</v>
          </cell>
          <cell r="B7">
            <v>18.910415287128579</v>
          </cell>
        </row>
        <row r="8">
          <cell r="A8" t="str">
            <v>Average</v>
          </cell>
          <cell r="B8">
            <v>19.573829847025433</v>
          </cell>
        </row>
        <row r="10">
          <cell r="A10" t="str">
            <v>Merrill Lynch Australian Small Companies Team</v>
          </cell>
        </row>
        <row r="11">
          <cell r="A11" t="str">
            <v>Chris Nicol +61 3 9659 2297</v>
          </cell>
        </row>
        <row r="12">
          <cell r="A12" t="str">
            <v>David Evans +61 2 9226 5751</v>
          </cell>
        </row>
        <row r="13">
          <cell r="A13" t="str">
            <v>Shanaz Cassim +61 2 9226 5748</v>
          </cell>
        </row>
        <row r="17">
          <cell r="A17" t="str">
            <v>Current Share Price</v>
          </cell>
          <cell r="B17">
            <v>19.170000000000002</v>
          </cell>
          <cell r="I17" t="str">
            <v>Price Objective</v>
          </cell>
          <cell r="J17">
            <v>20</v>
          </cell>
        </row>
        <row r="18">
          <cell r="A18" t="str">
            <v>% Diff</v>
          </cell>
          <cell r="B18">
            <v>2.1065719719636444E-2</v>
          </cell>
          <cell r="I18" t="str">
            <v>% Diff</v>
          </cell>
          <cell r="J18">
            <v>4.3296817944705079E-2</v>
          </cell>
        </row>
        <row r="19">
          <cell r="A19" t="str">
            <v>Forward DPS</v>
          </cell>
          <cell r="B19">
            <v>0.89</v>
          </cell>
          <cell r="I19" t="str">
            <v>Forward DPS</v>
          </cell>
          <cell r="J19">
            <v>0.89</v>
          </cell>
        </row>
        <row r="20">
          <cell r="A20" t="str">
            <v>Total Return</v>
          </cell>
          <cell r="B20">
            <v>6.7492428118175907E-2</v>
          </cell>
          <cell r="I20" t="str">
            <v>Total Return</v>
          </cell>
          <cell r="J20">
            <v>8.9723526343244542E-2</v>
          </cell>
        </row>
        <row r="23">
          <cell r="I23" t="str">
            <v>12mth forward P/E</v>
          </cell>
          <cell r="J23">
            <v>15.810108668251983</v>
          </cell>
        </row>
        <row r="24">
          <cell r="I24" t="str">
            <v>Duration XSI</v>
          </cell>
          <cell r="J24">
            <v>12.463402681801734</v>
          </cell>
        </row>
        <row r="25">
          <cell r="I25" t="str">
            <v>Premium</v>
          </cell>
          <cell r="J25">
            <v>0.26852265564177724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-Cache"/>
      <sheetName val="Disclaimer"/>
      <sheetName val="PAN Summary"/>
      <sheetName val="Commodity"/>
      <sheetName val="Valuation"/>
      <sheetName val="Sensitivity"/>
      <sheetName val="X-Check"/>
      <sheetName val="Financials"/>
      <sheetName val="Fin Charts"/>
      <sheetName val="Consolidated"/>
      <sheetName val="Bull-to-bear"/>
      <sheetName val="MWA RR"/>
      <sheetName val="Savannah"/>
      <sheetName val="Lanfranchi"/>
      <sheetName val="Gidgee"/>
      <sheetName val="__FDSCACHE__"/>
      <sheetName val="Reserves-Resources"/>
      <sheetName val="Graphs"/>
      <sheetName val="Chart1"/>
      <sheetName val="Chart2"/>
      <sheetName val="Chart3"/>
      <sheetName val="Chart4"/>
      <sheetName val="mwareSettings"/>
      <sheetName val="mwareDates"/>
    </sheetNames>
    <sheetDataSet>
      <sheetData sheetId="0"/>
      <sheetData sheetId="1"/>
      <sheetData sheetId="2"/>
      <sheetData sheetId="3"/>
      <sheetData sheetId="4" refreshError="1">
        <row r="17">
          <cell r="B17">
            <v>7.5200000000000003E-2</v>
          </cell>
        </row>
      </sheetData>
      <sheetData sheetId="5" refreshError="1">
        <row r="1">
          <cell r="A1" t="str">
            <v>SENSITIVITY</v>
          </cell>
        </row>
        <row r="3">
          <cell r="A3" t="str">
            <v>SENSITIVITY</v>
          </cell>
        </row>
        <row r="4">
          <cell r="M4" t="str">
            <v>EARNINGS SENSITIVITY</v>
          </cell>
        </row>
        <row r="5">
          <cell r="A5" t="str">
            <v>SENSITIVITY FACTORS</v>
          </cell>
        </row>
        <row r="6">
          <cell r="M6" t="str">
            <v>EPS</v>
          </cell>
          <cell r="N6">
            <v>2011</v>
          </cell>
          <cell r="O6">
            <v>2012</v>
          </cell>
          <cell r="P6">
            <v>2013</v>
          </cell>
          <cell r="Q6">
            <v>2014</v>
          </cell>
          <cell r="R6">
            <v>2015</v>
          </cell>
          <cell r="S6">
            <v>2016</v>
          </cell>
          <cell r="T6">
            <v>2017</v>
          </cell>
          <cell r="V6" t="str">
            <v>EPS</v>
          </cell>
          <cell r="W6">
            <v>2011</v>
          </cell>
          <cell r="X6">
            <v>2012</v>
          </cell>
          <cell r="Y6">
            <v>2013</v>
          </cell>
          <cell r="Z6">
            <v>2014</v>
          </cell>
          <cell r="AA6">
            <v>2015</v>
          </cell>
          <cell r="AB6">
            <v>2016</v>
          </cell>
          <cell r="AC6">
            <v>2017</v>
          </cell>
        </row>
        <row r="7">
          <cell r="A7" t="str">
            <v>AUDUSD price S/T toggle</v>
          </cell>
          <cell r="B7">
            <v>1</v>
          </cell>
          <cell r="C7">
            <v>1</v>
          </cell>
          <cell r="D7">
            <v>2</v>
          </cell>
          <cell r="E7">
            <v>3</v>
          </cell>
          <cell r="G7" t="str">
            <v>Base case - Target</v>
          </cell>
          <cell r="I7">
            <v>2.0500000000000003</v>
          </cell>
          <cell r="J7" t="str">
            <v>Diff.</v>
          </cell>
          <cell r="K7" t="str">
            <v>% Chg</v>
          </cell>
          <cell r="M7" t="str">
            <v>Base</v>
          </cell>
          <cell r="N7">
            <v>12.671746567857983</v>
          </cell>
          <cell r="O7">
            <v>17.040177490888734</v>
          </cell>
          <cell r="P7">
            <v>16.899073987769548</v>
          </cell>
          <cell r="Q7">
            <v>33.478103872471088</v>
          </cell>
          <cell r="R7">
            <v>45.218612368060768</v>
          </cell>
          <cell r="S7">
            <v>56.777505282182027</v>
          </cell>
          <cell r="T7">
            <v>59.566210562881203</v>
          </cell>
          <cell r="V7" t="str">
            <v>Base</v>
          </cell>
          <cell r="W7">
            <v>12.671746567857983</v>
          </cell>
          <cell r="X7">
            <v>17.040177490888734</v>
          </cell>
          <cell r="Y7">
            <v>16.899073987769548</v>
          </cell>
          <cell r="Z7">
            <v>33.478103872471088</v>
          </cell>
          <cell r="AA7">
            <v>45.218612368060768</v>
          </cell>
          <cell r="AB7">
            <v>56.777505282182027</v>
          </cell>
          <cell r="AC7">
            <v>59.566210562881203</v>
          </cell>
        </row>
        <row r="8">
          <cell r="B8">
            <v>1</v>
          </cell>
          <cell r="C8">
            <v>1</v>
          </cell>
          <cell r="D8">
            <v>0.95</v>
          </cell>
          <cell r="E8">
            <v>1.1000000000000001</v>
          </cell>
          <cell r="G8" t="str">
            <v>Bear case</v>
          </cell>
          <cell r="H8">
            <v>2</v>
          </cell>
          <cell r="I8">
            <v>2.35</v>
          </cell>
          <cell r="J8">
            <v>0.29999999999999982</v>
          </cell>
          <cell r="K8">
            <v>0.14634146341463405</v>
          </cell>
          <cell r="M8">
            <v>1.1000000000000001</v>
          </cell>
          <cell r="N8">
            <v>12.671746567857983</v>
          </cell>
          <cell r="O8">
            <v>9.1333928734776588</v>
          </cell>
          <cell r="P8">
            <v>7.8472828015364149</v>
          </cell>
          <cell r="Q8">
            <v>22.957552923200662</v>
          </cell>
          <cell r="R8">
            <v>34.479060355282485</v>
          </cell>
          <cell r="S8">
            <v>45.13281311353429</v>
          </cell>
          <cell r="T8">
            <v>47.543676107194578</v>
          </cell>
          <cell r="V8">
            <v>0.9</v>
          </cell>
          <cell r="W8">
            <v>12.671746567857983</v>
          </cell>
          <cell r="X8">
            <v>26.704025356613371</v>
          </cell>
          <cell r="Y8">
            <v>27.9623743264989</v>
          </cell>
          <cell r="Z8">
            <v>46.336555032690455</v>
          </cell>
          <cell r="AA8">
            <v>58.344731494789805</v>
          </cell>
          <cell r="AB8">
            <v>71.009906821640428</v>
          </cell>
          <cell r="AC8">
            <v>74.260419342053751</v>
          </cell>
        </row>
        <row r="9">
          <cell r="G9" t="str">
            <v>Bull case</v>
          </cell>
          <cell r="H9">
            <v>3</v>
          </cell>
          <cell r="I9">
            <v>1.55</v>
          </cell>
          <cell r="J9">
            <v>-0.50000000000000022</v>
          </cell>
          <cell r="K9">
            <v>-0.24390243902439035</v>
          </cell>
          <cell r="M9" t="str">
            <v>% chg</v>
          </cell>
          <cell r="N9">
            <v>0</v>
          </cell>
          <cell r="O9">
            <v>-0.46400834860075713</v>
          </cell>
          <cell r="P9">
            <v>-0.53563829549383779</v>
          </cell>
          <cell r="Q9">
            <v>-0.31425169685077159</v>
          </cell>
          <cell r="R9">
            <v>-0.23750290976120148</v>
          </cell>
          <cell r="S9">
            <v>-0.20509340998295122</v>
          </cell>
          <cell r="T9">
            <v>-0.2018348043643805</v>
          </cell>
          <cell r="V9" t="str">
            <v>% chg</v>
          </cell>
          <cell r="W9">
            <v>0</v>
          </cell>
          <cell r="X9">
            <v>0.56712131495648044</v>
          </cell>
          <cell r="Y9">
            <v>0.65466902782579983</v>
          </cell>
          <cell r="Z9">
            <v>0.38408540726205276</v>
          </cell>
          <cell r="AA9">
            <v>0.29028133415258006</v>
          </cell>
          <cell r="AB9">
            <v>0.25066972331249682</v>
          </cell>
          <cell r="AC9">
            <v>0.24668698311202086</v>
          </cell>
        </row>
        <row r="11">
          <cell r="A11" t="str">
            <v>Nickel &amp; Copper price S/T toggle</v>
          </cell>
          <cell r="B11">
            <v>1</v>
          </cell>
          <cell r="C11">
            <v>1</v>
          </cell>
          <cell r="D11">
            <v>2</v>
          </cell>
          <cell r="E11">
            <v>3</v>
          </cell>
          <cell r="G11" t="str">
            <v>Base case - Target</v>
          </cell>
          <cell r="I11">
            <v>2.0500000000000003</v>
          </cell>
          <cell r="J11" t="str">
            <v>Diff.</v>
          </cell>
          <cell r="K11" t="str">
            <v>% Chg</v>
          </cell>
          <cell r="M11" t="str">
            <v>Base</v>
          </cell>
          <cell r="N11">
            <v>12.671746567857983</v>
          </cell>
          <cell r="O11">
            <v>17.040177490888734</v>
          </cell>
          <cell r="P11">
            <v>16.899073987769548</v>
          </cell>
          <cell r="Q11">
            <v>33.478103872471088</v>
          </cell>
          <cell r="R11">
            <v>45.218612368060768</v>
          </cell>
          <cell r="S11">
            <v>56.777505282182027</v>
          </cell>
          <cell r="T11">
            <v>59.566210562881203</v>
          </cell>
          <cell r="V11" t="str">
            <v>Base</v>
          </cell>
          <cell r="W11">
            <v>12.671746567857983</v>
          </cell>
          <cell r="X11">
            <v>17.040177490888734</v>
          </cell>
          <cell r="Y11">
            <v>16.899073987769548</v>
          </cell>
          <cell r="Z11">
            <v>33.478103872471088</v>
          </cell>
          <cell r="AA11">
            <v>45.218612368060768</v>
          </cell>
          <cell r="AB11">
            <v>56.777505282182027</v>
          </cell>
          <cell r="AC11">
            <v>59.566210562881203</v>
          </cell>
        </row>
        <row r="12">
          <cell r="B12">
            <v>1</v>
          </cell>
          <cell r="C12">
            <v>1</v>
          </cell>
          <cell r="D12">
            <v>0.88</v>
          </cell>
          <cell r="E12">
            <v>1.1200000000000001</v>
          </cell>
          <cell r="G12" t="str">
            <v>Bear case</v>
          </cell>
          <cell r="H12">
            <v>2</v>
          </cell>
          <cell r="I12">
            <v>1.3</v>
          </cell>
          <cell r="J12">
            <v>-0.75000000000000022</v>
          </cell>
          <cell r="K12">
            <v>-0.36585365853658547</v>
          </cell>
          <cell r="M12">
            <v>1.1000000000000001</v>
          </cell>
          <cell r="N12">
            <v>12.671746567857983</v>
          </cell>
          <cell r="O12">
            <v>26.177939262716464</v>
          </cell>
          <cell r="P12">
            <v>27.400104892415385</v>
          </cell>
          <cell r="Q12">
            <v>45.814758898042392</v>
          </cell>
          <cell r="R12">
            <v>57.925750783807963</v>
          </cell>
          <cell r="S12">
            <v>70.618211727948861</v>
          </cell>
          <cell r="T12">
            <v>74.41195644547264</v>
          </cell>
          <cell r="V12">
            <v>0.9</v>
          </cell>
          <cell r="W12">
            <v>12.671746567857983</v>
          </cell>
          <cell r="X12">
            <v>8.1505758900254222</v>
          </cell>
          <cell r="Y12">
            <v>6.6764971377620679</v>
          </cell>
          <cell r="Z12">
            <v>21.463820206474125</v>
          </cell>
          <cell r="AA12">
            <v>32.520635951537983</v>
          </cell>
          <cell r="AB12">
            <v>42.957958233886487</v>
          </cell>
          <cell r="AC12">
            <v>45.616833965096035</v>
          </cell>
        </row>
        <row r="13">
          <cell r="G13" t="str">
            <v>Bull case</v>
          </cell>
          <cell r="H13">
            <v>3</v>
          </cell>
          <cell r="I13">
            <v>2.85</v>
          </cell>
          <cell r="J13">
            <v>0.79999999999999982</v>
          </cell>
          <cell r="K13">
            <v>0.39024390243902429</v>
          </cell>
          <cell r="M13" t="str">
            <v>% chg</v>
          </cell>
          <cell r="N13">
            <v>0</v>
          </cell>
          <cell r="O13">
            <v>0.53624803947691446</v>
          </cell>
          <cell r="P13">
            <v>0.62139682400620311</v>
          </cell>
          <cell r="Q13">
            <v>0.36849921586257128</v>
          </cell>
          <cell r="R13">
            <v>0.28101566479564544</v>
          </cell>
          <cell r="S13">
            <v>0.24377095078374889</v>
          </cell>
          <cell r="T13">
            <v>0.24923099425503148</v>
          </cell>
          <cell r="V13" t="str">
            <v>% chg</v>
          </cell>
          <cell r="W13">
            <v>0</v>
          </cell>
          <cell r="X13">
            <v>-0.52168480085471658</v>
          </cell>
          <cell r="Y13">
            <v>-0.60491934986531914</v>
          </cell>
          <cell r="Z13">
            <v>-0.35886989632875421</v>
          </cell>
          <cell r="AA13">
            <v>-0.28081304913044469</v>
          </cell>
          <cell r="AB13">
            <v>-0.24339827858960905</v>
          </cell>
          <cell r="AC13">
            <v>-0.23418270972701005</v>
          </cell>
        </row>
        <row r="16">
          <cell r="A16" t="str">
            <v>AUDUSD price L/T toggle</v>
          </cell>
          <cell r="B16">
            <v>1</v>
          </cell>
          <cell r="C16">
            <v>1</v>
          </cell>
          <cell r="D16">
            <v>2</v>
          </cell>
          <cell r="E16">
            <v>3</v>
          </cell>
          <cell r="G16" t="str">
            <v>Base case - Target</v>
          </cell>
          <cell r="I16">
            <v>2.0500000000000003</v>
          </cell>
          <cell r="J16" t="str">
            <v>Diff.</v>
          </cell>
          <cell r="K16" t="str">
            <v>% Chg</v>
          </cell>
        </row>
        <row r="17">
          <cell r="B17">
            <v>1</v>
          </cell>
          <cell r="C17">
            <v>1</v>
          </cell>
          <cell r="D17">
            <v>0.95</v>
          </cell>
          <cell r="E17">
            <v>1.1000000000000001</v>
          </cell>
          <cell r="G17" t="str">
            <v>Bear case</v>
          </cell>
          <cell r="H17">
            <v>2</v>
          </cell>
          <cell r="I17">
            <v>2</v>
          </cell>
          <cell r="J17">
            <v>-5.0000000000000266E-2</v>
          </cell>
          <cell r="K17">
            <v>-2.4390243902439157E-2</v>
          </cell>
        </row>
        <row r="18">
          <cell r="G18" t="str">
            <v>Bull case</v>
          </cell>
          <cell r="H18">
            <v>3</v>
          </cell>
          <cell r="I18">
            <v>3</v>
          </cell>
          <cell r="J18">
            <v>0.94999999999999973</v>
          </cell>
          <cell r="K18">
            <v>0.46341463414634121</v>
          </cell>
        </row>
        <row r="19">
          <cell r="M19" t="str">
            <v>Commodity &amp; Currency</v>
          </cell>
        </row>
        <row r="21">
          <cell r="A21" t="str">
            <v>Nickel &amp; Copper price L/T toggle</v>
          </cell>
          <cell r="B21">
            <v>1</v>
          </cell>
          <cell r="C21">
            <v>1</v>
          </cell>
          <cell r="D21">
            <v>2</v>
          </cell>
          <cell r="E21">
            <v>3</v>
          </cell>
          <cell r="G21" t="str">
            <v>Base case - Target</v>
          </cell>
          <cell r="I21">
            <v>2.0500000000000003</v>
          </cell>
          <cell r="J21" t="str">
            <v>Diff.</v>
          </cell>
          <cell r="K21" t="str">
            <v>% Chg</v>
          </cell>
          <cell r="M21" t="str">
            <v>Base case - Target</v>
          </cell>
          <cell r="O21">
            <v>6.0598144833607286</v>
          </cell>
          <cell r="P21" t="str">
            <v>Diff.</v>
          </cell>
          <cell r="Q21" t="str">
            <v>% Chg</v>
          </cell>
        </row>
        <row r="22">
          <cell r="B22">
            <v>1</v>
          </cell>
          <cell r="C22">
            <v>1</v>
          </cell>
          <cell r="D22">
            <v>0.88</v>
          </cell>
          <cell r="E22">
            <v>1.1000000000000001</v>
          </cell>
          <cell r="G22" t="str">
            <v>Bear case</v>
          </cell>
          <cell r="H22">
            <v>2</v>
          </cell>
          <cell r="I22">
            <v>2.0500000000000003</v>
          </cell>
          <cell r="J22">
            <v>0</v>
          </cell>
          <cell r="K22">
            <v>0</v>
          </cell>
          <cell r="M22" t="str">
            <v>Bear case</v>
          </cell>
          <cell r="N22">
            <v>2</v>
          </cell>
          <cell r="O22">
            <v>5.5598144833607277</v>
          </cell>
          <cell r="P22">
            <v>-0.50000000000000067</v>
          </cell>
          <cell r="Q22">
            <v>-8.2510776752806603E-2</v>
          </cell>
        </row>
        <row r="23">
          <cell r="G23" t="str">
            <v>Bull case</v>
          </cell>
          <cell r="H23">
            <v>3</v>
          </cell>
          <cell r="I23">
            <v>2.1</v>
          </cell>
          <cell r="J23">
            <v>4.9999999999999822E-2</v>
          </cell>
          <cell r="K23">
            <v>2.4390243902438824E-2</v>
          </cell>
          <cell r="M23" t="str">
            <v>Bull case</v>
          </cell>
          <cell r="N23">
            <v>3</v>
          </cell>
          <cell r="O23">
            <v>7.3598144833607275</v>
          </cell>
          <cell r="P23">
            <v>1.2999999999999992</v>
          </cell>
          <cell r="Q23">
            <v>0.2145280195572965</v>
          </cell>
        </row>
        <row r="25">
          <cell r="A25" t="str">
            <v>Production toggle</v>
          </cell>
          <cell r="B25">
            <v>1</v>
          </cell>
          <cell r="C25">
            <v>1</v>
          </cell>
          <cell r="D25">
            <v>2</v>
          </cell>
          <cell r="E25">
            <v>3</v>
          </cell>
          <cell r="G25" t="str">
            <v>Base case - Target</v>
          </cell>
          <cell r="I25">
            <v>2.0500000000000003</v>
          </cell>
          <cell r="J25" t="str">
            <v>Diff.</v>
          </cell>
          <cell r="K25" t="str">
            <v>% Chg</v>
          </cell>
          <cell r="M25" t="str">
            <v>Production</v>
          </cell>
        </row>
        <row r="26">
          <cell r="B26">
            <v>1</v>
          </cell>
          <cell r="C26">
            <v>1</v>
          </cell>
          <cell r="D26">
            <v>0.95</v>
          </cell>
          <cell r="E26">
            <v>1.05</v>
          </cell>
          <cell r="G26" t="str">
            <v>Bear case</v>
          </cell>
          <cell r="H26">
            <v>2</v>
          </cell>
          <cell r="I26">
            <v>1.85</v>
          </cell>
          <cell r="J26">
            <v>-0.20000000000000018</v>
          </cell>
          <cell r="K26">
            <v>-9.7560975609756184E-2</v>
          </cell>
        </row>
        <row r="27">
          <cell r="G27" t="str">
            <v>Bull case</v>
          </cell>
          <cell r="H27">
            <v>3</v>
          </cell>
          <cell r="I27">
            <v>2.3000000000000003</v>
          </cell>
          <cell r="J27">
            <v>0.25</v>
          </cell>
          <cell r="K27">
            <v>0.12195121951219501</v>
          </cell>
          <cell r="M27" t="str">
            <v>Base case - Target</v>
          </cell>
          <cell r="O27">
            <v>6.0598144833607286</v>
          </cell>
          <cell r="P27" t="str">
            <v>Diff.</v>
          </cell>
          <cell r="Q27" t="str">
            <v>% Chg</v>
          </cell>
        </row>
        <row r="28">
          <cell r="M28" t="str">
            <v>Bear case</v>
          </cell>
          <cell r="N28">
            <v>2</v>
          </cell>
          <cell r="O28">
            <v>5.8598144833607284</v>
          </cell>
          <cell r="P28">
            <v>-0.20000000000000018</v>
          </cell>
          <cell r="Q28">
            <v>-3.3004310701122641E-2</v>
          </cell>
        </row>
        <row r="29">
          <cell r="M29" t="str">
            <v>Bull case</v>
          </cell>
          <cell r="N29">
            <v>3</v>
          </cell>
          <cell r="O29">
            <v>6.3098144833607286</v>
          </cell>
          <cell r="P29">
            <v>0.25</v>
          </cell>
          <cell r="Q29">
            <v>4.1255388376403301E-2</v>
          </cell>
        </row>
        <row r="30">
          <cell r="A30" t="str">
            <v>Op costs toggle</v>
          </cell>
          <cell r="B30">
            <v>1</v>
          </cell>
          <cell r="C30">
            <v>1</v>
          </cell>
          <cell r="D30">
            <v>2</v>
          </cell>
          <cell r="E30">
            <v>3</v>
          </cell>
          <cell r="G30" t="str">
            <v>Base case - Target</v>
          </cell>
          <cell r="I30">
            <v>2.0500000000000003</v>
          </cell>
          <cell r="J30" t="str">
            <v>Diff.</v>
          </cell>
          <cell r="K30" t="str">
            <v>% Chg</v>
          </cell>
        </row>
        <row r="31">
          <cell r="B31">
            <v>1</v>
          </cell>
          <cell r="C31">
            <v>1</v>
          </cell>
          <cell r="D31">
            <v>1.1499999999999999</v>
          </cell>
          <cell r="E31">
            <v>0.9</v>
          </cell>
          <cell r="G31" t="str">
            <v>Bear case</v>
          </cell>
          <cell r="H31">
            <v>2</v>
          </cell>
          <cell r="I31">
            <v>2.0500000000000003</v>
          </cell>
          <cell r="J31">
            <v>0</v>
          </cell>
          <cell r="K31">
            <v>0</v>
          </cell>
        </row>
        <row r="32">
          <cell r="G32" t="str">
            <v>Bull case</v>
          </cell>
          <cell r="H32">
            <v>3</v>
          </cell>
          <cell r="I32">
            <v>2.1</v>
          </cell>
          <cell r="J32">
            <v>4.9999999999999822E-2</v>
          </cell>
          <cell r="K32">
            <v>2.4390243902438824E-2</v>
          </cell>
          <cell r="M32" t="str">
            <v>Costs</v>
          </cell>
        </row>
        <row r="34">
          <cell r="A34" t="str">
            <v>Capex toggle</v>
          </cell>
          <cell r="B34">
            <v>1</v>
          </cell>
          <cell r="C34">
            <v>1</v>
          </cell>
          <cell r="D34">
            <v>2</v>
          </cell>
          <cell r="E34">
            <v>3</v>
          </cell>
          <cell r="G34" t="str">
            <v>Base case - Target</v>
          </cell>
          <cell r="I34">
            <v>2.0500000000000003</v>
          </cell>
          <cell r="J34" t="str">
            <v>Diff.</v>
          </cell>
          <cell r="K34" t="str">
            <v>% Chg</v>
          </cell>
          <cell r="M34" t="str">
            <v>Base case - Target</v>
          </cell>
          <cell r="O34">
            <v>6.0598144833607286</v>
          </cell>
          <cell r="P34" t="str">
            <v>Diff.</v>
          </cell>
          <cell r="Q34" t="str">
            <v>% Chg</v>
          </cell>
        </row>
        <row r="35">
          <cell r="B35">
            <v>1</v>
          </cell>
          <cell r="C35">
            <v>1</v>
          </cell>
          <cell r="D35">
            <v>1.1499999999999999</v>
          </cell>
          <cell r="E35">
            <v>0.9</v>
          </cell>
          <cell r="G35" t="str">
            <v>Bear case</v>
          </cell>
          <cell r="H35">
            <v>2</v>
          </cell>
          <cell r="I35">
            <v>2</v>
          </cell>
          <cell r="J35">
            <v>-5.0000000000000266E-2</v>
          </cell>
          <cell r="K35">
            <v>-2.4390243902439157E-2</v>
          </cell>
          <cell r="M35" t="str">
            <v>Bear case</v>
          </cell>
          <cell r="N35">
            <v>2</v>
          </cell>
          <cell r="O35">
            <v>6.0098144833607279</v>
          </cell>
          <cell r="P35">
            <v>-5.0000000000000266E-2</v>
          </cell>
          <cell r="Q35">
            <v>-8.2510776752807713E-3</v>
          </cell>
        </row>
        <row r="36">
          <cell r="G36" t="str">
            <v>Bull case</v>
          </cell>
          <cell r="H36">
            <v>3</v>
          </cell>
          <cell r="I36">
            <v>2.1</v>
          </cell>
          <cell r="J36">
            <v>4.9999999999999822E-2</v>
          </cell>
          <cell r="K36">
            <v>2.4390243902438824E-2</v>
          </cell>
          <cell r="M36" t="str">
            <v>Bull case</v>
          </cell>
          <cell r="N36">
            <v>3</v>
          </cell>
          <cell r="O36">
            <v>6.1598144833607282</v>
          </cell>
          <cell r="P36">
            <v>9.9999999999999645E-2</v>
          </cell>
          <cell r="Q36">
            <v>1.6502155350561321E-2</v>
          </cell>
        </row>
        <row r="38">
          <cell r="M38" t="str">
            <v>Nickel Grade</v>
          </cell>
        </row>
        <row r="39">
          <cell r="A39" t="str">
            <v>Nickel Grade toggle</v>
          </cell>
          <cell r="B39">
            <v>1</v>
          </cell>
          <cell r="C39">
            <v>1</v>
          </cell>
          <cell r="D39">
            <v>2</v>
          </cell>
          <cell r="E39">
            <v>3</v>
          </cell>
          <cell r="G39" t="str">
            <v>Base case - Target</v>
          </cell>
          <cell r="I39">
            <v>2.0500000000000003</v>
          </cell>
          <cell r="J39" t="str">
            <v>Diff.</v>
          </cell>
          <cell r="K39" t="str">
            <v>% Chg</v>
          </cell>
        </row>
        <row r="40">
          <cell r="B40">
            <v>1</v>
          </cell>
          <cell r="C40">
            <v>1</v>
          </cell>
          <cell r="D40">
            <v>0.9</v>
          </cell>
          <cell r="E40">
            <v>1.05</v>
          </cell>
          <cell r="G40" t="str">
            <v>Bear case</v>
          </cell>
          <cell r="H40">
            <v>2</v>
          </cell>
          <cell r="I40">
            <v>1.6</v>
          </cell>
          <cell r="J40">
            <v>-0.45000000000000018</v>
          </cell>
          <cell r="K40">
            <v>-0.2195121951219513</v>
          </cell>
          <cell r="M40" t="str">
            <v>Base case - Target</v>
          </cell>
          <cell r="O40">
            <v>6.0598144833607286</v>
          </cell>
          <cell r="P40" t="str">
            <v>Diff.</v>
          </cell>
          <cell r="Q40" t="str">
            <v>% Chg</v>
          </cell>
        </row>
        <row r="41">
          <cell r="G41" t="str">
            <v>Bull case</v>
          </cell>
          <cell r="H41">
            <v>3</v>
          </cell>
          <cell r="I41">
            <v>2.35</v>
          </cell>
          <cell r="J41">
            <v>0.29999999999999982</v>
          </cell>
          <cell r="K41">
            <v>0.14634146341463405</v>
          </cell>
          <cell r="M41" t="str">
            <v>Bear case</v>
          </cell>
          <cell r="N41">
            <v>2</v>
          </cell>
          <cell r="O41">
            <v>5.6098144833607284</v>
          </cell>
          <cell r="P41">
            <v>-0.45000000000000018</v>
          </cell>
          <cell r="Q41">
            <v>-7.4259699077525831E-2</v>
          </cell>
        </row>
        <row r="42">
          <cell r="M42" t="str">
            <v>Bull case</v>
          </cell>
          <cell r="N42">
            <v>3</v>
          </cell>
          <cell r="O42">
            <v>6.3598144833607284</v>
          </cell>
          <cell r="P42">
            <v>0.29999999999999982</v>
          </cell>
          <cell r="Q42">
            <v>4.950646605168374E-2</v>
          </cell>
        </row>
        <row r="45">
          <cell r="M45" t="str">
            <v>Payability terms</v>
          </cell>
        </row>
        <row r="46">
          <cell r="A46" t="str">
            <v>Payability toggle</v>
          </cell>
          <cell r="B46">
            <v>1</v>
          </cell>
          <cell r="C46">
            <v>1</v>
          </cell>
          <cell r="D46">
            <v>2</v>
          </cell>
          <cell r="E46">
            <v>3</v>
          </cell>
          <cell r="G46" t="str">
            <v>Base case - Target</v>
          </cell>
          <cell r="I46">
            <v>2.0500000000000003</v>
          </cell>
          <cell r="J46" t="str">
            <v>Diff.</v>
          </cell>
          <cell r="K46" t="str">
            <v>% Chg</v>
          </cell>
        </row>
        <row r="47">
          <cell r="B47">
            <v>0</v>
          </cell>
          <cell r="C47">
            <v>0</v>
          </cell>
          <cell r="D47">
            <v>-0.05</v>
          </cell>
          <cell r="E47">
            <v>2.5000000000000001E-2</v>
          </cell>
          <cell r="G47" t="str">
            <v>Bear case</v>
          </cell>
          <cell r="H47">
            <v>2</v>
          </cell>
          <cell r="I47">
            <v>1.6500000000000001</v>
          </cell>
          <cell r="J47">
            <v>-0.40000000000000013</v>
          </cell>
          <cell r="K47">
            <v>-0.19512195121951226</v>
          </cell>
          <cell r="M47" t="str">
            <v>Base case - Target</v>
          </cell>
          <cell r="O47">
            <v>6.0598144833607286</v>
          </cell>
          <cell r="P47" t="str">
            <v>Diff.</v>
          </cell>
          <cell r="Q47" t="str">
            <v>% Chg</v>
          </cell>
        </row>
        <row r="48">
          <cell r="G48" t="str">
            <v>Bull case</v>
          </cell>
          <cell r="H48">
            <v>3</v>
          </cell>
          <cell r="I48">
            <v>2.3000000000000003</v>
          </cell>
          <cell r="J48">
            <v>0.25</v>
          </cell>
          <cell r="K48">
            <v>0.12195121951219501</v>
          </cell>
          <cell r="M48" t="str">
            <v>Bear case</v>
          </cell>
          <cell r="N48">
            <v>2</v>
          </cell>
          <cell r="O48">
            <v>5.6598144833607282</v>
          </cell>
          <cell r="P48">
            <v>-0.40000000000000013</v>
          </cell>
          <cell r="Q48">
            <v>-6.6008621402245171E-2</v>
          </cell>
        </row>
        <row r="49">
          <cell r="M49" t="str">
            <v>Bull case</v>
          </cell>
          <cell r="N49">
            <v>3</v>
          </cell>
          <cell r="O49">
            <v>6.3098144833607286</v>
          </cell>
          <cell r="P49">
            <v>0.25</v>
          </cell>
          <cell r="Q49">
            <v>4.1255388376403301E-2</v>
          </cell>
        </row>
        <row r="62">
          <cell r="C62" t="str">
            <v>Base Case</v>
          </cell>
          <cell r="H62" t="str">
            <v>Ni Price (US$/lb)</v>
          </cell>
          <cell r="I62" t="str">
            <v>Payablility</v>
          </cell>
          <cell r="J62">
            <v>0.04</v>
          </cell>
          <cell r="M62" t="str">
            <v>DCF Valuation</v>
          </cell>
          <cell r="N62" t="str">
            <v>A$m</v>
          </cell>
          <cell r="O62" t="str">
            <v>A$/sh</v>
          </cell>
          <cell r="R62" t="str">
            <v>Nickel Price</v>
          </cell>
          <cell r="T62">
            <v>2010</v>
          </cell>
          <cell r="U62">
            <v>2011</v>
          </cell>
        </row>
        <row r="63">
          <cell r="A63" t="str">
            <v>WACC</v>
          </cell>
          <cell r="B63">
            <v>1</v>
          </cell>
          <cell r="C63">
            <v>1</v>
          </cell>
          <cell r="H63">
            <v>5</v>
          </cell>
          <cell r="I63">
            <v>0.62</v>
          </cell>
          <cell r="J63">
            <v>0.66</v>
          </cell>
          <cell r="M63" t="str">
            <v>Savannah</v>
          </cell>
          <cell r="N63">
            <v>134.44603548531921</v>
          </cell>
          <cell r="O63">
            <v>0.6510693114751317</v>
          </cell>
          <cell r="R63" t="str">
            <v>Revenue</v>
          </cell>
          <cell r="S63" t="str">
            <v>A$m</v>
          </cell>
          <cell r="T63">
            <v>283.44799999999998</v>
          </cell>
          <cell r="U63">
            <v>243.44499999999999</v>
          </cell>
        </row>
        <row r="64">
          <cell r="H64">
            <v>6</v>
          </cell>
          <cell r="I64">
            <v>0.63</v>
          </cell>
          <cell r="J64">
            <v>0.67</v>
          </cell>
          <cell r="M64" t="str">
            <v>Lanfranchi</v>
          </cell>
          <cell r="N64">
            <v>247.67702936880741</v>
          </cell>
          <cell r="O64">
            <v>1.1994025141556783</v>
          </cell>
          <cell r="R64" t="str">
            <v xml:space="preserve">EBITDA </v>
          </cell>
          <cell r="S64" t="str">
            <v>A$m</v>
          </cell>
          <cell r="T64">
            <v>119.91799999999998</v>
          </cell>
          <cell r="U64">
            <v>77.432999999999964</v>
          </cell>
        </row>
        <row r="65">
          <cell r="A65" t="str">
            <v>Nickel Price - Short term (FY10-12)</v>
          </cell>
          <cell r="B65">
            <v>1</v>
          </cell>
          <cell r="C65">
            <v>1</v>
          </cell>
          <cell r="H65">
            <v>6.5</v>
          </cell>
          <cell r="I65">
            <v>0.63</v>
          </cell>
          <cell r="J65">
            <v>0.67</v>
          </cell>
          <cell r="M65" t="str">
            <v>Gidgee Gold Project</v>
          </cell>
          <cell r="N65">
            <v>15</v>
          </cell>
          <cell r="O65">
            <v>7.2639104878576916E-2</v>
          </cell>
          <cell r="R65" t="str">
            <v>NPAT</v>
          </cell>
          <cell r="S65" t="str">
            <v>A$m</v>
          </cell>
          <cell r="T65">
            <v>51.140999999999977</v>
          </cell>
          <cell r="U65">
            <v>26.167199999999973</v>
          </cell>
        </row>
        <row r="66">
          <cell r="A66" t="str">
            <v>Copper Price - Short term (FY10-12)</v>
          </cell>
          <cell r="B66">
            <v>1</v>
          </cell>
          <cell r="C66">
            <v>1</v>
          </cell>
          <cell r="H66">
            <v>7</v>
          </cell>
          <cell r="I66">
            <v>0.64</v>
          </cell>
          <cell r="J66">
            <v>0.68</v>
          </cell>
          <cell r="M66" t="str">
            <v>Equity Investments</v>
          </cell>
          <cell r="N66">
            <v>8.1143000000000001</v>
          </cell>
          <cell r="O66">
            <v>3.9294365914415777E-2</v>
          </cell>
          <cell r="R66" t="str">
            <v>EPS</v>
          </cell>
          <cell r="S66" t="str">
            <v>A$/sh</v>
          </cell>
          <cell r="T66">
            <v>0.2491488449721454</v>
          </cell>
          <cell r="U66">
            <v>0.12671746567857983</v>
          </cell>
        </row>
        <row r="67">
          <cell r="A67" t="str">
            <v>A$ - Short term (FY10-12)</v>
          </cell>
          <cell r="B67">
            <v>1</v>
          </cell>
          <cell r="C67">
            <v>1</v>
          </cell>
          <cell r="H67">
            <v>7.5</v>
          </cell>
          <cell r="I67">
            <v>0.64</v>
          </cell>
          <cell r="J67">
            <v>0.68</v>
          </cell>
          <cell r="M67" t="str">
            <v>Exploration</v>
          </cell>
          <cell r="N67">
            <v>20</v>
          </cell>
          <cell r="O67">
            <v>9.6852139838102549E-2</v>
          </cell>
          <cell r="R67" t="str">
            <v>FCF</v>
          </cell>
          <cell r="S67" t="str">
            <v>A$m</v>
          </cell>
          <cell r="T67">
            <v>105.21200000000002</v>
          </cell>
          <cell r="U67">
            <v>-13.667000000000002</v>
          </cell>
        </row>
        <row r="68">
          <cell r="H68">
            <v>8</v>
          </cell>
          <cell r="I68">
            <v>0.64999999999999991</v>
          </cell>
          <cell r="J68">
            <v>0.69</v>
          </cell>
          <cell r="M68" t="str">
            <v>Corporate</v>
          </cell>
          <cell r="N68">
            <v>-105.04201680672269</v>
          </cell>
          <cell r="O68">
            <v>-0.50867720503205116</v>
          </cell>
          <cell r="R68" t="str">
            <v>Gearing ND/(ND+E))</v>
          </cell>
          <cell r="S68" t="str">
            <v>%</v>
          </cell>
          <cell r="T68">
            <v>-0.18312789813990724</v>
          </cell>
          <cell r="U68">
            <v>-0.41854512272163608</v>
          </cell>
        </row>
        <row r="69">
          <cell r="H69">
            <v>8.5</v>
          </cell>
          <cell r="I69">
            <v>0.64999999999999991</v>
          </cell>
          <cell r="J69">
            <v>0.69</v>
          </cell>
          <cell r="M69" t="str">
            <v>Hedge Book</v>
          </cell>
          <cell r="N69">
            <v>6.7417839226973282</v>
          </cell>
          <cell r="O69">
            <v>3.2647809961967658E-2</v>
          </cell>
        </row>
        <row r="70">
          <cell r="A70" t="str">
            <v>Nickel Price - Long term (&gt;FY2012)</v>
          </cell>
          <cell r="B70">
            <v>1</v>
          </cell>
          <cell r="C70">
            <v>1</v>
          </cell>
          <cell r="H70">
            <v>9</v>
          </cell>
          <cell r="I70">
            <v>0.65999999999999992</v>
          </cell>
          <cell r="J70">
            <v>0.7</v>
          </cell>
          <cell r="M70" t="str">
            <v>Net (Debt)/Cash (Dec 11)</v>
          </cell>
          <cell r="N70">
            <v>99.696705003615875</v>
          </cell>
          <cell r="O70">
            <v>0.48279196072041314</v>
          </cell>
        </row>
        <row r="71">
          <cell r="A71" t="str">
            <v>Copper Price - Long term (&gt;FY2012)</v>
          </cell>
          <cell r="B71">
            <v>1</v>
          </cell>
          <cell r="C71">
            <v>1</v>
          </cell>
          <cell r="H71">
            <v>9.5</v>
          </cell>
          <cell r="I71">
            <v>0.65999999999999992</v>
          </cell>
          <cell r="J71">
            <v>0.7</v>
          </cell>
          <cell r="M71" t="str">
            <v>Total Valuation</v>
          </cell>
          <cell r="N71">
            <v>426.63383697371711</v>
          </cell>
          <cell r="O71">
            <v>2.0500000000000003</v>
          </cell>
        </row>
        <row r="72">
          <cell r="A72" t="str">
            <v>A$ - Long term (&gt;FY2012)</v>
          </cell>
          <cell r="B72">
            <v>1</v>
          </cell>
          <cell r="C72">
            <v>1</v>
          </cell>
          <cell r="H72">
            <v>10</v>
          </cell>
          <cell r="I72">
            <v>0.66999999999999993</v>
          </cell>
          <cell r="J72">
            <v>0.71</v>
          </cell>
        </row>
        <row r="73">
          <cell r="H73">
            <v>10.5</v>
          </cell>
          <cell r="I73">
            <v>0.66999999999999993</v>
          </cell>
          <cell r="J73">
            <v>0.71</v>
          </cell>
        </row>
        <row r="74">
          <cell r="H74">
            <v>11</v>
          </cell>
          <cell r="I74">
            <v>0.67999999999999994</v>
          </cell>
          <cell r="J74">
            <v>0.72</v>
          </cell>
          <cell r="M74" t="str">
            <v>DCF Valuation (A$/sh)</v>
          </cell>
          <cell r="N74" t="str">
            <v>Base Case Production</v>
          </cell>
          <cell r="O74" t="str">
            <v>Bull Case Production</v>
          </cell>
          <cell r="P74" t="str">
            <v>% Diff</v>
          </cell>
        </row>
        <row r="75">
          <cell r="A75" t="str">
            <v>C1 Operating Costs Inflator</v>
          </cell>
          <cell r="B75">
            <v>1</v>
          </cell>
          <cell r="C75">
            <v>1</v>
          </cell>
          <cell r="H75">
            <v>11.5</v>
          </cell>
          <cell r="I75">
            <v>0.67999999999999994</v>
          </cell>
          <cell r="J75">
            <v>0.72</v>
          </cell>
          <cell r="M75" t="str">
            <v>Savannah</v>
          </cell>
          <cell r="N75">
            <v>1.0403732544563844</v>
          </cell>
          <cell r="O75">
            <v>1.410069387077076</v>
          </cell>
          <cell r="P75">
            <v>0.35534951618288679</v>
          </cell>
        </row>
        <row r="76">
          <cell r="A76" t="str">
            <v>% Payable Nickel (beyond 2011)</v>
          </cell>
          <cell r="B76">
            <v>0</v>
          </cell>
          <cell r="C76">
            <v>0</v>
          </cell>
          <cell r="H76">
            <v>12</v>
          </cell>
          <cell r="I76">
            <v>0.69</v>
          </cell>
          <cell r="J76">
            <v>0.73</v>
          </cell>
          <cell r="M76" t="str">
            <v>Lanfranchi</v>
          </cell>
          <cell r="N76">
            <v>1.5123103800984299</v>
          </cell>
          <cell r="O76">
            <v>2.1481266677186213</v>
          </cell>
          <cell r="P76">
            <v>0.42042711336730276</v>
          </cell>
        </row>
        <row r="77">
          <cell r="H77">
            <v>12.5</v>
          </cell>
          <cell r="I77">
            <v>0.69</v>
          </cell>
          <cell r="J77">
            <v>0.73</v>
          </cell>
          <cell r="M77" t="str">
            <v>Gidgee Gold Project</v>
          </cell>
          <cell r="N77">
            <v>7.2639104878576916E-2</v>
          </cell>
          <cell r="O77">
            <v>7.2639104878576916E-2</v>
          </cell>
          <cell r="P77">
            <v>0</v>
          </cell>
        </row>
        <row r="78">
          <cell r="A78" t="str">
            <v>Ni Grade</v>
          </cell>
          <cell r="B78">
            <v>1</v>
          </cell>
          <cell r="C78">
            <v>1</v>
          </cell>
          <cell r="H78">
            <v>13</v>
          </cell>
          <cell r="I78">
            <v>0.7</v>
          </cell>
          <cell r="J78">
            <v>0.74</v>
          </cell>
          <cell r="M78" t="str">
            <v>Equity Investments</v>
          </cell>
          <cell r="N78">
            <v>3.9294365914415777E-2</v>
          </cell>
          <cell r="O78">
            <v>3.9294365914415777E-2</v>
          </cell>
          <cell r="P78">
            <v>0</v>
          </cell>
        </row>
        <row r="79">
          <cell r="A79" t="str">
            <v>Copper Grade</v>
          </cell>
          <cell r="B79">
            <v>1</v>
          </cell>
          <cell r="C79">
            <v>1</v>
          </cell>
          <cell r="D79" t="str">
            <v>Not Linked</v>
          </cell>
          <cell r="H79">
            <v>13.5</v>
          </cell>
          <cell r="I79">
            <v>0.7</v>
          </cell>
          <cell r="J79">
            <v>0.74</v>
          </cell>
          <cell r="M79" t="str">
            <v>Exploration</v>
          </cell>
          <cell r="N79">
            <v>9.6852139838102549E-2</v>
          </cell>
          <cell r="O79">
            <v>9.6852139838102549E-2</v>
          </cell>
          <cell r="P79">
            <v>0</v>
          </cell>
        </row>
        <row r="80">
          <cell r="A80" t="str">
            <v>Recovery</v>
          </cell>
          <cell r="B80">
            <v>0</v>
          </cell>
          <cell r="C80">
            <v>0</v>
          </cell>
          <cell r="H80">
            <v>14</v>
          </cell>
          <cell r="I80">
            <v>0.71</v>
          </cell>
          <cell r="J80">
            <v>0.75</v>
          </cell>
          <cell r="M80" t="str">
            <v>Corporate</v>
          </cell>
          <cell r="N80">
            <v>-0.25433860251602558</v>
          </cell>
          <cell r="O80">
            <v>-0.25433860251602558</v>
          </cell>
          <cell r="P80">
            <v>0</v>
          </cell>
        </row>
        <row r="81">
          <cell r="A81" t="str">
            <v>Milled Tonnes</v>
          </cell>
          <cell r="B81">
            <v>1</v>
          </cell>
          <cell r="C81">
            <v>1</v>
          </cell>
          <cell r="M81" t="str">
            <v>Hedge Book</v>
          </cell>
          <cell r="N81">
            <v>-4.9179102044498851E-2</v>
          </cell>
          <cell r="O81">
            <v>-4.9179102044498851E-2</v>
          </cell>
          <cell r="P81">
            <v>0</v>
          </cell>
        </row>
        <row r="82">
          <cell r="M82" t="str">
            <v>Net (Debt)/Cash (Dec 10)</v>
          </cell>
          <cell r="N82">
            <v>0.44470144267363976</v>
          </cell>
          <cell r="O82">
            <v>0.44470144267363976</v>
          </cell>
          <cell r="P82">
            <v>0</v>
          </cell>
        </row>
        <row r="83">
          <cell r="A83" t="str">
            <v>Capital Expenditure Inflator</v>
          </cell>
          <cell r="B83">
            <v>1</v>
          </cell>
          <cell r="C83">
            <v>1</v>
          </cell>
          <cell r="M83" t="str">
            <v>Total Valuation</v>
          </cell>
          <cell r="N83">
            <v>2.9026529832990247</v>
          </cell>
          <cell r="O83">
            <v>3.908165403539908</v>
          </cell>
          <cell r="P83">
            <v>0.34641151595671049</v>
          </cell>
        </row>
        <row r="84">
          <cell r="A84" t="str">
            <v>Exploration Inflator</v>
          </cell>
          <cell r="B84">
            <v>1</v>
          </cell>
          <cell r="C84">
            <v>1</v>
          </cell>
          <cell r="D84" t="str">
            <v>Not Linked</v>
          </cell>
        </row>
        <row r="86">
          <cell r="A86" t="str">
            <v xml:space="preserve">Savannah Production </v>
          </cell>
          <cell r="B86">
            <v>1</v>
          </cell>
          <cell r="C86">
            <v>1</v>
          </cell>
          <cell r="D86" t="str">
            <v>extra 40% mill capacity available + 20% capex (20%)</v>
          </cell>
        </row>
        <row r="87">
          <cell r="A87" t="str">
            <v>Lanfanchi Production</v>
          </cell>
          <cell r="B87">
            <v>1</v>
          </cell>
          <cell r="C87">
            <v>1</v>
          </cell>
          <cell r="D87" t="str">
            <v xml:space="preserve">extra 20% </v>
          </cell>
        </row>
        <row r="89">
          <cell r="A89" t="str">
            <v>Savannah Mine Life</v>
          </cell>
          <cell r="B89">
            <v>0.4</v>
          </cell>
          <cell r="C89">
            <v>0.4</v>
          </cell>
          <cell r="D89" t="str">
            <v>+ 30% capex spend</v>
          </cell>
        </row>
        <row r="90">
          <cell r="A90" t="str">
            <v>Lanfranchi Mine Life</v>
          </cell>
          <cell r="B90">
            <v>0.4</v>
          </cell>
          <cell r="C90">
            <v>0.4</v>
          </cell>
        </row>
        <row r="98">
          <cell r="B98" t="str">
            <v>EPS (A$/Sh)</v>
          </cell>
          <cell r="F98" t="str">
            <v>PE</v>
          </cell>
          <cell r="J98" t="str">
            <v>DCF</v>
          </cell>
          <cell r="K98" t="str">
            <v>Price target</v>
          </cell>
          <cell r="L98" t="str">
            <v>DCF Diff</v>
          </cell>
          <cell r="M98" t="str">
            <v>Price target Diff</v>
          </cell>
        </row>
        <row r="99">
          <cell r="A99" t="str">
            <v>Western Areas</v>
          </cell>
          <cell r="B99">
            <v>2010</v>
          </cell>
          <cell r="C99">
            <v>2011</v>
          </cell>
          <cell r="D99">
            <v>2012</v>
          </cell>
          <cell r="E99">
            <v>2013</v>
          </cell>
          <cell r="F99">
            <v>2010</v>
          </cell>
          <cell r="G99">
            <v>2011</v>
          </cell>
          <cell r="H99">
            <v>2012</v>
          </cell>
          <cell r="I99">
            <v>2013</v>
          </cell>
        </row>
        <row r="100">
          <cell r="B100">
            <v>0.2491488449721454</v>
          </cell>
          <cell r="C100">
            <v>0.12671746567857983</v>
          </cell>
          <cell r="D100">
            <v>0.17040177490888733</v>
          </cell>
          <cell r="E100">
            <v>0.16899073987769547</v>
          </cell>
          <cell r="F100">
            <v>4.9769446056979749</v>
          </cell>
          <cell r="G100">
            <v>9.7855492402702637</v>
          </cell>
          <cell r="H100">
            <v>7.2769195078104056</v>
          </cell>
          <cell r="I100">
            <v>7.3376801645902701</v>
          </cell>
          <cell r="J100">
            <v>2.0500000000000003</v>
          </cell>
          <cell r="K100">
            <v>0</v>
          </cell>
        </row>
        <row r="101">
          <cell r="A101" t="str">
            <v>Bull</v>
          </cell>
        </row>
        <row r="102">
          <cell r="A102" t="str">
            <v>Bull Case Pricing</v>
          </cell>
          <cell r="B102">
            <v>0.27377093414696069</v>
          </cell>
          <cell r="C102">
            <v>0.25904679580445444</v>
          </cell>
          <cell r="D102">
            <v>0.37533330776587837</v>
          </cell>
          <cell r="E102">
            <v>0.6928774525422764</v>
          </cell>
          <cell r="F102">
            <v>7.0862160953821514</v>
          </cell>
          <cell r="G102">
            <v>7.4889943879654837</v>
          </cell>
          <cell r="H102">
            <v>5.1687392508477119</v>
          </cell>
          <cell r="I102">
            <v>2.7999179261525033</v>
          </cell>
          <cell r="J102">
            <v>5.8601092299422675</v>
          </cell>
          <cell r="L102">
            <v>0.99998403072403796</v>
          </cell>
        </row>
        <row r="103">
          <cell r="A103" t="str">
            <v>Mine Life Extension</v>
          </cell>
          <cell r="B103">
            <v>0.27377093414696069</v>
          </cell>
          <cell r="C103">
            <v>0.25467427337171716</v>
          </cell>
          <cell r="D103">
            <v>0.34727915742171617</v>
          </cell>
          <cell r="E103">
            <v>0.47573234704659451</v>
          </cell>
          <cell r="F103">
            <v>7.0862160953821514</v>
          </cell>
          <cell r="G103">
            <v>7.6175735158314053</v>
          </cell>
          <cell r="H103">
            <v>5.5862839981616679</v>
          </cell>
          <cell r="I103">
            <v>4.0779232525258395</v>
          </cell>
          <cell r="J103">
            <v>4.8601251992182295</v>
          </cell>
          <cell r="L103">
            <v>0.95299399380635563</v>
          </cell>
        </row>
        <row r="104">
          <cell r="A104" t="str">
            <v>Organic Growth</v>
          </cell>
          <cell r="B104">
            <v>0.27377093414696069</v>
          </cell>
          <cell r="C104">
            <v>0.25467427337171716</v>
          </cell>
          <cell r="D104">
            <v>0.34727915742171617</v>
          </cell>
          <cell r="E104">
            <v>0.47622048183137844</v>
          </cell>
          <cell r="F104">
            <v>7.0862160953821514</v>
          </cell>
          <cell r="G104">
            <v>7.6175735158314053</v>
          </cell>
          <cell r="H104">
            <v>5.5862839981616679</v>
          </cell>
          <cell r="I104">
            <v>4.0737433059145927</v>
          </cell>
          <cell r="J104">
            <v>3.9071312054118739</v>
          </cell>
          <cell r="L104">
            <v>1.000586568767083</v>
          </cell>
        </row>
        <row r="105">
          <cell r="A105" t="str">
            <v>Base</v>
          </cell>
          <cell r="B105">
            <v>0.27377093414696069</v>
          </cell>
          <cell r="C105">
            <v>0.25467427337171716</v>
          </cell>
          <cell r="D105">
            <v>0.34727915742171617</v>
          </cell>
          <cell r="E105">
            <v>0.2861809668412702</v>
          </cell>
          <cell r="F105">
            <v>7.0862160953821514</v>
          </cell>
          <cell r="G105">
            <v>7.6175735158314053</v>
          </cell>
          <cell r="H105">
            <v>5.5862839981616679</v>
          </cell>
          <cell r="I105">
            <v>6.7789274088098868</v>
          </cell>
          <cell r="J105">
            <v>2.9065446366447909</v>
          </cell>
        </row>
        <row r="106">
          <cell r="A106" t="str">
            <v>+10% Operating Costs</v>
          </cell>
          <cell r="B106">
            <v>0.27377093414696069</v>
          </cell>
          <cell r="C106">
            <v>0.25467427337171716</v>
          </cell>
          <cell r="D106">
            <v>0.25057179585747252</v>
          </cell>
          <cell r="E106">
            <v>0.14725441535564818</v>
          </cell>
          <cell r="F106">
            <v>7.0862160953821514</v>
          </cell>
          <cell r="G106">
            <v>7.6175735158314053</v>
          </cell>
          <cell r="H106">
            <v>7.7422919581240075</v>
          </cell>
          <cell r="I106">
            <v>13.174477623061563</v>
          </cell>
          <cell r="J106">
            <v>2.0982673145157458</v>
          </cell>
          <cell r="L106">
            <v>-0.80827732212904513</v>
          </cell>
        </row>
        <row r="107">
          <cell r="A107" t="str">
            <v>No Mine Life Extension</v>
          </cell>
          <cell r="B107">
            <v>0.27377093414696069</v>
          </cell>
          <cell r="C107">
            <v>0.25467427337171716</v>
          </cell>
          <cell r="D107">
            <v>0.25057179585747252</v>
          </cell>
          <cell r="E107">
            <v>0.14757983854550419</v>
          </cell>
          <cell r="F107">
            <v>7.0862160953821514</v>
          </cell>
          <cell r="G107">
            <v>7.6175735158314053</v>
          </cell>
          <cell r="H107">
            <v>7.7422919581240075</v>
          </cell>
          <cell r="I107">
            <v>13.145427038814844</v>
          </cell>
          <cell r="J107">
            <v>1.6711179261385973</v>
          </cell>
          <cell r="L107">
            <v>-0.42714938837714844</v>
          </cell>
        </row>
        <row r="108">
          <cell r="A108" t="str">
            <v>Bear Case Prices</v>
          </cell>
          <cell r="B108">
            <v>0.27377093414696069</v>
          </cell>
          <cell r="C108">
            <v>0.12313356374243843</v>
          </cell>
          <cell r="D108">
            <v>0.14437113811349309</v>
          </cell>
          <cell r="E108">
            <v>9.6968124012264442E-2</v>
          </cell>
          <cell r="F108">
            <v>7.0862160953821514</v>
          </cell>
          <cell r="G108">
            <v>15.755249349056012</v>
          </cell>
          <cell r="H108">
            <v>13.437588879260108</v>
          </cell>
          <cell r="I108">
            <v>20.006574529116708</v>
          </cell>
          <cell r="J108">
            <v>1.1555972149644109</v>
          </cell>
          <cell r="L108">
            <v>-0.51552071117418641</v>
          </cell>
        </row>
        <row r="109">
          <cell r="A109" t="str">
            <v>Bear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2">
          <cell r="B2" t="str">
            <v>Ore (kt)</v>
          </cell>
          <cell r="C2" t="str">
            <v>Grade Nickel (%)</v>
          </cell>
          <cell r="D2" t="str">
            <v>Contained Nickel (kt)</v>
          </cell>
        </row>
        <row r="3">
          <cell r="A3" t="str">
            <v>Reserves</v>
          </cell>
        </row>
        <row r="4">
          <cell r="B4">
            <v>38</v>
          </cell>
          <cell r="C4">
            <v>3.5</v>
          </cell>
          <cell r="D4">
            <v>1.33</v>
          </cell>
        </row>
        <row r="5">
          <cell r="B5">
            <v>298.7</v>
          </cell>
          <cell r="C5">
            <v>3.9</v>
          </cell>
          <cell r="D5">
            <v>11.73</v>
          </cell>
        </row>
        <row r="6">
          <cell r="B6">
            <v>1044.3</v>
          </cell>
          <cell r="C6">
            <v>5.6</v>
          </cell>
          <cell r="D6">
            <v>58.82</v>
          </cell>
        </row>
        <row r="7">
          <cell r="A7" t="str">
            <v>Flying Fox</v>
          </cell>
          <cell r="B7">
            <v>1381</v>
          </cell>
          <cell r="C7">
            <v>5.1745184648805198</v>
          </cell>
          <cell r="D7">
            <v>71.88</v>
          </cell>
        </row>
        <row r="8">
          <cell r="A8" t="str">
            <v>Spotted Quoll</v>
          </cell>
          <cell r="B8">
            <v>386</v>
          </cell>
          <cell r="C8">
            <v>5.0999999999999996</v>
          </cell>
          <cell r="D8">
            <v>19.899999999999999</v>
          </cell>
        </row>
        <row r="9">
          <cell r="B9">
            <v>2016</v>
          </cell>
          <cell r="C9">
            <v>1.4</v>
          </cell>
          <cell r="D9">
            <v>28.95</v>
          </cell>
        </row>
        <row r="10">
          <cell r="B10">
            <v>93</v>
          </cell>
          <cell r="C10">
            <v>2</v>
          </cell>
          <cell r="D10">
            <v>1.85</v>
          </cell>
        </row>
        <row r="11">
          <cell r="A11" t="str">
            <v>Diggers South</v>
          </cell>
          <cell r="B11">
            <v>2109</v>
          </cell>
          <cell r="C11">
            <v>1.4264580369843527</v>
          </cell>
          <cell r="D11">
            <v>30.8</v>
          </cell>
        </row>
        <row r="12">
          <cell r="A12" t="str">
            <v>Total</v>
          </cell>
          <cell r="B12">
            <v>3876</v>
          </cell>
          <cell r="C12">
            <v>3.1625386996904021</v>
          </cell>
          <cell r="D12">
            <v>122.58</v>
          </cell>
        </row>
        <row r="13">
          <cell r="A13" t="str">
            <v>Resources</v>
          </cell>
        </row>
        <row r="14">
          <cell r="A14" t="str">
            <v>Flying Fox</v>
          </cell>
          <cell r="B14">
            <v>2139.5</v>
          </cell>
          <cell r="C14">
            <v>4.7</v>
          </cell>
          <cell r="D14">
            <v>100.42</v>
          </cell>
        </row>
        <row r="15">
          <cell r="A15" t="str">
            <v>Spotted Quoll</v>
          </cell>
          <cell r="B15">
            <v>2021.6</v>
          </cell>
          <cell r="C15">
            <v>6.2</v>
          </cell>
          <cell r="D15">
            <v>125.46</v>
          </cell>
        </row>
        <row r="16">
          <cell r="A16" t="str">
            <v>Cosmic Boy</v>
          </cell>
          <cell r="B16">
            <v>375.9</v>
          </cell>
          <cell r="C16">
            <v>2.4</v>
          </cell>
          <cell r="D16">
            <v>8.9499999999999993</v>
          </cell>
        </row>
        <row r="17">
          <cell r="A17" t="str">
            <v>Diggers South</v>
          </cell>
          <cell r="B17">
            <v>10028.200000000001</v>
          </cell>
          <cell r="C17">
            <v>1</v>
          </cell>
          <cell r="D17">
            <v>99.57</v>
          </cell>
        </row>
        <row r="18">
          <cell r="A18" t="str">
            <v>New Morning</v>
          </cell>
          <cell r="B18">
            <v>2143.9</v>
          </cell>
          <cell r="C18">
            <v>1.4</v>
          </cell>
          <cell r="D18">
            <v>30.7</v>
          </cell>
        </row>
        <row r="19">
          <cell r="A19" t="str">
            <v>Other</v>
          </cell>
          <cell r="B19">
            <v>480</v>
          </cell>
          <cell r="C19">
            <v>1.4</v>
          </cell>
          <cell r="D19">
            <v>6.72</v>
          </cell>
        </row>
        <row r="20">
          <cell r="A20" t="str">
            <v>Total</v>
          </cell>
          <cell r="B20">
            <v>17189.100000000002</v>
          </cell>
          <cell r="C20">
            <v>2.1631149972947972</v>
          </cell>
          <cell r="D20">
            <v>371.82</v>
          </cell>
        </row>
      </sheetData>
      <sheetData sheetId="17" refreshError="1">
        <row r="27">
          <cell r="F27">
            <v>114093.47</v>
          </cell>
        </row>
        <row r="28">
          <cell r="F28">
            <v>17026.619200000001</v>
          </cell>
        </row>
        <row r="29">
          <cell r="F29">
            <v>6.7008881011445887</v>
          </cell>
        </row>
        <row r="39">
          <cell r="E39" t="str">
            <v>1H10</v>
          </cell>
          <cell r="F39" t="str">
            <v>2H10</v>
          </cell>
          <cell r="G39" t="str">
            <v>1H11</v>
          </cell>
          <cell r="H39" t="str">
            <v>2H11</v>
          </cell>
          <cell r="I39" t="str">
            <v>1H12</v>
          </cell>
          <cell r="J39" t="str">
            <v>2H12</v>
          </cell>
          <cell r="K39" t="str">
            <v>1H13</v>
          </cell>
        </row>
        <row r="42">
          <cell r="D42" t="str">
            <v>Ni price/lb</v>
          </cell>
          <cell r="E42">
            <v>7.9734314730135303</v>
          </cell>
          <cell r="F42">
            <v>9.6726929503099548</v>
          </cell>
          <cell r="G42">
            <v>10.70540451590146</v>
          </cell>
          <cell r="H42">
            <v>11.837451227565793</v>
          </cell>
          <cell r="I42">
            <v>9.2469573793285313</v>
          </cell>
          <cell r="J42">
            <v>9.0915983438032342</v>
          </cell>
          <cell r="K42">
            <v>9.1999999999999993</v>
          </cell>
        </row>
        <row r="43">
          <cell r="D43" t="str">
            <v>C1 costs</v>
          </cell>
          <cell r="E43">
            <v>4.8613811158527165</v>
          </cell>
          <cell r="F43">
            <v>5.1967523900487862</v>
          </cell>
          <cell r="G43">
            <v>5.8638184655658474</v>
          </cell>
          <cell r="H43">
            <v>5.5529722915769861</v>
          </cell>
          <cell r="I43">
            <v>5.2313531122054497</v>
          </cell>
          <cell r="J43">
            <v>5.2472089615500339</v>
          </cell>
          <cell r="K43">
            <v>5.3007783423995232</v>
          </cell>
        </row>
        <row r="45">
          <cell r="D45" t="str">
            <v>Operating margin</v>
          </cell>
          <cell r="E45">
            <v>3.1120503571608138</v>
          </cell>
          <cell r="F45">
            <v>4.4759405602611686</v>
          </cell>
          <cell r="G45">
            <v>4.8415860503356125</v>
          </cell>
          <cell r="H45">
            <v>6.2844789359888074</v>
          </cell>
          <cell r="I45">
            <v>4.0156042671230816</v>
          </cell>
          <cell r="J45">
            <v>3.8443893822532003</v>
          </cell>
          <cell r="K45">
            <v>3.8992216576004761</v>
          </cell>
        </row>
        <row r="46">
          <cell r="D46" t="str">
            <v>Operating margin %</v>
          </cell>
          <cell r="E46">
            <v>0.3903025150079612</v>
          </cell>
          <cell r="F46">
            <v>0.46273985778880122</v>
          </cell>
          <cell r="G46">
            <v>0.45225624525855868</v>
          </cell>
          <cell r="H46">
            <v>0.53089797923341664</v>
          </cell>
          <cell r="I46">
            <v>0.43426222295561995</v>
          </cell>
          <cell r="J46">
            <v>0.42285077242479674</v>
          </cell>
          <cell r="K46">
            <v>0.42382844104353007</v>
          </cell>
        </row>
        <row r="61">
          <cell r="A61" t="str">
            <v>Graphing Data</v>
          </cell>
        </row>
        <row r="62">
          <cell r="A62" t="str">
            <v>Cash Costs</v>
          </cell>
          <cell r="C62" t="str">
            <v>2008A</v>
          </cell>
          <cell r="D62" t="str">
            <v>2009A</v>
          </cell>
          <cell r="E62" t="str">
            <v>2010A</v>
          </cell>
          <cell r="F62" t="str">
            <v>2011E</v>
          </cell>
          <cell r="G62" t="str">
            <v>2012E</v>
          </cell>
          <cell r="H62" t="str">
            <v>2013E</v>
          </cell>
          <cell r="I62" t="str">
            <v>2014E</v>
          </cell>
          <cell r="J62" t="str">
            <v>2015E</v>
          </cell>
          <cell r="K62" t="str">
            <v>2016E</v>
          </cell>
          <cell r="L62" t="str">
            <v>2017E</v>
          </cell>
          <cell r="M62" t="str">
            <v>2018E</v>
          </cell>
          <cell r="N62" t="str">
            <v>2019E</v>
          </cell>
          <cell r="O62" t="str">
            <v>2020E</v>
          </cell>
        </row>
        <row r="63">
          <cell r="A63" t="str">
            <v>US$/lb</v>
          </cell>
        </row>
        <row r="64">
          <cell r="A64" t="str">
            <v>Direct Cash Cost (C1)</v>
          </cell>
          <cell r="B64" t="str">
            <v>US$/lb</v>
          </cell>
          <cell r="C64">
            <v>0</v>
          </cell>
          <cell r="D64">
            <v>4.944984131128499</v>
          </cell>
          <cell r="E64">
            <v>5.8505101695441057</v>
          </cell>
          <cell r="F64">
            <v>7.8773998153802047</v>
          </cell>
          <cell r="G64">
            <v>7.0185041738178464</v>
          </cell>
          <cell r="H64">
            <v>6.7436451225474014</v>
          </cell>
          <cell r="I64">
            <v>6.5472546133953289</v>
          </cell>
          <cell r="J64">
            <v>5.727617189222955</v>
          </cell>
          <cell r="K64">
            <v>5.5826361904403434</v>
          </cell>
          <cell r="L64">
            <v>5.6555904973517475</v>
          </cell>
          <cell r="M64">
            <v>0</v>
          </cell>
          <cell r="N64">
            <v>0</v>
          </cell>
          <cell r="O64">
            <v>0</v>
          </cell>
        </row>
        <row r="65">
          <cell r="A65" t="str">
            <v>Total Production Cost</v>
          </cell>
          <cell r="B65" t="str">
            <v>US$/lb</v>
          </cell>
          <cell r="C65" t="e">
            <v>#DIV/0!</v>
          </cell>
          <cell r="D65">
            <v>4.2426437914094164</v>
          </cell>
          <cell r="E65">
            <v>4.9875692731319132</v>
          </cell>
          <cell r="F65">
            <v>6.8872687077672907</v>
          </cell>
          <cell r="G65">
            <v>6.4285061193244051</v>
          </cell>
          <cell r="H65">
            <v>5.8897861118048613</v>
          </cell>
          <cell r="I65">
            <v>5.7009519268517561</v>
          </cell>
          <cell r="J65">
            <v>5.0555321968891374</v>
          </cell>
          <cell r="K65">
            <v>5.0361039533677756</v>
          </cell>
          <cell r="L65">
            <v>5.1796431976006598</v>
          </cell>
          <cell r="M65">
            <v>0</v>
          </cell>
          <cell r="N65">
            <v>0</v>
          </cell>
          <cell r="O65">
            <v>0</v>
          </cell>
        </row>
        <row r="66">
          <cell r="B66" t="str">
            <v>US$/lb</v>
          </cell>
          <cell r="C66" t="e">
            <v>#DIV/0!</v>
          </cell>
          <cell r="D66">
            <v>-0.70234033971908261</v>
          </cell>
          <cell r="E66">
            <v>-0.86294089641219252</v>
          </cell>
          <cell r="F66">
            <v>-0.99013110761291401</v>
          </cell>
          <cell r="G66">
            <v>-0.58999805449344134</v>
          </cell>
          <cell r="H66">
            <v>-0.85385901074254011</v>
          </cell>
          <cell r="I66">
            <v>-0.84630268654357277</v>
          </cell>
          <cell r="J66">
            <v>-0.67208499233381769</v>
          </cell>
          <cell r="K66">
            <v>-0.54653223707256782</v>
          </cell>
          <cell r="L66">
            <v>-0.47594729975108763</v>
          </cell>
          <cell r="M66">
            <v>0</v>
          </cell>
          <cell r="N66">
            <v>0</v>
          </cell>
          <cell r="O66">
            <v>0</v>
          </cell>
        </row>
        <row r="67">
          <cell r="A67" t="str">
            <v>Ni Price</v>
          </cell>
          <cell r="B67" t="str">
            <v>US$/lb</v>
          </cell>
          <cell r="C67">
            <v>12.913808761798361</v>
          </cell>
          <cell r="D67">
            <v>5.9487924999999997</v>
          </cell>
          <cell r="E67">
            <v>8.8230622116617425</v>
          </cell>
          <cell r="F67">
            <v>10.898331041342736</v>
          </cell>
          <cell r="G67">
            <v>8.9877652805549992</v>
          </cell>
          <cell r="H67">
            <v>9.4250000000000007</v>
          </cell>
          <cell r="I67">
            <v>10.3125</v>
          </cell>
          <cell r="J67">
            <v>10.75</v>
          </cell>
          <cell r="K67">
            <v>11.25</v>
          </cell>
          <cell r="L67">
            <v>11.65</v>
          </cell>
          <cell r="M67">
            <v>0</v>
          </cell>
          <cell r="N67">
            <v>0</v>
          </cell>
          <cell r="O67">
            <v>0</v>
          </cell>
        </row>
        <row r="68">
          <cell r="A68" t="str">
            <v>Achieved Nickel price</v>
          </cell>
          <cell r="B68" t="str">
            <v>US$/lb</v>
          </cell>
          <cell r="C68">
            <v>8.5514658561041887</v>
          </cell>
          <cell r="D68">
            <v>3.7169028923980489</v>
          </cell>
          <cell r="E68">
            <v>5.7762615189802435</v>
          </cell>
          <cell r="F68">
            <v>7.4124273688701336</v>
          </cell>
          <cell r="G68">
            <v>5.9319250851662986</v>
          </cell>
          <cell r="H68">
            <v>6.2204999999999995</v>
          </cell>
          <cell r="I68">
            <v>6.9093749999999989</v>
          </cell>
          <cell r="J68">
            <v>7.2562499999999979</v>
          </cell>
          <cell r="K68">
            <v>7.6499999999999995</v>
          </cell>
          <cell r="L68">
            <v>7.9219999999999997</v>
          </cell>
          <cell r="M68">
            <v>0</v>
          </cell>
          <cell r="N68">
            <v>0</v>
          </cell>
          <cell r="O68">
            <v>0</v>
          </cell>
        </row>
        <row r="70">
          <cell r="A70" t="str">
            <v>A$/lb</v>
          </cell>
        </row>
        <row r="71">
          <cell r="A71" t="str">
            <v>Direct Cash Cost (C1)</v>
          </cell>
          <cell r="B71" t="str">
            <v>US$/lb</v>
          </cell>
          <cell r="C71">
            <v>0</v>
          </cell>
          <cell r="D71">
            <v>2.2749579575682373</v>
          </cell>
          <cell r="E71">
            <v>2.8873624810901051</v>
          </cell>
          <cell r="F71">
            <v>3.8287312852028337</v>
          </cell>
          <cell r="G71">
            <v>3.5575917871757023</v>
          </cell>
          <cell r="H71">
            <v>3.4297582022844253</v>
          </cell>
          <cell r="I71">
            <v>3.3741923535344958</v>
          </cell>
          <cell r="J71">
            <v>3.1065303675217382</v>
          </cell>
          <cell r="K71">
            <v>3.0782389816675315</v>
          </cell>
          <cell r="L71">
            <v>3.1446912205959592</v>
          </cell>
          <cell r="M71">
            <v>3.3455589961783581</v>
          </cell>
          <cell r="N71" t="e">
            <v>#DIV/0!</v>
          </cell>
          <cell r="O71" t="e">
            <v>#DIV/0!</v>
          </cell>
        </row>
        <row r="72">
          <cell r="A72" t="str">
            <v>EBITDA</v>
          </cell>
          <cell r="B72" t="str">
            <v>US$/lb</v>
          </cell>
          <cell r="C72">
            <v>2.8361571435246016</v>
          </cell>
          <cell r="D72">
            <v>0.92777216832981713</v>
          </cell>
          <cell r="E72">
            <v>2.7583018199413885</v>
          </cell>
          <cell r="F72">
            <v>2.0279093258586736</v>
          </cell>
          <cell r="G72">
            <v>2.2988926986037046</v>
          </cell>
          <cell r="H72">
            <v>2.1512007078970927</v>
          </cell>
          <cell r="I72">
            <v>2.8004505588106281</v>
          </cell>
          <cell r="J72">
            <v>3.3849295733137925</v>
          </cell>
          <cell r="K72">
            <v>3.7928776438438589</v>
          </cell>
          <cell r="L72">
            <v>3.9809073874199026</v>
          </cell>
          <cell r="M72">
            <v>3.667248389473388</v>
          </cell>
          <cell r="N72" t="e">
            <v>#DIV/0!</v>
          </cell>
          <cell r="O72" t="e">
            <v>#DIV/0!</v>
          </cell>
        </row>
        <row r="73">
          <cell r="B73" t="str">
            <v>US$/lb</v>
          </cell>
          <cell r="C73">
            <v>5.7749785449729263</v>
          </cell>
          <cell r="D73">
            <v>0.38068485660169404</v>
          </cell>
          <cell r="E73">
            <v>0.14052512600760325</v>
          </cell>
          <cell r="F73">
            <v>1.5100686203371052</v>
          </cell>
          <cell r="G73">
            <v>0.37168395384019615</v>
          </cell>
          <cell r="H73">
            <v>0.6401880026744422</v>
          </cell>
          <cell r="I73">
            <v>0.74160951747326553</v>
          </cell>
          <cell r="J73">
            <v>0.77451908014348847</v>
          </cell>
          <cell r="K73">
            <v>0.77952142034532956</v>
          </cell>
          <cell r="L73">
            <v>0.7961558150598318</v>
          </cell>
          <cell r="M73">
            <v>1.040790790870199</v>
          </cell>
          <cell r="N73" t="e">
            <v>#DIV/0!</v>
          </cell>
          <cell r="O73" t="e">
            <v>#DIV/0!</v>
          </cell>
        </row>
        <row r="74">
          <cell r="A74" t="str">
            <v>LME Ni Price</v>
          </cell>
          <cell r="B74" t="str">
            <v>US$/lb</v>
          </cell>
          <cell r="C74">
            <v>12.913808761798361</v>
          </cell>
          <cell r="D74">
            <v>5.9487924999999997</v>
          </cell>
          <cell r="E74">
            <v>8.8230622116617425</v>
          </cell>
          <cell r="F74">
            <v>10.898331041342736</v>
          </cell>
          <cell r="G74">
            <v>8.9877652805549992</v>
          </cell>
          <cell r="H74">
            <v>9.4250000000000007</v>
          </cell>
          <cell r="I74">
            <v>10.3125</v>
          </cell>
          <cell r="J74">
            <v>10.75</v>
          </cell>
          <cell r="K74">
            <v>11.25</v>
          </cell>
          <cell r="L74">
            <v>11.65</v>
          </cell>
          <cell r="M74">
            <v>0</v>
          </cell>
          <cell r="N74">
            <v>0</v>
          </cell>
          <cell r="O74">
            <v>0</v>
          </cell>
        </row>
        <row r="75">
          <cell r="A75" t="str">
            <v>Achieved Nickel price</v>
          </cell>
          <cell r="B75" t="str">
            <v>US$/lb</v>
          </cell>
          <cell r="C75">
            <v>8.6111356884975283</v>
          </cell>
          <cell r="D75">
            <v>3.5834149824997485</v>
          </cell>
          <cell r="E75">
            <v>5.7861894270390968</v>
          </cell>
          <cell r="F75">
            <v>7.3667092313986124</v>
          </cell>
          <cell r="G75">
            <v>6.2281684396196031</v>
          </cell>
          <cell r="H75">
            <v>6.2211469128559607</v>
          </cell>
          <cell r="I75">
            <v>6.9162524298183898</v>
          </cell>
          <cell r="J75">
            <v>7.2659790209790192</v>
          </cell>
          <cell r="K75">
            <v>7.65063804585672</v>
          </cell>
          <cell r="L75">
            <v>7.9217544230756936</v>
          </cell>
          <cell r="M75">
            <v>8.0535981765219447</v>
          </cell>
          <cell r="N75" t="e">
            <v>#DIV/0!</v>
          </cell>
          <cell r="O75" t="e">
            <v>#DIV/0!</v>
          </cell>
        </row>
        <row r="77">
          <cell r="A77" t="str">
            <v>Cash Flow</v>
          </cell>
        </row>
        <row r="78">
          <cell r="A78" t="str">
            <v>Net Operating Cashflow</v>
          </cell>
          <cell r="C78">
            <v>95.842999999999989</v>
          </cell>
          <cell r="D78">
            <v>41.109000000000002</v>
          </cell>
          <cell r="E78">
            <v>147.25400000000002</v>
          </cell>
          <cell r="F78">
            <v>52.08</v>
          </cell>
          <cell r="G78">
            <v>86.257061430764111</v>
          </cell>
          <cell r="H78">
            <v>83.682846523580594</v>
          </cell>
          <cell r="I78">
            <v>99.089261172142358</v>
          </cell>
          <cell r="J78">
            <v>113.50214691397053</v>
          </cell>
          <cell r="K78">
            <v>128.83510874646026</v>
          </cell>
          <cell r="L78">
            <v>131.63616084892647</v>
          </cell>
          <cell r="M78">
            <v>53.490202868492624</v>
          </cell>
          <cell r="N78">
            <v>6.6985495178475816</v>
          </cell>
          <cell r="O78">
            <v>24.200933059999993</v>
          </cell>
        </row>
        <row r="79">
          <cell r="A79" t="str">
            <v>Capital Expenditure</v>
          </cell>
          <cell r="C79">
            <v>-68.129000000000005</v>
          </cell>
          <cell r="D79">
            <v>-51.730000000000004</v>
          </cell>
          <cell r="E79">
            <v>-44.600999999999999</v>
          </cell>
          <cell r="F79">
            <v>-37.972999999999999</v>
          </cell>
          <cell r="G79">
            <v>-62</v>
          </cell>
          <cell r="H79">
            <v>-54</v>
          </cell>
          <cell r="I79">
            <v>-34</v>
          </cell>
          <cell r="J79">
            <v>-34</v>
          </cell>
          <cell r="K79">
            <v>-34</v>
          </cell>
          <cell r="L79">
            <v>-10</v>
          </cell>
          <cell r="M79">
            <v>-6</v>
          </cell>
          <cell r="N79">
            <v>-6</v>
          </cell>
          <cell r="O79">
            <v>-6</v>
          </cell>
        </row>
        <row r="80">
          <cell r="A80" t="str">
            <v>Acquistions/Divestments</v>
          </cell>
          <cell r="C80">
            <v>-3.661</v>
          </cell>
          <cell r="D80">
            <v>0.109</v>
          </cell>
          <cell r="E80">
            <v>-5.7119999999999997</v>
          </cell>
          <cell r="F80">
            <v>-10.699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Proceeds/Repayment of Loans</v>
          </cell>
          <cell r="C81">
            <v>-6.6319999999999997</v>
          </cell>
          <cell r="D81">
            <v>-4.7370000000000001</v>
          </cell>
          <cell r="E81">
            <v>-5.4249999999999998</v>
          </cell>
          <cell r="F81">
            <v>-3.2949999999999999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Share Issue/Buyback</v>
          </cell>
          <cell r="C82">
            <v>3.6160000000000001</v>
          </cell>
          <cell r="D82">
            <v>0.159</v>
          </cell>
          <cell r="E82">
            <v>0.60499999999999998</v>
          </cell>
          <cell r="F82">
            <v>2.722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</row>
        <row r="83">
          <cell r="A83" t="str">
            <v>Other</v>
          </cell>
          <cell r="C83">
            <v>-36.073999999999998</v>
          </cell>
          <cell r="D83">
            <v>-11.515000000000001</v>
          </cell>
          <cell r="E83">
            <v>-24.580999999999996</v>
          </cell>
          <cell r="F83">
            <v>-21.645</v>
          </cell>
          <cell r="G83">
            <v>-12.321087778328799</v>
          </cell>
          <cell r="H83">
            <v>-14.749238084406416</v>
          </cell>
          <cell r="I83">
            <v>-21.629685569479694</v>
          </cell>
          <cell r="J83">
            <v>-36.796963525020189</v>
          </cell>
          <cell r="K83">
            <v>-48.334346660294194</v>
          </cell>
          <cell r="L83">
            <v>-55.235586073962835</v>
          </cell>
          <cell r="M83">
            <v>-42.895697646036815</v>
          </cell>
          <cell r="N83">
            <v>-15.629838612486775</v>
          </cell>
          <cell r="O83">
            <v>0</v>
          </cell>
        </row>
        <row r="84">
          <cell r="A84" t="str">
            <v>Cash Balance</v>
          </cell>
          <cell r="C84">
            <v>110.928</v>
          </cell>
          <cell r="D84">
            <v>49.981999999999999</v>
          </cell>
          <cell r="E84">
            <v>49.779999999999987</v>
          </cell>
          <cell r="F84">
            <v>90.861999999999995</v>
          </cell>
          <cell r="G84">
            <v>102.79997365243531</v>
          </cell>
          <cell r="H84">
            <v>117.73358209160949</v>
          </cell>
          <cell r="I84">
            <v>161.19315769427217</v>
          </cell>
          <cell r="J84">
            <v>203.89834108322248</v>
          </cell>
          <cell r="K84">
            <v>250.39910316938855</v>
          </cell>
          <cell r="L84">
            <v>316.7996779443522</v>
          </cell>
          <cell r="M84">
            <v>321.39418316680803</v>
          </cell>
          <cell r="N84">
            <v>306.46289407216887</v>
          </cell>
          <cell r="O84">
            <v>324.66382713216888</v>
          </cell>
        </row>
        <row r="87">
          <cell r="A87" t="str">
            <v>Base Case</v>
          </cell>
        </row>
        <row r="88">
          <cell r="A88" t="str">
            <v>EBITDA</v>
          </cell>
          <cell r="D88">
            <v>51.865000000000002</v>
          </cell>
          <cell r="E88">
            <v>119.91799999999998</v>
          </cell>
          <cell r="F88">
            <v>77.432999999999964</v>
          </cell>
          <cell r="G88">
            <v>90.198471700415723</v>
          </cell>
          <cell r="H88">
            <v>94.177871792752882</v>
          </cell>
          <cell r="I88">
            <v>127.95040088606251</v>
          </cell>
          <cell r="J88">
            <v>149.65005382487479</v>
          </cell>
        </row>
        <row r="89">
          <cell r="A89" t="str">
            <v>EBITDA Margin</v>
          </cell>
          <cell r="D89">
            <v>0.23781321266129937</v>
          </cell>
          <cell r="E89">
            <v>0.43115127811752496</v>
          </cell>
          <cell r="F89">
            <v>0.27147282981007947</v>
          </cell>
          <cell r="G89">
            <v>0.32376624505787671</v>
          </cell>
          <cell r="H89">
            <v>0.31082728146362815</v>
          </cell>
          <cell r="I89">
            <v>0.37302263130181484</v>
          </cell>
          <cell r="J89">
            <v>0.43397457288791474</v>
          </cell>
        </row>
        <row r="90">
          <cell r="A90" t="str">
            <v>Bull Case</v>
          </cell>
        </row>
        <row r="91">
          <cell r="A91" t="str">
            <v>EBITDA</v>
          </cell>
          <cell r="D91">
            <v>51.865000000000002</v>
          </cell>
          <cell r="E91">
            <v>127.13900000000001</v>
          </cell>
          <cell r="F91">
            <v>118.3032184270684</v>
          </cell>
          <cell r="G91">
            <v>145.10681876954777</v>
          </cell>
          <cell r="H91">
            <v>172.94603531369961</v>
          </cell>
          <cell r="I91">
            <v>150.8968881368958</v>
          </cell>
          <cell r="J91">
            <v>104.17225167013287</v>
          </cell>
        </row>
        <row r="92">
          <cell r="A92" t="str">
            <v>EBITDA Margin</v>
          </cell>
          <cell r="D92">
            <v>0.22461793395690191</v>
          </cell>
          <cell r="E92">
            <v>0.43320448713674997</v>
          </cell>
          <cell r="F92">
            <v>0.36170693885087979</v>
          </cell>
          <cell r="G92">
            <v>0.39891826228096383</v>
          </cell>
          <cell r="H92">
            <v>0.42290414899128081</v>
          </cell>
          <cell r="I92">
            <v>0.40280319827101557</v>
          </cell>
          <cell r="J92">
            <v>0.34269476870148302</v>
          </cell>
        </row>
        <row r="93">
          <cell r="A93" t="str">
            <v>Bear Case</v>
          </cell>
        </row>
        <row r="94">
          <cell r="A94" t="str">
            <v>EBITDA</v>
          </cell>
          <cell r="D94">
            <v>51.865000000000002</v>
          </cell>
          <cell r="E94">
            <v>127.13900000000001</v>
          </cell>
          <cell r="F94">
            <v>77.937748974994207</v>
          </cell>
          <cell r="G94">
            <v>107.79013349331386</v>
          </cell>
          <cell r="H94">
            <v>113.9561214108966</v>
          </cell>
          <cell r="I94">
            <v>83.730254743735117</v>
          </cell>
          <cell r="J94">
            <v>65.190747215349106</v>
          </cell>
        </row>
        <row r="95">
          <cell r="A95" t="str">
            <v>EBITDA Margin</v>
          </cell>
          <cell r="D95">
            <v>0.22461793395690191</v>
          </cell>
          <cell r="E95">
            <v>0.43320448713674997</v>
          </cell>
          <cell r="F95">
            <v>0.27764794794831504</v>
          </cell>
          <cell r="G95">
            <v>0.34190264985978602</v>
          </cell>
          <cell r="H95">
            <v>0.33875006456457085</v>
          </cell>
          <cell r="I95">
            <v>0.28234177079549067</v>
          </cell>
          <cell r="J95">
            <v>0.25106712580273072</v>
          </cell>
        </row>
        <row r="98">
          <cell r="B98">
            <v>7283.9233623999999</v>
          </cell>
          <cell r="C98">
            <v>6901.3920180000005</v>
          </cell>
          <cell r="D98">
            <v>7290</v>
          </cell>
          <cell r="E98">
            <v>8855.616</v>
          </cell>
          <cell r="F98">
            <v>8203.0079999999998</v>
          </cell>
        </row>
        <row r="99">
          <cell r="A99" t="str">
            <v>Nickel Produiction (kt)</v>
          </cell>
          <cell r="B99" t="str">
            <v>2010E</v>
          </cell>
          <cell r="C99" t="str">
            <v>2011E</v>
          </cell>
          <cell r="D99" t="str">
            <v>2012E</v>
          </cell>
          <cell r="E99" t="str">
            <v>2013E</v>
          </cell>
          <cell r="F99" t="str">
            <v>2014E</v>
          </cell>
        </row>
        <row r="100">
          <cell r="A100" t="str">
            <v>Base Case</v>
          </cell>
          <cell r="B100">
            <v>9826.9</v>
          </cell>
          <cell r="C100">
            <v>26342.25</v>
          </cell>
          <cell r="D100">
            <v>27272.25</v>
          </cell>
          <cell r="E100">
            <v>27900</v>
          </cell>
          <cell r="F100">
            <v>26412</v>
          </cell>
          <cell r="H100">
            <v>1000</v>
          </cell>
        </row>
        <row r="101">
          <cell r="A101" t="str">
            <v>Bull Case</v>
          </cell>
        </row>
        <row r="102">
          <cell r="A102" t="str">
            <v xml:space="preserve">Production Growth </v>
          </cell>
          <cell r="B102">
            <v>9826.9</v>
          </cell>
          <cell r="C102">
            <v>26342.25</v>
          </cell>
          <cell r="D102">
            <v>27272.25</v>
          </cell>
          <cell r="E102">
            <v>35340</v>
          </cell>
          <cell r="F102">
            <v>33852</v>
          </cell>
        </row>
        <row r="103">
          <cell r="A103" t="str">
            <v>% Diff from Base Case</v>
          </cell>
          <cell r="B103">
            <v>0</v>
          </cell>
          <cell r="C103">
            <v>0</v>
          </cell>
          <cell r="D103">
            <v>0</v>
          </cell>
          <cell r="E103">
            <v>0.26666666666666661</v>
          </cell>
          <cell r="F103">
            <v>0.28169014084507049</v>
          </cell>
        </row>
        <row r="104">
          <cell r="A104" t="str">
            <v>Nickel Grades +5%</v>
          </cell>
          <cell r="B104">
            <v>10318.244999999999</v>
          </cell>
          <cell r="C104">
            <v>27659.362500000003</v>
          </cell>
          <cell r="D104">
            <v>28635.862500000007</v>
          </cell>
          <cell r="E104">
            <v>37107</v>
          </cell>
          <cell r="F104">
            <v>35544.6</v>
          </cell>
        </row>
        <row r="105">
          <cell r="A105" t="str">
            <v>% Diff from Base Case</v>
          </cell>
          <cell r="B105">
            <v>5.0000000000000044E-2</v>
          </cell>
          <cell r="C105">
            <v>5.0000000000000044E-2</v>
          </cell>
          <cell r="D105">
            <v>5.0000000000000266E-2</v>
          </cell>
          <cell r="E105">
            <v>0.33000000000000007</v>
          </cell>
          <cell r="F105">
            <v>0.34577464788732382</v>
          </cell>
        </row>
        <row r="106">
          <cell r="A106" t="str">
            <v>Bear Case</v>
          </cell>
        </row>
        <row r="107">
          <cell r="A107" t="str">
            <v>Nickel Grades -5%</v>
          </cell>
          <cell r="B107">
            <v>9335.5550000000003</v>
          </cell>
          <cell r="C107">
            <v>25025.137500000004</v>
          </cell>
          <cell r="D107">
            <v>25908.637500000001</v>
          </cell>
          <cell r="E107">
            <v>26505</v>
          </cell>
          <cell r="F107">
            <v>25091.4</v>
          </cell>
        </row>
        <row r="108">
          <cell r="A108" t="str">
            <v>% Diff from Base Case</v>
          </cell>
          <cell r="B108">
            <v>-4.9999999999999933E-2</v>
          </cell>
          <cell r="C108">
            <v>-4.9999999999999822E-2</v>
          </cell>
          <cell r="D108">
            <v>-4.9999999999999933E-2</v>
          </cell>
          <cell r="E108">
            <v>-5.0000000000000044E-2</v>
          </cell>
          <cell r="F108">
            <v>-4.9999999999999933E-2</v>
          </cell>
        </row>
        <row r="112">
          <cell r="A112" t="str">
            <v>Revenue</v>
          </cell>
          <cell r="B112">
            <v>243.44499999999999</v>
          </cell>
          <cell r="C112">
            <v>278.5913388972707</v>
          </cell>
        </row>
        <row r="113">
          <cell r="A113" t="str">
            <v>EBITDA</v>
          </cell>
          <cell r="B113">
            <v>77.432999999999964</v>
          </cell>
          <cell r="C113">
            <v>90.198471700415723</v>
          </cell>
        </row>
        <row r="114">
          <cell r="A114" t="str">
            <v>NPAT</v>
          </cell>
          <cell r="B114">
            <v>26.167199999999973</v>
          </cell>
          <cell r="C114">
            <v>35.18802479609225</v>
          </cell>
        </row>
        <row r="115">
          <cell r="A115" t="str">
            <v>EPS</v>
          </cell>
          <cell r="B115">
            <v>0.12671746567857983</v>
          </cell>
          <cell r="C115">
            <v>0.17040177490888733</v>
          </cell>
        </row>
        <row r="116">
          <cell r="A116" t="str">
            <v>FCF</v>
          </cell>
          <cell r="B116">
            <v>4.9166748095238093</v>
          </cell>
          <cell r="C116">
            <v>2.968573469031655</v>
          </cell>
        </row>
        <row r="117">
          <cell r="A117" t="str">
            <v>Gearing (ND/(ND+E))</v>
          </cell>
          <cell r="B117">
            <v>-0.41854512272163608</v>
          </cell>
          <cell r="C117">
            <v>-0.45131458596154089</v>
          </cell>
        </row>
        <row r="119">
          <cell r="A119" t="str">
            <v>LME Nickel Price</v>
          </cell>
          <cell r="B119" t="str">
            <v>US$/lb</v>
          </cell>
          <cell r="C119" t="str">
            <v>5.00</v>
          </cell>
          <cell r="E119" t="str">
            <v>6.00</v>
          </cell>
          <cell r="G119" t="str">
            <v>7.00</v>
          </cell>
          <cell r="I119" t="str">
            <v>8.00</v>
          </cell>
          <cell r="K119" t="str">
            <v>9.00</v>
          </cell>
        </row>
        <row r="120">
          <cell r="C120" t="str">
            <v>2011e</v>
          </cell>
          <cell r="D120" t="str">
            <v>2012e</v>
          </cell>
          <cell r="E120" t="str">
            <v>2011e</v>
          </cell>
          <cell r="F120" t="str">
            <v>2012e</v>
          </cell>
          <cell r="G120" t="str">
            <v>2011e</v>
          </cell>
          <cell r="H120" t="str">
            <v>2012e</v>
          </cell>
          <cell r="I120" t="str">
            <v>2011e</v>
          </cell>
          <cell r="J120" t="str">
            <v>2012e</v>
          </cell>
          <cell r="K120" t="str">
            <v>2011e</v>
          </cell>
          <cell r="L120" t="str">
            <v>2012e</v>
          </cell>
        </row>
        <row r="121">
          <cell r="A121" t="str">
            <v>Revenue</v>
          </cell>
          <cell r="B121" t="str">
            <v>A$m</v>
          </cell>
          <cell r="C121">
            <v>214.22344834915364</v>
          </cell>
          <cell r="D121">
            <v>189.66395136563031</v>
          </cell>
          <cell r="E121">
            <v>224.75188702097222</v>
          </cell>
          <cell r="F121">
            <v>212.42584460959026</v>
          </cell>
          <cell r="G121">
            <v>235.68923719610751</v>
          </cell>
          <cell r="H121">
            <v>235.96871059293505</v>
          </cell>
          <cell r="I121">
            <v>247.03549887455955</v>
          </cell>
          <cell r="J121">
            <v>260.29254931566464</v>
          </cell>
          <cell r="K121">
            <v>260.68598716080601</v>
          </cell>
          <cell r="L121">
            <v>285.39736077777917</v>
          </cell>
        </row>
        <row r="122">
          <cell r="A122" t="str">
            <v>EBITDA</v>
          </cell>
          <cell r="B122" t="str">
            <v>A$m</v>
          </cell>
          <cell r="C122">
            <v>32.635716353921332</v>
          </cell>
          <cell r="D122">
            <v>-4.8729279979774134</v>
          </cell>
          <cell r="E122">
            <v>41.553757850244686</v>
          </cell>
          <cell r="F122">
            <v>14.865674974971185</v>
          </cell>
          <cell r="G122">
            <v>50.869920273530234</v>
          </cell>
          <cell r="H122">
            <v>35.364813344472878</v>
          </cell>
          <cell r="I122">
            <v>60.584722417402183</v>
          </cell>
          <cell r="J122">
            <v>56.62548760739891</v>
          </cell>
          <cell r="K122">
            <v>72.593773339854494</v>
          </cell>
          <cell r="L122">
            <v>78.64826465501352</v>
          </cell>
        </row>
        <row r="123">
          <cell r="A123" t="str">
            <v>NPAT</v>
          </cell>
          <cell r="B123" t="str">
            <v>A$m</v>
          </cell>
          <cell r="C123">
            <v>-5.9822350548801104</v>
          </cell>
          <cell r="D123">
            <v>-34.444177914848737</v>
          </cell>
          <cell r="E123">
            <v>0.18847668190040423</v>
          </cell>
          <cell r="F123">
            <v>-20.368891166178226</v>
          </cell>
          <cell r="G123">
            <v>6.6378730675544526</v>
          </cell>
          <cell r="H123">
            <v>-5.7447989018027199</v>
          </cell>
          <cell r="I123">
            <v>13.366317257618988</v>
          </cell>
          <cell r="J123">
            <v>9.4288244114876534</v>
          </cell>
          <cell r="K123">
            <v>21.700735592689764</v>
          </cell>
          <cell r="L123">
            <v>25.203774640148467</v>
          </cell>
        </row>
        <row r="124">
          <cell r="A124" t="str">
            <v>EPS</v>
          </cell>
          <cell r="B124" t="str">
            <v>A$/sh</v>
          </cell>
          <cell r="C124">
            <v>-2.8700871329674308E-2</v>
          </cell>
          <cell r="D124">
            <v>-0.16679961680087074</v>
          </cell>
          <cell r="E124">
            <v>1.1348785516375767E-3</v>
          </cell>
          <cell r="F124">
            <v>-9.8638534778689196E-2</v>
          </cell>
          <cell r="G124">
            <v>3.2312833052365993E-2</v>
          </cell>
          <cell r="H124">
            <v>-2.7819803328958746E-2</v>
          </cell>
          <cell r="I124">
            <v>6.4836381526912595E-2</v>
          </cell>
          <cell r="J124">
            <v>4.5660091020515929E-2</v>
          </cell>
          <cell r="K124">
            <v>0.10513231224777243</v>
          </cell>
          <cell r="L124">
            <v>0.12205197529478412</v>
          </cell>
        </row>
        <row r="125">
          <cell r="A125" t="str">
            <v>FCF</v>
          </cell>
          <cell r="B125" t="str">
            <v>A$m</v>
          </cell>
          <cell r="C125">
            <v>29.844356248090687</v>
          </cell>
          <cell r="D125">
            <v>28.119713751464655</v>
          </cell>
          <cell r="E125">
            <v>22.287154414774278</v>
          </cell>
          <cell r="F125">
            <v>14.540955312276891</v>
          </cell>
          <cell r="G125">
            <v>17.629488455691352</v>
          </cell>
          <cell r="H125">
            <v>9.6830871800287976</v>
          </cell>
          <cell r="I125">
            <v>14.477905158904337</v>
          </cell>
          <cell r="J125">
            <v>7.1906923773396905</v>
          </cell>
          <cell r="K125">
            <v>11.865631360366352</v>
          </cell>
          <cell r="L125">
            <v>5.649114676808078</v>
          </cell>
        </row>
        <row r="126">
          <cell r="A126" t="str">
            <v>Gearing (ND/(ND+E))</v>
          </cell>
          <cell r="B126" t="str">
            <v>%</v>
          </cell>
          <cell r="C126">
            <v>-0.2214447073002174</v>
          </cell>
          <cell r="D126">
            <v>-0.10154649088017521</v>
          </cell>
          <cell r="E126">
            <v>-0.24255046660836083</v>
          </cell>
          <cell r="F126">
            <v>-0.16097658440571741</v>
          </cell>
          <cell r="G126">
            <v>-0.26428939940846247</v>
          </cell>
          <cell r="H126">
            <v>-0.22206636048387193</v>
          </cell>
          <cell r="I126">
            <v>-0.28663102025161735</v>
          </cell>
          <cell r="J126">
            <v>-0.2847404932984165</v>
          </cell>
          <cell r="K126">
            <v>-0.3136743310155865</v>
          </cell>
          <cell r="L126">
            <v>-0.35258850469804093</v>
          </cell>
        </row>
        <row r="128">
          <cell r="B128">
            <v>17026.619200000001</v>
          </cell>
          <cell r="C128">
            <v>18315</v>
          </cell>
          <cell r="D128">
            <v>19635.616000000002</v>
          </cell>
          <cell r="E128">
            <v>18983.008000000002</v>
          </cell>
          <cell r="F128">
            <v>17350.400000000001</v>
          </cell>
        </row>
        <row r="129">
          <cell r="B129" t="str">
            <v>2011E</v>
          </cell>
          <cell r="C129" t="str">
            <v>2012E</v>
          </cell>
          <cell r="D129" t="str">
            <v>2013E</v>
          </cell>
          <cell r="E129" t="str">
            <v>2014E</v>
          </cell>
          <cell r="F129" t="str">
            <v>2015E</v>
          </cell>
        </row>
        <row r="130">
          <cell r="A130" t="str">
            <v>Base Case</v>
          </cell>
          <cell r="B130">
            <v>17586.708164180149</v>
          </cell>
          <cell r="C130">
            <v>18330.400000000001</v>
          </cell>
          <cell r="D130">
            <v>19635.616000000002</v>
          </cell>
          <cell r="E130">
            <v>18983.008000000002</v>
          </cell>
          <cell r="F130">
            <v>17350.400000000001</v>
          </cell>
        </row>
        <row r="131">
          <cell r="A131" t="str">
            <v>Bull Case</v>
          </cell>
          <cell r="B131">
            <v>17586.708164180149</v>
          </cell>
          <cell r="C131">
            <v>18330.400000000001</v>
          </cell>
          <cell r="D131">
            <v>26910</v>
          </cell>
          <cell r="E131">
            <v>26120</v>
          </cell>
          <cell r="F131">
            <v>25000</v>
          </cell>
        </row>
        <row r="132">
          <cell r="A132" t="str">
            <v>% Diff</v>
          </cell>
          <cell r="B132">
            <v>0</v>
          </cell>
          <cell r="C132">
            <v>0</v>
          </cell>
          <cell r="D132">
            <v>0.3704688459990253</v>
          </cell>
          <cell r="E132">
            <v>0.37596739146925495</v>
          </cell>
          <cell r="F132">
            <v>0.44088897085946144</v>
          </cell>
        </row>
        <row r="133">
          <cell r="A133" t="str">
            <v>Bear Case</v>
          </cell>
          <cell r="B133">
            <v>17586.708164180149</v>
          </cell>
          <cell r="C133">
            <v>18330.400000000001</v>
          </cell>
          <cell r="D133">
            <v>19635.616000000002</v>
          </cell>
          <cell r="E133">
            <v>18983.008000000002</v>
          </cell>
          <cell r="F133">
            <v>17350.400000000001</v>
          </cell>
        </row>
        <row r="134">
          <cell r="A134" t="str">
            <v>% Diff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</row>
        <row r="137">
          <cell r="A137" t="str">
            <v>MS Scenario</v>
          </cell>
          <cell r="C137" t="str">
            <v>Bear Case</v>
          </cell>
          <cell r="G137" t="str">
            <v>Base Case</v>
          </cell>
          <cell r="I137" t="str">
            <v>Bull Case</v>
          </cell>
        </row>
        <row r="138">
          <cell r="C138" t="str">
            <v>2011e</v>
          </cell>
          <cell r="D138" t="str">
            <v>% diff to base</v>
          </cell>
          <cell r="E138" t="str">
            <v>2012e</v>
          </cell>
          <cell r="F138" t="str">
            <v>% diff to base</v>
          </cell>
          <cell r="G138" t="str">
            <v>2011e</v>
          </cell>
          <cell r="H138" t="str">
            <v>2012e</v>
          </cell>
          <cell r="I138" t="str">
            <v>2011e</v>
          </cell>
          <cell r="J138" t="str">
            <v>% diff to base</v>
          </cell>
          <cell r="K138" t="str">
            <v>2012e</v>
          </cell>
          <cell r="L138" t="str">
            <v>% diff to base</v>
          </cell>
        </row>
        <row r="139">
          <cell r="A139" t="str">
            <v xml:space="preserve">Nickel Production </v>
          </cell>
          <cell r="B139" t="str">
            <v>Kt</v>
          </cell>
          <cell r="C139">
            <v>17.525337764180147</v>
          </cell>
          <cell r="E139">
            <v>18.330399999999997</v>
          </cell>
          <cell r="G139">
            <v>17.525337764180147</v>
          </cell>
          <cell r="H139">
            <v>18.330399999999997</v>
          </cell>
          <cell r="I139">
            <v>17.525337764180147</v>
          </cell>
          <cell r="K139">
            <v>18.330399999999997</v>
          </cell>
        </row>
        <row r="140">
          <cell r="A140" t="str">
            <v>MS Nickel Price Est</v>
          </cell>
          <cell r="B140" t="str">
            <v>US$/lb</v>
          </cell>
          <cell r="C140">
            <v>10.33</v>
          </cell>
          <cell r="E140">
            <v>10.01</v>
          </cell>
          <cell r="G140">
            <v>11.26</v>
          </cell>
          <cell r="H140">
            <v>11.58</v>
          </cell>
          <cell r="I140">
            <v>12.19</v>
          </cell>
          <cell r="K140">
            <v>13.59</v>
          </cell>
        </row>
        <row r="141">
          <cell r="A141" t="str">
            <v>Revenue</v>
          </cell>
          <cell r="B141" t="str">
            <v>A$m</v>
          </cell>
          <cell r="C141">
            <v>265.9109297985836</v>
          </cell>
          <cell r="D141">
            <v>9.228338967152161E-2</v>
          </cell>
          <cell r="E141">
            <v>315.26556912477429</v>
          </cell>
          <cell r="F141">
            <v>0.13164167404725768</v>
          </cell>
          <cell r="G141">
            <v>243.44499999999999</v>
          </cell>
          <cell r="H141">
            <v>278.5913388972707</v>
          </cell>
          <cell r="I141">
            <v>312.35716291226055</v>
          </cell>
          <cell r="J141">
            <v>0.28307076716408464</v>
          </cell>
          <cell r="K141">
            <v>363.75075420173914</v>
          </cell>
          <cell r="L141">
            <v>0.30567861743853642</v>
          </cell>
        </row>
        <row r="142">
          <cell r="A142" t="str">
            <v>EBITDA</v>
          </cell>
          <cell r="B142" t="str">
            <v>A$m</v>
          </cell>
          <cell r="C142">
            <v>77.937748974994207</v>
          </cell>
          <cell r="D142">
            <v>6.5185253702457757E-3</v>
          </cell>
          <cell r="E142">
            <v>107.79013349331386</v>
          </cell>
          <cell r="F142">
            <v>0.19503281442868459</v>
          </cell>
          <cell r="G142">
            <v>77.432999999999964</v>
          </cell>
          <cell r="H142">
            <v>90.198471700415723</v>
          </cell>
          <cell r="I142">
            <v>118.3032184270684</v>
          </cell>
          <cell r="J142">
            <v>0.52781396080570886</v>
          </cell>
          <cell r="K142">
            <v>145.10681876954777</v>
          </cell>
          <cell r="L142">
            <v>0.6087503040129556</v>
          </cell>
        </row>
        <row r="143">
          <cell r="A143" t="str">
            <v>NPAT</v>
          </cell>
          <cell r="B143" t="str">
            <v>A$m</v>
          </cell>
          <cell r="C143">
            <v>25.441518537287575</v>
          </cell>
          <cell r="D143">
            <v>-2.7732484282322889E-2</v>
          </cell>
          <cell r="E143">
            <v>45.852129849787367</v>
          </cell>
          <cell r="F143">
            <v>0.30306063257291438</v>
          </cell>
          <cell r="G143">
            <v>26.167199999999973</v>
          </cell>
          <cell r="H143">
            <v>35.18802479609225</v>
          </cell>
          <cell r="I143">
            <v>53.481595221801996</v>
          </cell>
          <cell r="J143">
            <v>1.043840962036521</v>
          </cell>
          <cell r="K143">
            <v>72.925388503417338</v>
          </cell>
          <cell r="L143">
            <v>1.0724490483909159</v>
          </cell>
        </row>
        <row r="144">
          <cell r="A144" t="str">
            <v>EPS</v>
          </cell>
          <cell r="B144" t="str">
            <v>A$/sh</v>
          </cell>
          <cell r="C144">
            <v>0.12313356374243843</v>
          </cell>
          <cell r="D144">
            <v>-2.8282620055170682E-2</v>
          </cell>
          <cell r="E144">
            <v>0.22204384460432217</v>
          </cell>
          <cell r="F144">
            <v>0.30306063257291482</v>
          </cell>
          <cell r="G144">
            <v>0.12671746567857983</v>
          </cell>
          <cell r="H144">
            <v>0.17040177490888733</v>
          </cell>
          <cell r="I144">
            <v>0.25904679580445444</v>
          </cell>
          <cell r="J144">
            <v>1.0442864321602623</v>
          </cell>
          <cell r="K144">
            <v>0.35314899625404661</v>
          </cell>
          <cell r="L144">
            <v>1.0724490483909159</v>
          </cell>
        </row>
        <row r="145">
          <cell r="A145" t="str">
            <v>FCF</v>
          </cell>
          <cell r="B145" t="str">
            <v>A$m</v>
          </cell>
          <cell r="C145">
            <v>-5.7493122386162741E-2</v>
          </cell>
          <cell r="D145">
            <v>-0.13131269222283892</v>
          </cell>
          <cell r="E145">
            <v>0.17604302482020975</v>
          </cell>
          <cell r="F145">
            <v>0.49865411092140954</v>
          </cell>
          <cell r="G145">
            <v>-6.6183909758367382E-2</v>
          </cell>
          <cell r="H145">
            <v>0.11746741528769047</v>
          </cell>
          <cell r="I145">
            <v>4.7208987795033207E-2</v>
          </cell>
          <cell r="J145">
            <v>-1.713300075009013</v>
          </cell>
          <cell r="K145">
            <v>0.33359615870310599</v>
          </cell>
          <cell r="L145">
            <v>1.8399037970325023</v>
          </cell>
        </row>
        <row r="146">
          <cell r="A146" t="str">
            <v>Gearing (ND/(ND+E))</v>
          </cell>
          <cell r="B146" t="str">
            <v>%</v>
          </cell>
          <cell r="C146">
            <v>-0.3254101429174085</v>
          </cell>
          <cell r="E146">
            <v>-0.419569861982451</v>
          </cell>
          <cell r="G146">
            <v>-0.41854512272163608</v>
          </cell>
          <cell r="H146">
            <v>-0.45131458596154089</v>
          </cell>
          <cell r="I146">
            <v>-0.41091092432266757</v>
          </cell>
          <cell r="K146">
            <v>-0.57147745997193733</v>
          </cell>
        </row>
        <row r="155">
          <cell r="B155" t="str">
            <v>1H10</v>
          </cell>
          <cell r="C155" t="str">
            <v>2H10</v>
          </cell>
          <cell r="D155" t="str">
            <v>1H11</v>
          </cell>
          <cell r="E155" t="str">
            <v>2H11</v>
          </cell>
          <cell r="F155" t="str">
            <v>1H12</v>
          </cell>
          <cell r="G155" t="str">
            <v>2H12</v>
          </cell>
          <cell r="H155" t="str">
            <v>1H13</v>
          </cell>
        </row>
        <row r="156">
          <cell r="A156" t="str">
            <v>Nickel in conc. (lhs)</v>
          </cell>
          <cell r="B156">
            <v>8603</v>
          </cell>
          <cell r="C156">
            <v>8792</v>
          </cell>
          <cell r="D156">
            <v>8216</v>
          </cell>
          <cell r="E156">
            <v>8821.9527999999991</v>
          </cell>
          <cell r="F156">
            <v>9210</v>
          </cell>
          <cell r="G156">
            <v>9105</v>
          </cell>
          <cell r="H156">
            <v>9817.8080000000009</v>
          </cell>
        </row>
        <row r="157">
          <cell r="A157" t="str">
            <v>Lanfranchi Ni Grade (rhs)</v>
          </cell>
          <cell r="B157">
            <v>2.5000000000000001E-2</v>
          </cell>
          <cell r="C157">
            <v>2.4199999999999999E-2</v>
          </cell>
          <cell r="D157">
            <v>2.4199999999999999E-2</v>
          </cell>
          <cell r="E157">
            <v>2.4799999999999999E-2</v>
          </cell>
          <cell r="F157">
            <v>2.6499999999999999E-2</v>
          </cell>
          <cell r="G157">
            <v>2.5999999999999999E-2</v>
          </cell>
          <cell r="H157">
            <v>2.4500000000000001E-2</v>
          </cell>
        </row>
        <row r="158">
          <cell r="A158" t="str">
            <v>Savannah Ni Grade (rhs)</v>
          </cell>
          <cell r="B158">
            <v>1.32E-2</v>
          </cell>
          <cell r="C158">
            <v>1.18E-2</v>
          </cell>
          <cell r="D158">
            <v>1.35E-2</v>
          </cell>
          <cell r="E158">
            <v>1.35E-2</v>
          </cell>
          <cell r="F158">
            <v>1.35E-2</v>
          </cell>
          <cell r="G158">
            <v>1.35E-2</v>
          </cell>
          <cell r="H158">
            <v>1.35E-2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/>
      <sheetData sheetId="2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NCM Summary"/>
      <sheetName val="MW-Cache"/>
      <sheetName val="__FDSCACHE__"/>
      <sheetName val="Inputs"/>
      <sheetName val="Sensitivities"/>
      <sheetName val="WACC"/>
      <sheetName val="Financials"/>
      <sheetName val="Fin Charts"/>
      <sheetName val="Ops Summary"/>
      <sheetName val="Charts Tables"/>
      <sheetName val="CVO"/>
      <sheetName val="Lihir"/>
      <sheetName val="Telfer"/>
      <sheetName val="G'wong"/>
      <sheetName val="H Valley"/>
      <sheetName val="Bonikro"/>
      <sheetName val="Mt Rawdon"/>
      <sheetName val="Cracow"/>
      <sheetName val="Golpu"/>
      <sheetName val="Projects"/>
      <sheetName val="Carbon"/>
      <sheetName val="X-check"/>
      <sheetName val="Six_Drivers"/>
      <sheetName val="MWA RR"/>
      <sheetName val="mwareDates"/>
      <sheetName val="Notes"/>
      <sheetName val="mwareSettings"/>
      <sheetName val="__FDS_DOWNL_SCRATCH_SHEET__"/>
      <sheetName val="Ops Charts"/>
      <sheetName val="Sheet1"/>
    </sheetNames>
    <sheetDataSet>
      <sheetData sheetId="0"/>
      <sheetData sheetId="1" refreshError="1">
        <row r="2">
          <cell r="C2" t="str">
            <v>Morgan Stanley</v>
          </cell>
          <cell r="E2" t="str">
            <v>Brendan Fitzpatrick</v>
          </cell>
          <cell r="F2" t="str">
            <v>Brendan Fitzpatrick</v>
          </cell>
          <cell r="J2" t="str">
            <v>Brendan.Fitzpatrick@morganstanley.com</v>
          </cell>
          <cell r="K2" t="str">
            <v>Brendan.Fitzpatrick@morganstanley.com</v>
          </cell>
          <cell r="M2" t="str">
            <v>+61 2 9770 1148</v>
          </cell>
          <cell r="N2" t="str">
            <v>+61 2 9770 1148</v>
          </cell>
          <cell r="O2" t="str">
            <v>+61 2 9770 1148</v>
          </cell>
        </row>
        <row r="3">
          <cell r="C3" t="str">
            <v>Australian Mining Team</v>
          </cell>
          <cell r="E3" t="str">
            <v>Stefan Hansen</v>
          </cell>
          <cell r="J3" t="str">
            <v>Stefan.Hansen@morganstanley.com</v>
          </cell>
          <cell r="M3" t="str">
            <v>+61 2 9770 1390</v>
          </cell>
        </row>
        <row r="4">
          <cell r="E4" t="str">
            <v>Sarah Lester</v>
          </cell>
          <cell r="J4" t="str">
            <v>Sarah.Lester@morganstanley.com</v>
          </cell>
          <cell r="M4" t="str">
            <v>+61 3 9256 8436</v>
          </cell>
        </row>
        <row r="5">
          <cell r="C5" t="str">
            <v>Newcrest (inc LGL assets)</v>
          </cell>
          <cell r="D5" t="str">
            <v>Price:</v>
          </cell>
          <cell r="E5">
            <v>40.4</v>
          </cell>
          <cell r="J5" t="str">
            <v>Price Target:</v>
          </cell>
          <cell r="K5" t="str">
            <v>Price Target:</v>
          </cell>
          <cell r="L5">
            <v>47.6</v>
          </cell>
          <cell r="M5" t="str">
            <v>Up/(Down):</v>
          </cell>
          <cell r="N5">
            <v>0.21189591078066905</v>
          </cell>
          <cell r="O5" t="str">
            <v>Up/(Down):</v>
          </cell>
          <cell r="P5">
            <v>0.17821782178217838</v>
          </cell>
        </row>
        <row r="7">
          <cell r="C7" t="str">
            <v>ASSUMPTIONS (Yr to Jun)</v>
          </cell>
          <cell r="D7">
            <v>2010</v>
          </cell>
          <cell r="E7">
            <v>2011</v>
          </cell>
          <cell r="F7" t="str">
            <v>2012e</v>
          </cell>
          <cell r="G7" t="str">
            <v>2013e</v>
          </cell>
          <cell r="H7" t="str">
            <v>2014e</v>
          </cell>
          <cell r="I7" t="str">
            <v>LT</v>
          </cell>
          <cell r="J7" t="str">
            <v xml:space="preserve">PROFIT AND LOSS ($M) </v>
          </cell>
          <cell r="K7" t="str">
            <v xml:space="preserve">PROFIT AND LOSS ($M) </v>
          </cell>
          <cell r="L7">
            <v>2010</v>
          </cell>
          <cell r="M7">
            <v>2011</v>
          </cell>
          <cell r="N7" t="str">
            <v>2012e</v>
          </cell>
          <cell r="O7" t="str">
            <v>2013e</v>
          </cell>
          <cell r="P7" t="str">
            <v>2014e</v>
          </cell>
          <cell r="Q7" t="str">
            <v>Metrics</v>
          </cell>
          <cell r="S7" t="str">
            <v>Metrics</v>
          </cell>
          <cell r="V7" t="str">
            <v>F2011</v>
          </cell>
          <cell r="W7" t="str">
            <v>F2012</v>
          </cell>
          <cell r="X7" t="str">
            <v>F2011</v>
          </cell>
          <cell r="Y7" t="str">
            <v>F2012</v>
          </cell>
          <cell r="Z7" t="str">
            <v>F2013</v>
          </cell>
        </row>
        <row r="8">
          <cell r="C8" t="str">
            <v>Gold US$/oz</v>
          </cell>
          <cell r="D8">
            <v>1090.1074466402554</v>
          </cell>
          <cell r="E8">
            <v>1360.3958087978435</v>
          </cell>
          <cell r="F8">
            <v>1592.5</v>
          </cell>
          <cell r="G8">
            <v>1593.75</v>
          </cell>
          <cell r="H8">
            <v>1500</v>
          </cell>
          <cell r="I8">
            <v>905</v>
          </cell>
          <cell r="J8" t="str">
            <v>Total Sales Revenue</v>
          </cell>
          <cell r="K8" t="str">
            <v>Total Sales Revenue</v>
          </cell>
          <cell r="L8">
            <v>2801.8</v>
          </cell>
          <cell r="M8">
            <v>4102</v>
          </cell>
          <cell r="N8">
            <v>5053.4349691802609</v>
          </cell>
          <cell r="O8">
            <v>5473.2427133399733</v>
          </cell>
          <cell r="P8">
            <v>6073.4713869769093</v>
          </cell>
          <cell r="Q8" t="str">
            <v>Price/DCF - Premium/(Discount)</v>
          </cell>
          <cell r="S8" t="str">
            <v>Price/DCF - Premium/(Discount)</v>
          </cell>
          <cell r="U8">
            <v>0.44285714285714284</v>
          </cell>
        </row>
        <row r="9">
          <cell r="C9" t="str">
            <v>Copper US$/lb</v>
          </cell>
          <cell r="D9">
            <v>3.0324450361728794</v>
          </cell>
          <cell r="E9">
            <v>3.8747150059547018</v>
          </cell>
          <cell r="F9">
            <v>4.5875000000000004</v>
          </cell>
          <cell r="G9">
            <v>4.1749999999999998</v>
          </cell>
          <cell r="H9">
            <v>3.4499999999999997</v>
          </cell>
          <cell r="I9">
            <v>2.38</v>
          </cell>
          <cell r="J9" t="str">
            <v>Cost of Operations</v>
          </cell>
          <cell r="K9" t="str">
            <v>Cost of Operations</v>
          </cell>
          <cell r="L9">
            <v>1373.5</v>
          </cell>
          <cell r="M9">
            <v>2043</v>
          </cell>
          <cell r="N9">
            <v>2256.8991788138546</v>
          </cell>
          <cell r="O9">
            <v>2266.3498093490698</v>
          </cell>
          <cell r="P9">
            <v>2323.0134064884005</v>
          </cell>
          <cell r="Q9" t="str">
            <v>Price Target/DCF - Premium/(Discount)</v>
          </cell>
          <cell r="S9" t="str">
            <v>Price Target/DCF - Premium/(Discount)</v>
          </cell>
          <cell r="U9">
            <v>0.71333488809503787</v>
          </cell>
          <cell r="V9" t="str">
            <v>F2012</v>
          </cell>
          <cell r="W9" t="str">
            <v xml:space="preserve">Today  </v>
          </cell>
          <cell r="X9">
            <v>40771</v>
          </cell>
        </row>
        <row r="10">
          <cell r="C10" t="str">
            <v>Silver US$/oz</v>
          </cell>
          <cell r="D10">
            <v>16.886947182058847</v>
          </cell>
          <cell r="E10">
            <v>28.874974837356614</v>
          </cell>
          <cell r="F10">
            <v>36.920454545454547</v>
          </cell>
          <cell r="G10">
            <v>35.097316247582206</v>
          </cell>
          <cell r="H10">
            <v>30.98936170212766</v>
          </cell>
          <cell r="I10">
            <v>15.338983050847459</v>
          </cell>
          <cell r="J10" t="str">
            <v>EBITDA</v>
          </cell>
          <cell r="K10" t="str">
            <v>EBITDA</v>
          </cell>
          <cell r="L10">
            <v>1428.3000000000002</v>
          </cell>
          <cell r="M10">
            <v>2059</v>
          </cell>
          <cell r="N10">
            <v>2796.5357903664062</v>
          </cell>
          <cell r="O10">
            <v>3206.8929039909035</v>
          </cell>
          <cell r="P10">
            <v>3750.4579804885088</v>
          </cell>
          <cell r="Q10" t="str">
            <v>Price Target/Price -  Premium/(Discount)</v>
          </cell>
          <cell r="S10" t="str">
            <v>Price Target/Price -  Premium/(Discount)</v>
          </cell>
          <cell r="U10">
            <v>0.17821782178217838</v>
          </cell>
          <cell r="V10">
            <v>40724</v>
          </cell>
          <cell r="W10" t="str">
            <v xml:space="preserve">Yr end  </v>
          </cell>
          <cell r="X10">
            <v>40724</v>
          </cell>
          <cell r="Y10">
            <v>41090</v>
          </cell>
        </row>
        <row r="11">
          <cell r="C11" t="str">
            <v>FX Avg Spot A$/US$</v>
          </cell>
          <cell r="D11">
            <v>0.88272499999999998</v>
          </cell>
          <cell r="E11">
            <v>0.98307038461538465</v>
          </cell>
          <cell r="F11">
            <v>1.052205606184103</v>
          </cell>
          <cell r="G11">
            <v>1.058881456500488</v>
          </cell>
          <cell r="H11">
            <v>1.0002319779508291</v>
          </cell>
          <cell r="I11">
            <v>0.85</v>
          </cell>
          <cell r="J11" t="str">
            <v>Depreciation</v>
          </cell>
          <cell r="K11" t="str">
            <v>Depreciation</v>
          </cell>
          <cell r="L11">
            <v>300.89999999999998</v>
          </cell>
          <cell r="M11">
            <v>515</v>
          </cell>
          <cell r="N11">
            <v>690.93114625565272</v>
          </cell>
          <cell r="O11">
            <v>753.76423106307709</v>
          </cell>
          <cell r="P11">
            <v>829.99304574108987</v>
          </cell>
          <cell r="Q11" t="str">
            <v>Mid Cycle PE (FY18)</v>
          </cell>
          <cell r="S11" t="str">
            <v>Mid Cycle PE (FY18)</v>
          </cell>
          <cell r="U11">
            <v>17.024166511715492</v>
          </cell>
          <cell r="V11">
            <v>-9.8630136986301367E-2</v>
          </cell>
          <cell r="W11" t="str">
            <v xml:space="preserve">Ratio  </v>
          </cell>
          <cell r="X11">
            <v>-0.12876712328767123</v>
          </cell>
          <cell r="Y11">
            <v>1.1287671232876713</v>
          </cell>
        </row>
        <row r="12">
          <cell r="C12" t="str">
            <v>Silver US$/oz</v>
          </cell>
          <cell r="D12">
            <v>28.874974837356614</v>
          </cell>
          <cell r="E12">
            <v>45.872177589852015</v>
          </cell>
          <cell r="F12">
            <v>46.578914141414145</v>
          </cell>
          <cell r="G12">
            <v>40.256038647342997</v>
          </cell>
          <cell r="H12">
            <v>20.624430264357343</v>
          </cell>
          <cell r="J12" t="str">
            <v>EBIT</v>
          </cell>
          <cell r="K12" t="str">
            <v>EBIT</v>
          </cell>
          <cell r="L12">
            <v>1127.4000000000001</v>
          </cell>
          <cell r="M12">
            <v>1544</v>
          </cell>
          <cell r="N12">
            <v>2105.6046441107533</v>
          </cell>
          <cell r="O12">
            <v>2453.1286729278263</v>
          </cell>
          <cell r="P12">
            <v>2920.4649347474192</v>
          </cell>
          <cell r="Q12" t="str">
            <v>Price Target Comparisons</v>
          </cell>
          <cell r="S12" t="str">
            <v>Price Target Comparisons</v>
          </cell>
          <cell r="U12" t="str">
            <v xml:space="preserve">Yr end  </v>
          </cell>
          <cell r="V12">
            <v>41090</v>
          </cell>
          <cell r="W12">
            <v>41455</v>
          </cell>
        </row>
        <row r="13">
          <cell r="C13" t="str">
            <v>Profit Sensitivities (%)</v>
          </cell>
          <cell r="D13">
            <v>0.98307038461538465</v>
          </cell>
          <cell r="E13">
            <v>2011</v>
          </cell>
          <cell r="F13" t="str">
            <v>2012e</v>
          </cell>
          <cell r="G13" t="str">
            <v>2013e</v>
          </cell>
          <cell r="H13" t="str">
            <v>2014e</v>
          </cell>
          <cell r="J13" t="str">
            <v>Net Interest benefit/(expense)</v>
          </cell>
          <cell r="K13" t="str">
            <v>Net Interest benefit/(expense)</v>
          </cell>
          <cell r="L13">
            <v>-21.000000000000004</v>
          </cell>
          <cell r="M13">
            <v>-36</v>
          </cell>
          <cell r="N13">
            <v>-15.936364001947933</v>
          </cell>
          <cell r="O13">
            <v>-2.4889853011307874</v>
          </cell>
          <cell r="P13">
            <v>17.88931570180133</v>
          </cell>
          <cell r="Q13" t="str">
            <v>One Yr Forward PE</v>
          </cell>
          <cell r="R13">
            <v>24</v>
          </cell>
          <cell r="S13" t="str">
            <v>One Yr Forward PE</v>
          </cell>
          <cell r="T13">
            <v>24</v>
          </cell>
          <cell r="U13">
            <v>45.5</v>
          </cell>
          <cell r="V13">
            <v>32.082268055975462</v>
          </cell>
          <cell r="W13" t="str">
            <v xml:space="preserve">Implied TP  </v>
          </cell>
          <cell r="X13">
            <v>33.177481530225251</v>
          </cell>
          <cell r="Y13">
            <v>44.110284935482973</v>
          </cell>
          <cell r="Z13">
            <v>51.970129171619718</v>
          </cell>
        </row>
        <row r="14">
          <cell r="C14" t="str">
            <v>Currency A$/US$ +10%</v>
          </cell>
          <cell r="E14">
            <v>0</v>
          </cell>
          <cell r="F14">
            <v>-0.11139776943359692</v>
          </cell>
          <cell r="G14">
            <v>-9.4170890740730817E-2</v>
          </cell>
          <cell r="H14">
            <v>0</v>
          </cell>
          <cell r="J14" t="str">
            <v>Pre-tax profit</v>
          </cell>
          <cell r="K14" t="str">
            <v>Pre-tax profit</v>
          </cell>
          <cell r="L14">
            <v>1106.4000000000001</v>
          </cell>
          <cell r="M14">
            <v>1508</v>
          </cell>
          <cell r="N14">
            <v>2089.6682801088054</v>
          </cell>
          <cell r="O14">
            <v>2450.6396876266954</v>
          </cell>
          <cell r="P14">
            <v>2938.3542504492207</v>
          </cell>
          <cell r="Q14" t="str">
            <v>Mid Cycle PE (FY18)</v>
          </cell>
          <cell r="R14">
            <v>24</v>
          </cell>
          <cell r="S14" t="str">
            <v>Mid Cycle PE (FY18)</v>
          </cell>
          <cell r="T14">
            <v>24</v>
          </cell>
          <cell r="U14">
            <v>57</v>
          </cell>
        </row>
        <row r="15">
          <cell r="C15" t="str">
            <v>Gold US$/oz +10%</v>
          </cell>
          <cell r="D15">
            <v>2011</v>
          </cell>
          <cell r="E15">
            <v>0</v>
          </cell>
          <cell r="F15">
            <v>0.10265796014738893</v>
          </cell>
          <cell r="G15">
            <v>9.8712382711702906E-2</v>
          </cell>
          <cell r="H15">
            <v>0</v>
          </cell>
          <cell r="J15" t="str">
            <v>Tax</v>
          </cell>
          <cell r="K15" t="str">
            <v>Tax</v>
          </cell>
          <cell r="L15">
            <v>297.2</v>
          </cell>
          <cell r="M15">
            <v>392</v>
          </cell>
          <cell r="N15">
            <v>626.90048403264166</v>
          </cell>
          <cell r="O15">
            <v>735.19190628800857</v>
          </cell>
          <cell r="P15">
            <v>881.50627513476616</v>
          </cell>
          <cell r="Q15" t="str">
            <v>One Yr FWD CFPS</v>
          </cell>
          <cell r="R15">
            <v>12.5</v>
          </cell>
          <cell r="S15" t="str">
            <v>One Yr FWD CFPS</v>
          </cell>
          <cell r="T15">
            <v>12.5</v>
          </cell>
          <cell r="U15">
            <v>47.1</v>
          </cell>
          <cell r="V15">
            <v>31.305970404089607</v>
          </cell>
          <cell r="W15" t="str">
            <v xml:space="preserve">Implied TP  </v>
          </cell>
          <cell r="X15">
            <v>28.239143020321102</v>
          </cell>
          <cell r="Y15">
            <v>44.924394579345602</v>
          </cell>
          <cell r="Z15">
            <v>39.872440505578879</v>
          </cell>
        </row>
        <row r="16">
          <cell r="C16" t="str">
            <v>Copper US$/lb +10%</v>
          </cell>
          <cell r="D16">
            <v>0</v>
          </cell>
          <cell r="E16">
            <v>0</v>
          </cell>
          <cell r="F16">
            <v>1.9770407380282018E-2</v>
          </cell>
          <cell r="G16">
            <v>1.4203300857988488E-2</v>
          </cell>
          <cell r="H16">
            <v>0</v>
          </cell>
          <cell r="J16" t="str">
            <v>Minorities</v>
          </cell>
          <cell r="K16" t="str">
            <v>Minorities</v>
          </cell>
          <cell r="L16">
            <v>45.5</v>
          </cell>
          <cell r="M16">
            <v>58</v>
          </cell>
          <cell r="N16">
            <v>56.130543660695736</v>
          </cell>
          <cell r="O16">
            <v>58.167176315007353</v>
          </cell>
          <cell r="P16">
            <v>57.732792365394815</v>
          </cell>
          <cell r="Q16" t="str">
            <v>PT Premium to DCF</v>
          </cell>
          <cell r="R16">
            <v>1.7</v>
          </cell>
          <cell r="S16" t="str">
            <v>PT Premium to DCF</v>
          </cell>
          <cell r="T16">
            <v>1.7</v>
          </cell>
          <cell r="U16">
            <v>47.6</v>
          </cell>
        </row>
        <row r="17">
          <cell r="C17" t="str">
            <v>Gold US$/oz +10%</v>
          </cell>
          <cell r="D17">
            <v>0</v>
          </cell>
          <cell r="E17">
            <v>0.1231754346130689</v>
          </cell>
          <cell r="F17">
            <v>9.2248652617220595E-2</v>
          </cell>
          <cell r="G17">
            <v>0</v>
          </cell>
          <cell r="J17" t="str">
            <v>Profit attributable</v>
          </cell>
          <cell r="K17" t="str">
            <v>Profit attributable</v>
          </cell>
          <cell r="L17">
            <v>763.7</v>
          </cell>
          <cell r="M17">
            <v>1058</v>
          </cell>
          <cell r="N17">
            <v>1406.6372524154681</v>
          </cell>
          <cell r="O17">
            <v>1657.2806050236795</v>
          </cell>
          <cell r="P17">
            <v>1999.11518294906</v>
          </cell>
          <cell r="Q17" t="str">
            <v xml:space="preserve">Price Target </v>
          </cell>
          <cell r="R17">
            <v>12.5</v>
          </cell>
          <cell r="S17" t="str">
            <v xml:space="preserve">Price Target </v>
          </cell>
          <cell r="U17">
            <v>47.6</v>
          </cell>
          <cell r="V17">
            <v>48.137511620786839</v>
          </cell>
          <cell r="W17">
            <v>49.470680411147875</v>
          </cell>
          <cell r="X17">
            <v>53.723365361127328</v>
          </cell>
        </row>
        <row r="18">
          <cell r="C18" t="str">
            <v>PRODUCTION  (NCM Share)</v>
          </cell>
          <cell r="D18">
            <v>2010</v>
          </cell>
          <cell r="E18">
            <v>2011</v>
          </cell>
          <cell r="F18" t="str">
            <v>2012e</v>
          </cell>
          <cell r="G18" t="str">
            <v>2013e</v>
          </cell>
          <cell r="H18" t="str">
            <v>2014e</v>
          </cell>
          <cell r="J18" t="str">
            <v>Other Abnormals Net of Tax</v>
          </cell>
          <cell r="K18" t="str">
            <v>Other Abnormals Net of Tax</v>
          </cell>
          <cell r="L18">
            <v>0</v>
          </cell>
          <cell r="M18">
            <v>0</v>
          </cell>
          <cell r="N18">
            <v>0</v>
          </cell>
          <cell r="O18">
            <v>1</v>
          </cell>
          <cell r="P18">
            <v>2</v>
          </cell>
          <cell r="Q18" t="str">
            <v>12mth rolling PE at Price Target</v>
          </cell>
          <cell r="R18">
            <v>1.45</v>
          </cell>
          <cell r="S18" t="str">
            <v>12mth rolling PE at Price Target</v>
          </cell>
          <cell r="U18">
            <v>25.097724606012118</v>
          </cell>
          <cell r="V18">
            <v>1.9672302842342515</v>
          </cell>
          <cell r="W18" t="str">
            <v xml:space="preserve">1Yr Fwd EPS  </v>
          </cell>
          <cell r="X18">
            <v>1.896586274143653</v>
          </cell>
        </row>
        <row r="19">
          <cell r="C19" t="str">
            <v>Lihir Island</v>
          </cell>
          <cell r="D19">
            <v>0</v>
          </cell>
          <cell r="E19">
            <v>790.97400000000005</v>
          </cell>
          <cell r="F19">
            <v>843.85048231511246</v>
          </cell>
          <cell r="G19">
            <v>1026.2861736334403</v>
          </cell>
          <cell r="H19">
            <v>1229.9035369774917</v>
          </cell>
          <cell r="J19" t="str">
            <v>Hedge Restructure Net of Tax</v>
          </cell>
          <cell r="K19" t="str">
            <v>Hedge Restructure Net of Tax</v>
          </cell>
          <cell r="L19">
            <v>-206.77999999999997</v>
          </cell>
          <cell r="M19">
            <v>-150</v>
          </cell>
          <cell r="N19">
            <v>-5.04</v>
          </cell>
          <cell r="O19">
            <v>0</v>
          </cell>
          <cell r="P19">
            <v>0</v>
          </cell>
          <cell r="Q19" t="str">
            <v xml:space="preserve">Price Target </v>
          </cell>
          <cell r="S19">
            <v>47.1</v>
          </cell>
        </row>
        <row r="20">
          <cell r="C20" t="str">
            <v>Telfer</v>
          </cell>
          <cell r="D20">
            <v>688.90899999999999</v>
          </cell>
          <cell r="E20">
            <v>621.29000000000008</v>
          </cell>
          <cell r="F20">
            <v>610.00955022756204</v>
          </cell>
          <cell r="G20">
            <v>684.1375540570242</v>
          </cell>
          <cell r="H20">
            <v>674.03425723472662</v>
          </cell>
          <cell r="J20" t="str">
            <v>Profit after Non Recurring Items</v>
          </cell>
          <cell r="K20" t="str">
            <v>Profit after Non Recurring Items</v>
          </cell>
          <cell r="L20">
            <v>556.92000000000007</v>
          </cell>
          <cell r="M20">
            <v>908</v>
          </cell>
          <cell r="N20">
            <v>1401.5972524154681</v>
          </cell>
          <cell r="O20">
            <v>1657.2806050236795</v>
          </cell>
          <cell r="P20">
            <v>1999.11518294906</v>
          </cell>
          <cell r="Q20" t="str">
            <v>12mth rolling PE at Price Target</v>
          </cell>
          <cell r="S20">
            <v>19.932453092632056</v>
          </cell>
          <cell r="U20" t="str">
            <v xml:space="preserve">1Yr Fwd EPS  </v>
          </cell>
          <cell r="V20">
            <v>2.3629806015903938</v>
          </cell>
        </row>
        <row r="21">
          <cell r="C21" t="str">
            <v>CVO</v>
          </cell>
          <cell r="D21">
            <v>497.68599999999998</v>
          </cell>
          <cell r="E21">
            <v>515.37151446945325</v>
          </cell>
          <cell r="F21">
            <v>561.47909967845646</v>
          </cell>
          <cell r="G21">
            <v>662.95819935691316</v>
          </cell>
          <cell r="H21">
            <v>881.58344241030613</v>
          </cell>
          <cell r="J21" t="str">
            <v>Hedge Restructure Net of Tax</v>
          </cell>
          <cell r="K21">
            <v>-150</v>
          </cell>
          <cell r="L21">
            <v>-5.04</v>
          </cell>
          <cell r="M21">
            <v>0</v>
          </cell>
          <cell r="N21">
            <v>0</v>
          </cell>
        </row>
        <row r="22">
          <cell r="C22" t="str">
            <v>Gossowong</v>
          </cell>
          <cell r="D22">
            <v>442.52499999999998</v>
          </cell>
          <cell r="E22">
            <v>463.21800000000002</v>
          </cell>
          <cell r="F22">
            <v>463.08038585209005</v>
          </cell>
          <cell r="G22">
            <v>477.78135048231513</v>
          </cell>
          <cell r="H22">
            <v>477.78135048231513</v>
          </cell>
          <cell r="J22" t="str">
            <v>CASHFLOW ($M)</v>
          </cell>
          <cell r="K22" t="str">
            <v>CASHFLOW ($M)</v>
          </cell>
          <cell r="L22">
            <v>2010</v>
          </cell>
          <cell r="M22">
            <v>2011</v>
          </cell>
          <cell r="N22" t="str">
            <v>2012e</v>
          </cell>
          <cell r="O22" t="str">
            <v>2013e</v>
          </cell>
          <cell r="P22" t="str">
            <v>2014e</v>
          </cell>
          <cell r="Q22" t="str">
            <v>Synergy Benefits (NCM/LGL Merger)</v>
          </cell>
          <cell r="S22" t="str">
            <v>Synergy Benefits (NCM/LGL Merger)</v>
          </cell>
          <cell r="T22" t="str">
            <v>US$/oz</v>
          </cell>
          <cell r="U22">
            <v>30</v>
          </cell>
          <cell r="V22" t="str">
            <v>US$/oz</v>
          </cell>
        </row>
        <row r="23">
          <cell r="C23" t="str">
            <v>Hidden Valley</v>
          </cell>
          <cell r="D23">
            <v>61.148000000000003</v>
          </cell>
          <cell r="E23">
            <v>100.232</v>
          </cell>
          <cell r="F23">
            <v>120.16554527314199</v>
          </cell>
          <cell r="G23">
            <v>120.16422363737065</v>
          </cell>
          <cell r="H23">
            <v>120.16277829706151</v>
          </cell>
          <cell r="J23" t="str">
            <v>EBITDA</v>
          </cell>
          <cell r="K23" t="str">
            <v>EBITDA</v>
          </cell>
          <cell r="L23">
            <v>1435.9</v>
          </cell>
          <cell r="M23">
            <v>2059</v>
          </cell>
          <cell r="N23">
            <v>2796.5357903664062</v>
          </cell>
          <cell r="O23">
            <v>3206.8929039909035</v>
          </cell>
          <cell r="P23">
            <v>3750.4579804885088</v>
          </cell>
          <cell r="S23">
            <v>30.516634891546616</v>
          </cell>
          <cell r="T23" t="str">
            <v>A$/oz</v>
          </cell>
          <cell r="U23">
            <v>30.516634891546616</v>
          </cell>
          <cell r="V23" t="str">
            <v>A$/oz</v>
          </cell>
          <cell r="W23" t="str">
            <v>min A$85m per year</v>
          </cell>
        </row>
        <row r="24">
          <cell r="C24" t="str">
            <v>Bonikro</v>
          </cell>
          <cell r="D24">
            <v>0</v>
          </cell>
          <cell r="E24">
            <v>49.94</v>
          </cell>
          <cell r="F24">
            <v>107.71061093247589</v>
          </cell>
          <cell r="G24">
            <v>159.16398713826368</v>
          </cell>
          <cell r="H24">
            <v>165.9935691318328</v>
          </cell>
          <cell r="J24" t="str">
            <v>+Div &amp; Other Revenue Received</v>
          </cell>
          <cell r="K24" t="str">
            <v>+Div &amp; Other Revenue Received</v>
          </cell>
          <cell r="L24">
            <v>10.9</v>
          </cell>
          <cell r="M24">
            <v>12</v>
          </cell>
          <cell r="N24">
            <v>13.815684185610898</v>
          </cell>
          <cell r="O24">
            <v>21.44511107398688</v>
          </cell>
          <cell r="P24">
            <v>46.610231351942531</v>
          </cell>
          <cell r="Q24" t="str">
            <v>Synergy Benefits (NCM/LGL Merger)</v>
          </cell>
          <cell r="S24">
            <v>30</v>
          </cell>
          <cell r="T24" t="str">
            <v>US$/oz</v>
          </cell>
        </row>
        <row r="25">
          <cell r="C25" t="str">
            <v>Mt Rawdon</v>
          </cell>
          <cell r="D25">
            <v>0</v>
          </cell>
          <cell r="E25">
            <v>89.635999999999996</v>
          </cell>
          <cell r="F25">
            <v>99.115755627009634</v>
          </cell>
          <cell r="G25">
            <v>0</v>
          </cell>
          <cell r="H25">
            <v>0</v>
          </cell>
          <cell r="J25" t="str">
            <v>- Interest Paid/(Received)</v>
          </cell>
          <cell r="K25" t="str">
            <v>- Interest Paid/(Received)</v>
          </cell>
          <cell r="L25">
            <v>-31.1</v>
          </cell>
          <cell r="M25">
            <v>-32</v>
          </cell>
          <cell r="N25">
            <v>-29.752048187558835</v>
          </cell>
          <cell r="O25">
            <v>-23.934096375117665</v>
          </cell>
          <cell r="P25">
            <v>-28.720915650141201</v>
          </cell>
          <cell r="S25">
            <v>30.516634891546616</v>
          </cell>
          <cell r="T25" t="str">
            <v>A$/oz</v>
          </cell>
          <cell r="U25" t="str">
            <v>min A$85m per year</v>
          </cell>
        </row>
        <row r="26">
          <cell r="C26" t="str">
            <v>Cracow</v>
          </cell>
          <cell r="D26">
            <v>71.932000000000002</v>
          </cell>
          <cell r="E26">
            <v>71.206000000000003</v>
          </cell>
          <cell r="F26">
            <v>79.499783232501827</v>
          </cell>
          <cell r="G26">
            <v>0</v>
          </cell>
          <cell r="H26">
            <v>0</v>
          </cell>
          <cell r="J26" t="str">
            <v>-Tax paid</v>
          </cell>
          <cell r="K26" t="str">
            <v>-Tax paid</v>
          </cell>
          <cell r="L26">
            <v>-74.099999999999994</v>
          </cell>
          <cell r="M26">
            <v>-107</v>
          </cell>
          <cell r="N26">
            <v>-137.46255590374466</v>
          </cell>
          <cell r="O26">
            <v>-735.19190628800857</v>
          </cell>
          <cell r="P26">
            <v>-881.50627513476616</v>
          </cell>
          <cell r="Q26" t="str">
            <v>US$/oz</v>
          </cell>
          <cell r="R26" t="str">
            <v>Mkt Cap/oz</v>
          </cell>
          <cell r="S26" t="str">
            <v>US$/oz</v>
          </cell>
          <cell r="T26" t="str">
            <v>Mkt Cap/oz</v>
          </cell>
          <cell r="U26" t="str">
            <v>EV/oz</v>
          </cell>
        </row>
        <row r="27">
          <cell r="C27" t="str">
            <v>Gold Production (koz)</v>
          </cell>
          <cell r="D27">
            <v>1762.1999999999998</v>
          </cell>
          <cell r="E27">
            <v>2701.8675144694535</v>
          </cell>
          <cell r="F27">
            <v>2884.9112131383504</v>
          </cell>
          <cell r="G27">
            <v>3130.4914883053275</v>
          </cell>
          <cell r="H27">
            <v>3549.458934533734</v>
          </cell>
          <cell r="J27" t="str">
            <v>-Wkg cap increase, other</v>
          </cell>
          <cell r="K27" t="str">
            <v>-Wkg cap increase, other</v>
          </cell>
          <cell r="L27">
            <v>-38.300000000000409</v>
          </cell>
          <cell r="M27">
            <v>-203</v>
          </cell>
          <cell r="N27">
            <v>107.45220272020924</v>
          </cell>
          <cell r="O27">
            <v>-27.939287357078683</v>
          </cell>
          <cell r="P27">
            <v>-26.996250484314714</v>
          </cell>
          <cell r="Q27" t="str">
            <v>Resource (Gold Equiv)</v>
          </cell>
          <cell r="R27">
            <v>117.60418375060867</v>
          </cell>
          <cell r="S27" t="str">
            <v>Resource (Gold Equiv)</v>
          </cell>
          <cell r="T27">
            <v>117.74991384199728</v>
          </cell>
          <cell r="U27">
            <v>119.96623733501373</v>
          </cell>
        </row>
        <row r="28">
          <cell r="C28" t="str">
            <v>Cracow</v>
          </cell>
          <cell r="D28">
            <v>71.206000000000003</v>
          </cell>
          <cell r="E28">
            <v>79.499783232501827</v>
          </cell>
          <cell r="F28">
            <v>0</v>
          </cell>
          <cell r="G28">
            <v>0</v>
          </cell>
          <cell r="J28" t="str">
            <v>OPERATIONS CASH FLOW</v>
          </cell>
          <cell r="K28" t="str">
            <v>OPERATIONS CASH FLOW</v>
          </cell>
          <cell r="L28">
            <v>1303.3</v>
          </cell>
          <cell r="M28">
            <v>1729</v>
          </cell>
          <cell r="N28">
            <v>2750.5890731809227</v>
          </cell>
          <cell r="O28">
            <v>2441.2727250446851</v>
          </cell>
          <cell r="P28">
            <v>2859.8447705712292</v>
          </cell>
          <cell r="Q28" t="str">
            <v>Reserve (Gold Equiv)</v>
          </cell>
          <cell r="R28">
            <v>221.80119863801482</v>
          </cell>
          <cell r="S28" t="str">
            <v>Reserve (Gold Equiv)</v>
          </cell>
          <cell r="T28">
            <v>222.07604522864435</v>
          </cell>
          <cell r="U28">
            <v>226.25602583514291</v>
          </cell>
        </row>
        <row r="29">
          <cell r="C29" t="str">
            <v>Telfer</v>
          </cell>
          <cell r="D29">
            <v>34.814999999999998</v>
          </cell>
          <cell r="E29">
            <v>32.078380500000002</v>
          </cell>
          <cell r="F29">
            <v>32.498100000000001</v>
          </cell>
          <cell r="G29">
            <v>28.510974247149701</v>
          </cell>
          <cell r="H29">
            <v>28.510974247149704</v>
          </cell>
          <cell r="J29" t="str">
            <v xml:space="preserve"> - Capex</v>
          </cell>
          <cell r="K29" t="str">
            <v xml:space="preserve"> - Capex</v>
          </cell>
          <cell r="L29">
            <v>-833.5</v>
          </cell>
          <cell r="M29">
            <v>-2013</v>
          </cell>
          <cell r="N29">
            <v>-2107.6</v>
          </cell>
          <cell r="O29">
            <v>-1916.3</v>
          </cell>
          <cell r="P29">
            <v>-1925</v>
          </cell>
          <cell r="Q29" t="str">
            <v>Resource (Gold Only)</v>
          </cell>
          <cell r="R29">
            <v>223.82070943705409</v>
          </cell>
          <cell r="S29" t="str">
            <v>Resource (Gold Only)</v>
          </cell>
          <cell r="T29">
            <v>224.09805851938006</v>
          </cell>
          <cell r="U29">
            <v>228.31609805444364</v>
          </cell>
        </row>
        <row r="30">
          <cell r="C30" t="str">
            <v>CVO</v>
          </cell>
          <cell r="D30">
            <v>51.759</v>
          </cell>
          <cell r="E30">
            <v>43.313000000000002</v>
          </cell>
          <cell r="F30">
            <v>47.717999999999996</v>
          </cell>
          <cell r="G30">
            <v>53.395268280200639</v>
          </cell>
          <cell r="H30">
            <v>64.445268280200636</v>
          </cell>
          <cell r="J30" t="str">
            <v>FREE CASH FLOW</v>
          </cell>
          <cell r="K30" t="str">
            <v>FREE CASH FLOW</v>
          </cell>
          <cell r="L30">
            <v>469.79999999999995</v>
          </cell>
          <cell r="M30">
            <v>-284</v>
          </cell>
          <cell r="N30">
            <v>642.98907318092279</v>
          </cell>
          <cell r="O30">
            <v>524.97272504468515</v>
          </cell>
          <cell r="P30">
            <v>934.84477057122922</v>
          </cell>
          <cell r="Q30" t="str">
            <v>Reserve (Gold Only)</v>
          </cell>
          <cell r="R30">
            <v>390.74063178612704</v>
          </cell>
          <cell r="S30" t="str">
            <v>Reserve (Gold Only)</v>
          </cell>
          <cell r="T30">
            <v>391.2248209209302</v>
          </cell>
          <cell r="U30">
            <v>398.58856950780137</v>
          </cell>
        </row>
        <row r="31">
          <cell r="C31" t="str">
            <v>Wafi Golpu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J31" t="str">
            <v xml:space="preserve"> - Acquisitions</v>
          </cell>
          <cell r="K31" t="str">
            <v xml:space="preserve"> - Acquisitions</v>
          </cell>
          <cell r="L31">
            <v>0</v>
          </cell>
          <cell r="M31">
            <v>-271.5</v>
          </cell>
          <cell r="N31">
            <v>0</v>
          </cell>
          <cell r="O31">
            <v>0</v>
          </cell>
          <cell r="P31">
            <v>0</v>
          </cell>
          <cell r="Q31" t="str">
            <v>Resource (Gold Only)</v>
          </cell>
          <cell r="R31">
            <v>172.34471975735494</v>
          </cell>
          <cell r="S31">
            <v>202.43942867343108</v>
          </cell>
        </row>
        <row r="32">
          <cell r="C32" t="str">
            <v>Copper Production (kt)</v>
          </cell>
          <cell r="D32">
            <v>86.573999999999998</v>
          </cell>
          <cell r="E32">
            <v>75.391380499999997</v>
          </cell>
          <cell r="F32">
            <v>80.216099999999997</v>
          </cell>
          <cell r="G32">
            <v>81.906242527350344</v>
          </cell>
          <cell r="H32">
            <v>92.956242527350341</v>
          </cell>
          <cell r="J32" t="str">
            <v xml:space="preserve"> + Other</v>
          </cell>
          <cell r="K32" t="str">
            <v xml:space="preserve"> + Other</v>
          </cell>
          <cell r="L32">
            <v>-53.1</v>
          </cell>
          <cell r="M32">
            <v>-9</v>
          </cell>
          <cell r="N32">
            <v>0</v>
          </cell>
          <cell r="O32">
            <v>0</v>
          </cell>
          <cell r="P32">
            <v>0</v>
          </cell>
          <cell r="Q32" t="str">
            <v>GOLD EQUIV CALC.</v>
          </cell>
          <cell r="R32">
            <v>300.87512836666588</v>
          </cell>
          <cell r="S32" t="str">
            <v>GOLD EQUIV CALC.</v>
          </cell>
        </row>
        <row r="33">
          <cell r="C33" t="str">
            <v>Wafi Golpu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J33" t="str">
            <v>INVESTING CASHFLOW</v>
          </cell>
          <cell r="K33" t="str">
            <v>INVESTING CASHFLOW</v>
          </cell>
          <cell r="L33">
            <v>-53.1</v>
          </cell>
          <cell r="M33">
            <v>-280.5</v>
          </cell>
          <cell r="N33">
            <v>0</v>
          </cell>
          <cell r="O33">
            <v>0</v>
          </cell>
          <cell r="P33">
            <v>0</v>
          </cell>
          <cell r="Q33" t="str">
            <v>Commodity</v>
          </cell>
          <cell r="R33" t="str">
            <v>Gold</v>
          </cell>
          <cell r="S33" t="str">
            <v>Commodity</v>
          </cell>
          <cell r="T33" t="str">
            <v>Gold</v>
          </cell>
          <cell r="U33" t="str">
            <v>Copper</v>
          </cell>
          <cell r="V33" t="str">
            <v>Silver</v>
          </cell>
          <cell r="W33" t="str">
            <v>Lead</v>
          </cell>
          <cell r="X33" t="str">
            <v>Zinc</v>
          </cell>
          <cell r="Y33" t="str">
            <v>Tungsten</v>
          </cell>
        </row>
        <row r="34">
          <cell r="C34" t="str">
            <v>Unit Cash Cost of Operations (incl. by-products)</v>
          </cell>
          <cell r="D34">
            <v>75.391380499999997</v>
          </cell>
          <cell r="E34">
            <v>74.088224999999994</v>
          </cell>
          <cell r="F34">
            <v>80.762655829886697</v>
          </cell>
          <cell r="G34">
            <v>91.278376719112018</v>
          </cell>
          <cell r="J34" t="str">
            <v>Equity Raising / (Buy Back)</v>
          </cell>
          <cell r="K34" t="str">
            <v>Equity Raising / (Buy Back)</v>
          </cell>
          <cell r="L34">
            <v>-12.700000000000001</v>
          </cell>
          <cell r="M34">
            <v>-28</v>
          </cell>
          <cell r="N34">
            <v>0</v>
          </cell>
          <cell r="O34">
            <v>0</v>
          </cell>
          <cell r="P34">
            <v>0</v>
          </cell>
          <cell r="Q34" t="str">
            <v>Units</v>
          </cell>
          <cell r="R34" t="str">
            <v>US$/oz</v>
          </cell>
          <cell r="S34" t="str">
            <v>Units</v>
          </cell>
          <cell r="T34" t="str">
            <v>US$/oz</v>
          </cell>
          <cell r="U34" t="str">
            <v>US$/lb</v>
          </cell>
          <cell r="V34" t="str">
            <v>US$/oz</v>
          </cell>
          <cell r="W34" t="str">
            <v>US$/lb</v>
          </cell>
          <cell r="X34" t="str">
            <v>US$/lb</v>
          </cell>
          <cell r="Y34" t="str">
            <v>US$/lb</v>
          </cell>
        </row>
        <row r="35">
          <cell r="C35" t="str">
            <v>Lihir Island</v>
          </cell>
          <cell r="D35">
            <v>475.91784784195528</v>
          </cell>
          <cell r="E35">
            <v>419</v>
          </cell>
          <cell r="F35">
            <v>548.76689315078784</v>
          </cell>
          <cell r="G35">
            <v>455.27057287840108</v>
          </cell>
          <cell r="H35">
            <v>386.87420178617509</v>
          </cell>
          <cell r="J35" t="str">
            <v>Debt Raised / (Retired)</v>
          </cell>
          <cell r="K35" t="str">
            <v>Debt Raised / (Retired)</v>
          </cell>
          <cell r="L35">
            <v>0</v>
          </cell>
          <cell r="M35">
            <v>427.4</v>
          </cell>
          <cell r="N35">
            <v>-116.35903624882334</v>
          </cell>
          <cell r="O35">
            <v>0</v>
          </cell>
          <cell r="P35">
            <v>0</v>
          </cell>
          <cell r="Q35" t="str">
            <v>Price</v>
          </cell>
          <cell r="R35">
            <v>1511.3566544566545</v>
          </cell>
          <cell r="S35" t="str">
            <v>Price</v>
          </cell>
          <cell r="T35">
            <v>1511.3566544566545</v>
          </cell>
          <cell r="U35">
            <v>4.3960603892438472</v>
          </cell>
          <cell r="V35">
            <v>36.208844444444438</v>
          </cell>
          <cell r="W35">
            <v>1.105405920294654</v>
          </cell>
          <cell r="X35">
            <v>1.0849942393700502</v>
          </cell>
          <cell r="Y35">
            <v>22.679851220175994</v>
          </cell>
        </row>
        <row r="36">
          <cell r="C36" t="str">
            <v>CVO</v>
          </cell>
          <cell r="D36">
            <v>230.31186395616606</v>
          </cell>
          <cell r="E36">
            <v>302.3600693299382</v>
          </cell>
          <cell r="F36">
            <v>221.63655261910048</v>
          </cell>
          <cell r="G36">
            <v>386.9637740046964</v>
          </cell>
          <cell r="H36">
            <v>325.08088440792119</v>
          </cell>
          <cell r="J36" t="str">
            <v>Dividend Paid</v>
          </cell>
          <cell r="K36" t="str">
            <v>Dividend Paid</v>
          </cell>
          <cell r="L36">
            <v>-111.69999999999999</v>
          </cell>
          <cell r="M36">
            <v>-231</v>
          </cell>
          <cell r="N36">
            <v>-420.93610954999997</v>
          </cell>
          <cell r="O36">
            <v>-306.13535239999999</v>
          </cell>
          <cell r="P36">
            <v>-344.40227145</v>
          </cell>
          <cell r="Q36" t="str">
            <v>Units</v>
          </cell>
          <cell r="R36" t="str">
            <v>US$/oz</v>
          </cell>
          <cell r="S36" t="str">
            <v>US$/lb</v>
          </cell>
          <cell r="T36" t="str">
            <v>US$/oz</v>
          </cell>
          <cell r="U36" t="str">
            <v>US$/lb</v>
          </cell>
          <cell r="V36" t="str">
            <v>US$/lb</v>
          </cell>
          <cell r="W36" t="str">
            <v>US$/lb</v>
          </cell>
        </row>
        <row r="37">
          <cell r="C37" t="str">
            <v>Telfer</v>
          </cell>
          <cell r="D37">
            <v>498.9432595596806</v>
          </cell>
          <cell r="E37">
            <v>682.40754090634232</v>
          </cell>
          <cell r="F37">
            <v>643.806421949899</v>
          </cell>
          <cell r="G37">
            <v>581.12057022806198</v>
          </cell>
          <cell r="H37">
            <v>633.12612133312996</v>
          </cell>
          <cell r="J37" t="str">
            <v>Other</v>
          </cell>
          <cell r="K37" t="str">
            <v>Other</v>
          </cell>
          <cell r="L37">
            <v>-3.2000000000000028</v>
          </cell>
          <cell r="M37">
            <v>-37.800000000000011</v>
          </cell>
          <cell r="N37">
            <v>0</v>
          </cell>
          <cell r="O37">
            <v>0</v>
          </cell>
          <cell r="P37">
            <v>0</v>
          </cell>
          <cell r="Q37" t="str">
            <v>Gold Equivalent</v>
          </cell>
          <cell r="R37" t="str">
            <v>Gold</v>
          </cell>
          <cell r="S37" t="str">
            <v>Gold Equivalent</v>
          </cell>
          <cell r="T37" t="str">
            <v>Gold</v>
          </cell>
          <cell r="U37" t="str">
            <v>Copper</v>
          </cell>
          <cell r="V37" t="str">
            <v>Silver</v>
          </cell>
          <cell r="W37" t="str">
            <v>Lead</v>
          </cell>
          <cell r="X37" t="str">
            <v>Zinc</v>
          </cell>
          <cell r="Y37" t="str">
            <v>Tungsten</v>
          </cell>
        </row>
        <row r="38">
          <cell r="C38" t="str">
            <v>Gosowong</v>
          </cell>
          <cell r="D38">
            <v>340</v>
          </cell>
          <cell r="E38">
            <v>329.05377381707962</v>
          </cell>
          <cell r="F38">
            <v>371.14756237941123</v>
          </cell>
          <cell r="G38">
            <v>358.78967415768147</v>
          </cell>
          <cell r="H38">
            <v>359.85697914582158</v>
          </cell>
          <cell r="J38" t="str">
            <v>FINANCING CASHFLOW</v>
          </cell>
          <cell r="K38" t="str">
            <v>FINANCING CASHFLOW</v>
          </cell>
          <cell r="L38">
            <v>-127.6</v>
          </cell>
          <cell r="M38">
            <v>130.59999999999997</v>
          </cell>
          <cell r="N38">
            <v>-537.29514579882334</v>
          </cell>
          <cell r="O38">
            <v>-306.13535239999999</v>
          </cell>
          <cell r="P38">
            <v>-344.40227145</v>
          </cell>
          <cell r="Q38" t="str">
            <v>moz</v>
          </cell>
          <cell r="R38" t="str">
            <v>moz</v>
          </cell>
          <cell r="S38" t="str">
            <v>moz</v>
          </cell>
          <cell r="T38" t="str">
            <v>moz</v>
          </cell>
          <cell r="U38" t="str">
            <v>mlbs</v>
          </cell>
          <cell r="V38" t="str">
            <v>moz</v>
          </cell>
          <cell r="W38" t="str">
            <v>mlbs</v>
          </cell>
          <cell r="X38" t="str">
            <v>mlbs</v>
          </cell>
          <cell r="Y38" t="str">
            <v>mlbs</v>
          </cell>
        </row>
        <row r="39">
          <cell r="C39" t="str">
            <v>Hidden valley</v>
          </cell>
          <cell r="D39">
            <v>1055.9897461895728</v>
          </cell>
          <cell r="E39">
            <v>1002.6311756724399</v>
          </cell>
          <cell r="F39">
            <v>748.07332705837678</v>
          </cell>
          <cell r="G39">
            <v>767.276464954071</v>
          </cell>
          <cell r="H39">
            <v>788.41503914999976</v>
          </cell>
          <cell r="J39" t="str">
            <v>FX Adjustments</v>
          </cell>
          <cell r="K39" t="str">
            <v>FX Adjustments</v>
          </cell>
          <cell r="L39">
            <v>-9.1999999999999993</v>
          </cell>
          <cell r="M39">
            <v>-24</v>
          </cell>
          <cell r="N39">
            <v>0</v>
          </cell>
          <cell r="O39">
            <v>0</v>
          </cell>
          <cell r="P39">
            <v>0</v>
          </cell>
          <cell r="Q39" t="str">
            <v>RESERVES</v>
          </cell>
          <cell r="R39">
            <v>77.694999999999993</v>
          </cell>
          <cell r="S39" t="str">
            <v>RESERVES</v>
          </cell>
          <cell r="T39">
            <v>77.694999999999993</v>
          </cell>
          <cell r="U39">
            <v>17681.052399999997</v>
          </cell>
          <cell r="V39">
            <v>58.133000000000003</v>
          </cell>
          <cell r="W39">
            <v>330.69299999999998</v>
          </cell>
          <cell r="X39">
            <v>683.43219999999997</v>
          </cell>
          <cell r="Y39">
            <v>374.78539999999998</v>
          </cell>
        </row>
        <row r="40">
          <cell r="C40" t="str">
            <v>Bonikro</v>
          </cell>
          <cell r="D40">
            <v>0</v>
          </cell>
          <cell r="E40">
            <v>1235.8116940328393</v>
          </cell>
          <cell r="F40">
            <v>647.37983012345092</v>
          </cell>
          <cell r="G40">
            <v>388.01784085461492</v>
          </cell>
          <cell r="H40">
            <v>364.95977019164474</v>
          </cell>
          <cell r="J40" t="str">
            <v>Increase in cash deposits</v>
          </cell>
          <cell r="K40" t="str">
            <v>Increase in cash deposits</v>
          </cell>
          <cell r="L40">
            <v>279.89999999999992</v>
          </cell>
          <cell r="M40">
            <v>-457.90000000000003</v>
          </cell>
          <cell r="N40">
            <v>105.69392738209945</v>
          </cell>
          <cell r="O40">
            <v>218.83737264468516</v>
          </cell>
          <cell r="P40">
            <v>590.44249912122928</v>
          </cell>
          <cell r="Q40">
            <v>136.87299064676893</v>
          </cell>
          <cell r="R40">
            <v>77.694999999999993</v>
          </cell>
          <cell r="S40">
            <v>136.87299064676893</v>
          </cell>
          <cell r="T40">
            <v>77.694999999999993</v>
          </cell>
          <cell r="U40">
            <v>51.428611417818082</v>
          </cell>
          <cell r="V40">
            <v>1.3927412486536002</v>
          </cell>
          <cell r="W40">
            <v>0.24186878651182325</v>
          </cell>
          <cell r="X40">
            <v>0.49063204096360874</v>
          </cell>
          <cell r="Y40">
            <v>5.6241371528218114</v>
          </cell>
        </row>
        <row r="41">
          <cell r="C41" t="str">
            <v>Mt Rawdon</v>
          </cell>
          <cell r="D41">
            <v>0</v>
          </cell>
          <cell r="E41">
            <v>694.09202775670485</v>
          </cell>
          <cell r="F41">
            <v>549.5728813438534</v>
          </cell>
          <cell r="G41">
            <v>0</v>
          </cell>
          <cell r="H41">
            <v>0</v>
          </cell>
          <cell r="J41" t="str">
            <v>FX Adjustments</v>
          </cell>
          <cell r="K41">
            <v>-24</v>
          </cell>
          <cell r="L41">
            <v>0</v>
          </cell>
          <cell r="M41">
            <v>0</v>
          </cell>
          <cell r="N41">
            <v>0</v>
          </cell>
          <cell r="Q41" t="str">
            <v>RESOURCES</v>
          </cell>
          <cell r="R41">
            <v>135.63799999999998</v>
          </cell>
          <cell r="S41" t="str">
            <v>RESOURCES</v>
          </cell>
          <cell r="T41">
            <v>135.63799999999998</v>
          </cell>
          <cell r="U41">
            <v>38029.695</v>
          </cell>
          <cell r="V41">
            <v>98.61</v>
          </cell>
          <cell r="W41">
            <v>418.87779999999998</v>
          </cell>
          <cell r="X41">
            <v>859.80179999999996</v>
          </cell>
          <cell r="Y41">
            <v>573.20119999999997</v>
          </cell>
        </row>
        <row r="42">
          <cell r="C42" t="str">
            <v>Cracow</v>
          </cell>
          <cell r="D42">
            <v>542</v>
          </cell>
          <cell r="E42">
            <v>658.34980198297899</v>
          </cell>
          <cell r="F42">
            <v>565.53442160440102</v>
          </cell>
          <cell r="G42">
            <v>0</v>
          </cell>
          <cell r="H42">
            <v>0</v>
          </cell>
          <cell r="J42" t="str">
            <v>SUMMARY BALANCE SHEET ($M)</v>
          </cell>
          <cell r="K42" t="str">
            <v>SUMMARY BALANCE SHEET ($M)</v>
          </cell>
          <cell r="L42">
            <v>2010</v>
          </cell>
          <cell r="M42">
            <v>2011</v>
          </cell>
          <cell r="N42" t="str">
            <v>2012e</v>
          </cell>
          <cell r="O42" t="str">
            <v>2013e</v>
          </cell>
          <cell r="P42" t="str">
            <v>2014e</v>
          </cell>
          <cell r="Q42">
            <v>258.14212061538171</v>
          </cell>
          <cell r="R42">
            <v>135.63799999999998</v>
          </cell>
          <cell r="S42">
            <v>258.14212061538171</v>
          </cell>
          <cell r="T42">
            <v>135.63799999999998</v>
          </cell>
          <cell r="U42">
            <v>110.61640236376087</v>
          </cell>
          <cell r="V42">
            <v>2.3624828329818088</v>
          </cell>
          <cell r="W42">
            <v>0.30636712958164275</v>
          </cell>
          <cell r="X42">
            <v>0.61724676121228195</v>
          </cell>
          <cell r="Y42">
            <v>8.6016215278451238</v>
          </cell>
        </row>
        <row r="43">
          <cell r="C43" t="str">
            <v>Wafi Golpu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J43" t="str">
            <v>Cash &amp; short term deposits</v>
          </cell>
          <cell r="K43" t="str">
            <v>Cash &amp; short term deposits</v>
          </cell>
          <cell r="L43">
            <v>643.29999999999995</v>
          </cell>
          <cell r="M43">
            <v>185</v>
          </cell>
          <cell r="N43">
            <v>290.69392738209945</v>
          </cell>
          <cell r="O43">
            <v>509.53130002678461</v>
          </cell>
          <cell r="P43">
            <v>1099.9737991480138</v>
          </cell>
          <cell r="Q43" t="str">
            <v>RESOURCES</v>
          </cell>
          <cell r="R43">
            <v>135.63799999999998</v>
          </cell>
          <cell r="S43">
            <v>38029.695</v>
          </cell>
          <cell r="T43">
            <v>98.61</v>
          </cell>
          <cell r="U43">
            <v>418.87779999999998</v>
          </cell>
          <cell r="V43">
            <v>859.80179999999996</v>
          </cell>
          <cell r="W43">
            <v>573.20119999999997</v>
          </cell>
        </row>
        <row r="44">
          <cell r="C44" t="str">
            <v>Average, A$/oz</v>
          </cell>
          <cell r="D44">
            <v>404.24855142713</v>
          </cell>
          <cell r="E44">
            <v>494.08371461081612</v>
          </cell>
          <cell r="F44">
            <v>489.1569026222877</v>
          </cell>
          <cell r="G44">
            <v>462.14013818156496</v>
          </cell>
          <cell r="H44">
            <v>427.22135036731532</v>
          </cell>
          <cell r="J44" t="str">
            <v>Receivables</v>
          </cell>
          <cell r="K44" t="str">
            <v>Receivables</v>
          </cell>
          <cell r="L44">
            <v>288.89999999999998</v>
          </cell>
          <cell r="M44">
            <v>443</v>
          </cell>
          <cell r="N44">
            <v>426.43070182047467</v>
          </cell>
          <cell r="O44">
            <v>462.64401532802248</v>
          </cell>
          <cell r="P44">
            <v>494.00843727406971</v>
          </cell>
          <cell r="Q44" t="str">
            <v>Substantial Shareholders</v>
          </cell>
          <cell r="R44">
            <v>135.63799999999998</v>
          </cell>
          <cell r="S44" t="str">
            <v>Substantial Shareholders</v>
          </cell>
          <cell r="T44" t="str">
            <v>Shareholder split</v>
          </cell>
          <cell r="U44">
            <v>0.2872204507809441</v>
          </cell>
          <cell r="V44" t="str">
            <v>Shareholder split</v>
          </cell>
          <cell r="W44" t="str">
            <v>International split</v>
          </cell>
          <cell r="Y44" t="str">
            <v>International split</v>
          </cell>
        </row>
        <row r="45">
          <cell r="C45" t="str">
            <v>Average, US$/oz</v>
          </cell>
          <cell r="D45">
            <v>356.84030255851332</v>
          </cell>
          <cell r="E45">
            <v>485.71906735465296</v>
          </cell>
          <cell r="F45">
            <v>514.69363524282244</v>
          </cell>
          <cell r="G45">
            <v>489.35162262503229</v>
          </cell>
          <cell r="H45">
            <v>427.32045630072395</v>
          </cell>
          <cell r="J45" t="str">
            <v>Inventories</v>
          </cell>
          <cell r="K45" t="str">
            <v>Inventories</v>
          </cell>
          <cell r="L45">
            <v>419.7</v>
          </cell>
          <cell r="M45">
            <v>1401</v>
          </cell>
          <cell r="N45">
            <v>1002.3536306758551</v>
          </cell>
          <cell r="O45">
            <v>1012.6961633639417</v>
          </cell>
          <cell r="P45">
            <v>1018.1563776911071</v>
          </cell>
          <cell r="Q45" t="str">
            <v>Blackrock</v>
          </cell>
          <cell r="R45">
            <v>0.1479</v>
          </cell>
          <cell r="S45" t="str">
            <v>Blackrock</v>
          </cell>
          <cell r="T45">
            <v>0.1479</v>
          </cell>
          <cell r="U45">
            <v>0.15</v>
          </cell>
          <cell r="V45" t="str">
            <v>Retail &amp; Other</v>
          </cell>
          <cell r="W45">
            <v>0.15</v>
          </cell>
          <cell r="X45">
            <v>0.1</v>
          </cell>
          <cell r="Y45" t="str">
            <v>Asia</v>
          </cell>
          <cell r="Z45">
            <v>0.1</v>
          </cell>
        </row>
        <row r="46">
          <cell r="C46" t="str">
            <v>Average, A$/oz</v>
          </cell>
          <cell r="D46">
            <v>494.08371461081612</v>
          </cell>
          <cell r="E46">
            <v>632.60990394627856</v>
          </cell>
          <cell r="F46">
            <v>620.09096619937907</v>
          </cell>
          <cell r="G46">
            <v>533.91205669001624</v>
          </cell>
          <cell r="J46" t="str">
            <v>Property, Plant and equipment</v>
          </cell>
          <cell r="K46" t="str">
            <v>Property, Plant and equipment</v>
          </cell>
          <cell r="L46">
            <v>1764.4</v>
          </cell>
          <cell r="M46">
            <v>3310</v>
          </cell>
          <cell r="N46">
            <v>2895.441312246608</v>
          </cell>
          <cell r="O46">
            <v>2443.1827736087616</v>
          </cell>
          <cell r="P46">
            <v>1945.1869461641077</v>
          </cell>
          <cell r="Q46" t="str">
            <v>Commonwealth Bank</v>
          </cell>
          <cell r="R46">
            <v>9.4500000000000001E-2</v>
          </cell>
          <cell r="S46" t="str">
            <v>Commonwealth Bank</v>
          </cell>
          <cell r="T46">
            <v>9.4500000000000001E-2</v>
          </cell>
          <cell r="U46">
            <v>0.16</v>
          </cell>
          <cell r="V46" t="str">
            <v>Domest. Insto.</v>
          </cell>
          <cell r="W46">
            <v>0.16</v>
          </cell>
          <cell r="X46">
            <v>0.28999999999999998</v>
          </cell>
          <cell r="Y46" t="str">
            <v xml:space="preserve">UK </v>
          </cell>
          <cell r="Z46">
            <v>0.28999999999999998</v>
          </cell>
        </row>
        <row r="47">
          <cell r="C47" t="str">
            <v xml:space="preserve">EARNINGS RATIOS </v>
          </cell>
          <cell r="D47">
            <v>2010</v>
          </cell>
          <cell r="E47">
            <v>2011</v>
          </cell>
          <cell r="F47" t="str">
            <v>2012e</v>
          </cell>
          <cell r="G47" t="str">
            <v>2013e</v>
          </cell>
          <cell r="H47" t="str">
            <v>2014e</v>
          </cell>
          <cell r="J47" t="str">
            <v>Exploration, Evaluation &amp; Development</v>
          </cell>
          <cell r="K47" t="str">
            <v>Exploration, Evaluation &amp; Development</v>
          </cell>
          <cell r="L47">
            <v>2556</v>
          </cell>
          <cell r="M47">
            <v>7675</v>
          </cell>
          <cell r="N47">
            <v>9506.2275414977375</v>
          </cell>
          <cell r="O47">
            <v>11121.021849072506</v>
          </cell>
          <cell r="P47">
            <v>12714.02463077607</v>
          </cell>
          <cell r="Q47" t="str">
            <v>Fidelity</v>
          </cell>
          <cell r="R47">
            <v>9.0999999999999998E-2</v>
          </cell>
          <cell r="S47" t="str">
            <v>Fidelity</v>
          </cell>
          <cell r="T47">
            <v>9.0999999999999998E-2</v>
          </cell>
          <cell r="U47">
            <v>0.69</v>
          </cell>
          <cell r="V47" t="str">
            <v>International Insto</v>
          </cell>
          <cell r="W47">
            <v>0.69</v>
          </cell>
          <cell r="X47">
            <v>0.3</v>
          </cell>
          <cell r="Y47" t="str">
            <v>Nth America</v>
          </cell>
          <cell r="Z47">
            <v>0.3</v>
          </cell>
        </row>
        <row r="48">
          <cell r="C48" t="str">
            <v>Net Profit (A$m)</v>
          </cell>
          <cell r="D48">
            <v>763.7</v>
          </cell>
          <cell r="E48">
            <v>1058</v>
          </cell>
          <cell r="F48">
            <v>1406.6372524154681</v>
          </cell>
          <cell r="G48">
            <v>1657.2806050236795</v>
          </cell>
          <cell r="H48">
            <v>1999.11518294906</v>
          </cell>
          <cell r="J48" t="str">
            <v>Investments</v>
          </cell>
          <cell r="K48" t="str">
            <v>Investments</v>
          </cell>
          <cell r="L48">
            <v>0</v>
          </cell>
          <cell r="M48">
            <v>0</v>
          </cell>
          <cell r="N48">
            <v>105.74</v>
          </cell>
          <cell r="O48">
            <v>70.42</v>
          </cell>
          <cell r="P48">
            <v>0</v>
          </cell>
          <cell r="Q48" t="str">
            <v>The Bank of New York Mellon Corp</v>
          </cell>
          <cell r="R48">
            <v>5.2400000000000002E-2</v>
          </cell>
          <cell r="S48" t="str">
            <v>The Bank of New York Mellon Corp</v>
          </cell>
          <cell r="T48">
            <v>5.2400000000000002E-2</v>
          </cell>
          <cell r="U48">
            <v>1</v>
          </cell>
          <cell r="V48" t="str">
            <v>Sum</v>
          </cell>
          <cell r="W48">
            <v>1</v>
          </cell>
          <cell r="X48">
            <v>0.69</v>
          </cell>
          <cell r="Y48" t="str">
            <v>Sum</v>
          </cell>
          <cell r="Z48">
            <v>0.69</v>
          </cell>
        </row>
        <row r="49">
          <cell r="C49" t="str">
            <v>Issued Shares (M)</v>
          </cell>
          <cell r="D49">
            <v>483.77626600000002</v>
          </cell>
          <cell r="E49">
            <v>765.33838100000003</v>
          </cell>
          <cell r="F49">
            <v>765.33838100000003</v>
          </cell>
          <cell r="G49">
            <v>765.33838100000003</v>
          </cell>
          <cell r="H49">
            <v>765.33838100000003</v>
          </cell>
          <cell r="J49" t="str">
            <v>Other assets</v>
          </cell>
          <cell r="K49" t="str">
            <v>Other assets</v>
          </cell>
          <cell r="L49">
            <v>661.5</v>
          </cell>
          <cell r="M49">
            <v>4268</v>
          </cell>
          <cell r="N49">
            <v>4078.4338018049621</v>
          </cell>
          <cell r="O49">
            <v>4169.6345077958958</v>
          </cell>
          <cell r="P49">
            <v>4323.9438540907577</v>
          </cell>
          <cell r="Q49" t="str">
            <v>Fidelity</v>
          </cell>
          <cell r="R49">
            <v>9.0999999999999998E-2</v>
          </cell>
          <cell r="T49" t="str">
            <v>International Insto</v>
          </cell>
          <cell r="U49">
            <v>0.69</v>
          </cell>
          <cell r="W49" t="str">
            <v>Nth America</v>
          </cell>
          <cell r="X49">
            <v>0.3</v>
          </cell>
        </row>
        <row r="50">
          <cell r="C50" t="str">
            <v>Modelware EPS (A$)</v>
          </cell>
          <cell r="D50">
            <v>1.5786222964480858</v>
          </cell>
          <cell r="E50">
            <v>1.3823950637593856</v>
          </cell>
          <cell r="F50">
            <v>1.8379285389784572</v>
          </cell>
          <cell r="G50">
            <v>2.1654220488174882</v>
          </cell>
          <cell r="H50">
            <v>2.6120670706949158</v>
          </cell>
          <cell r="J50" t="str">
            <v>Total assets</v>
          </cell>
          <cell r="K50" t="str">
            <v>Total assets</v>
          </cell>
          <cell r="L50">
            <v>6333.8</v>
          </cell>
          <cell r="M50">
            <v>17282</v>
          </cell>
          <cell r="N50">
            <v>18305.320915427736</v>
          </cell>
          <cell r="O50">
            <v>19789.130609195912</v>
          </cell>
          <cell r="P50">
            <v>21595.294045144125</v>
          </cell>
          <cell r="Q50" t="str">
            <v>The Bank of New York Mellon Corp</v>
          </cell>
          <cell r="R50">
            <v>5.2400000000000002E-2</v>
          </cell>
          <cell r="T50" t="str">
            <v>Sum</v>
          </cell>
          <cell r="U50">
            <v>1</v>
          </cell>
          <cell r="W50" t="str">
            <v>Sum</v>
          </cell>
          <cell r="X50">
            <v>0.69</v>
          </cell>
        </row>
        <row r="51">
          <cell r="C51" t="str">
            <v>EPS Growth (%)</v>
          </cell>
          <cell r="D51">
            <v>0.53296771223791328</v>
          </cell>
          <cell r="E51">
            <v>-0.12430283870322445</v>
          </cell>
          <cell r="F51">
            <v>0.32952481324713423</v>
          </cell>
          <cell r="G51">
            <v>0.17818620413884845</v>
          </cell>
          <cell r="H51">
            <v>0.20626234138575206</v>
          </cell>
          <cell r="J51" t="str">
            <v>Creditors</v>
          </cell>
          <cell r="K51" t="str">
            <v>Creditors</v>
          </cell>
          <cell r="L51">
            <v>209.1</v>
          </cell>
          <cell r="M51">
            <v>432</v>
          </cell>
          <cell r="N51">
            <v>292.35363067585507</v>
          </cell>
          <cell r="O51">
            <v>302.69616336394171</v>
          </cell>
          <cell r="P51">
            <v>308.15637769110708</v>
          </cell>
        </row>
        <row r="52">
          <cell r="C52" t="str">
            <v>CFPS (c) *</v>
          </cell>
          <cell r="D52">
            <v>269.40139308115619</v>
          </cell>
          <cell r="E52">
            <v>225.91314416256881</v>
          </cell>
          <cell r="F52">
            <v>359.39515663476476</v>
          </cell>
          <cell r="G52">
            <v>318.97952404463103</v>
          </cell>
          <cell r="H52">
            <v>373.67063269903213</v>
          </cell>
          <cell r="J52" t="str">
            <v>Borrowings</v>
          </cell>
          <cell r="K52" t="str">
            <v>Borrowings</v>
          </cell>
          <cell r="L52">
            <v>426.8</v>
          </cell>
          <cell r="M52">
            <v>800</v>
          </cell>
          <cell r="N52">
            <v>239.34096375117664</v>
          </cell>
          <cell r="O52">
            <v>239.34096375117664</v>
          </cell>
          <cell r="P52">
            <v>239.34096375117667</v>
          </cell>
          <cell r="Q52" t="str">
            <v>Bull case TP FY12 PER</v>
          </cell>
          <cell r="R52">
            <v>33.287457256554319</v>
          </cell>
          <cell r="S52" t="str">
            <v>Bull case TP FY12 PER</v>
          </cell>
          <cell r="T52">
            <v>35.257083518609818</v>
          </cell>
        </row>
        <row r="53">
          <cell r="C53" t="str">
            <v>P/E (x)</v>
          </cell>
          <cell r="D53">
            <v>21.403156458655229</v>
          </cell>
          <cell r="E53">
            <v>29.099857959997639</v>
          </cell>
          <cell r="F53">
            <v>21.981268119627114</v>
          </cell>
          <cell r="G53">
            <v>18.656871080656988</v>
          </cell>
          <cell r="H53">
            <v>15.466677886357626</v>
          </cell>
          <cell r="J53" t="str">
            <v>Other current liabilities</v>
          </cell>
          <cell r="K53" t="str">
            <v>Other current liabilities</v>
          </cell>
          <cell r="L53">
            <v>112.49999999999997</v>
          </cell>
          <cell r="M53">
            <v>269</v>
          </cell>
          <cell r="N53">
            <v>100.88290454068402</v>
          </cell>
          <cell r="O53">
            <v>109.15693069115332</v>
          </cell>
          <cell r="P53">
            <v>113.52510215288567</v>
          </cell>
          <cell r="Q53" t="str">
            <v>Base case TP FY12 PER</v>
          </cell>
          <cell r="R53">
            <v>25.593658173671479</v>
          </cell>
          <cell r="S53" t="str">
            <v>Base case TP FY12 PER</v>
          </cell>
          <cell r="T53">
            <v>25.898721843917095</v>
          </cell>
        </row>
        <row r="54">
          <cell r="C54" t="str">
            <v>P/CF (x)</v>
          </cell>
          <cell r="D54">
            <v>14.996210501342746</v>
          </cell>
          <cell r="E54">
            <v>17.882978942972816</v>
          </cell>
          <cell r="F54">
            <v>11.24110863882801</v>
          </cell>
          <cell r="G54">
            <v>12.66538976788595</v>
          </cell>
          <cell r="H54">
            <v>10.811660447648725</v>
          </cell>
          <cell r="J54" t="str">
            <v>Other liabilities</v>
          </cell>
          <cell r="K54" t="str">
            <v>Other liabilities</v>
          </cell>
          <cell r="L54">
            <v>575.9</v>
          </cell>
          <cell r="M54">
            <v>1906</v>
          </cell>
          <cell r="N54">
            <v>1906.0000000000002</v>
          </cell>
          <cell r="O54">
            <v>1906.0000000000002</v>
          </cell>
          <cell r="P54">
            <v>1906</v>
          </cell>
          <cell r="Q54" t="str">
            <v>Bear case TP FY12 PER</v>
          </cell>
          <cell r="R54">
            <v>17.114777551718973</v>
          </cell>
          <cell r="S54" t="str">
            <v>Bear case TP FY12 PER</v>
          </cell>
          <cell r="T54">
            <v>16.050678453688111</v>
          </cell>
        </row>
        <row r="55">
          <cell r="C55" t="str">
            <v>FCF Yield (%)</v>
          </cell>
          <cell r="D55">
            <v>2.4037377789193008E-2</v>
          </cell>
          <cell r="E55">
            <v>-9.1850913854757132E-3</v>
          </cell>
          <cell r="F55">
            <v>2.0795469707848967E-2</v>
          </cell>
          <cell r="G55">
            <v>1.6978600191611435E-2</v>
          </cell>
          <cell r="H55">
            <v>3.0234629045531047E-2</v>
          </cell>
          <cell r="J55" t="str">
            <v>Total liabilities</v>
          </cell>
          <cell r="K55" t="str">
            <v>Total liabilities</v>
          </cell>
          <cell r="L55">
            <v>1324.3</v>
          </cell>
          <cell r="M55">
            <v>3407</v>
          </cell>
          <cell r="N55">
            <v>2538.5774989677157</v>
          </cell>
          <cell r="O55">
            <v>2557.1940578062718</v>
          </cell>
          <cell r="P55">
            <v>2567.0224435951695</v>
          </cell>
          <cell r="Q55" t="str">
            <v>Base case TP FY12 PER</v>
          </cell>
          <cell r="R55">
            <v>23.558995438797762</v>
          </cell>
        </row>
        <row r="56">
          <cell r="C56" t="str">
            <v>Dividend (c)</v>
          </cell>
          <cell r="D56">
            <v>25</v>
          </cell>
          <cell r="E56">
            <v>50</v>
          </cell>
          <cell r="F56">
            <v>35</v>
          </cell>
          <cell r="G56">
            <v>45</v>
          </cell>
          <cell r="H56">
            <v>50</v>
          </cell>
          <cell r="J56" t="str">
            <v>Net assets</v>
          </cell>
          <cell r="K56" t="str">
            <v>Net assets</v>
          </cell>
          <cell r="L56">
            <v>5009.5</v>
          </cell>
          <cell r="M56">
            <v>13875</v>
          </cell>
          <cell r="N56">
            <v>15766.74341646002</v>
          </cell>
          <cell r="O56">
            <v>17231.936551389641</v>
          </cell>
          <cell r="P56">
            <v>19028.271601548957</v>
          </cell>
          <cell r="Q56" t="str">
            <v>Bear case TP FY12 PER</v>
          </cell>
          <cell r="R56">
            <v>11.554411775716092</v>
          </cell>
        </row>
        <row r="57">
          <cell r="C57" t="str">
            <v>Dividend Yield (%)</v>
          </cell>
          <cell r="D57">
            <v>7.3991860895301527E-3</v>
          </cell>
          <cell r="E57">
            <v>1.2429308308992604E-2</v>
          </cell>
          <cell r="F57">
            <v>8.6633663366336641E-3</v>
          </cell>
          <cell r="G57">
            <v>1.113861386138614E-2</v>
          </cell>
          <cell r="H57">
            <v>1.2376237623762377E-2</v>
          </cell>
          <cell r="J57" t="str">
            <v>Shareholder equity</v>
          </cell>
          <cell r="K57" t="str">
            <v>Shareholder equity</v>
          </cell>
          <cell r="L57">
            <v>4953.6000000000004</v>
          </cell>
          <cell r="M57">
            <v>13776</v>
          </cell>
          <cell r="N57">
            <v>15429.677848703421</v>
          </cell>
          <cell r="O57">
            <v>16523.316892063118</v>
          </cell>
          <cell r="P57">
            <v>18019.458583648666</v>
          </cell>
          <cell r="Q57" t="str">
            <v>Extreme Bear case TP FY12 PER</v>
          </cell>
          <cell r="R57">
            <v>16.256207043756415</v>
          </cell>
        </row>
        <row r="58">
          <cell r="C58" t="str">
            <v>Franking (%)</v>
          </cell>
          <cell r="D58">
            <v>0</v>
          </cell>
          <cell r="E58">
            <v>0</v>
          </cell>
          <cell r="F58">
            <v>0</v>
          </cell>
          <cell r="G58">
            <v>0.5</v>
          </cell>
          <cell r="H58">
            <v>0.5</v>
          </cell>
          <cell r="J58" t="str">
            <v>Minorities</v>
          </cell>
          <cell r="K58" t="str">
            <v>Minorities</v>
          </cell>
          <cell r="L58">
            <v>55.9</v>
          </cell>
          <cell r="M58">
            <v>99</v>
          </cell>
          <cell r="N58">
            <v>337.06556775660056</v>
          </cell>
          <cell r="O58">
            <v>708.6196593265222</v>
          </cell>
          <cell r="P58">
            <v>1008.8130179002901</v>
          </cell>
        </row>
        <row r="59">
          <cell r="C59" t="str">
            <v>Enterprise Value (A$M)</v>
          </cell>
          <cell r="D59">
            <v>16184.990587474998</v>
          </cell>
          <cell r="E59">
            <v>31501.649721677499</v>
          </cell>
          <cell r="F59">
            <v>31205.38319652568</v>
          </cell>
          <cell r="G59">
            <v>31358.099915450915</v>
          </cell>
          <cell r="H59">
            <v>31067.850774903454</v>
          </cell>
          <cell r="J59" t="str">
            <v>Total Shareholder equity</v>
          </cell>
          <cell r="K59" t="str">
            <v>Total Shareholder equity</v>
          </cell>
          <cell r="L59">
            <v>5009.5</v>
          </cell>
          <cell r="M59">
            <v>13875</v>
          </cell>
          <cell r="N59">
            <v>15766.743416460022</v>
          </cell>
          <cell r="O59">
            <v>17231.936551389641</v>
          </cell>
          <cell r="P59">
            <v>19028.271601548957</v>
          </cell>
        </row>
        <row r="60">
          <cell r="C60" t="str">
            <v>EV/EBITDA (x)</v>
          </cell>
          <cell r="D60">
            <v>11.2716697454384</v>
          </cell>
          <cell r="E60">
            <v>15.299489908536911</v>
          </cell>
          <cell r="F60">
            <v>11.158585312593873</v>
          </cell>
          <cell r="G60">
            <v>9.7783433542250471</v>
          </cell>
          <cell r="H60">
            <v>8.2837485279215866</v>
          </cell>
          <cell r="J60" t="str">
            <v>S/holder equity+Tot. liabilities</v>
          </cell>
          <cell r="K60" t="str">
            <v>S/holder equity+Tot. liabilities</v>
          </cell>
          <cell r="L60">
            <v>6333.8</v>
          </cell>
          <cell r="M60">
            <v>17282</v>
          </cell>
          <cell r="N60">
            <v>18305.320915427736</v>
          </cell>
          <cell r="O60">
            <v>19789.130609195912</v>
          </cell>
          <cell r="P60">
            <v>21595.294045144125</v>
          </cell>
        </row>
        <row r="61">
          <cell r="C61" t="str">
            <v>Enterprise Value (A$M)</v>
          </cell>
          <cell r="D61">
            <v>27931.346174312501</v>
          </cell>
          <cell r="E61">
            <v>24018.012379755895</v>
          </cell>
          <cell r="F61">
            <v>23263.831749606536</v>
          </cell>
          <cell r="G61">
            <v>22704.780194393512</v>
          </cell>
          <cell r="J61" t="str">
            <v>Total Shareholder equity</v>
          </cell>
          <cell r="K61">
            <v>13875</v>
          </cell>
          <cell r="L61">
            <v>15973.667660967498</v>
          </cell>
          <cell r="M61">
            <v>17675.475823623565</v>
          </cell>
          <cell r="N61">
            <v>19839.017832433816</v>
          </cell>
        </row>
        <row r="62">
          <cell r="C62" t="str">
            <v>FINANCIAL RATIOS</v>
          </cell>
          <cell r="D62">
            <v>2010</v>
          </cell>
          <cell r="E62">
            <v>2011</v>
          </cell>
          <cell r="F62" t="str">
            <v>2012e</v>
          </cell>
          <cell r="G62" t="str">
            <v>2013e</v>
          </cell>
          <cell r="H62" t="str">
            <v>2014e</v>
          </cell>
          <cell r="J62" t="str">
            <v>SUM OF THE PARTS</v>
          </cell>
          <cell r="K62" t="str">
            <v>SUM OF THE PARTS</v>
          </cell>
          <cell r="L62" t="str">
            <v>A$m</v>
          </cell>
          <cell r="M62" t="str">
            <v>Risk Wgt.</v>
          </cell>
          <cell r="N62" t="str">
            <v>A$m</v>
          </cell>
          <cell r="O62" t="str">
            <v>A$/sh</v>
          </cell>
          <cell r="P62" t="str">
            <v>Shares</v>
          </cell>
        </row>
        <row r="63">
          <cell r="C63" t="str">
            <v>Net debt/(net debt + equity)</v>
          </cell>
          <cell r="D63">
            <v>-4.5170039641143321E-2</v>
          </cell>
          <cell r="E63">
            <v>4.2443064182194616E-2</v>
          </cell>
          <cell r="F63">
            <v>-3.2676861440422049E-3</v>
          </cell>
          <cell r="G63">
            <v>-1.5929393875428379E-2</v>
          </cell>
          <cell r="H63">
            <v>-4.7371749651928925E-2</v>
          </cell>
          <cell r="J63" t="str">
            <v>CVO</v>
          </cell>
          <cell r="K63" t="str">
            <v>CVO</v>
          </cell>
          <cell r="L63">
            <v>3408.2235167216577</v>
          </cell>
          <cell r="M63">
            <v>4.4532243532180278</v>
          </cell>
          <cell r="N63">
            <v>3173.9398197253922</v>
          </cell>
          <cell r="O63">
            <v>4.1471065590337775</v>
          </cell>
        </row>
        <row r="64">
          <cell r="C64" t="str">
            <v>Current ratio</v>
          </cell>
          <cell r="D64">
            <v>4.3081857055589499</v>
          </cell>
          <cell r="E64">
            <v>1.8873929008567931</v>
          </cell>
          <cell r="F64">
            <v>3.3586735693079581</v>
          </cell>
          <cell r="G64">
            <v>3.7604120460297286</v>
          </cell>
          <cell r="H64">
            <v>3.9786635880672145</v>
          </cell>
          <cell r="J64" t="str">
            <v>Lihir Island</v>
          </cell>
          <cell r="K64" t="str">
            <v>Lihir Island</v>
          </cell>
          <cell r="L64">
            <v>6219.9094306850538</v>
          </cell>
          <cell r="M64">
            <v>8.1270057599333363</v>
          </cell>
          <cell r="N64">
            <v>7290.7712287417435</v>
          </cell>
          <cell r="O64">
            <v>9.5262061981205459</v>
          </cell>
        </row>
        <row r="65">
          <cell r="C65" t="str">
            <v>Debt cover - EBIT/interest</v>
          </cell>
          <cell r="D65">
            <v>33.957831325301207</v>
          </cell>
          <cell r="E65">
            <v>34.31111111111111</v>
          </cell>
          <cell r="F65">
            <v>70.771754295263491</v>
          </cell>
          <cell r="G65">
            <v>102.49514477087779</v>
          </cell>
          <cell r="H65">
            <v>101.68425583371194</v>
          </cell>
          <cell r="J65" t="str">
            <v xml:space="preserve">Telfer </v>
          </cell>
          <cell r="K65" t="str">
            <v xml:space="preserve">Telfer </v>
          </cell>
          <cell r="L65">
            <v>2915.6264938987069</v>
          </cell>
          <cell r="M65">
            <v>3.8095913732813393</v>
          </cell>
          <cell r="N65">
            <v>3082.405064343548</v>
          </cell>
          <cell r="O65">
            <v>4.0275061866308626</v>
          </cell>
        </row>
        <row r="66">
          <cell r="C66" t="str">
            <v>EBITDA Margin</v>
          </cell>
          <cell r="D66">
            <v>0.51249196944821185</v>
          </cell>
          <cell r="E66">
            <v>0.50182793078235433</v>
          </cell>
          <cell r="F66">
            <v>0.55339304995945049</v>
          </cell>
          <cell r="G66">
            <v>0.58592192452469183</v>
          </cell>
          <cell r="H66">
            <v>0.6175147195935522</v>
          </cell>
          <cell r="J66" t="str">
            <v>Gosowong</v>
          </cell>
          <cell r="K66" t="str">
            <v>Gosowong</v>
          </cell>
          <cell r="L66">
            <v>2473.2163422378148</v>
          </cell>
          <cell r="M66">
            <v>3.231533140943855</v>
          </cell>
          <cell r="N66">
            <v>2454.586464063646</v>
          </cell>
          <cell r="O66">
            <v>3.2071911261740915</v>
          </cell>
        </row>
        <row r="67">
          <cell r="C67" t="str">
            <v>Book value per share (A$/share)</v>
          </cell>
          <cell r="D67">
            <v>10.35499331420281</v>
          </cell>
          <cell r="E67">
            <v>18.129235831438066</v>
          </cell>
          <cell r="F67">
            <v>20.601009707443406</v>
          </cell>
          <cell r="G67">
            <v>22.515448041262733</v>
          </cell>
          <cell r="H67">
            <v>24.862560239937785</v>
          </cell>
          <cell r="J67" t="str">
            <v>Hidden Valley (50%)</v>
          </cell>
          <cell r="K67" t="str">
            <v>Hidden Valley (50%)</v>
          </cell>
          <cell r="L67">
            <v>392.45453325525398</v>
          </cell>
          <cell r="M67">
            <v>0.51278564227037504</v>
          </cell>
          <cell r="N67">
            <v>335.96978951387689</v>
          </cell>
          <cell r="O67">
            <v>0.43898202135752667</v>
          </cell>
        </row>
        <row r="68">
          <cell r="C68" t="str">
            <v>Price to book (x)</v>
          </cell>
          <cell r="D68">
            <v>3.2629185722078047</v>
          </cell>
          <cell r="E68">
            <v>2.2189297096704506</v>
          </cell>
          <cell r="F68">
            <v>1.9610689268984212</v>
          </cell>
          <cell r="G68">
            <v>1.7943236095484887</v>
          </cell>
          <cell r="H68">
            <v>1.6249332172598929</v>
          </cell>
          <cell r="J68" t="str">
            <v>Bonikro</v>
          </cell>
          <cell r="K68" t="str">
            <v>Bonikro</v>
          </cell>
          <cell r="L68">
            <v>792.74824434848779</v>
          </cell>
          <cell r="M68">
            <v>1.0358140451713316</v>
          </cell>
          <cell r="N68">
            <v>805.88609719785904</v>
          </cell>
          <cell r="O68">
            <v>1.05298011599115</v>
          </cell>
        </row>
        <row r="69">
          <cell r="C69" t="str">
            <v>ROA (NPAT/Assets) %</v>
          </cell>
          <cell r="D69">
            <v>8.7928257917837663E-2</v>
          </cell>
          <cell r="E69">
            <v>5.2540215252864252E-2</v>
          </cell>
          <cell r="F69">
            <v>7.6567750922858779E-2</v>
          </cell>
          <cell r="G69">
            <v>8.3747014346024343E-2</v>
          </cell>
          <cell r="H69">
            <v>9.2571797298521927E-2</v>
          </cell>
          <cell r="J69" t="str">
            <v>Wafi-Golpu (50%) - FY16</v>
          </cell>
          <cell r="K69" t="str">
            <v>Wafi-Golpu (50%) - FY16</v>
          </cell>
          <cell r="L69">
            <v>512.06907514484737</v>
          </cell>
          <cell r="M69">
            <v>0.5</v>
          </cell>
          <cell r="N69">
            <v>1503.6338704854077</v>
          </cell>
          <cell r="O69">
            <v>1.9646654444805736</v>
          </cell>
        </row>
        <row r="70">
          <cell r="C70" t="str">
            <v>ROE (NPAT/Equity) %</v>
          </cell>
          <cell r="D70">
            <v>0.16153308713444459</v>
          </cell>
          <cell r="E70">
            <v>8.0432432432432435E-2</v>
          </cell>
          <cell r="F70">
            <v>9.2775518535367099E-2</v>
          </cell>
          <cell r="G70">
            <v>9.9550493133654633E-2</v>
          </cell>
          <cell r="H70">
            <v>0.10809431452234584</v>
          </cell>
          <cell r="J70" t="str">
            <v>O'Callaghans - FY14</v>
          </cell>
          <cell r="K70" t="str">
            <v>O'Callaghans - FY14</v>
          </cell>
          <cell r="L70">
            <v>1238.3995495091951</v>
          </cell>
          <cell r="M70">
            <v>0.6</v>
          </cell>
          <cell r="N70">
            <v>292.0889861556546</v>
          </cell>
          <cell r="O70">
            <v>0.63607809174552687</v>
          </cell>
        </row>
        <row r="71">
          <cell r="C71" t="str">
            <v>ROIC</v>
          </cell>
          <cell r="D71">
            <v>0.10244467744605709</v>
          </cell>
          <cell r="E71">
            <v>6.1873935264054512E-2</v>
          </cell>
          <cell r="F71">
            <v>8.7566529022445036E-2</v>
          </cell>
          <cell r="G71">
            <v>9.4857436932557479E-2</v>
          </cell>
          <cell r="H71">
            <v>0.10375520974245409</v>
          </cell>
          <cell r="J71" t="str">
            <v>Namosi (69.94%) - FY17</v>
          </cell>
          <cell r="K71" t="str">
            <v>Namosi (69.94%) - FY17</v>
          </cell>
          <cell r="L71">
            <v>99.185864197530861</v>
          </cell>
          <cell r="M71">
            <v>0.2</v>
          </cell>
          <cell r="N71">
            <v>99.185864197530861</v>
          </cell>
          <cell r="O71">
            <v>0.12959739986897489</v>
          </cell>
        </row>
        <row r="72">
          <cell r="C72" t="str">
            <v>ROE (NPAT/Equity) %</v>
          </cell>
          <cell r="D72">
            <v>8.0432432432432435E-2</v>
          </cell>
          <cell r="E72">
            <v>0.10030452004228395</v>
          </cell>
          <cell r="F72">
            <v>0.12095638857124115</v>
          </cell>
          <cell r="G72">
            <v>0.118344013800759</v>
          </cell>
          <cell r="J72" t="str">
            <v>Exploration</v>
          </cell>
          <cell r="K72" t="str">
            <v>Exploration</v>
          </cell>
          <cell r="L72">
            <v>1422.8444161629016</v>
          </cell>
          <cell r="M72">
            <v>1.8591050069954633</v>
          </cell>
          <cell r="N72">
            <v>1603.5634743875278</v>
          </cell>
          <cell r="O72">
            <v>2.0952346232685901</v>
          </cell>
        </row>
        <row r="73">
          <cell r="C73" t="str">
            <v xml:space="preserve">GHG  Emissions  </v>
          </cell>
          <cell r="D73">
            <v>2010</v>
          </cell>
          <cell r="E73">
            <v>2011</v>
          </cell>
          <cell r="F73" t="str">
            <v>2012e</v>
          </cell>
          <cell r="G73" t="str">
            <v>2013e</v>
          </cell>
          <cell r="H73" t="str">
            <v>2014e</v>
          </cell>
          <cell r="J73" t="str">
            <v>Cash reinvestment</v>
          </cell>
          <cell r="K73" t="str">
            <v>Cash reinvestment</v>
          </cell>
          <cell r="L73">
            <v>2380.0245346979937</v>
          </cell>
          <cell r="M73">
            <v>3.1097676449836813</v>
          </cell>
          <cell r="N73">
            <v>483.62128944478053</v>
          </cell>
          <cell r="O73">
            <v>0.63190518266296192</v>
          </cell>
        </row>
        <row r="74">
          <cell r="C74" t="str">
            <v>Australia Kt</v>
          </cell>
          <cell r="D74">
            <v>1542.848</v>
          </cell>
          <cell r="E74">
            <v>1551.2</v>
          </cell>
          <cell r="F74">
            <v>1512.3519999999999</v>
          </cell>
          <cell r="G74">
            <v>1705.6000000000001</v>
          </cell>
          <cell r="H74">
            <v>1960</v>
          </cell>
          <cell r="J74" t="str">
            <v>Catalpa holding</v>
          </cell>
          <cell r="K74" t="str">
            <v>Catalpa holding</v>
          </cell>
          <cell r="L74">
            <v>332.83198150584383</v>
          </cell>
          <cell r="M74">
            <v>0.43488212504247037</v>
          </cell>
          <cell r="N74">
            <v>332.12546836358405</v>
          </cell>
          <cell r="O74">
            <v>0.43395898678127842</v>
          </cell>
        </row>
        <row r="75">
          <cell r="C75" t="str">
            <v>Forecast GHG Costs A$/t</v>
          </cell>
          <cell r="D75">
            <v>0</v>
          </cell>
          <cell r="E75">
            <v>0</v>
          </cell>
          <cell r="F75">
            <v>23</v>
          </cell>
          <cell r="G75">
            <v>24.15</v>
          </cell>
          <cell r="H75">
            <v>25.4</v>
          </cell>
          <cell r="J75" t="str">
            <v>Corporate</v>
          </cell>
          <cell r="K75" t="str">
            <v>Corporate</v>
          </cell>
          <cell r="L75">
            <v>-254.53388482341711</v>
          </cell>
          <cell r="M75">
            <v>-0.33257692432834762</v>
          </cell>
          <cell r="N75">
            <v>-254.53388482341711</v>
          </cell>
          <cell r="O75">
            <v>-0.33257692432834762</v>
          </cell>
        </row>
        <row r="76">
          <cell r="C76" t="str">
            <v>Potential P&amp;L Impact GHG (A$m)</v>
          </cell>
          <cell r="D76">
            <v>2010</v>
          </cell>
          <cell r="E76">
            <v>2011</v>
          </cell>
          <cell r="F76" t="str">
            <v>2012e</v>
          </cell>
          <cell r="G76" t="str">
            <v>2013e</v>
          </cell>
          <cell r="H76" t="str">
            <v>2014e</v>
          </cell>
          <cell r="J76" t="str">
            <v>LGL Synergy Benefit</v>
          </cell>
          <cell r="K76" t="str">
            <v>LGL Synergy Benefit</v>
          </cell>
          <cell r="L76">
            <v>403.78899982268831</v>
          </cell>
          <cell r="M76">
            <v>0.52759538767034386</v>
          </cell>
          <cell r="N76">
            <v>448.2885661573423</v>
          </cell>
          <cell r="O76">
            <v>0.58573903685792317</v>
          </cell>
        </row>
        <row r="77">
          <cell r="C77" t="str">
            <v>GHG Cost</v>
          </cell>
          <cell r="D77">
            <v>0</v>
          </cell>
          <cell r="E77">
            <v>0</v>
          </cell>
          <cell r="F77">
            <v>34.536799999999999</v>
          </cell>
          <cell r="G77">
            <v>40.919759999999997</v>
          </cell>
          <cell r="H77">
            <v>49.760960000000004</v>
          </cell>
          <cell r="J77" t="str">
            <v>Net Debt (Dec 10)</v>
          </cell>
          <cell r="K77" t="str">
            <v>Net Debt (Dec 10)</v>
          </cell>
          <cell r="L77">
            <v>-150.1</v>
          </cell>
          <cell r="M77">
            <v>-0.19612239987739488</v>
          </cell>
          <cell r="N77">
            <v>-150.1</v>
          </cell>
          <cell r="O77">
            <v>-0.19612239987739488</v>
          </cell>
        </row>
        <row r="78">
          <cell r="C78" t="str">
            <v>EBIT with GHG</v>
          </cell>
          <cell r="D78">
            <v>1127.4000000000001</v>
          </cell>
          <cell r="E78">
            <v>1544</v>
          </cell>
          <cell r="F78">
            <v>2071.0678441107534</v>
          </cell>
          <cell r="G78">
            <v>2412.2089129278265</v>
          </cell>
          <cell r="H78">
            <v>2870.7039747474191</v>
          </cell>
          <cell r="J78" t="str">
            <v>Total Valuation</v>
          </cell>
          <cell r="K78" t="str">
            <v>Total Valuation</v>
          </cell>
          <cell r="L78">
            <v>22063.927512489561</v>
          </cell>
          <cell r="M78">
            <v>28.75</v>
          </cell>
          <cell r="N78">
            <v>21501.432097954475</v>
          </cell>
          <cell r="O78">
            <v>28</v>
          </cell>
          <cell r="P78">
            <v>765.33838100000003</v>
          </cell>
        </row>
        <row r="79">
          <cell r="C79" t="str">
            <v>Tax after GHG</v>
          </cell>
          <cell r="D79">
            <v>297.2</v>
          </cell>
          <cell r="E79">
            <v>392</v>
          </cell>
          <cell r="F79">
            <v>616.53944403264165</v>
          </cell>
          <cell r="G79">
            <v>722.91597828800855</v>
          </cell>
          <cell r="H79">
            <v>866.5779871347662</v>
          </cell>
          <cell r="J79" t="str">
            <v>Potential Impact GHG on DCF</v>
          </cell>
          <cell r="K79" t="str">
            <v>Potential Impact GHG on DCF</v>
          </cell>
          <cell r="L79">
            <v>-238.25194758546621</v>
          </cell>
          <cell r="M79">
            <v>-0.31130275640189825</v>
          </cell>
          <cell r="N79">
            <v>-238.74306457780594</v>
          </cell>
          <cell r="O79">
            <v>-0.31194445555684985</v>
          </cell>
        </row>
        <row r="80">
          <cell r="C80" t="str">
            <v>NPAT After GHG</v>
          </cell>
          <cell r="D80">
            <v>763.7</v>
          </cell>
          <cell r="E80">
            <v>1058</v>
          </cell>
          <cell r="F80">
            <v>1382.461492415468</v>
          </cell>
          <cell r="G80">
            <v>1628.6367730236798</v>
          </cell>
          <cell r="H80">
            <v>1964.2825109490595</v>
          </cell>
          <cell r="J80" t="str">
            <v>DCF After GHG Impact</v>
          </cell>
          <cell r="K80" t="str">
            <v>DCF After GHG Impact</v>
          </cell>
          <cell r="L80">
            <v>21825.675564904093</v>
          </cell>
          <cell r="M80">
            <v>28.517680684439753</v>
          </cell>
          <cell r="N80">
            <v>21262.689033376668</v>
          </cell>
          <cell r="O80">
            <v>27.782075956512976</v>
          </cell>
        </row>
        <row r="81">
          <cell r="C81" t="str">
            <v>NPAT % Change</v>
          </cell>
          <cell r="D81">
            <v>0</v>
          </cell>
          <cell r="E81">
            <v>0</v>
          </cell>
          <cell r="F81">
            <v>-1.7186918630574866E-2</v>
          </cell>
          <cell r="G81">
            <v>-1.7283634354479438E-2</v>
          </cell>
          <cell r="H81">
            <v>-1.7424044545855444E-2</v>
          </cell>
          <cell r="J81" t="str">
            <v>WACC</v>
          </cell>
          <cell r="K81" t="str">
            <v>WACC</v>
          </cell>
          <cell r="L81">
            <v>7.8575000000000006E-2</v>
          </cell>
          <cell r="M81">
            <v>-0.30710122497469344</v>
          </cell>
          <cell r="N81">
            <v>7.8575000000000006E-2</v>
          </cell>
        </row>
        <row r="82">
          <cell r="C82" t="str">
            <v>NPAT After GHG</v>
          </cell>
          <cell r="D82">
            <v>1058</v>
          </cell>
          <cell r="E82">
            <v>1508.2349496973754</v>
          </cell>
          <cell r="F82">
            <v>2030.8368853028494</v>
          </cell>
          <cell r="G82">
            <v>2243.0040216399348</v>
          </cell>
          <cell r="J82" t="str">
            <v>DCF After GHG Impact</v>
          </cell>
          <cell r="L82">
            <v>24591.959362193054</v>
          </cell>
          <cell r="M82">
            <v>32.132139159231649</v>
          </cell>
        </row>
        <row r="83">
          <cell r="C83" t="str">
            <v>NPAT % Change</v>
          </cell>
          <cell r="D83">
            <v>0</v>
          </cell>
          <cell r="E83">
            <v>-1.4284994350650004E-2</v>
          </cell>
          <cell r="F83">
            <v>-1.3830568208745619E-2</v>
          </cell>
          <cell r="G83">
            <v>-1.5193602736103817E-2</v>
          </cell>
          <cell r="J83" t="str">
            <v>WACC</v>
          </cell>
          <cell r="L83">
            <v>7.8575000000000006E-2</v>
          </cell>
        </row>
        <row r="85">
          <cell r="C85" t="str">
            <v>Au Production Increase</v>
          </cell>
          <cell r="E85">
            <v>0.53323545254196669</v>
          </cell>
          <cell r="F85">
            <v>6.7747103693513333E-2</v>
          </cell>
        </row>
        <row r="86">
          <cell r="C86" t="str">
            <v>Production Increase (guidance)</v>
          </cell>
          <cell r="E86">
            <v>0.06</v>
          </cell>
          <cell r="F86">
            <v>0.06</v>
          </cell>
        </row>
        <row r="87">
          <cell r="C87" t="str">
            <v>- Au production to be 2.3Moz in FY14 (NCM guidance June 09)</v>
          </cell>
        </row>
        <row r="89">
          <cell r="C89" t="str">
            <v>Cu Production Increase</v>
          </cell>
          <cell r="E89">
            <v>-0.12916833575900388</v>
          </cell>
          <cell r="F89">
            <v>6.3995638068996552E-2</v>
          </cell>
        </row>
        <row r="90">
          <cell r="C90" t="str">
            <v>Production Increase (guidance)</v>
          </cell>
        </row>
        <row r="91">
          <cell r="C91" t="str">
            <v>- Cu production to exceed 100kt from FY13 (NCM guidance June 09)</v>
          </cell>
        </row>
        <row r="92">
          <cell r="D92" t="str">
            <v>FY10</v>
          </cell>
          <cell r="E92" t="str">
            <v>FY11</v>
          </cell>
        </row>
        <row r="93">
          <cell r="C93" t="str">
            <v>Deferred Expense Guidance</v>
          </cell>
          <cell r="D93" t="str">
            <v>40-60</v>
          </cell>
          <cell r="E93" t="str">
            <v>75-90</v>
          </cell>
        </row>
        <row r="97">
          <cell r="C97" t="str">
            <v>NCM Guidance</v>
          </cell>
        </row>
        <row r="98">
          <cell r="C98" t="str">
            <v>Sensitivity - EBIT Impact FY10</v>
          </cell>
          <cell r="D98" t="str">
            <v>delta EBIT FY09</v>
          </cell>
          <cell r="E98" t="str">
            <v>delta EBIT FY10</v>
          </cell>
        </row>
        <row r="99">
          <cell r="C99" t="str">
            <v>Gold Price (+/-US$10/oz)</v>
          </cell>
          <cell r="D99">
            <v>2.17314174206138E-2</v>
          </cell>
          <cell r="E99">
            <v>1.5867875647668395E-2</v>
          </cell>
        </row>
        <row r="100">
          <cell r="C100" t="str">
            <v>Copper Price (+/-US$0.05/lb)</v>
          </cell>
          <cell r="D100">
            <v>1.1530956182366506E-2</v>
          </cell>
          <cell r="E100">
            <v>8.4196891191709849E-3</v>
          </cell>
        </row>
        <row r="101">
          <cell r="C101" t="str">
            <v>FX Rate (+/-US$0.01)</v>
          </cell>
          <cell r="D101">
            <v>2.7053397197090649E-2</v>
          </cell>
          <cell r="E101">
            <v>1.9753886010362695E-2</v>
          </cell>
        </row>
        <row r="102">
          <cell r="C102" t="str">
            <v>Oil Price (+/-US$10/bbl)</v>
          </cell>
          <cell r="D102">
            <v>8.8699662941280814E-4</v>
          </cell>
          <cell r="E102">
            <v>6.4766839378238344E-4</v>
          </cell>
        </row>
        <row r="104">
          <cell r="C104" t="str">
            <v>Notes</v>
          </cell>
        </row>
        <row r="105">
          <cell r="C105" t="str">
            <v>- NCM still likely to get JV in to develop O'Callaghn's. NCM not interested in Tungsten market that is controlled by Chinese</v>
          </cell>
        </row>
        <row r="106">
          <cell r="C106" t="str">
            <v>- franking credits 0% for next couple of years. NCM &amp; LGL both have accumulated tax losses</v>
          </cell>
        </row>
      </sheetData>
      <sheetData sheetId="2"/>
      <sheetData sheetId="3"/>
      <sheetData sheetId="4" refreshError="1">
        <row r="4">
          <cell r="A4" t="str">
            <v>COMMODITY PRICES</v>
          </cell>
        </row>
        <row r="5">
          <cell r="A5" t="str">
            <v>Year Ending June</v>
          </cell>
          <cell r="C5" t="str">
            <v>2000A</v>
          </cell>
          <cell r="D5" t="str">
            <v>2001A</v>
          </cell>
          <cell r="E5" t="str">
            <v>2002A</v>
          </cell>
          <cell r="F5" t="str">
            <v>2003A</v>
          </cell>
          <cell r="G5" t="str">
            <v>2004A</v>
          </cell>
          <cell r="H5" t="str">
            <v>2005A</v>
          </cell>
          <cell r="I5" t="str">
            <v>2006A</v>
          </cell>
          <cell r="J5" t="str">
            <v>2007E</v>
          </cell>
          <cell r="K5" t="str">
            <v>2008E</v>
          </cell>
          <cell r="L5" t="str">
            <v>2009E</v>
          </cell>
          <cell r="M5" t="str">
            <v>2010E</v>
          </cell>
          <cell r="N5" t="str">
            <v>2011E</v>
          </cell>
          <cell r="O5" t="str">
            <v>2012E</v>
          </cell>
          <cell r="P5" t="str">
            <v>2013E</v>
          </cell>
          <cell r="Q5" t="str">
            <v>2014E</v>
          </cell>
          <cell r="R5" t="str">
            <v>2015E</v>
          </cell>
          <cell r="S5" t="str">
            <v>2016E</v>
          </cell>
          <cell r="T5" t="str">
            <v>2017E</v>
          </cell>
          <cell r="U5" t="str">
            <v>2018E</v>
          </cell>
          <cell r="V5" t="str">
            <v>2019E</v>
          </cell>
          <cell r="W5" t="str">
            <v>2020E</v>
          </cell>
          <cell r="X5" t="str">
            <v>2021E</v>
          </cell>
          <cell r="Y5" t="str">
            <v>2022E</v>
          </cell>
          <cell r="Z5" t="str">
            <v>2023E</v>
          </cell>
          <cell r="AA5" t="str">
            <v>2024E</v>
          </cell>
          <cell r="AB5" t="str">
            <v>2025E</v>
          </cell>
          <cell r="AC5" t="str">
            <v>2026E</v>
          </cell>
          <cell r="AD5" t="str">
            <v>2027E</v>
          </cell>
          <cell r="AE5" t="str">
            <v>2028E</v>
          </cell>
          <cell r="AF5" t="str">
            <v>2029E</v>
          </cell>
          <cell r="AG5" t="str">
            <v>2030E</v>
          </cell>
          <cell r="AH5" t="str">
            <v>2031E</v>
          </cell>
          <cell r="AI5" t="str">
            <v>2032E</v>
          </cell>
          <cell r="AJ5" t="str">
            <v>2033E</v>
          </cell>
          <cell r="AK5" t="str">
            <v>2034E</v>
          </cell>
          <cell r="AL5" t="str">
            <v>2035E</v>
          </cell>
          <cell r="AM5" t="str">
            <v>2036E</v>
          </cell>
          <cell r="AN5" t="str">
            <v>2037E</v>
          </cell>
          <cell r="AO5" t="str">
            <v>2038E</v>
          </cell>
          <cell r="AP5" t="str">
            <v>2039E</v>
          </cell>
          <cell r="AQ5" t="str">
            <v>2040E</v>
          </cell>
          <cell r="AR5" t="str">
            <v>2041E</v>
          </cell>
          <cell r="AS5" t="str">
            <v>2042E</v>
          </cell>
          <cell r="AT5" t="str">
            <v>2043E</v>
          </cell>
          <cell r="AU5" t="str">
            <v>2044E</v>
          </cell>
          <cell r="AV5" t="str">
            <v>2045E</v>
          </cell>
          <cell r="AW5" t="str">
            <v>2046E</v>
          </cell>
          <cell r="AX5" t="str">
            <v>2047E</v>
          </cell>
          <cell r="AY5" t="str">
            <v>2048E</v>
          </cell>
          <cell r="AZ5" t="str">
            <v>2049E</v>
          </cell>
          <cell r="BA5" t="str">
            <v>2050E</v>
          </cell>
          <cell r="BB5" t="str">
            <v>SUM/AVG</v>
          </cell>
          <cell r="BE5">
            <v>36891</v>
          </cell>
          <cell r="BF5">
            <v>37072</v>
          </cell>
          <cell r="BG5" t="str">
            <v>FY-01</v>
          </cell>
          <cell r="BH5">
            <v>37256</v>
          </cell>
          <cell r="BI5">
            <v>37437</v>
          </cell>
          <cell r="BJ5" t="str">
            <v>FY-02</v>
          </cell>
          <cell r="BK5">
            <v>37621</v>
          </cell>
          <cell r="BL5">
            <v>37802</v>
          </cell>
          <cell r="BM5" t="str">
            <v>FY-03</v>
          </cell>
          <cell r="BN5">
            <v>37986</v>
          </cell>
          <cell r="BO5">
            <v>38168</v>
          </cell>
          <cell r="BP5" t="str">
            <v>FY-04</v>
          </cell>
          <cell r="BQ5">
            <v>38352</v>
          </cell>
          <cell r="BR5">
            <v>38533</v>
          </cell>
          <cell r="BS5" t="str">
            <v>FY-05</v>
          </cell>
          <cell r="BT5">
            <v>38717</v>
          </cell>
          <cell r="BU5">
            <v>38898</v>
          </cell>
          <cell r="BV5" t="str">
            <v>FY-06</v>
          </cell>
          <cell r="BW5">
            <v>39082</v>
          </cell>
          <cell r="BX5">
            <v>39263</v>
          </cell>
          <cell r="BY5" t="str">
            <v>FY-07</v>
          </cell>
          <cell r="BZ5">
            <v>39447</v>
          </cell>
          <cell r="CA5">
            <v>39629</v>
          </cell>
          <cell r="CB5" t="str">
            <v>FY-08</v>
          </cell>
          <cell r="CC5">
            <v>39813</v>
          </cell>
          <cell r="CD5">
            <v>39994</v>
          </cell>
          <cell r="CE5" t="str">
            <v>FY-09</v>
          </cell>
          <cell r="CF5">
            <v>40178</v>
          </cell>
          <cell r="CG5">
            <v>40359</v>
          </cell>
          <cell r="CH5" t="str">
            <v>FY-10</v>
          </cell>
          <cell r="CI5">
            <v>40543</v>
          </cell>
          <cell r="CJ5">
            <v>40724</v>
          </cell>
          <cell r="CK5" t="str">
            <v>FY-11</v>
          </cell>
          <cell r="CL5">
            <v>40908</v>
          </cell>
          <cell r="CM5">
            <v>41090</v>
          </cell>
          <cell r="CN5" t="str">
            <v>FY-12</v>
          </cell>
          <cell r="CO5">
            <v>41274</v>
          </cell>
          <cell r="CP5">
            <v>41455</v>
          </cell>
          <cell r="CQ5" t="str">
            <v>FY-13</v>
          </cell>
          <cell r="CR5">
            <v>41639</v>
          </cell>
          <cell r="CS5">
            <v>41820</v>
          </cell>
          <cell r="CT5" t="str">
            <v>FY-14</v>
          </cell>
          <cell r="CU5">
            <v>42004</v>
          </cell>
          <cell r="CV5">
            <v>42185</v>
          </cell>
          <cell r="CW5" t="str">
            <v>FY-15</v>
          </cell>
          <cell r="CX5">
            <v>42369</v>
          </cell>
          <cell r="CY5">
            <v>42551</v>
          </cell>
          <cell r="CZ5" t="str">
            <v>FY-16</v>
          </cell>
          <cell r="DA5">
            <v>42735</v>
          </cell>
          <cell r="DB5">
            <v>42916</v>
          </cell>
          <cell r="DC5" t="str">
            <v>FY-17</v>
          </cell>
          <cell r="DD5">
            <v>43100</v>
          </cell>
          <cell r="DE5">
            <v>43281</v>
          </cell>
          <cell r="DF5" t="str">
            <v>FY-18</v>
          </cell>
          <cell r="DG5">
            <v>43465</v>
          </cell>
          <cell r="DH5">
            <v>43646</v>
          </cell>
          <cell r="DI5" t="str">
            <v>FY-19</v>
          </cell>
          <cell r="DJ5">
            <v>43830</v>
          </cell>
          <cell r="DK5">
            <v>44012</v>
          </cell>
          <cell r="DL5" t="str">
            <v>FY-20</v>
          </cell>
          <cell r="DM5">
            <v>44196</v>
          </cell>
          <cell r="DN5">
            <v>44377</v>
          </cell>
          <cell r="DO5" t="str">
            <v>FY21</v>
          </cell>
          <cell r="DP5">
            <v>44561</v>
          </cell>
          <cell r="DQ5">
            <v>44742</v>
          </cell>
          <cell r="DR5" t="str">
            <v>FY22</v>
          </cell>
          <cell r="DS5">
            <v>44926</v>
          </cell>
          <cell r="DT5">
            <v>45107</v>
          </cell>
          <cell r="DU5" t="str">
            <v>FY23</v>
          </cell>
          <cell r="DV5">
            <v>45291</v>
          </cell>
          <cell r="DW5">
            <v>45472</v>
          </cell>
          <cell r="DX5" t="str">
            <v>FY24</v>
          </cell>
          <cell r="DY5">
            <v>45656</v>
          </cell>
          <cell r="DZ5">
            <v>45837</v>
          </cell>
          <cell r="EA5" t="str">
            <v>FY25</v>
          </cell>
          <cell r="EB5">
            <v>46021</v>
          </cell>
          <cell r="EC5">
            <v>46202</v>
          </cell>
          <cell r="ED5" t="str">
            <v>FY26</v>
          </cell>
          <cell r="EE5">
            <v>46386</v>
          </cell>
          <cell r="EF5">
            <v>46567</v>
          </cell>
          <cell r="EG5" t="str">
            <v>FY27</v>
          </cell>
          <cell r="EH5">
            <v>46751</v>
          </cell>
          <cell r="EI5">
            <v>46932</v>
          </cell>
          <cell r="EJ5" t="str">
            <v>FY28</v>
          </cell>
          <cell r="EK5">
            <v>47116</v>
          </cell>
          <cell r="EL5">
            <v>47297</v>
          </cell>
          <cell r="EM5" t="str">
            <v>FY29</v>
          </cell>
          <cell r="EN5">
            <v>47481</v>
          </cell>
          <cell r="EO5">
            <v>47662</v>
          </cell>
          <cell r="EP5" t="str">
            <v>FY30</v>
          </cell>
          <cell r="EQ5">
            <v>47846</v>
          </cell>
          <cell r="ER5">
            <v>48027</v>
          </cell>
          <cell r="ES5" t="str">
            <v>FY31</v>
          </cell>
          <cell r="ET5">
            <v>48211</v>
          </cell>
          <cell r="EU5">
            <v>48392</v>
          </cell>
          <cell r="EV5" t="str">
            <v>FY32</v>
          </cell>
          <cell r="EW5">
            <v>48576</v>
          </cell>
          <cell r="EX5">
            <v>48757</v>
          </cell>
          <cell r="EY5" t="str">
            <v>FY33</v>
          </cell>
          <cell r="EZ5">
            <v>48941</v>
          </cell>
          <cell r="FA5">
            <v>49122</v>
          </cell>
          <cell r="FB5" t="str">
            <v>FY34</v>
          </cell>
          <cell r="FC5">
            <v>49306</v>
          </cell>
          <cell r="FD5">
            <v>49487</v>
          </cell>
          <cell r="FE5" t="str">
            <v>FY35</v>
          </cell>
          <cell r="FF5">
            <v>49671</v>
          </cell>
          <cell r="FG5">
            <v>49852</v>
          </cell>
          <cell r="FH5" t="str">
            <v>FY36</v>
          </cell>
          <cell r="FI5">
            <v>50036</v>
          </cell>
          <cell r="FJ5">
            <v>50217</v>
          </cell>
          <cell r="FK5" t="str">
            <v>FY37</v>
          </cell>
          <cell r="FL5">
            <v>50401</v>
          </cell>
          <cell r="FM5">
            <v>50582</v>
          </cell>
          <cell r="FN5" t="str">
            <v>FY38</v>
          </cell>
          <cell r="FO5">
            <v>50766</v>
          </cell>
          <cell r="FP5">
            <v>50947</v>
          </cell>
          <cell r="FQ5" t="str">
            <v>FY39</v>
          </cell>
          <cell r="FR5">
            <v>51131</v>
          </cell>
          <cell r="FS5">
            <v>51312</v>
          </cell>
          <cell r="FT5" t="str">
            <v>FY40</v>
          </cell>
          <cell r="FU5">
            <v>51496</v>
          </cell>
          <cell r="FV5">
            <v>51677</v>
          </cell>
          <cell r="FW5" t="str">
            <v>FY41</v>
          </cell>
          <cell r="FX5">
            <v>51861</v>
          </cell>
          <cell r="FY5">
            <v>52042</v>
          </cell>
          <cell r="FZ5" t="str">
            <v>FY42</v>
          </cell>
          <cell r="GA5">
            <v>52226</v>
          </cell>
          <cell r="GB5">
            <v>52407</v>
          </cell>
          <cell r="GC5" t="str">
            <v>FY43</v>
          </cell>
          <cell r="GD5">
            <v>52591</v>
          </cell>
          <cell r="GE5">
            <v>52772</v>
          </cell>
          <cell r="GF5" t="str">
            <v>FY44</v>
          </cell>
          <cell r="GG5">
            <v>52956</v>
          </cell>
          <cell r="GH5">
            <v>53137</v>
          </cell>
          <cell r="GI5" t="str">
            <v>FY45</v>
          </cell>
          <cell r="GJ5">
            <v>53321</v>
          </cell>
          <cell r="GK5">
            <v>53502</v>
          </cell>
          <cell r="GL5" t="str">
            <v>FY46</v>
          </cell>
          <cell r="GM5">
            <v>53686</v>
          </cell>
          <cell r="GN5">
            <v>53867</v>
          </cell>
          <cell r="GO5" t="str">
            <v>FY47</v>
          </cell>
          <cell r="GP5">
            <v>54051</v>
          </cell>
          <cell r="GQ5">
            <v>54232</v>
          </cell>
          <cell r="GR5" t="str">
            <v>FY48</v>
          </cell>
          <cell r="GS5">
            <v>54416</v>
          </cell>
          <cell r="GT5">
            <v>54597</v>
          </cell>
          <cell r="GU5" t="str">
            <v>FY49</v>
          </cell>
          <cell r="GV5">
            <v>54781</v>
          </cell>
          <cell r="GW5">
            <v>54962</v>
          </cell>
          <cell r="GX5" t="str">
            <v>FY50</v>
          </cell>
        </row>
        <row r="6">
          <cell r="BE6" t="str">
            <v>1H-01</v>
          </cell>
          <cell r="BF6" t="str">
            <v>2H-01</v>
          </cell>
          <cell r="BH6" t="str">
            <v>1H-02</v>
          </cell>
          <cell r="BI6" t="str">
            <v>2H-02</v>
          </cell>
          <cell r="BK6" t="str">
            <v>1H-03</v>
          </cell>
          <cell r="BL6" t="str">
            <v>2H-03</v>
          </cell>
          <cell r="BN6" t="str">
            <v>1H-04</v>
          </cell>
          <cell r="BO6" t="str">
            <v>2H-04</v>
          </cell>
          <cell r="BQ6" t="str">
            <v>1H-05</v>
          </cell>
          <cell r="BR6" t="str">
            <v>2H-05</v>
          </cell>
          <cell r="BT6" t="str">
            <v>1H-06</v>
          </cell>
          <cell r="BU6" t="str">
            <v>2H-06</v>
          </cell>
          <cell r="BW6" t="str">
            <v>1H-07</v>
          </cell>
          <cell r="BX6" t="str">
            <v>2H-07</v>
          </cell>
          <cell r="BZ6" t="str">
            <v>1H-08</v>
          </cell>
          <cell r="CA6" t="str">
            <v>2H-08</v>
          </cell>
          <cell r="CC6" t="str">
            <v>1H-09</v>
          </cell>
          <cell r="CD6" t="str">
            <v>2H-09</v>
          </cell>
          <cell r="CF6" t="str">
            <v>1H-10</v>
          </cell>
          <cell r="CG6" t="str">
            <v>2H-10</v>
          </cell>
          <cell r="CI6" t="str">
            <v>1H-11</v>
          </cell>
          <cell r="CJ6" t="str">
            <v>2H-11</v>
          </cell>
          <cell r="CL6" t="str">
            <v>1H-12</v>
          </cell>
          <cell r="CM6" t="str">
            <v>2H-12</v>
          </cell>
          <cell r="CO6" t="str">
            <v>1H-13</v>
          </cell>
          <cell r="CP6" t="str">
            <v>2H-13</v>
          </cell>
          <cell r="CR6" t="str">
            <v>1H-14</v>
          </cell>
          <cell r="CS6" t="str">
            <v>2H-14</v>
          </cell>
          <cell r="CU6" t="str">
            <v>1H-15</v>
          </cell>
          <cell r="CV6" t="str">
            <v>2H-15</v>
          </cell>
          <cell r="CX6" t="str">
            <v>1H-16</v>
          </cell>
          <cell r="CY6" t="str">
            <v>2H-16</v>
          </cell>
          <cell r="DA6" t="str">
            <v>1H-17</v>
          </cell>
          <cell r="DB6" t="str">
            <v>2H-17</v>
          </cell>
          <cell r="DD6" t="str">
            <v>1H-18</v>
          </cell>
          <cell r="DE6" t="str">
            <v>2H-18</v>
          </cell>
          <cell r="DG6" t="str">
            <v>1H-19</v>
          </cell>
          <cell r="DH6" t="str">
            <v>2H-19</v>
          </cell>
          <cell r="DJ6" t="str">
            <v>1H-20</v>
          </cell>
          <cell r="DK6" t="str">
            <v>2H-20</v>
          </cell>
          <cell r="DM6" t="str">
            <v>1H-21</v>
          </cell>
          <cell r="DN6" t="str">
            <v>1H-21</v>
          </cell>
          <cell r="DP6" t="str">
            <v>1H-22</v>
          </cell>
          <cell r="DQ6" t="str">
            <v>1H-22</v>
          </cell>
          <cell r="DS6" t="str">
            <v>1H-23</v>
          </cell>
          <cell r="DT6" t="str">
            <v>1H-23</v>
          </cell>
          <cell r="DV6" t="str">
            <v>1H-24</v>
          </cell>
          <cell r="DW6" t="str">
            <v>1H-24</v>
          </cell>
          <cell r="DY6" t="str">
            <v>1H-25</v>
          </cell>
          <cell r="DZ6" t="str">
            <v>1H-25</v>
          </cell>
          <cell r="EB6" t="str">
            <v>1H-26</v>
          </cell>
          <cell r="EC6" t="str">
            <v>1H-26</v>
          </cell>
          <cell r="EE6" t="str">
            <v>1H-27</v>
          </cell>
          <cell r="EF6" t="str">
            <v>1H-27</v>
          </cell>
          <cell r="EH6" t="str">
            <v>1H-28</v>
          </cell>
          <cell r="EI6" t="str">
            <v>1H-28</v>
          </cell>
          <cell r="EK6" t="str">
            <v>1H-29</v>
          </cell>
          <cell r="EL6" t="str">
            <v>1H-29</v>
          </cell>
          <cell r="EN6" t="str">
            <v>1H-30</v>
          </cell>
          <cell r="EO6" t="str">
            <v>1H-30</v>
          </cell>
          <cell r="EQ6" t="str">
            <v>1H-31</v>
          </cell>
          <cell r="ER6" t="str">
            <v>1H-31</v>
          </cell>
          <cell r="ET6" t="str">
            <v>1H-32</v>
          </cell>
          <cell r="EU6" t="str">
            <v>1H-32</v>
          </cell>
          <cell r="EW6" t="str">
            <v>1H-33</v>
          </cell>
          <cell r="EX6" t="str">
            <v>1H-33</v>
          </cell>
          <cell r="EZ6" t="str">
            <v>1H-34</v>
          </cell>
          <cell r="FA6" t="str">
            <v>1H-34</v>
          </cell>
          <cell r="FC6" t="str">
            <v>1H-35</v>
          </cell>
          <cell r="FD6" t="str">
            <v>1H-35</v>
          </cell>
          <cell r="FF6" t="str">
            <v>1H-36</v>
          </cell>
          <cell r="FG6" t="str">
            <v>1H-36</v>
          </cell>
          <cell r="FI6" t="str">
            <v>1H-37</v>
          </cell>
          <cell r="FJ6" t="str">
            <v>1H-37</v>
          </cell>
          <cell r="FL6" t="str">
            <v>1H-38</v>
          </cell>
          <cell r="FM6" t="str">
            <v>1H-38</v>
          </cell>
          <cell r="FO6" t="str">
            <v>1H-39</v>
          </cell>
          <cell r="FP6" t="str">
            <v>1H-39</v>
          </cell>
          <cell r="FR6" t="str">
            <v>1H-40</v>
          </cell>
          <cell r="FS6" t="str">
            <v>1H-40</v>
          </cell>
          <cell r="FU6" t="str">
            <v>1H-41</v>
          </cell>
          <cell r="FV6" t="str">
            <v>1H-41</v>
          </cell>
          <cell r="FX6" t="str">
            <v>1H-42</v>
          </cell>
          <cell r="FY6" t="str">
            <v>1H-42</v>
          </cell>
          <cell r="GA6" t="str">
            <v>1H-43</v>
          </cell>
          <cell r="GB6" t="str">
            <v>1H-43</v>
          </cell>
          <cell r="GD6" t="str">
            <v>1H-44</v>
          </cell>
          <cell r="GE6" t="str">
            <v>1H-44</v>
          </cell>
          <cell r="GG6" t="str">
            <v>1H-45</v>
          </cell>
          <cell r="GH6" t="str">
            <v>1H-45</v>
          </cell>
          <cell r="GJ6" t="str">
            <v>1H-46</v>
          </cell>
          <cell r="GK6" t="str">
            <v>1H-46</v>
          </cell>
          <cell r="GM6" t="str">
            <v>1H-47</v>
          </cell>
          <cell r="GN6" t="str">
            <v>1H-47</v>
          </cell>
          <cell r="GP6" t="str">
            <v>1H-48</v>
          </cell>
          <cell r="GQ6" t="str">
            <v>1H-48</v>
          </cell>
          <cell r="GS6" t="str">
            <v>1H-49</v>
          </cell>
          <cell r="GT6" t="str">
            <v>1H-49</v>
          </cell>
          <cell r="GV6" t="str">
            <v>1H-50</v>
          </cell>
          <cell r="GW6" t="str">
            <v>1H-50</v>
          </cell>
        </row>
        <row r="7">
          <cell r="A7" t="str">
            <v>Close Out Gold Price - 2nd Phase</v>
          </cell>
          <cell r="B7" t="str">
            <v>US$/oz</v>
          </cell>
          <cell r="CC7">
            <v>730</v>
          </cell>
          <cell r="CD7">
            <v>730</v>
          </cell>
          <cell r="CF7">
            <v>730</v>
          </cell>
          <cell r="CG7">
            <v>730</v>
          </cell>
          <cell r="CI7">
            <v>730</v>
          </cell>
          <cell r="CJ7">
            <v>730</v>
          </cell>
          <cell r="CL7">
            <v>730</v>
          </cell>
          <cell r="CM7">
            <v>730</v>
          </cell>
          <cell r="CO7">
            <v>730</v>
          </cell>
          <cell r="CP7">
            <v>730</v>
          </cell>
        </row>
        <row r="8">
          <cell r="A8" t="str">
            <v>Close Out Gold Price</v>
          </cell>
          <cell r="B8" t="str">
            <v>US$/oz</v>
          </cell>
          <cell r="BZ8">
            <v>681.42</v>
          </cell>
          <cell r="CA8">
            <v>681.42</v>
          </cell>
          <cell r="CC8">
            <v>681.42</v>
          </cell>
          <cell r="CD8">
            <v>681.42</v>
          </cell>
          <cell r="CF8">
            <v>681.42</v>
          </cell>
          <cell r="CG8">
            <v>681.42</v>
          </cell>
          <cell r="CI8">
            <v>681.42</v>
          </cell>
          <cell r="CJ8">
            <v>681.42</v>
          </cell>
          <cell r="CL8">
            <v>681.42</v>
          </cell>
          <cell r="CM8">
            <v>681.42</v>
          </cell>
          <cell r="CO8">
            <v>681.42</v>
          </cell>
          <cell r="CP8">
            <v>681.42</v>
          </cell>
        </row>
        <row r="9">
          <cell r="A9" t="str">
            <v>Gold - Spot</v>
          </cell>
          <cell r="B9" t="str">
            <v>US$/oz</v>
          </cell>
          <cell r="D9">
            <v>0</v>
          </cell>
          <cell r="E9">
            <v>288.6868681318681</v>
          </cell>
          <cell r="F9">
            <v>334.70810439560444</v>
          </cell>
          <cell r="G9">
            <v>390.18288461538475</v>
          </cell>
          <cell r="H9">
            <v>423.21174125874126</v>
          </cell>
          <cell r="I9">
            <v>526.66492741935485</v>
          </cell>
          <cell r="J9">
            <v>639.73704644412192</v>
          </cell>
          <cell r="K9">
            <v>823.85430944055952</v>
          </cell>
          <cell r="L9">
            <v>875.48970695970706</v>
          </cell>
          <cell r="M9">
            <v>1090.1074466402554</v>
          </cell>
          <cell r="N9">
            <v>1360.3958087978435</v>
          </cell>
          <cell r="O9">
            <v>1997</v>
          </cell>
          <cell r="P9">
            <v>2071.25</v>
          </cell>
          <cell r="Q9">
            <v>1830</v>
          </cell>
          <cell r="R9">
            <v>1600</v>
          </cell>
          <cell r="S9">
            <v>1450</v>
          </cell>
          <cell r="T9">
            <v>1215.6107566089336</v>
          </cell>
          <cell r="U9">
            <v>1031.2215132178669</v>
          </cell>
          <cell r="V9">
            <v>1031.2215132178669</v>
          </cell>
          <cell r="W9">
            <v>1031.2215132178669</v>
          </cell>
          <cell r="X9">
            <v>1031.2215132178669</v>
          </cell>
          <cell r="Y9">
            <v>1031.2215132178669</v>
          </cell>
          <cell r="Z9">
            <v>1031.2215132178669</v>
          </cell>
          <cell r="AA9">
            <v>1031.2215132178669</v>
          </cell>
          <cell r="AB9">
            <v>1031.2215132178669</v>
          </cell>
          <cell r="AC9">
            <v>1031.2215132178669</v>
          </cell>
          <cell r="AD9">
            <v>1031.2215132178669</v>
          </cell>
          <cell r="AE9">
            <v>1031.2215132178669</v>
          </cell>
          <cell r="AF9">
            <v>1031.2215132178669</v>
          </cell>
          <cell r="AG9">
            <v>1031.2215132178669</v>
          </cell>
          <cell r="AH9">
            <v>1031.2215132178669</v>
          </cell>
          <cell r="AI9">
            <v>1031.2215132178669</v>
          </cell>
          <cell r="AJ9">
            <v>1031.2215132178669</v>
          </cell>
          <cell r="AK9">
            <v>1031.2215132178669</v>
          </cell>
          <cell r="AL9">
            <v>1031.2215132178669</v>
          </cell>
          <cell r="AM9">
            <v>1031.2215132178669</v>
          </cell>
          <cell r="AN9">
            <v>1031.2215132178669</v>
          </cell>
          <cell r="AO9">
            <v>1031.2215132178669</v>
          </cell>
          <cell r="AP9">
            <v>1031.2215132178669</v>
          </cell>
          <cell r="AQ9">
            <v>1031.2215132178669</v>
          </cell>
          <cell r="AR9">
            <v>1031.2215132178669</v>
          </cell>
          <cell r="AS9">
            <v>1031.2215132178669</v>
          </cell>
          <cell r="AT9">
            <v>1031.2215132178669</v>
          </cell>
          <cell r="AU9">
            <v>1031.2215132178669</v>
          </cell>
          <cell r="AV9">
            <v>1031.2215132178669</v>
          </cell>
          <cell r="AW9">
            <v>1031.2215132178669</v>
          </cell>
          <cell r="AX9">
            <v>1031.2215132178669</v>
          </cell>
          <cell r="AY9">
            <v>1031.2215132178669</v>
          </cell>
          <cell r="AZ9">
            <v>1031.2215132178669</v>
          </cell>
          <cell r="BA9">
            <v>1031.2215132178669</v>
          </cell>
          <cell r="BF9">
            <v>266.21846153846161</v>
          </cell>
          <cell r="BH9">
            <v>276.14489010989013</v>
          </cell>
          <cell r="BI9">
            <v>301.22884615384612</v>
          </cell>
          <cell r="BJ9">
            <v>288.6868681318681</v>
          </cell>
          <cell r="BK9">
            <v>319.46043956043962</v>
          </cell>
          <cell r="BL9">
            <v>349.95576923076925</v>
          </cell>
          <cell r="BM9">
            <v>334.70810439560444</v>
          </cell>
          <cell r="BN9">
            <v>378.83499999999998</v>
          </cell>
          <cell r="BO9">
            <v>401.53076923076952</v>
          </cell>
          <cell r="BP9">
            <v>390.18288461538475</v>
          </cell>
          <cell r="BQ9">
            <v>418.72748251748249</v>
          </cell>
          <cell r="BR9">
            <v>427.69600000000003</v>
          </cell>
          <cell r="BS9">
            <v>423.21174125874126</v>
          </cell>
          <cell r="BT9">
            <v>462.82049999999998</v>
          </cell>
          <cell r="BU9">
            <v>590.50935483870967</v>
          </cell>
          <cell r="BV9">
            <v>526.66492741935485</v>
          </cell>
          <cell r="BW9">
            <v>620.47409288824383</v>
          </cell>
          <cell r="BX9">
            <v>659</v>
          </cell>
          <cell r="BY9">
            <v>639.73704644412192</v>
          </cell>
          <cell r="BZ9">
            <v>737.20861888111904</v>
          </cell>
          <cell r="CA9">
            <v>910.5</v>
          </cell>
          <cell r="CB9">
            <v>823.85430944055952</v>
          </cell>
          <cell r="CC9">
            <v>833.85</v>
          </cell>
          <cell r="CD9">
            <v>917.12941391941422</v>
          </cell>
          <cell r="CE9">
            <v>875.48970695970706</v>
          </cell>
          <cell r="CF9">
            <v>1030.2504319221971</v>
          </cell>
          <cell r="CG9">
            <v>1149.9644613583137</v>
          </cell>
          <cell r="CH9">
            <v>1090.1074466402554</v>
          </cell>
          <cell r="CI9">
            <v>1273.0783086823783</v>
          </cell>
          <cell r="CJ9">
            <v>1447.713308913309</v>
          </cell>
          <cell r="CK9">
            <v>1360.3958087978435</v>
          </cell>
          <cell r="CL9">
            <v>1776.5</v>
          </cell>
          <cell r="CM9">
            <v>2217.5</v>
          </cell>
          <cell r="CN9">
            <v>1997</v>
          </cell>
          <cell r="CO9">
            <v>2182.5</v>
          </cell>
          <cell r="CP9">
            <v>1960</v>
          </cell>
          <cell r="CQ9">
            <v>2071.25</v>
          </cell>
          <cell r="CR9">
            <v>1960</v>
          </cell>
          <cell r="CS9">
            <v>1700</v>
          </cell>
          <cell r="CT9">
            <v>1830</v>
          </cell>
          <cell r="CU9">
            <v>1700</v>
          </cell>
          <cell r="CV9">
            <v>1500</v>
          </cell>
          <cell r="CW9">
            <v>1600</v>
          </cell>
          <cell r="CX9">
            <v>1500</v>
          </cell>
          <cell r="CY9">
            <v>1400</v>
          </cell>
          <cell r="CZ9">
            <v>1450</v>
          </cell>
          <cell r="DA9">
            <v>1400</v>
          </cell>
          <cell r="DB9">
            <v>1031.2215132178669</v>
          </cell>
          <cell r="DC9">
            <v>1215.6107566089336</v>
          </cell>
          <cell r="DD9">
            <v>1031.2215132178669</v>
          </cell>
          <cell r="DE9">
            <v>1031.2215132178669</v>
          </cell>
          <cell r="DF9">
            <v>1031.2215132178669</v>
          </cell>
          <cell r="DG9">
            <v>1031.2215132178669</v>
          </cell>
          <cell r="DH9">
            <v>1031.2215132178669</v>
          </cell>
          <cell r="DI9">
            <v>1031.2215132178669</v>
          </cell>
          <cell r="DJ9">
            <v>1031.2215132178669</v>
          </cell>
          <cell r="DK9">
            <v>1031.2215132178669</v>
          </cell>
          <cell r="DL9">
            <v>1031.2215132178669</v>
          </cell>
          <cell r="DM9">
            <v>1031.2215132178669</v>
          </cell>
          <cell r="DN9">
            <v>1031.2215132178669</v>
          </cell>
          <cell r="DO9">
            <v>1031.2215132178669</v>
          </cell>
          <cell r="DP9">
            <v>1031.2215132178669</v>
          </cell>
          <cell r="DQ9">
            <v>1031.2215132178669</v>
          </cell>
          <cell r="DR9">
            <v>1031.2215132178669</v>
          </cell>
          <cell r="DS9">
            <v>1031.2215132178669</v>
          </cell>
          <cell r="DT9">
            <v>1031.2215132178669</v>
          </cell>
          <cell r="DU9">
            <v>1031.2215132178669</v>
          </cell>
          <cell r="DV9">
            <v>1031.2215132178669</v>
          </cell>
          <cell r="DW9">
            <v>1031.2215132178669</v>
          </cell>
          <cell r="DX9">
            <v>1031.2215132178669</v>
          </cell>
          <cell r="DY9">
            <v>1031.2215132178669</v>
          </cell>
          <cell r="DZ9">
            <v>1031.2215132178669</v>
          </cell>
          <cell r="EA9">
            <v>1031.2215132178669</v>
          </cell>
          <cell r="EB9">
            <v>1031.2215132178669</v>
          </cell>
          <cell r="EC9">
            <v>1031.2215132178669</v>
          </cell>
          <cell r="ED9">
            <v>1031.2215132178669</v>
          </cell>
          <cell r="EE9">
            <v>1031.2215132178669</v>
          </cell>
          <cell r="EF9">
            <v>1031.2215132178669</v>
          </cell>
          <cell r="EG9">
            <v>1031.2215132178669</v>
          </cell>
          <cell r="EH9">
            <v>1031.2215132178669</v>
          </cell>
          <cell r="EI9">
            <v>1031.2215132178669</v>
          </cell>
          <cell r="EJ9">
            <v>1031.2215132178669</v>
          </cell>
          <cell r="EK9">
            <v>1031.2215132178669</v>
          </cell>
          <cell r="EL9">
            <v>1031.2215132178669</v>
          </cell>
          <cell r="EM9">
            <v>1031.2215132178669</v>
          </cell>
          <cell r="EN9">
            <v>1031.2215132178669</v>
          </cell>
          <cell r="EO9">
            <v>1031.2215132178669</v>
          </cell>
          <cell r="EP9">
            <v>1031.2215132178669</v>
          </cell>
          <cell r="EQ9">
            <v>1031.2215132178669</v>
          </cell>
          <cell r="ER9">
            <v>1031.2215132178669</v>
          </cell>
          <cell r="ES9">
            <v>1031.2215132178669</v>
          </cell>
          <cell r="ET9">
            <v>1031.2215132178669</v>
          </cell>
          <cell r="EU9">
            <v>1031.2215132178669</v>
          </cell>
          <cell r="EV9">
            <v>1031.2215132178669</v>
          </cell>
          <cell r="EW9">
            <v>1031.2215132178669</v>
          </cell>
          <cell r="EX9">
            <v>1031.2215132178669</v>
          </cell>
          <cell r="EY9">
            <v>1031.2215132178669</v>
          </cell>
          <cell r="EZ9">
            <v>1031.2215132178669</v>
          </cell>
          <cell r="FA9">
            <v>1031.2215132178669</v>
          </cell>
          <cell r="FB9">
            <v>1031.2215132178669</v>
          </cell>
          <cell r="FC9">
            <v>1031.2215132178669</v>
          </cell>
          <cell r="FD9">
            <v>1031.2215132178669</v>
          </cell>
          <cell r="FE9">
            <v>1031.2215132178669</v>
          </cell>
          <cell r="FF9">
            <v>1031.2215132178669</v>
          </cell>
          <cell r="FG9">
            <v>1031.2215132178669</v>
          </cell>
          <cell r="FH9">
            <v>1031.2215132178669</v>
          </cell>
          <cell r="FI9">
            <v>1031.2215132178669</v>
          </cell>
          <cell r="FJ9">
            <v>1031.2215132178669</v>
          </cell>
          <cell r="FK9">
            <v>1031.2215132178669</v>
          </cell>
          <cell r="FL9">
            <v>1031.2215132178669</v>
          </cell>
          <cell r="FM9">
            <v>1031.2215132178669</v>
          </cell>
          <cell r="FN9">
            <v>1031.2215132178669</v>
          </cell>
          <cell r="FO9">
            <v>1031.2215132178669</v>
          </cell>
          <cell r="FP9">
            <v>1031.2215132178669</v>
          </cell>
          <cell r="FQ9">
            <v>1031.2215132178669</v>
          </cell>
          <cell r="FR9">
            <v>1031.2215132178669</v>
          </cell>
          <cell r="FS9">
            <v>1031.2215132178669</v>
          </cell>
          <cell r="FT9">
            <v>1031.2215132178669</v>
          </cell>
          <cell r="FU9">
            <v>1031.2215132178669</v>
          </cell>
          <cell r="FV9">
            <v>1031.2215132178669</v>
          </cell>
          <cell r="FW9">
            <v>1031.2215132178669</v>
          </cell>
          <cell r="FX9">
            <v>1031.2215132178669</v>
          </cell>
          <cell r="FY9">
            <v>1031.2215132178669</v>
          </cell>
          <cell r="FZ9">
            <v>1031.2215132178669</v>
          </cell>
          <cell r="GA9">
            <v>1031.2215132178669</v>
          </cell>
          <cell r="GB9">
            <v>1031.2215132178669</v>
          </cell>
          <cell r="GC9">
            <v>1031.2215132178669</v>
          </cell>
          <cell r="GD9">
            <v>1031.2215132178669</v>
          </cell>
          <cell r="GE9">
            <v>1031.2215132178669</v>
          </cell>
          <cell r="GF9">
            <v>1031.2215132178669</v>
          </cell>
          <cell r="GG9">
            <v>1031.2215132178669</v>
          </cell>
          <cell r="GH9">
            <v>1031.2215132178669</v>
          </cell>
          <cell r="GI9">
            <v>1031.2215132178669</v>
          </cell>
          <cell r="GJ9">
            <v>1031.2215132178669</v>
          </cell>
          <cell r="GK9">
            <v>1031.2215132178669</v>
          </cell>
          <cell r="GL9">
            <v>1031.2215132178669</v>
          </cell>
          <cell r="GM9">
            <v>1031.2215132178669</v>
          </cell>
          <cell r="GN9">
            <v>1031.2215132178669</v>
          </cell>
          <cell r="GO9">
            <v>1031.2215132178669</v>
          </cell>
          <cell r="GP9">
            <v>1031.2215132178669</v>
          </cell>
          <cell r="GQ9">
            <v>1031.2215132178669</v>
          </cell>
          <cell r="GR9">
            <v>1031.2215132178669</v>
          </cell>
          <cell r="GS9">
            <v>1031.2215132178669</v>
          </cell>
          <cell r="GT9">
            <v>1031.2215132178669</v>
          </cell>
          <cell r="GU9">
            <v>1031.2215132178669</v>
          </cell>
          <cell r="GV9">
            <v>1031.2215132178669</v>
          </cell>
          <cell r="GW9">
            <v>1031.2215132178669</v>
          </cell>
          <cell r="GX9">
            <v>1031.2215132178669</v>
          </cell>
        </row>
        <row r="10">
          <cell r="A10" t="str">
            <v>Copper - Spot</v>
          </cell>
          <cell r="B10" t="str">
            <v>US$/t</v>
          </cell>
          <cell r="D10">
            <v>0</v>
          </cell>
          <cell r="E10">
            <v>1514.8939329212453</v>
          </cell>
          <cell r="F10">
            <v>1594.6955240494503</v>
          </cell>
          <cell r="G10">
            <v>2340.606897115385</v>
          </cell>
          <cell r="H10">
            <v>3155.9629926282028</v>
          </cell>
          <cell r="I10">
            <v>5054.3170544289023</v>
          </cell>
          <cell r="J10">
            <v>7111.5231857764875</v>
          </cell>
          <cell r="K10">
            <v>7774.8608442307686</v>
          </cell>
          <cell r="L10">
            <v>4903.8172857849995</v>
          </cell>
          <cell r="M10">
            <v>6685.3889756474528</v>
          </cell>
          <cell r="N10">
            <v>8542.2741964278539</v>
          </cell>
          <cell r="O10">
            <v>8757.8529500000004</v>
          </cell>
          <cell r="P10">
            <v>8735.8067499999997</v>
          </cell>
          <cell r="Q10">
            <v>8708.2489999999998</v>
          </cell>
          <cell r="R10">
            <v>7661.0544999999993</v>
          </cell>
          <cell r="S10">
            <v>6613.86</v>
          </cell>
          <cell r="T10">
            <v>6075.8684102096631</v>
          </cell>
          <cell r="U10">
            <v>5978.8008204193256</v>
          </cell>
          <cell r="V10">
            <v>5978.8008204193256</v>
          </cell>
          <cell r="W10">
            <v>5978.8008204193256</v>
          </cell>
          <cell r="X10">
            <v>5978.8008204193256</v>
          </cell>
          <cell r="Y10">
            <v>5978.8008204193256</v>
          </cell>
          <cell r="Z10">
            <v>5978.8008204193256</v>
          </cell>
          <cell r="AA10">
            <v>5978.8008204193256</v>
          </cell>
          <cell r="AB10">
            <v>5978.8008204193256</v>
          </cell>
          <cell r="AC10">
            <v>5978.8008204193256</v>
          </cell>
          <cell r="AD10">
            <v>5978.8008204193256</v>
          </cell>
          <cell r="AE10">
            <v>5978.8008204193256</v>
          </cell>
          <cell r="AF10">
            <v>5978.8008204193256</v>
          </cell>
          <cell r="AG10">
            <v>5978.8008204193256</v>
          </cell>
          <cell r="AH10">
            <v>5978.8008204193256</v>
          </cell>
          <cell r="AI10">
            <v>5978.8008204193256</v>
          </cell>
          <cell r="AJ10">
            <v>5978.8008204193256</v>
          </cell>
          <cell r="AK10">
            <v>5978.8008204193256</v>
          </cell>
          <cell r="AL10">
            <v>5978.8008204193256</v>
          </cell>
          <cell r="AM10">
            <v>5978.8008204193256</v>
          </cell>
          <cell r="AN10">
            <v>5978.8008204193256</v>
          </cell>
          <cell r="AO10">
            <v>5978.8008204193256</v>
          </cell>
          <cell r="AP10">
            <v>5978.8008204193256</v>
          </cell>
          <cell r="AQ10">
            <v>5978.8008204193256</v>
          </cell>
          <cell r="AR10">
            <v>5978.8008204193256</v>
          </cell>
          <cell r="AS10">
            <v>5978.8008204193256</v>
          </cell>
          <cell r="AT10">
            <v>5978.8008204193256</v>
          </cell>
          <cell r="AU10">
            <v>5978.8008204193256</v>
          </cell>
          <cell r="AV10">
            <v>5978.8008204193256</v>
          </cell>
          <cell r="AW10">
            <v>5978.8008204193256</v>
          </cell>
          <cell r="AX10">
            <v>5978.8008204193256</v>
          </cell>
          <cell r="AY10">
            <v>5978.8008204193256</v>
          </cell>
          <cell r="AZ10">
            <v>5978.8008204193256</v>
          </cell>
          <cell r="BA10">
            <v>5978.8008204193256</v>
          </cell>
          <cell r="BF10">
            <v>1712.8201538461535</v>
          </cell>
          <cell r="BH10">
            <v>1448.7502857142858</v>
          </cell>
          <cell r="BI10">
            <v>1581.037580128205</v>
          </cell>
          <cell r="BJ10">
            <v>1514.8939329212453</v>
          </cell>
          <cell r="BK10">
            <v>1537.3590510989009</v>
          </cell>
          <cell r="BL10">
            <v>1652.0319969999998</v>
          </cell>
          <cell r="BM10">
            <v>1594.6955240494503</v>
          </cell>
          <cell r="BN10">
            <v>1904.2405249999999</v>
          </cell>
          <cell r="BO10">
            <v>2776.9732692307698</v>
          </cell>
          <cell r="BP10">
            <v>2340.606897115385</v>
          </cell>
          <cell r="BQ10">
            <v>2969.3828929487163</v>
          </cell>
          <cell r="BR10">
            <v>3342.5430923076892</v>
          </cell>
          <cell r="BS10">
            <v>3155.9629926282028</v>
          </cell>
          <cell r="BT10">
            <v>4033.240501165496</v>
          </cell>
          <cell r="BU10">
            <v>6075.3936076923083</v>
          </cell>
          <cell r="BV10">
            <v>5054.3170544289023</v>
          </cell>
          <cell r="BW10">
            <v>7433.1617561683597</v>
          </cell>
          <cell r="BX10">
            <v>6789.8846153846152</v>
          </cell>
          <cell r="BY10">
            <v>7111.5231857764875</v>
          </cell>
          <cell r="BZ10">
            <v>7458.7662884615365</v>
          </cell>
          <cell r="CA10">
            <v>8090.9553999999998</v>
          </cell>
          <cell r="CB10">
            <v>7774.8608442307686</v>
          </cell>
          <cell r="CC10">
            <v>5831.2199000000001</v>
          </cell>
          <cell r="CD10">
            <v>3976.4146715699994</v>
          </cell>
          <cell r="CE10">
            <v>4903.8172857849995</v>
          </cell>
          <cell r="CF10">
            <v>6175.0378719298242</v>
          </cell>
          <cell r="CG10">
            <v>7195.7400793650804</v>
          </cell>
          <cell r="CH10">
            <v>6685.3889756474528</v>
          </cell>
          <cell r="CI10">
            <v>7677.3444246017416</v>
          </cell>
          <cell r="CJ10">
            <v>9407.2039682539671</v>
          </cell>
          <cell r="CK10">
            <v>8542.2741964278539</v>
          </cell>
          <cell r="CL10">
            <v>9083.0344000000005</v>
          </cell>
          <cell r="CM10">
            <v>8432.6715000000004</v>
          </cell>
          <cell r="CN10">
            <v>8757.8529500000004</v>
          </cell>
          <cell r="CO10">
            <v>8322.4405000000006</v>
          </cell>
          <cell r="CP10">
            <v>9149.1730000000007</v>
          </cell>
          <cell r="CQ10">
            <v>8735.8067499999997</v>
          </cell>
          <cell r="CR10">
            <v>9149.1730000000007</v>
          </cell>
          <cell r="CS10">
            <v>8267.3249999999989</v>
          </cell>
          <cell r="CT10">
            <v>8708.2489999999998</v>
          </cell>
          <cell r="CU10">
            <v>8267.3249999999989</v>
          </cell>
          <cell r="CV10">
            <v>7054.7839999999997</v>
          </cell>
          <cell r="CW10">
            <v>7661.0544999999993</v>
          </cell>
          <cell r="CX10">
            <v>7054.7839999999997</v>
          </cell>
          <cell r="CY10">
            <v>6172.9359999999997</v>
          </cell>
          <cell r="CZ10">
            <v>6613.86</v>
          </cell>
          <cell r="DA10">
            <v>6172.9359999999997</v>
          </cell>
          <cell r="DB10">
            <v>5978.8008204193256</v>
          </cell>
          <cell r="DC10">
            <v>6075.8684102096631</v>
          </cell>
          <cell r="DD10">
            <v>5978.8008204193256</v>
          </cell>
          <cell r="DE10">
            <v>5978.8008204193256</v>
          </cell>
          <cell r="DF10">
            <v>5978.8008204193256</v>
          </cell>
          <cell r="DG10">
            <v>5978.8008204193256</v>
          </cell>
          <cell r="DH10">
            <v>5978.8008204193256</v>
          </cell>
          <cell r="DI10">
            <v>5978.8008204193256</v>
          </cell>
          <cell r="DJ10">
            <v>5978.8008204193256</v>
          </cell>
          <cell r="DK10">
            <v>5978.8008204193256</v>
          </cell>
          <cell r="DL10">
            <v>5978.8008204193256</v>
          </cell>
          <cell r="DM10">
            <v>5978.8008204193256</v>
          </cell>
          <cell r="DN10">
            <v>5978.8008204193256</v>
          </cell>
          <cell r="DO10">
            <v>5978.8008204193256</v>
          </cell>
          <cell r="DP10">
            <v>5978.8008204193256</v>
          </cell>
          <cell r="DQ10">
            <v>5978.8008204193256</v>
          </cell>
          <cell r="DR10">
            <v>5978.8008204193256</v>
          </cell>
          <cell r="DS10">
            <v>5978.8008204193256</v>
          </cell>
          <cell r="DT10">
            <v>5978.8008204193256</v>
          </cell>
          <cell r="DU10">
            <v>5978.8008204193256</v>
          </cell>
          <cell r="DV10">
            <v>5978.8008204193256</v>
          </cell>
          <cell r="DW10">
            <v>5978.8008204193256</v>
          </cell>
          <cell r="DX10">
            <v>5978.8008204193256</v>
          </cell>
          <cell r="DY10">
            <v>5978.8008204193256</v>
          </cell>
          <cell r="DZ10">
            <v>5978.8008204193256</v>
          </cell>
          <cell r="EA10">
            <v>5978.8008204193256</v>
          </cell>
          <cell r="EB10">
            <v>5978.8008204193256</v>
          </cell>
          <cell r="EC10">
            <v>5978.8008204193256</v>
          </cell>
          <cell r="ED10">
            <v>5978.8008204193256</v>
          </cell>
          <cell r="EE10">
            <v>5978.8008204193256</v>
          </cell>
          <cell r="EF10">
            <v>5978.8008204193256</v>
          </cell>
          <cell r="EG10">
            <v>5978.8008204193256</v>
          </cell>
          <cell r="EH10">
            <v>5978.8008204193256</v>
          </cell>
          <cell r="EI10">
            <v>5978.8008204193256</v>
          </cell>
          <cell r="EJ10">
            <v>5978.8008204193256</v>
          </cell>
          <cell r="EK10">
            <v>5978.8008204193256</v>
          </cell>
          <cell r="EL10">
            <v>5978.8008204193256</v>
          </cell>
          <cell r="EM10">
            <v>5978.8008204193256</v>
          </cell>
          <cell r="EN10">
            <v>5978.8008204193256</v>
          </cell>
          <cell r="EO10">
            <v>5978.8008204193256</v>
          </cell>
          <cell r="EP10">
            <v>5978.8008204193256</v>
          </cell>
          <cell r="EQ10">
            <v>5978.8008204193256</v>
          </cell>
          <cell r="ER10">
            <v>5978.8008204193256</v>
          </cell>
          <cell r="ES10">
            <v>5978.8008204193256</v>
          </cell>
          <cell r="ET10">
            <v>5978.8008204193256</v>
          </cell>
          <cell r="EU10">
            <v>5978.8008204193256</v>
          </cell>
          <cell r="EV10">
            <v>5978.8008204193256</v>
          </cell>
          <cell r="EW10">
            <v>5978.8008204193256</v>
          </cell>
          <cell r="EX10">
            <v>5978.8008204193256</v>
          </cell>
          <cell r="EY10">
            <v>5978.8008204193256</v>
          </cell>
          <cell r="EZ10">
            <v>5978.8008204193256</v>
          </cell>
          <cell r="FA10">
            <v>5978.8008204193256</v>
          </cell>
          <cell r="FB10">
            <v>5978.8008204193256</v>
          </cell>
          <cell r="FC10">
            <v>5978.8008204193256</v>
          </cell>
          <cell r="FD10">
            <v>5978.8008204193256</v>
          </cell>
          <cell r="FE10">
            <v>5978.8008204193256</v>
          </cell>
          <cell r="FF10">
            <v>5978.8008204193256</v>
          </cell>
          <cell r="FG10">
            <v>5978.8008204193256</v>
          </cell>
          <cell r="FH10">
            <v>5978.8008204193256</v>
          </cell>
          <cell r="FI10">
            <v>5978.8008204193256</v>
          </cell>
          <cell r="FJ10">
            <v>5978.8008204193256</v>
          </cell>
          <cell r="FK10">
            <v>5978.8008204193256</v>
          </cell>
          <cell r="FL10">
            <v>5978.8008204193256</v>
          </cell>
          <cell r="FM10">
            <v>5978.8008204193256</v>
          </cell>
          <cell r="FN10">
            <v>5978.8008204193256</v>
          </cell>
          <cell r="FO10">
            <v>5978.8008204193256</v>
          </cell>
          <cell r="FP10">
            <v>5978.8008204193256</v>
          </cell>
          <cell r="FQ10">
            <v>5978.8008204193256</v>
          </cell>
          <cell r="FR10">
            <v>5978.8008204193256</v>
          </cell>
          <cell r="FS10">
            <v>5978.8008204193256</v>
          </cell>
          <cell r="FT10">
            <v>5978.8008204193256</v>
          </cell>
          <cell r="FU10">
            <v>5978.8008204193256</v>
          </cell>
          <cell r="FV10">
            <v>5978.8008204193256</v>
          </cell>
          <cell r="FW10">
            <v>5978.8008204193256</v>
          </cell>
          <cell r="FX10">
            <v>5978.8008204193256</v>
          </cell>
          <cell r="FY10">
            <v>5978.8008204193256</v>
          </cell>
          <cell r="FZ10">
            <v>5978.8008204193256</v>
          </cell>
          <cell r="GA10">
            <v>5978.8008204193256</v>
          </cell>
          <cell r="GB10">
            <v>5978.8008204193256</v>
          </cell>
          <cell r="GC10">
            <v>5978.8008204193256</v>
          </cell>
          <cell r="GD10">
            <v>5978.8008204193256</v>
          </cell>
          <cell r="GE10">
            <v>5978.8008204193256</v>
          </cell>
          <cell r="GF10">
            <v>5978.8008204193256</v>
          </cell>
          <cell r="GG10">
            <v>5978.8008204193256</v>
          </cell>
          <cell r="GH10">
            <v>5978.8008204193256</v>
          </cell>
          <cell r="GI10">
            <v>5978.8008204193256</v>
          </cell>
          <cell r="GJ10">
            <v>5978.8008204193256</v>
          </cell>
          <cell r="GK10">
            <v>5978.8008204193256</v>
          </cell>
          <cell r="GL10">
            <v>5978.8008204193256</v>
          </cell>
          <cell r="GM10">
            <v>5978.8008204193256</v>
          </cell>
          <cell r="GN10">
            <v>5978.8008204193256</v>
          </cell>
          <cell r="GO10">
            <v>5978.8008204193256</v>
          </cell>
          <cell r="GP10">
            <v>5978.8008204193256</v>
          </cell>
          <cell r="GQ10">
            <v>5978.8008204193256</v>
          </cell>
          <cell r="GR10">
            <v>5978.8008204193256</v>
          </cell>
          <cell r="GS10">
            <v>5978.8008204193256</v>
          </cell>
          <cell r="GT10">
            <v>5978.8008204193256</v>
          </cell>
          <cell r="GU10">
            <v>5978.8008204193256</v>
          </cell>
          <cell r="GV10">
            <v>5978.8008204193256</v>
          </cell>
          <cell r="GW10">
            <v>5978.8008204193256</v>
          </cell>
          <cell r="GX10">
            <v>5978.8008204193256</v>
          </cell>
        </row>
        <row r="11">
          <cell r="A11" t="str">
            <v>Silver - Spot</v>
          </cell>
          <cell r="B11" t="str">
            <v>US$/oz</v>
          </cell>
          <cell r="D11">
            <v>0</v>
          </cell>
          <cell r="E11">
            <v>4.5112500000000004</v>
          </cell>
          <cell r="F11">
            <v>4.7249999999999996</v>
          </cell>
          <cell r="G11">
            <v>5.8128423076923097</v>
          </cell>
          <cell r="H11">
            <v>6.9730037878787883</v>
          </cell>
          <cell r="I11">
            <v>9.2734564967290751</v>
          </cell>
          <cell r="J11">
            <v>12.520695645863572</v>
          </cell>
          <cell r="K11">
            <v>15.421354428904429</v>
          </cell>
          <cell r="L11">
            <v>12.956012185592185</v>
          </cell>
          <cell r="M11">
            <v>16.886947182058847</v>
          </cell>
          <cell r="N11">
            <v>28.874974837356614</v>
          </cell>
          <cell r="O11">
            <v>45.872177589852015</v>
          </cell>
          <cell r="P11">
            <v>46.578914141414145</v>
          </cell>
          <cell r="Q11">
            <v>40.256038647342997</v>
          </cell>
          <cell r="R11">
            <v>34.103260869565219</v>
          </cell>
          <cell r="S11">
            <v>29.625</v>
          </cell>
          <cell r="T11">
            <v>24.312215132178672</v>
          </cell>
          <cell r="U11">
            <v>20.624430264357343</v>
          </cell>
          <cell r="V11">
            <v>20.624430264357343</v>
          </cell>
          <cell r="W11">
            <v>20.624430264357343</v>
          </cell>
          <cell r="X11">
            <v>20.624430264357343</v>
          </cell>
          <cell r="Y11">
            <v>20.624430264357343</v>
          </cell>
          <cell r="Z11">
            <v>20.624430264357343</v>
          </cell>
          <cell r="AA11">
            <v>20.624430264357343</v>
          </cell>
          <cell r="AB11">
            <v>20.624430264357343</v>
          </cell>
          <cell r="AC11">
            <v>20.624430264357343</v>
          </cell>
          <cell r="AD11">
            <v>20.624430264357343</v>
          </cell>
          <cell r="AE11">
            <v>20.624430264357343</v>
          </cell>
          <cell r="AF11">
            <v>20.624430264357343</v>
          </cell>
          <cell r="AG11">
            <v>20.624430264357343</v>
          </cell>
          <cell r="AH11">
            <v>20.624430264357343</v>
          </cell>
          <cell r="AI11">
            <v>20.624430264357343</v>
          </cell>
          <cell r="AJ11">
            <v>20.624430264357343</v>
          </cell>
          <cell r="AK11">
            <v>20.624430264357343</v>
          </cell>
          <cell r="AL11">
            <v>20.624430264357343</v>
          </cell>
          <cell r="AM11">
            <v>20.624430264357343</v>
          </cell>
          <cell r="AN11">
            <v>20.624430264357343</v>
          </cell>
          <cell r="AO11">
            <v>20.624430264357343</v>
          </cell>
          <cell r="AP11">
            <v>20.624430264357343</v>
          </cell>
          <cell r="AQ11">
            <v>20.624430264357343</v>
          </cell>
          <cell r="AR11">
            <v>20.624430264357343</v>
          </cell>
          <cell r="AS11">
            <v>20.624430264357343</v>
          </cell>
          <cell r="AT11">
            <v>20.624430264357343</v>
          </cell>
          <cell r="AU11">
            <v>20.624430264357343</v>
          </cell>
          <cell r="AV11">
            <v>20.624430264357343</v>
          </cell>
          <cell r="AW11">
            <v>20.624430264357343</v>
          </cell>
          <cell r="AX11">
            <v>20.624430264357343</v>
          </cell>
          <cell r="AY11">
            <v>20.624430264357343</v>
          </cell>
          <cell r="AZ11">
            <v>20.624430264357343</v>
          </cell>
          <cell r="BA11">
            <v>20.624430264357343</v>
          </cell>
          <cell r="BF11">
            <v>4.4850000000000003</v>
          </cell>
          <cell r="BH11">
            <v>4.4725000000000001</v>
          </cell>
          <cell r="BI11">
            <v>4.55</v>
          </cell>
          <cell r="BJ11">
            <v>4.5112500000000004</v>
          </cell>
          <cell r="BK11">
            <v>4.6050000000000004</v>
          </cell>
          <cell r="BL11">
            <v>4.8449999999999998</v>
          </cell>
          <cell r="BM11">
            <v>4.7249999999999996</v>
          </cell>
          <cell r="BN11">
            <v>5.1458153846153847</v>
          </cell>
          <cell r="BO11">
            <v>6.4798692307692347</v>
          </cell>
          <cell r="BP11">
            <v>5.8128423076923097</v>
          </cell>
          <cell r="BQ11">
            <v>6.8860075757575752</v>
          </cell>
          <cell r="BR11">
            <v>7.06</v>
          </cell>
          <cell r="BS11">
            <v>6.9730037878787883</v>
          </cell>
          <cell r="BT11">
            <v>7.5982678321678296</v>
          </cell>
          <cell r="BU11">
            <v>10.948645161290322</v>
          </cell>
          <cell r="BV11">
            <v>9.2734564967290751</v>
          </cell>
          <cell r="BW11">
            <v>12.166591291727144</v>
          </cell>
          <cell r="BX11">
            <v>12.874799999999999</v>
          </cell>
          <cell r="BY11">
            <v>12.520695645863572</v>
          </cell>
          <cell r="BZ11">
            <v>13.477708857808858</v>
          </cell>
          <cell r="CA11">
            <v>17.364999999999998</v>
          </cell>
          <cell r="CB11">
            <v>15.421354428904429</v>
          </cell>
          <cell r="CC11">
            <v>12.675000000000001</v>
          </cell>
          <cell r="CD11">
            <v>13.237024371184368</v>
          </cell>
          <cell r="CE11">
            <v>12.956012185592185</v>
          </cell>
          <cell r="CF11">
            <v>16.162933152173903</v>
          </cell>
          <cell r="CG11">
            <v>17.610961211943795</v>
          </cell>
          <cell r="CH11">
            <v>16.886947182058847</v>
          </cell>
          <cell r="CI11">
            <v>22.582260785824346</v>
          </cell>
          <cell r="CJ11">
            <v>35.167688888888883</v>
          </cell>
          <cell r="CK11">
            <v>28.874974837356614</v>
          </cell>
          <cell r="CL11">
            <v>41.34662790697675</v>
          </cell>
          <cell r="CM11">
            <v>50.397727272727273</v>
          </cell>
          <cell r="CN11">
            <v>45.872177589852015</v>
          </cell>
          <cell r="CO11">
            <v>49.602272727272727</v>
          </cell>
          <cell r="CP11">
            <v>43.555555555555557</v>
          </cell>
          <cell r="CQ11">
            <v>46.578914141414145</v>
          </cell>
          <cell r="CR11">
            <v>43.555555555555557</v>
          </cell>
          <cell r="CS11">
            <v>36.956521739130437</v>
          </cell>
          <cell r="CT11">
            <v>40.256038647342997</v>
          </cell>
          <cell r="CU11">
            <v>36.956521739130437</v>
          </cell>
          <cell r="CV11">
            <v>31.25</v>
          </cell>
          <cell r="CW11">
            <v>34.103260869565219</v>
          </cell>
          <cell r="CX11">
            <v>31.25</v>
          </cell>
          <cell r="CY11">
            <v>28</v>
          </cell>
          <cell r="CZ11">
            <v>29.625</v>
          </cell>
          <cell r="DA11">
            <v>28</v>
          </cell>
          <cell r="DB11">
            <v>20.624430264357343</v>
          </cell>
          <cell r="DC11">
            <v>24.312215132178672</v>
          </cell>
          <cell r="DD11">
            <v>20.624430264357343</v>
          </cell>
          <cell r="DE11">
            <v>20.624430264357343</v>
          </cell>
          <cell r="DF11">
            <v>20.624430264357343</v>
          </cell>
          <cell r="DG11">
            <v>20.624430264357343</v>
          </cell>
          <cell r="DH11">
            <v>20.624430264357343</v>
          </cell>
          <cell r="DI11">
            <v>20.624430264357343</v>
          </cell>
          <cell r="DJ11">
            <v>20.624430264357343</v>
          </cell>
          <cell r="DK11">
            <v>20.624430264357343</v>
          </cell>
          <cell r="DL11">
            <v>20.624430264357343</v>
          </cell>
          <cell r="DM11">
            <v>20.624430264357343</v>
          </cell>
          <cell r="DN11">
            <v>20.624430264357343</v>
          </cell>
          <cell r="DO11">
            <v>20.624430264357343</v>
          </cell>
          <cell r="DP11">
            <v>20.624430264357343</v>
          </cell>
          <cell r="DQ11">
            <v>20.624430264357343</v>
          </cell>
          <cell r="DR11">
            <v>20.624430264357343</v>
          </cell>
          <cell r="DS11">
            <v>20.624430264357343</v>
          </cell>
          <cell r="DT11">
            <v>20.624430264357343</v>
          </cell>
          <cell r="DU11">
            <v>20.624430264357343</v>
          </cell>
          <cell r="DV11">
            <v>20.624430264357343</v>
          </cell>
          <cell r="DW11">
            <v>20.624430264357343</v>
          </cell>
          <cell r="DX11">
            <v>20.624430264357343</v>
          </cell>
          <cell r="DY11">
            <v>20.624430264357343</v>
          </cell>
          <cell r="DZ11">
            <v>20.624430264357343</v>
          </cell>
          <cell r="EA11">
            <v>20.624430264357343</v>
          </cell>
          <cell r="EB11">
            <v>20.624430264357343</v>
          </cell>
          <cell r="EC11">
            <v>20.624430264357343</v>
          </cell>
          <cell r="ED11">
            <v>20.624430264357343</v>
          </cell>
          <cell r="EE11">
            <v>20.624430264357343</v>
          </cell>
          <cell r="EF11">
            <v>20.624430264357343</v>
          </cell>
          <cell r="EG11">
            <v>20.624430264357343</v>
          </cell>
          <cell r="EH11">
            <v>20.624430264357343</v>
          </cell>
          <cell r="EI11">
            <v>20.624430264357343</v>
          </cell>
          <cell r="EJ11">
            <v>20.624430264357343</v>
          </cell>
          <cell r="EK11">
            <v>20.624430264357343</v>
          </cell>
          <cell r="EL11">
            <v>20.624430264357343</v>
          </cell>
          <cell r="EM11">
            <v>20.624430264357343</v>
          </cell>
          <cell r="EN11">
            <v>20.624430264357343</v>
          </cell>
          <cell r="EO11">
            <v>20.624430264357343</v>
          </cell>
          <cell r="EP11">
            <v>20.624430264357343</v>
          </cell>
          <cell r="EQ11">
            <v>20.624430264357343</v>
          </cell>
          <cell r="ER11">
            <v>20.624430264357343</v>
          </cell>
          <cell r="ES11">
            <v>20.624430264357343</v>
          </cell>
          <cell r="ET11">
            <v>20.624430264357343</v>
          </cell>
          <cell r="EU11">
            <v>20.624430264357343</v>
          </cell>
          <cell r="EV11">
            <v>20.624430264357343</v>
          </cell>
          <cell r="EW11">
            <v>20.624430264357343</v>
          </cell>
          <cell r="EX11">
            <v>20.624430264357343</v>
          </cell>
          <cell r="EY11">
            <v>20.624430264357343</v>
          </cell>
          <cell r="EZ11">
            <v>20.624430264357343</v>
          </cell>
          <cell r="FA11">
            <v>20.624430264357343</v>
          </cell>
          <cell r="FB11">
            <v>20.624430264357343</v>
          </cell>
          <cell r="FC11">
            <v>20.624430264357343</v>
          </cell>
          <cell r="FD11">
            <v>20.624430264357343</v>
          </cell>
          <cell r="FE11">
            <v>20.624430264357343</v>
          </cell>
          <cell r="FF11">
            <v>20.624430264357343</v>
          </cell>
          <cell r="FG11">
            <v>20.624430264357343</v>
          </cell>
          <cell r="FH11">
            <v>20.624430264357343</v>
          </cell>
          <cell r="FI11">
            <v>20.624430264357343</v>
          </cell>
          <cell r="FJ11">
            <v>20.624430264357343</v>
          </cell>
          <cell r="FK11">
            <v>20.624430264357343</v>
          </cell>
          <cell r="FL11">
            <v>20.624430264357343</v>
          </cell>
          <cell r="FM11">
            <v>20.624430264357343</v>
          </cell>
          <cell r="FN11">
            <v>20.624430264357343</v>
          </cell>
          <cell r="FO11">
            <v>20.624430264357343</v>
          </cell>
          <cell r="FP11">
            <v>20.624430264357343</v>
          </cell>
          <cell r="FQ11">
            <v>20.624430264357343</v>
          </cell>
          <cell r="FR11">
            <v>20.624430264357343</v>
          </cell>
          <cell r="FS11">
            <v>20.624430264357343</v>
          </cell>
          <cell r="FT11">
            <v>20.624430264357343</v>
          </cell>
          <cell r="FU11">
            <v>20.624430264357343</v>
          </cell>
          <cell r="FV11">
            <v>20.624430264357343</v>
          </cell>
          <cell r="FW11">
            <v>20.624430264357343</v>
          </cell>
          <cell r="FX11">
            <v>20.624430264357343</v>
          </cell>
          <cell r="FY11">
            <v>20.624430264357343</v>
          </cell>
          <cell r="FZ11">
            <v>20.624430264357343</v>
          </cell>
          <cell r="GA11">
            <v>20.624430264357343</v>
          </cell>
          <cell r="GB11">
            <v>20.624430264357343</v>
          </cell>
          <cell r="GC11">
            <v>20.624430264357343</v>
          </cell>
          <cell r="GD11">
            <v>20.624430264357343</v>
          </cell>
          <cell r="GE11">
            <v>20.624430264357343</v>
          </cell>
          <cell r="GF11">
            <v>20.624430264357343</v>
          </cell>
          <cell r="GG11">
            <v>20.624430264357343</v>
          </cell>
          <cell r="GH11">
            <v>20.624430264357343</v>
          </cell>
          <cell r="GI11">
            <v>20.624430264357343</v>
          </cell>
          <cell r="GJ11">
            <v>20.624430264357343</v>
          </cell>
          <cell r="GK11">
            <v>20.624430264357343</v>
          </cell>
          <cell r="GL11">
            <v>20.624430264357343</v>
          </cell>
          <cell r="GM11">
            <v>20.624430264357343</v>
          </cell>
          <cell r="GN11">
            <v>20.624430264357343</v>
          </cell>
          <cell r="GO11">
            <v>20.624430264357343</v>
          </cell>
          <cell r="GP11">
            <v>20.624430264357343</v>
          </cell>
          <cell r="GQ11">
            <v>20.624430264357343</v>
          </cell>
          <cell r="GR11">
            <v>20.624430264357343</v>
          </cell>
          <cell r="GS11">
            <v>20.624430264357343</v>
          </cell>
          <cell r="GT11">
            <v>20.624430264357343</v>
          </cell>
          <cell r="GU11">
            <v>20.624430264357343</v>
          </cell>
          <cell r="GV11">
            <v>20.624430264357343</v>
          </cell>
          <cell r="GW11">
            <v>20.624430264357343</v>
          </cell>
          <cell r="GX11">
            <v>20.624430264357343</v>
          </cell>
        </row>
        <row r="13">
          <cell r="A13" t="str">
            <v>$A/$US Spot</v>
          </cell>
          <cell r="B13" t="str">
            <v>A$/US$</v>
          </cell>
          <cell r="D13">
            <v>0</v>
          </cell>
          <cell r="E13">
            <v>0.52353249999999996</v>
          </cell>
          <cell r="F13">
            <v>0.58460250000000002</v>
          </cell>
          <cell r="G13">
            <v>0.71380196514423067</v>
          </cell>
          <cell r="H13">
            <v>0.75382273031940616</v>
          </cell>
          <cell r="I13">
            <v>0.7478513006980545</v>
          </cell>
          <cell r="J13">
            <v>0.78563611888111895</v>
          </cell>
          <cell r="K13">
            <v>0.89725807692307691</v>
          </cell>
          <cell r="L13">
            <v>0.73956132812499997</v>
          </cell>
          <cell r="M13">
            <v>0.88272499999999998</v>
          </cell>
          <cell r="N13">
            <v>0.98307038461538465</v>
          </cell>
          <cell r="O13">
            <v>1.036959556816754</v>
          </cell>
          <cell r="P13">
            <v>1.0646083595489366</v>
          </cell>
          <cell r="Q13">
            <v>1.0169812676489334</v>
          </cell>
          <cell r="R13">
            <v>0.90941599824874531</v>
          </cell>
          <cell r="S13">
            <v>0.84605740102282767</v>
          </cell>
          <cell r="T13">
            <v>0.90730399677394802</v>
          </cell>
          <cell r="U13">
            <v>0.96855059252506848</v>
          </cell>
          <cell r="V13">
            <v>0.96855059252506848</v>
          </cell>
          <cell r="W13">
            <v>0.96855059252506848</v>
          </cell>
          <cell r="X13">
            <v>0.96855059252506848</v>
          </cell>
          <cell r="Y13">
            <v>0.96855059252506848</v>
          </cell>
          <cell r="Z13">
            <v>0.96855059252506848</v>
          </cell>
          <cell r="AA13">
            <v>0.96855059252506848</v>
          </cell>
          <cell r="AB13">
            <v>0.96855059252506848</v>
          </cell>
          <cell r="AC13">
            <v>0.96855059252506848</v>
          </cell>
          <cell r="AD13">
            <v>0.96855059252506848</v>
          </cell>
          <cell r="AE13">
            <v>0.96855059252506848</v>
          </cell>
          <cell r="AF13">
            <v>0.96855059252506848</v>
          </cell>
          <cell r="AG13">
            <v>0.96855059252506848</v>
          </cell>
          <cell r="AH13">
            <v>0.96855059252506848</v>
          </cell>
          <cell r="AI13">
            <v>0.96855059252506848</v>
          </cell>
          <cell r="AJ13">
            <v>0.96855059252506848</v>
          </cell>
          <cell r="AK13">
            <v>0.96855059252506848</v>
          </cell>
          <cell r="AL13">
            <v>0.96855059252506848</v>
          </cell>
          <cell r="AM13">
            <v>0.96855059252506848</v>
          </cell>
          <cell r="AN13">
            <v>0.96855059252506848</v>
          </cell>
          <cell r="AO13">
            <v>0.96855059252506848</v>
          </cell>
          <cell r="AP13">
            <v>0.96855059252506848</v>
          </cell>
          <cell r="AQ13">
            <v>0.96855059252506848</v>
          </cell>
          <cell r="AR13">
            <v>0.96855059252506848</v>
          </cell>
          <cell r="AS13">
            <v>0.96855059252506848</v>
          </cell>
          <cell r="AT13">
            <v>0.96855059252506848</v>
          </cell>
          <cell r="AU13">
            <v>0.96855059252506848</v>
          </cell>
          <cell r="AV13">
            <v>0.96855059252506848</v>
          </cell>
          <cell r="AW13">
            <v>0.96855059252506848</v>
          </cell>
          <cell r="AX13">
            <v>0.96855059252506848</v>
          </cell>
          <cell r="AY13">
            <v>0.96855059252506848</v>
          </cell>
          <cell r="AZ13">
            <v>0.96855059252506848</v>
          </cell>
          <cell r="BA13">
            <v>0.96855059252506848</v>
          </cell>
          <cell r="BF13">
            <v>0.52235500000000012</v>
          </cell>
          <cell r="BH13">
            <v>0.51254</v>
          </cell>
          <cell r="BI13">
            <v>0.53452500000000003</v>
          </cell>
          <cell r="BJ13">
            <v>0.52353249999999996</v>
          </cell>
          <cell r="BK13">
            <v>0.55264000000000002</v>
          </cell>
          <cell r="BL13">
            <v>0.61656500000000003</v>
          </cell>
          <cell r="BM13">
            <v>0.58460250000000002</v>
          </cell>
          <cell r="BN13">
            <v>0.68764384615384611</v>
          </cell>
          <cell r="BO13">
            <v>0.73996008413461523</v>
          </cell>
          <cell r="BP13">
            <v>0.71380196514423067</v>
          </cell>
          <cell r="BQ13">
            <v>0.73493333333333322</v>
          </cell>
          <cell r="BR13">
            <v>0.77271212730547911</v>
          </cell>
          <cell r="BS13">
            <v>0.75382273031940616</v>
          </cell>
          <cell r="BT13">
            <v>0.75188600233100233</v>
          </cell>
          <cell r="BU13">
            <v>0.74381659906510667</v>
          </cell>
          <cell r="BV13">
            <v>0.7478513006980545</v>
          </cell>
          <cell r="BW13">
            <v>0.7626214685314685</v>
          </cell>
          <cell r="BX13">
            <v>0.8086507692307694</v>
          </cell>
          <cell r="BY13">
            <v>0.78563611888111895</v>
          </cell>
          <cell r="BZ13">
            <v>0.86901615384615383</v>
          </cell>
          <cell r="CA13">
            <v>0.92549999999999999</v>
          </cell>
          <cell r="CB13">
            <v>0.89725807692307691</v>
          </cell>
          <cell r="CC13">
            <v>0.77</v>
          </cell>
          <cell r="CD13">
            <v>0.70912265625000004</v>
          </cell>
          <cell r="CE13">
            <v>0.73956132812499997</v>
          </cell>
          <cell r="CF13">
            <v>0.87</v>
          </cell>
          <cell r="CG13">
            <v>0.89545000000000008</v>
          </cell>
          <cell r="CH13">
            <v>0.88272499999999998</v>
          </cell>
          <cell r="CI13">
            <v>0.93484999999999996</v>
          </cell>
          <cell r="CJ13">
            <v>1.0312907692307693</v>
          </cell>
          <cell r="CK13">
            <v>0.98307038461538465</v>
          </cell>
          <cell r="CL13">
            <v>1.0522203320984089</v>
          </cell>
          <cell r="CM13">
            <v>1.0216987815350991</v>
          </cell>
          <cell r="CN13">
            <v>1.036959556816754</v>
          </cell>
          <cell r="CO13">
            <v>1.0803423817490325</v>
          </cell>
          <cell r="CP13">
            <v>1.0488743373488409</v>
          </cell>
          <cell r="CQ13">
            <v>1.0646083595489366</v>
          </cell>
          <cell r="CR13">
            <v>1.0488743373488409</v>
          </cell>
          <cell r="CS13">
            <v>0.98508819794902591</v>
          </cell>
          <cell r="CT13">
            <v>1.0169812676489334</v>
          </cell>
          <cell r="CU13">
            <v>0.97277459547466305</v>
          </cell>
          <cell r="CV13">
            <v>0.84605740102282767</v>
          </cell>
          <cell r="CW13">
            <v>0.90941599824874531</v>
          </cell>
          <cell r="CX13">
            <v>0.84605740102282767</v>
          </cell>
          <cell r="CY13">
            <v>0.84605740102282767</v>
          </cell>
          <cell r="CZ13">
            <v>0.84605740102282767</v>
          </cell>
          <cell r="DA13">
            <v>0.84605740102282767</v>
          </cell>
          <cell r="DB13">
            <v>0.96855059252506848</v>
          </cell>
          <cell r="DC13">
            <v>0.90730399677394802</v>
          </cell>
          <cell r="DD13">
            <v>0.96855059252506848</v>
          </cell>
          <cell r="DE13">
            <v>0.96855059252506848</v>
          </cell>
          <cell r="DF13">
            <v>0.96855059252506848</v>
          </cell>
          <cell r="DG13">
            <v>0.96855059252506848</v>
          </cell>
          <cell r="DH13">
            <v>0.96855059252506848</v>
          </cell>
          <cell r="DI13">
            <v>0.96855059252506848</v>
          </cell>
          <cell r="DJ13">
            <v>0.96855059252506848</v>
          </cell>
          <cell r="DK13">
            <v>0.96855059252506848</v>
          </cell>
          <cell r="DL13">
            <v>0.96855059252506848</v>
          </cell>
          <cell r="DM13">
            <v>0.96855059252506848</v>
          </cell>
          <cell r="DN13">
            <v>0.96855059252506848</v>
          </cell>
          <cell r="DO13">
            <v>0.96855059252506848</v>
          </cell>
          <cell r="DP13">
            <v>0.96855059252506848</v>
          </cell>
          <cell r="DQ13">
            <v>0.96855059252506848</v>
          </cell>
          <cell r="DR13">
            <v>0.96855059252506848</v>
          </cell>
          <cell r="DS13">
            <v>0.96855059252506848</v>
          </cell>
          <cell r="DT13">
            <v>0.96855059252506848</v>
          </cell>
          <cell r="DU13">
            <v>0.96855059252506848</v>
          </cell>
          <cell r="DV13">
            <v>0.96855059252506848</v>
          </cell>
          <cell r="DW13">
            <v>0.96855059252506848</v>
          </cell>
          <cell r="DX13">
            <v>0.96855059252506848</v>
          </cell>
          <cell r="DY13">
            <v>0.96855059252506848</v>
          </cell>
          <cell r="DZ13">
            <v>0.96855059252506848</v>
          </cell>
          <cell r="EA13">
            <v>0.96855059252506848</v>
          </cell>
          <cell r="EB13">
            <v>0.96855059252506848</v>
          </cell>
          <cell r="EC13">
            <v>0.96855059252506848</v>
          </cell>
          <cell r="ED13">
            <v>0.96855059252506848</v>
          </cell>
          <cell r="EE13">
            <v>0.96855059252506848</v>
          </cell>
          <cell r="EF13">
            <v>0.96855059252506848</v>
          </cell>
          <cell r="EG13">
            <v>0.96855059252506848</v>
          </cell>
          <cell r="EH13">
            <v>0.96855059252506848</v>
          </cell>
          <cell r="EI13">
            <v>0.96855059252506848</v>
          </cell>
          <cell r="EJ13">
            <v>0.96855059252506848</v>
          </cell>
          <cell r="EK13">
            <v>0.96855059252506848</v>
          </cell>
          <cell r="EL13">
            <v>0.96855059252506848</v>
          </cell>
          <cell r="EM13">
            <v>0.96855059252506848</v>
          </cell>
          <cell r="EN13">
            <v>0.96855059252506848</v>
          </cell>
          <cell r="EO13">
            <v>0.96855059252506848</v>
          </cell>
          <cell r="EP13">
            <v>0.96855059252506848</v>
          </cell>
          <cell r="EQ13">
            <v>0.96855059252506848</v>
          </cell>
          <cell r="ER13">
            <v>0.96855059252506848</v>
          </cell>
          <cell r="ES13">
            <v>0.96855059252506848</v>
          </cell>
          <cell r="ET13">
            <v>0.96855059252506848</v>
          </cell>
          <cell r="EU13">
            <v>0.96855059252506848</v>
          </cell>
          <cell r="EV13">
            <v>0.96855059252506848</v>
          </cell>
          <cell r="EW13">
            <v>0.96855059252506848</v>
          </cell>
          <cell r="EX13">
            <v>0.96855059252506848</v>
          </cell>
          <cell r="EY13">
            <v>0.96855059252506848</v>
          </cell>
          <cell r="EZ13">
            <v>0.96855059252506848</v>
          </cell>
          <cell r="FA13">
            <v>0.96855059252506848</v>
          </cell>
          <cell r="FB13">
            <v>0.96855059252506848</v>
          </cell>
          <cell r="FC13">
            <v>0.96855059252506848</v>
          </cell>
          <cell r="FD13">
            <v>0.96855059252506848</v>
          </cell>
          <cell r="FE13">
            <v>0.96855059252506848</v>
          </cell>
          <cell r="FF13">
            <v>0.96855059252506848</v>
          </cell>
          <cell r="FG13">
            <v>0.96855059252506848</v>
          </cell>
          <cell r="FH13">
            <v>0.96855059252506848</v>
          </cell>
          <cell r="FI13">
            <v>0.96855059252506848</v>
          </cell>
          <cell r="FJ13">
            <v>0.96855059252506848</v>
          </cell>
          <cell r="FK13">
            <v>0.96855059252506848</v>
          </cell>
          <cell r="FL13">
            <v>0.96855059252506848</v>
          </cell>
          <cell r="FM13">
            <v>0.96855059252506848</v>
          </cell>
          <cell r="FN13">
            <v>0.96855059252506848</v>
          </cell>
          <cell r="FO13">
            <v>0.96855059252506848</v>
          </cell>
          <cell r="FP13">
            <v>0.96855059252506848</v>
          </cell>
          <cell r="FQ13">
            <v>0.96855059252506848</v>
          </cell>
          <cell r="FR13">
            <v>0.96855059252506848</v>
          </cell>
          <cell r="FS13">
            <v>0.96855059252506848</v>
          </cell>
          <cell r="FT13">
            <v>0.96855059252506848</v>
          </cell>
          <cell r="FU13">
            <v>0.96855059252506848</v>
          </cell>
          <cell r="FV13">
            <v>0.96855059252506848</v>
          </cell>
          <cell r="FW13">
            <v>0.96855059252506848</v>
          </cell>
          <cell r="FX13">
            <v>0.96855059252506848</v>
          </cell>
          <cell r="FY13">
            <v>0.96855059252506848</v>
          </cell>
          <cell r="FZ13">
            <v>0.96855059252506848</v>
          </cell>
          <cell r="GA13">
            <v>0.96855059252506848</v>
          </cell>
          <cell r="GB13">
            <v>0.96855059252506848</v>
          </cell>
          <cell r="GC13">
            <v>0.96855059252506848</v>
          </cell>
          <cell r="GD13">
            <v>0.96855059252506848</v>
          </cell>
          <cell r="GE13">
            <v>0.96855059252506848</v>
          </cell>
          <cell r="GF13">
            <v>0.96855059252506848</v>
          </cell>
          <cell r="GG13">
            <v>0.96855059252506848</v>
          </cell>
          <cell r="GH13">
            <v>0.96855059252506848</v>
          </cell>
          <cell r="GI13">
            <v>0.96855059252506848</v>
          </cell>
          <cell r="GJ13">
            <v>0.96855059252506848</v>
          </cell>
          <cell r="GK13">
            <v>0.96855059252506848</v>
          </cell>
          <cell r="GL13">
            <v>0.96855059252506848</v>
          </cell>
          <cell r="GM13">
            <v>0.96855059252506848</v>
          </cell>
          <cell r="GN13">
            <v>0.96855059252506848</v>
          </cell>
          <cell r="GO13">
            <v>0.96855059252506848</v>
          </cell>
          <cell r="GP13">
            <v>0.96855059252506848</v>
          </cell>
          <cell r="GQ13">
            <v>0.96855059252506848</v>
          </cell>
          <cell r="GR13">
            <v>0.96855059252506848</v>
          </cell>
          <cell r="GS13">
            <v>0.96855059252506848</v>
          </cell>
          <cell r="GT13">
            <v>0.96855059252506848</v>
          </cell>
          <cell r="GU13">
            <v>0.96855059252506848</v>
          </cell>
          <cell r="GV13">
            <v>0.96855059252506848</v>
          </cell>
          <cell r="GW13">
            <v>0.96855059252506848</v>
          </cell>
          <cell r="GX13">
            <v>0.96855059252506848</v>
          </cell>
        </row>
        <row r="15">
          <cell r="A15" t="str">
            <v>Close Out Gold Price - 2nd Phase</v>
          </cell>
          <cell r="B15" t="str">
            <v>A$/oz</v>
          </cell>
          <cell r="CC15">
            <v>834</v>
          </cell>
          <cell r="CD15">
            <v>834</v>
          </cell>
          <cell r="CF15">
            <v>834</v>
          </cell>
          <cell r="CG15">
            <v>834</v>
          </cell>
          <cell r="CI15">
            <v>834</v>
          </cell>
          <cell r="CJ15">
            <v>834</v>
          </cell>
          <cell r="CL15">
            <v>834</v>
          </cell>
          <cell r="CM15">
            <v>834</v>
          </cell>
          <cell r="CO15">
            <v>834</v>
          </cell>
          <cell r="CP15">
            <v>834</v>
          </cell>
        </row>
        <row r="16">
          <cell r="A16" t="str">
            <v>Close Out Gold Price</v>
          </cell>
          <cell r="B16" t="str">
            <v>A$/oz</v>
          </cell>
          <cell r="BZ16">
            <v>831</v>
          </cell>
          <cell r="CA16">
            <v>831</v>
          </cell>
          <cell r="CC16">
            <v>831</v>
          </cell>
          <cell r="CD16">
            <v>831</v>
          </cell>
          <cell r="CF16">
            <v>831</v>
          </cell>
          <cell r="CG16">
            <v>831</v>
          </cell>
          <cell r="CI16">
            <v>831</v>
          </cell>
          <cell r="CJ16">
            <v>831</v>
          </cell>
          <cell r="CL16">
            <v>831</v>
          </cell>
          <cell r="CM16">
            <v>831</v>
          </cell>
          <cell r="CO16">
            <v>831</v>
          </cell>
          <cell r="CP16">
            <v>831</v>
          </cell>
        </row>
        <row r="17">
          <cell r="A17" t="str">
            <v>Gold - spot</v>
          </cell>
          <cell r="B17" t="str">
            <v>A$/oz</v>
          </cell>
          <cell r="D17">
            <v>0</v>
          </cell>
          <cell r="E17">
            <v>551.16108136769685</v>
          </cell>
          <cell r="F17">
            <v>572.8259402815786</v>
          </cell>
          <cell r="G17">
            <v>546.77793805456554</v>
          </cell>
          <cell r="H17">
            <v>561</v>
          </cell>
          <cell r="I17">
            <v>708</v>
          </cell>
          <cell r="J17">
            <v>814.27230387333861</v>
          </cell>
          <cell r="K17">
            <v>916.0590543108375</v>
          </cell>
          <cell r="L17">
            <v>1188.1259042252518</v>
          </cell>
          <cell r="M17">
            <v>1231.0654137572794</v>
          </cell>
          <cell r="N17">
            <v>1382.7936304509237</v>
          </cell>
          <cell r="O17">
            <v>1929.3697326458462</v>
          </cell>
          <cell r="P17">
            <v>1944.4314419509928</v>
          </cell>
          <cell r="Q17">
            <v>1797.2018966142757</v>
          </cell>
          <cell r="R17">
            <v>1760.2539423909957</v>
          </cell>
          <cell r="S17">
            <v>1713.8317072187365</v>
          </cell>
          <cell r="T17">
            <v>1359.7199722475848</v>
          </cell>
          <cell r="U17">
            <v>1064.705882352941</v>
          </cell>
          <cell r="V17">
            <v>1064.705882352941</v>
          </cell>
          <cell r="W17">
            <v>1064.705882352941</v>
          </cell>
          <cell r="X17">
            <v>1064.705882352941</v>
          </cell>
          <cell r="Y17">
            <v>1064.705882352941</v>
          </cell>
          <cell r="Z17">
            <v>1064.705882352941</v>
          </cell>
          <cell r="AA17">
            <v>1064.705882352941</v>
          </cell>
          <cell r="AB17">
            <v>1064.705882352941</v>
          </cell>
          <cell r="AC17">
            <v>1064.705882352941</v>
          </cell>
          <cell r="AD17">
            <v>1064.705882352941</v>
          </cell>
          <cell r="AE17">
            <v>1064.705882352941</v>
          </cell>
          <cell r="AF17">
            <v>1064.705882352941</v>
          </cell>
          <cell r="AG17">
            <v>1064.705882352941</v>
          </cell>
          <cell r="AH17">
            <v>1064.705882352941</v>
          </cell>
          <cell r="AI17">
            <v>1064.705882352941</v>
          </cell>
          <cell r="AJ17">
            <v>1064.705882352941</v>
          </cell>
          <cell r="AK17">
            <v>1064.705882352941</v>
          </cell>
          <cell r="AL17">
            <v>1064.705882352941</v>
          </cell>
          <cell r="AM17">
            <v>1064.705882352941</v>
          </cell>
          <cell r="AN17">
            <v>1064.705882352941</v>
          </cell>
          <cell r="AO17">
            <v>1064.705882352941</v>
          </cell>
          <cell r="AP17">
            <v>1064.705882352941</v>
          </cell>
          <cell r="AQ17">
            <v>1064.705882352941</v>
          </cell>
          <cell r="AR17">
            <v>1064.705882352941</v>
          </cell>
          <cell r="AS17">
            <v>1064.705882352941</v>
          </cell>
          <cell r="AT17">
            <v>1064.705882352941</v>
          </cell>
          <cell r="AU17">
            <v>1064.705882352941</v>
          </cell>
          <cell r="AV17">
            <v>1064.705882352941</v>
          </cell>
          <cell r="AW17">
            <v>1064.705882352941</v>
          </cell>
          <cell r="AX17">
            <v>1064.705882352941</v>
          </cell>
          <cell r="AY17">
            <v>1064.705882352941</v>
          </cell>
          <cell r="AZ17">
            <v>1064.705882352941</v>
          </cell>
          <cell r="BA17">
            <v>1064.705882352941</v>
          </cell>
          <cell r="BF17">
            <v>509.65045139505037</v>
          </cell>
          <cell r="BH17">
            <v>538.77724686832278</v>
          </cell>
          <cell r="BI17">
            <v>563.54491586707093</v>
          </cell>
          <cell r="BJ17">
            <v>551.16108136769685</v>
          </cell>
          <cell r="BK17">
            <v>578.06246301469241</v>
          </cell>
          <cell r="BL17">
            <v>567.58941754846489</v>
          </cell>
          <cell r="BM17">
            <v>572.8259402815786</v>
          </cell>
          <cell r="BN17">
            <v>550.91745838912584</v>
          </cell>
          <cell r="BO17">
            <v>542.63841772000524</v>
          </cell>
          <cell r="BP17">
            <v>546.77793805456554</v>
          </cell>
          <cell r="BQ17">
            <v>569.74893303358476</v>
          </cell>
          <cell r="BR17">
            <v>553.49978974888973</v>
          </cell>
          <cell r="BS17">
            <v>561</v>
          </cell>
          <cell r="BT17">
            <v>615.54610481530517</v>
          </cell>
          <cell r="BU17">
            <v>793.89106882114913</v>
          </cell>
          <cell r="BV17">
            <v>708</v>
          </cell>
          <cell r="BW17">
            <v>813.60690524887946</v>
          </cell>
          <cell r="BX17">
            <v>814.93770249779766</v>
          </cell>
          <cell r="BY17">
            <v>814.27230387333861</v>
          </cell>
          <cell r="BZ17">
            <v>848.32556405117259</v>
          </cell>
          <cell r="CA17">
            <v>983.7925445705024</v>
          </cell>
          <cell r="CB17">
            <v>916.0590543108375</v>
          </cell>
          <cell r="CC17">
            <v>1082.922077922078</v>
          </cell>
          <cell r="CD17">
            <v>1293.3297305284259</v>
          </cell>
          <cell r="CE17">
            <v>1188.1259042252518</v>
          </cell>
          <cell r="CF17">
            <v>1184.1958987611461</v>
          </cell>
          <cell r="CG17">
            <v>1277.9349287534128</v>
          </cell>
          <cell r="CH17">
            <v>1231.0654137572794</v>
          </cell>
          <cell r="CI17">
            <v>1361.7995493206165</v>
          </cell>
          <cell r="CJ17">
            <v>1403.787711581231</v>
          </cell>
          <cell r="CK17">
            <v>1382.7936304509237</v>
          </cell>
          <cell r="CL17">
            <v>1688.3346061724387</v>
          </cell>
          <cell r="CM17">
            <v>2170.4048591192536</v>
          </cell>
          <cell r="CN17">
            <v>1929.3697326458462</v>
          </cell>
          <cell r="CO17">
            <v>2020.192891504096</v>
          </cell>
          <cell r="CP17">
            <v>1868.6699923978895</v>
          </cell>
          <cell r="CQ17">
            <v>1944.4314419509928</v>
          </cell>
          <cell r="CR17">
            <v>1868.6699923978895</v>
          </cell>
          <cell r="CS17">
            <v>1725.7338008306619</v>
          </cell>
          <cell r="CT17">
            <v>1797.2018966142757</v>
          </cell>
          <cell r="CU17">
            <v>1747.5785324867463</v>
          </cell>
          <cell r="CV17">
            <v>1772.9293522952448</v>
          </cell>
          <cell r="CW17">
            <v>1760.2539423909957</v>
          </cell>
          <cell r="CX17">
            <v>1772.9293522952448</v>
          </cell>
          <cell r="CY17">
            <v>1654.7340621422284</v>
          </cell>
          <cell r="CZ17">
            <v>1713.8317072187365</v>
          </cell>
          <cell r="DA17">
            <v>1654.7340621422284</v>
          </cell>
          <cell r="DB17">
            <v>1064.705882352941</v>
          </cell>
          <cell r="DC17">
            <v>1359.7199722475848</v>
          </cell>
          <cell r="DD17">
            <v>1064.705882352941</v>
          </cell>
          <cell r="DE17">
            <v>1064.705882352941</v>
          </cell>
          <cell r="DF17">
            <v>1064.705882352941</v>
          </cell>
          <cell r="DG17">
            <v>1064.705882352941</v>
          </cell>
          <cell r="DH17">
            <v>1064.705882352941</v>
          </cell>
          <cell r="DI17">
            <v>1064.705882352941</v>
          </cell>
          <cell r="DJ17">
            <v>1064.705882352941</v>
          </cell>
          <cell r="DK17">
            <v>1064.705882352941</v>
          </cell>
          <cell r="DL17">
            <v>1064.705882352941</v>
          </cell>
          <cell r="DM17">
            <v>1064.705882352941</v>
          </cell>
          <cell r="DN17">
            <v>1064.705882352941</v>
          </cell>
          <cell r="DO17">
            <v>1064.705882352941</v>
          </cell>
          <cell r="DP17">
            <v>1064.705882352941</v>
          </cell>
          <cell r="DQ17">
            <v>1064.705882352941</v>
          </cell>
          <cell r="DR17">
            <v>1064.705882352941</v>
          </cell>
          <cell r="DS17">
            <v>1064.705882352941</v>
          </cell>
          <cell r="DT17">
            <v>1064.705882352941</v>
          </cell>
          <cell r="DU17">
            <v>1064.705882352941</v>
          </cell>
          <cell r="DV17">
            <v>1064.705882352941</v>
          </cell>
          <cell r="DW17">
            <v>1064.705882352941</v>
          </cell>
          <cell r="DX17">
            <v>1064.705882352941</v>
          </cell>
          <cell r="DY17">
            <v>1064.705882352941</v>
          </cell>
          <cell r="DZ17">
            <v>1064.705882352941</v>
          </cell>
          <cell r="EA17">
            <v>1064.705882352941</v>
          </cell>
          <cell r="EB17">
            <v>1064.705882352941</v>
          </cell>
          <cell r="EC17">
            <v>1064.705882352941</v>
          </cell>
          <cell r="ED17">
            <v>1064.705882352941</v>
          </cell>
          <cell r="EE17">
            <v>1064.705882352941</v>
          </cell>
          <cell r="EF17">
            <v>1064.705882352941</v>
          </cell>
          <cell r="EG17">
            <v>1064.705882352941</v>
          </cell>
          <cell r="EH17">
            <v>1064.705882352941</v>
          </cell>
          <cell r="EI17">
            <v>1064.705882352941</v>
          </cell>
          <cell r="EJ17">
            <v>1064.705882352941</v>
          </cell>
          <cell r="EK17">
            <v>1064.705882352941</v>
          </cell>
          <cell r="EL17">
            <v>1064.705882352941</v>
          </cell>
          <cell r="EM17">
            <v>1064.705882352941</v>
          </cell>
          <cell r="EN17">
            <v>1064.705882352941</v>
          </cell>
          <cell r="EO17">
            <v>1064.705882352941</v>
          </cell>
          <cell r="EP17">
            <v>1064.705882352941</v>
          </cell>
          <cell r="EQ17">
            <v>1064.705882352941</v>
          </cell>
          <cell r="ER17">
            <v>1064.705882352941</v>
          </cell>
          <cell r="ES17">
            <v>1064.705882352941</v>
          </cell>
          <cell r="ET17">
            <v>1064.705882352941</v>
          </cell>
          <cell r="EU17">
            <v>1064.705882352941</v>
          </cell>
          <cell r="EV17">
            <v>1064.705882352941</v>
          </cell>
          <cell r="EW17">
            <v>1064.705882352941</v>
          </cell>
          <cell r="EX17">
            <v>1064.705882352941</v>
          </cell>
          <cell r="EY17">
            <v>1064.705882352941</v>
          </cell>
          <cell r="EZ17">
            <v>1064.705882352941</v>
          </cell>
          <cell r="FA17">
            <v>1064.705882352941</v>
          </cell>
          <cell r="FB17">
            <v>1064.705882352941</v>
          </cell>
          <cell r="FC17">
            <v>1064.705882352941</v>
          </cell>
          <cell r="FD17">
            <v>1064.705882352941</v>
          </cell>
          <cell r="FE17">
            <v>1064.705882352941</v>
          </cell>
          <cell r="FF17">
            <v>1064.705882352941</v>
          </cell>
          <cell r="FG17">
            <v>1064.705882352941</v>
          </cell>
          <cell r="FH17">
            <v>1064.705882352941</v>
          </cell>
          <cell r="FI17">
            <v>1064.705882352941</v>
          </cell>
          <cell r="FJ17">
            <v>1064.705882352941</v>
          </cell>
          <cell r="FK17">
            <v>1064.705882352941</v>
          </cell>
          <cell r="FL17">
            <v>1064.705882352941</v>
          </cell>
          <cell r="FM17">
            <v>1064.705882352941</v>
          </cell>
          <cell r="FN17">
            <v>1064.705882352941</v>
          </cell>
          <cell r="FO17">
            <v>1064.705882352941</v>
          </cell>
          <cell r="FP17">
            <v>1064.705882352941</v>
          </cell>
          <cell r="FQ17">
            <v>1064.705882352941</v>
          </cell>
          <cell r="FR17">
            <v>1064.705882352941</v>
          </cell>
          <cell r="FS17">
            <v>1064.705882352941</v>
          </cell>
          <cell r="FT17">
            <v>1064.705882352941</v>
          </cell>
          <cell r="FU17">
            <v>1064.705882352941</v>
          </cell>
          <cell r="FV17">
            <v>1064.705882352941</v>
          </cell>
          <cell r="FW17">
            <v>1064.705882352941</v>
          </cell>
          <cell r="FX17">
            <v>1064.705882352941</v>
          </cell>
          <cell r="FY17">
            <v>1064.705882352941</v>
          </cell>
          <cell r="FZ17">
            <v>1064.705882352941</v>
          </cell>
          <cell r="GA17">
            <v>1064.705882352941</v>
          </cell>
          <cell r="GB17">
            <v>1064.705882352941</v>
          </cell>
          <cell r="GC17">
            <v>1064.705882352941</v>
          </cell>
          <cell r="GD17">
            <v>1064.705882352941</v>
          </cell>
          <cell r="GE17">
            <v>1064.705882352941</v>
          </cell>
          <cell r="GF17">
            <v>1064.705882352941</v>
          </cell>
          <cell r="GG17">
            <v>1064.705882352941</v>
          </cell>
          <cell r="GH17">
            <v>1064.705882352941</v>
          </cell>
          <cell r="GI17">
            <v>1064.705882352941</v>
          </cell>
          <cell r="GJ17">
            <v>1064.705882352941</v>
          </cell>
          <cell r="GK17">
            <v>1064.705882352941</v>
          </cell>
          <cell r="GL17">
            <v>1064.705882352941</v>
          </cell>
          <cell r="GM17">
            <v>1064.705882352941</v>
          </cell>
          <cell r="GN17">
            <v>1064.705882352941</v>
          </cell>
          <cell r="GO17">
            <v>1064.705882352941</v>
          </cell>
          <cell r="GP17">
            <v>1064.705882352941</v>
          </cell>
          <cell r="GQ17">
            <v>1064.705882352941</v>
          </cell>
          <cell r="GR17">
            <v>1064.705882352941</v>
          </cell>
          <cell r="GS17">
            <v>1064.705882352941</v>
          </cell>
          <cell r="GT17">
            <v>1064.705882352941</v>
          </cell>
          <cell r="GU17">
            <v>1064.705882352941</v>
          </cell>
          <cell r="GV17">
            <v>1064.705882352941</v>
          </cell>
          <cell r="GW17">
            <v>1064.705882352941</v>
          </cell>
          <cell r="GX17">
            <v>1064.705882352941</v>
          </cell>
        </row>
        <row r="18">
          <cell r="A18" t="str">
            <v>Copper - Spot</v>
          </cell>
          <cell r="B18" t="str">
            <v>A$/t</v>
          </cell>
          <cell r="D18">
            <v>0</v>
          </cell>
          <cell r="E18">
            <v>2914.870793129161</v>
          </cell>
          <cell r="F18">
            <v>2716.9193058565738</v>
          </cell>
          <cell r="G18">
            <v>3278.371216408299</v>
          </cell>
          <cell r="H18">
            <v>4409.24</v>
          </cell>
          <cell r="I18">
            <v>8135.0477999999994</v>
          </cell>
          <cell r="J18">
            <v>9071.7080244924564</v>
          </cell>
          <cell r="K18">
            <v>8662.6270024842652</v>
          </cell>
          <cell r="L18">
            <v>6590.2630400144853</v>
          </cell>
          <cell r="M18">
            <v>7561.2807401895534</v>
          </cell>
          <cell r="N18">
            <v>8667.0788064305198</v>
          </cell>
          <cell r="O18">
            <v>8442.9170315160645</v>
          </cell>
          <cell r="P18">
            <v>8213.185382470494</v>
          </cell>
          <cell r="Q18">
            <v>8557.6606948849749</v>
          </cell>
          <cell r="R18">
            <v>8418.5640595551631</v>
          </cell>
          <cell r="S18">
            <v>7817.2710173142841</v>
          </cell>
          <cell r="T18">
            <v>6734.5278080799999</v>
          </cell>
          <cell r="U18">
            <v>6172.9359999999997</v>
          </cell>
          <cell r="V18">
            <v>6172.9359999999997</v>
          </cell>
          <cell r="W18">
            <v>6172.9359999999997</v>
          </cell>
          <cell r="X18">
            <v>6172.9359999999997</v>
          </cell>
          <cell r="Y18">
            <v>6172.9359999999997</v>
          </cell>
          <cell r="Z18">
            <v>6172.9359999999997</v>
          </cell>
          <cell r="AA18">
            <v>6172.9359999999997</v>
          </cell>
          <cell r="AB18">
            <v>6172.9359999999997</v>
          </cell>
          <cell r="AC18">
            <v>6172.9359999999997</v>
          </cell>
          <cell r="AD18">
            <v>6172.9359999999997</v>
          </cell>
          <cell r="AE18">
            <v>6172.9359999999997</v>
          </cell>
          <cell r="AF18">
            <v>6172.9359999999997</v>
          </cell>
          <cell r="AG18">
            <v>6172.9359999999997</v>
          </cell>
          <cell r="AH18">
            <v>6172.9359999999997</v>
          </cell>
          <cell r="AI18">
            <v>6172.9359999999997</v>
          </cell>
          <cell r="AJ18">
            <v>6172.9359999999997</v>
          </cell>
          <cell r="AK18">
            <v>6172.9359999999997</v>
          </cell>
          <cell r="AL18">
            <v>6172.9359999999997</v>
          </cell>
          <cell r="AM18">
            <v>6172.9359999999997</v>
          </cell>
          <cell r="AN18">
            <v>6172.9359999999997</v>
          </cell>
          <cell r="AO18">
            <v>6172.9359999999997</v>
          </cell>
          <cell r="AP18">
            <v>6172.9359999999997</v>
          </cell>
          <cell r="AQ18">
            <v>6172.9359999999997</v>
          </cell>
          <cell r="AR18">
            <v>6172.9359999999997</v>
          </cell>
          <cell r="AS18">
            <v>6172.9359999999997</v>
          </cell>
          <cell r="AT18">
            <v>6172.9359999999997</v>
          </cell>
          <cell r="AU18">
            <v>6172.9359999999997</v>
          </cell>
          <cell r="AV18">
            <v>6172.9359999999997</v>
          </cell>
          <cell r="AW18">
            <v>6172.9359999999997</v>
          </cell>
          <cell r="AX18">
            <v>6172.9359999999997</v>
          </cell>
          <cell r="AY18">
            <v>6172.9359999999997</v>
          </cell>
          <cell r="AZ18">
            <v>6172.9359999999997</v>
          </cell>
          <cell r="BA18">
            <v>6172.9359999999997</v>
          </cell>
          <cell r="BF18">
            <v>3279.0346676994632</v>
          </cell>
          <cell r="BH18">
            <v>2826.6092123820304</v>
          </cell>
          <cell r="BI18">
            <v>2957.8365467063372</v>
          </cell>
          <cell r="BJ18">
            <v>2914.870793129161</v>
          </cell>
          <cell r="BK18">
            <v>2781.8454167249943</v>
          </cell>
          <cell r="BL18">
            <v>2679.4125469334131</v>
          </cell>
          <cell r="BM18">
            <v>2716.9193058565738</v>
          </cell>
          <cell r="BN18">
            <v>2769.2249929245572</v>
          </cell>
          <cell r="BO18">
            <v>3752.869011141926</v>
          </cell>
          <cell r="BP18">
            <v>3278.371216408299</v>
          </cell>
          <cell r="BQ18">
            <v>4040.3431961384936</v>
          </cell>
          <cell r="BR18">
            <v>4325.7287859108101</v>
          </cell>
          <cell r="BS18">
            <v>4409.24</v>
          </cell>
          <cell r="BT18">
            <v>5364.1648982181014</v>
          </cell>
          <cell r="BU18">
            <v>8167.8650561554969</v>
          </cell>
          <cell r="BV18">
            <v>8135.0477999999994</v>
          </cell>
          <cell r="BW18">
            <v>9746.8561571993578</v>
          </cell>
          <cell r="BX18">
            <v>8396.559891785555</v>
          </cell>
          <cell r="BY18">
            <v>9071.7080244924564</v>
          </cell>
          <cell r="BZ18">
            <v>8583.0007364650191</v>
          </cell>
          <cell r="CA18">
            <v>8742.2532685035112</v>
          </cell>
          <cell r="CB18">
            <v>8662.6270024842652</v>
          </cell>
          <cell r="CC18">
            <v>7573.0128571428568</v>
          </cell>
          <cell r="CD18">
            <v>5607.5132228861139</v>
          </cell>
          <cell r="CE18">
            <v>6590.2630400144853</v>
          </cell>
          <cell r="CF18">
            <v>7097.7446803791081</v>
          </cell>
          <cell r="CG18">
            <v>8024.8167999999996</v>
          </cell>
          <cell r="CH18">
            <v>7561.2807401895534</v>
          </cell>
          <cell r="CI18">
            <v>8212.3810500098862</v>
          </cell>
          <cell r="CJ18">
            <v>9121.7765628511515</v>
          </cell>
          <cell r="CK18">
            <v>8667.0788064305198</v>
          </cell>
          <cell r="CL18">
            <v>8632.2551683505299</v>
          </cell>
          <cell r="CM18">
            <v>8253.5788946815992</v>
          </cell>
          <cell r="CN18">
            <v>8442.9170315160645</v>
          </cell>
          <cell r="CO18">
            <v>7703.5212545547747</v>
          </cell>
          <cell r="CP18">
            <v>8722.8495103862133</v>
          </cell>
          <cell r="CQ18">
            <v>8213.185382470494</v>
          </cell>
          <cell r="CR18">
            <v>8722.8495103862133</v>
          </cell>
          <cell r="CS18">
            <v>8392.4718793837365</v>
          </cell>
          <cell r="CT18">
            <v>8557.6606948849749</v>
          </cell>
          <cell r="CU18">
            <v>8498.7057006417581</v>
          </cell>
          <cell r="CV18">
            <v>8338.42241846857</v>
          </cell>
          <cell r="CW18">
            <v>8418.5640595551631</v>
          </cell>
          <cell r="CX18">
            <v>8338.42241846857</v>
          </cell>
          <cell r="CY18">
            <v>7296.1196161599992</v>
          </cell>
          <cell r="CZ18">
            <v>7817.2710173142841</v>
          </cell>
          <cell r="DA18">
            <v>7296.1196161599992</v>
          </cell>
          <cell r="DB18">
            <v>6172.9359999999997</v>
          </cell>
          <cell r="DC18">
            <v>6734.5278080799999</v>
          </cell>
          <cell r="DD18">
            <v>6172.9359999999997</v>
          </cell>
          <cell r="DE18">
            <v>6172.9359999999997</v>
          </cell>
          <cell r="DF18">
            <v>6172.9359999999997</v>
          </cell>
          <cell r="DG18">
            <v>6172.9359999999997</v>
          </cell>
          <cell r="DH18">
            <v>6172.9359999999997</v>
          </cell>
          <cell r="DI18">
            <v>6172.9359999999997</v>
          </cell>
          <cell r="DJ18">
            <v>6172.9359999999997</v>
          </cell>
          <cell r="DK18">
            <v>6172.9359999999997</v>
          </cell>
          <cell r="DL18">
            <v>6172.9359999999997</v>
          </cell>
          <cell r="DM18">
            <v>6172.9359999999997</v>
          </cell>
          <cell r="DN18">
            <v>6172.9359999999997</v>
          </cell>
          <cell r="DO18">
            <v>6172.9359999999997</v>
          </cell>
          <cell r="DP18">
            <v>6172.9359999999997</v>
          </cell>
          <cell r="DQ18">
            <v>6172.9359999999997</v>
          </cell>
          <cell r="DR18">
            <v>6172.9359999999997</v>
          </cell>
          <cell r="DS18">
            <v>6172.9359999999997</v>
          </cell>
          <cell r="DT18">
            <v>6172.9359999999997</v>
          </cell>
          <cell r="DU18">
            <v>6172.9359999999997</v>
          </cell>
          <cell r="DV18">
            <v>6172.9359999999997</v>
          </cell>
          <cell r="DW18">
            <v>6172.9359999999997</v>
          </cell>
          <cell r="DX18">
            <v>6172.9359999999997</v>
          </cell>
          <cell r="DY18">
            <v>6172.9359999999997</v>
          </cell>
          <cell r="DZ18">
            <v>6172.9359999999997</v>
          </cell>
          <cell r="EA18">
            <v>6172.9359999999997</v>
          </cell>
          <cell r="EB18">
            <v>6172.9359999999997</v>
          </cell>
          <cell r="EC18">
            <v>6172.9359999999997</v>
          </cell>
          <cell r="ED18">
            <v>6172.9359999999997</v>
          </cell>
          <cell r="EE18">
            <v>6172.9359999999997</v>
          </cell>
          <cell r="EF18">
            <v>6172.9359999999997</v>
          </cell>
          <cell r="EG18">
            <v>6172.9359999999997</v>
          </cell>
          <cell r="EH18">
            <v>6172.9359999999997</v>
          </cell>
          <cell r="EI18">
            <v>6172.9359999999997</v>
          </cell>
          <cell r="EJ18">
            <v>6172.9359999999997</v>
          </cell>
          <cell r="EK18">
            <v>6172.9359999999997</v>
          </cell>
          <cell r="EL18">
            <v>6172.9359999999997</v>
          </cell>
          <cell r="EM18">
            <v>6172.9359999999997</v>
          </cell>
          <cell r="EN18">
            <v>6172.9359999999997</v>
          </cell>
          <cell r="EO18">
            <v>6172.9359999999997</v>
          </cell>
          <cell r="EP18">
            <v>6172.9359999999997</v>
          </cell>
          <cell r="EQ18">
            <v>6172.9359999999997</v>
          </cell>
          <cell r="ER18">
            <v>6172.9359999999997</v>
          </cell>
          <cell r="ES18">
            <v>6172.9359999999997</v>
          </cell>
          <cell r="ET18">
            <v>6172.9359999999997</v>
          </cell>
          <cell r="EU18">
            <v>6172.9359999999997</v>
          </cell>
          <cell r="EV18">
            <v>6172.9359999999997</v>
          </cell>
          <cell r="EW18">
            <v>6172.9359999999997</v>
          </cell>
          <cell r="EX18">
            <v>6172.9359999999997</v>
          </cell>
          <cell r="EY18">
            <v>6172.9359999999997</v>
          </cell>
          <cell r="EZ18">
            <v>6172.9359999999997</v>
          </cell>
          <cell r="FA18">
            <v>6172.9359999999997</v>
          </cell>
          <cell r="FB18">
            <v>6172.9359999999997</v>
          </cell>
          <cell r="FC18">
            <v>6172.9359999999997</v>
          </cell>
          <cell r="FD18">
            <v>6172.9359999999997</v>
          </cell>
          <cell r="FE18">
            <v>6172.9359999999997</v>
          </cell>
          <cell r="FF18">
            <v>6172.9359999999997</v>
          </cell>
          <cell r="FG18">
            <v>6172.9359999999997</v>
          </cell>
          <cell r="FH18">
            <v>6172.9359999999997</v>
          </cell>
          <cell r="FI18">
            <v>6172.9359999999997</v>
          </cell>
          <cell r="FJ18">
            <v>6172.9359999999997</v>
          </cell>
          <cell r="FK18">
            <v>6172.9359999999997</v>
          </cell>
          <cell r="FL18">
            <v>6172.9359999999997</v>
          </cell>
          <cell r="FM18">
            <v>6172.9359999999997</v>
          </cell>
          <cell r="FN18">
            <v>6172.9359999999997</v>
          </cell>
          <cell r="FO18">
            <v>6172.9359999999997</v>
          </cell>
          <cell r="FP18">
            <v>6172.9359999999997</v>
          </cell>
          <cell r="FQ18">
            <v>6172.9359999999997</v>
          </cell>
          <cell r="FR18">
            <v>6172.9359999999997</v>
          </cell>
          <cell r="FS18">
            <v>6172.9359999999997</v>
          </cell>
          <cell r="FT18">
            <v>6172.9359999999997</v>
          </cell>
          <cell r="FU18">
            <v>6172.9359999999997</v>
          </cell>
          <cell r="FV18">
            <v>6172.9359999999997</v>
          </cell>
          <cell r="FW18">
            <v>6172.9359999999997</v>
          </cell>
          <cell r="FX18">
            <v>6172.9359999999997</v>
          </cell>
          <cell r="FY18">
            <v>6172.9359999999997</v>
          </cell>
          <cell r="FZ18">
            <v>6172.9359999999997</v>
          </cell>
          <cell r="GA18">
            <v>6172.9359999999997</v>
          </cell>
          <cell r="GB18">
            <v>6172.9359999999997</v>
          </cell>
          <cell r="GC18">
            <v>6172.9359999999997</v>
          </cell>
          <cell r="GD18">
            <v>6172.9359999999997</v>
          </cell>
          <cell r="GE18">
            <v>6172.9359999999997</v>
          </cell>
          <cell r="GF18">
            <v>6172.9359999999997</v>
          </cell>
          <cell r="GG18">
            <v>6172.9359999999997</v>
          </cell>
          <cell r="GH18">
            <v>6172.9359999999997</v>
          </cell>
          <cell r="GI18">
            <v>6172.9359999999997</v>
          </cell>
          <cell r="GJ18">
            <v>6172.9359999999997</v>
          </cell>
          <cell r="GK18">
            <v>6172.9359999999997</v>
          </cell>
          <cell r="GL18">
            <v>6172.9359999999997</v>
          </cell>
          <cell r="GM18">
            <v>6172.9359999999997</v>
          </cell>
          <cell r="GN18">
            <v>6172.9359999999997</v>
          </cell>
          <cell r="GO18">
            <v>6172.9359999999997</v>
          </cell>
          <cell r="GP18">
            <v>6172.9359999999997</v>
          </cell>
          <cell r="GQ18">
            <v>6172.9359999999997</v>
          </cell>
          <cell r="GR18">
            <v>6172.9359999999997</v>
          </cell>
          <cell r="GS18">
            <v>6172.9359999999997</v>
          </cell>
          <cell r="GT18">
            <v>6172.9359999999997</v>
          </cell>
          <cell r="GU18">
            <v>6172.9359999999997</v>
          </cell>
          <cell r="GV18">
            <v>6172.9359999999997</v>
          </cell>
          <cell r="GW18">
            <v>6172.9359999999997</v>
          </cell>
          <cell r="GX18">
            <v>6172.9359999999997</v>
          </cell>
        </row>
        <row r="19">
          <cell r="A19" t="str">
            <v>Silver - Spot</v>
          </cell>
          <cell r="B19" t="str">
            <v>A$/oz</v>
          </cell>
          <cell r="D19">
            <v>0</v>
          </cell>
          <cell r="E19">
            <v>8.6169435517374779</v>
          </cell>
          <cell r="F19">
            <v>8.082414974277393</v>
          </cell>
          <cell r="G19">
            <v>8.1434944025655192</v>
          </cell>
          <cell r="H19">
            <v>9.2501904060709617</v>
          </cell>
          <cell r="I19">
            <v>12.400134208596155</v>
          </cell>
          <cell r="J19">
            <v>15.937489545511013</v>
          </cell>
          <cell r="K19">
            <v>17.135994464488476</v>
          </cell>
          <cell r="L19">
            <v>17.563900845870805</v>
          </cell>
          <cell r="M19">
            <v>19.122623599323799</v>
          </cell>
          <cell r="N19">
            <v>29.128339544877662</v>
          </cell>
          <cell r="O19">
            <v>44.311015741858668</v>
          </cell>
          <cell r="P19">
            <v>43.71973731898774</v>
          </cell>
          <cell r="Q19">
            <v>39.520976011517561</v>
          </cell>
          <cell r="R19">
            <v>37.463432917786477</v>
          </cell>
          <cell r="S19">
            <v>35.015354707831079</v>
          </cell>
          <cell r="T19">
            <v>27.194399444951696</v>
          </cell>
          <cell r="U19">
            <v>21.294117647058826</v>
          </cell>
          <cell r="V19">
            <v>21.294117647058826</v>
          </cell>
          <cell r="W19">
            <v>21.294117647058826</v>
          </cell>
          <cell r="X19">
            <v>21.294117647058826</v>
          </cell>
          <cell r="Y19">
            <v>21.294117647058826</v>
          </cell>
          <cell r="Z19">
            <v>21.294117647058826</v>
          </cell>
          <cell r="AA19">
            <v>21.294117647058826</v>
          </cell>
          <cell r="AB19">
            <v>21.294117647058826</v>
          </cell>
          <cell r="AC19">
            <v>21.294117647058826</v>
          </cell>
          <cell r="AD19">
            <v>21.294117647058826</v>
          </cell>
          <cell r="AE19">
            <v>21.294117647058826</v>
          </cell>
          <cell r="AF19">
            <v>21.294117647058826</v>
          </cell>
          <cell r="AG19">
            <v>21.294117647058826</v>
          </cell>
          <cell r="AH19">
            <v>21.294117647058826</v>
          </cell>
          <cell r="AI19">
            <v>21.294117647058826</v>
          </cell>
          <cell r="AJ19">
            <v>21.294117647058826</v>
          </cell>
          <cell r="AK19">
            <v>21.294117647058826</v>
          </cell>
          <cell r="AL19">
            <v>21.294117647058826</v>
          </cell>
          <cell r="AM19">
            <v>21.294117647058826</v>
          </cell>
          <cell r="AN19">
            <v>21.294117647058826</v>
          </cell>
          <cell r="AO19">
            <v>21.294117647058826</v>
          </cell>
          <cell r="AP19">
            <v>21.294117647058826</v>
          </cell>
          <cell r="AQ19">
            <v>21.294117647058826</v>
          </cell>
          <cell r="AR19">
            <v>21.294117647058826</v>
          </cell>
          <cell r="AS19">
            <v>21.294117647058826</v>
          </cell>
          <cell r="AT19">
            <v>21.294117647058826</v>
          </cell>
          <cell r="AU19">
            <v>21.294117647058826</v>
          </cell>
          <cell r="AV19">
            <v>21.294117647058826</v>
          </cell>
          <cell r="AW19">
            <v>21.294117647058826</v>
          </cell>
          <cell r="AX19">
            <v>21.294117647058826</v>
          </cell>
          <cell r="AY19">
            <v>21.294117647058826</v>
          </cell>
          <cell r="AZ19">
            <v>21.294117647058826</v>
          </cell>
          <cell r="BA19">
            <v>21.294117647058826</v>
          </cell>
          <cell r="BF19">
            <v>8.5861148069799267</v>
          </cell>
          <cell r="BH19">
            <v>8.7261482030670781</v>
          </cell>
          <cell r="BI19">
            <v>8.5122304850100541</v>
          </cell>
          <cell r="BJ19">
            <v>8.6169435517374779</v>
          </cell>
          <cell r="BK19">
            <v>8.3327301679212518</v>
          </cell>
          <cell r="BL19">
            <v>7.858052273482925</v>
          </cell>
          <cell r="BM19">
            <v>8.082414974277393</v>
          </cell>
          <cell r="BN19">
            <v>7.4832566500771316</v>
          </cell>
          <cell r="BO19">
            <v>8.7570524001270353</v>
          </cell>
          <cell r="BP19">
            <v>8.1434944025655192</v>
          </cell>
          <cell r="BQ19">
            <v>9.3695676375511283</v>
          </cell>
          <cell r="BR19">
            <v>9.136649666181496</v>
          </cell>
          <cell r="BS19">
            <v>9.2501904060709617</v>
          </cell>
          <cell r="BT19">
            <v>10.105611500429088</v>
          </cell>
          <cell r="BU19">
            <v>14.719549382269138</v>
          </cell>
          <cell r="BV19">
            <v>12.400134208596155</v>
          </cell>
          <cell r="BW19">
            <v>15.953643837427725</v>
          </cell>
          <cell r="BX19">
            <v>15.921335253594302</v>
          </cell>
          <cell r="BY19">
            <v>15.937489545511013</v>
          </cell>
          <cell r="BZ19">
            <v>15.509158026761932</v>
          </cell>
          <cell r="CA19">
            <v>18.762830902215018</v>
          </cell>
          <cell r="CB19">
            <v>17.135994464488476</v>
          </cell>
          <cell r="CC19">
            <v>16.461038961038962</v>
          </cell>
          <cell r="CD19">
            <v>18.666762730702651</v>
          </cell>
          <cell r="CE19">
            <v>17.563900845870805</v>
          </cell>
          <cell r="CF19">
            <v>18.578084082958508</v>
          </cell>
          <cell r="CG19">
            <v>19.667163115689089</v>
          </cell>
          <cell r="CH19">
            <v>19.122623599323799</v>
          </cell>
          <cell r="CI19">
            <v>24.156025871342298</v>
          </cell>
          <cell r="CJ19">
            <v>34.100653218413029</v>
          </cell>
          <cell r="CK19">
            <v>29.128339544877662</v>
          </cell>
          <cell r="CL19">
            <v>39.294648321916107</v>
          </cell>
          <cell r="CM19">
            <v>49.327383161801222</v>
          </cell>
          <cell r="CN19">
            <v>44.311015741858668</v>
          </cell>
          <cell r="CO19">
            <v>45.913474806911275</v>
          </cell>
          <cell r="CP19">
            <v>41.525999831064212</v>
          </cell>
          <cell r="CQ19">
            <v>43.71973731898774</v>
          </cell>
          <cell r="CR19">
            <v>41.525999831064212</v>
          </cell>
          <cell r="CS19">
            <v>37.515952191970918</v>
          </cell>
          <cell r="CT19">
            <v>39.520976011517561</v>
          </cell>
          <cell r="CU19">
            <v>37.990837662755361</v>
          </cell>
          <cell r="CV19">
            <v>36.936028172817601</v>
          </cell>
          <cell r="CW19">
            <v>37.463432917786477</v>
          </cell>
          <cell r="CX19">
            <v>36.936028172817601</v>
          </cell>
          <cell r="CY19">
            <v>33.094681242844565</v>
          </cell>
          <cell r="CZ19">
            <v>35.015354707831079</v>
          </cell>
          <cell r="DA19">
            <v>33.094681242844565</v>
          </cell>
          <cell r="DB19">
            <v>21.294117647058826</v>
          </cell>
          <cell r="DC19">
            <v>27.194399444951696</v>
          </cell>
          <cell r="DD19">
            <v>21.294117647058826</v>
          </cell>
          <cell r="DE19">
            <v>21.294117647058826</v>
          </cell>
          <cell r="DF19">
            <v>21.294117647058826</v>
          </cell>
          <cell r="DG19">
            <v>21.294117647058826</v>
          </cell>
          <cell r="DH19">
            <v>21.294117647058826</v>
          </cell>
          <cell r="DI19">
            <v>21.294117647058826</v>
          </cell>
          <cell r="DJ19">
            <v>21.294117647058826</v>
          </cell>
          <cell r="DK19">
            <v>21.294117647058826</v>
          </cell>
          <cell r="DL19">
            <v>21.294117647058826</v>
          </cell>
          <cell r="DM19">
            <v>21.294117647058826</v>
          </cell>
          <cell r="DN19">
            <v>21.294117647058826</v>
          </cell>
          <cell r="DO19">
            <v>21.294117647058826</v>
          </cell>
          <cell r="DP19">
            <v>21.294117647058826</v>
          </cell>
          <cell r="DQ19">
            <v>21.294117647058826</v>
          </cell>
          <cell r="DR19">
            <v>21.294117647058826</v>
          </cell>
          <cell r="DS19">
            <v>21.294117647058826</v>
          </cell>
          <cell r="DT19">
            <v>21.294117647058826</v>
          </cell>
          <cell r="DU19">
            <v>21.294117647058826</v>
          </cell>
          <cell r="DV19">
            <v>21.294117647058826</v>
          </cell>
          <cell r="DW19">
            <v>21.294117647058826</v>
          </cell>
          <cell r="DX19">
            <v>21.294117647058826</v>
          </cell>
          <cell r="DY19">
            <v>21.294117647058826</v>
          </cell>
          <cell r="DZ19">
            <v>21.294117647058826</v>
          </cell>
          <cell r="EA19">
            <v>21.294117647058826</v>
          </cell>
          <cell r="EB19">
            <v>21.294117647058826</v>
          </cell>
          <cell r="EC19">
            <v>21.294117647058826</v>
          </cell>
          <cell r="ED19">
            <v>21.294117647058826</v>
          </cell>
          <cell r="EE19">
            <v>21.294117647058826</v>
          </cell>
          <cell r="EF19">
            <v>21.294117647058826</v>
          </cell>
          <cell r="EG19">
            <v>21.294117647058826</v>
          </cell>
          <cell r="EH19">
            <v>21.294117647058826</v>
          </cell>
          <cell r="EI19">
            <v>21.294117647058826</v>
          </cell>
          <cell r="EJ19">
            <v>21.294117647058826</v>
          </cell>
          <cell r="EK19">
            <v>21.294117647058826</v>
          </cell>
          <cell r="EL19">
            <v>21.294117647058826</v>
          </cell>
          <cell r="EM19">
            <v>21.294117647058826</v>
          </cell>
          <cell r="EN19">
            <v>21.294117647058826</v>
          </cell>
          <cell r="EO19">
            <v>21.294117647058826</v>
          </cell>
          <cell r="EP19">
            <v>21.294117647058826</v>
          </cell>
          <cell r="EQ19">
            <v>21.294117647058826</v>
          </cell>
          <cell r="ER19">
            <v>21.294117647058826</v>
          </cell>
          <cell r="ES19">
            <v>21.294117647058826</v>
          </cell>
          <cell r="ET19">
            <v>21.294117647058826</v>
          </cell>
          <cell r="EU19">
            <v>21.294117647058826</v>
          </cell>
          <cell r="EV19">
            <v>21.294117647058826</v>
          </cell>
          <cell r="EW19">
            <v>21.294117647058826</v>
          </cell>
          <cell r="EX19">
            <v>21.294117647058826</v>
          </cell>
          <cell r="EY19">
            <v>21.294117647058826</v>
          </cell>
          <cell r="EZ19">
            <v>21.294117647058826</v>
          </cell>
          <cell r="FA19">
            <v>21.294117647058826</v>
          </cell>
          <cell r="FB19">
            <v>21.294117647058826</v>
          </cell>
          <cell r="FC19">
            <v>21.294117647058826</v>
          </cell>
          <cell r="FD19">
            <v>21.294117647058826</v>
          </cell>
          <cell r="FE19">
            <v>21.294117647058826</v>
          </cell>
          <cell r="FF19">
            <v>21.294117647058826</v>
          </cell>
          <cell r="FG19">
            <v>21.294117647058826</v>
          </cell>
          <cell r="FH19">
            <v>21.294117647058826</v>
          </cell>
          <cell r="FI19">
            <v>21.294117647058826</v>
          </cell>
          <cell r="FJ19">
            <v>21.294117647058826</v>
          </cell>
          <cell r="FK19">
            <v>21.294117647058826</v>
          </cell>
          <cell r="FL19">
            <v>21.294117647058826</v>
          </cell>
          <cell r="FM19">
            <v>21.294117647058826</v>
          </cell>
          <cell r="FN19">
            <v>21.294117647058826</v>
          </cell>
          <cell r="FO19">
            <v>21.294117647058826</v>
          </cell>
          <cell r="FP19">
            <v>21.294117647058826</v>
          </cell>
          <cell r="FQ19">
            <v>21.294117647058826</v>
          </cell>
          <cell r="FR19">
            <v>21.294117647058826</v>
          </cell>
          <cell r="FS19">
            <v>21.294117647058826</v>
          </cell>
          <cell r="FT19">
            <v>21.294117647058826</v>
          </cell>
          <cell r="FU19">
            <v>21.294117647058826</v>
          </cell>
          <cell r="FV19">
            <v>21.294117647058826</v>
          </cell>
          <cell r="FW19">
            <v>21.294117647058826</v>
          </cell>
          <cell r="FX19">
            <v>21.294117647058826</v>
          </cell>
          <cell r="FY19">
            <v>21.294117647058826</v>
          </cell>
          <cell r="FZ19">
            <v>21.294117647058826</v>
          </cell>
          <cell r="GA19">
            <v>21.294117647058826</v>
          </cell>
          <cell r="GB19">
            <v>21.294117647058826</v>
          </cell>
          <cell r="GC19">
            <v>21.294117647058826</v>
          </cell>
          <cell r="GD19">
            <v>21.294117647058826</v>
          </cell>
          <cell r="GE19">
            <v>21.294117647058826</v>
          </cell>
          <cell r="GF19">
            <v>21.294117647058826</v>
          </cell>
          <cell r="GG19">
            <v>21.294117647058826</v>
          </cell>
          <cell r="GH19">
            <v>21.294117647058826</v>
          </cell>
          <cell r="GI19">
            <v>21.294117647058826</v>
          </cell>
          <cell r="GJ19">
            <v>21.294117647058826</v>
          </cell>
          <cell r="GK19">
            <v>21.294117647058826</v>
          </cell>
          <cell r="GL19">
            <v>21.294117647058826</v>
          </cell>
          <cell r="GM19">
            <v>21.294117647058826</v>
          </cell>
          <cell r="GN19">
            <v>21.294117647058826</v>
          </cell>
          <cell r="GO19">
            <v>21.294117647058826</v>
          </cell>
          <cell r="GP19">
            <v>21.294117647058826</v>
          </cell>
          <cell r="GQ19">
            <v>21.294117647058826</v>
          </cell>
          <cell r="GR19">
            <v>21.294117647058826</v>
          </cell>
          <cell r="GS19">
            <v>21.294117647058826</v>
          </cell>
          <cell r="GT19">
            <v>21.294117647058826</v>
          </cell>
          <cell r="GU19">
            <v>21.294117647058826</v>
          </cell>
          <cell r="GV19">
            <v>21.294117647058826</v>
          </cell>
          <cell r="GW19">
            <v>21.294117647058826</v>
          </cell>
          <cell r="GX19">
            <v>21.294117647058826</v>
          </cell>
        </row>
        <row r="21">
          <cell r="A21" t="str">
            <v>Sensitivity factor inputs</v>
          </cell>
          <cell r="B21" t="str">
            <v>.</v>
          </cell>
          <cell r="C21" t="str">
            <v>.</v>
          </cell>
          <cell r="D21" t="str">
            <v>.</v>
          </cell>
          <cell r="E21" t="str">
            <v>.</v>
          </cell>
          <cell r="F21" t="str">
            <v>.</v>
          </cell>
          <cell r="G21" t="str">
            <v>.</v>
          </cell>
          <cell r="H21" t="str">
            <v>.</v>
          </cell>
          <cell r="I21" t="str">
            <v>.</v>
          </cell>
          <cell r="J21" t="str">
            <v>.</v>
          </cell>
          <cell r="K21" t="str">
            <v>.</v>
          </cell>
          <cell r="L21" t="str">
            <v>.</v>
          </cell>
          <cell r="M21" t="str">
            <v>.</v>
          </cell>
          <cell r="N21" t="str">
            <v>.</v>
          </cell>
          <cell r="O21" t="str">
            <v>.</v>
          </cell>
          <cell r="P21" t="str">
            <v>.</v>
          </cell>
          <cell r="Q21" t="str">
            <v>.</v>
          </cell>
          <cell r="R21" t="str">
            <v>.</v>
          </cell>
          <cell r="S21" t="str">
            <v>.</v>
          </cell>
          <cell r="T21" t="str">
            <v>.</v>
          </cell>
          <cell r="U21" t="str">
            <v>.</v>
          </cell>
          <cell r="V21" t="str">
            <v>.</v>
          </cell>
          <cell r="W21" t="str">
            <v>.</v>
          </cell>
          <cell r="X21" t="str">
            <v>.</v>
          </cell>
          <cell r="Y21" t="str">
            <v>.</v>
          </cell>
          <cell r="Z21" t="str">
            <v>.</v>
          </cell>
          <cell r="AA21" t="str">
            <v>.</v>
          </cell>
          <cell r="AB21" t="str">
            <v>.</v>
          </cell>
          <cell r="AC21" t="str">
            <v>.</v>
          </cell>
          <cell r="AD21" t="str">
            <v>.</v>
          </cell>
          <cell r="AE21" t="str">
            <v>.</v>
          </cell>
          <cell r="AF21" t="str">
            <v>.</v>
          </cell>
          <cell r="AG21" t="str">
            <v>.</v>
          </cell>
          <cell r="AH21" t="str">
            <v>.</v>
          </cell>
          <cell r="AI21" t="str">
            <v>.</v>
          </cell>
          <cell r="AJ21" t="str">
            <v>.</v>
          </cell>
          <cell r="AK21" t="str">
            <v>.</v>
          </cell>
          <cell r="AL21" t="str">
            <v>.</v>
          </cell>
          <cell r="AM21" t="str">
            <v>.</v>
          </cell>
          <cell r="AN21" t="str">
            <v>.</v>
          </cell>
          <cell r="AO21" t="str">
            <v>.</v>
          </cell>
          <cell r="AP21" t="str">
            <v>.</v>
          </cell>
          <cell r="AQ21" t="str">
            <v>.</v>
          </cell>
          <cell r="AR21" t="str">
            <v>.</v>
          </cell>
          <cell r="AS21" t="str">
            <v>.</v>
          </cell>
          <cell r="AT21" t="str">
            <v>.</v>
          </cell>
          <cell r="AU21" t="str">
            <v>.</v>
          </cell>
          <cell r="AV21" t="str">
            <v>.</v>
          </cell>
          <cell r="AW21" t="str">
            <v>.</v>
          </cell>
          <cell r="AX21" t="str">
            <v>.</v>
          </cell>
          <cell r="AY21" t="str">
            <v>.</v>
          </cell>
          <cell r="AZ21" t="str">
            <v>.</v>
          </cell>
          <cell r="BA21" t="str">
            <v>.</v>
          </cell>
          <cell r="BB21" t="str">
            <v>.</v>
          </cell>
          <cell r="BC21" t="str">
            <v>.</v>
          </cell>
          <cell r="BD21" t="str">
            <v>.</v>
          </cell>
          <cell r="BE21" t="str">
            <v>.</v>
          </cell>
          <cell r="BF21" t="str">
            <v>.</v>
          </cell>
          <cell r="BG21" t="str">
            <v>.</v>
          </cell>
          <cell r="BH21" t="str">
            <v>.</v>
          </cell>
          <cell r="BI21" t="str">
            <v>.</v>
          </cell>
          <cell r="BJ21" t="str">
            <v>.</v>
          </cell>
          <cell r="BK21" t="str">
            <v>.</v>
          </cell>
          <cell r="BL21" t="str">
            <v>.</v>
          </cell>
          <cell r="BM21" t="str">
            <v>.</v>
          </cell>
          <cell r="BN21" t="str">
            <v>.</v>
          </cell>
          <cell r="BO21" t="str">
            <v>.</v>
          </cell>
          <cell r="BP21" t="str">
            <v>.</v>
          </cell>
          <cell r="BQ21" t="str">
            <v>.</v>
          </cell>
          <cell r="BR21" t="str">
            <v>.</v>
          </cell>
          <cell r="BS21" t="str">
            <v>.</v>
          </cell>
          <cell r="BT21" t="str">
            <v>.</v>
          </cell>
          <cell r="BU21" t="str">
            <v>.</v>
          </cell>
          <cell r="BV21" t="str">
            <v>.</v>
          </cell>
          <cell r="BW21" t="str">
            <v>.</v>
          </cell>
          <cell r="BX21" t="str">
            <v>.</v>
          </cell>
          <cell r="BY21" t="str">
            <v>.</v>
          </cell>
          <cell r="BZ21" t="str">
            <v>.</v>
          </cell>
          <cell r="CA21" t="str">
            <v>.</v>
          </cell>
          <cell r="CB21" t="str">
            <v>.</v>
          </cell>
          <cell r="CC21" t="str">
            <v>.</v>
          </cell>
          <cell r="CD21" t="str">
            <v>.</v>
          </cell>
          <cell r="CE21" t="str">
            <v>.</v>
          </cell>
          <cell r="CF21" t="str">
            <v>.</v>
          </cell>
          <cell r="CG21" t="str">
            <v>.</v>
          </cell>
          <cell r="CH21" t="str">
            <v>.</v>
          </cell>
          <cell r="CI21" t="str">
            <v>.</v>
          </cell>
          <cell r="CJ21" t="str">
            <v>.</v>
          </cell>
          <cell r="CK21" t="str">
            <v>.</v>
          </cell>
          <cell r="CL21" t="str">
            <v>.</v>
          </cell>
          <cell r="CM21" t="str">
            <v>.</v>
          </cell>
          <cell r="CN21" t="str">
            <v>.</v>
          </cell>
          <cell r="CO21" t="str">
            <v>.</v>
          </cell>
          <cell r="CP21" t="str">
            <v>.</v>
          </cell>
          <cell r="CQ21" t="str">
            <v>.</v>
          </cell>
          <cell r="CR21" t="str">
            <v>.</v>
          </cell>
          <cell r="CS21" t="str">
            <v>.</v>
          </cell>
          <cell r="CT21" t="str">
            <v>.</v>
          </cell>
          <cell r="CU21" t="str">
            <v>.</v>
          </cell>
          <cell r="CV21" t="str">
            <v>.</v>
          </cell>
          <cell r="CW21" t="str">
            <v>.</v>
          </cell>
          <cell r="CX21" t="str">
            <v>.</v>
          </cell>
          <cell r="CY21" t="str">
            <v>.</v>
          </cell>
          <cell r="CZ21" t="str">
            <v>.</v>
          </cell>
          <cell r="DA21" t="str">
            <v>.</v>
          </cell>
          <cell r="DB21" t="str">
            <v>.</v>
          </cell>
          <cell r="DC21" t="str">
            <v>.</v>
          </cell>
          <cell r="DD21" t="str">
            <v>.</v>
          </cell>
          <cell r="DE21" t="str">
            <v>.</v>
          </cell>
          <cell r="DF21" t="str">
            <v>.</v>
          </cell>
          <cell r="DG21" t="str">
            <v>.</v>
          </cell>
          <cell r="DH21" t="str">
            <v>.</v>
          </cell>
          <cell r="DI21" t="str">
            <v>.</v>
          </cell>
          <cell r="DJ21" t="str">
            <v>.</v>
          </cell>
          <cell r="DK21" t="str">
            <v>.</v>
          </cell>
          <cell r="DL21" t="str">
            <v>.</v>
          </cell>
          <cell r="DM21" t="str">
            <v>.</v>
          </cell>
          <cell r="DN21" t="str">
            <v>.</v>
          </cell>
          <cell r="DO21" t="str">
            <v>.</v>
          </cell>
          <cell r="DP21" t="str">
            <v>.</v>
          </cell>
          <cell r="DQ21" t="str">
            <v>.</v>
          </cell>
          <cell r="DR21" t="str">
            <v>.</v>
          </cell>
          <cell r="DS21" t="str">
            <v>.</v>
          </cell>
          <cell r="DT21" t="str">
            <v>.</v>
          </cell>
          <cell r="DU21" t="str">
            <v>.</v>
          </cell>
          <cell r="DV21" t="str">
            <v>.</v>
          </cell>
          <cell r="DW21" t="str">
            <v>.</v>
          </cell>
          <cell r="DX21" t="str">
            <v>.</v>
          </cell>
          <cell r="DY21" t="str">
            <v>.</v>
          </cell>
          <cell r="DZ21" t="str">
            <v>.</v>
          </cell>
          <cell r="EA21" t="str">
            <v>.</v>
          </cell>
          <cell r="EB21" t="str">
            <v>.</v>
          </cell>
          <cell r="EC21" t="str">
            <v>.</v>
          </cell>
          <cell r="ED21" t="str">
            <v>.</v>
          </cell>
          <cell r="EE21" t="str">
            <v>.</v>
          </cell>
          <cell r="EF21" t="str">
            <v>.</v>
          </cell>
          <cell r="EG21" t="str">
            <v>.</v>
          </cell>
          <cell r="EH21" t="str">
            <v>.</v>
          </cell>
          <cell r="EI21" t="str">
            <v>.</v>
          </cell>
          <cell r="EJ21" t="str">
            <v>.</v>
          </cell>
          <cell r="EK21" t="str">
            <v>.</v>
          </cell>
          <cell r="EL21" t="str">
            <v>.</v>
          </cell>
          <cell r="EM21" t="str">
            <v>.</v>
          </cell>
          <cell r="EN21" t="str">
            <v>.</v>
          </cell>
          <cell r="EO21" t="str">
            <v>.</v>
          </cell>
          <cell r="EP21" t="str">
            <v>.</v>
          </cell>
          <cell r="EQ21" t="str">
            <v>.</v>
          </cell>
          <cell r="ER21" t="str">
            <v>.</v>
          </cell>
          <cell r="ES21" t="str">
            <v>.</v>
          </cell>
          <cell r="ET21" t="str">
            <v>.</v>
          </cell>
          <cell r="EU21" t="str">
            <v>.</v>
          </cell>
          <cell r="EV21" t="str">
            <v>.</v>
          </cell>
          <cell r="EW21" t="str">
            <v>.</v>
          </cell>
          <cell r="EX21" t="str">
            <v>.</v>
          </cell>
          <cell r="EY21" t="str">
            <v>.</v>
          </cell>
          <cell r="EZ21" t="str">
            <v>.</v>
          </cell>
          <cell r="FA21" t="str">
            <v>.</v>
          </cell>
          <cell r="FB21" t="str">
            <v>.</v>
          </cell>
          <cell r="FC21" t="str">
            <v>.</v>
          </cell>
          <cell r="FD21" t="str">
            <v>.</v>
          </cell>
          <cell r="FE21" t="str">
            <v>.</v>
          </cell>
          <cell r="FF21" t="str">
            <v>.</v>
          </cell>
          <cell r="FG21" t="str">
            <v>.</v>
          </cell>
          <cell r="FH21" t="str">
            <v>.</v>
          </cell>
          <cell r="FI21" t="str">
            <v>.</v>
          </cell>
          <cell r="FJ21" t="str">
            <v>.</v>
          </cell>
          <cell r="FK21" t="str">
            <v>.</v>
          </cell>
          <cell r="FL21" t="str">
            <v>.</v>
          </cell>
          <cell r="FM21" t="str">
            <v>.</v>
          </cell>
          <cell r="FN21" t="str">
            <v>.</v>
          </cell>
          <cell r="FO21" t="str">
            <v>.</v>
          </cell>
          <cell r="FP21" t="str">
            <v>.</v>
          </cell>
          <cell r="FQ21" t="str">
            <v>.</v>
          </cell>
          <cell r="FR21" t="str">
            <v>.</v>
          </cell>
          <cell r="FS21" t="str">
            <v>.</v>
          </cell>
          <cell r="FT21" t="str">
            <v>.</v>
          </cell>
          <cell r="FU21" t="str">
            <v>.</v>
          </cell>
          <cell r="FV21" t="str">
            <v>.</v>
          </cell>
          <cell r="FW21" t="str">
            <v>.</v>
          </cell>
          <cell r="FX21" t="str">
            <v>.</v>
          </cell>
          <cell r="FY21" t="str">
            <v>.</v>
          </cell>
          <cell r="FZ21" t="str">
            <v>.</v>
          </cell>
          <cell r="GA21" t="str">
            <v>.</v>
          </cell>
          <cell r="GB21" t="str">
            <v>.</v>
          </cell>
          <cell r="GC21" t="str">
            <v>.</v>
          </cell>
          <cell r="GD21" t="str">
            <v>.</v>
          </cell>
          <cell r="GE21" t="str">
            <v>.</v>
          </cell>
          <cell r="GF21" t="str">
            <v>.</v>
          </cell>
          <cell r="GG21" t="str">
            <v>.</v>
          </cell>
          <cell r="GH21" t="str">
            <v>.</v>
          </cell>
          <cell r="GI21" t="str">
            <v>.</v>
          </cell>
          <cell r="GJ21" t="str">
            <v>.</v>
          </cell>
          <cell r="GK21" t="str">
            <v>.</v>
          </cell>
          <cell r="GL21" t="str">
            <v>.</v>
          </cell>
          <cell r="GM21" t="str">
            <v>.</v>
          </cell>
          <cell r="GN21" t="str">
            <v>.</v>
          </cell>
          <cell r="GO21" t="str">
            <v>.</v>
          </cell>
          <cell r="GP21" t="str">
            <v>.</v>
          </cell>
          <cell r="GQ21" t="str">
            <v>.</v>
          </cell>
          <cell r="GR21" t="str">
            <v>.</v>
          </cell>
          <cell r="GS21" t="str">
            <v>.</v>
          </cell>
          <cell r="GT21" t="str">
            <v>.</v>
          </cell>
          <cell r="GU21" t="str">
            <v>.</v>
          </cell>
          <cell r="GV21" t="str">
            <v>.</v>
          </cell>
          <cell r="GW21" t="str">
            <v>.</v>
          </cell>
          <cell r="GX21" t="str">
            <v>.</v>
          </cell>
        </row>
        <row r="22">
          <cell r="A22" t="str">
            <v>Gold price Bull case</v>
          </cell>
          <cell r="B22" t="str">
            <v>%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0.03</v>
          </cell>
          <cell r="O22">
            <v>7.4999999999999997E-2</v>
          </cell>
          <cell r="P22">
            <v>0.12</v>
          </cell>
          <cell r="Q22">
            <v>0.11</v>
          </cell>
          <cell r="R22">
            <v>0.1</v>
          </cell>
          <cell r="S22">
            <v>0.1</v>
          </cell>
          <cell r="T22">
            <v>0.05</v>
          </cell>
          <cell r="U22">
            <v>0</v>
          </cell>
          <cell r="V22">
            <v>0</v>
          </cell>
          <cell r="W22">
            <v>0</v>
          </cell>
          <cell r="X22">
            <v>1</v>
          </cell>
          <cell r="Y22">
            <v>1</v>
          </cell>
          <cell r="Z22">
            <v>1</v>
          </cell>
          <cell r="AA22">
            <v>1</v>
          </cell>
          <cell r="AB22">
            <v>1</v>
          </cell>
          <cell r="AC22">
            <v>1</v>
          </cell>
          <cell r="AD22">
            <v>1</v>
          </cell>
          <cell r="AE22">
            <v>1</v>
          </cell>
          <cell r="AF22">
            <v>1</v>
          </cell>
          <cell r="AG22">
            <v>1</v>
          </cell>
          <cell r="AH22">
            <v>1</v>
          </cell>
          <cell r="AI22">
            <v>1</v>
          </cell>
          <cell r="AJ22">
            <v>1</v>
          </cell>
          <cell r="AK22">
            <v>1</v>
          </cell>
          <cell r="AL22">
            <v>1</v>
          </cell>
          <cell r="AM22">
            <v>1</v>
          </cell>
          <cell r="AN22">
            <v>1</v>
          </cell>
          <cell r="AO22">
            <v>1</v>
          </cell>
          <cell r="AP22">
            <v>1</v>
          </cell>
          <cell r="AQ22">
            <v>1</v>
          </cell>
          <cell r="AR22">
            <v>1</v>
          </cell>
          <cell r="AS22">
            <v>1</v>
          </cell>
          <cell r="AT22">
            <v>1</v>
          </cell>
          <cell r="AU22">
            <v>1</v>
          </cell>
          <cell r="AV22">
            <v>1</v>
          </cell>
          <cell r="AW22">
            <v>1</v>
          </cell>
          <cell r="AX22">
            <v>1</v>
          </cell>
          <cell r="AY22">
            <v>1</v>
          </cell>
          <cell r="AZ22">
            <v>1</v>
          </cell>
          <cell r="BA22">
            <v>1</v>
          </cell>
          <cell r="BF22">
            <v>1</v>
          </cell>
          <cell r="BH22">
            <v>1</v>
          </cell>
          <cell r="BI22">
            <v>1</v>
          </cell>
          <cell r="BJ22">
            <v>1</v>
          </cell>
          <cell r="BK22">
            <v>1</v>
          </cell>
          <cell r="BL22">
            <v>1</v>
          </cell>
          <cell r="BM22">
            <v>1</v>
          </cell>
          <cell r="BN22">
            <v>1</v>
          </cell>
          <cell r="BO22">
            <v>1</v>
          </cell>
          <cell r="BP22">
            <v>1</v>
          </cell>
          <cell r="BQ22">
            <v>1</v>
          </cell>
          <cell r="BR22">
            <v>1</v>
          </cell>
          <cell r="BS22">
            <v>1</v>
          </cell>
          <cell r="BT22">
            <v>1</v>
          </cell>
          <cell r="BU22">
            <v>1</v>
          </cell>
          <cell r="BV22">
            <v>1</v>
          </cell>
          <cell r="BW22">
            <v>1</v>
          </cell>
          <cell r="BX22">
            <v>1</v>
          </cell>
          <cell r="BY22">
            <v>1</v>
          </cell>
          <cell r="BZ22">
            <v>1</v>
          </cell>
          <cell r="CA22">
            <v>1</v>
          </cell>
          <cell r="CB22">
            <v>1</v>
          </cell>
          <cell r="CC22">
            <v>1</v>
          </cell>
          <cell r="CD22">
            <v>1</v>
          </cell>
          <cell r="CE22">
            <v>1</v>
          </cell>
          <cell r="CF22">
            <v>1</v>
          </cell>
          <cell r="CG22">
            <v>1</v>
          </cell>
          <cell r="CH22">
            <v>1</v>
          </cell>
          <cell r="CI22">
            <v>1</v>
          </cell>
          <cell r="CJ22">
            <v>0.03</v>
          </cell>
          <cell r="CK22">
            <v>0.03</v>
          </cell>
          <cell r="CL22">
            <v>0.03</v>
          </cell>
          <cell r="CM22">
            <v>0.12</v>
          </cell>
          <cell r="CN22">
            <v>7.4999999999999997E-2</v>
          </cell>
          <cell r="CO22">
            <v>0.12</v>
          </cell>
          <cell r="CP22">
            <v>0.12</v>
          </cell>
          <cell r="CQ22">
            <v>0.12</v>
          </cell>
          <cell r="CR22">
            <v>0.12</v>
          </cell>
          <cell r="CS22">
            <v>0.1</v>
          </cell>
          <cell r="CT22">
            <v>0.11</v>
          </cell>
          <cell r="CU22">
            <v>0.1</v>
          </cell>
          <cell r="CV22">
            <v>0.1</v>
          </cell>
          <cell r="CW22">
            <v>0.1</v>
          </cell>
          <cell r="CX22">
            <v>0.1</v>
          </cell>
          <cell r="CY22">
            <v>0.1</v>
          </cell>
          <cell r="CZ22">
            <v>0.1</v>
          </cell>
          <cell r="DA22">
            <v>0.1</v>
          </cell>
          <cell r="DB22">
            <v>0</v>
          </cell>
          <cell r="DC22">
            <v>0.05</v>
          </cell>
          <cell r="DD22">
            <v>0</v>
          </cell>
          <cell r="DE22">
            <v>0</v>
          </cell>
          <cell r="DF22">
            <v>0</v>
          </cell>
          <cell r="DG22">
            <v>1</v>
          </cell>
          <cell r="DH22">
            <v>1</v>
          </cell>
          <cell r="DI22">
            <v>1</v>
          </cell>
          <cell r="DJ22">
            <v>1</v>
          </cell>
          <cell r="DK22">
            <v>1</v>
          </cell>
          <cell r="DL22">
            <v>1</v>
          </cell>
          <cell r="DM22">
            <v>1</v>
          </cell>
          <cell r="DN22">
            <v>1</v>
          </cell>
          <cell r="DO22">
            <v>1</v>
          </cell>
          <cell r="DP22">
            <v>1</v>
          </cell>
          <cell r="DQ22">
            <v>1</v>
          </cell>
          <cell r="DR22">
            <v>1</v>
          </cell>
          <cell r="DS22">
            <v>1</v>
          </cell>
          <cell r="DT22">
            <v>1</v>
          </cell>
          <cell r="DU22">
            <v>1</v>
          </cell>
          <cell r="DV22">
            <v>1</v>
          </cell>
          <cell r="DW22">
            <v>1</v>
          </cell>
          <cell r="DX22">
            <v>1</v>
          </cell>
          <cell r="DY22">
            <v>1</v>
          </cell>
          <cell r="DZ22">
            <v>1</v>
          </cell>
          <cell r="EA22">
            <v>1</v>
          </cell>
          <cell r="EB22">
            <v>1</v>
          </cell>
          <cell r="EC22">
            <v>1</v>
          </cell>
          <cell r="ED22">
            <v>1</v>
          </cell>
          <cell r="EE22">
            <v>1</v>
          </cell>
          <cell r="EF22">
            <v>1</v>
          </cell>
          <cell r="EG22">
            <v>1</v>
          </cell>
          <cell r="EH22">
            <v>1</v>
          </cell>
          <cell r="EI22">
            <v>1</v>
          </cell>
          <cell r="EJ22">
            <v>1</v>
          </cell>
          <cell r="EK22">
            <v>1</v>
          </cell>
          <cell r="EL22">
            <v>1</v>
          </cell>
          <cell r="EM22">
            <v>1</v>
          </cell>
          <cell r="EN22">
            <v>1</v>
          </cell>
          <cell r="EO22">
            <v>1</v>
          </cell>
          <cell r="EP22">
            <v>1</v>
          </cell>
          <cell r="EQ22">
            <v>1</v>
          </cell>
          <cell r="ER22">
            <v>1</v>
          </cell>
          <cell r="ES22">
            <v>1</v>
          </cell>
          <cell r="ET22">
            <v>1</v>
          </cell>
          <cell r="EU22">
            <v>1</v>
          </cell>
          <cell r="EV22">
            <v>1</v>
          </cell>
          <cell r="EW22">
            <v>1</v>
          </cell>
          <cell r="EX22">
            <v>1</v>
          </cell>
          <cell r="EY22">
            <v>1</v>
          </cell>
          <cell r="EZ22">
            <v>1</v>
          </cell>
          <cell r="FA22">
            <v>1</v>
          </cell>
          <cell r="FB22">
            <v>1</v>
          </cell>
          <cell r="FC22">
            <v>1</v>
          </cell>
          <cell r="FD22">
            <v>1</v>
          </cell>
          <cell r="FE22">
            <v>1</v>
          </cell>
          <cell r="FF22">
            <v>1</v>
          </cell>
          <cell r="FG22">
            <v>1</v>
          </cell>
          <cell r="FH22">
            <v>1</v>
          </cell>
          <cell r="FI22">
            <v>1</v>
          </cell>
          <cell r="FJ22">
            <v>1</v>
          </cell>
          <cell r="FK22">
            <v>1</v>
          </cell>
          <cell r="FL22">
            <v>1</v>
          </cell>
          <cell r="FM22">
            <v>1</v>
          </cell>
          <cell r="FN22">
            <v>1</v>
          </cell>
          <cell r="FO22">
            <v>1</v>
          </cell>
          <cell r="FP22">
            <v>1</v>
          </cell>
          <cell r="FQ22">
            <v>1</v>
          </cell>
          <cell r="FR22">
            <v>1</v>
          </cell>
          <cell r="FS22">
            <v>1</v>
          </cell>
          <cell r="FT22">
            <v>1</v>
          </cell>
          <cell r="FU22">
            <v>1</v>
          </cell>
          <cell r="FV22">
            <v>1</v>
          </cell>
          <cell r="FW22">
            <v>1</v>
          </cell>
          <cell r="FX22">
            <v>1</v>
          </cell>
          <cell r="FY22">
            <v>1</v>
          </cell>
          <cell r="FZ22">
            <v>1</v>
          </cell>
          <cell r="GA22">
            <v>1</v>
          </cell>
          <cell r="GB22">
            <v>1</v>
          </cell>
          <cell r="GC22">
            <v>1</v>
          </cell>
          <cell r="GD22">
            <v>1</v>
          </cell>
          <cell r="GE22">
            <v>1</v>
          </cell>
          <cell r="GF22">
            <v>1</v>
          </cell>
          <cell r="GG22">
            <v>1</v>
          </cell>
          <cell r="GH22">
            <v>1</v>
          </cell>
          <cell r="GI22">
            <v>1</v>
          </cell>
          <cell r="GJ22">
            <v>1</v>
          </cell>
          <cell r="GK22">
            <v>1</v>
          </cell>
          <cell r="GL22">
            <v>1</v>
          </cell>
          <cell r="GM22">
            <v>1</v>
          </cell>
          <cell r="GN22">
            <v>1</v>
          </cell>
          <cell r="GO22">
            <v>1</v>
          </cell>
          <cell r="GP22">
            <v>1</v>
          </cell>
          <cell r="GQ22">
            <v>1</v>
          </cell>
          <cell r="GR22">
            <v>1</v>
          </cell>
          <cell r="GS22">
            <v>1</v>
          </cell>
          <cell r="GT22">
            <v>1</v>
          </cell>
          <cell r="GU22">
            <v>1</v>
          </cell>
          <cell r="GV22">
            <v>1</v>
          </cell>
          <cell r="GW22">
            <v>1</v>
          </cell>
          <cell r="GX22">
            <v>1</v>
          </cell>
        </row>
        <row r="23">
          <cell r="A23" t="str">
            <v>Gold price Bear case</v>
          </cell>
          <cell r="B23" t="str">
            <v>%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-0.02</v>
          </cell>
          <cell r="O23">
            <v>-0.05</v>
          </cell>
          <cell r="P23">
            <v>-0.08</v>
          </cell>
          <cell r="Q23">
            <v>-0.09</v>
          </cell>
          <cell r="R23">
            <v>-0.1</v>
          </cell>
          <cell r="S23">
            <v>-0.1</v>
          </cell>
          <cell r="T23">
            <v>-0.05</v>
          </cell>
          <cell r="U23">
            <v>0</v>
          </cell>
          <cell r="V23">
            <v>0</v>
          </cell>
          <cell r="W23">
            <v>0</v>
          </cell>
          <cell r="X23">
            <v>1</v>
          </cell>
          <cell r="Y23">
            <v>1</v>
          </cell>
          <cell r="Z23">
            <v>1</v>
          </cell>
          <cell r="AA23">
            <v>1</v>
          </cell>
          <cell r="AB23">
            <v>1</v>
          </cell>
          <cell r="AC23">
            <v>1</v>
          </cell>
          <cell r="AD23">
            <v>1</v>
          </cell>
          <cell r="AE23">
            <v>1</v>
          </cell>
          <cell r="AF23">
            <v>1</v>
          </cell>
          <cell r="AG23">
            <v>1</v>
          </cell>
          <cell r="AH23">
            <v>1</v>
          </cell>
          <cell r="AI23">
            <v>1</v>
          </cell>
          <cell r="AJ23">
            <v>1</v>
          </cell>
          <cell r="AK23">
            <v>1</v>
          </cell>
          <cell r="AL23">
            <v>1</v>
          </cell>
          <cell r="AM23">
            <v>1</v>
          </cell>
          <cell r="AN23">
            <v>1</v>
          </cell>
          <cell r="AO23">
            <v>1</v>
          </cell>
          <cell r="AP23">
            <v>1</v>
          </cell>
          <cell r="AQ23">
            <v>1</v>
          </cell>
          <cell r="AR23">
            <v>1</v>
          </cell>
          <cell r="AS23">
            <v>1</v>
          </cell>
          <cell r="AT23">
            <v>1</v>
          </cell>
          <cell r="AU23">
            <v>1</v>
          </cell>
          <cell r="AV23">
            <v>1</v>
          </cell>
          <cell r="AW23">
            <v>1</v>
          </cell>
          <cell r="AX23">
            <v>1</v>
          </cell>
          <cell r="AY23">
            <v>1</v>
          </cell>
          <cell r="AZ23">
            <v>1</v>
          </cell>
          <cell r="BA23">
            <v>1</v>
          </cell>
          <cell r="BF23">
            <v>1</v>
          </cell>
          <cell r="BH23">
            <v>1</v>
          </cell>
          <cell r="BI23">
            <v>1</v>
          </cell>
          <cell r="BJ23">
            <v>1</v>
          </cell>
          <cell r="BK23">
            <v>1</v>
          </cell>
          <cell r="BL23">
            <v>1</v>
          </cell>
          <cell r="BM23">
            <v>1</v>
          </cell>
          <cell r="BN23">
            <v>1</v>
          </cell>
          <cell r="BO23">
            <v>1</v>
          </cell>
          <cell r="BP23">
            <v>1</v>
          </cell>
          <cell r="BQ23">
            <v>1</v>
          </cell>
          <cell r="BR23">
            <v>1</v>
          </cell>
          <cell r="BS23">
            <v>1</v>
          </cell>
          <cell r="BT23">
            <v>1</v>
          </cell>
          <cell r="BU23">
            <v>1</v>
          </cell>
          <cell r="BV23">
            <v>1</v>
          </cell>
          <cell r="BW23">
            <v>1</v>
          </cell>
          <cell r="BX23">
            <v>1</v>
          </cell>
          <cell r="BY23">
            <v>1</v>
          </cell>
          <cell r="BZ23">
            <v>1</v>
          </cell>
          <cell r="CA23">
            <v>1</v>
          </cell>
          <cell r="CB23">
            <v>1</v>
          </cell>
          <cell r="CC23">
            <v>1</v>
          </cell>
          <cell r="CD23">
            <v>1</v>
          </cell>
          <cell r="CE23">
            <v>1</v>
          </cell>
          <cell r="CF23">
            <v>1</v>
          </cell>
          <cell r="CG23">
            <v>1</v>
          </cell>
          <cell r="CH23">
            <v>1</v>
          </cell>
          <cell r="CI23">
            <v>1</v>
          </cell>
          <cell r="CJ23">
            <v>-0.02</v>
          </cell>
          <cell r="CK23">
            <v>-0.02</v>
          </cell>
          <cell r="CL23">
            <v>-0.02</v>
          </cell>
          <cell r="CM23">
            <v>-0.08</v>
          </cell>
          <cell r="CN23">
            <v>-0.05</v>
          </cell>
          <cell r="CO23">
            <v>-0.08</v>
          </cell>
          <cell r="CP23">
            <v>-0.08</v>
          </cell>
          <cell r="CQ23">
            <v>-0.08</v>
          </cell>
          <cell r="CR23">
            <v>-0.08</v>
          </cell>
          <cell r="CS23">
            <v>-0.1</v>
          </cell>
          <cell r="CT23">
            <v>-0.09</v>
          </cell>
          <cell r="CU23">
            <v>-0.1</v>
          </cell>
          <cell r="CV23">
            <v>-0.1</v>
          </cell>
          <cell r="CW23">
            <v>-0.1</v>
          </cell>
          <cell r="CX23">
            <v>-0.1</v>
          </cell>
          <cell r="CY23">
            <v>-0.1</v>
          </cell>
          <cell r="CZ23">
            <v>-0.1</v>
          </cell>
          <cell r="DA23">
            <v>-0.1</v>
          </cell>
          <cell r="DB23">
            <v>0</v>
          </cell>
          <cell r="DC23">
            <v>-0.05</v>
          </cell>
          <cell r="DD23">
            <v>0</v>
          </cell>
          <cell r="DE23">
            <v>0</v>
          </cell>
          <cell r="DF23">
            <v>0</v>
          </cell>
          <cell r="DG23">
            <v>1</v>
          </cell>
          <cell r="DH23">
            <v>1</v>
          </cell>
          <cell r="DI23">
            <v>1</v>
          </cell>
          <cell r="DJ23">
            <v>1</v>
          </cell>
          <cell r="DK23">
            <v>1</v>
          </cell>
          <cell r="DL23">
            <v>1</v>
          </cell>
          <cell r="DM23">
            <v>1</v>
          </cell>
          <cell r="DN23">
            <v>1</v>
          </cell>
          <cell r="DO23">
            <v>1</v>
          </cell>
          <cell r="DP23">
            <v>1</v>
          </cell>
          <cell r="DQ23">
            <v>1</v>
          </cell>
          <cell r="DR23">
            <v>1</v>
          </cell>
          <cell r="DS23">
            <v>1</v>
          </cell>
          <cell r="DT23">
            <v>1</v>
          </cell>
          <cell r="DU23">
            <v>1</v>
          </cell>
          <cell r="DV23">
            <v>1</v>
          </cell>
          <cell r="DW23">
            <v>1</v>
          </cell>
          <cell r="DX23">
            <v>1</v>
          </cell>
          <cell r="DY23">
            <v>1</v>
          </cell>
          <cell r="DZ23">
            <v>1</v>
          </cell>
          <cell r="EA23">
            <v>1</v>
          </cell>
          <cell r="EB23">
            <v>1</v>
          </cell>
          <cell r="EC23">
            <v>1</v>
          </cell>
          <cell r="ED23">
            <v>1</v>
          </cell>
          <cell r="EE23">
            <v>1</v>
          </cell>
          <cell r="EF23">
            <v>1</v>
          </cell>
          <cell r="EG23">
            <v>1</v>
          </cell>
          <cell r="EH23">
            <v>1</v>
          </cell>
          <cell r="EI23">
            <v>1</v>
          </cell>
          <cell r="EJ23">
            <v>1</v>
          </cell>
          <cell r="EK23">
            <v>1</v>
          </cell>
          <cell r="EL23">
            <v>1</v>
          </cell>
          <cell r="EM23">
            <v>1</v>
          </cell>
          <cell r="EN23">
            <v>1</v>
          </cell>
          <cell r="EO23">
            <v>1</v>
          </cell>
          <cell r="EP23">
            <v>1</v>
          </cell>
          <cell r="EQ23">
            <v>1</v>
          </cell>
          <cell r="ER23">
            <v>1</v>
          </cell>
          <cell r="ES23">
            <v>1</v>
          </cell>
          <cell r="ET23">
            <v>1</v>
          </cell>
          <cell r="EU23">
            <v>1</v>
          </cell>
          <cell r="EV23">
            <v>1</v>
          </cell>
          <cell r="EW23">
            <v>1</v>
          </cell>
          <cell r="EX23">
            <v>1</v>
          </cell>
          <cell r="EY23">
            <v>1</v>
          </cell>
          <cell r="EZ23">
            <v>1</v>
          </cell>
          <cell r="FA23">
            <v>1</v>
          </cell>
          <cell r="FB23">
            <v>1</v>
          </cell>
          <cell r="FC23">
            <v>1</v>
          </cell>
          <cell r="FD23">
            <v>1</v>
          </cell>
          <cell r="FE23">
            <v>1</v>
          </cell>
          <cell r="FF23">
            <v>1</v>
          </cell>
          <cell r="FG23">
            <v>1</v>
          </cell>
          <cell r="FH23">
            <v>1</v>
          </cell>
          <cell r="FI23">
            <v>1</v>
          </cell>
          <cell r="FJ23">
            <v>1</v>
          </cell>
          <cell r="FK23">
            <v>1</v>
          </cell>
          <cell r="FL23">
            <v>1</v>
          </cell>
          <cell r="FM23">
            <v>1</v>
          </cell>
          <cell r="FN23">
            <v>1</v>
          </cell>
          <cell r="FO23">
            <v>1</v>
          </cell>
          <cell r="FP23">
            <v>1</v>
          </cell>
          <cell r="FQ23">
            <v>1</v>
          </cell>
          <cell r="FR23">
            <v>1</v>
          </cell>
          <cell r="FS23">
            <v>1</v>
          </cell>
          <cell r="FT23">
            <v>1</v>
          </cell>
          <cell r="FU23">
            <v>1</v>
          </cell>
          <cell r="FV23">
            <v>1</v>
          </cell>
          <cell r="FW23">
            <v>1</v>
          </cell>
          <cell r="FX23">
            <v>1</v>
          </cell>
          <cell r="FY23">
            <v>1</v>
          </cell>
          <cell r="FZ23">
            <v>1</v>
          </cell>
          <cell r="GA23">
            <v>1</v>
          </cell>
          <cell r="GB23">
            <v>1</v>
          </cell>
          <cell r="GC23">
            <v>1</v>
          </cell>
          <cell r="GD23">
            <v>1</v>
          </cell>
          <cell r="GE23">
            <v>1</v>
          </cell>
          <cell r="GF23">
            <v>1</v>
          </cell>
          <cell r="GG23">
            <v>1</v>
          </cell>
          <cell r="GH23">
            <v>1</v>
          </cell>
          <cell r="GI23">
            <v>1</v>
          </cell>
          <cell r="GJ23">
            <v>1</v>
          </cell>
          <cell r="GK23">
            <v>1</v>
          </cell>
          <cell r="GL23">
            <v>1</v>
          </cell>
          <cell r="GM23">
            <v>1</v>
          </cell>
          <cell r="GN23">
            <v>1</v>
          </cell>
          <cell r="GO23">
            <v>1</v>
          </cell>
          <cell r="GP23">
            <v>1</v>
          </cell>
          <cell r="GQ23">
            <v>1</v>
          </cell>
          <cell r="GR23">
            <v>1</v>
          </cell>
          <cell r="GS23">
            <v>1</v>
          </cell>
          <cell r="GT23">
            <v>1</v>
          </cell>
          <cell r="GU23">
            <v>1</v>
          </cell>
          <cell r="GV23">
            <v>1</v>
          </cell>
          <cell r="GW23">
            <v>1</v>
          </cell>
          <cell r="GX23">
            <v>1</v>
          </cell>
        </row>
        <row r="25">
          <cell r="A25" t="str">
            <v>Copper price Bull case</v>
          </cell>
          <cell r="B25" t="str">
            <v>%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0.02</v>
          </cell>
          <cell r="O25">
            <v>6.0000000000000005E-2</v>
          </cell>
          <cell r="P25">
            <v>0.125</v>
          </cell>
          <cell r="Q25">
            <v>0.15</v>
          </cell>
          <cell r="R25">
            <v>0.125</v>
          </cell>
          <cell r="S25">
            <v>0.1</v>
          </cell>
          <cell r="T25">
            <v>0.05</v>
          </cell>
          <cell r="U25">
            <v>0</v>
          </cell>
          <cell r="V25">
            <v>0</v>
          </cell>
          <cell r="W25">
            <v>0</v>
          </cell>
          <cell r="X25">
            <v>3.286241381536577</v>
          </cell>
          <cell r="Y25">
            <v>2.8982287131518367</v>
          </cell>
          <cell r="Z25">
            <v>2.8982147243067047</v>
          </cell>
          <cell r="AA25">
            <v>2.4203950278029787</v>
          </cell>
          <cell r="AB25">
            <v>2.3002918365086682</v>
          </cell>
          <cell r="AC25">
            <v>2.3002824299752858</v>
          </cell>
          <cell r="AD25">
            <v>2.3002635850258475</v>
          </cell>
          <cell r="AE25">
            <v>2.3000572344645738</v>
          </cell>
          <cell r="AF25">
            <v>2.3000747289009151</v>
          </cell>
          <cell r="AG25">
            <v>2.1791123213599368</v>
          </cell>
          <cell r="AH25">
            <v>2.1791105412283387</v>
          </cell>
          <cell r="AI25">
            <v>2.1791086962377877</v>
          </cell>
          <cell r="AJ25">
            <v>2.179106781482095</v>
          </cell>
          <cell r="AK25">
            <v>1.7057940069104591</v>
          </cell>
          <cell r="AL25">
            <v>1.7057919354963791</v>
          </cell>
          <cell r="AM25">
            <v>1.7057897757271712</v>
          </cell>
          <cell r="AN25">
            <v>1.7057875197270096</v>
          </cell>
          <cell r="AO25">
            <v>1.7057851585175627</v>
          </cell>
          <cell r="AP25">
            <v>1.7057826818020723</v>
          </cell>
          <cell r="AQ25">
            <v>1.7057800776938357</v>
          </cell>
          <cell r="AR25">
            <v>1.7055973323709668</v>
          </cell>
          <cell r="AS25">
            <v>1.0496458765773748</v>
          </cell>
          <cell r="AT25">
            <v>1.0496427972616749</v>
          </cell>
          <cell r="AU25">
            <v>1.0496395184813707</v>
          </cell>
          <cell r="AV25">
            <v>0.65594855305466226</v>
          </cell>
          <cell r="AW25">
            <v>0.65594855305466226</v>
          </cell>
          <cell r="AX25">
            <v>0.65594855305466226</v>
          </cell>
          <cell r="AY25">
            <v>0.65594855305466226</v>
          </cell>
          <cell r="AZ25">
            <v>0.65594855305466226</v>
          </cell>
          <cell r="BA25">
            <v>0.65594855305466226</v>
          </cell>
          <cell r="BF25">
            <v>377.47699999999998</v>
          </cell>
          <cell r="BH25">
            <v>307.88499999999999</v>
          </cell>
          <cell r="BI25">
            <v>338.53300000000002</v>
          </cell>
          <cell r="BJ25">
            <v>646.41800000000001</v>
          </cell>
          <cell r="BK25">
            <v>276.80399999999997</v>
          </cell>
          <cell r="BL25">
            <v>447.78</v>
          </cell>
          <cell r="BM25">
            <v>724.58399999999995</v>
          </cell>
          <cell r="BN25">
            <v>351.92200000000003</v>
          </cell>
          <cell r="BO25">
            <v>402.82299999999998</v>
          </cell>
          <cell r="BP25">
            <v>754.745</v>
          </cell>
          <cell r="BQ25">
            <v>432.01</v>
          </cell>
          <cell r="BR25">
            <v>628.18599999999992</v>
          </cell>
          <cell r="BS25">
            <v>1060.1959999999999</v>
          </cell>
          <cell r="BT25">
            <v>768.28</v>
          </cell>
          <cell r="BU25">
            <v>730.24600000000009</v>
          </cell>
          <cell r="BV25">
            <v>1498.5260000000001</v>
          </cell>
          <cell r="BW25">
            <v>817.601</v>
          </cell>
          <cell r="BX25">
            <v>0.8532639999999998</v>
          </cell>
          <cell r="BY25">
            <v>818.45426399999997</v>
          </cell>
          <cell r="BZ25">
            <v>0.90472100000000011</v>
          </cell>
          <cell r="CA25">
            <v>0.87646100000000005</v>
          </cell>
          <cell r="CB25">
            <v>1.7811820000000003</v>
          </cell>
          <cell r="CC25">
            <v>0.86856199999999995</v>
          </cell>
          <cell r="CD25">
            <v>0.76262100000000022</v>
          </cell>
          <cell r="CE25">
            <v>1.631183</v>
          </cell>
          <cell r="CF25">
            <v>0.80707600000000002</v>
          </cell>
          <cell r="CG25">
            <v>0.95512399999999997</v>
          </cell>
          <cell r="CH25">
            <v>1.7622</v>
          </cell>
          <cell r="CI25">
            <v>1.395359</v>
          </cell>
          <cell r="CJ25">
            <v>0.02</v>
          </cell>
          <cell r="CK25">
            <v>0.02</v>
          </cell>
          <cell r="CL25">
            <v>0.02</v>
          </cell>
          <cell r="CM25">
            <v>0.1</v>
          </cell>
          <cell r="CN25">
            <v>6.0000000000000005E-2</v>
          </cell>
          <cell r="CO25">
            <v>0.1</v>
          </cell>
          <cell r="CP25">
            <v>0.15</v>
          </cell>
          <cell r="CQ25">
            <v>0.125</v>
          </cell>
          <cell r="CR25">
            <v>0.15</v>
          </cell>
          <cell r="CS25">
            <v>0.15</v>
          </cell>
          <cell r="CT25">
            <v>0.15</v>
          </cell>
          <cell r="CU25">
            <v>0.15</v>
          </cell>
          <cell r="CV25">
            <v>0.1</v>
          </cell>
          <cell r="CW25">
            <v>0.125</v>
          </cell>
          <cell r="CX25">
            <v>0.1</v>
          </cell>
          <cell r="CY25">
            <v>0.1</v>
          </cell>
          <cell r="CZ25">
            <v>0.1</v>
          </cell>
          <cell r="DA25">
            <v>0.1</v>
          </cell>
          <cell r="DB25">
            <v>0</v>
          </cell>
          <cell r="DC25">
            <v>0.05</v>
          </cell>
          <cell r="DD25">
            <v>0</v>
          </cell>
          <cell r="DE25">
            <v>0</v>
          </cell>
          <cell r="DF25">
            <v>0</v>
          </cell>
          <cell r="DG25">
            <v>1.663200053648578</v>
          </cell>
          <cell r="DH25">
            <v>1.6613500196156386</v>
          </cell>
          <cell r="DI25">
            <v>3.3245500732642164</v>
          </cell>
          <cell r="DJ25">
            <v>1.6632034212982414</v>
          </cell>
          <cell r="DK25">
            <v>1.6613520665836579</v>
          </cell>
          <cell r="DL25">
            <v>3.3245554878818995</v>
          </cell>
          <cell r="DM25">
            <v>1.6561433071213882</v>
          </cell>
          <cell r="DN25">
            <v>1.6300980744151887</v>
          </cell>
          <cell r="DO25">
            <v>3.286241381536577</v>
          </cell>
          <cell r="DP25">
            <v>1.449115755763513</v>
          </cell>
          <cell r="DQ25">
            <v>1.4491129573883235</v>
          </cell>
          <cell r="DR25">
            <v>2.8982287131518367</v>
          </cell>
          <cell r="DS25">
            <v>1.4491095706700001</v>
          </cell>
          <cell r="DT25">
            <v>1.4491051536367048</v>
          </cell>
          <cell r="DU25">
            <v>2.8982147243067047</v>
          </cell>
          <cell r="DV25">
            <v>1.2102076757630404</v>
          </cell>
          <cell r="DW25">
            <v>1.2101873520399382</v>
          </cell>
          <cell r="DX25">
            <v>2.4203950278029787</v>
          </cell>
          <cell r="DY25">
            <v>1.1501468723302208</v>
          </cell>
          <cell r="DZ25">
            <v>1.1501449641784474</v>
          </cell>
          <cell r="EA25">
            <v>2.3002918365086682</v>
          </cell>
          <cell r="EB25">
            <v>1.1501426738126346</v>
          </cell>
          <cell r="EC25">
            <v>1.1501397561626512</v>
          </cell>
          <cell r="ED25">
            <v>2.3002824299752858</v>
          </cell>
          <cell r="EE25">
            <v>1.1501356122056847</v>
          </cell>
          <cell r="EF25">
            <v>1.1501279728201625</v>
          </cell>
          <cell r="EG25">
            <v>2.3002635850258475</v>
          </cell>
          <cell r="EH25">
            <v>1.1500246149040154</v>
          </cell>
          <cell r="EI25">
            <v>1.1500326195605586</v>
          </cell>
          <cell r="EJ25">
            <v>2.3000572344645738</v>
          </cell>
          <cell r="EK25">
            <v>1.1500362458047304</v>
          </cell>
          <cell r="EL25">
            <v>1.1500384830961847</v>
          </cell>
          <cell r="EM25">
            <v>2.3000747289009151</v>
          </cell>
          <cell r="EN25">
            <v>1.0895563793202316</v>
          </cell>
          <cell r="EO25">
            <v>1.0895559420397054</v>
          </cell>
          <cell r="EP25">
            <v>2.1791123213599368</v>
          </cell>
          <cell r="EQ25">
            <v>1.0895554970755243</v>
          </cell>
          <cell r="ER25">
            <v>1.0895550441528143</v>
          </cell>
          <cell r="ES25">
            <v>2.1791105412283387</v>
          </cell>
          <cell r="ET25">
            <v>1.0895545829816833</v>
          </cell>
          <cell r="EU25">
            <v>1.0895541132561046</v>
          </cell>
          <cell r="EV25">
            <v>2.1791086962377877</v>
          </cell>
          <cell r="EW25">
            <v>1.0895536346526988</v>
          </cell>
          <cell r="EX25">
            <v>1.089553146829396</v>
          </cell>
          <cell r="EY25">
            <v>2.179106781482095</v>
          </cell>
          <cell r="EZ25">
            <v>0.85289725714100906</v>
          </cell>
          <cell r="FA25">
            <v>0.85289674976945007</v>
          </cell>
          <cell r="FB25">
            <v>1.7057940069104591</v>
          </cell>
          <cell r="FC25">
            <v>0.85289623202420084</v>
          </cell>
          <cell r="FD25">
            <v>0.85289570347217836</v>
          </cell>
          <cell r="FE25">
            <v>1.7057919354963791</v>
          </cell>
          <cell r="FF25">
            <v>0.85289516365260021</v>
          </cell>
          <cell r="FG25">
            <v>0.85289461207457085</v>
          </cell>
          <cell r="FH25">
            <v>1.7057897757271712</v>
          </cell>
          <cell r="FI25">
            <v>0.85289404821439918</v>
          </cell>
          <cell r="FJ25">
            <v>0.85289347151261041</v>
          </cell>
          <cell r="FK25">
            <v>1.7057875197270096</v>
          </cell>
          <cell r="FL25">
            <v>0.85289288137061059</v>
          </cell>
          <cell r="FM25">
            <v>0.85289227714695204</v>
          </cell>
          <cell r="FN25">
            <v>1.7057851585175627</v>
          </cell>
          <cell r="FO25">
            <v>0.85289165815314238</v>
          </cell>
          <cell r="FP25">
            <v>0.85289102364892999</v>
          </cell>
          <cell r="FQ25">
            <v>1.7057826818020723</v>
          </cell>
          <cell r="FR25">
            <v>0.85289037283698055</v>
          </cell>
          <cell r="FS25">
            <v>0.852889704856855</v>
          </cell>
          <cell r="FT25">
            <v>1.7057800776938357</v>
          </cell>
          <cell r="FU25">
            <v>0.85279901877816833</v>
          </cell>
          <cell r="FV25">
            <v>0.85279831359279834</v>
          </cell>
          <cell r="FW25">
            <v>1.7055973323709668</v>
          </cell>
          <cell r="FX25">
            <v>0.52482331167864427</v>
          </cell>
          <cell r="FY25">
            <v>0.52482256489873058</v>
          </cell>
          <cell r="FZ25">
            <v>1.0496458765773748</v>
          </cell>
          <cell r="GA25">
            <v>0.52482179542544294</v>
          </cell>
          <cell r="GB25">
            <v>0.52482100183623193</v>
          </cell>
          <cell r="GC25">
            <v>1.0496427972616749</v>
          </cell>
          <cell r="GD25">
            <v>0.52482018257045682</v>
          </cell>
          <cell r="GE25">
            <v>0.52481933591091401</v>
          </cell>
          <cell r="GF25">
            <v>1.0496395184813707</v>
          </cell>
          <cell r="GG25">
            <v>0.32797427652733113</v>
          </cell>
          <cell r="GH25">
            <v>0.32797427652733113</v>
          </cell>
          <cell r="GI25">
            <v>0.65594855305466226</v>
          </cell>
          <cell r="GJ25">
            <v>0.32797427652733113</v>
          </cell>
          <cell r="GK25">
            <v>0.32797427652733113</v>
          </cell>
          <cell r="GL25">
            <v>0.65594855305466226</v>
          </cell>
          <cell r="GM25">
            <v>0.32797427652733113</v>
          </cell>
          <cell r="GN25">
            <v>0.32797427652733113</v>
          </cell>
          <cell r="GO25">
            <v>0.65594855305466226</v>
          </cell>
          <cell r="GP25">
            <v>0.32797427652733113</v>
          </cell>
          <cell r="GQ25">
            <v>0.32797427652733113</v>
          </cell>
          <cell r="GR25">
            <v>0.65594855305466226</v>
          </cell>
          <cell r="GS25">
            <v>0.32797427652733113</v>
          </cell>
          <cell r="GT25">
            <v>0.32797427652733113</v>
          </cell>
          <cell r="GU25">
            <v>0.65594855305466226</v>
          </cell>
          <cell r="GV25">
            <v>0.32797427652733113</v>
          </cell>
          <cell r="GW25">
            <v>0.32797427652733113</v>
          </cell>
          <cell r="GX25">
            <v>0.65594855305466226</v>
          </cell>
        </row>
        <row r="26">
          <cell r="A26" t="str">
            <v>Copper price Bear case</v>
          </cell>
          <cell r="B26" t="str">
            <v>%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-0.03</v>
          </cell>
          <cell r="O26">
            <v>-0.14000000000000001</v>
          </cell>
          <cell r="P26">
            <v>-0.22500000000000001</v>
          </cell>
          <cell r="Q26">
            <v>-0.16</v>
          </cell>
          <cell r="R26">
            <v>-0.12</v>
          </cell>
          <cell r="S26">
            <v>-0.12</v>
          </cell>
          <cell r="T26">
            <v>-0.06</v>
          </cell>
          <cell r="U26">
            <v>0</v>
          </cell>
          <cell r="V26">
            <v>0</v>
          </cell>
          <cell r="W26">
            <v>0</v>
          </cell>
          <cell r="X26">
            <v>114.53113349303918</v>
          </cell>
          <cell r="Y26">
            <v>97.645159245889474</v>
          </cell>
          <cell r="Z26">
            <v>97.645159245889474</v>
          </cell>
          <cell r="AA26">
            <v>97.645159245889459</v>
          </cell>
          <cell r="AB26">
            <v>97.645159245889459</v>
          </cell>
          <cell r="AC26">
            <v>97.645159245889474</v>
          </cell>
          <cell r="AD26">
            <v>97.645159245889488</v>
          </cell>
          <cell r="AE26">
            <v>97.645159245889531</v>
          </cell>
          <cell r="AF26">
            <v>97.645159245889531</v>
          </cell>
          <cell r="AG26">
            <v>77.639890965688849</v>
          </cell>
          <cell r="AH26">
            <v>77.639890965688849</v>
          </cell>
          <cell r="AI26">
            <v>77.639890965688849</v>
          </cell>
          <cell r="AJ26">
            <v>77.639890965688849</v>
          </cell>
          <cell r="AK26">
            <v>66.014890965688849</v>
          </cell>
          <cell r="AL26">
            <v>66.014890965688863</v>
          </cell>
          <cell r="AM26">
            <v>66.014890965688863</v>
          </cell>
          <cell r="AN26">
            <v>66.014890965688878</v>
          </cell>
          <cell r="AO26">
            <v>66.014890965688892</v>
          </cell>
          <cell r="AP26">
            <v>66.014890965688892</v>
          </cell>
          <cell r="AQ26">
            <v>66.014890965688892</v>
          </cell>
          <cell r="AR26">
            <v>66.014890965688906</v>
          </cell>
          <cell r="AS26">
            <v>66.01489096568892</v>
          </cell>
          <cell r="AT26">
            <v>66.01489096568892</v>
          </cell>
          <cell r="AU26">
            <v>66.01489096568892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F26">
            <v>15183</v>
          </cell>
          <cell r="BH26">
            <v>12834</v>
          </cell>
          <cell r="BI26">
            <v>26364</v>
          </cell>
          <cell r="BJ26">
            <v>39198</v>
          </cell>
          <cell r="BK26">
            <v>25120</v>
          </cell>
          <cell r="BL26">
            <v>43484</v>
          </cell>
          <cell r="BM26">
            <v>68604</v>
          </cell>
          <cell r="BN26">
            <v>40632</v>
          </cell>
          <cell r="BO26">
            <v>43599</v>
          </cell>
          <cell r="BP26">
            <v>84231</v>
          </cell>
          <cell r="BQ26">
            <v>34024</v>
          </cell>
          <cell r="BR26">
            <v>53515</v>
          </cell>
          <cell r="BS26">
            <v>87539</v>
          </cell>
          <cell r="BT26">
            <v>55988</v>
          </cell>
          <cell r="BU26">
            <v>48595</v>
          </cell>
          <cell r="BV26">
            <v>104583</v>
          </cell>
          <cell r="BW26">
            <v>46907</v>
          </cell>
          <cell r="BX26">
            <v>43.816000000000003</v>
          </cell>
          <cell r="BY26">
            <v>46950.815999999999</v>
          </cell>
          <cell r="BZ26">
            <v>44.021000000000001</v>
          </cell>
          <cell r="CA26">
            <v>47.103999999999999</v>
          </cell>
          <cell r="CB26">
            <v>91.125</v>
          </cell>
          <cell r="CC26">
            <v>42.781999999999996</v>
          </cell>
          <cell r="CD26">
            <v>47.094999999999999</v>
          </cell>
          <cell r="CE26">
            <v>89.876999999999995</v>
          </cell>
          <cell r="CF26">
            <v>45.147999999999996</v>
          </cell>
          <cell r="CG26">
            <v>41.426000000000002</v>
          </cell>
          <cell r="CH26">
            <v>86.573999999999998</v>
          </cell>
          <cell r="CI26">
            <v>35.165999999999997</v>
          </cell>
          <cell r="CJ26">
            <v>-0.03</v>
          </cell>
          <cell r="CK26">
            <v>-0.03</v>
          </cell>
          <cell r="CL26">
            <v>-0.03</v>
          </cell>
          <cell r="CM26">
            <v>-0.25</v>
          </cell>
          <cell r="CN26">
            <v>-0.14000000000000001</v>
          </cell>
          <cell r="CO26">
            <v>-0.25</v>
          </cell>
          <cell r="CP26">
            <v>-0.2</v>
          </cell>
          <cell r="CQ26">
            <v>-0.22500000000000001</v>
          </cell>
          <cell r="CR26">
            <v>-0.2</v>
          </cell>
          <cell r="CS26">
            <v>-0.12</v>
          </cell>
          <cell r="CT26">
            <v>-0.16</v>
          </cell>
          <cell r="CU26">
            <v>-0.12</v>
          </cell>
          <cell r="CV26">
            <v>-0.12</v>
          </cell>
          <cell r="CW26">
            <v>-0.12</v>
          </cell>
          <cell r="CX26">
            <v>-0.12</v>
          </cell>
          <cell r="CY26">
            <v>-0.12</v>
          </cell>
          <cell r="CZ26">
            <v>-0.12</v>
          </cell>
          <cell r="DA26">
            <v>-0.12</v>
          </cell>
          <cell r="DB26">
            <v>0</v>
          </cell>
          <cell r="DC26">
            <v>-0.06</v>
          </cell>
          <cell r="DD26">
            <v>0</v>
          </cell>
          <cell r="DE26">
            <v>0</v>
          </cell>
          <cell r="DF26">
            <v>0</v>
          </cell>
          <cell r="DG26">
            <v>57.265566746519589</v>
          </cell>
          <cell r="DH26">
            <v>57.265566746519589</v>
          </cell>
          <cell r="DI26">
            <v>114.53113349303918</v>
          </cell>
          <cell r="DJ26">
            <v>57.265566746519589</v>
          </cell>
          <cell r="DK26">
            <v>57.265566746519589</v>
          </cell>
          <cell r="DL26">
            <v>114.53113349303918</v>
          </cell>
          <cell r="DM26">
            <v>57.265566746519589</v>
          </cell>
          <cell r="DN26">
            <v>57.265566746519589</v>
          </cell>
          <cell r="DO26">
            <v>114.53113349303918</v>
          </cell>
          <cell r="DP26">
            <v>48.822579622944737</v>
          </cell>
          <cell r="DQ26">
            <v>48.822579622944737</v>
          </cell>
          <cell r="DR26">
            <v>97.645159245889474</v>
          </cell>
          <cell r="DS26">
            <v>48.822579622944737</v>
          </cell>
          <cell r="DT26">
            <v>48.822579622944737</v>
          </cell>
          <cell r="DU26">
            <v>97.645159245889474</v>
          </cell>
          <cell r="DV26">
            <v>48.822579622944737</v>
          </cell>
          <cell r="DW26">
            <v>48.82257962294473</v>
          </cell>
          <cell r="DX26">
            <v>97.645159245889459</v>
          </cell>
          <cell r="DY26">
            <v>48.82257962294473</v>
          </cell>
          <cell r="DZ26">
            <v>48.82257962294473</v>
          </cell>
          <cell r="EA26">
            <v>97.645159245889459</v>
          </cell>
          <cell r="EB26">
            <v>48.82257962294473</v>
          </cell>
          <cell r="EC26">
            <v>48.822579622944744</v>
          </cell>
          <cell r="ED26">
            <v>97.645159245889474</v>
          </cell>
          <cell r="EE26">
            <v>48.822579622944744</v>
          </cell>
          <cell r="EF26">
            <v>48.822579622944744</v>
          </cell>
          <cell r="EG26">
            <v>97.645159245889488</v>
          </cell>
          <cell r="EH26">
            <v>48.822579622944765</v>
          </cell>
          <cell r="EI26">
            <v>48.822579622944765</v>
          </cell>
          <cell r="EJ26">
            <v>97.645159245889531</v>
          </cell>
          <cell r="EK26">
            <v>48.822579622944765</v>
          </cell>
          <cell r="EL26">
            <v>48.822579622944765</v>
          </cell>
          <cell r="EM26">
            <v>97.645159245889531</v>
          </cell>
          <cell r="EN26">
            <v>38.819945482844425</v>
          </cell>
          <cell r="EO26">
            <v>38.819945482844425</v>
          </cell>
          <cell r="EP26">
            <v>77.639890965688849</v>
          </cell>
          <cell r="EQ26">
            <v>38.819945482844425</v>
          </cell>
          <cell r="ER26">
            <v>38.819945482844425</v>
          </cell>
          <cell r="ES26">
            <v>77.639890965688849</v>
          </cell>
          <cell r="ET26">
            <v>38.819945482844425</v>
          </cell>
          <cell r="EU26">
            <v>38.819945482844425</v>
          </cell>
          <cell r="EV26">
            <v>77.639890965688849</v>
          </cell>
          <cell r="EW26">
            <v>38.819945482844425</v>
          </cell>
          <cell r="EX26">
            <v>38.819945482844425</v>
          </cell>
          <cell r="EY26">
            <v>77.639890965688849</v>
          </cell>
          <cell r="EZ26">
            <v>33.007445482844425</v>
          </cell>
          <cell r="FA26">
            <v>33.007445482844425</v>
          </cell>
          <cell r="FB26">
            <v>66.014890965688849</v>
          </cell>
          <cell r="FC26">
            <v>33.007445482844432</v>
          </cell>
          <cell r="FD26">
            <v>33.007445482844432</v>
          </cell>
          <cell r="FE26">
            <v>66.014890965688863</v>
          </cell>
          <cell r="FF26">
            <v>33.007445482844432</v>
          </cell>
          <cell r="FG26">
            <v>33.007445482844432</v>
          </cell>
          <cell r="FH26">
            <v>66.014890965688863</v>
          </cell>
          <cell r="FI26">
            <v>33.007445482844439</v>
          </cell>
          <cell r="FJ26">
            <v>33.007445482844439</v>
          </cell>
          <cell r="FK26">
            <v>66.014890965688878</v>
          </cell>
          <cell r="FL26">
            <v>33.007445482844439</v>
          </cell>
          <cell r="FM26">
            <v>33.007445482844446</v>
          </cell>
          <cell r="FN26">
            <v>66.014890965688892</v>
          </cell>
          <cell r="FO26">
            <v>33.007445482844446</v>
          </cell>
          <cell r="FP26">
            <v>33.007445482844446</v>
          </cell>
          <cell r="FQ26">
            <v>66.014890965688892</v>
          </cell>
          <cell r="FR26">
            <v>33.007445482844446</v>
          </cell>
          <cell r="FS26">
            <v>33.007445482844446</v>
          </cell>
          <cell r="FT26">
            <v>66.014890965688892</v>
          </cell>
          <cell r="FU26">
            <v>33.007445482844453</v>
          </cell>
          <cell r="FV26">
            <v>33.007445482844453</v>
          </cell>
          <cell r="FW26">
            <v>66.014890965688906</v>
          </cell>
          <cell r="FX26">
            <v>33.007445482844453</v>
          </cell>
          <cell r="FY26">
            <v>33.00744548284446</v>
          </cell>
          <cell r="FZ26">
            <v>66.01489096568892</v>
          </cell>
          <cell r="GA26">
            <v>33.00744548284446</v>
          </cell>
          <cell r="GB26">
            <v>33.00744548284446</v>
          </cell>
          <cell r="GC26">
            <v>66.01489096568892</v>
          </cell>
          <cell r="GD26">
            <v>33.00744548284446</v>
          </cell>
          <cell r="GE26">
            <v>33.00744548284446</v>
          </cell>
          <cell r="GF26">
            <v>66.01489096568892</v>
          </cell>
          <cell r="GG26">
            <v>0</v>
          </cell>
          <cell r="GH26">
            <v>0</v>
          </cell>
          <cell r="GI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N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S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X26">
            <v>0</v>
          </cell>
        </row>
        <row r="28">
          <cell r="A28" t="str">
            <v>AUDUSD Bull case</v>
          </cell>
          <cell r="B28" t="str">
            <v>%</v>
          </cell>
          <cell r="C28" t="str">
            <v>.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0.1</v>
          </cell>
          <cell r="O28">
            <v>0.125</v>
          </cell>
          <cell r="P28">
            <v>0.125</v>
          </cell>
          <cell r="Q28">
            <v>7.5000000000000011E-2</v>
          </cell>
          <cell r="R28">
            <v>0.05</v>
          </cell>
          <cell r="S28">
            <v>0.05</v>
          </cell>
          <cell r="T28">
            <v>0.05</v>
          </cell>
          <cell r="U28">
            <v>0.05</v>
          </cell>
          <cell r="V28">
            <v>0</v>
          </cell>
          <cell r="W28">
            <v>0</v>
          </cell>
          <cell r="X28" t="str">
            <v>.</v>
          </cell>
          <cell r="Y28" t="str">
            <v>.</v>
          </cell>
          <cell r="Z28" t="str">
            <v>.</v>
          </cell>
          <cell r="AA28" t="str">
            <v>.</v>
          </cell>
          <cell r="AB28" t="str">
            <v>.</v>
          </cell>
          <cell r="AC28" t="str">
            <v>.</v>
          </cell>
          <cell r="AD28" t="str">
            <v>.</v>
          </cell>
          <cell r="AE28" t="str">
            <v>.</v>
          </cell>
          <cell r="AF28" t="str">
            <v>.</v>
          </cell>
          <cell r="AG28" t="str">
            <v>.</v>
          </cell>
          <cell r="AH28" t="str">
            <v>.</v>
          </cell>
          <cell r="AI28" t="str">
            <v>.</v>
          </cell>
          <cell r="AJ28" t="str">
            <v>.</v>
          </cell>
          <cell r="AK28" t="str">
            <v>.</v>
          </cell>
          <cell r="AL28" t="str">
            <v>.</v>
          </cell>
          <cell r="AM28" t="str">
            <v>.</v>
          </cell>
          <cell r="AN28" t="str">
            <v>.</v>
          </cell>
          <cell r="AO28" t="str">
            <v>.</v>
          </cell>
          <cell r="AP28" t="str">
            <v>.</v>
          </cell>
          <cell r="AQ28" t="str">
            <v>.</v>
          </cell>
          <cell r="AR28" t="str">
            <v>.</v>
          </cell>
          <cell r="AS28" t="str">
            <v>.</v>
          </cell>
          <cell r="AT28" t="str">
            <v>.</v>
          </cell>
          <cell r="AU28" t="str">
            <v>.</v>
          </cell>
          <cell r="AV28" t="str">
            <v>.</v>
          </cell>
          <cell r="AW28" t="str">
            <v>.</v>
          </cell>
          <cell r="AX28" t="str">
            <v>.</v>
          </cell>
          <cell r="AY28" t="str">
            <v>.</v>
          </cell>
          <cell r="AZ28" t="str">
            <v>.</v>
          </cell>
          <cell r="BA28" t="str">
            <v>.</v>
          </cell>
          <cell r="BB28" t="str">
            <v>.</v>
          </cell>
          <cell r="BC28" t="str">
            <v>.</v>
          </cell>
          <cell r="BD28" t="str">
            <v>.</v>
          </cell>
          <cell r="BE28" t="str">
            <v>.</v>
          </cell>
          <cell r="BF28" t="str">
            <v>.</v>
          </cell>
          <cell r="BG28" t="str">
            <v>.</v>
          </cell>
          <cell r="BH28" t="str">
            <v>.</v>
          </cell>
          <cell r="BI28" t="str">
            <v>.</v>
          </cell>
          <cell r="BJ28" t="str">
            <v>.</v>
          </cell>
          <cell r="BK28" t="str">
            <v>.</v>
          </cell>
          <cell r="BL28" t="str">
            <v>.</v>
          </cell>
          <cell r="BM28" t="str">
            <v>.</v>
          </cell>
          <cell r="BN28" t="str">
            <v>.</v>
          </cell>
          <cell r="BO28" t="str">
            <v>.</v>
          </cell>
          <cell r="BP28" t="str">
            <v>.</v>
          </cell>
          <cell r="BQ28" t="str">
            <v>.</v>
          </cell>
          <cell r="BR28" t="str">
            <v>.</v>
          </cell>
          <cell r="BS28" t="str">
            <v>.</v>
          </cell>
          <cell r="BT28" t="str">
            <v>.</v>
          </cell>
          <cell r="BU28" t="str">
            <v>.</v>
          </cell>
          <cell r="BV28" t="str">
            <v>.</v>
          </cell>
          <cell r="BW28" t="str">
            <v>.</v>
          </cell>
          <cell r="BX28" t="str">
            <v>.</v>
          </cell>
          <cell r="BY28" t="str">
            <v>.</v>
          </cell>
          <cell r="BZ28" t="str">
            <v>.</v>
          </cell>
          <cell r="CA28" t="str">
            <v>.</v>
          </cell>
          <cell r="CB28" t="str">
            <v>.</v>
          </cell>
          <cell r="CC28" t="str">
            <v>.</v>
          </cell>
          <cell r="CD28" t="str">
            <v>.</v>
          </cell>
          <cell r="CE28" t="str">
            <v>.</v>
          </cell>
          <cell r="CF28" t="str">
            <v>.</v>
          </cell>
          <cell r="CG28" t="str">
            <v>.</v>
          </cell>
          <cell r="CH28" t="str">
            <v>.</v>
          </cell>
          <cell r="CI28" t="str">
            <v>.</v>
          </cell>
          <cell r="CJ28">
            <v>0.1</v>
          </cell>
          <cell r="CK28">
            <v>0.1</v>
          </cell>
          <cell r="CL28">
            <v>0.1</v>
          </cell>
          <cell r="CM28">
            <v>0.15</v>
          </cell>
          <cell r="CN28">
            <v>0.125</v>
          </cell>
          <cell r="CO28">
            <v>0.15</v>
          </cell>
          <cell r="CP28">
            <v>0.1</v>
          </cell>
          <cell r="CQ28">
            <v>0.125</v>
          </cell>
          <cell r="CR28">
            <v>0.1</v>
          </cell>
          <cell r="CS28">
            <v>0.05</v>
          </cell>
          <cell r="CT28">
            <v>7.5000000000000011E-2</v>
          </cell>
          <cell r="CU28">
            <v>0.05</v>
          </cell>
          <cell r="CV28">
            <v>0.05</v>
          </cell>
          <cell r="CW28">
            <v>0.05</v>
          </cell>
          <cell r="CX28">
            <v>0.05</v>
          </cell>
          <cell r="CY28">
            <v>0.05</v>
          </cell>
          <cell r="CZ28">
            <v>0.05</v>
          </cell>
          <cell r="DA28">
            <v>0.05</v>
          </cell>
          <cell r="DB28">
            <v>0.05</v>
          </cell>
          <cell r="DC28">
            <v>0.05</v>
          </cell>
          <cell r="DD28">
            <v>0.05</v>
          </cell>
          <cell r="DE28">
            <v>0.05</v>
          </cell>
          <cell r="DF28">
            <v>0.05</v>
          </cell>
          <cell r="DG28" t="str">
            <v>.</v>
          </cell>
          <cell r="DH28" t="str">
            <v>.</v>
          </cell>
          <cell r="DI28" t="str">
            <v>.</v>
          </cell>
          <cell r="DJ28" t="str">
            <v>.</v>
          </cell>
          <cell r="DK28" t="str">
            <v>.</v>
          </cell>
          <cell r="DL28" t="str">
            <v>.</v>
          </cell>
          <cell r="DM28" t="str">
            <v>.</v>
          </cell>
          <cell r="DN28" t="str">
            <v>.</v>
          </cell>
          <cell r="DO28" t="str">
            <v>.</v>
          </cell>
          <cell r="DP28" t="str">
            <v>.</v>
          </cell>
          <cell r="DQ28" t="str">
            <v>.</v>
          </cell>
          <cell r="DR28" t="str">
            <v>.</v>
          </cell>
          <cell r="DS28" t="str">
            <v>.</v>
          </cell>
          <cell r="DT28" t="str">
            <v>.</v>
          </cell>
          <cell r="DU28" t="str">
            <v>.</v>
          </cell>
          <cell r="DV28" t="str">
            <v>.</v>
          </cell>
          <cell r="DW28" t="str">
            <v>.</v>
          </cell>
          <cell r="DX28" t="str">
            <v>.</v>
          </cell>
          <cell r="DY28" t="str">
            <v>.</v>
          </cell>
          <cell r="DZ28" t="str">
            <v>.</v>
          </cell>
          <cell r="EA28" t="str">
            <v>.</v>
          </cell>
          <cell r="EB28" t="str">
            <v>.</v>
          </cell>
          <cell r="EC28" t="str">
            <v>.</v>
          </cell>
          <cell r="ED28" t="str">
            <v>.</v>
          </cell>
          <cell r="EE28" t="str">
            <v>.</v>
          </cell>
          <cell r="EF28" t="str">
            <v>.</v>
          </cell>
          <cell r="EG28" t="str">
            <v>.</v>
          </cell>
          <cell r="EH28" t="str">
            <v>.</v>
          </cell>
          <cell r="EI28" t="str">
            <v>.</v>
          </cell>
          <cell r="EJ28" t="str">
            <v>.</v>
          </cell>
          <cell r="EK28" t="str">
            <v>.</v>
          </cell>
          <cell r="EL28" t="str">
            <v>.</v>
          </cell>
          <cell r="EM28" t="str">
            <v>.</v>
          </cell>
          <cell r="EN28" t="str">
            <v>.</v>
          </cell>
          <cell r="EO28" t="str">
            <v>.</v>
          </cell>
          <cell r="EP28" t="str">
            <v>.</v>
          </cell>
          <cell r="EQ28" t="str">
            <v>.</v>
          </cell>
          <cell r="ER28" t="str">
            <v>.</v>
          </cell>
          <cell r="ES28" t="str">
            <v>.</v>
          </cell>
          <cell r="ET28" t="str">
            <v>.</v>
          </cell>
          <cell r="EU28" t="str">
            <v>.</v>
          </cell>
          <cell r="EV28" t="str">
            <v>.</v>
          </cell>
          <cell r="EW28" t="str">
            <v>.</v>
          </cell>
          <cell r="EX28" t="str">
            <v>.</v>
          </cell>
          <cell r="EY28" t="str">
            <v>.</v>
          </cell>
          <cell r="EZ28" t="str">
            <v>.</v>
          </cell>
          <cell r="FA28" t="str">
            <v>.</v>
          </cell>
          <cell r="FB28" t="str">
            <v>.</v>
          </cell>
          <cell r="FC28" t="str">
            <v>.</v>
          </cell>
          <cell r="FD28" t="str">
            <v>.</v>
          </cell>
          <cell r="FE28" t="str">
            <v>.</v>
          </cell>
          <cell r="FF28" t="str">
            <v>.</v>
          </cell>
          <cell r="FG28" t="str">
            <v>.</v>
          </cell>
          <cell r="FH28" t="str">
            <v>.</v>
          </cell>
          <cell r="FI28" t="str">
            <v>.</v>
          </cell>
          <cell r="FJ28" t="str">
            <v>.</v>
          </cell>
          <cell r="FK28" t="str">
            <v>.</v>
          </cell>
          <cell r="FL28" t="str">
            <v>.</v>
          </cell>
          <cell r="FM28" t="str">
            <v>.</v>
          </cell>
          <cell r="FN28" t="str">
            <v>.</v>
          </cell>
          <cell r="FO28" t="str">
            <v>.</v>
          </cell>
          <cell r="FP28" t="str">
            <v>.</v>
          </cell>
          <cell r="FQ28" t="str">
            <v>.</v>
          </cell>
          <cell r="FR28" t="str">
            <v>.</v>
          </cell>
          <cell r="FS28" t="str">
            <v>.</v>
          </cell>
          <cell r="FT28" t="str">
            <v>.</v>
          </cell>
          <cell r="FU28" t="str">
            <v>.</v>
          </cell>
          <cell r="FV28" t="str">
            <v>.</v>
          </cell>
          <cell r="FW28" t="str">
            <v>.</v>
          </cell>
          <cell r="FX28" t="str">
            <v>.</v>
          </cell>
          <cell r="FY28" t="str">
            <v>.</v>
          </cell>
          <cell r="FZ28" t="str">
            <v>.</v>
          </cell>
          <cell r="GA28" t="str">
            <v>.</v>
          </cell>
          <cell r="GB28" t="str">
            <v>.</v>
          </cell>
          <cell r="GC28" t="str">
            <v>.</v>
          </cell>
          <cell r="GD28" t="str">
            <v>.</v>
          </cell>
          <cell r="GE28" t="str">
            <v>.</v>
          </cell>
          <cell r="GF28" t="str">
            <v>.</v>
          </cell>
          <cell r="GG28" t="str">
            <v>.</v>
          </cell>
          <cell r="GH28" t="str">
            <v>.</v>
          </cell>
          <cell r="GI28" t="str">
            <v>.</v>
          </cell>
          <cell r="GJ28" t="str">
            <v>.</v>
          </cell>
          <cell r="GK28" t="str">
            <v>.</v>
          </cell>
          <cell r="GL28" t="str">
            <v>.</v>
          </cell>
          <cell r="GM28" t="str">
            <v>.</v>
          </cell>
          <cell r="GN28" t="str">
            <v>.</v>
          </cell>
          <cell r="GO28" t="str">
            <v>.</v>
          </cell>
          <cell r="GP28" t="str">
            <v>.</v>
          </cell>
          <cell r="GQ28" t="str">
            <v>.</v>
          </cell>
          <cell r="GR28" t="str">
            <v>.</v>
          </cell>
          <cell r="GS28" t="str">
            <v>.</v>
          </cell>
          <cell r="GT28" t="str">
            <v>.</v>
          </cell>
          <cell r="GU28" t="str">
            <v>.</v>
          </cell>
          <cell r="GV28" t="str">
            <v>.</v>
          </cell>
          <cell r="GW28" t="str">
            <v>.</v>
          </cell>
          <cell r="GX28" t="str">
            <v>.</v>
          </cell>
        </row>
        <row r="29">
          <cell r="A29" t="str">
            <v>AUDUSD Bear case</v>
          </cell>
          <cell r="B29" t="str">
            <v>%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-7.4999999999999997E-2</v>
          </cell>
          <cell r="O29">
            <v>-0.11249999999999999</v>
          </cell>
          <cell r="P29">
            <v>-0.15</v>
          </cell>
          <cell r="Q29">
            <v>-0.15</v>
          </cell>
          <cell r="R29">
            <v>-0.15</v>
          </cell>
          <cell r="S29">
            <v>-0.15</v>
          </cell>
          <cell r="T29">
            <v>-0.15</v>
          </cell>
          <cell r="U29">
            <v>-0.15</v>
          </cell>
          <cell r="V29">
            <v>0</v>
          </cell>
          <cell r="W29">
            <v>0</v>
          </cell>
          <cell r="CJ29">
            <v>-7.4999999999999997E-2</v>
          </cell>
          <cell r="CK29">
            <v>-7.4999999999999997E-2</v>
          </cell>
          <cell r="CL29">
            <v>-7.4999999999999997E-2</v>
          </cell>
          <cell r="CM29">
            <v>-0.15</v>
          </cell>
          <cell r="CN29">
            <v>-0.11249999999999999</v>
          </cell>
          <cell r="CO29">
            <v>-0.15</v>
          </cell>
          <cell r="CP29">
            <v>-0.15</v>
          </cell>
          <cell r="CQ29">
            <v>-0.15</v>
          </cell>
          <cell r="CR29">
            <v>-0.15</v>
          </cell>
          <cell r="CS29">
            <v>-0.15</v>
          </cell>
          <cell r="CT29">
            <v>-0.15</v>
          </cell>
          <cell r="CU29">
            <v>-0.15</v>
          </cell>
          <cell r="CV29">
            <v>-0.15</v>
          </cell>
          <cell r="CW29">
            <v>-0.15</v>
          </cell>
          <cell r="CX29">
            <v>-0.15</v>
          </cell>
          <cell r="CY29">
            <v>-0.15</v>
          </cell>
          <cell r="CZ29">
            <v>-0.15</v>
          </cell>
          <cell r="DA29">
            <v>-0.15</v>
          </cell>
          <cell r="DB29">
            <v>-0.15</v>
          </cell>
          <cell r="DC29">
            <v>-0.15</v>
          </cell>
          <cell r="DD29">
            <v>-0.15</v>
          </cell>
          <cell r="DE29">
            <v>-0.15</v>
          </cell>
          <cell r="DF29">
            <v>-0.15</v>
          </cell>
        </row>
        <row r="30">
          <cell r="A30" t="str">
            <v>Gold price Bear case</v>
          </cell>
          <cell r="B30" t="str">
            <v>%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-0.05</v>
          </cell>
          <cell r="O30">
            <v>-0.05</v>
          </cell>
          <cell r="P30">
            <v>-6.25E-2</v>
          </cell>
          <cell r="Q30">
            <v>-8.7499999999999994E-2</v>
          </cell>
          <cell r="R30">
            <v>-0.1</v>
          </cell>
          <cell r="S30">
            <v>-0.1</v>
          </cell>
          <cell r="T30">
            <v>-0.1</v>
          </cell>
          <cell r="U30">
            <v>-0.1</v>
          </cell>
          <cell r="V30">
            <v>0</v>
          </cell>
          <cell r="W30">
            <v>0</v>
          </cell>
          <cell r="CJ30">
            <v>-0.05</v>
          </cell>
          <cell r="CK30">
            <v>-0.05</v>
          </cell>
          <cell r="CL30">
            <v>-0.05</v>
          </cell>
          <cell r="CM30">
            <v>-0.05</v>
          </cell>
          <cell r="CN30">
            <v>-0.05</v>
          </cell>
          <cell r="CO30">
            <v>-0.05</v>
          </cell>
          <cell r="CP30">
            <v>-7.4999999999999997E-2</v>
          </cell>
          <cell r="CQ30">
            <v>-6.25E-2</v>
          </cell>
          <cell r="CR30">
            <v>-7.4999999999999997E-2</v>
          </cell>
          <cell r="CS30">
            <v>-0.1</v>
          </cell>
          <cell r="CT30">
            <v>-8.7499999999999994E-2</v>
          </cell>
          <cell r="CU30">
            <v>-0.1</v>
          </cell>
          <cell r="CV30">
            <v>-0.1</v>
          </cell>
          <cell r="CW30">
            <v>-0.1</v>
          </cell>
          <cell r="CX30">
            <v>-0.1</v>
          </cell>
          <cell r="CY30">
            <v>-0.1</v>
          </cell>
          <cell r="CZ30">
            <v>-0.1</v>
          </cell>
          <cell r="DA30">
            <v>-0.1</v>
          </cell>
          <cell r="DB30">
            <v>-0.1</v>
          </cell>
          <cell r="DC30">
            <v>-0.1</v>
          </cell>
          <cell r="DD30">
            <v>-0.1</v>
          </cell>
          <cell r="DE30">
            <v>-0.1</v>
          </cell>
          <cell r="DF30">
            <v>-0.1</v>
          </cell>
        </row>
        <row r="31">
          <cell r="A31" t="str">
            <v>Scenario drivers</v>
          </cell>
          <cell r="B31" t="str">
            <v>.</v>
          </cell>
          <cell r="C31" t="str">
            <v>.</v>
          </cell>
          <cell r="D31" t="str">
            <v>.</v>
          </cell>
          <cell r="E31" t="str">
            <v>.</v>
          </cell>
          <cell r="F31" t="str">
            <v>.</v>
          </cell>
          <cell r="G31" t="str">
            <v>.</v>
          </cell>
          <cell r="H31" t="str">
            <v>.</v>
          </cell>
          <cell r="I31" t="str">
            <v>.</v>
          </cell>
          <cell r="J31" t="str">
            <v>.</v>
          </cell>
          <cell r="K31" t="str">
            <v>.</v>
          </cell>
          <cell r="L31" t="str">
            <v>.</v>
          </cell>
          <cell r="M31" t="str">
            <v>.</v>
          </cell>
          <cell r="N31" t="str">
            <v>.</v>
          </cell>
          <cell r="O31" t="str">
            <v>.</v>
          </cell>
          <cell r="P31" t="str">
            <v>.</v>
          </cell>
          <cell r="Q31" t="str">
            <v>.</v>
          </cell>
          <cell r="R31" t="str">
            <v>.</v>
          </cell>
          <cell r="S31" t="str">
            <v>.</v>
          </cell>
          <cell r="T31" t="str">
            <v>.</v>
          </cell>
          <cell r="U31" t="str">
            <v>.</v>
          </cell>
          <cell r="V31" t="str">
            <v>.</v>
          </cell>
          <cell r="W31" t="str">
            <v>.</v>
          </cell>
          <cell r="X31" t="str">
            <v>.</v>
          </cell>
          <cell r="Y31" t="str">
            <v>.</v>
          </cell>
          <cell r="Z31" t="str">
            <v>.</v>
          </cell>
          <cell r="AA31" t="str">
            <v>.</v>
          </cell>
          <cell r="AB31" t="str">
            <v>.</v>
          </cell>
          <cell r="AC31" t="str">
            <v>.</v>
          </cell>
          <cell r="AD31" t="str">
            <v>.</v>
          </cell>
          <cell r="AE31" t="str">
            <v>.</v>
          </cell>
          <cell r="AF31" t="str">
            <v>.</v>
          </cell>
          <cell r="AG31" t="str">
            <v>.</v>
          </cell>
          <cell r="AH31" t="str">
            <v>.</v>
          </cell>
          <cell r="AI31" t="str">
            <v>.</v>
          </cell>
          <cell r="AJ31" t="str">
            <v>.</v>
          </cell>
          <cell r="AK31" t="str">
            <v>.</v>
          </cell>
          <cell r="AL31" t="str">
            <v>.</v>
          </cell>
          <cell r="AM31" t="str">
            <v>.</v>
          </cell>
          <cell r="AN31" t="str">
            <v>.</v>
          </cell>
          <cell r="AO31" t="str">
            <v>.</v>
          </cell>
          <cell r="AP31" t="str">
            <v>.</v>
          </cell>
          <cell r="AQ31" t="str">
            <v>.</v>
          </cell>
          <cell r="AR31" t="str">
            <v>.</v>
          </cell>
          <cell r="AS31" t="str">
            <v>.</v>
          </cell>
          <cell r="AT31" t="str">
            <v>.</v>
          </cell>
          <cell r="AU31" t="str">
            <v>.</v>
          </cell>
          <cell r="AV31" t="str">
            <v>.</v>
          </cell>
          <cell r="AW31" t="str">
            <v>.</v>
          </cell>
          <cell r="AX31" t="str">
            <v>.</v>
          </cell>
          <cell r="AY31" t="str">
            <v>.</v>
          </cell>
          <cell r="AZ31" t="str">
            <v>.</v>
          </cell>
          <cell r="BA31" t="str">
            <v>.</v>
          </cell>
          <cell r="BB31" t="str">
            <v>.</v>
          </cell>
          <cell r="BC31" t="str">
            <v>.</v>
          </cell>
          <cell r="BD31" t="str">
            <v>.</v>
          </cell>
          <cell r="BE31" t="str">
            <v>.</v>
          </cell>
          <cell r="BF31" t="str">
            <v>.</v>
          </cell>
          <cell r="BG31" t="str">
            <v>.</v>
          </cell>
          <cell r="BH31" t="str">
            <v>.</v>
          </cell>
          <cell r="BI31" t="str">
            <v>.</v>
          </cell>
          <cell r="BJ31" t="str">
            <v>.</v>
          </cell>
          <cell r="BK31" t="str">
            <v>.</v>
          </cell>
          <cell r="BL31" t="str">
            <v>.</v>
          </cell>
          <cell r="BM31" t="str">
            <v>.</v>
          </cell>
          <cell r="BN31" t="str">
            <v>.</v>
          </cell>
          <cell r="BO31" t="str">
            <v>.</v>
          </cell>
          <cell r="BP31" t="str">
            <v>.</v>
          </cell>
          <cell r="BQ31" t="str">
            <v>.</v>
          </cell>
          <cell r="BR31" t="str">
            <v>.</v>
          </cell>
          <cell r="BS31" t="str">
            <v>.</v>
          </cell>
          <cell r="BT31" t="str">
            <v>.</v>
          </cell>
          <cell r="BU31" t="str">
            <v>.</v>
          </cell>
          <cell r="BV31" t="str">
            <v>.</v>
          </cell>
          <cell r="BW31" t="str">
            <v>.</v>
          </cell>
          <cell r="BX31" t="str">
            <v>.</v>
          </cell>
          <cell r="BY31" t="str">
            <v>.</v>
          </cell>
          <cell r="BZ31" t="str">
            <v>.</v>
          </cell>
          <cell r="CA31" t="str">
            <v>.</v>
          </cell>
          <cell r="CB31" t="str">
            <v>.</v>
          </cell>
          <cell r="CC31" t="str">
            <v>.</v>
          </cell>
          <cell r="CD31" t="str">
            <v>.</v>
          </cell>
          <cell r="CE31" t="str">
            <v>.</v>
          </cell>
          <cell r="CF31" t="str">
            <v>.</v>
          </cell>
          <cell r="CG31" t="str">
            <v>.</v>
          </cell>
          <cell r="CH31" t="str">
            <v>.</v>
          </cell>
          <cell r="CI31" t="str">
            <v>.</v>
          </cell>
          <cell r="CJ31" t="str">
            <v>.</v>
          </cell>
          <cell r="CK31" t="str">
            <v>.</v>
          </cell>
          <cell r="CL31" t="str">
            <v>.</v>
          </cell>
          <cell r="CM31" t="str">
            <v>.</v>
          </cell>
          <cell r="CN31" t="str">
            <v>.</v>
          </cell>
          <cell r="CO31" t="str">
            <v>.</v>
          </cell>
          <cell r="CP31" t="str">
            <v>.</v>
          </cell>
          <cell r="CQ31" t="str">
            <v>.</v>
          </cell>
          <cell r="CR31" t="str">
            <v>.</v>
          </cell>
          <cell r="CS31" t="str">
            <v>.</v>
          </cell>
          <cell r="CT31" t="str">
            <v>.</v>
          </cell>
          <cell r="CU31" t="str">
            <v>.</v>
          </cell>
          <cell r="CV31" t="str">
            <v>.</v>
          </cell>
          <cell r="CW31" t="str">
            <v>.</v>
          </cell>
          <cell r="CX31" t="str">
            <v>.</v>
          </cell>
          <cell r="CY31" t="str">
            <v>.</v>
          </cell>
          <cell r="CZ31" t="str">
            <v>.</v>
          </cell>
          <cell r="DA31" t="str">
            <v>.</v>
          </cell>
          <cell r="DB31" t="str">
            <v>.</v>
          </cell>
          <cell r="DC31" t="str">
            <v>.</v>
          </cell>
          <cell r="DD31" t="str">
            <v>.</v>
          </cell>
          <cell r="DE31" t="str">
            <v>.</v>
          </cell>
          <cell r="DF31" t="str">
            <v>.</v>
          </cell>
          <cell r="DG31" t="str">
            <v>.</v>
          </cell>
          <cell r="DH31" t="str">
            <v>.</v>
          </cell>
          <cell r="DI31" t="str">
            <v>.</v>
          </cell>
          <cell r="DJ31" t="str">
            <v>.</v>
          </cell>
          <cell r="DK31" t="str">
            <v>.</v>
          </cell>
          <cell r="DL31" t="str">
            <v>.</v>
          </cell>
          <cell r="DM31" t="str">
            <v>.</v>
          </cell>
          <cell r="DN31" t="str">
            <v>.</v>
          </cell>
          <cell r="DO31" t="str">
            <v>.</v>
          </cell>
          <cell r="DP31" t="str">
            <v>.</v>
          </cell>
          <cell r="DQ31" t="str">
            <v>.</v>
          </cell>
          <cell r="DR31" t="str">
            <v>.</v>
          </cell>
          <cell r="DS31" t="str">
            <v>.</v>
          </cell>
          <cell r="DT31" t="str">
            <v>.</v>
          </cell>
          <cell r="DU31" t="str">
            <v>.</v>
          </cell>
          <cell r="DV31" t="str">
            <v>.</v>
          </cell>
          <cell r="DW31" t="str">
            <v>.</v>
          </cell>
          <cell r="DX31" t="str">
            <v>.</v>
          </cell>
          <cell r="DY31" t="str">
            <v>.</v>
          </cell>
          <cell r="DZ31" t="str">
            <v>.</v>
          </cell>
          <cell r="EA31" t="str">
            <v>.</v>
          </cell>
          <cell r="EB31" t="str">
            <v>.</v>
          </cell>
          <cell r="EC31" t="str">
            <v>.</v>
          </cell>
          <cell r="ED31" t="str">
            <v>.</v>
          </cell>
          <cell r="EE31" t="str">
            <v>.</v>
          </cell>
          <cell r="EF31" t="str">
            <v>.</v>
          </cell>
          <cell r="EG31" t="str">
            <v>.</v>
          </cell>
          <cell r="EH31" t="str">
            <v>.</v>
          </cell>
          <cell r="EI31" t="str">
            <v>.</v>
          </cell>
          <cell r="EJ31" t="str">
            <v>.</v>
          </cell>
          <cell r="EK31" t="str">
            <v>.</v>
          </cell>
          <cell r="EL31" t="str">
            <v>.</v>
          </cell>
          <cell r="EM31" t="str">
            <v>.</v>
          </cell>
          <cell r="EN31" t="str">
            <v>.</v>
          </cell>
          <cell r="EO31" t="str">
            <v>.</v>
          </cell>
          <cell r="EP31" t="str">
            <v>.</v>
          </cell>
          <cell r="EQ31" t="str">
            <v>.</v>
          </cell>
          <cell r="ER31" t="str">
            <v>.</v>
          </cell>
          <cell r="ES31" t="str">
            <v>.</v>
          </cell>
          <cell r="ET31" t="str">
            <v>.</v>
          </cell>
          <cell r="EU31" t="str">
            <v>.</v>
          </cell>
          <cell r="EV31" t="str">
            <v>.</v>
          </cell>
          <cell r="EW31" t="str">
            <v>.</v>
          </cell>
          <cell r="EX31" t="str">
            <v>.</v>
          </cell>
          <cell r="EY31" t="str">
            <v>.</v>
          </cell>
          <cell r="EZ31" t="str">
            <v>.</v>
          </cell>
          <cell r="FA31" t="str">
            <v>.</v>
          </cell>
          <cell r="FB31" t="str">
            <v>.</v>
          </cell>
          <cell r="FC31" t="str">
            <v>.</v>
          </cell>
          <cell r="FD31" t="str">
            <v>.</v>
          </cell>
          <cell r="FE31" t="str">
            <v>.</v>
          </cell>
          <cell r="FF31" t="str">
            <v>.</v>
          </cell>
          <cell r="FG31" t="str">
            <v>.</v>
          </cell>
          <cell r="FH31" t="str">
            <v>.</v>
          </cell>
          <cell r="FI31" t="str">
            <v>.</v>
          </cell>
          <cell r="FJ31" t="str">
            <v>.</v>
          </cell>
          <cell r="FK31" t="str">
            <v>.</v>
          </cell>
          <cell r="FL31" t="str">
            <v>.</v>
          </cell>
          <cell r="FM31" t="str">
            <v>.</v>
          </cell>
          <cell r="FN31" t="str">
            <v>.</v>
          </cell>
          <cell r="FO31" t="str">
            <v>.</v>
          </cell>
          <cell r="FP31" t="str">
            <v>.</v>
          </cell>
          <cell r="FQ31" t="str">
            <v>.</v>
          </cell>
          <cell r="FR31" t="str">
            <v>.</v>
          </cell>
          <cell r="FS31" t="str">
            <v>.</v>
          </cell>
          <cell r="FT31" t="str">
            <v>.</v>
          </cell>
          <cell r="FU31" t="str">
            <v>.</v>
          </cell>
          <cell r="FV31" t="str">
            <v>.</v>
          </cell>
          <cell r="FW31" t="str">
            <v>.</v>
          </cell>
          <cell r="FX31" t="str">
            <v>.</v>
          </cell>
          <cell r="FY31" t="str">
            <v>.</v>
          </cell>
          <cell r="FZ31" t="str">
            <v>.</v>
          </cell>
          <cell r="GA31" t="str">
            <v>.</v>
          </cell>
          <cell r="GB31" t="str">
            <v>.</v>
          </cell>
          <cell r="GC31" t="str">
            <v>.</v>
          </cell>
          <cell r="GD31" t="str">
            <v>.</v>
          </cell>
          <cell r="GE31" t="str">
            <v>.</v>
          </cell>
          <cell r="GF31" t="str">
            <v>.</v>
          </cell>
          <cell r="GG31" t="str">
            <v>.</v>
          </cell>
          <cell r="GH31" t="str">
            <v>.</v>
          </cell>
          <cell r="GI31" t="str">
            <v>.</v>
          </cell>
          <cell r="GJ31" t="str">
            <v>.</v>
          </cell>
          <cell r="GK31" t="str">
            <v>.</v>
          </cell>
          <cell r="GL31" t="str">
            <v>.</v>
          </cell>
          <cell r="GM31" t="str">
            <v>.</v>
          </cell>
          <cell r="GN31" t="str">
            <v>.</v>
          </cell>
          <cell r="GO31" t="str">
            <v>.</v>
          </cell>
          <cell r="GP31" t="str">
            <v>.</v>
          </cell>
          <cell r="GQ31" t="str">
            <v>.</v>
          </cell>
          <cell r="GR31" t="str">
            <v>.</v>
          </cell>
          <cell r="GS31" t="str">
            <v>.</v>
          </cell>
          <cell r="GT31" t="str">
            <v>.</v>
          </cell>
          <cell r="GU31" t="str">
            <v>.</v>
          </cell>
          <cell r="GV31" t="str">
            <v>.</v>
          </cell>
          <cell r="GW31" t="str">
            <v>.</v>
          </cell>
          <cell r="GX31" t="str">
            <v>.</v>
          </cell>
        </row>
        <row r="32">
          <cell r="A32" t="str">
            <v>Gold Price Inflator</v>
          </cell>
          <cell r="B32" t="str">
            <v>%</v>
          </cell>
          <cell r="D32">
            <v>0</v>
          </cell>
          <cell r="E32">
            <v>1</v>
          </cell>
          <cell r="F32">
            <v>1</v>
          </cell>
          <cell r="G32">
            <v>1</v>
          </cell>
          <cell r="H32">
            <v>1</v>
          </cell>
          <cell r="I32">
            <v>1</v>
          </cell>
          <cell r="J32">
            <v>1</v>
          </cell>
          <cell r="K32">
            <v>1</v>
          </cell>
          <cell r="L32">
            <v>1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1</v>
          </cell>
          <cell r="S32">
            <v>1</v>
          </cell>
          <cell r="T32">
            <v>1</v>
          </cell>
          <cell r="U32">
            <v>1</v>
          </cell>
          <cell r="V32">
            <v>1</v>
          </cell>
          <cell r="W32">
            <v>1</v>
          </cell>
          <cell r="X32">
            <v>1</v>
          </cell>
          <cell r="Y32">
            <v>1</v>
          </cell>
          <cell r="Z32">
            <v>1</v>
          </cell>
          <cell r="AA32">
            <v>1</v>
          </cell>
          <cell r="AB32">
            <v>1</v>
          </cell>
          <cell r="AC32">
            <v>1</v>
          </cell>
          <cell r="AD32">
            <v>1</v>
          </cell>
          <cell r="AE32">
            <v>1</v>
          </cell>
          <cell r="AF32">
            <v>1</v>
          </cell>
          <cell r="AG32">
            <v>1</v>
          </cell>
          <cell r="AH32">
            <v>1</v>
          </cell>
          <cell r="AI32">
            <v>1</v>
          </cell>
          <cell r="AJ32">
            <v>1</v>
          </cell>
          <cell r="AK32">
            <v>1</v>
          </cell>
          <cell r="AL32">
            <v>1</v>
          </cell>
          <cell r="AM32">
            <v>1</v>
          </cell>
          <cell r="AN32">
            <v>1</v>
          </cell>
          <cell r="AO32">
            <v>1</v>
          </cell>
          <cell r="AP32">
            <v>1</v>
          </cell>
          <cell r="AQ32">
            <v>1</v>
          </cell>
          <cell r="AR32">
            <v>1</v>
          </cell>
          <cell r="AS32">
            <v>1</v>
          </cell>
          <cell r="AT32">
            <v>1</v>
          </cell>
          <cell r="AU32">
            <v>1</v>
          </cell>
          <cell r="AV32">
            <v>1</v>
          </cell>
          <cell r="AW32">
            <v>1</v>
          </cell>
          <cell r="AX32">
            <v>1</v>
          </cell>
          <cell r="AY32">
            <v>1</v>
          </cell>
          <cell r="AZ32">
            <v>1</v>
          </cell>
          <cell r="BA32">
            <v>1</v>
          </cell>
          <cell r="BF32">
            <v>1</v>
          </cell>
          <cell r="BH32">
            <v>1</v>
          </cell>
          <cell r="BI32">
            <v>1</v>
          </cell>
          <cell r="BJ32">
            <v>1</v>
          </cell>
          <cell r="BK32">
            <v>1</v>
          </cell>
          <cell r="BL32">
            <v>1</v>
          </cell>
          <cell r="BM32">
            <v>1</v>
          </cell>
          <cell r="BN32">
            <v>1</v>
          </cell>
          <cell r="BO32">
            <v>1</v>
          </cell>
          <cell r="BP32">
            <v>1</v>
          </cell>
          <cell r="BQ32">
            <v>1</v>
          </cell>
          <cell r="BR32">
            <v>1</v>
          </cell>
          <cell r="BS32">
            <v>1</v>
          </cell>
          <cell r="BT32">
            <v>1</v>
          </cell>
          <cell r="BU32">
            <v>1</v>
          </cell>
          <cell r="BV32">
            <v>1</v>
          </cell>
          <cell r="BW32">
            <v>1</v>
          </cell>
          <cell r="BX32">
            <v>1</v>
          </cell>
          <cell r="BY32">
            <v>1</v>
          </cell>
          <cell r="BZ32">
            <v>1</v>
          </cell>
          <cell r="CA32">
            <v>1</v>
          </cell>
          <cell r="CB32">
            <v>1</v>
          </cell>
          <cell r="CC32">
            <v>1</v>
          </cell>
          <cell r="CD32">
            <v>1</v>
          </cell>
          <cell r="CE32">
            <v>1</v>
          </cell>
          <cell r="CF32">
            <v>1</v>
          </cell>
          <cell r="CG32">
            <v>1</v>
          </cell>
          <cell r="CH32">
            <v>1</v>
          </cell>
          <cell r="CI32">
            <v>1</v>
          </cell>
          <cell r="CJ32">
            <v>1</v>
          </cell>
          <cell r="CK32">
            <v>1</v>
          </cell>
          <cell r="CL32">
            <v>1</v>
          </cell>
          <cell r="CM32">
            <v>1</v>
          </cell>
          <cell r="CN32">
            <v>1</v>
          </cell>
          <cell r="CO32">
            <v>1</v>
          </cell>
          <cell r="CP32">
            <v>1</v>
          </cell>
          <cell r="CQ32">
            <v>1</v>
          </cell>
          <cell r="CR32">
            <v>1</v>
          </cell>
          <cell r="CS32">
            <v>1</v>
          </cell>
          <cell r="CT32">
            <v>1</v>
          </cell>
          <cell r="CU32">
            <v>1</v>
          </cell>
          <cell r="CV32">
            <v>1</v>
          </cell>
          <cell r="CW32">
            <v>1</v>
          </cell>
          <cell r="CX32">
            <v>1</v>
          </cell>
          <cell r="CY32">
            <v>1</v>
          </cell>
          <cell r="CZ32">
            <v>1</v>
          </cell>
          <cell r="DA32">
            <v>1</v>
          </cell>
          <cell r="DB32">
            <v>1</v>
          </cell>
          <cell r="DC32">
            <v>1</v>
          </cell>
          <cell r="DD32">
            <v>1</v>
          </cell>
          <cell r="DE32">
            <v>1</v>
          </cell>
          <cell r="DF32">
            <v>1</v>
          </cell>
          <cell r="DG32">
            <v>1</v>
          </cell>
          <cell r="DH32">
            <v>1</v>
          </cell>
          <cell r="DI32">
            <v>1</v>
          </cell>
          <cell r="DJ32">
            <v>1</v>
          </cell>
          <cell r="DK32">
            <v>1</v>
          </cell>
          <cell r="DL32">
            <v>1</v>
          </cell>
          <cell r="DM32">
            <v>1</v>
          </cell>
          <cell r="DN32">
            <v>1</v>
          </cell>
          <cell r="DO32">
            <v>1</v>
          </cell>
          <cell r="DP32">
            <v>1</v>
          </cell>
          <cell r="DQ32">
            <v>1</v>
          </cell>
          <cell r="DR32">
            <v>1</v>
          </cell>
          <cell r="DS32">
            <v>1</v>
          </cell>
          <cell r="DT32">
            <v>1</v>
          </cell>
          <cell r="DU32">
            <v>1</v>
          </cell>
          <cell r="DV32">
            <v>1</v>
          </cell>
          <cell r="DW32">
            <v>1</v>
          </cell>
          <cell r="DX32">
            <v>1</v>
          </cell>
          <cell r="DY32">
            <v>1</v>
          </cell>
          <cell r="DZ32">
            <v>1</v>
          </cell>
          <cell r="EA32">
            <v>1</v>
          </cell>
          <cell r="EB32">
            <v>1</v>
          </cell>
          <cell r="EC32">
            <v>1</v>
          </cell>
          <cell r="ED32">
            <v>1</v>
          </cell>
          <cell r="EE32">
            <v>1</v>
          </cell>
          <cell r="EF32">
            <v>1</v>
          </cell>
          <cell r="EG32">
            <v>1</v>
          </cell>
          <cell r="EH32">
            <v>1</v>
          </cell>
          <cell r="EI32">
            <v>1</v>
          </cell>
          <cell r="EJ32">
            <v>1</v>
          </cell>
          <cell r="EK32">
            <v>1</v>
          </cell>
          <cell r="EL32">
            <v>1</v>
          </cell>
          <cell r="EM32">
            <v>1</v>
          </cell>
          <cell r="EN32">
            <v>1</v>
          </cell>
          <cell r="EO32">
            <v>1</v>
          </cell>
          <cell r="EP32">
            <v>1</v>
          </cell>
          <cell r="EQ32">
            <v>1</v>
          </cell>
          <cell r="ER32">
            <v>1</v>
          </cell>
          <cell r="ES32">
            <v>1</v>
          </cell>
          <cell r="ET32">
            <v>1</v>
          </cell>
          <cell r="EU32">
            <v>1</v>
          </cell>
          <cell r="EV32">
            <v>1</v>
          </cell>
          <cell r="EW32">
            <v>1</v>
          </cell>
          <cell r="EX32">
            <v>1</v>
          </cell>
          <cell r="EY32">
            <v>1</v>
          </cell>
          <cell r="EZ32">
            <v>1</v>
          </cell>
          <cell r="FA32">
            <v>1</v>
          </cell>
          <cell r="FB32">
            <v>1</v>
          </cell>
          <cell r="FC32">
            <v>1</v>
          </cell>
          <cell r="FD32">
            <v>1</v>
          </cell>
          <cell r="FE32">
            <v>1</v>
          </cell>
          <cell r="FF32">
            <v>1</v>
          </cell>
          <cell r="FG32">
            <v>1</v>
          </cell>
          <cell r="FH32">
            <v>1</v>
          </cell>
          <cell r="FI32">
            <v>1</v>
          </cell>
          <cell r="FJ32">
            <v>1</v>
          </cell>
          <cell r="FK32">
            <v>1</v>
          </cell>
          <cell r="FL32">
            <v>1</v>
          </cell>
          <cell r="FM32">
            <v>1</v>
          </cell>
          <cell r="FN32">
            <v>1</v>
          </cell>
          <cell r="FO32">
            <v>1</v>
          </cell>
          <cell r="FP32">
            <v>1</v>
          </cell>
          <cell r="FQ32">
            <v>1</v>
          </cell>
          <cell r="FR32">
            <v>1</v>
          </cell>
          <cell r="FS32">
            <v>1</v>
          </cell>
          <cell r="FT32">
            <v>1</v>
          </cell>
          <cell r="FU32">
            <v>1</v>
          </cell>
          <cell r="FV32">
            <v>1</v>
          </cell>
          <cell r="FW32">
            <v>1</v>
          </cell>
          <cell r="FX32">
            <v>1</v>
          </cell>
          <cell r="FY32">
            <v>1</v>
          </cell>
          <cell r="FZ32">
            <v>1</v>
          </cell>
          <cell r="GA32">
            <v>1</v>
          </cell>
          <cell r="GB32">
            <v>1</v>
          </cell>
          <cell r="GC32">
            <v>1</v>
          </cell>
          <cell r="GD32">
            <v>1</v>
          </cell>
          <cell r="GE32">
            <v>1</v>
          </cell>
          <cell r="GF32">
            <v>1</v>
          </cell>
          <cell r="GG32">
            <v>1</v>
          </cell>
          <cell r="GH32">
            <v>1</v>
          </cell>
          <cell r="GI32">
            <v>1</v>
          </cell>
          <cell r="GJ32">
            <v>1</v>
          </cell>
          <cell r="GK32">
            <v>1</v>
          </cell>
          <cell r="GL32">
            <v>1</v>
          </cell>
          <cell r="GM32">
            <v>1</v>
          </cell>
          <cell r="GN32">
            <v>1</v>
          </cell>
          <cell r="GO32">
            <v>1</v>
          </cell>
          <cell r="GP32">
            <v>1</v>
          </cell>
          <cell r="GQ32">
            <v>1</v>
          </cell>
          <cell r="GR32">
            <v>1</v>
          </cell>
          <cell r="GS32">
            <v>1</v>
          </cell>
          <cell r="GT32">
            <v>1</v>
          </cell>
          <cell r="GU32">
            <v>1</v>
          </cell>
          <cell r="GV32">
            <v>1</v>
          </cell>
          <cell r="GW32">
            <v>1</v>
          </cell>
          <cell r="GX32">
            <v>1</v>
          </cell>
        </row>
        <row r="33">
          <cell r="A33" t="str">
            <v>Copper Price Inflator</v>
          </cell>
          <cell r="B33" t="str">
            <v>%</v>
          </cell>
          <cell r="D33">
            <v>0</v>
          </cell>
          <cell r="E33">
            <v>1</v>
          </cell>
          <cell r="F33">
            <v>1</v>
          </cell>
          <cell r="G33">
            <v>1</v>
          </cell>
          <cell r="H33">
            <v>1</v>
          </cell>
          <cell r="I33">
            <v>1</v>
          </cell>
          <cell r="J33">
            <v>1</v>
          </cell>
          <cell r="K33">
            <v>1</v>
          </cell>
          <cell r="L33">
            <v>1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1</v>
          </cell>
          <cell r="S33">
            <v>1</v>
          </cell>
          <cell r="T33">
            <v>1</v>
          </cell>
          <cell r="U33">
            <v>1</v>
          </cell>
          <cell r="V33">
            <v>1</v>
          </cell>
          <cell r="W33">
            <v>1</v>
          </cell>
          <cell r="X33">
            <v>1</v>
          </cell>
          <cell r="Y33">
            <v>1</v>
          </cell>
          <cell r="Z33">
            <v>1</v>
          </cell>
          <cell r="AA33">
            <v>1</v>
          </cell>
          <cell r="AB33">
            <v>1</v>
          </cell>
          <cell r="AC33">
            <v>1</v>
          </cell>
          <cell r="AD33">
            <v>1</v>
          </cell>
          <cell r="AE33">
            <v>1</v>
          </cell>
          <cell r="AF33">
            <v>1</v>
          </cell>
          <cell r="AG33">
            <v>1</v>
          </cell>
          <cell r="AH33">
            <v>1</v>
          </cell>
          <cell r="AI33">
            <v>1</v>
          </cell>
          <cell r="AJ33">
            <v>1</v>
          </cell>
          <cell r="AK33">
            <v>1</v>
          </cell>
          <cell r="AL33">
            <v>1</v>
          </cell>
          <cell r="AM33">
            <v>1</v>
          </cell>
          <cell r="AN33">
            <v>1</v>
          </cell>
          <cell r="AO33">
            <v>1</v>
          </cell>
          <cell r="AP33">
            <v>1</v>
          </cell>
          <cell r="AQ33">
            <v>1</v>
          </cell>
          <cell r="AR33">
            <v>1</v>
          </cell>
          <cell r="AS33">
            <v>1</v>
          </cell>
          <cell r="AT33">
            <v>1</v>
          </cell>
          <cell r="AU33">
            <v>1</v>
          </cell>
          <cell r="AV33">
            <v>1</v>
          </cell>
          <cell r="AW33">
            <v>1</v>
          </cell>
          <cell r="AX33">
            <v>1</v>
          </cell>
          <cell r="AY33">
            <v>1</v>
          </cell>
          <cell r="AZ33">
            <v>1</v>
          </cell>
          <cell r="BA33">
            <v>1</v>
          </cell>
          <cell r="BF33">
            <v>1</v>
          </cell>
          <cell r="BH33">
            <v>1</v>
          </cell>
          <cell r="BI33">
            <v>1</v>
          </cell>
          <cell r="BJ33">
            <v>1</v>
          </cell>
          <cell r="BK33">
            <v>1</v>
          </cell>
          <cell r="BL33">
            <v>1</v>
          </cell>
          <cell r="BM33">
            <v>1</v>
          </cell>
          <cell r="BN33">
            <v>1</v>
          </cell>
          <cell r="BO33">
            <v>1</v>
          </cell>
          <cell r="BP33">
            <v>1</v>
          </cell>
          <cell r="BQ33">
            <v>1</v>
          </cell>
          <cell r="BR33">
            <v>1</v>
          </cell>
          <cell r="BS33">
            <v>1</v>
          </cell>
          <cell r="BT33">
            <v>1</v>
          </cell>
          <cell r="BU33">
            <v>1</v>
          </cell>
          <cell r="BV33">
            <v>1</v>
          </cell>
          <cell r="BW33">
            <v>1</v>
          </cell>
          <cell r="BX33">
            <v>1</v>
          </cell>
          <cell r="BY33">
            <v>1</v>
          </cell>
          <cell r="BZ33">
            <v>1</v>
          </cell>
          <cell r="CA33">
            <v>1</v>
          </cell>
          <cell r="CB33">
            <v>1</v>
          </cell>
          <cell r="CC33">
            <v>1</v>
          </cell>
          <cell r="CD33">
            <v>1</v>
          </cell>
          <cell r="CE33">
            <v>1</v>
          </cell>
          <cell r="CF33">
            <v>1</v>
          </cell>
          <cell r="CG33">
            <v>1</v>
          </cell>
          <cell r="CH33">
            <v>1</v>
          </cell>
          <cell r="CI33">
            <v>1</v>
          </cell>
          <cell r="CJ33">
            <v>1</v>
          </cell>
          <cell r="CK33">
            <v>1</v>
          </cell>
          <cell r="CL33">
            <v>1</v>
          </cell>
          <cell r="CM33">
            <v>1</v>
          </cell>
          <cell r="CN33">
            <v>1</v>
          </cell>
          <cell r="CO33">
            <v>1</v>
          </cell>
          <cell r="CP33">
            <v>1</v>
          </cell>
          <cell r="CQ33">
            <v>1</v>
          </cell>
          <cell r="CR33">
            <v>1</v>
          </cell>
          <cell r="CS33">
            <v>1</v>
          </cell>
          <cell r="CT33">
            <v>1</v>
          </cell>
          <cell r="CU33">
            <v>1</v>
          </cell>
          <cell r="CV33">
            <v>1</v>
          </cell>
          <cell r="CW33">
            <v>1</v>
          </cell>
          <cell r="CX33">
            <v>1</v>
          </cell>
          <cell r="CY33">
            <v>1</v>
          </cell>
          <cell r="CZ33">
            <v>1</v>
          </cell>
          <cell r="DA33">
            <v>1</v>
          </cell>
          <cell r="DB33">
            <v>1</v>
          </cell>
          <cell r="DC33">
            <v>1</v>
          </cell>
          <cell r="DD33">
            <v>1</v>
          </cell>
          <cell r="DE33">
            <v>1</v>
          </cell>
          <cell r="DF33">
            <v>1</v>
          </cell>
          <cell r="DG33">
            <v>1</v>
          </cell>
          <cell r="DH33">
            <v>1</v>
          </cell>
          <cell r="DI33">
            <v>1</v>
          </cell>
          <cell r="DJ33">
            <v>1</v>
          </cell>
          <cell r="DK33">
            <v>1</v>
          </cell>
          <cell r="DL33">
            <v>1</v>
          </cell>
          <cell r="DM33">
            <v>1</v>
          </cell>
          <cell r="DN33">
            <v>1</v>
          </cell>
          <cell r="DO33">
            <v>1</v>
          </cell>
          <cell r="DP33">
            <v>1</v>
          </cell>
          <cell r="DQ33">
            <v>1</v>
          </cell>
          <cell r="DR33">
            <v>1</v>
          </cell>
          <cell r="DS33">
            <v>1</v>
          </cell>
          <cell r="DT33">
            <v>1</v>
          </cell>
          <cell r="DU33">
            <v>1</v>
          </cell>
          <cell r="DV33">
            <v>1</v>
          </cell>
          <cell r="DW33">
            <v>1</v>
          </cell>
          <cell r="DX33">
            <v>1</v>
          </cell>
          <cell r="DY33">
            <v>1</v>
          </cell>
          <cell r="DZ33">
            <v>1</v>
          </cell>
          <cell r="EA33">
            <v>1</v>
          </cell>
          <cell r="EB33">
            <v>1</v>
          </cell>
          <cell r="EC33">
            <v>1</v>
          </cell>
          <cell r="ED33">
            <v>1</v>
          </cell>
          <cell r="EE33">
            <v>1</v>
          </cell>
          <cell r="EF33">
            <v>1</v>
          </cell>
          <cell r="EG33">
            <v>1</v>
          </cell>
          <cell r="EH33">
            <v>1</v>
          </cell>
          <cell r="EI33">
            <v>1</v>
          </cell>
          <cell r="EJ33">
            <v>1</v>
          </cell>
          <cell r="EK33">
            <v>1</v>
          </cell>
          <cell r="EL33">
            <v>1</v>
          </cell>
          <cell r="EM33">
            <v>1</v>
          </cell>
          <cell r="EN33">
            <v>1</v>
          </cell>
          <cell r="EO33">
            <v>1</v>
          </cell>
          <cell r="EP33">
            <v>1</v>
          </cell>
          <cell r="EQ33">
            <v>1</v>
          </cell>
          <cell r="ER33">
            <v>1</v>
          </cell>
          <cell r="ES33">
            <v>1</v>
          </cell>
          <cell r="ET33">
            <v>1</v>
          </cell>
          <cell r="EU33">
            <v>1</v>
          </cell>
          <cell r="EV33">
            <v>1</v>
          </cell>
          <cell r="EW33">
            <v>1</v>
          </cell>
          <cell r="EX33">
            <v>1</v>
          </cell>
          <cell r="EY33">
            <v>1</v>
          </cell>
          <cell r="EZ33">
            <v>1</v>
          </cell>
          <cell r="FA33">
            <v>1</v>
          </cell>
          <cell r="FB33">
            <v>1</v>
          </cell>
          <cell r="FC33">
            <v>1</v>
          </cell>
          <cell r="FD33">
            <v>1</v>
          </cell>
          <cell r="FE33">
            <v>1</v>
          </cell>
          <cell r="FF33">
            <v>1</v>
          </cell>
          <cell r="FG33">
            <v>1</v>
          </cell>
          <cell r="FH33">
            <v>1</v>
          </cell>
          <cell r="FI33">
            <v>1</v>
          </cell>
          <cell r="FJ33">
            <v>1</v>
          </cell>
          <cell r="FK33">
            <v>1</v>
          </cell>
          <cell r="FL33">
            <v>1</v>
          </cell>
          <cell r="FM33">
            <v>1</v>
          </cell>
          <cell r="FN33">
            <v>1</v>
          </cell>
          <cell r="FO33">
            <v>1</v>
          </cell>
          <cell r="FP33">
            <v>1</v>
          </cell>
          <cell r="FQ33">
            <v>1</v>
          </cell>
          <cell r="FR33">
            <v>1</v>
          </cell>
          <cell r="FS33">
            <v>1</v>
          </cell>
          <cell r="FT33">
            <v>1</v>
          </cell>
          <cell r="FU33">
            <v>1</v>
          </cell>
          <cell r="FV33">
            <v>1</v>
          </cell>
          <cell r="FW33">
            <v>1</v>
          </cell>
          <cell r="FX33">
            <v>1</v>
          </cell>
          <cell r="FY33">
            <v>1</v>
          </cell>
          <cell r="FZ33">
            <v>1</v>
          </cell>
          <cell r="GA33">
            <v>1</v>
          </cell>
          <cell r="GB33">
            <v>1</v>
          </cell>
          <cell r="GC33">
            <v>1</v>
          </cell>
          <cell r="GD33">
            <v>1</v>
          </cell>
          <cell r="GE33">
            <v>1</v>
          </cell>
          <cell r="GF33">
            <v>1</v>
          </cell>
          <cell r="GG33">
            <v>1</v>
          </cell>
          <cell r="GH33">
            <v>1</v>
          </cell>
          <cell r="GI33">
            <v>1</v>
          </cell>
          <cell r="GJ33">
            <v>1</v>
          </cell>
          <cell r="GK33">
            <v>1</v>
          </cell>
          <cell r="GL33">
            <v>1</v>
          </cell>
          <cell r="GM33">
            <v>1</v>
          </cell>
          <cell r="GN33">
            <v>1</v>
          </cell>
          <cell r="GO33">
            <v>1</v>
          </cell>
          <cell r="GP33">
            <v>1</v>
          </cell>
          <cell r="GQ33">
            <v>1</v>
          </cell>
          <cell r="GR33">
            <v>1</v>
          </cell>
          <cell r="GS33">
            <v>1</v>
          </cell>
          <cell r="GT33">
            <v>1</v>
          </cell>
          <cell r="GU33">
            <v>1</v>
          </cell>
          <cell r="GV33">
            <v>1</v>
          </cell>
          <cell r="GW33">
            <v>1</v>
          </cell>
          <cell r="GX33">
            <v>1</v>
          </cell>
        </row>
        <row r="34">
          <cell r="A34" t="str">
            <v>FX Price Inflator</v>
          </cell>
          <cell r="D34">
            <v>0</v>
          </cell>
          <cell r="E34">
            <v>1</v>
          </cell>
          <cell r="F34">
            <v>1</v>
          </cell>
          <cell r="G34">
            <v>1</v>
          </cell>
          <cell r="H34">
            <v>1</v>
          </cell>
          <cell r="I34">
            <v>1</v>
          </cell>
          <cell r="J34">
            <v>1</v>
          </cell>
          <cell r="K34">
            <v>1</v>
          </cell>
          <cell r="L34">
            <v>1</v>
          </cell>
          <cell r="M34">
            <v>1</v>
          </cell>
          <cell r="N34">
            <v>1</v>
          </cell>
          <cell r="O34">
            <v>1</v>
          </cell>
          <cell r="P34">
            <v>1.1000000000000001</v>
          </cell>
          <cell r="Q34">
            <v>1.1000000000000001</v>
          </cell>
          <cell r="R34">
            <v>1.05</v>
          </cell>
          <cell r="S34">
            <v>1</v>
          </cell>
          <cell r="T34">
            <v>1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1</v>
          </cell>
          <cell r="AA34">
            <v>1</v>
          </cell>
          <cell r="AB34">
            <v>1</v>
          </cell>
          <cell r="AC34">
            <v>1</v>
          </cell>
          <cell r="AD34">
            <v>1</v>
          </cell>
          <cell r="AE34">
            <v>1</v>
          </cell>
          <cell r="AF34">
            <v>1</v>
          </cell>
          <cell r="AG34">
            <v>1</v>
          </cell>
          <cell r="AH34">
            <v>1</v>
          </cell>
          <cell r="AI34">
            <v>1</v>
          </cell>
          <cell r="AJ34">
            <v>1</v>
          </cell>
          <cell r="AK34">
            <v>1</v>
          </cell>
          <cell r="AL34">
            <v>1</v>
          </cell>
          <cell r="AM34">
            <v>1</v>
          </cell>
          <cell r="AN34">
            <v>1</v>
          </cell>
          <cell r="AO34">
            <v>1</v>
          </cell>
          <cell r="AP34">
            <v>1</v>
          </cell>
          <cell r="AQ34">
            <v>1</v>
          </cell>
          <cell r="AR34">
            <v>1</v>
          </cell>
          <cell r="AS34">
            <v>1</v>
          </cell>
          <cell r="AT34">
            <v>1</v>
          </cell>
          <cell r="AU34">
            <v>1</v>
          </cell>
          <cell r="AV34">
            <v>1</v>
          </cell>
          <cell r="AW34">
            <v>1</v>
          </cell>
          <cell r="AX34">
            <v>1</v>
          </cell>
          <cell r="AY34">
            <v>1</v>
          </cell>
          <cell r="AZ34">
            <v>1</v>
          </cell>
          <cell r="BA34">
            <v>1</v>
          </cell>
          <cell r="BF34">
            <v>1</v>
          </cell>
          <cell r="BH34">
            <v>1</v>
          </cell>
          <cell r="BI34">
            <v>1</v>
          </cell>
          <cell r="BJ34">
            <v>1</v>
          </cell>
          <cell r="BK34">
            <v>1</v>
          </cell>
          <cell r="BL34">
            <v>1</v>
          </cell>
          <cell r="BM34">
            <v>1</v>
          </cell>
          <cell r="BN34">
            <v>1</v>
          </cell>
          <cell r="BO34">
            <v>1</v>
          </cell>
          <cell r="BP34">
            <v>1</v>
          </cell>
          <cell r="BQ34">
            <v>1</v>
          </cell>
          <cell r="BR34">
            <v>1</v>
          </cell>
          <cell r="BS34">
            <v>1</v>
          </cell>
          <cell r="BT34">
            <v>1</v>
          </cell>
          <cell r="BU34">
            <v>1</v>
          </cell>
          <cell r="BV34">
            <v>1</v>
          </cell>
          <cell r="BW34">
            <v>1</v>
          </cell>
          <cell r="BX34">
            <v>1</v>
          </cell>
          <cell r="BY34">
            <v>1</v>
          </cell>
          <cell r="BZ34">
            <v>1</v>
          </cell>
          <cell r="CA34">
            <v>1</v>
          </cell>
          <cell r="CB34">
            <v>1</v>
          </cell>
          <cell r="CC34">
            <v>1</v>
          </cell>
          <cell r="CD34">
            <v>1</v>
          </cell>
          <cell r="CE34">
            <v>1</v>
          </cell>
          <cell r="CF34">
            <v>1</v>
          </cell>
          <cell r="CG34">
            <v>1</v>
          </cell>
          <cell r="CH34">
            <v>1</v>
          </cell>
          <cell r="CI34">
            <v>1</v>
          </cell>
          <cell r="CJ34">
            <v>1</v>
          </cell>
          <cell r="CK34">
            <v>1</v>
          </cell>
          <cell r="CL34">
            <v>1</v>
          </cell>
          <cell r="CM34">
            <v>1</v>
          </cell>
          <cell r="CN34">
            <v>1</v>
          </cell>
          <cell r="CO34">
            <v>1.1000000000000001</v>
          </cell>
          <cell r="CP34">
            <v>1.1000000000000001</v>
          </cell>
          <cell r="CQ34">
            <v>1.1000000000000001</v>
          </cell>
          <cell r="CR34">
            <v>1.1000000000000001</v>
          </cell>
          <cell r="CS34">
            <v>1.1000000000000001</v>
          </cell>
          <cell r="CT34">
            <v>1.1000000000000001</v>
          </cell>
          <cell r="CU34">
            <v>1.1000000000000001</v>
          </cell>
          <cell r="CV34">
            <v>1</v>
          </cell>
          <cell r="CW34">
            <v>1.05</v>
          </cell>
          <cell r="CX34">
            <v>1</v>
          </cell>
          <cell r="CY34">
            <v>1</v>
          </cell>
          <cell r="CZ34">
            <v>1</v>
          </cell>
          <cell r="DA34">
            <v>1</v>
          </cell>
          <cell r="DB34">
            <v>1</v>
          </cell>
          <cell r="DC34">
            <v>1</v>
          </cell>
          <cell r="DD34">
            <v>1</v>
          </cell>
          <cell r="DE34">
            <v>1</v>
          </cell>
          <cell r="DF34">
            <v>1</v>
          </cell>
          <cell r="DG34">
            <v>1</v>
          </cell>
          <cell r="DH34">
            <v>1</v>
          </cell>
          <cell r="DI34">
            <v>1</v>
          </cell>
          <cell r="DJ34">
            <v>1</v>
          </cell>
          <cell r="DK34">
            <v>1</v>
          </cell>
          <cell r="DL34">
            <v>1</v>
          </cell>
          <cell r="DM34">
            <v>1</v>
          </cell>
          <cell r="DN34">
            <v>1</v>
          </cell>
          <cell r="DO34">
            <v>1</v>
          </cell>
          <cell r="DP34">
            <v>1</v>
          </cell>
          <cell r="DQ34">
            <v>1</v>
          </cell>
          <cell r="DR34">
            <v>1</v>
          </cell>
          <cell r="DS34">
            <v>1</v>
          </cell>
          <cell r="DT34">
            <v>1</v>
          </cell>
          <cell r="DU34">
            <v>1</v>
          </cell>
          <cell r="DV34">
            <v>1</v>
          </cell>
          <cell r="DW34">
            <v>1</v>
          </cell>
          <cell r="DX34">
            <v>1</v>
          </cell>
          <cell r="DY34">
            <v>1</v>
          </cell>
          <cell r="DZ34">
            <v>1</v>
          </cell>
          <cell r="EA34">
            <v>1</v>
          </cell>
          <cell r="EB34">
            <v>1</v>
          </cell>
          <cell r="EC34">
            <v>1</v>
          </cell>
          <cell r="ED34">
            <v>1</v>
          </cell>
          <cell r="EE34">
            <v>1</v>
          </cell>
          <cell r="EF34">
            <v>1</v>
          </cell>
          <cell r="EG34">
            <v>1</v>
          </cell>
          <cell r="EH34">
            <v>1</v>
          </cell>
          <cell r="EI34">
            <v>1</v>
          </cell>
          <cell r="EJ34">
            <v>1</v>
          </cell>
          <cell r="EK34">
            <v>1</v>
          </cell>
          <cell r="EL34">
            <v>1</v>
          </cell>
          <cell r="EM34">
            <v>1</v>
          </cell>
          <cell r="EN34">
            <v>1</v>
          </cell>
          <cell r="EO34">
            <v>1</v>
          </cell>
          <cell r="EP34">
            <v>1</v>
          </cell>
          <cell r="EQ34">
            <v>1</v>
          </cell>
          <cell r="ER34">
            <v>1</v>
          </cell>
          <cell r="ES34">
            <v>1</v>
          </cell>
          <cell r="ET34">
            <v>1</v>
          </cell>
          <cell r="EU34">
            <v>1</v>
          </cell>
          <cell r="EV34">
            <v>1</v>
          </cell>
          <cell r="EW34">
            <v>1</v>
          </cell>
          <cell r="EX34">
            <v>1</v>
          </cell>
          <cell r="EY34">
            <v>1</v>
          </cell>
          <cell r="EZ34">
            <v>1</v>
          </cell>
          <cell r="FA34">
            <v>1</v>
          </cell>
          <cell r="FB34">
            <v>1</v>
          </cell>
          <cell r="FC34">
            <v>1</v>
          </cell>
          <cell r="FD34">
            <v>1</v>
          </cell>
          <cell r="FE34">
            <v>1</v>
          </cell>
          <cell r="FF34">
            <v>1</v>
          </cell>
          <cell r="FG34">
            <v>1</v>
          </cell>
          <cell r="FH34">
            <v>1</v>
          </cell>
          <cell r="FI34">
            <v>1</v>
          </cell>
          <cell r="FJ34">
            <v>1</v>
          </cell>
          <cell r="FK34">
            <v>1</v>
          </cell>
          <cell r="FL34">
            <v>1</v>
          </cell>
          <cell r="FM34">
            <v>1</v>
          </cell>
          <cell r="FN34">
            <v>1</v>
          </cell>
          <cell r="FO34">
            <v>1</v>
          </cell>
          <cell r="FP34">
            <v>1</v>
          </cell>
          <cell r="FQ34">
            <v>1</v>
          </cell>
          <cell r="FR34">
            <v>1</v>
          </cell>
          <cell r="FS34">
            <v>1</v>
          </cell>
          <cell r="FT34">
            <v>1</v>
          </cell>
          <cell r="FU34">
            <v>1</v>
          </cell>
          <cell r="FV34">
            <v>1</v>
          </cell>
          <cell r="FW34">
            <v>1</v>
          </cell>
          <cell r="FX34">
            <v>1</v>
          </cell>
          <cell r="FY34">
            <v>1</v>
          </cell>
          <cell r="FZ34">
            <v>1</v>
          </cell>
          <cell r="GA34">
            <v>1</v>
          </cell>
          <cell r="GB34">
            <v>1</v>
          </cell>
          <cell r="GC34">
            <v>1</v>
          </cell>
          <cell r="GD34">
            <v>1</v>
          </cell>
          <cell r="GE34">
            <v>1</v>
          </cell>
          <cell r="GF34">
            <v>1</v>
          </cell>
          <cell r="GG34">
            <v>1</v>
          </cell>
          <cell r="GH34">
            <v>1</v>
          </cell>
          <cell r="GI34">
            <v>1</v>
          </cell>
          <cell r="GJ34">
            <v>1</v>
          </cell>
          <cell r="GK34">
            <v>1</v>
          </cell>
          <cell r="GL34">
            <v>1</v>
          </cell>
          <cell r="GM34">
            <v>1</v>
          </cell>
          <cell r="GN34">
            <v>1</v>
          </cell>
          <cell r="GO34">
            <v>1</v>
          </cell>
          <cell r="GP34">
            <v>1</v>
          </cell>
          <cell r="GQ34">
            <v>1</v>
          </cell>
          <cell r="GR34">
            <v>1</v>
          </cell>
          <cell r="GS34">
            <v>1</v>
          </cell>
          <cell r="GT34">
            <v>1</v>
          </cell>
          <cell r="GU34">
            <v>1</v>
          </cell>
          <cell r="GV34">
            <v>1</v>
          </cell>
          <cell r="GW34">
            <v>1</v>
          </cell>
          <cell r="GX34">
            <v>1</v>
          </cell>
        </row>
        <row r="35">
          <cell r="A35" t="str">
            <v>AUDUSD Bull case</v>
          </cell>
          <cell r="B35" t="str">
            <v>%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0.1</v>
          </cell>
          <cell r="O35">
            <v>0.125</v>
          </cell>
          <cell r="P35">
            <v>0.125</v>
          </cell>
          <cell r="Q35">
            <v>7.5000000000000011E-2</v>
          </cell>
          <cell r="R35">
            <v>0.05</v>
          </cell>
          <cell r="S35">
            <v>0.05</v>
          </cell>
          <cell r="T35">
            <v>0.05</v>
          </cell>
          <cell r="U35">
            <v>0.05</v>
          </cell>
          <cell r="V35">
            <v>0</v>
          </cell>
          <cell r="W35">
            <v>0</v>
          </cell>
          <cell r="CJ35">
            <v>0.1</v>
          </cell>
          <cell r="CK35">
            <v>0.1</v>
          </cell>
          <cell r="CL35">
            <v>0.1</v>
          </cell>
          <cell r="CM35">
            <v>0.15</v>
          </cell>
          <cell r="CN35">
            <v>0.125</v>
          </cell>
          <cell r="CO35">
            <v>0.15</v>
          </cell>
          <cell r="CP35">
            <v>0.1</v>
          </cell>
          <cell r="CQ35">
            <v>0.125</v>
          </cell>
          <cell r="CR35">
            <v>0.1</v>
          </cell>
          <cell r="CS35">
            <v>0.05</v>
          </cell>
          <cell r="CT35">
            <v>7.5000000000000011E-2</v>
          </cell>
          <cell r="CU35">
            <v>0.05</v>
          </cell>
          <cell r="CV35">
            <v>0.05</v>
          </cell>
          <cell r="CW35">
            <v>0.05</v>
          </cell>
          <cell r="CX35">
            <v>0.05</v>
          </cell>
          <cell r="CY35">
            <v>0.05</v>
          </cell>
          <cell r="CZ35">
            <v>0.05</v>
          </cell>
          <cell r="DA35">
            <v>0.05</v>
          </cell>
          <cell r="DB35">
            <v>0.05</v>
          </cell>
          <cell r="DC35">
            <v>0.05</v>
          </cell>
          <cell r="DD35">
            <v>0.05</v>
          </cell>
          <cell r="DE35">
            <v>0.05</v>
          </cell>
          <cell r="DF35">
            <v>0.05</v>
          </cell>
        </row>
        <row r="36">
          <cell r="A36" t="str">
            <v>Production sums</v>
          </cell>
          <cell r="B36" t="str">
            <v>.</v>
          </cell>
          <cell r="C36" t="str">
            <v>.</v>
          </cell>
          <cell r="D36" t="str">
            <v>.</v>
          </cell>
          <cell r="E36" t="str">
            <v>.</v>
          </cell>
          <cell r="F36" t="str">
            <v>.</v>
          </cell>
          <cell r="G36" t="str">
            <v>.</v>
          </cell>
          <cell r="H36" t="str">
            <v>.</v>
          </cell>
          <cell r="I36" t="str">
            <v>.</v>
          </cell>
          <cell r="J36" t="str">
            <v>.</v>
          </cell>
          <cell r="K36" t="str">
            <v>.</v>
          </cell>
          <cell r="L36" t="str">
            <v>.</v>
          </cell>
          <cell r="M36" t="str">
            <v>.</v>
          </cell>
          <cell r="N36" t="str">
            <v>.</v>
          </cell>
          <cell r="O36" t="str">
            <v>.</v>
          </cell>
          <cell r="P36" t="str">
            <v>.</v>
          </cell>
          <cell r="Q36" t="str">
            <v>.</v>
          </cell>
          <cell r="R36" t="str">
            <v>.</v>
          </cell>
          <cell r="S36" t="str">
            <v>.</v>
          </cell>
          <cell r="T36" t="str">
            <v>.</v>
          </cell>
          <cell r="U36" t="str">
            <v>.</v>
          </cell>
          <cell r="V36" t="str">
            <v>.</v>
          </cell>
          <cell r="W36" t="str">
            <v>.</v>
          </cell>
          <cell r="X36" t="str">
            <v>.</v>
          </cell>
          <cell r="Y36" t="str">
            <v>.</v>
          </cell>
          <cell r="Z36" t="str">
            <v>.</v>
          </cell>
          <cell r="AA36" t="str">
            <v>.</v>
          </cell>
          <cell r="AB36" t="str">
            <v>.</v>
          </cell>
          <cell r="AC36" t="str">
            <v>.</v>
          </cell>
          <cell r="AD36" t="str">
            <v>.</v>
          </cell>
          <cell r="AE36" t="str">
            <v>.</v>
          </cell>
          <cell r="AF36" t="str">
            <v>.</v>
          </cell>
          <cell r="AG36" t="str">
            <v>.</v>
          </cell>
          <cell r="AH36" t="str">
            <v>.</v>
          </cell>
          <cell r="AI36" t="str">
            <v>.</v>
          </cell>
          <cell r="AJ36" t="str">
            <v>.</v>
          </cell>
          <cell r="AK36" t="str">
            <v>.</v>
          </cell>
          <cell r="AL36" t="str">
            <v>.</v>
          </cell>
          <cell r="AM36" t="str">
            <v>.</v>
          </cell>
          <cell r="AN36" t="str">
            <v>.</v>
          </cell>
          <cell r="AO36" t="str">
            <v>.</v>
          </cell>
          <cell r="AP36" t="str">
            <v>.</v>
          </cell>
          <cell r="AQ36" t="str">
            <v>.</v>
          </cell>
          <cell r="AR36" t="str">
            <v>.</v>
          </cell>
          <cell r="AS36" t="str">
            <v>.</v>
          </cell>
          <cell r="AT36" t="str">
            <v>.</v>
          </cell>
          <cell r="AU36" t="str">
            <v>.</v>
          </cell>
          <cell r="AV36" t="str">
            <v>.</v>
          </cell>
          <cell r="AW36" t="str">
            <v>.</v>
          </cell>
          <cell r="AX36" t="str">
            <v>.</v>
          </cell>
          <cell r="AY36" t="str">
            <v>.</v>
          </cell>
          <cell r="AZ36" t="str">
            <v>.</v>
          </cell>
          <cell r="BA36" t="str">
            <v>.</v>
          </cell>
          <cell r="BB36" t="str">
            <v>.</v>
          </cell>
          <cell r="BC36" t="str">
            <v>.</v>
          </cell>
          <cell r="BD36" t="str">
            <v>.</v>
          </cell>
          <cell r="BE36" t="str">
            <v>.</v>
          </cell>
          <cell r="BF36" t="str">
            <v>.</v>
          </cell>
          <cell r="BG36" t="str">
            <v>.</v>
          </cell>
          <cell r="BH36" t="str">
            <v>.</v>
          </cell>
          <cell r="BI36" t="str">
            <v>.</v>
          </cell>
          <cell r="BJ36" t="str">
            <v>.</v>
          </cell>
          <cell r="BK36" t="str">
            <v>.</v>
          </cell>
          <cell r="BL36" t="str">
            <v>.</v>
          </cell>
          <cell r="BM36" t="str">
            <v>.</v>
          </cell>
          <cell r="BN36" t="str">
            <v>.</v>
          </cell>
          <cell r="BO36" t="str">
            <v>.</v>
          </cell>
          <cell r="BP36" t="str">
            <v>.</v>
          </cell>
          <cell r="BQ36" t="str">
            <v>.</v>
          </cell>
          <cell r="BR36" t="str">
            <v>.</v>
          </cell>
          <cell r="BS36" t="str">
            <v>.</v>
          </cell>
          <cell r="BT36" t="str">
            <v>.</v>
          </cell>
          <cell r="BU36" t="str">
            <v>.</v>
          </cell>
          <cell r="BV36" t="str">
            <v>.</v>
          </cell>
          <cell r="BW36" t="str">
            <v>.</v>
          </cell>
          <cell r="BX36" t="str">
            <v>.</v>
          </cell>
          <cell r="BY36" t="str">
            <v>.</v>
          </cell>
          <cell r="BZ36" t="str">
            <v>.</v>
          </cell>
          <cell r="CA36" t="str">
            <v>.</v>
          </cell>
          <cell r="CB36" t="str">
            <v>.</v>
          </cell>
          <cell r="CC36" t="str">
            <v>.</v>
          </cell>
          <cell r="CD36" t="str">
            <v>.</v>
          </cell>
          <cell r="CE36" t="str">
            <v>.</v>
          </cell>
          <cell r="CF36" t="str">
            <v>.</v>
          </cell>
          <cell r="CG36" t="str">
            <v>.</v>
          </cell>
          <cell r="CH36" t="str">
            <v>.</v>
          </cell>
          <cell r="CI36" t="str">
            <v>.</v>
          </cell>
          <cell r="CJ36" t="str">
            <v>.</v>
          </cell>
          <cell r="CK36" t="str">
            <v>.</v>
          </cell>
          <cell r="CL36" t="str">
            <v>.</v>
          </cell>
          <cell r="CM36" t="str">
            <v>.</v>
          </cell>
          <cell r="CN36" t="str">
            <v>.</v>
          </cell>
          <cell r="CO36" t="str">
            <v>.</v>
          </cell>
          <cell r="CP36" t="str">
            <v>.</v>
          </cell>
          <cell r="CQ36" t="str">
            <v>.</v>
          </cell>
          <cell r="CR36" t="str">
            <v>.</v>
          </cell>
          <cell r="CS36" t="str">
            <v>.</v>
          </cell>
          <cell r="CT36" t="str">
            <v>.</v>
          </cell>
          <cell r="CU36" t="str">
            <v>.</v>
          </cell>
          <cell r="CV36" t="str">
            <v>.</v>
          </cell>
          <cell r="CW36" t="str">
            <v>.</v>
          </cell>
          <cell r="CX36" t="str">
            <v>.</v>
          </cell>
          <cell r="CY36" t="str">
            <v>.</v>
          </cell>
          <cell r="CZ36" t="str">
            <v>.</v>
          </cell>
          <cell r="DA36" t="str">
            <v>.</v>
          </cell>
          <cell r="DB36" t="str">
            <v>.</v>
          </cell>
          <cell r="DC36" t="str">
            <v>.</v>
          </cell>
          <cell r="DD36" t="str">
            <v>.</v>
          </cell>
          <cell r="DE36" t="str">
            <v>.</v>
          </cell>
          <cell r="DF36" t="str">
            <v>.</v>
          </cell>
          <cell r="DG36" t="str">
            <v>.</v>
          </cell>
          <cell r="DH36" t="str">
            <v>.</v>
          </cell>
          <cell r="DI36" t="str">
            <v>.</v>
          </cell>
          <cell r="DJ36" t="str">
            <v>.</v>
          </cell>
          <cell r="DK36" t="str">
            <v>.</v>
          </cell>
          <cell r="DL36" t="str">
            <v>.</v>
          </cell>
          <cell r="DM36" t="str">
            <v>.</v>
          </cell>
          <cell r="DN36" t="str">
            <v>.</v>
          </cell>
          <cell r="DO36" t="str">
            <v>.</v>
          </cell>
          <cell r="DP36" t="str">
            <v>.</v>
          </cell>
          <cell r="DQ36" t="str">
            <v>.</v>
          </cell>
          <cell r="DR36" t="str">
            <v>.</v>
          </cell>
          <cell r="DS36" t="str">
            <v>.</v>
          </cell>
          <cell r="DT36" t="str">
            <v>.</v>
          </cell>
          <cell r="DU36" t="str">
            <v>.</v>
          </cell>
          <cell r="DV36" t="str">
            <v>.</v>
          </cell>
          <cell r="DW36" t="str">
            <v>.</v>
          </cell>
          <cell r="DX36" t="str">
            <v>.</v>
          </cell>
          <cell r="DY36" t="str">
            <v>.</v>
          </cell>
          <cell r="DZ36" t="str">
            <v>.</v>
          </cell>
          <cell r="EA36" t="str">
            <v>.</v>
          </cell>
          <cell r="EB36" t="str">
            <v>.</v>
          </cell>
          <cell r="EC36" t="str">
            <v>.</v>
          </cell>
          <cell r="ED36" t="str">
            <v>.</v>
          </cell>
          <cell r="EE36" t="str">
            <v>.</v>
          </cell>
          <cell r="EF36" t="str">
            <v>.</v>
          </cell>
          <cell r="EG36" t="str">
            <v>.</v>
          </cell>
          <cell r="EH36" t="str">
            <v>.</v>
          </cell>
          <cell r="EI36" t="str">
            <v>.</v>
          </cell>
          <cell r="EJ36" t="str">
            <v>.</v>
          </cell>
          <cell r="EK36" t="str">
            <v>.</v>
          </cell>
          <cell r="EL36" t="str">
            <v>.</v>
          </cell>
          <cell r="EM36" t="str">
            <v>.</v>
          </cell>
          <cell r="EN36" t="str">
            <v>.</v>
          </cell>
          <cell r="EO36" t="str">
            <v>.</v>
          </cell>
          <cell r="EP36" t="str">
            <v>.</v>
          </cell>
          <cell r="EQ36" t="str">
            <v>.</v>
          </cell>
          <cell r="ER36" t="str">
            <v>.</v>
          </cell>
          <cell r="ES36" t="str">
            <v>.</v>
          </cell>
          <cell r="ET36" t="str">
            <v>.</v>
          </cell>
          <cell r="EU36" t="str">
            <v>.</v>
          </cell>
          <cell r="EV36" t="str">
            <v>.</v>
          </cell>
          <cell r="EW36" t="str">
            <v>.</v>
          </cell>
          <cell r="EX36" t="str">
            <v>.</v>
          </cell>
          <cell r="EY36" t="str">
            <v>.</v>
          </cell>
          <cell r="EZ36" t="str">
            <v>.</v>
          </cell>
          <cell r="FA36" t="str">
            <v>.</v>
          </cell>
          <cell r="FB36" t="str">
            <v>.</v>
          </cell>
          <cell r="FC36" t="str">
            <v>.</v>
          </cell>
          <cell r="FD36" t="str">
            <v>.</v>
          </cell>
          <cell r="FE36" t="str">
            <v>.</v>
          </cell>
          <cell r="FF36" t="str">
            <v>.</v>
          </cell>
          <cell r="FG36" t="str">
            <v>.</v>
          </cell>
          <cell r="FH36" t="str">
            <v>.</v>
          </cell>
          <cell r="FI36" t="str">
            <v>.</v>
          </cell>
          <cell r="FJ36" t="str">
            <v>.</v>
          </cell>
          <cell r="FK36" t="str">
            <v>.</v>
          </cell>
          <cell r="FL36" t="str">
            <v>.</v>
          </cell>
          <cell r="FM36" t="str">
            <v>.</v>
          </cell>
          <cell r="FN36" t="str">
            <v>.</v>
          </cell>
          <cell r="FO36" t="str">
            <v>.</v>
          </cell>
          <cell r="FP36" t="str">
            <v>.</v>
          </cell>
          <cell r="FQ36" t="str">
            <v>.</v>
          </cell>
          <cell r="FR36" t="str">
            <v>.</v>
          </cell>
          <cell r="FS36" t="str">
            <v>.</v>
          </cell>
          <cell r="FT36" t="str">
            <v>.</v>
          </cell>
          <cell r="FU36" t="str">
            <v>.</v>
          </cell>
          <cell r="FV36" t="str">
            <v>.</v>
          </cell>
          <cell r="FW36" t="str">
            <v>.</v>
          </cell>
          <cell r="FX36" t="str">
            <v>.</v>
          </cell>
          <cell r="FY36" t="str">
            <v>.</v>
          </cell>
          <cell r="FZ36" t="str">
            <v>.</v>
          </cell>
          <cell r="GA36" t="str">
            <v>.</v>
          </cell>
          <cell r="GB36" t="str">
            <v>.</v>
          </cell>
          <cell r="GC36" t="str">
            <v>.</v>
          </cell>
          <cell r="GD36" t="str">
            <v>.</v>
          </cell>
          <cell r="GE36" t="str">
            <v>.</v>
          </cell>
          <cell r="GF36" t="str">
            <v>.</v>
          </cell>
          <cell r="GG36" t="str">
            <v>.</v>
          </cell>
          <cell r="GH36" t="str">
            <v>.</v>
          </cell>
          <cell r="GI36" t="str">
            <v>.</v>
          </cell>
          <cell r="GJ36" t="str">
            <v>.</v>
          </cell>
          <cell r="GK36" t="str">
            <v>.</v>
          </cell>
          <cell r="GL36" t="str">
            <v>.</v>
          </cell>
          <cell r="GM36" t="str">
            <v>.</v>
          </cell>
          <cell r="GN36" t="str">
            <v>.</v>
          </cell>
          <cell r="GO36" t="str">
            <v>.</v>
          </cell>
          <cell r="GP36" t="str">
            <v>.</v>
          </cell>
          <cell r="GQ36" t="str">
            <v>.</v>
          </cell>
          <cell r="GR36" t="str">
            <v>.</v>
          </cell>
          <cell r="GS36" t="str">
            <v>.</v>
          </cell>
          <cell r="GT36" t="str">
            <v>.</v>
          </cell>
          <cell r="GU36" t="str">
            <v>.</v>
          </cell>
          <cell r="GV36" t="str">
            <v>.</v>
          </cell>
          <cell r="GW36" t="str">
            <v>.</v>
          </cell>
          <cell r="GX36" t="str">
            <v>.</v>
          </cell>
        </row>
        <row r="37">
          <cell r="A37" t="str">
            <v>Total Au Sales</v>
          </cell>
          <cell r="B37" t="str">
            <v>000 oz</v>
          </cell>
          <cell r="D37">
            <v>0</v>
          </cell>
          <cell r="E37">
            <v>646.41800000000001</v>
          </cell>
          <cell r="F37">
            <v>724.58399999999995</v>
          </cell>
          <cell r="G37">
            <v>754.745</v>
          </cell>
          <cell r="H37">
            <v>1060.1959999999999</v>
          </cell>
          <cell r="I37">
            <v>1498.5260000000001</v>
          </cell>
          <cell r="J37">
            <v>818.45426399999997</v>
          </cell>
          <cell r="K37">
            <v>1.7811820000000003</v>
          </cell>
          <cell r="L37">
            <v>1.631183</v>
          </cell>
          <cell r="M37">
            <v>1.7622</v>
          </cell>
          <cell r="N37">
            <v>2.7018675144694533</v>
          </cell>
          <cell r="O37">
            <v>2.7186636247139133</v>
          </cell>
          <cell r="P37">
            <v>3.0059697841252628</v>
          </cell>
          <cell r="Q37">
            <v>3.4240023364153611</v>
          </cell>
          <cell r="R37">
            <v>3.4178064900847875</v>
          </cell>
          <cell r="S37">
            <v>3.5991322725289097</v>
          </cell>
          <cell r="T37">
            <v>3.2655375492392036</v>
          </cell>
          <cell r="U37">
            <v>3.2983967289628175</v>
          </cell>
          <cell r="V37">
            <v>3.2984099149649255</v>
          </cell>
          <cell r="W37">
            <v>3.2984152537807585</v>
          </cell>
          <cell r="X37">
            <v>3.2601010608130636</v>
          </cell>
          <cell r="Y37">
            <v>2.8720882913690278</v>
          </cell>
          <cell r="Z37">
            <v>2.8720741812235939</v>
          </cell>
          <cell r="AA37">
            <v>2.3942543329593247</v>
          </cell>
          <cell r="AB37">
            <v>2.2741509387265713</v>
          </cell>
          <cell r="AC37">
            <v>2.2741412242821517</v>
          </cell>
          <cell r="AD37">
            <v>2.2741217050204838</v>
          </cell>
          <cell r="AE37">
            <v>2.2739073669146821</v>
          </cell>
          <cell r="AF37">
            <v>2.2739256087490305</v>
          </cell>
          <cell r="AG37">
            <v>2.1482441541573642</v>
          </cell>
          <cell r="AH37">
            <v>2.1482423740257666</v>
          </cell>
          <cell r="AI37">
            <v>2.1482405290352156</v>
          </cell>
          <cell r="AJ37">
            <v>2.1482386142795225</v>
          </cell>
          <cell r="AK37">
            <v>1.6749258397078868</v>
          </cell>
          <cell r="AL37">
            <v>1.674923768293807</v>
          </cell>
          <cell r="AM37">
            <v>1.6749216085245988</v>
          </cell>
          <cell r="AN37">
            <v>1.6749193525244372</v>
          </cell>
          <cell r="AO37">
            <v>1.6749169913149902</v>
          </cell>
          <cell r="AP37">
            <v>1.6749145145995001</v>
          </cell>
          <cell r="AQ37">
            <v>1.6749119104912631</v>
          </cell>
          <cell r="AR37">
            <v>1.6747291651683944</v>
          </cell>
          <cell r="AS37">
            <v>1.0342117929760886</v>
          </cell>
          <cell r="AT37">
            <v>1.0342087136603888</v>
          </cell>
          <cell r="AU37">
            <v>1.0342054348800847</v>
          </cell>
          <cell r="AV37">
            <v>0.64051446945337609</v>
          </cell>
          <cell r="AW37">
            <v>0.64051446945337609</v>
          </cell>
          <cell r="AX37">
            <v>0.64051446945337609</v>
          </cell>
          <cell r="AY37">
            <v>0.64051446945337609</v>
          </cell>
          <cell r="AZ37">
            <v>0.64051446945337609</v>
          </cell>
          <cell r="BA37">
            <v>0.64051446945337609</v>
          </cell>
          <cell r="BF37">
            <v>377.47699999999998</v>
          </cell>
          <cell r="BH37">
            <v>307.88499999999999</v>
          </cell>
          <cell r="BI37">
            <v>338.53300000000002</v>
          </cell>
          <cell r="BJ37">
            <v>646.41800000000001</v>
          </cell>
          <cell r="BK37">
            <v>276.80399999999997</v>
          </cell>
          <cell r="BL37">
            <v>447.78</v>
          </cell>
          <cell r="BM37">
            <v>724.58399999999995</v>
          </cell>
          <cell r="BN37">
            <v>351.92200000000003</v>
          </cell>
          <cell r="BO37">
            <v>402.82299999999998</v>
          </cell>
          <cell r="BP37">
            <v>754.745</v>
          </cell>
          <cell r="BQ37">
            <v>432.01</v>
          </cell>
          <cell r="BR37">
            <v>628.18599999999992</v>
          </cell>
          <cell r="BS37">
            <v>1060.1959999999999</v>
          </cell>
          <cell r="BT37">
            <v>768.28</v>
          </cell>
          <cell r="BU37">
            <v>730.24600000000009</v>
          </cell>
          <cell r="BV37">
            <v>1498.5260000000001</v>
          </cell>
          <cell r="BW37">
            <v>817.601</v>
          </cell>
          <cell r="BX37">
            <v>0.8532639999999998</v>
          </cell>
          <cell r="BY37">
            <v>818.45426399999997</v>
          </cell>
          <cell r="BZ37">
            <v>0.90472100000000011</v>
          </cell>
          <cell r="CA37">
            <v>0.87646100000000005</v>
          </cell>
          <cell r="CB37">
            <v>1.7811820000000003</v>
          </cell>
          <cell r="CC37">
            <v>0.86856199999999995</v>
          </cell>
          <cell r="CD37">
            <v>0.76262100000000022</v>
          </cell>
          <cell r="CE37">
            <v>1.631183</v>
          </cell>
          <cell r="CF37">
            <v>0.80707600000000002</v>
          </cell>
          <cell r="CG37">
            <v>0.95512399999999997</v>
          </cell>
          <cell r="CH37">
            <v>1.7622</v>
          </cell>
          <cell r="CI37">
            <v>1.395359</v>
          </cell>
          <cell r="CJ37">
            <v>1.3065085144694533</v>
          </cell>
          <cell r="CK37">
            <v>2.7018675144694533</v>
          </cell>
          <cell r="CL37">
            <v>1.3302980175639407</v>
          </cell>
          <cell r="CM37">
            <v>1.3883656071499726</v>
          </cell>
          <cell r="CN37">
            <v>2.7186636247139133</v>
          </cell>
          <cell r="CO37">
            <v>1.4990894665965826</v>
          </cell>
          <cell r="CP37">
            <v>1.5068803175286805</v>
          </cell>
          <cell r="CQ37">
            <v>3.0059697841252628</v>
          </cell>
          <cell r="CR37">
            <v>1.7274098671944582</v>
          </cell>
          <cell r="CS37">
            <v>1.6965924692209031</v>
          </cell>
          <cell r="CT37">
            <v>3.4240023364153611</v>
          </cell>
          <cell r="CU37">
            <v>1.7098321292276253</v>
          </cell>
          <cell r="CV37">
            <v>1.707974360857162</v>
          </cell>
          <cell r="CW37">
            <v>3.4178064900847875</v>
          </cell>
          <cell r="CX37">
            <v>1.8004986912720413</v>
          </cell>
          <cell r="CY37">
            <v>1.7986335812568681</v>
          </cell>
          <cell r="CZ37">
            <v>3.5991322725289097</v>
          </cell>
          <cell r="DA37">
            <v>1.6336824818557047</v>
          </cell>
          <cell r="DB37">
            <v>1.6318550673834986</v>
          </cell>
          <cell r="DC37">
            <v>3.2655375492392036</v>
          </cell>
          <cell r="DD37">
            <v>1.6501219497636139</v>
          </cell>
          <cell r="DE37">
            <v>1.6482747791992038</v>
          </cell>
          <cell r="DF37">
            <v>3.2983967289628175</v>
          </cell>
          <cell r="DG37">
            <v>1.6501299834020451</v>
          </cell>
          <cell r="DH37">
            <v>1.6482799315628807</v>
          </cell>
          <cell r="DI37">
            <v>3.2984099149649255</v>
          </cell>
          <cell r="DJ37">
            <v>1.6501333143317505</v>
          </cell>
          <cell r="DK37">
            <v>1.6482819394490078</v>
          </cell>
          <cell r="DL37">
            <v>3.2984152537807585</v>
          </cell>
          <cell r="DM37">
            <v>1.6430731583859246</v>
          </cell>
          <cell r="DN37">
            <v>1.6170279024271388</v>
          </cell>
          <cell r="DO37">
            <v>3.2601010608130636</v>
          </cell>
          <cell r="DP37">
            <v>1.4360455585975507</v>
          </cell>
          <cell r="DQ37">
            <v>1.4360427327714771</v>
          </cell>
          <cell r="DR37">
            <v>2.8720882913690278</v>
          </cell>
          <cell r="DS37">
            <v>1.4360393158781468</v>
          </cell>
          <cell r="DT37">
            <v>1.4360348653454469</v>
          </cell>
          <cell r="DU37">
            <v>2.8720741812235939</v>
          </cell>
          <cell r="DV37">
            <v>1.1971373498247211</v>
          </cell>
          <cell r="DW37">
            <v>1.1971169831346036</v>
          </cell>
          <cell r="DX37">
            <v>2.3942543329593247</v>
          </cell>
          <cell r="DY37">
            <v>1.1370764533867965</v>
          </cell>
          <cell r="DZ37">
            <v>1.1370744853397747</v>
          </cell>
          <cell r="EA37">
            <v>2.2741509387265713</v>
          </cell>
          <cell r="EB37">
            <v>1.1370721203847873</v>
          </cell>
          <cell r="EC37">
            <v>1.1370691038973644</v>
          </cell>
          <cell r="ED37">
            <v>2.2741412242821517</v>
          </cell>
          <cell r="EE37">
            <v>1.1370648134918799</v>
          </cell>
          <cell r="EF37">
            <v>1.1370568915286037</v>
          </cell>
          <cell r="EG37">
            <v>2.2741217050204838</v>
          </cell>
          <cell r="EH37">
            <v>1.1369495170072585</v>
          </cell>
          <cell r="EI37">
            <v>1.1369578499074235</v>
          </cell>
          <cell r="EJ37">
            <v>2.2739073669146821</v>
          </cell>
          <cell r="EK37">
            <v>1.1369616338419157</v>
          </cell>
          <cell r="EL37">
            <v>1.1369639749071148</v>
          </cell>
          <cell r="EM37">
            <v>2.2739256087490305</v>
          </cell>
          <cell r="EN37">
            <v>1.0741222957189454</v>
          </cell>
          <cell r="EO37">
            <v>1.0741218584384191</v>
          </cell>
          <cell r="EP37">
            <v>2.1482441541573642</v>
          </cell>
          <cell r="EQ37">
            <v>1.0741214134742381</v>
          </cell>
          <cell r="ER37">
            <v>1.0741209605515283</v>
          </cell>
          <cell r="ES37">
            <v>2.1482423740257666</v>
          </cell>
          <cell r="ET37">
            <v>1.0741204993803972</v>
          </cell>
          <cell r="EU37">
            <v>1.0741200296548183</v>
          </cell>
          <cell r="EV37">
            <v>2.1482405290352156</v>
          </cell>
          <cell r="EW37">
            <v>1.0741195510514125</v>
          </cell>
          <cell r="EX37">
            <v>1.0741190632281097</v>
          </cell>
          <cell r="EY37">
            <v>2.1482386142795225</v>
          </cell>
          <cell r="EZ37">
            <v>0.83746317353972288</v>
          </cell>
          <cell r="FA37">
            <v>0.83746266616816389</v>
          </cell>
          <cell r="FB37">
            <v>1.6749258397078868</v>
          </cell>
          <cell r="FC37">
            <v>0.83746214842291467</v>
          </cell>
          <cell r="FD37">
            <v>0.83746161987089229</v>
          </cell>
          <cell r="FE37">
            <v>1.674923768293807</v>
          </cell>
          <cell r="FF37">
            <v>0.83746108005131403</v>
          </cell>
          <cell r="FG37">
            <v>0.83746052847328478</v>
          </cell>
          <cell r="FH37">
            <v>1.6749216085245988</v>
          </cell>
          <cell r="FI37">
            <v>0.83745996461311301</v>
          </cell>
          <cell r="FJ37">
            <v>0.83745938791132424</v>
          </cell>
          <cell r="FK37">
            <v>1.6749193525244372</v>
          </cell>
          <cell r="FL37">
            <v>0.83745879776932441</v>
          </cell>
          <cell r="FM37">
            <v>0.83745819354566586</v>
          </cell>
          <cell r="FN37">
            <v>1.6749169913149902</v>
          </cell>
          <cell r="FO37">
            <v>0.83745757455185632</v>
          </cell>
          <cell r="FP37">
            <v>0.83745694004764382</v>
          </cell>
          <cell r="FQ37">
            <v>1.6749145145995001</v>
          </cell>
          <cell r="FR37">
            <v>0.83745628923569437</v>
          </cell>
          <cell r="FS37">
            <v>0.83745562125556883</v>
          </cell>
          <cell r="FT37">
            <v>1.6749119104912631</v>
          </cell>
          <cell r="FU37">
            <v>0.83736493517688226</v>
          </cell>
          <cell r="FV37">
            <v>0.83736422999151217</v>
          </cell>
          <cell r="FW37">
            <v>1.6747291651683944</v>
          </cell>
          <cell r="FX37">
            <v>0.51710626987800112</v>
          </cell>
          <cell r="FY37">
            <v>0.51710552309808744</v>
          </cell>
          <cell r="FZ37">
            <v>1.0342117929760886</v>
          </cell>
          <cell r="GA37">
            <v>0.51710475362479991</v>
          </cell>
          <cell r="GB37">
            <v>0.51710396003558889</v>
          </cell>
          <cell r="GC37">
            <v>1.0342087136603888</v>
          </cell>
          <cell r="GD37">
            <v>0.51710314076981378</v>
          </cell>
          <cell r="GE37">
            <v>0.51710229411027087</v>
          </cell>
          <cell r="GF37">
            <v>1.0342054348800847</v>
          </cell>
          <cell r="GG37">
            <v>0.32025723472668804</v>
          </cell>
          <cell r="GH37">
            <v>0.32025723472668804</v>
          </cell>
          <cell r="GI37">
            <v>0.64051446945337609</v>
          </cell>
          <cell r="GJ37">
            <v>0.32025723472668804</v>
          </cell>
          <cell r="GK37">
            <v>0.32025723472668804</v>
          </cell>
          <cell r="GL37">
            <v>0.64051446945337609</v>
          </cell>
          <cell r="GM37">
            <v>0.32025723472668804</v>
          </cell>
          <cell r="GN37">
            <v>0.32025723472668804</v>
          </cell>
          <cell r="GO37">
            <v>0.64051446945337609</v>
          </cell>
          <cell r="GP37">
            <v>0.32025723472668804</v>
          </cell>
          <cell r="GQ37">
            <v>0.32025723472668804</v>
          </cell>
          <cell r="GR37">
            <v>0.64051446945337609</v>
          </cell>
          <cell r="GS37">
            <v>0.32025723472668804</v>
          </cell>
          <cell r="GT37">
            <v>0.32025723472668804</v>
          </cell>
          <cell r="GU37">
            <v>0.64051446945337609</v>
          </cell>
          <cell r="GV37">
            <v>0.32025723472668804</v>
          </cell>
          <cell r="GW37">
            <v>0.32025723472668804</v>
          </cell>
          <cell r="GX37">
            <v>0.64051446945337609</v>
          </cell>
        </row>
        <row r="38">
          <cell r="A38" t="str">
            <v>Total Cu Sales</v>
          </cell>
          <cell r="B38" t="str">
            <v>t</v>
          </cell>
          <cell r="C38" t="str">
            <v>.</v>
          </cell>
          <cell r="D38">
            <v>0</v>
          </cell>
          <cell r="E38">
            <v>39198</v>
          </cell>
          <cell r="F38">
            <v>68604</v>
          </cell>
          <cell r="G38">
            <v>84231</v>
          </cell>
          <cell r="H38">
            <v>87539</v>
          </cell>
          <cell r="I38">
            <v>104583</v>
          </cell>
          <cell r="J38">
            <v>46950.815999999999</v>
          </cell>
          <cell r="K38">
            <v>91.125</v>
          </cell>
          <cell r="L38">
            <v>89.876999999999995</v>
          </cell>
          <cell r="M38">
            <v>86.573999999999998</v>
          </cell>
          <cell r="N38">
            <v>75.391380499999997</v>
          </cell>
          <cell r="O38">
            <v>78.995474999999999</v>
          </cell>
          <cell r="P38">
            <v>81.469088734005851</v>
          </cell>
          <cell r="Q38">
            <v>92.181242527350349</v>
          </cell>
          <cell r="R38">
            <v>82.051242527350354</v>
          </cell>
          <cell r="S38">
            <v>99.516242527350357</v>
          </cell>
          <cell r="T38">
            <v>109.02989257923176</v>
          </cell>
          <cell r="U38">
            <v>114.53113349303919</v>
          </cell>
          <cell r="V38">
            <v>114.53113349303918</v>
          </cell>
          <cell r="W38">
            <v>114.53113349303918</v>
          </cell>
          <cell r="X38">
            <v>114.53113349303918</v>
          </cell>
          <cell r="Y38">
            <v>97.645159245889474</v>
          </cell>
          <cell r="Z38">
            <v>97.645159245889474</v>
          </cell>
          <cell r="AA38">
            <v>97.645159245889459</v>
          </cell>
          <cell r="AB38">
            <v>97.645159245889459</v>
          </cell>
          <cell r="AC38">
            <v>97.645159245889474</v>
          </cell>
          <cell r="AD38">
            <v>97.645159245889488</v>
          </cell>
          <cell r="AE38">
            <v>97.645159245889531</v>
          </cell>
          <cell r="AF38">
            <v>97.645159245889531</v>
          </cell>
          <cell r="AG38">
            <v>77.639890965688849</v>
          </cell>
          <cell r="AH38">
            <v>77.639890965688849</v>
          </cell>
          <cell r="AI38">
            <v>77.639890965688849</v>
          </cell>
          <cell r="AJ38">
            <v>77.639890965688849</v>
          </cell>
          <cell r="AK38">
            <v>66.014890965688849</v>
          </cell>
          <cell r="AL38">
            <v>66.014890965688863</v>
          </cell>
          <cell r="AM38">
            <v>66.014890965688863</v>
          </cell>
          <cell r="AN38">
            <v>66.014890965688878</v>
          </cell>
          <cell r="AO38">
            <v>66.014890965688892</v>
          </cell>
          <cell r="AP38">
            <v>66.014890965688892</v>
          </cell>
          <cell r="AQ38">
            <v>66.014890965688892</v>
          </cell>
          <cell r="AR38">
            <v>66.014890965688906</v>
          </cell>
          <cell r="AS38">
            <v>66.01489096568892</v>
          </cell>
          <cell r="AT38">
            <v>66.01489096568892</v>
          </cell>
          <cell r="AU38">
            <v>66.01489096568892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 t="str">
            <v>.</v>
          </cell>
          <cell r="BC38" t="str">
            <v>.</v>
          </cell>
          <cell r="BD38" t="str">
            <v>.</v>
          </cell>
          <cell r="BE38" t="str">
            <v>.</v>
          </cell>
          <cell r="BF38">
            <v>15183</v>
          </cell>
          <cell r="BG38" t="str">
            <v>.</v>
          </cell>
          <cell r="BH38">
            <v>12834</v>
          </cell>
          <cell r="BI38">
            <v>26364</v>
          </cell>
          <cell r="BJ38">
            <v>39198</v>
          </cell>
          <cell r="BK38">
            <v>25120</v>
          </cell>
          <cell r="BL38">
            <v>43484</v>
          </cell>
          <cell r="BM38">
            <v>68604</v>
          </cell>
          <cell r="BN38">
            <v>40632</v>
          </cell>
          <cell r="BO38">
            <v>43599</v>
          </cell>
          <cell r="BP38">
            <v>84231</v>
          </cell>
          <cell r="BQ38">
            <v>34024</v>
          </cell>
          <cell r="BR38">
            <v>53515</v>
          </cell>
          <cell r="BS38">
            <v>87539</v>
          </cell>
          <cell r="BT38">
            <v>55988</v>
          </cell>
          <cell r="BU38">
            <v>48595</v>
          </cell>
          <cell r="BV38">
            <v>104583</v>
          </cell>
          <cell r="BW38">
            <v>46907</v>
          </cell>
          <cell r="BX38">
            <v>43.816000000000003</v>
          </cell>
          <cell r="BY38">
            <v>46950.815999999999</v>
          </cell>
          <cell r="BZ38">
            <v>44.021000000000001</v>
          </cell>
          <cell r="CA38">
            <v>47.103999999999999</v>
          </cell>
          <cell r="CB38">
            <v>91.125</v>
          </cell>
          <cell r="CC38">
            <v>42.781999999999996</v>
          </cell>
          <cell r="CD38">
            <v>47.094999999999999</v>
          </cell>
          <cell r="CE38">
            <v>89.876999999999995</v>
          </cell>
          <cell r="CF38">
            <v>45.147999999999996</v>
          </cell>
          <cell r="CG38">
            <v>41.426000000000002</v>
          </cell>
          <cell r="CH38">
            <v>86.573999999999998</v>
          </cell>
          <cell r="CI38">
            <v>35.165999999999997</v>
          </cell>
          <cell r="CJ38">
            <v>40.2253805</v>
          </cell>
          <cell r="CK38">
            <v>75.391380499999997</v>
          </cell>
          <cell r="CL38">
            <v>39.096674999999998</v>
          </cell>
          <cell r="CM38">
            <v>39.898799999999994</v>
          </cell>
          <cell r="CN38">
            <v>78.995474999999999</v>
          </cell>
          <cell r="CO38">
            <v>40.467169367002931</v>
          </cell>
          <cell r="CP38">
            <v>41.001919367002927</v>
          </cell>
          <cell r="CQ38">
            <v>81.469088734005851</v>
          </cell>
          <cell r="CR38">
            <v>46.090621263675175</v>
          </cell>
          <cell r="CS38">
            <v>46.090621263675175</v>
          </cell>
          <cell r="CT38">
            <v>92.181242527350349</v>
          </cell>
          <cell r="CU38">
            <v>41.02562126367517</v>
          </cell>
          <cell r="CV38">
            <v>41.025621263675177</v>
          </cell>
          <cell r="CW38">
            <v>82.051242527350354</v>
          </cell>
          <cell r="CX38">
            <v>49.758121263675179</v>
          </cell>
          <cell r="CY38">
            <v>49.758121263675179</v>
          </cell>
          <cell r="CZ38">
            <v>99.516242527350357</v>
          </cell>
          <cell r="DA38">
            <v>54.514946289615878</v>
          </cell>
          <cell r="DB38">
            <v>54.514946289615885</v>
          </cell>
          <cell r="DC38">
            <v>109.02989257923176</v>
          </cell>
          <cell r="DD38">
            <v>57.265566746519596</v>
          </cell>
          <cell r="DE38">
            <v>57.265566746519589</v>
          </cell>
          <cell r="DF38">
            <v>114.53113349303919</v>
          </cell>
          <cell r="DG38">
            <v>57.265566746519589</v>
          </cell>
          <cell r="DH38">
            <v>57.265566746519589</v>
          </cell>
          <cell r="DI38">
            <v>114.53113349303918</v>
          </cell>
          <cell r="DJ38">
            <v>57.265566746519589</v>
          </cell>
          <cell r="DK38">
            <v>57.265566746519589</v>
          </cell>
          <cell r="DL38">
            <v>114.53113349303918</v>
          </cell>
          <cell r="DM38">
            <v>57.265566746519589</v>
          </cell>
          <cell r="DN38">
            <v>57.265566746519589</v>
          </cell>
          <cell r="DO38">
            <v>114.53113349303918</v>
          </cell>
          <cell r="DP38">
            <v>48.822579622944737</v>
          </cell>
          <cell r="DQ38">
            <v>48.822579622944737</v>
          </cell>
          <cell r="DR38">
            <v>97.645159245889474</v>
          </cell>
          <cell r="DS38">
            <v>48.822579622944737</v>
          </cell>
          <cell r="DT38">
            <v>48.822579622944737</v>
          </cell>
          <cell r="DU38">
            <v>97.645159245889474</v>
          </cell>
          <cell r="DV38">
            <v>48.822579622944737</v>
          </cell>
          <cell r="DW38">
            <v>48.82257962294473</v>
          </cell>
          <cell r="DX38">
            <v>97.645159245889459</v>
          </cell>
          <cell r="DY38">
            <v>48.82257962294473</v>
          </cell>
          <cell r="DZ38">
            <v>48.82257962294473</v>
          </cell>
          <cell r="EA38">
            <v>97.645159245889459</v>
          </cell>
          <cell r="EB38">
            <v>48.82257962294473</v>
          </cell>
          <cell r="EC38">
            <v>48.822579622944744</v>
          </cell>
          <cell r="ED38">
            <v>97.645159245889474</v>
          </cell>
          <cell r="EE38">
            <v>48.822579622944744</v>
          </cell>
          <cell r="EF38">
            <v>48.822579622944744</v>
          </cell>
          <cell r="EG38">
            <v>97.645159245889488</v>
          </cell>
          <cell r="EH38">
            <v>48.822579622944765</v>
          </cell>
          <cell r="EI38">
            <v>48.822579622944765</v>
          </cell>
          <cell r="EJ38">
            <v>97.645159245889531</v>
          </cell>
          <cell r="EK38">
            <v>48.822579622944765</v>
          </cell>
          <cell r="EL38">
            <v>48.822579622944765</v>
          </cell>
          <cell r="EM38">
            <v>97.645159245889531</v>
          </cell>
          <cell r="EN38">
            <v>38.819945482844425</v>
          </cell>
          <cell r="EO38">
            <v>38.819945482844425</v>
          </cell>
          <cell r="EP38">
            <v>77.639890965688849</v>
          </cell>
          <cell r="EQ38">
            <v>38.819945482844425</v>
          </cell>
          <cell r="ER38">
            <v>38.819945482844425</v>
          </cell>
          <cell r="ES38">
            <v>77.639890965688849</v>
          </cell>
          <cell r="ET38">
            <v>38.819945482844425</v>
          </cell>
          <cell r="EU38">
            <v>38.819945482844425</v>
          </cell>
          <cell r="EV38">
            <v>77.639890965688849</v>
          </cell>
          <cell r="EW38">
            <v>38.819945482844425</v>
          </cell>
          <cell r="EX38">
            <v>38.819945482844425</v>
          </cell>
          <cell r="EY38">
            <v>77.639890965688849</v>
          </cell>
          <cell r="EZ38">
            <v>33.007445482844425</v>
          </cell>
          <cell r="FA38">
            <v>33.007445482844425</v>
          </cell>
          <cell r="FB38">
            <v>66.014890965688849</v>
          </cell>
          <cell r="FC38">
            <v>33.007445482844432</v>
          </cell>
          <cell r="FD38">
            <v>33.007445482844432</v>
          </cell>
          <cell r="FE38">
            <v>66.014890965688863</v>
          </cell>
          <cell r="FF38">
            <v>33.007445482844432</v>
          </cell>
          <cell r="FG38">
            <v>33.007445482844432</v>
          </cell>
          <cell r="FH38">
            <v>66.014890965688863</v>
          </cell>
          <cell r="FI38">
            <v>33.007445482844439</v>
          </cell>
          <cell r="FJ38">
            <v>33.007445482844439</v>
          </cell>
          <cell r="FK38">
            <v>66.014890965688878</v>
          </cell>
          <cell r="FL38">
            <v>33.007445482844439</v>
          </cell>
          <cell r="FM38">
            <v>33.007445482844446</v>
          </cell>
          <cell r="FN38">
            <v>66.014890965688892</v>
          </cell>
          <cell r="FO38">
            <v>33.007445482844446</v>
          </cell>
          <cell r="FP38">
            <v>33.007445482844446</v>
          </cell>
          <cell r="FQ38">
            <v>66.014890965688892</v>
          </cell>
          <cell r="FR38">
            <v>33.007445482844446</v>
          </cell>
          <cell r="FS38">
            <v>33.007445482844446</v>
          </cell>
          <cell r="FT38">
            <v>66.014890965688892</v>
          </cell>
          <cell r="FU38">
            <v>33.007445482844453</v>
          </cell>
          <cell r="FV38">
            <v>33.007445482844453</v>
          </cell>
          <cell r="FW38">
            <v>66.014890965688906</v>
          </cell>
          <cell r="FX38">
            <v>33.007445482844453</v>
          </cell>
          <cell r="FY38">
            <v>33.00744548284446</v>
          </cell>
          <cell r="FZ38">
            <v>66.01489096568892</v>
          </cell>
          <cell r="GA38">
            <v>33.00744548284446</v>
          </cell>
          <cell r="GB38">
            <v>33.00744548284446</v>
          </cell>
          <cell r="GC38">
            <v>66.01489096568892</v>
          </cell>
          <cell r="GD38">
            <v>33.00744548284446</v>
          </cell>
          <cell r="GE38">
            <v>33.00744548284446</v>
          </cell>
          <cell r="GF38">
            <v>66.01489096568892</v>
          </cell>
          <cell r="GG38">
            <v>0</v>
          </cell>
          <cell r="GH38">
            <v>0</v>
          </cell>
          <cell r="GI38">
            <v>0</v>
          </cell>
          <cell r="GJ38">
            <v>0</v>
          </cell>
          <cell r="GK38">
            <v>0</v>
          </cell>
          <cell r="GL38">
            <v>0</v>
          </cell>
          <cell r="GM38">
            <v>0</v>
          </cell>
          <cell r="GN38">
            <v>0</v>
          </cell>
          <cell r="GO38">
            <v>0</v>
          </cell>
          <cell r="GP38">
            <v>0</v>
          </cell>
          <cell r="GQ38">
            <v>0</v>
          </cell>
          <cell r="GR38">
            <v>0</v>
          </cell>
          <cell r="GS38">
            <v>0</v>
          </cell>
          <cell r="GT38">
            <v>0</v>
          </cell>
          <cell r="GU38">
            <v>0</v>
          </cell>
          <cell r="GV38">
            <v>0</v>
          </cell>
          <cell r="GW38">
            <v>0</v>
          </cell>
          <cell r="GX38">
            <v>0</v>
          </cell>
        </row>
        <row r="39">
          <cell r="A39" t="str">
            <v>Gold Fwd sales</v>
          </cell>
        </row>
        <row r="40">
          <cell r="A40" t="str">
            <v>GOLD HEDGING</v>
          </cell>
          <cell r="B40" t="str">
            <v>.</v>
          </cell>
          <cell r="C40" t="str">
            <v>.</v>
          </cell>
          <cell r="D40" t="str">
            <v>.</v>
          </cell>
          <cell r="E40" t="str">
            <v>.</v>
          </cell>
          <cell r="F40" t="str">
            <v>.</v>
          </cell>
          <cell r="G40" t="str">
            <v>.</v>
          </cell>
          <cell r="H40" t="str">
            <v>.</v>
          </cell>
          <cell r="I40" t="str">
            <v>.</v>
          </cell>
          <cell r="J40" t="str">
            <v>.</v>
          </cell>
          <cell r="K40" t="str">
            <v>.</v>
          </cell>
          <cell r="L40" t="str">
            <v>.</v>
          </cell>
          <cell r="M40" t="str">
            <v>.</v>
          </cell>
          <cell r="N40" t="str">
            <v>.</v>
          </cell>
          <cell r="O40" t="str">
            <v>.</v>
          </cell>
          <cell r="P40" t="str">
            <v>.</v>
          </cell>
          <cell r="Q40" t="str">
            <v>.</v>
          </cell>
          <cell r="R40" t="str">
            <v>.</v>
          </cell>
          <cell r="S40" t="str">
            <v>.</v>
          </cell>
          <cell r="T40" t="str">
            <v>.</v>
          </cell>
          <cell r="U40" t="str">
            <v>.</v>
          </cell>
          <cell r="V40" t="str">
            <v>.</v>
          </cell>
          <cell r="W40" t="str">
            <v>.</v>
          </cell>
          <cell r="X40" t="str">
            <v>.</v>
          </cell>
          <cell r="Y40" t="str">
            <v>.</v>
          </cell>
          <cell r="Z40" t="str">
            <v>.</v>
          </cell>
          <cell r="AA40" t="str">
            <v>.</v>
          </cell>
          <cell r="AB40" t="str">
            <v>.</v>
          </cell>
          <cell r="AC40" t="str">
            <v>.</v>
          </cell>
          <cell r="AD40" t="str">
            <v>.</v>
          </cell>
          <cell r="AE40" t="str">
            <v>.</v>
          </cell>
          <cell r="AF40" t="str">
            <v>.</v>
          </cell>
          <cell r="AG40" t="str">
            <v>.</v>
          </cell>
          <cell r="AH40" t="str">
            <v>.</v>
          </cell>
          <cell r="AI40" t="str">
            <v>.</v>
          </cell>
          <cell r="AJ40" t="str">
            <v>.</v>
          </cell>
          <cell r="AK40" t="str">
            <v>.</v>
          </cell>
          <cell r="AL40" t="str">
            <v>.</v>
          </cell>
          <cell r="AM40" t="str">
            <v>.</v>
          </cell>
          <cell r="AN40" t="str">
            <v>.</v>
          </cell>
          <cell r="AO40" t="str">
            <v>.</v>
          </cell>
          <cell r="AP40" t="str">
            <v>.</v>
          </cell>
          <cell r="AQ40" t="str">
            <v>.</v>
          </cell>
          <cell r="AR40" t="str">
            <v>.</v>
          </cell>
          <cell r="AS40" t="str">
            <v>.</v>
          </cell>
          <cell r="AT40" t="str">
            <v>.</v>
          </cell>
          <cell r="AU40" t="str">
            <v>.</v>
          </cell>
          <cell r="AV40" t="str">
            <v>.</v>
          </cell>
          <cell r="AW40" t="str">
            <v>.</v>
          </cell>
          <cell r="AX40" t="str">
            <v>.</v>
          </cell>
          <cell r="AY40" t="str">
            <v>.</v>
          </cell>
          <cell r="AZ40" t="str">
            <v>.</v>
          </cell>
          <cell r="BA40" t="str">
            <v>.</v>
          </cell>
          <cell r="BB40" t="str">
            <v>.</v>
          </cell>
          <cell r="BC40" t="str">
            <v>.</v>
          </cell>
          <cell r="BD40" t="str">
            <v>.</v>
          </cell>
          <cell r="BE40" t="str">
            <v>.</v>
          </cell>
          <cell r="BF40" t="str">
            <v>.</v>
          </cell>
          <cell r="BG40" t="str">
            <v>.</v>
          </cell>
          <cell r="BH40" t="str">
            <v>.</v>
          </cell>
          <cell r="BI40" t="str">
            <v>.</v>
          </cell>
          <cell r="BJ40" t="str">
            <v>.</v>
          </cell>
          <cell r="BK40" t="str">
            <v>.</v>
          </cell>
          <cell r="BL40" t="str">
            <v>.</v>
          </cell>
          <cell r="BM40" t="str">
            <v>.</v>
          </cell>
          <cell r="BN40" t="str">
            <v>.</v>
          </cell>
          <cell r="BO40" t="str">
            <v>.</v>
          </cell>
          <cell r="BP40" t="str">
            <v>.</v>
          </cell>
          <cell r="BQ40" t="str">
            <v>.</v>
          </cell>
          <cell r="BR40" t="str">
            <v>.</v>
          </cell>
          <cell r="BS40" t="str">
            <v>.</v>
          </cell>
          <cell r="BT40" t="str">
            <v>.</v>
          </cell>
          <cell r="BU40" t="str">
            <v>.</v>
          </cell>
          <cell r="BV40" t="str">
            <v>.</v>
          </cell>
          <cell r="BW40" t="str">
            <v>.</v>
          </cell>
          <cell r="BX40" t="str">
            <v>.</v>
          </cell>
          <cell r="BY40" t="str">
            <v>.</v>
          </cell>
          <cell r="BZ40" t="str">
            <v>.</v>
          </cell>
          <cell r="CA40" t="str">
            <v>.</v>
          </cell>
          <cell r="CB40" t="str">
            <v>.</v>
          </cell>
          <cell r="CC40" t="str">
            <v>.</v>
          </cell>
          <cell r="CD40" t="str">
            <v>.</v>
          </cell>
          <cell r="CE40" t="str">
            <v>.</v>
          </cell>
          <cell r="CF40" t="str">
            <v>.</v>
          </cell>
          <cell r="CG40" t="str">
            <v>.</v>
          </cell>
          <cell r="CH40" t="str">
            <v>.</v>
          </cell>
          <cell r="CI40" t="str">
            <v>.</v>
          </cell>
          <cell r="CJ40" t="str">
            <v>.</v>
          </cell>
          <cell r="CK40" t="str">
            <v>.</v>
          </cell>
          <cell r="CL40" t="str">
            <v>.</v>
          </cell>
          <cell r="CM40" t="str">
            <v>.</v>
          </cell>
          <cell r="CN40" t="str">
            <v>.</v>
          </cell>
          <cell r="CO40" t="str">
            <v>.</v>
          </cell>
          <cell r="CP40" t="str">
            <v>.</v>
          </cell>
          <cell r="CQ40" t="str">
            <v>.</v>
          </cell>
          <cell r="CR40" t="str">
            <v>.</v>
          </cell>
          <cell r="CS40" t="str">
            <v>.</v>
          </cell>
          <cell r="CT40" t="str">
            <v>.</v>
          </cell>
          <cell r="CU40" t="str">
            <v>.</v>
          </cell>
          <cell r="CV40" t="str">
            <v>.</v>
          </cell>
          <cell r="CW40" t="str">
            <v>.</v>
          </cell>
          <cell r="CX40" t="str">
            <v>.</v>
          </cell>
          <cell r="CY40" t="str">
            <v>.</v>
          </cell>
          <cell r="CZ40" t="str">
            <v>.</v>
          </cell>
          <cell r="DA40" t="str">
            <v>.</v>
          </cell>
          <cell r="DB40" t="str">
            <v>.</v>
          </cell>
          <cell r="DC40" t="str">
            <v>.</v>
          </cell>
          <cell r="DD40" t="str">
            <v>.</v>
          </cell>
          <cell r="DE40" t="str">
            <v>.</v>
          </cell>
          <cell r="DF40" t="str">
            <v>.</v>
          </cell>
          <cell r="DG40" t="str">
            <v>.</v>
          </cell>
          <cell r="DH40" t="str">
            <v>.</v>
          </cell>
          <cell r="DI40" t="str">
            <v>.</v>
          </cell>
          <cell r="DJ40" t="str">
            <v>.</v>
          </cell>
          <cell r="DK40" t="str">
            <v>.</v>
          </cell>
          <cell r="DL40" t="str">
            <v>.</v>
          </cell>
          <cell r="DM40" t="str">
            <v>.</v>
          </cell>
          <cell r="DN40" t="str">
            <v>.</v>
          </cell>
          <cell r="DO40" t="str">
            <v>.</v>
          </cell>
          <cell r="DP40" t="str">
            <v>.</v>
          </cell>
          <cell r="DQ40" t="str">
            <v>.</v>
          </cell>
          <cell r="DR40" t="str">
            <v>.</v>
          </cell>
          <cell r="DS40" t="str">
            <v>.</v>
          </cell>
          <cell r="DT40" t="str">
            <v>.</v>
          </cell>
          <cell r="DU40" t="str">
            <v>.</v>
          </cell>
          <cell r="DV40" t="str">
            <v>.</v>
          </cell>
          <cell r="DW40" t="str">
            <v>.</v>
          </cell>
          <cell r="DX40" t="str">
            <v>.</v>
          </cell>
          <cell r="DY40" t="str">
            <v>.</v>
          </cell>
          <cell r="DZ40" t="str">
            <v>.</v>
          </cell>
          <cell r="EA40" t="str">
            <v>.</v>
          </cell>
          <cell r="EB40" t="str">
            <v>.</v>
          </cell>
          <cell r="EC40" t="str">
            <v>.</v>
          </cell>
          <cell r="ED40" t="str">
            <v>.</v>
          </cell>
          <cell r="EE40" t="str">
            <v>.</v>
          </cell>
          <cell r="EF40" t="str">
            <v>.</v>
          </cell>
          <cell r="EG40" t="str">
            <v>.</v>
          </cell>
          <cell r="EH40" t="str">
            <v>.</v>
          </cell>
          <cell r="EI40" t="str">
            <v>.</v>
          </cell>
          <cell r="EJ40" t="str">
            <v>.</v>
          </cell>
          <cell r="EK40" t="str">
            <v>.</v>
          </cell>
          <cell r="EL40" t="str">
            <v>.</v>
          </cell>
          <cell r="EM40" t="str">
            <v>.</v>
          </cell>
          <cell r="EN40" t="str">
            <v>.</v>
          </cell>
          <cell r="EO40" t="str">
            <v>.</v>
          </cell>
          <cell r="EP40" t="str">
            <v>.</v>
          </cell>
          <cell r="EQ40" t="str">
            <v>.</v>
          </cell>
          <cell r="ER40" t="str">
            <v>.</v>
          </cell>
          <cell r="ES40" t="str">
            <v>.</v>
          </cell>
          <cell r="ET40" t="str">
            <v>.</v>
          </cell>
          <cell r="EU40" t="str">
            <v>.</v>
          </cell>
          <cell r="EV40" t="str">
            <v>.</v>
          </cell>
          <cell r="EW40" t="str">
            <v>.</v>
          </cell>
          <cell r="EX40" t="str">
            <v>.</v>
          </cell>
          <cell r="EY40" t="str">
            <v>.</v>
          </cell>
          <cell r="EZ40" t="str">
            <v>.</v>
          </cell>
          <cell r="FA40" t="str">
            <v>.</v>
          </cell>
          <cell r="FB40" t="str">
            <v>.</v>
          </cell>
          <cell r="FC40" t="str">
            <v>.</v>
          </cell>
          <cell r="FD40" t="str">
            <v>.</v>
          </cell>
          <cell r="FE40" t="str">
            <v>.</v>
          </cell>
          <cell r="FF40" t="str">
            <v>.</v>
          </cell>
          <cell r="FG40" t="str">
            <v>.</v>
          </cell>
          <cell r="FH40" t="str">
            <v>.</v>
          </cell>
          <cell r="FI40" t="str">
            <v>.</v>
          </cell>
          <cell r="FJ40" t="str">
            <v>.</v>
          </cell>
          <cell r="FK40" t="str">
            <v>.</v>
          </cell>
          <cell r="FL40" t="str">
            <v>.</v>
          </cell>
          <cell r="FM40" t="str">
            <v>.</v>
          </cell>
          <cell r="FN40" t="str">
            <v>.</v>
          </cell>
          <cell r="FO40" t="str">
            <v>.</v>
          </cell>
          <cell r="FP40" t="str">
            <v>.</v>
          </cell>
          <cell r="FQ40" t="str">
            <v>.</v>
          </cell>
          <cell r="FR40" t="str">
            <v>.</v>
          </cell>
          <cell r="FS40" t="str">
            <v>.</v>
          </cell>
          <cell r="FT40" t="str">
            <v>.</v>
          </cell>
          <cell r="FU40" t="str">
            <v>.</v>
          </cell>
          <cell r="FV40" t="str">
            <v>.</v>
          </cell>
          <cell r="FW40" t="str">
            <v>.</v>
          </cell>
          <cell r="FX40" t="str">
            <v>.</v>
          </cell>
          <cell r="FY40" t="str">
            <v>.</v>
          </cell>
          <cell r="FZ40" t="str">
            <v>.</v>
          </cell>
          <cell r="GA40" t="str">
            <v>.</v>
          </cell>
          <cell r="GB40" t="str">
            <v>.</v>
          </cell>
          <cell r="GC40" t="str">
            <v>.</v>
          </cell>
          <cell r="GD40" t="str">
            <v>.</v>
          </cell>
          <cell r="GE40" t="str">
            <v>.</v>
          </cell>
          <cell r="GF40" t="str">
            <v>.</v>
          </cell>
          <cell r="GG40" t="str">
            <v>.</v>
          </cell>
          <cell r="GH40" t="str">
            <v>.</v>
          </cell>
          <cell r="GI40" t="str">
            <v>.</v>
          </cell>
          <cell r="GJ40" t="str">
            <v>.</v>
          </cell>
          <cell r="GK40" t="str">
            <v>.</v>
          </cell>
          <cell r="GL40" t="str">
            <v>.</v>
          </cell>
          <cell r="GM40" t="str">
            <v>.</v>
          </cell>
          <cell r="GN40" t="str">
            <v>.</v>
          </cell>
          <cell r="GO40" t="str">
            <v>.</v>
          </cell>
          <cell r="GP40" t="str">
            <v>.</v>
          </cell>
          <cell r="GQ40" t="str">
            <v>.</v>
          </cell>
          <cell r="GR40" t="str">
            <v>.</v>
          </cell>
          <cell r="GS40" t="str">
            <v>.</v>
          </cell>
          <cell r="GT40" t="str">
            <v>.</v>
          </cell>
          <cell r="GU40" t="str">
            <v>.</v>
          </cell>
          <cell r="GV40" t="str">
            <v>.</v>
          </cell>
          <cell r="GW40" t="str">
            <v>.</v>
          </cell>
          <cell r="GX40" t="str">
            <v>.</v>
          </cell>
        </row>
        <row r="41">
          <cell r="A41" t="str">
            <v>Gold Fwd sales</v>
          </cell>
          <cell r="B41" t="str">
            <v>A$/oz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592</v>
          </cell>
          <cell r="I41">
            <v>592.5</v>
          </cell>
          <cell r="J41">
            <v>591</v>
          </cell>
          <cell r="K41">
            <v>603</v>
          </cell>
          <cell r="L41">
            <v>588</v>
          </cell>
          <cell r="M41">
            <v>636</v>
          </cell>
          <cell r="N41">
            <v>619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BQ41">
            <v>592</v>
          </cell>
          <cell r="BR41">
            <v>592</v>
          </cell>
          <cell r="BS41">
            <v>592</v>
          </cell>
          <cell r="BT41">
            <v>592</v>
          </cell>
          <cell r="BU41">
            <v>593</v>
          </cell>
          <cell r="BV41">
            <v>592.5</v>
          </cell>
          <cell r="BW41">
            <v>591</v>
          </cell>
          <cell r="BX41">
            <v>591</v>
          </cell>
          <cell r="BY41">
            <v>591</v>
          </cell>
          <cell r="BZ41">
            <v>603</v>
          </cell>
          <cell r="CA41">
            <v>603</v>
          </cell>
          <cell r="CB41">
            <v>603</v>
          </cell>
          <cell r="CC41">
            <v>588</v>
          </cell>
          <cell r="CD41">
            <v>588</v>
          </cell>
          <cell r="CE41">
            <v>588</v>
          </cell>
          <cell r="CF41">
            <v>636</v>
          </cell>
          <cell r="CG41">
            <v>636</v>
          </cell>
          <cell r="CH41">
            <v>636</v>
          </cell>
          <cell r="CI41">
            <v>619</v>
          </cell>
          <cell r="CJ41">
            <v>619</v>
          </cell>
          <cell r="CK41">
            <v>619</v>
          </cell>
        </row>
        <row r="42">
          <cell r="A42" t="str">
            <v>A$ Gold Hedged</v>
          </cell>
          <cell r="B42" t="str">
            <v>000 oz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1040.002</v>
          </cell>
          <cell r="I42">
            <v>1111.9880000000001</v>
          </cell>
          <cell r="J42">
            <v>713.64</v>
          </cell>
          <cell r="K42">
            <v>631.25400000000002</v>
          </cell>
          <cell r="L42">
            <v>615.00099999999998</v>
          </cell>
          <cell r="M42">
            <v>495.00099999999998</v>
          </cell>
          <cell r="N42">
            <v>260.00099999999998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BB42">
            <v>2001.2570000000001</v>
          </cell>
          <cell r="BQ42">
            <v>520.00099999999998</v>
          </cell>
          <cell r="BR42">
            <v>520.00099999999998</v>
          </cell>
          <cell r="BS42">
            <v>1040.002</v>
          </cell>
          <cell r="BT42">
            <v>560.98800000000006</v>
          </cell>
          <cell r="BU42">
            <v>551</v>
          </cell>
          <cell r="BV42">
            <v>1111.9880000000001</v>
          </cell>
          <cell r="BW42">
            <v>389.67500000000001</v>
          </cell>
          <cell r="BX42">
            <v>323.96499999999997</v>
          </cell>
          <cell r="BY42">
            <v>713.64</v>
          </cell>
          <cell r="BZ42">
            <v>315.62700000000001</v>
          </cell>
          <cell r="CA42">
            <v>315.62700000000001</v>
          </cell>
          <cell r="CB42">
            <v>631.25400000000002</v>
          </cell>
          <cell r="CC42">
            <v>307.50049999999999</v>
          </cell>
          <cell r="CD42">
            <v>307.50049999999999</v>
          </cell>
          <cell r="CE42">
            <v>615.00099999999998</v>
          </cell>
          <cell r="CF42">
            <v>247.50049999999999</v>
          </cell>
          <cell r="CG42">
            <v>247.50049999999999</v>
          </cell>
          <cell r="CH42">
            <v>495.00099999999998</v>
          </cell>
          <cell r="CI42">
            <v>130.00049999999999</v>
          </cell>
          <cell r="CJ42">
            <v>130.00049999999999</v>
          </cell>
          <cell r="CK42">
            <v>260.00099999999998</v>
          </cell>
          <cell r="CN42">
            <v>0</v>
          </cell>
          <cell r="CQ42">
            <v>0</v>
          </cell>
          <cell r="CT42">
            <v>0</v>
          </cell>
          <cell r="CW42">
            <v>0</v>
          </cell>
          <cell r="CZ42">
            <v>0</v>
          </cell>
          <cell r="DC42">
            <v>0</v>
          </cell>
          <cell r="DF42">
            <v>0</v>
          </cell>
          <cell r="DI42">
            <v>0</v>
          </cell>
          <cell r="DL42">
            <v>0</v>
          </cell>
        </row>
        <row r="43">
          <cell r="A43" t="str">
            <v>Rate</v>
          </cell>
          <cell r="B43" t="str">
            <v>A$/oz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592</v>
          </cell>
          <cell r="I43">
            <v>592.5</v>
          </cell>
          <cell r="J43">
            <v>591</v>
          </cell>
          <cell r="K43">
            <v>603</v>
          </cell>
          <cell r="L43">
            <v>588</v>
          </cell>
          <cell r="M43">
            <v>636</v>
          </cell>
          <cell r="N43">
            <v>619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BB43">
            <v>232.99200000000002</v>
          </cell>
          <cell r="BQ43">
            <v>592</v>
          </cell>
          <cell r="BR43">
            <v>592</v>
          </cell>
          <cell r="BS43">
            <v>592</v>
          </cell>
          <cell r="BT43">
            <v>592</v>
          </cell>
          <cell r="BU43">
            <v>593</v>
          </cell>
          <cell r="BV43">
            <v>592.5</v>
          </cell>
          <cell r="BW43">
            <v>591</v>
          </cell>
          <cell r="BX43">
            <v>591</v>
          </cell>
          <cell r="BY43">
            <v>591</v>
          </cell>
          <cell r="BZ43">
            <v>603</v>
          </cell>
          <cell r="CA43">
            <v>603</v>
          </cell>
          <cell r="CB43">
            <v>603</v>
          </cell>
          <cell r="CC43">
            <v>588</v>
          </cell>
          <cell r="CD43">
            <v>588</v>
          </cell>
          <cell r="CE43">
            <v>588</v>
          </cell>
          <cell r="CF43">
            <v>636</v>
          </cell>
          <cell r="CG43">
            <v>636</v>
          </cell>
          <cell r="CH43">
            <v>636</v>
          </cell>
          <cell r="CI43">
            <v>619</v>
          </cell>
          <cell r="CJ43">
            <v>619</v>
          </cell>
          <cell r="CK43">
            <v>619</v>
          </cell>
          <cell r="CN43">
            <v>0</v>
          </cell>
          <cell r="CQ43">
            <v>0</v>
          </cell>
          <cell r="CT43">
            <v>0</v>
          </cell>
          <cell r="CW43">
            <v>0</v>
          </cell>
          <cell r="CZ43">
            <v>0</v>
          </cell>
          <cell r="DC43">
            <v>0</v>
          </cell>
          <cell r="DF43">
            <v>0</v>
          </cell>
          <cell r="DI43">
            <v>0</v>
          </cell>
          <cell r="DL43">
            <v>0</v>
          </cell>
        </row>
        <row r="44">
          <cell r="A44" t="str">
            <v>Rate</v>
          </cell>
          <cell r="B44" t="str">
            <v>US$/oz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333.5</v>
          </cell>
          <cell r="I44">
            <v>330</v>
          </cell>
          <cell r="J44">
            <v>0</v>
          </cell>
          <cell r="K44">
            <v>0</v>
          </cell>
          <cell r="L44">
            <v>0</v>
          </cell>
          <cell r="M44">
            <v>377</v>
          </cell>
          <cell r="N44">
            <v>413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BQ44">
            <v>333</v>
          </cell>
          <cell r="BR44">
            <v>334</v>
          </cell>
          <cell r="BS44">
            <v>333.5</v>
          </cell>
          <cell r="BT44">
            <v>330</v>
          </cell>
          <cell r="BU44">
            <v>330</v>
          </cell>
          <cell r="BV44">
            <v>330</v>
          </cell>
          <cell r="BW44">
            <v>351</v>
          </cell>
          <cell r="BY44">
            <v>0</v>
          </cell>
          <cell r="CB44">
            <v>0</v>
          </cell>
          <cell r="CE44">
            <v>0</v>
          </cell>
          <cell r="CF44">
            <v>377</v>
          </cell>
          <cell r="CG44">
            <v>377</v>
          </cell>
          <cell r="CH44">
            <v>377</v>
          </cell>
          <cell r="CI44">
            <v>413</v>
          </cell>
          <cell r="CJ44">
            <v>413</v>
          </cell>
          <cell r="CK44">
            <v>413</v>
          </cell>
        </row>
        <row r="45">
          <cell r="A45" t="str">
            <v>US$ Gold Hedged</v>
          </cell>
          <cell r="B45" t="str">
            <v>000 oz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67.5</v>
          </cell>
          <cell r="I45">
            <v>285</v>
          </cell>
          <cell r="J45">
            <v>114.664</v>
          </cell>
          <cell r="K45">
            <v>0</v>
          </cell>
          <cell r="L45">
            <v>0</v>
          </cell>
          <cell r="M45">
            <v>72.992000000000004</v>
          </cell>
          <cell r="N45">
            <v>160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BB45">
            <v>232.99200000000002</v>
          </cell>
          <cell r="BQ45">
            <v>33.75</v>
          </cell>
          <cell r="BR45">
            <v>33.75</v>
          </cell>
          <cell r="BS45">
            <v>67.5</v>
          </cell>
          <cell r="BT45">
            <v>142.5</v>
          </cell>
          <cell r="BU45">
            <v>142.5</v>
          </cell>
          <cell r="BV45">
            <v>285</v>
          </cell>
          <cell r="BW45">
            <v>114.664</v>
          </cell>
          <cell r="BY45">
            <v>114.664</v>
          </cell>
          <cell r="CB45">
            <v>0</v>
          </cell>
          <cell r="CE45">
            <v>0</v>
          </cell>
          <cell r="CF45">
            <v>36.496000000000002</v>
          </cell>
          <cell r="CG45">
            <v>36.496000000000002</v>
          </cell>
          <cell r="CH45">
            <v>72.992000000000004</v>
          </cell>
          <cell r="CI45">
            <v>80</v>
          </cell>
          <cell r="CJ45">
            <v>80</v>
          </cell>
          <cell r="CK45">
            <v>160</v>
          </cell>
          <cell r="CN45">
            <v>0</v>
          </cell>
          <cell r="CQ45">
            <v>0</v>
          </cell>
          <cell r="CT45">
            <v>0</v>
          </cell>
          <cell r="CW45">
            <v>0</v>
          </cell>
          <cell r="CZ45">
            <v>0</v>
          </cell>
          <cell r="DC45">
            <v>0</v>
          </cell>
          <cell r="DF45">
            <v>0</v>
          </cell>
          <cell r="DI45">
            <v>0</v>
          </cell>
          <cell r="DL45">
            <v>0</v>
          </cell>
        </row>
        <row r="46">
          <cell r="A46" t="str">
            <v>Rate</v>
          </cell>
          <cell r="B46" t="str">
            <v>US$/oz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333.5</v>
          </cell>
          <cell r="I46">
            <v>330</v>
          </cell>
          <cell r="J46">
            <v>0</v>
          </cell>
          <cell r="K46">
            <v>0</v>
          </cell>
          <cell r="L46">
            <v>0</v>
          </cell>
          <cell r="M46">
            <v>377</v>
          </cell>
          <cell r="N46">
            <v>413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BQ46">
            <v>333</v>
          </cell>
          <cell r="BR46">
            <v>334</v>
          </cell>
          <cell r="BS46">
            <v>333.5</v>
          </cell>
          <cell r="BT46">
            <v>330</v>
          </cell>
          <cell r="BU46">
            <v>330</v>
          </cell>
          <cell r="BV46">
            <v>330</v>
          </cell>
          <cell r="BW46">
            <v>351</v>
          </cell>
          <cell r="BY46">
            <v>0</v>
          </cell>
          <cell r="CB46">
            <v>0</v>
          </cell>
          <cell r="CE46">
            <v>0</v>
          </cell>
          <cell r="CF46">
            <v>377</v>
          </cell>
          <cell r="CG46">
            <v>377</v>
          </cell>
          <cell r="CH46">
            <v>377</v>
          </cell>
          <cell r="CI46">
            <v>413</v>
          </cell>
          <cell r="CJ46">
            <v>413</v>
          </cell>
          <cell r="CK46">
            <v>413</v>
          </cell>
        </row>
        <row r="47">
          <cell r="A47" t="str">
            <v>A$ Gold Purchased Puts</v>
          </cell>
          <cell r="B47" t="str">
            <v>000 oz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500</v>
          </cell>
          <cell r="M47">
            <v>500</v>
          </cell>
          <cell r="N47">
            <v>500</v>
          </cell>
          <cell r="O47">
            <v>500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BB47">
            <v>2000</v>
          </cell>
          <cell r="CC47">
            <v>250</v>
          </cell>
          <cell r="CD47">
            <v>250</v>
          </cell>
          <cell r="CE47">
            <v>500</v>
          </cell>
          <cell r="CF47">
            <v>250</v>
          </cell>
          <cell r="CG47">
            <v>250</v>
          </cell>
          <cell r="CH47">
            <v>500</v>
          </cell>
          <cell r="CI47">
            <v>250</v>
          </cell>
          <cell r="CJ47">
            <v>250</v>
          </cell>
          <cell r="CK47">
            <v>500</v>
          </cell>
          <cell r="CL47">
            <v>250</v>
          </cell>
          <cell r="CM47">
            <v>250</v>
          </cell>
          <cell r="CN47">
            <v>500</v>
          </cell>
          <cell r="CQ47">
            <v>0</v>
          </cell>
          <cell r="CT47">
            <v>0</v>
          </cell>
          <cell r="CW47">
            <v>0</v>
          </cell>
          <cell r="CZ47">
            <v>0</v>
          </cell>
          <cell r="DC47">
            <v>0</v>
          </cell>
          <cell r="DF47">
            <v>0</v>
          </cell>
          <cell r="DI47">
            <v>0</v>
          </cell>
          <cell r="DL47">
            <v>0</v>
          </cell>
        </row>
        <row r="48">
          <cell r="A48" t="str">
            <v>Gold Puts Purchased</v>
          </cell>
          <cell r="B48" t="str">
            <v>A$/oz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H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</row>
        <row r="49">
          <cell r="A49" t="str">
            <v>A$ Gold Purchased Puts</v>
          </cell>
          <cell r="B49" t="str">
            <v>000 oz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500</v>
          </cell>
          <cell r="M49">
            <v>500</v>
          </cell>
          <cell r="N49">
            <v>500</v>
          </cell>
          <cell r="O49">
            <v>500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BB49">
            <v>2000</v>
          </cell>
          <cell r="CC49">
            <v>250</v>
          </cell>
          <cell r="CD49">
            <v>250</v>
          </cell>
          <cell r="CE49">
            <v>500</v>
          </cell>
          <cell r="CF49">
            <v>250</v>
          </cell>
          <cell r="CG49">
            <v>250</v>
          </cell>
          <cell r="CH49">
            <v>500</v>
          </cell>
          <cell r="CI49">
            <v>250</v>
          </cell>
          <cell r="CJ49">
            <v>250</v>
          </cell>
          <cell r="CK49">
            <v>500</v>
          </cell>
          <cell r="CL49">
            <v>250</v>
          </cell>
          <cell r="CM49">
            <v>250</v>
          </cell>
          <cell r="CN49">
            <v>500</v>
          </cell>
          <cell r="CQ49">
            <v>0</v>
          </cell>
          <cell r="CT49">
            <v>0</v>
          </cell>
          <cell r="CW49">
            <v>0</v>
          </cell>
          <cell r="CZ49">
            <v>0</v>
          </cell>
          <cell r="DC49">
            <v>0</v>
          </cell>
          <cell r="DF49">
            <v>0</v>
          </cell>
          <cell r="DI49">
            <v>0</v>
          </cell>
          <cell r="DL49">
            <v>0</v>
          </cell>
        </row>
        <row r="50">
          <cell r="A50" t="str">
            <v>Rate</v>
          </cell>
          <cell r="B50" t="str">
            <v>A$/oz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G50">
            <v>0</v>
          </cell>
          <cell r="CH50">
            <v>0</v>
          </cell>
          <cell r="CI50">
            <v>0</v>
          </cell>
          <cell r="CJ50">
            <v>0</v>
          </cell>
          <cell r="CK50">
            <v>0</v>
          </cell>
          <cell r="CL50">
            <v>0</v>
          </cell>
          <cell r="CM50">
            <v>0</v>
          </cell>
        </row>
        <row r="51">
          <cell r="A51" t="str">
            <v>A$ Bullion (ozs)</v>
          </cell>
          <cell r="B51" t="str">
            <v>000 oz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16.611999999999998</v>
          </cell>
          <cell r="M51">
            <v>12.053000000000001</v>
          </cell>
          <cell r="N51">
            <v>0</v>
          </cell>
          <cell r="O51">
            <v>400.72500000000002</v>
          </cell>
          <cell r="P51">
            <v>77.697999999999993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BB51">
            <v>507.08800000000002</v>
          </cell>
          <cell r="CC51">
            <v>8.3059999999999992</v>
          </cell>
          <cell r="CD51">
            <v>8.3059999999999992</v>
          </cell>
          <cell r="CE51">
            <v>16.611999999999998</v>
          </cell>
          <cell r="CF51">
            <v>6.0265000000000004</v>
          </cell>
          <cell r="CG51">
            <v>6.0265000000000004</v>
          </cell>
          <cell r="CH51">
            <v>12.053000000000001</v>
          </cell>
          <cell r="CL51">
            <v>200.36250000000001</v>
          </cell>
          <cell r="CM51">
            <v>200.36250000000001</v>
          </cell>
          <cell r="CN51">
            <v>400.72500000000002</v>
          </cell>
          <cell r="CO51">
            <v>38.848999999999997</v>
          </cell>
          <cell r="CP51">
            <v>38.848999999999997</v>
          </cell>
          <cell r="CQ51">
            <v>77.697999999999993</v>
          </cell>
        </row>
        <row r="52">
          <cell r="A52" t="str">
            <v>Gold bullion Sales</v>
          </cell>
          <cell r="B52" t="str">
            <v>A$/oz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738</v>
          </cell>
          <cell r="M52">
            <v>738</v>
          </cell>
          <cell r="N52">
            <v>0</v>
          </cell>
          <cell r="O52">
            <v>738</v>
          </cell>
          <cell r="P52">
            <v>738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CC52">
            <v>738</v>
          </cell>
          <cell r="CD52">
            <v>738</v>
          </cell>
          <cell r="CE52">
            <v>738</v>
          </cell>
          <cell r="CF52">
            <v>738</v>
          </cell>
          <cell r="CG52">
            <v>738</v>
          </cell>
          <cell r="CH52">
            <v>738</v>
          </cell>
          <cell r="CL52">
            <v>738</v>
          </cell>
          <cell r="CM52">
            <v>738</v>
          </cell>
          <cell r="CN52">
            <v>738</v>
          </cell>
          <cell r="CO52">
            <v>738</v>
          </cell>
          <cell r="CP52">
            <v>738</v>
          </cell>
          <cell r="CQ52">
            <v>738</v>
          </cell>
        </row>
        <row r="53">
          <cell r="A53" t="str">
            <v>A$ Bullion (ozs)</v>
          </cell>
          <cell r="B53" t="str">
            <v>000 oz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16.611999999999998</v>
          </cell>
          <cell r="M53">
            <v>12.053000000000001</v>
          </cell>
          <cell r="N53">
            <v>0</v>
          </cell>
          <cell r="O53">
            <v>400.72500000000002</v>
          </cell>
          <cell r="P53">
            <v>77.697999999999993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BB53">
            <v>507.08800000000002</v>
          </cell>
          <cell r="CC53">
            <v>8.3059999999999992</v>
          </cell>
          <cell r="CD53">
            <v>8.3059999999999992</v>
          </cell>
          <cell r="CE53">
            <v>16.611999999999998</v>
          </cell>
          <cell r="CF53">
            <v>6.0265000000000004</v>
          </cell>
          <cell r="CG53">
            <v>6.0265000000000004</v>
          </cell>
          <cell r="CH53">
            <v>12.053000000000001</v>
          </cell>
          <cell r="CL53">
            <v>200.36250000000001</v>
          </cell>
          <cell r="CM53">
            <v>200.36250000000001</v>
          </cell>
          <cell r="CN53">
            <v>400.72500000000002</v>
          </cell>
          <cell r="CO53">
            <v>38.848999999999997</v>
          </cell>
          <cell r="CP53">
            <v>38.848999999999997</v>
          </cell>
          <cell r="CQ53">
            <v>77.697999999999993</v>
          </cell>
        </row>
        <row r="54">
          <cell r="A54" t="str">
            <v>Rate</v>
          </cell>
          <cell r="B54" t="str">
            <v>A$/oz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738</v>
          </cell>
          <cell r="M54">
            <v>738</v>
          </cell>
          <cell r="N54">
            <v>0</v>
          </cell>
          <cell r="O54">
            <v>738</v>
          </cell>
          <cell r="P54">
            <v>738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BB54">
            <v>1149.8440000000001</v>
          </cell>
          <cell r="CC54">
            <v>738</v>
          </cell>
          <cell r="CD54">
            <v>738</v>
          </cell>
          <cell r="CE54">
            <v>738</v>
          </cell>
          <cell r="CF54">
            <v>738</v>
          </cell>
          <cell r="CG54">
            <v>738</v>
          </cell>
          <cell r="CH54">
            <v>738</v>
          </cell>
          <cell r="CI54">
            <v>114.1335</v>
          </cell>
          <cell r="CJ54">
            <v>114.1335</v>
          </cell>
          <cell r="CK54">
            <v>228.267</v>
          </cell>
          <cell r="CL54">
            <v>738</v>
          </cell>
          <cell r="CM54">
            <v>738</v>
          </cell>
          <cell r="CN54">
            <v>738</v>
          </cell>
          <cell r="CO54">
            <v>738</v>
          </cell>
          <cell r="CP54">
            <v>738</v>
          </cell>
          <cell r="CQ54">
            <v>738</v>
          </cell>
        </row>
        <row r="55">
          <cell r="A55" t="str">
            <v>Rate</v>
          </cell>
          <cell r="B55" t="str">
            <v>US$/oz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386</v>
          </cell>
          <cell r="O55">
            <v>386</v>
          </cell>
          <cell r="P55">
            <v>386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CI55">
            <v>386</v>
          </cell>
          <cell r="CJ55">
            <v>386</v>
          </cell>
          <cell r="CK55">
            <v>386</v>
          </cell>
          <cell r="CL55">
            <v>386</v>
          </cell>
          <cell r="CM55">
            <v>386</v>
          </cell>
          <cell r="CN55">
            <v>386</v>
          </cell>
          <cell r="CO55">
            <v>386</v>
          </cell>
          <cell r="CP55">
            <v>386</v>
          </cell>
          <cell r="CQ55">
            <v>386</v>
          </cell>
        </row>
        <row r="56">
          <cell r="A56" t="str">
            <v>US$ Bullion (ozs)</v>
          </cell>
          <cell r="B56" t="str">
            <v>000 oz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228.267</v>
          </cell>
          <cell r="O56">
            <v>299.27499999999998</v>
          </cell>
          <cell r="P56">
            <v>622.30200000000002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BB56">
            <v>1149.8440000000001</v>
          </cell>
          <cell r="CI56">
            <v>114.1335</v>
          </cell>
          <cell r="CJ56">
            <v>114.1335</v>
          </cell>
          <cell r="CK56">
            <v>228.267</v>
          </cell>
          <cell r="CL56">
            <v>149.63749999999999</v>
          </cell>
          <cell r="CM56">
            <v>149.63749999999999</v>
          </cell>
          <cell r="CN56">
            <v>299.27499999999998</v>
          </cell>
          <cell r="CO56">
            <v>311.15100000000001</v>
          </cell>
          <cell r="CP56">
            <v>311.15100000000001</v>
          </cell>
          <cell r="CQ56">
            <v>622.30200000000002</v>
          </cell>
        </row>
        <row r="57">
          <cell r="A57" t="str">
            <v>Rate</v>
          </cell>
          <cell r="B57" t="str">
            <v>US$/oz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386</v>
          </cell>
          <cell r="O57">
            <v>386</v>
          </cell>
          <cell r="P57">
            <v>386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BB57">
            <v>308.81899999999996</v>
          </cell>
          <cell r="BQ57">
            <v>42</v>
          </cell>
          <cell r="BR57">
            <v>42</v>
          </cell>
          <cell r="BS57">
            <v>84</v>
          </cell>
          <cell r="BT57">
            <v>34.1935</v>
          </cell>
          <cell r="BU57">
            <v>34.1935</v>
          </cell>
          <cell r="BV57">
            <v>68.387</v>
          </cell>
          <cell r="BW57">
            <v>34.372999999999998</v>
          </cell>
          <cell r="BX57">
            <v>34.372999999999998</v>
          </cell>
          <cell r="BY57">
            <v>68.745999999999995</v>
          </cell>
          <cell r="BZ57">
            <v>34.372999999999998</v>
          </cell>
          <cell r="CA57">
            <v>34.372999999999998</v>
          </cell>
          <cell r="CB57">
            <v>68.745999999999995</v>
          </cell>
          <cell r="CC57">
            <v>34.1935</v>
          </cell>
          <cell r="CD57">
            <v>34.1935</v>
          </cell>
          <cell r="CE57">
            <v>68.387</v>
          </cell>
          <cell r="CF57">
            <v>59.976999999999997</v>
          </cell>
          <cell r="CG57">
            <v>59.976999999999997</v>
          </cell>
          <cell r="CH57">
            <v>119.95399999999999</v>
          </cell>
          <cell r="CI57">
            <v>386</v>
          </cell>
          <cell r="CJ57">
            <v>386</v>
          </cell>
          <cell r="CK57">
            <v>386</v>
          </cell>
          <cell r="CL57">
            <v>386</v>
          </cell>
          <cell r="CM57">
            <v>386</v>
          </cell>
          <cell r="CN57">
            <v>386</v>
          </cell>
          <cell r="CO57">
            <v>386</v>
          </cell>
          <cell r="CP57">
            <v>386</v>
          </cell>
          <cell r="CQ57">
            <v>386</v>
          </cell>
          <cell r="CT57">
            <v>0</v>
          </cell>
          <cell r="CW57">
            <v>0</v>
          </cell>
          <cell r="CZ57">
            <v>0</v>
          </cell>
          <cell r="DC57">
            <v>0</v>
          </cell>
          <cell r="DF57">
            <v>0</v>
          </cell>
          <cell r="DI57">
            <v>0</v>
          </cell>
          <cell r="DL57">
            <v>0</v>
          </cell>
        </row>
        <row r="58">
          <cell r="A58" t="str">
            <v>Rate</v>
          </cell>
          <cell r="B58" t="str">
            <v>A$/oz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488.5</v>
          </cell>
          <cell r="I58">
            <v>488</v>
          </cell>
          <cell r="J58">
            <v>488</v>
          </cell>
          <cell r="K58">
            <v>488</v>
          </cell>
          <cell r="L58">
            <v>488</v>
          </cell>
          <cell r="M58">
            <v>488</v>
          </cell>
          <cell r="N58">
            <v>488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BQ58">
            <v>488</v>
          </cell>
          <cell r="BR58">
            <v>489</v>
          </cell>
          <cell r="BS58">
            <v>488.5</v>
          </cell>
          <cell r="BT58">
            <v>488</v>
          </cell>
          <cell r="BU58">
            <v>488</v>
          </cell>
          <cell r="BV58">
            <v>488</v>
          </cell>
          <cell r="BW58">
            <v>488</v>
          </cell>
          <cell r="BX58">
            <v>488</v>
          </cell>
          <cell r="BY58">
            <v>488</v>
          </cell>
          <cell r="BZ58">
            <v>488</v>
          </cell>
          <cell r="CA58">
            <v>488</v>
          </cell>
          <cell r="CB58">
            <v>488</v>
          </cell>
          <cell r="CC58">
            <v>488</v>
          </cell>
          <cell r="CD58">
            <v>488</v>
          </cell>
          <cell r="CE58">
            <v>488</v>
          </cell>
          <cell r="CF58">
            <v>488</v>
          </cell>
          <cell r="CG58">
            <v>488</v>
          </cell>
          <cell r="CH58">
            <v>488</v>
          </cell>
          <cell r="CI58">
            <v>488</v>
          </cell>
          <cell r="CJ58">
            <v>488</v>
          </cell>
          <cell r="CK58">
            <v>488</v>
          </cell>
        </row>
        <row r="59">
          <cell r="A59" t="str">
            <v>Gold Loan</v>
          </cell>
          <cell r="B59" t="str">
            <v>000 oz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84</v>
          </cell>
          <cell r="I59">
            <v>68.387</v>
          </cell>
          <cell r="J59">
            <v>68.745999999999995</v>
          </cell>
          <cell r="K59">
            <v>68.745999999999995</v>
          </cell>
          <cell r="L59">
            <v>68.387</v>
          </cell>
          <cell r="M59">
            <v>119.95399999999999</v>
          </cell>
          <cell r="N59">
            <v>51.731999999999999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BB59">
            <v>308.81899999999996</v>
          </cell>
          <cell r="BQ59">
            <v>42</v>
          </cell>
          <cell r="BR59">
            <v>42</v>
          </cell>
          <cell r="BS59">
            <v>84</v>
          </cell>
          <cell r="BT59">
            <v>34.1935</v>
          </cell>
          <cell r="BU59">
            <v>34.1935</v>
          </cell>
          <cell r="BV59">
            <v>68.387</v>
          </cell>
          <cell r="BW59">
            <v>34.372999999999998</v>
          </cell>
          <cell r="BX59">
            <v>34.372999999999998</v>
          </cell>
          <cell r="BY59">
            <v>68.745999999999995</v>
          </cell>
          <cell r="BZ59">
            <v>34.372999999999998</v>
          </cell>
          <cell r="CA59">
            <v>34.372999999999998</v>
          </cell>
          <cell r="CB59">
            <v>68.745999999999995</v>
          </cell>
          <cell r="CC59">
            <v>34.1935</v>
          </cell>
          <cell r="CD59">
            <v>34.1935</v>
          </cell>
          <cell r="CE59">
            <v>68.387</v>
          </cell>
          <cell r="CF59">
            <v>59.976999999999997</v>
          </cell>
          <cell r="CG59">
            <v>59.976999999999997</v>
          </cell>
          <cell r="CH59">
            <v>119.95399999999999</v>
          </cell>
          <cell r="CI59">
            <v>25.866</v>
          </cell>
          <cell r="CJ59">
            <v>25.866</v>
          </cell>
          <cell r="CK59">
            <v>51.731999999999999</v>
          </cell>
          <cell r="CN59">
            <v>0</v>
          </cell>
          <cell r="CQ59">
            <v>0</v>
          </cell>
          <cell r="CT59">
            <v>0</v>
          </cell>
          <cell r="CW59">
            <v>0</v>
          </cell>
          <cell r="CZ59">
            <v>0</v>
          </cell>
          <cell r="DC59">
            <v>0</v>
          </cell>
          <cell r="DF59">
            <v>0</v>
          </cell>
          <cell r="DI59">
            <v>0</v>
          </cell>
          <cell r="DL59">
            <v>0</v>
          </cell>
        </row>
        <row r="60">
          <cell r="A60" t="str">
            <v>Rate</v>
          </cell>
          <cell r="B60" t="str">
            <v>A$/oz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488.5</v>
          </cell>
          <cell r="I60">
            <v>488</v>
          </cell>
          <cell r="J60">
            <v>488</v>
          </cell>
          <cell r="K60">
            <v>488</v>
          </cell>
          <cell r="L60">
            <v>488</v>
          </cell>
          <cell r="M60">
            <v>488</v>
          </cell>
          <cell r="N60">
            <v>488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BQ60">
            <v>488</v>
          </cell>
          <cell r="BR60">
            <v>489</v>
          </cell>
          <cell r="BS60">
            <v>488.5</v>
          </cell>
          <cell r="BT60">
            <v>488</v>
          </cell>
          <cell r="BU60">
            <v>488</v>
          </cell>
          <cell r="BV60">
            <v>488</v>
          </cell>
          <cell r="BW60">
            <v>488</v>
          </cell>
          <cell r="BX60">
            <v>488</v>
          </cell>
          <cell r="BY60">
            <v>488</v>
          </cell>
          <cell r="BZ60">
            <v>488</v>
          </cell>
          <cell r="CA60">
            <v>488</v>
          </cell>
          <cell r="CB60">
            <v>488</v>
          </cell>
          <cell r="CC60">
            <v>488</v>
          </cell>
          <cell r="CD60">
            <v>488</v>
          </cell>
          <cell r="CE60">
            <v>488</v>
          </cell>
          <cell r="CF60">
            <v>488</v>
          </cell>
          <cell r="CG60">
            <v>488</v>
          </cell>
          <cell r="CH60">
            <v>488</v>
          </cell>
          <cell r="CI60">
            <v>488</v>
          </cell>
          <cell r="CJ60">
            <v>488</v>
          </cell>
          <cell r="CK60">
            <v>488</v>
          </cell>
          <cell r="CL60">
            <v>-67.885248373290707</v>
          </cell>
          <cell r="CM60">
            <v>-68.430049452762262</v>
          </cell>
          <cell r="CO60">
            <v>-101.25759392084954</v>
          </cell>
          <cell r="CP60">
            <v>-108.63846626391586</v>
          </cell>
          <cell r="CQ60">
            <v>-429.03196189008969</v>
          </cell>
        </row>
        <row r="61">
          <cell r="A61" t="str">
            <v>Total Gold Hedged</v>
          </cell>
          <cell r="B61" t="str">
            <v>000 oz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1191.502</v>
          </cell>
          <cell r="I61">
            <v>1465.375</v>
          </cell>
          <cell r="J61">
            <v>897.05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BB61">
            <v>0</v>
          </cell>
          <cell r="BQ61">
            <v>595.75099999999998</v>
          </cell>
          <cell r="BR61">
            <v>595.75099999999998</v>
          </cell>
          <cell r="BS61">
            <v>1191.502</v>
          </cell>
          <cell r="BT61">
            <v>737.68150000000003</v>
          </cell>
          <cell r="BU61">
            <v>727.69349999999997</v>
          </cell>
          <cell r="BV61">
            <v>1465.375</v>
          </cell>
          <cell r="BW61">
            <v>538.71199999999999</v>
          </cell>
          <cell r="BX61">
            <v>358.33799999999997</v>
          </cell>
          <cell r="BY61">
            <v>897.05</v>
          </cell>
          <cell r="BZ61">
            <v>0</v>
          </cell>
          <cell r="CA61">
            <v>0</v>
          </cell>
          <cell r="CB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H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0</v>
          </cell>
          <cell r="CN61">
            <v>0</v>
          </cell>
          <cell r="CO61">
            <v>0</v>
          </cell>
          <cell r="CP61">
            <v>0</v>
          </cell>
          <cell r="CQ61">
            <v>0</v>
          </cell>
          <cell r="CR61">
            <v>0</v>
          </cell>
          <cell r="CS61">
            <v>0</v>
          </cell>
          <cell r="CT61">
            <v>0</v>
          </cell>
          <cell r="CU61">
            <v>0</v>
          </cell>
          <cell r="CV61">
            <v>0</v>
          </cell>
          <cell r="CW61">
            <v>0</v>
          </cell>
          <cell r="CX61">
            <v>0</v>
          </cell>
          <cell r="CY61">
            <v>0</v>
          </cell>
          <cell r="CZ61">
            <v>0</v>
          </cell>
          <cell r="DA61">
            <v>0</v>
          </cell>
          <cell r="DB61">
            <v>0</v>
          </cell>
          <cell r="DC61">
            <v>0</v>
          </cell>
          <cell r="DD61">
            <v>0</v>
          </cell>
          <cell r="DE61">
            <v>0</v>
          </cell>
          <cell r="DF61">
            <v>0</v>
          </cell>
          <cell r="DG61">
            <v>0</v>
          </cell>
          <cell r="DH61">
            <v>0</v>
          </cell>
          <cell r="DI61">
            <v>0</v>
          </cell>
          <cell r="DJ61">
            <v>0</v>
          </cell>
          <cell r="DK61">
            <v>0</v>
          </cell>
          <cell r="DL61">
            <v>0</v>
          </cell>
        </row>
        <row r="62">
          <cell r="A62" t="str">
            <v>Total Au Hedged</v>
          </cell>
          <cell r="B62" t="str">
            <v>000 oz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1060.1959999999999</v>
          </cell>
          <cell r="I62">
            <v>1498.5260000000001</v>
          </cell>
          <cell r="J62">
            <v>818.45426399999997</v>
          </cell>
          <cell r="K62">
            <v>1.7811820000000003</v>
          </cell>
          <cell r="L62">
            <v>1.631183</v>
          </cell>
          <cell r="M62">
            <v>1.7622</v>
          </cell>
          <cell r="N62">
            <v>2.7018675144694533</v>
          </cell>
          <cell r="O62">
            <v>2.8849112131383503</v>
          </cell>
          <cell r="P62">
            <v>3.130491488305327</v>
          </cell>
          <cell r="Q62">
            <v>3.5494589345337335</v>
          </cell>
          <cell r="R62">
            <v>3.4439464146244196</v>
          </cell>
          <cell r="S62">
            <v>3.6252722476306256</v>
          </cell>
          <cell r="T62">
            <v>3.2916775794922328</v>
          </cell>
          <cell r="U62">
            <v>3.3245368198738392</v>
          </cell>
          <cell r="V62">
            <v>3.3245500732642164</v>
          </cell>
          <cell r="W62">
            <v>3.3245554878818995</v>
          </cell>
          <cell r="BQ62">
            <v>432.01</v>
          </cell>
          <cell r="BR62">
            <v>628.18599999999992</v>
          </cell>
          <cell r="BS62">
            <v>1060.1959999999999</v>
          </cell>
          <cell r="BT62">
            <v>768.28</v>
          </cell>
          <cell r="BU62">
            <v>730.24600000000009</v>
          </cell>
          <cell r="BV62">
            <v>1498.5260000000001</v>
          </cell>
          <cell r="BW62">
            <v>817.601</v>
          </cell>
          <cell r="BX62">
            <v>0.8532639999999998</v>
          </cell>
          <cell r="BY62">
            <v>818.45426399999997</v>
          </cell>
          <cell r="BZ62">
            <v>0.90472100000000011</v>
          </cell>
          <cell r="CA62">
            <v>0.87646100000000005</v>
          </cell>
          <cell r="CB62">
            <v>1.7811820000000003</v>
          </cell>
          <cell r="CC62">
            <v>-0.79737599999999997</v>
          </cell>
          <cell r="CD62">
            <v>-0.79737599999999997</v>
          </cell>
          <cell r="CE62">
            <v>1.631183</v>
          </cell>
          <cell r="CF62">
            <v>-0.57854400000000006</v>
          </cell>
          <cell r="CG62">
            <v>-0.57854400000000006</v>
          </cell>
          <cell r="CH62">
            <v>1.7622</v>
          </cell>
          <cell r="CI62">
            <v>-41.998100229983422</v>
          </cell>
          <cell r="CJ62">
            <v>-38.070663649287887</v>
          </cell>
          <cell r="CK62">
            <v>2.7018675144694533</v>
          </cell>
          <cell r="CL62">
            <v>-68.155447539042015</v>
          </cell>
          <cell r="CM62">
            <v>-69.616870459806691</v>
          </cell>
          <cell r="CN62">
            <v>2.8849112131383503</v>
          </cell>
          <cell r="CO62">
            <v>-102.80545048532899</v>
          </cell>
          <cell r="CP62">
            <v>-105.77790025550048</v>
          </cell>
          <cell r="CQ62">
            <v>-429.1762726189495</v>
          </cell>
          <cell r="CR62">
            <v>1.7901381606384406</v>
          </cell>
          <cell r="CS62">
            <v>1.7593207738952932</v>
          </cell>
          <cell r="CT62">
            <v>3.5494589345337335</v>
          </cell>
          <cell r="CU62">
            <v>1.7229020854344357</v>
          </cell>
          <cell r="CV62">
            <v>1.7210443291899842</v>
          </cell>
          <cell r="CW62">
            <v>3.4439464146244196</v>
          </cell>
          <cell r="CX62">
            <v>1.8135686722344733</v>
          </cell>
          <cell r="CY62">
            <v>1.8117035753961523</v>
          </cell>
          <cell r="CZ62">
            <v>3.6252722476306256</v>
          </cell>
          <cell r="DA62">
            <v>1.646752489768659</v>
          </cell>
          <cell r="DB62">
            <v>1.6449250897235737</v>
          </cell>
          <cell r="DC62">
            <v>3.2916775794922328</v>
          </cell>
          <cell r="DD62">
            <v>1.6631919872493541</v>
          </cell>
          <cell r="DE62">
            <v>1.6613448326244853</v>
          </cell>
          <cell r="DF62">
            <v>3.3245368198738392</v>
          </cell>
          <cell r="DG62">
            <v>1.663200053648578</v>
          </cell>
          <cell r="DH62">
            <v>1.6613500196156386</v>
          </cell>
          <cell r="DI62">
            <v>3.3245500732642164</v>
          </cell>
          <cell r="DJ62">
            <v>1.6632034212982414</v>
          </cell>
          <cell r="DK62">
            <v>1.6613520665836579</v>
          </cell>
          <cell r="DL62">
            <v>3.3245554878818995</v>
          </cell>
        </row>
        <row r="63">
          <cell r="A63" t="str">
            <v>Total Gold Hedged</v>
          </cell>
          <cell r="B63" t="str">
            <v>000 oz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1191.502</v>
          </cell>
          <cell r="I63">
            <v>1465.375</v>
          </cell>
          <cell r="J63">
            <v>897.05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BB63">
            <v>0</v>
          </cell>
          <cell r="BQ63">
            <v>595.75099999999998</v>
          </cell>
          <cell r="BR63">
            <v>595.75099999999998</v>
          </cell>
          <cell r="BS63">
            <v>1191.502</v>
          </cell>
          <cell r="BT63">
            <v>737.68150000000003</v>
          </cell>
          <cell r="BU63">
            <v>727.69349999999997</v>
          </cell>
          <cell r="BV63">
            <v>1465.375</v>
          </cell>
          <cell r="BW63">
            <v>538.71199999999999</v>
          </cell>
          <cell r="BX63">
            <v>358.33799999999997</v>
          </cell>
          <cell r="BY63">
            <v>897.05</v>
          </cell>
          <cell r="BZ63">
            <v>0</v>
          </cell>
          <cell r="CA63">
            <v>0</v>
          </cell>
          <cell r="CB63">
            <v>0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H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0</v>
          </cell>
          <cell r="CN63">
            <v>0</v>
          </cell>
          <cell r="CO63">
            <v>0</v>
          </cell>
          <cell r="CP63">
            <v>0</v>
          </cell>
          <cell r="CQ63">
            <v>0</v>
          </cell>
          <cell r="CR63">
            <v>0</v>
          </cell>
          <cell r="CS63">
            <v>0</v>
          </cell>
          <cell r="CT63">
            <v>0</v>
          </cell>
          <cell r="CU63">
            <v>0</v>
          </cell>
          <cell r="CV63">
            <v>0</v>
          </cell>
          <cell r="CW63">
            <v>0</v>
          </cell>
          <cell r="CX63">
            <v>0</v>
          </cell>
          <cell r="CY63">
            <v>0</v>
          </cell>
          <cell r="CZ63">
            <v>0</v>
          </cell>
          <cell r="DA63">
            <v>0</v>
          </cell>
          <cell r="DB63">
            <v>0</v>
          </cell>
          <cell r="DC63">
            <v>0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</row>
        <row r="64">
          <cell r="A64" t="str">
            <v>Production For Period</v>
          </cell>
          <cell r="B64" t="str">
            <v>000 oz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1060.1959999999999</v>
          </cell>
          <cell r="I64">
            <v>1498.5260000000001</v>
          </cell>
          <cell r="J64">
            <v>818.45426399999997</v>
          </cell>
          <cell r="K64">
            <v>1.7811820000000003</v>
          </cell>
          <cell r="L64">
            <v>1.631183</v>
          </cell>
          <cell r="M64">
            <v>1.7622</v>
          </cell>
          <cell r="N64">
            <v>2.7018675144694533</v>
          </cell>
          <cell r="O64">
            <v>2.7186636247139133</v>
          </cell>
          <cell r="P64">
            <v>3.0059697841252628</v>
          </cell>
          <cell r="Q64">
            <v>3.4240023364153611</v>
          </cell>
          <cell r="R64">
            <v>3.4178064900847875</v>
          </cell>
          <cell r="S64">
            <v>3.5991322725289097</v>
          </cell>
          <cell r="T64">
            <v>3.2655375492392036</v>
          </cell>
          <cell r="U64">
            <v>3.2983967289628175</v>
          </cell>
          <cell r="V64">
            <v>3.2984099149649255</v>
          </cell>
          <cell r="W64">
            <v>3.2984152537807585</v>
          </cell>
          <cell r="BQ64">
            <v>432.01</v>
          </cell>
          <cell r="BR64">
            <v>628.18599999999992</v>
          </cell>
          <cell r="BS64">
            <v>1060.1959999999999</v>
          </cell>
          <cell r="BT64">
            <v>768.28</v>
          </cell>
          <cell r="BU64">
            <v>730.24600000000009</v>
          </cell>
          <cell r="BV64">
            <v>1498.5260000000001</v>
          </cell>
          <cell r="BW64">
            <v>817.601</v>
          </cell>
          <cell r="BX64">
            <v>0.8532639999999998</v>
          </cell>
          <cell r="BY64">
            <v>818.45426399999997</v>
          </cell>
          <cell r="BZ64">
            <v>0.90472100000000011</v>
          </cell>
          <cell r="CA64">
            <v>0.87646100000000005</v>
          </cell>
          <cell r="CB64">
            <v>1.7811820000000003</v>
          </cell>
          <cell r="CC64">
            <v>0.86856199999999995</v>
          </cell>
          <cell r="CD64">
            <v>0.76262100000000022</v>
          </cell>
          <cell r="CE64">
            <v>1.631183</v>
          </cell>
          <cell r="CF64">
            <v>0.80707600000000002</v>
          </cell>
          <cell r="CG64">
            <v>0.95512399999999997</v>
          </cell>
          <cell r="CH64">
            <v>1.7622</v>
          </cell>
          <cell r="CI64">
            <v>1.395359</v>
          </cell>
          <cell r="CJ64">
            <v>1.3065085144694533</v>
          </cell>
          <cell r="CK64">
            <v>2.7018675144694533</v>
          </cell>
          <cell r="CL64">
            <v>1.3302980175639407</v>
          </cell>
          <cell r="CM64">
            <v>1.3883656071499726</v>
          </cell>
          <cell r="CN64">
            <v>2.7186636247139133</v>
          </cell>
          <cell r="CO64">
            <v>1.4990894665965826</v>
          </cell>
          <cell r="CP64">
            <v>1.5068803175286805</v>
          </cell>
          <cell r="CQ64">
            <v>3.0059697841252628</v>
          </cell>
          <cell r="CR64">
            <v>1.7274098671944582</v>
          </cell>
          <cell r="CS64">
            <v>1.6965924692209031</v>
          </cell>
          <cell r="CT64">
            <v>3.4240023364153611</v>
          </cell>
          <cell r="CU64">
            <v>1.7098321292276253</v>
          </cell>
          <cell r="CV64">
            <v>1.707974360857162</v>
          </cell>
          <cell r="CW64">
            <v>3.4178064900847875</v>
          </cell>
          <cell r="CX64">
            <v>1.8004986912720413</v>
          </cell>
          <cell r="CY64">
            <v>1.7986335812568681</v>
          </cell>
          <cell r="CZ64">
            <v>3.5991322725289097</v>
          </cell>
          <cell r="DA64">
            <v>1.6336824818557047</v>
          </cell>
          <cell r="DB64">
            <v>1.6318550673834986</v>
          </cell>
          <cell r="DC64">
            <v>3.2655375492392036</v>
          </cell>
          <cell r="DD64">
            <v>1.6501219497636139</v>
          </cell>
          <cell r="DE64">
            <v>1.6482747791992038</v>
          </cell>
          <cell r="DF64">
            <v>3.2983967289628175</v>
          </cell>
          <cell r="DG64">
            <v>1.6501299834020451</v>
          </cell>
          <cell r="DH64">
            <v>1.6482799315628807</v>
          </cell>
          <cell r="DI64">
            <v>3.2984099149649255</v>
          </cell>
          <cell r="DJ64">
            <v>1.6501333143317505</v>
          </cell>
          <cell r="DK64">
            <v>1.6482819394490078</v>
          </cell>
          <cell r="DL64">
            <v>3.2984152537807585</v>
          </cell>
        </row>
        <row r="65">
          <cell r="A65" t="str">
            <v>% hedged</v>
          </cell>
          <cell r="B65" t="str">
            <v>%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1.1238506842131077</v>
          </cell>
          <cell r="I65">
            <v>0.97787759438274668</v>
          </cell>
          <cell r="J65">
            <v>1.0960294783191453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BQ65">
            <v>1.3790213189509501</v>
          </cell>
          <cell r="BR65">
            <v>0.94836720334423252</v>
          </cell>
          <cell r="BS65">
            <v>1.1238506842131077</v>
          </cell>
          <cell r="BT65">
            <v>0.96017272348622906</v>
          </cell>
          <cell r="BU65">
            <v>0.99650460255858964</v>
          </cell>
          <cell r="BV65">
            <v>0.97787759438274668</v>
          </cell>
          <cell r="BW65">
            <v>0.65889351896585258</v>
          </cell>
          <cell r="BX65">
            <v>419.96146561908159</v>
          </cell>
          <cell r="BY65">
            <v>1.0960294783191453</v>
          </cell>
          <cell r="BZ65">
            <v>0</v>
          </cell>
          <cell r="CA65">
            <v>0</v>
          </cell>
          <cell r="CB65">
            <v>0</v>
          </cell>
          <cell r="CC65">
            <v>0</v>
          </cell>
          <cell r="CD65">
            <v>0</v>
          </cell>
          <cell r="CE65">
            <v>0</v>
          </cell>
          <cell r="CF65">
            <v>0</v>
          </cell>
          <cell r="CG65">
            <v>0</v>
          </cell>
          <cell r="CH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0</v>
          </cell>
          <cell r="CN65">
            <v>0</v>
          </cell>
          <cell r="CO65">
            <v>0</v>
          </cell>
          <cell r="CP65">
            <v>0</v>
          </cell>
          <cell r="CQ65">
            <v>0</v>
          </cell>
          <cell r="CT65">
            <v>0</v>
          </cell>
          <cell r="CW65">
            <v>0</v>
          </cell>
          <cell r="CZ65">
            <v>0</v>
          </cell>
          <cell r="DC65">
            <v>0</v>
          </cell>
          <cell r="DF65">
            <v>0</v>
          </cell>
          <cell r="DI65">
            <v>0</v>
          </cell>
          <cell r="DL65">
            <v>0</v>
          </cell>
        </row>
        <row r="66">
          <cell r="A66" t="str">
            <v>A$ Gold Hedged</v>
          </cell>
          <cell r="B66" t="str">
            <v>A$m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31.590724904390484</v>
          </cell>
          <cell r="I66">
            <v>-123.9000611685816</v>
          </cell>
          <cell r="J66">
            <v>-159.2923235925561</v>
          </cell>
          <cell r="K66">
            <v>-143.92591200000001</v>
          </cell>
          <cell r="L66">
            <v>-151.03999499999998</v>
          </cell>
          <cell r="M66">
            <v>-97.682282999999998</v>
          </cell>
          <cell r="N66">
            <v>-55.120211999999995</v>
          </cell>
          <cell r="O66">
            <v>-38.469600000000007</v>
          </cell>
          <cell r="P66">
            <v>-7.4590079999999999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BB66">
            <v>-493.69700999999998</v>
          </cell>
          <cell r="BQ66">
            <v>11.570577073602889</v>
          </cell>
          <cell r="BR66">
            <v>20.020147830787593</v>
          </cell>
          <cell r="BS66">
            <v>31.590724904390484</v>
          </cell>
          <cell r="BT66">
            <v>-13.209082248128418</v>
          </cell>
          <cell r="BU66">
            <v>-110.69097892045318</v>
          </cell>
          <cell r="BV66">
            <v>-123.9000611685816</v>
          </cell>
          <cell r="BW66">
            <v>-86.744345802857097</v>
          </cell>
          <cell r="BX66">
            <v>-72.547977789699019</v>
          </cell>
          <cell r="BY66">
            <v>-159.2923235925561</v>
          </cell>
          <cell r="BZ66">
            <v>-71.962956000000005</v>
          </cell>
          <cell r="CA66">
            <v>-71.962956000000005</v>
          </cell>
          <cell r="CB66">
            <v>-143.92591200000001</v>
          </cell>
          <cell r="CC66">
            <v>-75.519997499999988</v>
          </cell>
          <cell r="CD66">
            <v>-75.519997499999988</v>
          </cell>
          <cell r="CE66">
            <v>-151.03999499999998</v>
          </cell>
          <cell r="CF66">
            <v>-48.841141499999999</v>
          </cell>
          <cell r="CG66">
            <v>-48.841141499999999</v>
          </cell>
          <cell r="CH66">
            <v>-97.682282999999998</v>
          </cell>
          <cell r="CI66">
            <v>-27.560105999999998</v>
          </cell>
          <cell r="CJ66">
            <v>-27.560105999999998</v>
          </cell>
          <cell r="CK66">
            <v>-55.120211999999995</v>
          </cell>
          <cell r="CL66">
            <v>-19.234800000000003</v>
          </cell>
          <cell r="CM66">
            <v>-19.234800000000003</v>
          </cell>
          <cell r="CN66">
            <v>-38.469600000000007</v>
          </cell>
          <cell r="CO66">
            <v>-3.7295039999999999</v>
          </cell>
          <cell r="CP66">
            <v>-3.7295039999999999</v>
          </cell>
          <cell r="CQ66">
            <v>-7.4590079999999999</v>
          </cell>
          <cell r="CR66">
            <v>0</v>
          </cell>
          <cell r="CS66">
            <v>0</v>
          </cell>
          <cell r="CT66">
            <v>0</v>
          </cell>
          <cell r="CU66">
            <v>0</v>
          </cell>
          <cell r="CV66">
            <v>0</v>
          </cell>
          <cell r="CW66">
            <v>0</v>
          </cell>
          <cell r="CX66">
            <v>0</v>
          </cell>
          <cell r="CY66">
            <v>0</v>
          </cell>
          <cell r="CZ66">
            <v>0</v>
          </cell>
          <cell r="DA66">
            <v>0</v>
          </cell>
          <cell r="DB66">
            <v>0</v>
          </cell>
          <cell r="DC66">
            <v>0</v>
          </cell>
          <cell r="DD66">
            <v>0</v>
          </cell>
          <cell r="DE66">
            <v>0</v>
          </cell>
          <cell r="DF66">
            <v>0</v>
          </cell>
          <cell r="DG66">
            <v>0</v>
          </cell>
          <cell r="DH66">
            <v>0</v>
          </cell>
          <cell r="DI66">
            <v>0</v>
          </cell>
          <cell r="DJ66">
            <v>0</v>
          </cell>
          <cell r="DK66">
            <v>0</v>
          </cell>
          <cell r="DL66">
            <v>0</v>
          </cell>
        </row>
        <row r="67">
          <cell r="A67" t="str">
            <v>Gold Hedge Profit/Loss</v>
          </cell>
          <cell r="B67" t="str">
            <v>A$m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-8.0292139143492491</v>
          </cell>
          <cell r="I67">
            <v>-75.080841931401579</v>
          </cell>
          <cell r="J67">
            <v>-40.51679458544195</v>
          </cell>
          <cell r="K67">
            <v>0</v>
          </cell>
          <cell r="L67">
            <v>0</v>
          </cell>
          <cell r="M67">
            <v>-25.177539059657278</v>
          </cell>
          <cell r="N67">
            <v>-123.86092770797009</v>
          </cell>
          <cell r="O67">
            <v>-97.84569782605297</v>
          </cell>
          <cell r="P67">
            <v>-202.43705218476538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BB67">
            <v>-449.32121677844572</v>
          </cell>
          <cell r="BQ67">
            <v>-3.93682311542775</v>
          </cell>
          <cell r="BR67">
            <v>-4.0923907989214987</v>
          </cell>
          <cell r="BS67">
            <v>-8.0292139143492491</v>
          </cell>
          <cell r="BT67">
            <v>-25.172594238119366</v>
          </cell>
          <cell r="BU67">
            <v>-49.908247693282206</v>
          </cell>
          <cell r="BV67">
            <v>-75.080841931401579</v>
          </cell>
          <cell r="BW67">
            <v>-40.51679458544195</v>
          </cell>
          <cell r="BX67">
            <v>0</v>
          </cell>
          <cell r="BY67">
            <v>-40.51679458544195</v>
          </cell>
          <cell r="BZ67">
            <v>0</v>
          </cell>
          <cell r="CA67">
            <v>0</v>
          </cell>
          <cell r="CB67">
            <v>0</v>
          </cell>
          <cell r="CC67">
            <v>0</v>
          </cell>
          <cell r="CD67">
            <v>0</v>
          </cell>
          <cell r="CE67">
            <v>0</v>
          </cell>
          <cell r="CF67">
            <v>-12.770244045977009</v>
          </cell>
          <cell r="CG67">
            <v>-12.407295013680271</v>
          </cell>
          <cell r="CH67">
            <v>-25.177539059657278</v>
          </cell>
          <cell r="CI67">
            <v>-64.968202385409427</v>
          </cell>
          <cell r="CJ67">
            <v>-58.892725322560658</v>
          </cell>
          <cell r="CK67">
            <v>-123.86092770797009</v>
          </cell>
          <cell r="CL67">
            <v>-48.6504483732907</v>
          </cell>
          <cell r="CM67">
            <v>-49.195249452762262</v>
          </cell>
          <cell r="CN67">
            <v>-97.84569782605297</v>
          </cell>
          <cell r="CO67">
            <v>-97.528089920849538</v>
          </cell>
          <cell r="CP67">
            <v>-104.90896226391585</v>
          </cell>
          <cell r="CQ67">
            <v>-202.43705218476538</v>
          </cell>
          <cell r="CR67">
            <v>0</v>
          </cell>
          <cell r="CS67">
            <v>0</v>
          </cell>
          <cell r="CT67">
            <v>0</v>
          </cell>
          <cell r="CU67">
            <v>0</v>
          </cell>
          <cell r="CV67">
            <v>0</v>
          </cell>
          <cell r="CW67">
            <v>0</v>
          </cell>
          <cell r="CX67">
            <v>0</v>
          </cell>
          <cell r="CY67">
            <v>0</v>
          </cell>
          <cell r="CZ67">
            <v>0</v>
          </cell>
          <cell r="DA67">
            <v>0</v>
          </cell>
          <cell r="DB67">
            <v>0</v>
          </cell>
          <cell r="DC67">
            <v>0</v>
          </cell>
          <cell r="DD67">
            <v>0</v>
          </cell>
          <cell r="DE67">
            <v>0</v>
          </cell>
          <cell r="DF67">
            <v>0</v>
          </cell>
          <cell r="DG67">
            <v>0</v>
          </cell>
          <cell r="DH67">
            <v>0</v>
          </cell>
          <cell r="DI67">
            <v>0</v>
          </cell>
          <cell r="DJ67">
            <v>0</v>
          </cell>
          <cell r="DK67">
            <v>0</v>
          </cell>
          <cell r="DL67">
            <v>0</v>
          </cell>
        </row>
        <row r="68">
          <cell r="A68" t="str">
            <v>A$ Gold Hedged</v>
          </cell>
          <cell r="B68" t="str">
            <v>A$m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31.590724904390484</v>
          </cell>
          <cell r="I68">
            <v>-123.9000611685816</v>
          </cell>
          <cell r="J68">
            <v>-159.2923235925561</v>
          </cell>
          <cell r="K68">
            <v>-143.92591200000001</v>
          </cell>
          <cell r="L68">
            <v>-151.03999499999998</v>
          </cell>
          <cell r="M68">
            <v>-97.682282999999998</v>
          </cell>
          <cell r="N68">
            <v>-55.120211999999995</v>
          </cell>
          <cell r="O68">
            <v>-38.469600000000007</v>
          </cell>
          <cell r="P68">
            <v>-7.4590079999999999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BB68">
            <v>-493.69700999999998</v>
          </cell>
          <cell r="BQ68">
            <v>11.570577073602889</v>
          </cell>
          <cell r="BR68">
            <v>20.020147830787593</v>
          </cell>
          <cell r="BS68">
            <v>31.590724904390484</v>
          </cell>
          <cell r="BT68">
            <v>-13.209082248128418</v>
          </cell>
          <cell r="BU68">
            <v>-110.69097892045318</v>
          </cell>
          <cell r="BV68">
            <v>-123.9000611685816</v>
          </cell>
          <cell r="BW68">
            <v>-86.744345802857097</v>
          </cell>
          <cell r="BX68">
            <v>-72.547977789699019</v>
          </cell>
          <cell r="BY68">
            <v>-159.2923235925561</v>
          </cell>
          <cell r="BZ68">
            <v>-71.962956000000005</v>
          </cell>
          <cell r="CA68">
            <v>-71.962956000000005</v>
          </cell>
          <cell r="CB68">
            <v>-143.92591200000001</v>
          </cell>
          <cell r="CC68">
            <v>-75.519997499999988</v>
          </cell>
          <cell r="CD68">
            <v>-75.519997499999988</v>
          </cell>
          <cell r="CE68">
            <v>-151.03999499999998</v>
          </cell>
          <cell r="CF68">
            <v>-48.841141499999999</v>
          </cell>
          <cell r="CG68">
            <v>-48.841141499999999</v>
          </cell>
          <cell r="CH68">
            <v>-97.682282999999998</v>
          </cell>
          <cell r="CI68">
            <v>-27.560105999999998</v>
          </cell>
          <cell r="CJ68">
            <v>-27.560105999999998</v>
          </cell>
          <cell r="CK68">
            <v>-55.120211999999995</v>
          </cell>
          <cell r="CL68">
            <v>-19.234800000000003</v>
          </cell>
          <cell r="CM68">
            <v>-19.234800000000003</v>
          </cell>
          <cell r="CN68">
            <v>-38.469600000000007</v>
          </cell>
          <cell r="CO68">
            <v>-3.7295039999999999</v>
          </cell>
          <cell r="CP68">
            <v>-3.7295039999999999</v>
          </cell>
          <cell r="CQ68">
            <v>-7.4590079999999999</v>
          </cell>
          <cell r="CR68">
            <v>0</v>
          </cell>
          <cell r="CS68">
            <v>0</v>
          </cell>
          <cell r="CT68">
            <v>0</v>
          </cell>
          <cell r="CU68">
            <v>0</v>
          </cell>
          <cell r="CV68">
            <v>0</v>
          </cell>
          <cell r="CW68">
            <v>0</v>
          </cell>
          <cell r="CX68">
            <v>0</v>
          </cell>
          <cell r="CY68">
            <v>0</v>
          </cell>
          <cell r="CZ68">
            <v>0</v>
          </cell>
          <cell r="DA68">
            <v>0</v>
          </cell>
          <cell r="DB68">
            <v>0</v>
          </cell>
          <cell r="DC68">
            <v>0</v>
          </cell>
          <cell r="DD68">
            <v>0</v>
          </cell>
          <cell r="DE68">
            <v>0</v>
          </cell>
          <cell r="DF68">
            <v>0</v>
          </cell>
          <cell r="DG68">
            <v>0</v>
          </cell>
          <cell r="DH68">
            <v>0</v>
          </cell>
          <cell r="DI68">
            <v>0</v>
          </cell>
          <cell r="DJ68">
            <v>0</v>
          </cell>
          <cell r="DK68">
            <v>0</v>
          </cell>
          <cell r="DL68">
            <v>0</v>
          </cell>
        </row>
        <row r="69">
          <cell r="A69" t="str">
            <v>US$ Gold Hedged</v>
          </cell>
          <cell r="B69" t="str">
            <v>A$m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-8.0292139143492491</v>
          </cell>
          <cell r="I69">
            <v>-75.080841931401579</v>
          </cell>
          <cell r="J69">
            <v>-40.51679458544195</v>
          </cell>
          <cell r="K69">
            <v>0</v>
          </cell>
          <cell r="L69">
            <v>0</v>
          </cell>
          <cell r="M69">
            <v>-25.177539059657278</v>
          </cell>
          <cell r="N69">
            <v>-123.86092770797009</v>
          </cell>
          <cell r="O69">
            <v>-99.302717998848692</v>
          </cell>
          <cell r="P69">
            <v>-201.12434274082946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BB69">
            <v>-449.46552750730552</v>
          </cell>
          <cell r="BQ69">
            <v>-3.93682311542775</v>
          </cell>
          <cell r="BR69">
            <v>-4.0923907989214987</v>
          </cell>
          <cell r="BS69">
            <v>-8.0292139143492491</v>
          </cell>
          <cell r="BT69">
            <v>-25.172594238119366</v>
          </cell>
          <cell r="BU69">
            <v>-49.908247693282206</v>
          </cell>
          <cell r="BV69">
            <v>-75.080841931401579</v>
          </cell>
          <cell r="BW69">
            <v>-40.51679458544195</v>
          </cell>
          <cell r="BX69">
            <v>0</v>
          </cell>
          <cell r="BY69">
            <v>-40.51679458544195</v>
          </cell>
          <cell r="BZ69">
            <v>0</v>
          </cell>
          <cell r="CA69">
            <v>0</v>
          </cell>
          <cell r="CB69">
            <v>0</v>
          </cell>
          <cell r="CC69">
            <v>0</v>
          </cell>
          <cell r="CD69">
            <v>0</v>
          </cell>
          <cell r="CE69">
            <v>0</v>
          </cell>
          <cell r="CF69">
            <v>-12.770244045977009</v>
          </cell>
          <cell r="CG69">
            <v>-12.407295013680271</v>
          </cell>
          <cell r="CH69">
            <v>-25.177539059657278</v>
          </cell>
          <cell r="CI69">
            <v>-64.968202385409427</v>
          </cell>
          <cell r="CJ69">
            <v>-58.892725322560658</v>
          </cell>
          <cell r="CK69">
            <v>-123.86092770797009</v>
          </cell>
          <cell r="CL69">
            <v>-48.920647539042008</v>
          </cell>
          <cell r="CM69">
            <v>-50.382070459806684</v>
          </cell>
          <cell r="CN69">
            <v>-99.302717998848692</v>
          </cell>
          <cell r="CO69">
            <v>-99.075946485328984</v>
          </cell>
          <cell r="CP69">
            <v>-102.04839625550048</v>
          </cell>
          <cell r="CQ69">
            <v>-201.12434274082946</v>
          </cell>
          <cell r="CR69">
            <v>0</v>
          </cell>
          <cell r="CS69">
            <v>0</v>
          </cell>
          <cell r="CT69">
            <v>0</v>
          </cell>
          <cell r="CU69">
            <v>0</v>
          </cell>
          <cell r="CV69">
            <v>0</v>
          </cell>
          <cell r="CW69">
            <v>0</v>
          </cell>
          <cell r="CX69">
            <v>0</v>
          </cell>
          <cell r="CY69">
            <v>0</v>
          </cell>
          <cell r="CZ69">
            <v>0</v>
          </cell>
          <cell r="DA69">
            <v>0</v>
          </cell>
          <cell r="DB69">
            <v>0</v>
          </cell>
          <cell r="DC69">
            <v>0</v>
          </cell>
          <cell r="DD69">
            <v>0</v>
          </cell>
          <cell r="DE69">
            <v>0</v>
          </cell>
          <cell r="DF69">
            <v>0</v>
          </cell>
          <cell r="DG69">
            <v>0</v>
          </cell>
          <cell r="DH69">
            <v>0</v>
          </cell>
          <cell r="DI69">
            <v>0</v>
          </cell>
          <cell r="DJ69">
            <v>0</v>
          </cell>
          <cell r="DK69">
            <v>0</v>
          </cell>
          <cell r="DL69">
            <v>0</v>
          </cell>
        </row>
        <row r="70">
          <cell r="A70" t="str">
            <v>A$ Put Options Purchased</v>
          </cell>
          <cell r="B70" t="str">
            <v>A$m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BB70">
            <v>-1048.9431437784458</v>
          </cell>
          <cell r="BQ70">
            <v>4.2002987707645794</v>
          </cell>
          <cell r="BR70">
            <v>13.218765862412726</v>
          </cell>
          <cell r="BS70">
            <v>17.419064633177307</v>
          </cell>
          <cell r="BT70">
            <v>-42.742924221249922</v>
          </cell>
          <cell r="BU70">
            <v>-171.05871287547134</v>
          </cell>
          <cell r="BV70">
            <v>-213.80163709672127</v>
          </cell>
          <cell r="BW70">
            <v>-138.45322654241878</v>
          </cell>
          <cell r="BX70">
            <v>-83.785807437655819</v>
          </cell>
          <cell r="BY70">
            <v>-222.23903398007459</v>
          </cell>
          <cell r="BZ70">
            <v>-83.752895000000009</v>
          </cell>
          <cell r="CA70">
            <v>-83.752895000000009</v>
          </cell>
          <cell r="CB70">
            <v>-167.50579000000002</v>
          </cell>
          <cell r="CC70">
            <v>-87.248367999999985</v>
          </cell>
          <cell r="CD70">
            <v>-87.248367999999985</v>
          </cell>
          <cell r="CE70">
            <v>-174.49673599999997</v>
          </cell>
          <cell r="CF70">
            <v>0</v>
          </cell>
          <cell r="CG70">
            <v>0</v>
          </cell>
          <cell r="CH70">
            <v>0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  <cell r="CM70">
            <v>0</v>
          </cell>
          <cell r="CN70">
            <v>0</v>
          </cell>
          <cell r="CO70">
            <v>0</v>
          </cell>
          <cell r="CP70">
            <v>0</v>
          </cell>
          <cell r="CQ70">
            <v>0</v>
          </cell>
          <cell r="CR70">
            <v>0</v>
          </cell>
          <cell r="CS70">
            <v>0</v>
          </cell>
          <cell r="CT70">
            <v>0</v>
          </cell>
          <cell r="CU70">
            <v>0</v>
          </cell>
          <cell r="CV70">
            <v>0</v>
          </cell>
          <cell r="CW70">
            <v>0</v>
          </cell>
          <cell r="CX70">
            <v>0</v>
          </cell>
          <cell r="CY70">
            <v>0</v>
          </cell>
          <cell r="CZ70">
            <v>0</v>
          </cell>
          <cell r="DA70">
            <v>0</v>
          </cell>
          <cell r="DB70">
            <v>0</v>
          </cell>
          <cell r="DC70">
            <v>0</v>
          </cell>
          <cell r="DD70">
            <v>0</v>
          </cell>
          <cell r="DE70">
            <v>0</v>
          </cell>
          <cell r="DF70">
            <v>0</v>
          </cell>
          <cell r="DG70">
            <v>0</v>
          </cell>
          <cell r="DH70">
            <v>0</v>
          </cell>
          <cell r="DI70">
            <v>0</v>
          </cell>
          <cell r="DJ70">
            <v>0</v>
          </cell>
          <cell r="DK70">
            <v>0</v>
          </cell>
          <cell r="DL70">
            <v>0</v>
          </cell>
        </row>
        <row r="71">
          <cell r="A71" t="str">
            <v>Gold Loan</v>
          </cell>
          <cell r="B71" t="str">
            <v>A$m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-6.1424463568639283</v>
          </cell>
          <cell r="I71">
            <v>-14.820733996738099</v>
          </cell>
          <cell r="J71">
            <v>-22.429915802076529</v>
          </cell>
          <cell r="K71">
            <v>-23.579877999999997</v>
          </cell>
          <cell r="L71">
            <v>-23.456741000000001</v>
          </cell>
          <cell r="M71">
            <v>-41.144221999999992</v>
          </cell>
          <cell r="N71">
            <v>-17.744076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BB71">
            <v>-105.92491699999999</v>
          </cell>
          <cell r="BQ71">
            <v>-3.4334551874105599</v>
          </cell>
          <cell r="BR71">
            <v>-2.7089911694533684</v>
          </cell>
          <cell r="BS71">
            <v>-6.1424463568639283</v>
          </cell>
          <cell r="BT71">
            <v>-4.361247735002137</v>
          </cell>
          <cell r="BU71">
            <v>-10.459486261735963</v>
          </cell>
          <cell r="BV71">
            <v>-14.820733996738099</v>
          </cell>
          <cell r="BW71">
            <v>-11.192086154119732</v>
          </cell>
          <cell r="BX71">
            <v>-11.237829647956797</v>
          </cell>
          <cell r="BY71">
            <v>-22.429915802076529</v>
          </cell>
          <cell r="BZ71">
            <v>-11.789938999999999</v>
          </cell>
          <cell r="CA71">
            <v>-11.789938999999999</v>
          </cell>
          <cell r="CB71">
            <v>-23.579877999999997</v>
          </cell>
          <cell r="CC71">
            <v>-11.7283705</v>
          </cell>
          <cell r="CD71">
            <v>-11.7283705</v>
          </cell>
          <cell r="CE71">
            <v>-23.456741000000001</v>
          </cell>
          <cell r="CF71">
            <v>-20.572110999999996</v>
          </cell>
          <cell r="CG71">
            <v>-20.572110999999996</v>
          </cell>
          <cell r="CH71">
            <v>-41.144221999999992</v>
          </cell>
          <cell r="CI71">
            <v>-8.8720379999999999</v>
          </cell>
          <cell r="CJ71">
            <v>-8.8720379999999999</v>
          </cell>
          <cell r="CK71">
            <v>-17.744076</v>
          </cell>
          <cell r="CL71">
            <v>0</v>
          </cell>
          <cell r="CM71">
            <v>0</v>
          </cell>
          <cell r="CN71">
            <v>0</v>
          </cell>
          <cell r="CO71">
            <v>0</v>
          </cell>
          <cell r="CP71">
            <v>0</v>
          </cell>
          <cell r="CQ71">
            <v>0</v>
          </cell>
          <cell r="CR71">
            <v>0</v>
          </cell>
          <cell r="CS71">
            <v>0</v>
          </cell>
          <cell r="CT71">
            <v>0</v>
          </cell>
          <cell r="CU71">
            <v>0</v>
          </cell>
          <cell r="CV71">
            <v>0</v>
          </cell>
          <cell r="CW71">
            <v>0</v>
          </cell>
          <cell r="CX71">
            <v>0</v>
          </cell>
          <cell r="CY71">
            <v>0</v>
          </cell>
          <cell r="CZ71">
            <v>0</v>
          </cell>
          <cell r="DA71">
            <v>0</v>
          </cell>
          <cell r="DB71">
            <v>0</v>
          </cell>
          <cell r="DC71">
            <v>0</v>
          </cell>
          <cell r="DD71">
            <v>0</v>
          </cell>
          <cell r="DE71">
            <v>0</v>
          </cell>
          <cell r="DF71">
            <v>0</v>
          </cell>
          <cell r="DG71">
            <v>0</v>
          </cell>
          <cell r="DH71">
            <v>0</v>
          </cell>
          <cell r="DI71">
            <v>0</v>
          </cell>
          <cell r="DJ71">
            <v>0</v>
          </cell>
          <cell r="DK71">
            <v>0</v>
          </cell>
          <cell r="DL71">
            <v>0</v>
          </cell>
        </row>
        <row r="72">
          <cell r="A72" t="str">
            <v>Total</v>
          </cell>
          <cell r="B72" t="str">
            <v>A$m</v>
          </cell>
          <cell r="C72" t="str">
            <v>.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17.419064633177307</v>
          </cell>
          <cell r="I72">
            <v>-213.80163709672127</v>
          </cell>
          <cell r="J72">
            <v>-222.23903398007459</v>
          </cell>
          <cell r="K72">
            <v>-167.50579000000002</v>
          </cell>
          <cell r="L72">
            <v>-174.49673599999997</v>
          </cell>
          <cell r="M72">
            <v>-164.00404405965728</v>
          </cell>
          <cell r="N72">
            <v>-196.72521570797008</v>
          </cell>
          <cell r="O72">
            <v>-137.77231799884871</v>
          </cell>
          <cell r="P72">
            <v>-208.58335074082947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 t="str">
            <v>.</v>
          </cell>
          <cell r="Y72" t="str">
            <v>.</v>
          </cell>
          <cell r="Z72" t="str">
            <v>.</v>
          </cell>
          <cell r="AA72" t="str">
            <v>.</v>
          </cell>
          <cell r="AB72" t="str">
            <v>.</v>
          </cell>
          <cell r="AC72" t="str">
            <v>.</v>
          </cell>
          <cell r="AD72" t="str">
            <v>.</v>
          </cell>
          <cell r="AE72" t="str">
            <v>.</v>
          </cell>
          <cell r="AF72" t="str">
            <v>.</v>
          </cell>
          <cell r="AG72" t="str">
            <v>.</v>
          </cell>
          <cell r="AH72" t="str">
            <v>.</v>
          </cell>
          <cell r="AI72" t="str">
            <v>.</v>
          </cell>
          <cell r="AJ72" t="str">
            <v>.</v>
          </cell>
          <cell r="AK72" t="str">
            <v>.</v>
          </cell>
          <cell r="AL72" t="str">
            <v>.</v>
          </cell>
          <cell r="AM72" t="str">
            <v>.</v>
          </cell>
          <cell r="AN72" t="str">
            <v>.</v>
          </cell>
          <cell r="AO72" t="str">
            <v>.</v>
          </cell>
          <cell r="AP72" t="str">
            <v>.</v>
          </cell>
          <cell r="AQ72" t="str">
            <v>.</v>
          </cell>
          <cell r="AR72" t="str">
            <v>.</v>
          </cell>
          <cell r="AS72" t="str">
            <v>.</v>
          </cell>
          <cell r="AT72" t="str">
            <v>.</v>
          </cell>
          <cell r="AU72" t="str">
            <v>.</v>
          </cell>
          <cell r="AV72" t="str">
            <v>.</v>
          </cell>
          <cell r="AW72" t="str">
            <v>.</v>
          </cell>
          <cell r="AX72" t="str">
            <v>.</v>
          </cell>
          <cell r="AY72" t="str">
            <v>.</v>
          </cell>
          <cell r="AZ72" t="str">
            <v>.</v>
          </cell>
          <cell r="BA72" t="str">
            <v>.</v>
          </cell>
          <cell r="BB72">
            <v>-1049.0874545073054</v>
          </cell>
          <cell r="BC72" t="str">
            <v>.</v>
          </cell>
          <cell r="BD72" t="str">
            <v>.</v>
          </cell>
          <cell r="BE72" t="str">
            <v>.</v>
          </cell>
          <cell r="BF72" t="str">
            <v>.</v>
          </cell>
          <cell r="BG72" t="str">
            <v>.</v>
          </cell>
          <cell r="BH72" t="str">
            <v>.</v>
          </cell>
          <cell r="BI72" t="str">
            <v>.</v>
          </cell>
          <cell r="BJ72" t="str">
            <v>.</v>
          </cell>
          <cell r="BK72" t="str">
            <v>.</v>
          </cell>
          <cell r="BL72" t="str">
            <v>.</v>
          </cell>
          <cell r="BM72" t="str">
            <v>.</v>
          </cell>
          <cell r="BN72" t="str">
            <v>.</v>
          </cell>
          <cell r="BO72" t="str">
            <v>.</v>
          </cell>
          <cell r="BP72" t="str">
            <v>.</v>
          </cell>
          <cell r="BQ72">
            <v>4.2002987707645794</v>
          </cell>
          <cell r="BR72">
            <v>13.218765862412726</v>
          </cell>
          <cell r="BS72">
            <v>17.419064633177307</v>
          </cell>
          <cell r="BT72">
            <v>-42.742924221249922</v>
          </cell>
          <cell r="BU72">
            <v>-171.05871287547134</v>
          </cell>
          <cell r="BV72">
            <v>-213.80163709672127</v>
          </cell>
          <cell r="BW72">
            <v>-138.45322654241878</v>
          </cell>
          <cell r="BX72">
            <v>-83.785807437655819</v>
          </cell>
          <cell r="BY72">
            <v>-222.23903398007459</v>
          </cell>
          <cell r="BZ72">
            <v>-83.752895000000009</v>
          </cell>
          <cell r="CA72">
            <v>-83.752895000000009</v>
          </cell>
          <cell r="CB72">
            <v>-167.50579000000002</v>
          </cell>
          <cell r="CC72">
            <v>-87.248367999999985</v>
          </cell>
          <cell r="CD72">
            <v>-87.248367999999985</v>
          </cell>
          <cell r="CE72">
            <v>-174.49673599999997</v>
          </cell>
          <cell r="CF72">
            <v>-82.183496545977007</v>
          </cell>
          <cell r="CG72">
            <v>-81.820547513680268</v>
          </cell>
          <cell r="CH72">
            <v>-164.00404405965728</v>
          </cell>
          <cell r="CI72">
            <v>-101.40034638540942</v>
          </cell>
          <cell r="CJ72">
            <v>-95.324869322560659</v>
          </cell>
          <cell r="CK72">
            <v>-196.72521570797008</v>
          </cell>
          <cell r="CL72">
            <v>-68.155447539042015</v>
          </cell>
          <cell r="CM72">
            <v>-69.616870459806691</v>
          </cell>
          <cell r="CN72">
            <v>-137.77231799884871</v>
          </cell>
          <cell r="CO72">
            <v>-102.80545048532899</v>
          </cell>
          <cell r="CP72">
            <v>-105.77790025550048</v>
          </cell>
          <cell r="CQ72">
            <v>-208.58335074082947</v>
          </cell>
          <cell r="CR72">
            <v>0</v>
          </cell>
          <cell r="CS72">
            <v>0</v>
          </cell>
          <cell r="CT72">
            <v>0</v>
          </cell>
          <cell r="CU72">
            <v>0</v>
          </cell>
          <cell r="CV72">
            <v>0</v>
          </cell>
          <cell r="CW72">
            <v>0</v>
          </cell>
          <cell r="CX72">
            <v>0</v>
          </cell>
          <cell r="CY72">
            <v>0</v>
          </cell>
          <cell r="CZ72">
            <v>0</v>
          </cell>
          <cell r="DA72">
            <v>0</v>
          </cell>
          <cell r="DB72">
            <v>0</v>
          </cell>
          <cell r="DC72">
            <v>0</v>
          </cell>
          <cell r="DD72">
            <v>0</v>
          </cell>
          <cell r="DE72">
            <v>0</v>
          </cell>
          <cell r="DF72">
            <v>0</v>
          </cell>
          <cell r="DG72">
            <v>0</v>
          </cell>
          <cell r="DH72">
            <v>0</v>
          </cell>
          <cell r="DI72">
            <v>0</v>
          </cell>
          <cell r="DJ72">
            <v>0</v>
          </cell>
          <cell r="DK72">
            <v>0</v>
          </cell>
          <cell r="DL72">
            <v>0</v>
          </cell>
          <cell r="DM72" t="str">
            <v>.</v>
          </cell>
          <cell r="DN72" t="str">
            <v>.</v>
          </cell>
          <cell r="DO72" t="str">
            <v>.</v>
          </cell>
          <cell r="DP72" t="str">
            <v>.</v>
          </cell>
          <cell r="DQ72" t="str">
            <v>.</v>
          </cell>
          <cell r="DR72" t="str">
            <v>.</v>
          </cell>
          <cell r="DS72" t="str">
            <v>.</v>
          </cell>
          <cell r="DT72" t="str">
            <v>.</v>
          </cell>
          <cell r="DU72" t="str">
            <v>.</v>
          </cell>
          <cell r="DV72" t="str">
            <v>.</v>
          </cell>
          <cell r="DW72" t="str">
            <v>.</v>
          </cell>
          <cell r="DX72" t="str">
            <v>.</v>
          </cell>
          <cell r="DY72" t="str">
            <v>.</v>
          </cell>
          <cell r="DZ72" t="str">
            <v>.</v>
          </cell>
          <cell r="EA72" t="str">
            <v>.</v>
          </cell>
          <cell r="EB72" t="str">
            <v>.</v>
          </cell>
          <cell r="EC72" t="str">
            <v>.</v>
          </cell>
          <cell r="ED72" t="str">
            <v>.</v>
          </cell>
          <cell r="EE72" t="str">
            <v>.</v>
          </cell>
          <cell r="EF72" t="str">
            <v>.</v>
          </cell>
          <cell r="EG72" t="str">
            <v>.</v>
          </cell>
          <cell r="EH72" t="str">
            <v>.</v>
          </cell>
          <cell r="EI72" t="str">
            <v>.</v>
          </cell>
          <cell r="EJ72" t="str">
            <v>.</v>
          </cell>
          <cell r="EK72" t="str">
            <v>.</v>
          </cell>
          <cell r="EL72" t="str">
            <v>.</v>
          </cell>
          <cell r="EM72" t="str">
            <v>.</v>
          </cell>
          <cell r="EN72" t="str">
            <v>.</v>
          </cell>
          <cell r="EO72" t="str">
            <v>.</v>
          </cell>
          <cell r="EP72" t="str">
            <v>.</v>
          </cell>
          <cell r="EQ72" t="str">
            <v>.</v>
          </cell>
          <cell r="ER72" t="str">
            <v>.</v>
          </cell>
          <cell r="ES72" t="str">
            <v>.</v>
          </cell>
          <cell r="ET72" t="str">
            <v>.</v>
          </cell>
          <cell r="EU72" t="str">
            <v>.</v>
          </cell>
          <cell r="EV72" t="str">
            <v>.</v>
          </cell>
          <cell r="EW72" t="str">
            <v>.</v>
          </cell>
          <cell r="EX72" t="str">
            <v>.</v>
          </cell>
          <cell r="EY72" t="str">
            <v>.</v>
          </cell>
          <cell r="EZ72" t="str">
            <v>.</v>
          </cell>
          <cell r="FA72" t="str">
            <v>.</v>
          </cell>
          <cell r="FB72" t="str">
            <v>.</v>
          </cell>
          <cell r="FC72" t="str">
            <v>.</v>
          </cell>
          <cell r="FD72" t="str">
            <v>.</v>
          </cell>
          <cell r="FE72" t="str">
            <v>.</v>
          </cell>
          <cell r="FF72" t="str">
            <v>.</v>
          </cell>
          <cell r="FG72" t="str">
            <v>.</v>
          </cell>
          <cell r="FH72" t="str">
            <v>.</v>
          </cell>
          <cell r="FI72" t="str">
            <v>.</v>
          </cell>
          <cell r="FJ72" t="str">
            <v>.</v>
          </cell>
          <cell r="FK72" t="str">
            <v>.</v>
          </cell>
          <cell r="FL72" t="str">
            <v>.</v>
          </cell>
          <cell r="FM72" t="str">
            <v>.</v>
          </cell>
          <cell r="FN72" t="str">
            <v>.</v>
          </cell>
          <cell r="FO72" t="str">
            <v>.</v>
          </cell>
          <cell r="FP72" t="str">
            <v>.</v>
          </cell>
          <cell r="FQ72" t="str">
            <v>.</v>
          </cell>
          <cell r="FR72" t="str">
            <v>.</v>
          </cell>
          <cell r="FS72" t="str">
            <v>.</v>
          </cell>
          <cell r="FT72" t="str">
            <v>.</v>
          </cell>
          <cell r="FU72" t="str">
            <v>.</v>
          </cell>
          <cell r="FV72" t="str">
            <v>.</v>
          </cell>
          <cell r="FW72" t="str">
            <v>.</v>
          </cell>
          <cell r="FX72" t="str">
            <v>.</v>
          </cell>
          <cell r="FY72" t="str">
            <v>.</v>
          </cell>
          <cell r="FZ72" t="str">
            <v>.</v>
          </cell>
          <cell r="GA72" t="str">
            <v>.</v>
          </cell>
          <cell r="GB72" t="str">
            <v>.</v>
          </cell>
          <cell r="GC72" t="str">
            <v>.</v>
          </cell>
          <cell r="GD72" t="str">
            <v>.</v>
          </cell>
          <cell r="GE72" t="str">
            <v>.</v>
          </cell>
          <cell r="GF72" t="str">
            <v>.</v>
          </cell>
          <cell r="GG72" t="str">
            <v>.</v>
          </cell>
          <cell r="GH72" t="str">
            <v>.</v>
          </cell>
          <cell r="GI72" t="str">
            <v>.</v>
          </cell>
          <cell r="GJ72" t="str">
            <v>.</v>
          </cell>
          <cell r="GK72" t="str">
            <v>.</v>
          </cell>
          <cell r="GL72" t="str">
            <v>.</v>
          </cell>
          <cell r="GM72" t="str">
            <v>.</v>
          </cell>
          <cell r="GN72" t="str">
            <v>.</v>
          </cell>
          <cell r="GO72" t="str">
            <v>.</v>
          </cell>
          <cell r="GP72" t="str">
            <v>.</v>
          </cell>
          <cell r="GQ72" t="str">
            <v>.</v>
          </cell>
          <cell r="GR72" t="str">
            <v>.</v>
          </cell>
          <cell r="GS72" t="str">
            <v>.</v>
          </cell>
          <cell r="GT72" t="str">
            <v>.</v>
          </cell>
          <cell r="GU72" t="str">
            <v>.</v>
          </cell>
          <cell r="GV72" t="str">
            <v>.</v>
          </cell>
          <cell r="GW72" t="str">
            <v>.</v>
          </cell>
          <cell r="GX72" t="str">
            <v>.</v>
          </cell>
        </row>
        <row r="73">
          <cell r="A73" t="str">
            <v>Target</v>
          </cell>
          <cell r="B73">
            <v>48.900001525878899</v>
          </cell>
        </row>
        <row r="74">
          <cell r="A74" t="str">
            <v>MODELWARE DATA POINTS</v>
          </cell>
          <cell r="B74" t="str">
            <v>NCM.AX</v>
          </cell>
          <cell r="C74" t="str">
            <v>.</v>
          </cell>
          <cell r="D74" t="str">
            <v>.</v>
          </cell>
          <cell r="E74" t="str">
            <v>.</v>
          </cell>
          <cell r="F74" t="str">
            <v>.</v>
          </cell>
          <cell r="G74" t="str">
            <v>.</v>
          </cell>
          <cell r="H74" t="str">
            <v>.</v>
          </cell>
          <cell r="I74" t="str">
            <v>.</v>
          </cell>
          <cell r="J74" t="str">
            <v>.</v>
          </cell>
          <cell r="K74" t="str">
            <v>.</v>
          </cell>
          <cell r="L74" t="str">
            <v>.</v>
          </cell>
          <cell r="M74" t="str">
            <v>.</v>
          </cell>
          <cell r="N74" t="str">
            <v>.</v>
          </cell>
          <cell r="O74" t="str">
            <v>.</v>
          </cell>
          <cell r="P74" t="str">
            <v>.</v>
          </cell>
          <cell r="Q74" t="str">
            <v>.</v>
          </cell>
          <cell r="R74" t="str">
            <v>.</v>
          </cell>
          <cell r="S74" t="str">
            <v>.</v>
          </cell>
          <cell r="T74" t="str">
            <v>.</v>
          </cell>
          <cell r="U74" t="str">
            <v>.</v>
          </cell>
          <cell r="V74" t="str">
            <v>.</v>
          </cell>
          <cell r="W74" t="str">
            <v>.</v>
          </cell>
          <cell r="X74" t="str">
            <v>.</v>
          </cell>
          <cell r="Y74" t="str">
            <v>.</v>
          </cell>
          <cell r="Z74" t="str">
            <v>.</v>
          </cell>
          <cell r="AA74" t="str">
            <v>.</v>
          </cell>
          <cell r="AB74" t="str">
            <v>.</v>
          </cell>
          <cell r="AC74" t="str">
            <v>.</v>
          </cell>
          <cell r="AD74" t="str">
            <v>.</v>
          </cell>
          <cell r="AE74" t="str">
            <v>.</v>
          </cell>
          <cell r="AF74" t="str">
            <v>.</v>
          </cell>
          <cell r="AG74" t="str">
            <v>.</v>
          </cell>
          <cell r="AH74" t="str">
            <v>.</v>
          </cell>
          <cell r="AI74" t="str">
            <v>.</v>
          </cell>
          <cell r="AJ74" t="str">
            <v>.</v>
          </cell>
          <cell r="AK74" t="str">
            <v>.</v>
          </cell>
          <cell r="AL74" t="str">
            <v>.</v>
          </cell>
          <cell r="AM74" t="str">
            <v>.</v>
          </cell>
          <cell r="AN74" t="str">
            <v>.</v>
          </cell>
          <cell r="AO74" t="str">
            <v>.</v>
          </cell>
          <cell r="AP74" t="str">
            <v>.</v>
          </cell>
          <cell r="AQ74" t="str">
            <v>.</v>
          </cell>
          <cell r="AR74" t="str">
            <v>.</v>
          </cell>
          <cell r="AS74" t="str">
            <v>.</v>
          </cell>
          <cell r="AT74" t="str">
            <v>.</v>
          </cell>
          <cell r="AU74" t="str">
            <v>.</v>
          </cell>
          <cell r="AV74" t="str">
            <v>.</v>
          </cell>
          <cell r="AW74" t="str">
            <v>.</v>
          </cell>
          <cell r="AX74" t="str">
            <v>.</v>
          </cell>
          <cell r="AY74" t="str">
            <v>.</v>
          </cell>
          <cell r="AZ74" t="str">
            <v>.</v>
          </cell>
          <cell r="BA74" t="str">
            <v>.</v>
          </cell>
          <cell r="BB74" t="str">
            <v>.</v>
          </cell>
          <cell r="BC74" t="str">
            <v>.</v>
          </cell>
          <cell r="BD74" t="str">
            <v>.</v>
          </cell>
          <cell r="BE74" t="str">
            <v>.</v>
          </cell>
          <cell r="BF74" t="str">
            <v>.</v>
          </cell>
          <cell r="BG74" t="str">
            <v>.</v>
          </cell>
          <cell r="BH74" t="str">
            <v>.</v>
          </cell>
          <cell r="BI74" t="str">
            <v>.</v>
          </cell>
          <cell r="BJ74" t="str">
            <v>.</v>
          </cell>
          <cell r="BK74" t="str">
            <v>.</v>
          </cell>
          <cell r="BL74" t="str">
            <v>.</v>
          </cell>
          <cell r="BM74" t="str">
            <v>.</v>
          </cell>
          <cell r="BN74" t="str">
            <v>.</v>
          </cell>
          <cell r="BO74" t="str">
            <v>.</v>
          </cell>
          <cell r="BP74" t="str">
            <v>.</v>
          </cell>
          <cell r="BQ74" t="str">
            <v>.</v>
          </cell>
          <cell r="BR74" t="str">
            <v>.</v>
          </cell>
          <cell r="BS74" t="str">
            <v>.</v>
          </cell>
          <cell r="BT74" t="str">
            <v>.</v>
          </cell>
          <cell r="BU74" t="str">
            <v>.</v>
          </cell>
          <cell r="BV74" t="str">
            <v>.</v>
          </cell>
          <cell r="BW74" t="str">
            <v>.</v>
          </cell>
          <cell r="BX74" t="str">
            <v>.</v>
          </cell>
          <cell r="BY74" t="str">
            <v>.</v>
          </cell>
          <cell r="BZ74" t="str">
            <v>.</v>
          </cell>
          <cell r="CA74" t="str">
            <v>.</v>
          </cell>
          <cell r="CB74" t="str">
            <v>.</v>
          </cell>
          <cell r="CC74" t="str">
            <v>.</v>
          </cell>
          <cell r="CD74" t="str">
            <v>.</v>
          </cell>
          <cell r="CE74" t="str">
            <v>.</v>
          </cell>
          <cell r="CF74" t="str">
            <v>.</v>
          </cell>
          <cell r="CG74" t="str">
            <v>.</v>
          </cell>
          <cell r="CH74" t="str">
            <v>.</v>
          </cell>
          <cell r="CI74" t="str">
            <v>.</v>
          </cell>
          <cell r="CJ74" t="str">
            <v>.</v>
          </cell>
          <cell r="CK74" t="str">
            <v>.</v>
          </cell>
          <cell r="CL74" t="str">
            <v>.</v>
          </cell>
          <cell r="CM74" t="str">
            <v>.</v>
          </cell>
          <cell r="CN74" t="str">
            <v>.</v>
          </cell>
          <cell r="CO74" t="str">
            <v>.</v>
          </cell>
          <cell r="CP74" t="str">
            <v>.</v>
          </cell>
          <cell r="CQ74" t="str">
            <v>.</v>
          </cell>
          <cell r="CR74" t="str">
            <v>.</v>
          </cell>
          <cell r="CS74" t="str">
            <v>.</v>
          </cell>
          <cell r="CT74" t="str">
            <v>.</v>
          </cell>
          <cell r="CU74" t="str">
            <v>.</v>
          </cell>
          <cell r="CV74" t="str">
            <v>.</v>
          </cell>
          <cell r="CW74" t="str">
            <v>.</v>
          </cell>
          <cell r="CX74" t="str">
            <v>.</v>
          </cell>
          <cell r="CY74" t="str">
            <v>.</v>
          </cell>
          <cell r="CZ74" t="str">
            <v>.</v>
          </cell>
          <cell r="DA74" t="str">
            <v>.</v>
          </cell>
          <cell r="DB74" t="str">
            <v>.</v>
          </cell>
          <cell r="DC74" t="str">
            <v>.</v>
          </cell>
          <cell r="DD74" t="str">
            <v>.</v>
          </cell>
          <cell r="DE74" t="str">
            <v>.</v>
          </cell>
          <cell r="DF74" t="str">
            <v>.</v>
          </cell>
          <cell r="DG74" t="str">
            <v>.</v>
          </cell>
          <cell r="DH74" t="str">
            <v>.</v>
          </cell>
          <cell r="DI74" t="str">
            <v>.</v>
          </cell>
          <cell r="DJ74" t="str">
            <v>.</v>
          </cell>
          <cell r="DK74" t="str">
            <v>.</v>
          </cell>
          <cell r="DL74" t="str">
            <v>.</v>
          </cell>
          <cell r="DM74" t="str">
            <v>.</v>
          </cell>
          <cell r="DN74" t="str">
            <v>.</v>
          </cell>
          <cell r="DO74" t="str">
            <v>.</v>
          </cell>
          <cell r="DP74" t="str">
            <v>.</v>
          </cell>
          <cell r="DQ74" t="str">
            <v>.</v>
          </cell>
          <cell r="DR74" t="str">
            <v>.</v>
          </cell>
          <cell r="DS74" t="str">
            <v>.</v>
          </cell>
          <cell r="DT74" t="str">
            <v>.</v>
          </cell>
          <cell r="DU74" t="str">
            <v>.</v>
          </cell>
          <cell r="DV74" t="str">
            <v>.</v>
          </cell>
          <cell r="DW74" t="str">
            <v>.</v>
          </cell>
          <cell r="DX74" t="str">
            <v>.</v>
          </cell>
          <cell r="DY74" t="str">
            <v>.</v>
          </cell>
          <cell r="DZ74" t="str">
            <v>.</v>
          </cell>
          <cell r="EA74" t="str">
            <v>.</v>
          </cell>
          <cell r="EB74" t="str">
            <v>.</v>
          </cell>
          <cell r="EC74" t="str">
            <v>.</v>
          </cell>
          <cell r="ED74" t="str">
            <v>.</v>
          </cell>
          <cell r="EE74" t="str">
            <v>.</v>
          </cell>
          <cell r="EF74" t="str">
            <v>.</v>
          </cell>
          <cell r="EG74" t="str">
            <v>.</v>
          </cell>
          <cell r="EH74" t="str">
            <v>.</v>
          </cell>
          <cell r="EI74" t="str">
            <v>.</v>
          </cell>
          <cell r="EJ74" t="str">
            <v>.</v>
          </cell>
          <cell r="EK74" t="str">
            <v>.</v>
          </cell>
          <cell r="EL74" t="str">
            <v>.</v>
          </cell>
          <cell r="EM74" t="str">
            <v>.</v>
          </cell>
          <cell r="EN74" t="str">
            <v>.</v>
          </cell>
          <cell r="EO74" t="str">
            <v>.</v>
          </cell>
          <cell r="EP74" t="str">
            <v>.</v>
          </cell>
          <cell r="EQ74" t="str">
            <v>.</v>
          </cell>
          <cell r="ER74" t="str">
            <v>.</v>
          </cell>
          <cell r="ES74" t="str">
            <v>.</v>
          </cell>
          <cell r="ET74" t="str">
            <v>.</v>
          </cell>
          <cell r="EU74" t="str">
            <v>.</v>
          </cell>
          <cell r="EV74" t="str">
            <v>.</v>
          </cell>
          <cell r="EW74" t="str">
            <v>.</v>
          </cell>
          <cell r="EX74" t="str">
            <v>.</v>
          </cell>
          <cell r="EY74" t="str">
            <v>.</v>
          </cell>
          <cell r="EZ74" t="str">
            <v>.</v>
          </cell>
          <cell r="FA74" t="str">
            <v>.</v>
          </cell>
          <cell r="FB74" t="str">
            <v>.</v>
          </cell>
          <cell r="FC74" t="str">
            <v>.</v>
          </cell>
          <cell r="FD74" t="str">
            <v>.</v>
          </cell>
          <cell r="FE74" t="str">
            <v>.</v>
          </cell>
          <cell r="FF74" t="str">
            <v>.</v>
          </cell>
          <cell r="FG74" t="str">
            <v>.</v>
          </cell>
          <cell r="FH74" t="str">
            <v>.</v>
          </cell>
          <cell r="FI74" t="str">
            <v>.</v>
          </cell>
          <cell r="FJ74" t="str">
            <v>.</v>
          </cell>
          <cell r="FK74" t="str">
            <v>.</v>
          </cell>
          <cell r="FL74" t="str">
            <v>.</v>
          </cell>
          <cell r="FM74" t="str">
            <v>.</v>
          </cell>
          <cell r="FN74" t="str">
            <v>.</v>
          </cell>
          <cell r="FO74" t="str">
            <v>.</v>
          </cell>
          <cell r="FP74" t="str">
            <v>.</v>
          </cell>
          <cell r="FQ74" t="str">
            <v>.</v>
          </cell>
          <cell r="FR74" t="str">
            <v>.</v>
          </cell>
          <cell r="FS74" t="str">
            <v>.</v>
          </cell>
          <cell r="FT74" t="str">
            <v>.</v>
          </cell>
          <cell r="FU74" t="str">
            <v>.</v>
          </cell>
          <cell r="FV74" t="str">
            <v>.</v>
          </cell>
          <cell r="FW74" t="str">
            <v>.</v>
          </cell>
          <cell r="FX74" t="str">
            <v>.</v>
          </cell>
          <cell r="FY74" t="str">
            <v>.</v>
          </cell>
          <cell r="FZ74" t="str">
            <v>.</v>
          </cell>
          <cell r="GA74" t="str">
            <v>.</v>
          </cell>
          <cell r="GB74" t="str">
            <v>.</v>
          </cell>
          <cell r="GC74" t="str">
            <v>.</v>
          </cell>
          <cell r="GD74" t="str">
            <v>.</v>
          </cell>
          <cell r="GE74" t="str">
            <v>.</v>
          </cell>
          <cell r="GF74" t="str">
            <v>.</v>
          </cell>
          <cell r="GG74" t="str">
            <v>.</v>
          </cell>
          <cell r="GH74" t="str">
            <v>.</v>
          </cell>
          <cell r="GI74" t="str">
            <v>.</v>
          </cell>
          <cell r="GJ74" t="str">
            <v>.</v>
          </cell>
          <cell r="GK74" t="str">
            <v>.</v>
          </cell>
          <cell r="GL74" t="str">
            <v>.</v>
          </cell>
          <cell r="GM74" t="str">
            <v>.</v>
          </cell>
          <cell r="GN74" t="str">
            <v>.</v>
          </cell>
          <cell r="GO74" t="str">
            <v>.</v>
          </cell>
          <cell r="GP74" t="str">
            <v>.</v>
          </cell>
          <cell r="GQ74" t="str">
            <v>.</v>
          </cell>
          <cell r="GR74" t="str">
            <v>.</v>
          </cell>
          <cell r="GS74" t="str">
            <v>.</v>
          </cell>
          <cell r="GT74" t="str">
            <v>.</v>
          </cell>
          <cell r="GU74" t="str">
            <v>.</v>
          </cell>
          <cell r="GV74" t="str">
            <v>.</v>
          </cell>
          <cell r="GW74" t="str">
            <v>.</v>
          </cell>
          <cell r="GX74" t="str">
            <v>.</v>
          </cell>
        </row>
        <row r="75">
          <cell r="A75" t="str">
            <v>Target</v>
          </cell>
          <cell r="B75" t="str">
            <v>A$/sh</v>
          </cell>
          <cell r="D75" t="str">
            <v>NA</v>
          </cell>
          <cell r="E75" t="str">
            <v>NA</v>
          </cell>
          <cell r="F75" t="str">
            <v>NA</v>
          </cell>
          <cell r="G75" t="str">
            <v>NA</v>
          </cell>
          <cell r="H75">
            <v>0.40596199035644498</v>
          </cell>
          <cell r="I75">
            <v>0.36309298872947698</v>
          </cell>
          <cell r="J75">
            <v>0.57956999540329002</v>
          </cell>
          <cell r="K75">
            <v>1.10582995414734</v>
          </cell>
          <cell r="L75">
            <v>1.03199994564056</v>
          </cell>
          <cell r="M75">
            <v>1.57500004768372</v>
          </cell>
          <cell r="N75">
            <v>49.299999237060497</v>
          </cell>
          <cell r="O75">
            <v>1.8869999647140501</v>
          </cell>
          <cell r="P75">
            <v>2.2750000953674299</v>
          </cell>
          <cell r="Q75" t="str">
            <v>NA</v>
          </cell>
          <cell r="R75" t="str">
            <v>NA</v>
          </cell>
          <cell r="S75" t="str">
            <v>NA</v>
          </cell>
          <cell r="T75" t="str">
            <v>NA</v>
          </cell>
          <cell r="U75" t="str">
            <v>NA</v>
          </cell>
          <cell r="V75" t="str">
            <v>NA</v>
          </cell>
        </row>
        <row r="76">
          <cell r="A76" t="str">
            <v>Prior ModelWare EPS (Published)</v>
          </cell>
          <cell r="B76" t="str">
            <v>A$/sh</v>
          </cell>
          <cell r="D76" t="str">
            <v>NA</v>
          </cell>
          <cell r="E76" t="str">
            <v>NA</v>
          </cell>
          <cell r="F76" t="str">
            <v>NA</v>
          </cell>
          <cell r="G76" t="str">
            <v>NA</v>
          </cell>
          <cell r="H76" t="str">
            <v>NA</v>
          </cell>
          <cell r="I76">
            <v>0.39246176421086099</v>
          </cell>
          <cell r="J76">
            <v>0.57922414304860104</v>
          </cell>
          <cell r="K76">
            <v>1.0894076842336</v>
          </cell>
          <cell r="L76">
            <v>1.0297818302666799</v>
          </cell>
          <cell r="M76">
            <v>1.5943320377771499</v>
          </cell>
          <cell r="N76">
            <v>1.38239506375939</v>
          </cell>
          <cell r="O76">
            <v>2.2573245103172899</v>
          </cell>
          <cell r="P76">
            <v>2.7475255523265298</v>
          </cell>
          <cell r="Q76">
            <v>3.0303510982973401</v>
          </cell>
          <cell r="R76">
            <v>3.1059692081454102</v>
          </cell>
          <cell r="S76" t="str">
            <v>NA</v>
          </cell>
          <cell r="T76" t="str">
            <v>NA</v>
          </cell>
          <cell r="U76" t="str">
            <v>NA</v>
          </cell>
          <cell r="V76" t="str">
            <v>NA</v>
          </cell>
        </row>
        <row r="77">
          <cell r="A77" t="str">
            <v>Consensus EPS</v>
          </cell>
          <cell r="B77" t="str">
            <v>A$/sh</v>
          </cell>
          <cell r="C77" t="str">
            <v>.</v>
          </cell>
          <cell r="D77" t="str">
            <v>NA</v>
          </cell>
          <cell r="E77" t="str">
            <v>NA</v>
          </cell>
          <cell r="F77" t="str">
            <v>NA</v>
          </cell>
          <cell r="G77" t="str">
            <v>NA</v>
          </cell>
          <cell r="H77">
            <v>0.40596199035644498</v>
          </cell>
          <cell r="I77">
            <v>0.36309298872947698</v>
          </cell>
          <cell r="J77">
            <v>0.57956999540329002</v>
          </cell>
          <cell r="K77">
            <v>1.10582995414734</v>
          </cell>
          <cell r="L77">
            <v>1.03199994564056</v>
          </cell>
          <cell r="M77">
            <v>1.57500004768372</v>
          </cell>
          <cell r="N77">
            <v>1.47300004959106</v>
          </cell>
          <cell r="O77">
            <v>2.1640000343322798</v>
          </cell>
          <cell r="P77">
            <v>2.61378002166748</v>
          </cell>
          <cell r="Q77" t="str">
            <v>NA</v>
          </cell>
          <cell r="R77" t="str">
            <v>NA</v>
          </cell>
          <cell r="S77" t="str">
            <v>NA</v>
          </cell>
          <cell r="T77" t="str">
            <v>NA</v>
          </cell>
          <cell r="U77" t="str">
            <v>NA</v>
          </cell>
          <cell r="V77" t="str">
            <v>NA</v>
          </cell>
          <cell r="W77" t="str">
            <v>.</v>
          </cell>
          <cell r="X77" t="str">
            <v>.</v>
          </cell>
          <cell r="Y77" t="str">
            <v>.</v>
          </cell>
          <cell r="Z77" t="str">
            <v>.</v>
          </cell>
          <cell r="AA77" t="str">
            <v>.</v>
          </cell>
          <cell r="AB77" t="str">
            <v>.</v>
          </cell>
          <cell r="AC77" t="str">
            <v>.</v>
          </cell>
          <cell r="AD77" t="str">
            <v>.</v>
          </cell>
          <cell r="AE77" t="str">
            <v>.</v>
          </cell>
          <cell r="AF77" t="str">
            <v>.</v>
          </cell>
          <cell r="AG77" t="str">
            <v>.</v>
          </cell>
          <cell r="AH77" t="str">
            <v>.</v>
          </cell>
          <cell r="AI77" t="str">
            <v>.</v>
          </cell>
          <cell r="AJ77" t="str">
            <v>.</v>
          </cell>
          <cell r="AK77" t="str">
            <v>.</v>
          </cell>
          <cell r="AL77" t="str">
            <v>.</v>
          </cell>
          <cell r="AM77" t="str">
            <v>.</v>
          </cell>
          <cell r="AN77" t="str">
            <v>.</v>
          </cell>
          <cell r="AO77" t="str">
            <v>.</v>
          </cell>
          <cell r="AP77" t="str">
            <v>.</v>
          </cell>
          <cell r="AQ77" t="str">
            <v>.</v>
          </cell>
          <cell r="AR77" t="str">
            <v>.</v>
          </cell>
          <cell r="AS77" t="str">
            <v>.</v>
          </cell>
          <cell r="AT77" t="str">
            <v>.</v>
          </cell>
          <cell r="AU77" t="str">
            <v>.</v>
          </cell>
          <cell r="AV77" t="str">
            <v>.</v>
          </cell>
          <cell r="AW77" t="str">
            <v>.</v>
          </cell>
          <cell r="AX77" t="str">
            <v>.</v>
          </cell>
          <cell r="AY77" t="str">
            <v>.</v>
          </cell>
          <cell r="AZ77" t="str">
            <v>.</v>
          </cell>
          <cell r="BA77" t="str">
            <v>.</v>
          </cell>
          <cell r="BB77" t="str">
            <v>.</v>
          </cell>
          <cell r="BC77" t="str">
            <v>.</v>
          </cell>
          <cell r="BD77" t="str">
            <v>.</v>
          </cell>
          <cell r="BE77" t="str">
            <v>.</v>
          </cell>
          <cell r="BF77" t="str">
            <v>.</v>
          </cell>
          <cell r="BG77" t="str">
            <v>.</v>
          </cell>
          <cell r="BH77" t="str">
            <v>.</v>
          </cell>
          <cell r="BI77" t="str">
            <v>.</v>
          </cell>
          <cell r="BJ77" t="str">
            <v>.</v>
          </cell>
          <cell r="BK77" t="str">
            <v>.</v>
          </cell>
          <cell r="BL77" t="str">
            <v>.</v>
          </cell>
          <cell r="BM77" t="str">
            <v>.</v>
          </cell>
          <cell r="BN77" t="str">
            <v>.</v>
          </cell>
          <cell r="BO77" t="str">
            <v>.</v>
          </cell>
          <cell r="BP77" t="str">
            <v>.</v>
          </cell>
          <cell r="BQ77" t="str">
            <v>.</v>
          </cell>
          <cell r="BR77" t="str">
            <v>.</v>
          </cell>
          <cell r="BS77" t="str">
            <v>.</v>
          </cell>
          <cell r="BT77" t="str">
            <v>.</v>
          </cell>
          <cell r="BU77" t="str">
            <v>.</v>
          </cell>
          <cell r="BV77" t="str">
            <v>.</v>
          </cell>
          <cell r="BW77" t="str">
            <v>.</v>
          </cell>
          <cell r="BX77" t="str">
            <v>.</v>
          </cell>
          <cell r="BY77" t="str">
            <v>.</v>
          </cell>
          <cell r="BZ77" t="str">
            <v>.</v>
          </cell>
          <cell r="CA77" t="str">
            <v>.</v>
          </cell>
          <cell r="CB77" t="str">
            <v>.</v>
          </cell>
          <cell r="CC77" t="str">
            <v>.</v>
          </cell>
          <cell r="CD77" t="str">
            <v>.</v>
          </cell>
          <cell r="CE77" t="str">
            <v>.</v>
          </cell>
          <cell r="CF77" t="str">
            <v>.</v>
          </cell>
          <cell r="CG77" t="str">
            <v>.</v>
          </cell>
          <cell r="CH77" t="str">
            <v>.</v>
          </cell>
          <cell r="CI77" t="str">
            <v>.</v>
          </cell>
          <cell r="CJ77" t="str">
            <v>.</v>
          </cell>
          <cell r="CK77" t="str">
            <v>.</v>
          </cell>
          <cell r="CL77" t="str">
            <v>.</v>
          </cell>
          <cell r="CM77" t="str">
            <v>.</v>
          </cell>
          <cell r="CN77" t="str">
            <v>.</v>
          </cell>
          <cell r="CO77" t="str">
            <v>.</v>
          </cell>
          <cell r="CP77" t="str">
            <v>.</v>
          </cell>
          <cell r="CQ77" t="str">
            <v>.</v>
          </cell>
          <cell r="CR77" t="str">
            <v>.</v>
          </cell>
          <cell r="CS77" t="str">
            <v>.</v>
          </cell>
          <cell r="CT77" t="str">
            <v>.</v>
          </cell>
          <cell r="CU77" t="str">
            <v>.</v>
          </cell>
          <cell r="CV77" t="str">
            <v>.</v>
          </cell>
          <cell r="CW77" t="str">
            <v>.</v>
          </cell>
          <cell r="CX77" t="str">
            <v>.</v>
          </cell>
          <cell r="CY77" t="str">
            <v>.</v>
          </cell>
          <cell r="CZ77" t="str">
            <v>.</v>
          </cell>
          <cell r="DA77" t="str">
            <v>.</v>
          </cell>
          <cell r="DB77" t="str">
            <v>.</v>
          </cell>
          <cell r="DC77" t="str">
            <v>.</v>
          </cell>
          <cell r="DD77" t="str">
            <v>.</v>
          </cell>
          <cell r="DE77" t="str">
            <v>.</v>
          </cell>
          <cell r="DF77" t="str">
            <v>.</v>
          </cell>
          <cell r="DG77" t="str">
            <v>.</v>
          </cell>
          <cell r="DH77" t="str">
            <v>.</v>
          </cell>
          <cell r="DI77" t="str">
            <v>.</v>
          </cell>
          <cell r="DJ77" t="str">
            <v>.</v>
          </cell>
          <cell r="DK77" t="str">
            <v>.</v>
          </cell>
          <cell r="DL77" t="str">
            <v>.</v>
          </cell>
          <cell r="DM77" t="str">
            <v>.</v>
          </cell>
          <cell r="DN77" t="str">
            <v>.</v>
          </cell>
          <cell r="DO77" t="str">
            <v>.</v>
          </cell>
          <cell r="DP77" t="str">
            <v>.</v>
          </cell>
          <cell r="DQ77" t="str">
            <v>.</v>
          </cell>
          <cell r="DR77" t="str">
            <v>.</v>
          </cell>
          <cell r="DS77" t="str">
            <v>.</v>
          </cell>
          <cell r="DT77" t="str">
            <v>.</v>
          </cell>
          <cell r="DU77" t="str">
            <v>.</v>
          </cell>
          <cell r="DV77" t="str">
            <v>.</v>
          </cell>
          <cell r="DW77" t="str">
            <v>.</v>
          </cell>
          <cell r="DX77" t="str">
            <v>.</v>
          </cell>
          <cell r="DY77" t="str">
            <v>.</v>
          </cell>
          <cell r="DZ77" t="str">
            <v>.</v>
          </cell>
          <cell r="EA77" t="str">
            <v>.</v>
          </cell>
          <cell r="EB77" t="str">
            <v>.</v>
          </cell>
          <cell r="EC77" t="str">
            <v>.</v>
          </cell>
          <cell r="ED77" t="str">
            <v>.</v>
          </cell>
          <cell r="EE77" t="str">
            <v>.</v>
          </cell>
          <cell r="EF77" t="str">
            <v>.</v>
          </cell>
          <cell r="EG77" t="str">
            <v>.</v>
          </cell>
          <cell r="EH77" t="str">
            <v>.</v>
          </cell>
          <cell r="EI77" t="str">
            <v>.</v>
          </cell>
          <cell r="EJ77" t="str">
            <v>.</v>
          </cell>
          <cell r="EK77" t="str">
            <v>.</v>
          </cell>
          <cell r="EL77" t="str">
            <v>.</v>
          </cell>
          <cell r="EM77" t="str">
            <v>.</v>
          </cell>
          <cell r="EN77" t="str">
            <v>.</v>
          </cell>
          <cell r="EO77" t="str">
            <v>.</v>
          </cell>
          <cell r="EP77" t="str">
            <v>.</v>
          </cell>
          <cell r="EQ77" t="str">
            <v>.</v>
          </cell>
          <cell r="ER77" t="str">
            <v>.</v>
          </cell>
          <cell r="ES77" t="str">
            <v>.</v>
          </cell>
          <cell r="ET77" t="str">
            <v>.</v>
          </cell>
          <cell r="EU77" t="str">
            <v>.</v>
          </cell>
          <cell r="EV77" t="str">
            <v>.</v>
          </cell>
          <cell r="EW77" t="str">
            <v>.</v>
          </cell>
          <cell r="EX77" t="str">
            <v>.</v>
          </cell>
          <cell r="EY77" t="str">
            <v>.</v>
          </cell>
          <cell r="EZ77" t="str">
            <v>.</v>
          </cell>
          <cell r="FA77" t="str">
            <v>.</v>
          </cell>
          <cell r="FB77" t="str">
            <v>.</v>
          </cell>
          <cell r="FC77" t="str">
            <v>.</v>
          </cell>
          <cell r="FD77" t="str">
            <v>.</v>
          </cell>
          <cell r="FE77" t="str">
            <v>.</v>
          </cell>
          <cell r="FF77" t="str">
            <v>.</v>
          </cell>
          <cell r="FG77" t="str">
            <v>.</v>
          </cell>
          <cell r="FH77" t="str">
            <v>.</v>
          </cell>
          <cell r="FI77" t="str">
            <v>.</v>
          </cell>
          <cell r="FJ77" t="str">
            <v>.</v>
          </cell>
          <cell r="FK77" t="str">
            <v>.</v>
          </cell>
          <cell r="FL77" t="str">
            <v>.</v>
          </cell>
          <cell r="FM77" t="str">
            <v>.</v>
          </cell>
          <cell r="FN77" t="str">
            <v>.</v>
          </cell>
          <cell r="FO77" t="str">
            <v>.</v>
          </cell>
          <cell r="FP77" t="str">
            <v>.</v>
          </cell>
          <cell r="FQ77" t="str">
            <v>.</v>
          </cell>
          <cell r="FR77" t="str">
            <v>.</v>
          </cell>
          <cell r="FS77" t="str">
            <v>.</v>
          </cell>
          <cell r="FT77" t="str">
            <v>.</v>
          </cell>
          <cell r="FU77" t="str">
            <v>.</v>
          </cell>
          <cell r="FV77" t="str">
            <v>.</v>
          </cell>
          <cell r="FW77" t="str">
            <v>.</v>
          </cell>
          <cell r="FX77" t="str">
            <v>.</v>
          </cell>
          <cell r="FY77" t="str">
            <v>.</v>
          </cell>
          <cell r="FZ77" t="str">
            <v>.</v>
          </cell>
          <cell r="GA77" t="str">
            <v>.</v>
          </cell>
          <cell r="GB77" t="str">
            <v>.</v>
          </cell>
          <cell r="GC77" t="str">
            <v>.</v>
          </cell>
          <cell r="GD77" t="str">
            <v>.</v>
          </cell>
          <cell r="GE77" t="str">
            <v>.</v>
          </cell>
          <cell r="GF77" t="str">
            <v>.</v>
          </cell>
          <cell r="GG77" t="str">
            <v>.</v>
          </cell>
          <cell r="GH77" t="str">
            <v>.</v>
          </cell>
          <cell r="GI77" t="str">
            <v>.</v>
          </cell>
          <cell r="GJ77" t="str">
            <v>.</v>
          </cell>
          <cell r="GK77" t="str">
            <v>.</v>
          </cell>
          <cell r="GL77" t="str">
            <v>.</v>
          </cell>
          <cell r="GM77" t="str">
            <v>.</v>
          </cell>
          <cell r="GN77" t="str">
            <v>.</v>
          </cell>
          <cell r="GO77" t="str">
            <v>.</v>
          </cell>
          <cell r="GP77" t="str">
            <v>.</v>
          </cell>
          <cell r="GQ77" t="str">
            <v>.</v>
          </cell>
          <cell r="GR77" t="str">
            <v>.</v>
          </cell>
          <cell r="GS77" t="str">
            <v>.</v>
          </cell>
          <cell r="GT77" t="str">
            <v>.</v>
          </cell>
          <cell r="GU77" t="str">
            <v>.</v>
          </cell>
          <cell r="GV77" t="str">
            <v>.</v>
          </cell>
          <cell r="GW77" t="str">
            <v>.</v>
          </cell>
          <cell r="GX77" t="str">
            <v>.</v>
          </cell>
        </row>
        <row r="78">
          <cell r="A78" t="str">
            <v>Current Period</v>
          </cell>
          <cell r="B78" t="str">
            <v>06/2011</v>
          </cell>
        </row>
        <row r="79">
          <cell r="A79" t="str">
            <v>FACTSET DATA POINTS</v>
          </cell>
          <cell r="B79" t="str">
            <v>NCM-AU</v>
          </cell>
          <cell r="C79" t="str">
            <v>.</v>
          </cell>
          <cell r="D79" t="str">
            <v>.</v>
          </cell>
          <cell r="E79" t="str">
            <v>.</v>
          </cell>
          <cell r="F79" t="str">
            <v>.</v>
          </cell>
          <cell r="G79" t="str">
            <v>.</v>
          </cell>
          <cell r="H79" t="str">
            <v>.</v>
          </cell>
          <cell r="I79" t="str">
            <v>.</v>
          </cell>
          <cell r="J79" t="str">
            <v>.</v>
          </cell>
          <cell r="K79" t="str">
            <v>.</v>
          </cell>
          <cell r="L79" t="str">
            <v>.</v>
          </cell>
          <cell r="M79" t="str">
            <v>.</v>
          </cell>
          <cell r="N79" t="str">
            <v>+1</v>
          </cell>
          <cell r="O79" t="str">
            <v>+2</v>
          </cell>
          <cell r="P79" t="str">
            <v>+3</v>
          </cell>
          <cell r="Q79" t="str">
            <v>+4</v>
          </cell>
          <cell r="R79" t="str">
            <v>.</v>
          </cell>
          <cell r="S79" t="str">
            <v>.</v>
          </cell>
          <cell r="T79" t="str">
            <v>.</v>
          </cell>
          <cell r="U79" t="str">
            <v>.</v>
          </cell>
          <cell r="V79" t="str">
            <v>.</v>
          </cell>
          <cell r="W79" t="str">
            <v>.</v>
          </cell>
          <cell r="X79" t="str">
            <v>.</v>
          </cell>
          <cell r="Y79" t="str">
            <v>.</v>
          </cell>
          <cell r="Z79" t="str">
            <v>.</v>
          </cell>
          <cell r="AA79" t="str">
            <v>.</v>
          </cell>
          <cell r="AB79" t="str">
            <v>.</v>
          </cell>
          <cell r="AC79" t="str">
            <v>.</v>
          </cell>
          <cell r="AD79" t="str">
            <v>.</v>
          </cell>
          <cell r="AE79" t="str">
            <v>.</v>
          </cell>
          <cell r="AF79" t="str">
            <v>.</v>
          </cell>
          <cell r="AG79" t="str">
            <v>.</v>
          </cell>
          <cell r="AH79" t="str">
            <v>.</v>
          </cell>
          <cell r="AI79" t="str">
            <v>.</v>
          </cell>
          <cell r="AJ79" t="str">
            <v>.</v>
          </cell>
          <cell r="AK79" t="str">
            <v>.</v>
          </cell>
          <cell r="AL79" t="str">
            <v>.</v>
          </cell>
          <cell r="AM79" t="str">
            <v>.</v>
          </cell>
          <cell r="AN79" t="str">
            <v>.</v>
          </cell>
          <cell r="AO79" t="str">
            <v>.</v>
          </cell>
          <cell r="AP79" t="str">
            <v>.</v>
          </cell>
          <cell r="AQ79" t="str">
            <v>.</v>
          </cell>
          <cell r="AR79" t="str">
            <v>.</v>
          </cell>
          <cell r="AS79" t="str">
            <v>.</v>
          </cell>
          <cell r="AT79" t="str">
            <v>.</v>
          </cell>
          <cell r="AU79" t="str">
            <v>.</v>
          </cell>
          <cell r="AV79" t="str">
            <v>.</v>
          </cell>
          <cell r="AW79" t="str">
            <v>.</v>
          </cell>
          <cell r="AX79" t="str">
            <v>.</v>
          </cell>
          <cell r="AY79" t="str">
            <v>.</v>
          </cell>
          <cell r="AZ79" t="str">
            <v>.</v>
          </cell>
          <cell r="BA79" t="str">
            <v>.</v>
          </cell>
          <cell r="BB79" t="str">
            <v>.</v>
          </cell>
          <cell r="BC79" t="str">
            <v>.</v>
          </cell>
          <cell r="BD79" t="str">
            <v>.</v>
          </cell>
          <cell r="BE79" t="str">
            <v>.</v>
          </cell>
          <cell r="BF79" t="str">
            <v>.</v>
          </cell>
          <cell r="BG79" t="str">
            <v>.</v>
          </cell>
          <cell r="BH79" t="str">
            <v>.</v>
          </cell>
          <cell r="BI79" t="str">
            <v>.</v>
          </cell>
          <cell r="BJ79" t="str">
            <v>.</v>
          </cell>
          <cell r="BK79" t="str">
            <v>.</v>
          </cell>
          <cell r="BL79" t="str">
            <v>.</v>
          </cell>
          <cell r="BM79" t="str">
            <v>.</v>
          </cell>
          <cell r="BN79" t="str">
            <v>.</v>
          </cell>
          <cell r="BO79" t="str">
            <v>.</v>
          </cell>
          <cell r="BP79" t="str">
            <v>.</v>
          </cell>
          <cell r="BQ79" t="str">
            <v>.</v>
          </cell>
          <cell r="BR79" t="str">
            <v>.</v>
          </cell>
          <cell r="BS79" t="str">
            <v>.</v>
          </cell>
          <cell r="BT79" t="str">
            <v>.</v>
          </cell>
          <cell r="BU79" t="str">
            <v>.</v>
          </cell>
          <cell r="BV79" t="str">
            <v>.</v>
          </cell>
          <cell r="BW79" t="str">
            <v>.</v>
          </cell>
          <cell r="BX79" t="str">
            <v>.</v>
          </cell>
          <cell r="BY79" t="str">
            <v>.</v>
          </cell>
          <cell r="BZ79" t="str">
            <v>.</v>
          </cell>
          <cell r="CA79" t="str">
            <v>.</v>
          </cell>
          <cell r="CB79" t="str">
            <v>.</v>
          </cell>
          <cell r="CC79" t="str">
            <v>.</v>
          </cell>
          <cell r="CD79" t="str">
            <v>.</v>
          </cell>
          <cell r="CE79" t="str">
            <v>.</v>
          </cell>
          <cell r="CF79" t="str">
            <v>.</v>
          </cell>
          <cell r="CG79" t="str">
            <v>.</v>
          </cell>
          <cell r="CH79" t="str">
            <v>.</v>
          </cell>
          <cell r="CI79" t="str">
            <v>.</v>
          </cell>
          <cell r="CJ79" t="str">
            <v>.</v>
          </cell>
          <cell r="CK79" t="str">
            <v>.</v>
          </cell>
          <cell r="CL79" t="str">
            <v>.</v>
          </cell>
          <cell r="CM79" t="str">
            <v>.</v>
          </cell>
          <cell r="CN79" t="str">
            <v>.</v>
          </cell>
          <cell r="CO79" t="str">
            <v>.</v>
          </cell>
          <cell r="CP79" t="str">
            <v>.</v>
          </cell>
          <cell r="CQ79" t="str">
            <v>.</v>
          </cell>
          <cell r="CR79" t="str">
            <v>.</v>
          </cell>
          <cell r="CS79" t="str">
            <v>.</v>
          </cell>
          <cell r="CT79" t="str">
            <v>.</v>
          </cell>
          <cell r="CU79" t="str">
            <v>.</v>
          </cell>
          <cell r="CV79" t="str">
            <v>.</v>
          </cell>
          <cell r="CW79" t="str">
            <v>.</v>
          </cell>
          <cell r="CX79" t="str">
            <v>.</v>
          </cell>
          <cell r="CY79" t="str">
            <v>.</v>
          </cell>
          <cell r="CZ79" t="str">
            <v>.</v>
          </cell>
          <cell r="DA79" t="str">
            <v>.</v>
          </cell>
          <cell r="DB79" t="str">
            <v>.</v>
          </cell>
          <cell r="DC79" t="str">
            <v>.</v>
          </cell>
          <cell r="DD79" t="str">
            <v>.</v>
          </cell>
          <cell r="DE79" t="str">
            <v>.</v>
          </cell>
          <cell r="DF79" t="str">
            <v>.</v>
          </cell>
          <cell r="DG79" t="str">
            <v>.</v>
          </cell>
          <cell r="DH79" t="str">
            <v>.</v>
          </cell>
          <cell r="DI79" t="str">
            <v>.</v>
          </cell>
          <cell r="DJ79" t="str">
            <v>.</v>
          </cell>
          <cell r="DK79" t="str">
            <v>.</v>
          </cell>
          <cell r="DL79" t="str">
            <v>.</v>
          </cell>
          <cell r="DM79" t="str">
            <v>.</v>
          </cell>
          <cell r="DN79" t="str">
            <v>.</v>
          </cell>
          <cell r="DO79" t="str">
            <v>.</v>
          </cell>
          <cell r="DP79" t="str">
            <v>.</v>
          </cell>
          <cell r="DQ79" t="str">
            <v>.</v>
          </cell>
          <cell r="DR79" t="str">
            <v>.</v>
          </cell>
          <cell r="DS79" t="str">
            <v>.</v>
          </cell>
          <cell r="DT79" t="str">
            <v>.</v>
          </cell>
          <cell r="DU79" t="str">
            <v>.</v>
          </cell>
          <cell r="DV79" t="str">
            <v>.</v>
          </cell>
          <cell r="DW79" t="str">
            <v>.</v>
          </cell>
          <cell r="DX79" t="str">
            <v>.</v>
          </cell>
          <cell r="DY79" t="str">
            <v>.</v>
          </cell>
          <cell r="DZ79" t="str">
            <v>.</v>
          </cell>
          <cell r="EA79" t="str">
            <v>.</v>
          </cell>
          <cell r="EB79" t="str">
            <v>.</v>
          </cell>
          <cell r="EC79" t="str">
            <v>.</v>
          </cell>
          <cell r="ED79" t="str">
            <v>.</v>
          </cell>
          <cell r="EE79" t="str">
            <v>.</v>
          </cell>
          <cell r="EF79" t="str">
            <v>.</v>
          </cell>
          <cell r="EG79" t="str">
            <v>.</v>
          </cell>
          <cell r="EH79" t="str">
            <v>.</v>
          </cell>
          <cell r="EI79" t="str">
            <v>.</v>
          </cell>
          <cell r="EJ79" t="str">
            <v>.</v>
          </cell>
          <cell r="EK79" t="str">
            <v>.</v>
          </cell>
          <cell r="EL79" t="str">
            <v>.</v>
          </cell>
          <cell r="EM79" t="str">
            <v>.</v>
          </cell>
          <cell r="EN79" t="str">
            <v>.</v>
          </cell>
          <cell r="EO79" t="str">
            <v>.</v>
          </cell>
          <cell r="EP79" t="str">
            <v>.</v>
          </cell>
          <cell r="EQ79" t="str">
            <v>.</v>
          </cell>
          <cell r="ER79" t="str">
            <v>.</v>
          </cell>
          <cell r="ES79" t="str">
            <v>.</v>
          </cell>
          <cell r="ET79" t="str">
            <v>.</v>
          </cell>
          <cell r="EU79" t="str">
            <v>.</v>
          </cell>
          <cell r="EV79" t="str">
            <v>.</v>
          </cell>
          <cell r="EW79" t="str">
            <v>.</v>
          </cell>
          <cell r="EX79" t="str">
            <v>.</v>
          </cell>
          <cell r="EY79" t="str">
            <v>.</v>
          </cell>
          <cell r="EZ79" t="str">
            <v>.</v>
          </cell>
          <cell r="FA79" t="str">
            <v>.</v>
          </cell>
          <cell r="FB79" t="str">
            <v>.</v>
          </cell>
          <cell r="FC79" t="str">
            <v>.</v>
          </cell>
          <cell r="FD79" t="str">
            <v>.</v>
          </cell>
          <cell r="FE79" t="str">
            <v>.</v>
          </cell>
          <cell r="FF79" t="str">
            <v>.</v>
          </cell>
          <cell r="FG79" t="str">
            <v>.</v>
          </cell>
          <cell r="FH79" t="str">
            <v>.</v>
          </cell>
          <cell r="FI79" t="str">
            <v>.</v>
          </cell>
          <cell r="FJ79" t="str">
            <v>.</v>
          </cell>
          <cell r="FK79" t="str">
            <v>.</v>
          </cell>
          <cell r="FL79" t="str">
            <v>.</v>
          </cell>
          <cell r="FM79" t="str">
            <v>.</v>
          </cell>
          <cell r="FN79" t="str">
            <v>.</v>
          </cell>
          <cell r="FO79" t="str">
            <v>.</v>
          </cell>
          <cell r="FP79" t="str">
            <v>.</v>
          </cell>
          <cell r="FQ79" t="str">
            <v>.</v>
          </cell>
          <cell r="FR79" t="str">
            <v>.</v>
          </cell>
          <cell r="FS79" t="str">
            <v>.</v>
          </cell>
          <cell r="FT79" t="str">
            <v>.</v>
          </cell>
          <cell r="FU79" t="str">
            <v>.</v>
          </cell>
          <cell r="FV79" t="str">
            <v>.</v>
          </cell>
          <cell r="FW79" t="str">
            <v>.</v>
          </cell>
          <cell r="FX79" t="str">
            <v>.</v>
          </cell>
          <cell r="FY79" t="str">
            <v>.</v>
          </cell>
          <cell r="FZ79" t="str">
            <v>.</v>
          </cell>
          <cell r="GA79" t="str">
            <v>.</v>
          </cell>
          <cell r="GB79" t="str">
            <v>.</v>
          </cell>
          <cell r="GC79" t="str">
            <v>.</v>
          </cell>
          <cell r="GD79" t="str">
            <v>.</v>
          </cell>
          <cell r="GE79" t="str">
            <v>.</v>
          </cell>
          <cell r="GF79" t="str">
            <v>.</v>
          </cell>
          <cell r="GG79" t="str">
            <v>.</v>
          </cell>
          <cell r="GH79" t="str">
            <v>.</v>
          </cell>
          <cell r="GI79" t="str">
            <v>.</v>
          </cell>
          <cell r="GJ79" t="str">
            <v>.</v>
          </cell>
          <cell r="GK79" t="str">
            <v>.</v>
          </cell>
          <cell r="GL79" t="str">
            <v>.</v>
          </cell>
          <cell r="GM79" t="str">
            <v>.</v>
          </cell>
          <cell r="GN79" t="str">
            <v>.</v>
          </cell>
          <cell r="GO79" t="str">
            <v>.</v>
          </cell>
          <cell r="GP79" t="str">
            <v>.</v>
          </cell>
          <cell r="GQ79" t="str">
            <v>.</v>
          </cell>
          <cell r="GR79" t="str">
            <v>.</v>
          </cell>
          <cell r="GS79" t="str">
            <v>.</v>
          </cell>
          <cell r="GT79" t="str">
            <v>.</v>
          </cell>
          <cell r="GU79" t="str">
            <v>.</v>
          </cell>
          <cell r="GV79" t="str">
            <v>.</v>
          </cell>
          <cell r="GW79" t="str">
            <v>.</v>
          </cell>
          <cell r="GX79" t="str">
            <v>.</v>
          </cell>
        </row>
        <row r="80">
          <cell r="A80" t="str">
            <v>Current Period</v>
          </cell>
          <cell r="B80" t="str">
            <v>06/2011</v>
          </cell>
        </row>
        <row r="81">
          <cell r="A81" t="str">
            <v>Consensus Target</v>
          </cell>
          <cell r="B81" t="str">
            <v>A$mn</v>
          </cell>
          <cell r="N81">
            <v>47.946440000000003</v>
          </cell>
          <cell r="O81">
            <v>5188.7910000000002</v>
          </cell>
          <cell r="P81">
            <v>5921.8220000000001</v>
          </cell>
          <cell r="Q81">
            <v>6830.6440000000002</v>
          </cell>
        </row>
        <row r="82">
          <cell r="A82" t="str">
            <v>NCM Last price, A$/sh</v>
          </cell>
          <cell r="B82" t="str">
            <v>A$mn</v>
          </cell>
          <cell r="N82">
            <v>39.75</v>
          </cell>
          <cell r="O82">
            <v>2953.2950000000001</v>
          </cell>
          <cell r="P82">
            <v>3439.1680000000001</v>
          </cell>
          <cell r="Q82">
            <v>4377.2550000000001</v>
          </cell>
        </row>
        <row r="83">
          <cell r="A83" t="str">
            <v>Sales</v>
          </cell>
          <cell r="B83" t="str">
            <v>A$mn</v>
          </cell>
          <cell r="N83">
            <v>5199.134</v>
          </cell>
          <cell r="O83">
            <v>5764.4319999999998</v>
          </cell>
          <cell r="P83">
            <v>6372.634</v>
          </cell>
          <cell r="Q83">
            <v>6672.0740000000005</v>
          </cell>
        </row>
        <row r="84">
          <cell r="A84" t="str">
            <v>EBITDA</v>
          </cell>
          <cell r="B84" t="str">
            <v>A$mn</v>
          </cell>
          <cell r="N84">
            <v>2879.366</v>
          </cell>
          <cell r="O84">
            <v>3356.54</v>
          </cell>
          <cell r="P84">
            <v>3784.9639999999999</v>
          </cell>
          <cell r="Q84">
            <v>4183.9920000000002</v>
          </cell>
        </row>
        <row r="85">
          <cell r="A85" t="str">
            <v>EBIT</v>
          </cell>
          <cell r="B85" t="str">
            <v>A$mn</v>
          </cell>
          <cell r="N85">
            <v>2215.2669999999998</v>
          </cell>
          <cell r="O85">
            <v>2621.2490000000003</v>
          </cell>
          <cell r="P85">
            <v>3005.6130000000003</v>
          </cell>
          <cell r="Q85">
            <v>3440.01</v>
          </cell>
        </row>
        <row r="86">
          <cell r="A86" t="str">
            <v>Net Income (Adj.)</v>
          </cell>
          <cell r="B86" t="str">
            <v>A$mn</v>
          </cell>
          <cell r="N86">
            <v>1494.8630000000001</v>
          </cell>
          <cell r="O86">
            <v>1756.229</v>
          </cell>
          <cell r="P86">
            <v>1978.021</v>
          </cell>
          <cell r="Q86">
            <v>2699.9450000000002</v>
          </cell>
        </row>
        <row r="87">
          <cell r="A87" t="str">
            <v>EPS</v>
          </cell>
          <cell r="B87" t="str">
            <v>A$/sh</v>
          </cell>
          <cell r="N87">
            <v>1.9221500000000002</v>
          </cell>
          <cell r="O87">
            <v>2.262715</v>
          </cell>
          <cell r="P87">
            <v>2.7128369999999999</v>
          </cell>
          <cell r="Q87">
            <v>3.3820829999999997</v>
          </cell>
        </row>
        <row r="88">
          <cell r="A88" t="str">
            <v>CFPS</v>
          </cell>
          <cell r="B88" t="str">
            <v>A$/sh</v>
          </cell>
          <cell r="C88" t="str">
            <v>.</v>
          </cell>
          <cell r="D88" t="str">
            <v>.</v>
          </cell>
          <cell r="E88" t="str">
            <v>.</v>
          </cell>
          <cell r="F88" t="str">
            <v>.</v>
          </cell>
          <cell r="G88" t="str">
            <v>.</v>
          </cell>
          <cell r="H88" t="str">
            <v>.</v>
          </cell>
          <cell r="I88" t="str">
            <v>.</v>
          </cell>
          <cell r="J88" t="str">
            <v>.</v>
          </cell>
          <cell r="K88" t="str">
            <v>.</v>
          </cell>
          <cell r="L88" t="str">
            <v>.</v>
          </cell>
          <cell r="M88" t="str">
            <v>.</v>
          </cell>
          <cell r="N88">
            <v>2.8180229999999997</v>
          </cell>
          <cell r="O88">
            <v>3.1644259999999997</v>
          </cell>
          <cell r="P88">
            <v>3.5304180000000001</v>
          </cell>
          <cell r="Q88">
            <v>3.9939500000000003</v>
          </cell>
          <cell r="R88" t="str">
            <v>.</v>
          </cell>
          <cell r="S88" t="str">
            <v>.</v>
          </cell>
          <cell r="T88" t="str">
            <v>.</v>
          </cell>
          <cell r="U88" t="str">
            <v>.</v>
          </cell>
          <cell r="V88" t="str">
            <v>.</v>
          </cell>
          <cell r="W88" t="str">
            <v>.</v>
          </cell>
          <cell r="X88" t="str">
            <v>.</v>
          </cell>
          <cell r="Y88" t="str">
            <v>.</v>
          </cell>
          <cell r="Z88" t="str">
            <v>.</v>
          </cell>
          <cell r="AA88" t="str">
            <v>.</v>
          </cell>
          <cell r="AB88" t="str">
            <v>.</v>
          </cell>
          <cell r="AC88" t="str">
            <v>.</v>
          </cell>
          <cell r="AD88" t="str">
            <v>.</v>
          </cell>
          <cell r="AE88" t="str">
            <v>.</v>
          </cell>
          <cell r="AF88" t="str">
            <v>.</v>
          </cell>
          <cell r="AG88" t="str">
            <v>.</v>
          </cell>
          <cell r="AH88" t="str">
            <v>.</v>
          </cell>
          <cell r="AI88" t="str">
            <v>.</v>
          </cell>
          <cell r="AJ88" t="str">
            <v>.</v>
          </cell>
          <cell r="AK88" t="str">
            <v>.</v>
          </cell>
          <cell r="AL88" t="str">
            <v>.</v>
          </cell>
          <cell r="AM88" t="str">
            <v>.</v>
          </cell>
          <cell r="AN88" t="str">
            <v>.</v>
          </cell>
          <cell r="AO88" t="str">
            <v>.</v>
          </cell>
          <cell r="AP88" t="str">
            <v>.</v>
          </cell>
          <cell r="AQ88" t="str">
            <v>.</v>
          </cell>
          <cell r="AR88" t="str">
            <v>.</v>
          </cell>
          <cell r="AS88" t="str">
            <v>.</v>
          </cell>
          <cell r="AT88" t="str">
            <v>.</v>
          </cell>
          <cell r="AU88" t="str">
            <v>.</v>
          </cell>
          <cell r="AV88" t="str">
            <v>.</v>
          </cell>
          <cell r="AW88" t="str">
            <v>.</v>
          </cell>
          <cell r="AX88" t="str">
            <v>.</v>
          </cell>
          <cell r="AY88" t="str">
            <v>.</v>
          </cell>
          <cell r="AZ88" t="str">
            <v>.</v>
          </cell>
          <cell r="BA88" t="str">
            <v>.</v>
          </cell>
          <cell r="BB88" t="str">
            <v>.</v>
          </cell>
          <cell r="BC88" t="str">
            <v>.</v>
          </cell>
          <cell r="BD88" t="str">
            <v>.</v>
          </cell>
          <cell r="BE88" t="str">
            <v>.</v>
          </cell>
          <cell r="BF88" t="str">
            <v>.</v>
          </cell>
          <cell r="BG88" t="str">
            <v>.</v>
          </cell>
          <cell r="BH88" t="str">
            <v>.</v>
          </cell>
          <cell r="BI88" t="str">
            <v>.</v>
          </cell>
          <cell r="BJ88" t="str">
            <v>.</v>
          </cell>
          <cell r="BK88" t="str">
            <v>.</v>
          </cell>
          <cell r="BL88" t="str">
            <v>.</v>
          </cell>
          <cell r="BM88" t="str">
            <v>.</v>
          </cell>
          <cell r="BN88" t="str">
            <v>.</v>
          </cell>
          <cell r="BO88" t="str">
            <v>.</v>
          </cell>
          <cell r="BP88" t="str">
            <v>.</v>
          </cell>
          <cell r="BQ88" t="str">
            <v>.</v>
          </cell>
          <cell r="BR88" t="str">
            <v>.</v>
          </cell>
          <cell r="BS88" t="str">
            <v>.</v>
          </cell>
          <cell r="BT88" t="str">
            <v>.</v>
          </cell>
          <cell r="BU88" t="str">
            <v>.</v>
          </cell>
          <cell r="BV88" t="str">
            <v>.</v>
          </cell>
          <cell r="BW88" t="str">
            <v>.</v>
          </cell>
          <cell r="BX88" t="str">
            <v>.</v>
          </cell>
          <cell r="BY88" t="str">
            <v>.</v>
          </cell>
          <cell r="BZ88" t="str">
            <v>.</v>
          </cell>
          <cell r="CA88" t="str">
            <v>.</v>
          </cell>
          <cell r="CB88" t="str">
            <v>.</v>
          </cell>
          <cell r="CC88" t="str">
            <v>.</v>
          </cell>
          <cell r="CD88" t="str">
            <v>.</v>
          </cell>
          <cell r="CE88" t="str">
            <v>.</v>
          </cell>
          <cell r="CF88" t="str">
            <v>.</v>
          </cell>
          <cell r="CG88" t="str">
            <v>.</v>
          </cell>
          <cell r="CH88" t="str">
            <v>.</v>
          </cell>
          <cell r="CI88" t="str">
            <v>.</v>
          </cell>
          <cell r="CJ88" t="str">
            <v>.</v>
          </cell>
          <cell r="CK88" t="str">
            <v>.</v>
          </cell>
          <cell r="CL88" t="str">
            <v>.</v>
          </cell>
          <cell r="CM88" t="str">
            <v>.</v>
          </cell>
          <cell r="CN88" t="str">
            <v>.</v>
          </cell>
          <cell r="CO88" t="str">
            <v>.</v>
          </cell>
          <cell r="CP88" t="str">
            <v>.</v>
          </cell>
          <cell r="CQ88" t="str">
            <v>.</v>
          </cell>
          <cell r="CR88" t="str">
            <v>.</v>
          </cell>
          <cell r="CS88" t="str">
            <v>.</v>
          </cell>
          <cell r="CT88" t="str">
            <v>.</v>
          </cell>
          <cell r="CU88" t="str">
            <v>.</v>
          </cell>
          <cell r="CV88" t="str">
            <v>.</v>
          </cell>
          <cell r="CW88" t="str">
            <v>.</v>
          </cell>
          <cell r="CX88" t="str">
            <v>.</v>
          </cell>
          <cell r="CY88" t="str">
            <v>.</v>
          </cell>
          <cell r="CZ88" t="str">
            <v>.</v>
          </cell>
          <cell r="DA88" t="str">
            <v>.</v>
          </cell>
          <cell r="DB88" t="str">
            <v>.</v>
          </cell>
          <cell r="DC88" t="str">
            <v>.</v>
          </cell>
          <cell r="DD88" t="str">
            <v>.</v>
          </cell>
          <cell r="DE88" t="str">
            <v>.</v>
          </cell>
          <cell r="DF88" t="str">
            <v>.</v>
          </cell>
          <cell r="DG88" t="str">
            <v>.</v>
          </cell>
          <cell r="DH88" t="str">
            <v>.</v>
          </cell>
          <cell r="DI88" t="str">
            <v>.</v>
          </cell>
          <cell r="DJ88" t="str">
            <v>.</v>
          </cell>
          <cell r="DK88" t="str">
            <v>.</v>
          </cell>
          <cell r="DL88" t="str">
            <v>.</v>
          </cell>
          <cell r="DM88" t="str">
            <v>.</v>
          </cell>
          <cell r="DN88" t="str">
            <v>.</v>
          </cell>
          <cell r="DO88" t="str">
            <v>.</v>
          </cell>
          <cell r="DP88" t="str">
            <v>.</v>
          </cell>
          <cell r="DQ88" t="str">
            <v>.</v>
          </cell>
          <cell r="DR88" t="str">
            <v>.</v>
          </cell>
          <cell r="DS88" t="str">
            <v>.</v>
          </cell>
          <cell r="DT88" t="str">
            <v>.</v>
          </cell>
          <cell r="DU88" t="str">
            <v>.</v>
          </cell>
          <cell r="DV88" t="str">
            <v>.</v>
          </cell>
          <cell r="DW88" t="str">
            <v>.</v>
          </cell>
          <cell r="DX88" t="str">
            <v>.</v>
          </cell>
          <cell r="DY88" t="str">
            <v>.</v>
          </cell>
          <cell r="DZ88" t="str">
            <v>.</v>
          </cell>
          <cell r="EA88" t="str">
            <v>.</v>
          </cell>
          <cell r="EB88" t="str">
            <v>.</v>
          </cell>
          <cell r="EC88" t="str">
            <v>.</v>
          </cell>
          <cell r="ED88" t="str">
            <v>.</v>
          </cell>
          <cell r="EE88" t="str">
            <v>.</v>
          </cell>
          <cell r="EF88" t="str">
            <v>.</v>
          </cell>
          <cell r="EG88" t="str">
            <v>.</v>
          </cell>
          <cell r="EH88" t="str">
            <v>.</v>
          </cell>
          <cell r="EI88" t="str">
            <v>.</v>
          </cell>
          <cell r="EJ88" t="str">
            <v>.</v>
          </cell>
          <cell r="EK88" t="str">
            <v>.</v>
          </cell>
          <cell r="EL88" t="str">
            <v>.</v>
          </cell>
          <cell r="EM88" t="str">
            <v>.</v>
          </cell>
          <cell r="EN88" t="str">
            <v>.</v>
          </cell>
          <cell r="EO88" t="str">
            <v>.</v>
          </cell>
          <cell r="EP88" t="str">
            <v>.</v>
          </cell>
          <cell r="EQ88" t="str">
            <v>.</v>
          </cell>
          <cell r="ER88" t="str">
            <v>.</v>
          </cell>
          <cell r="ES88" t="str">
            <v>.</v>
          </cell>
          <cell r="ET88" t="str">
            <v>.</v>
          </cell>
          <cell r="EU88" t="str">
            <v>.</v>
          </cell>
          <cell r="EV88" t="str">
            <v>.</v>
          </cell>
          <cell r="EW88" t="str">
            <v>.</v>
          </cell>
          <cell r="EX88" t="str">
            <v>.</v>
          </cell>
          <cell r="EY88" t="str">
            <v>.</v>
          </cell>
          <cell r="EZ88" t="str">
            <v>.</v>
          </cell>
          <cell r="FA88" t="str">
            <v>.</v>
          </cell>
          <cell r="FB88" t="str">
            <v>.</v>
          </cell>
          <cell r="FC88" t="str">
            <v>.</v>
          </cell>
          <cell r="FD88" t="str">
            <v>.</v>
          </cell>
          <cell r="FE88" t="str">
            <v>.</v>
          </cell>
          <cell r="FF88" t="str">
            <v>.</v>
          </cell>
          <cell r="FG88" t="str">
            <v>.</v>
          </cell>
          <cell r="FH88" t="str">
            <v>.</v>
          </cell>
          <cell r="FI88" t="str">
            <v>.</v>
          </cell>
          <cell r="FJ88" t="str">
            <v>.</v>
          </cell>
          <cell r="FK88" t="str">
            <v>.</v>
          </cell>
          <cell r="FL88" t="str">
            <v>.</v>
          </cell>
          <cell r="FM88" t="str">
            <v>.</v>
          </cell>
          <cell r="FN88" t="str">
            <v>.</v>
          </cell>
          <cell r="FO88" t="str">
            <v>.</v>
          </cell>
          <cell r="FP88" t="str">
            <v>.</v>
          </cell>
          <cell r="FQ88" t="str">
            <v>.</v>
          </cell>
          <cell r="FR88" t="str">
            <v>.</v>
          </cell>
          <cell r="FS88" t="str">
            <v>.</v>
          </cell>
          <cell r="FT88" t="str">
            <v>.</v>
          </cell>
          <cell r="FU88" t="str">
            <v>.</v>
          </cell>
          <cell r="FV88" t="str">
            <v>.</v>
          </cell>
          <cell r="FW88" t="str">
            <v>.</v>
          </cell>
          <cell r="FX88" t="str">
            <v>.</v>
          </cell>
          <cell r="FY88" t="str">
            <v>.</v>
          </cell>
          <cell r="FZ88" t="str">
            <v>.</v>
          </cell>
          <cell r="GA88" t="str">
            <v>.</v>
          </cell>
          <cell r="GB88" t="str">
            <v>.</v>
          </cell>
          <cell r="GC88" t="str">
            <v>.</v>
          </cell>
          <cell r="GD88" t="str">
            <v>.</v>
          </cell>
          <cell r="GE88" t="str">
            <v>.</v>
          </cell>
          <cell r="GF88" t="str">
            <v>.</v>
          </cell>
          <cell r="GG88" t="str">
            <v>.</v>
          </cell>
          <cell r="GH88" t="str">
            <v>.</v>
          </cell>
          <cell r="GI88" t="str">
            <v>.</v>
          </cell>
          <cell r="GJ88" t="str">
            <v>.</v>
          </cell>
          <cell r="GK88" t="str">
            <v>.</v>
          </cell>
          <cell r="GL88" t="str">
            <v>.</v>
          </cell>
          <cell r="GM88" t="str">
            <v>.</v>
          </cell>
          <cell r="GN88" t="str">
            <v>.</v>
          </cell>
          <cell r="GO88" t="str">
            <v>.</v>
          </cell>
          <cell r="GP88" t="str">
            <v>.</v>
          </cell>
          <cell r="GQ88" t="str">
            <v>.</v>
          </cell>
          <cell r="GR88" t="str">
            <v>.</v>
          </cell>
          <cell r="GS88" t="str">
            <v>.</v>
          </cell>
          <cell r="GT88" t="str">
            <v>.</v>
          </cell>
          <cell r="GU88" t="str">
            <v>.</v>
          </cell>
          <cell r="GV88" t="str">
            <v>.</v>
          </cell>
          <cell r="GW88" t="str">
            <v>.</v>
          </cell>
          <cell r="GX88" t="str">
            <v>.</v>
          </cell>
        </row>
        <row r="89">
          <cell r="A89" t="str">
            <v>Catapla</v>
          </cell>
          <cell r="B89" t="str">
            <v>CAH-AU</v>
          </cell>
        </row>
        <row r="90">
          <cell r="A90" t="str">
            <v>CONQUEST HOLDING</v>
          </cell>
          <cell r="B90">
            <v>321.42988922500001</v>
          </cell>
          <cell r="C90" t="str">
            <v>.</v>
          </cell>
          <cell r="D90" t="str">
            <v>.</v>
          </cell>
          <cell r="E90" t="str">
            <v>.</v>
          </cell>
          <cell r="F90" t="str">
            <v>.</v>
          </cell>
          <cell r="G90" t="str">
            <v>.</v>
          </cell>
          <cell r="H90" t="str">
            <v>.</v>
          </cell>
          <cell r="I90" t="str">
            <v>.</v>
          </cell>
          <cell r="J90" t="str">
            <v>.</v>
          </cell>
          <cell r="K90" t="str">
            <v>.</v>
          </cell>
          <cell r="L90" t="str">
            <v>.</v>
          </cell>
          <cell r="M90" t="str">
            <v>.</v>
          </cell>
          <cell r="N90" t="str">
            <v>+1</v>
          </cell>
          <cell r="O90" t="str">
            <v>+2</v>
          </cell>
          <cell r="P90" t="str">
            <v>+3</v>
          </cell>
          <cell r="Q90" t="str">
            <v>+4</v>
          </cell>
          <cell r="R90" t="str">
            <v>.</v>
          </cell>
          <cell r="S90" t="str">
            <v>.</v>
          </cell>
          <cell r="T90" t="str">
            <v>.</v>
          </cell>
          <cell r="U90" t="str">
            <v>.</v>
          </cell>
          <cell r="V90" t="str">
            <v>.</v>
          </cell>
          <cell r="W90" t="str">
            <v>.</v>
          </cell>
          <cell r="X90" t="str">
            <v>.</v>
          </cell>
          <cell r="Y90" t="str">
            <v>.</v>
          </cell>
          <cell r="Z90" t="str">
            <v>.</v>
          </cell>
          <cell r="AA90" t="str">
            <v>.</v>
          </cell>
          <cell r="AB90" t="str">
            <v>.</v>
          </cell>
          <cell r="AC90" t="str">
            <v>.</v>
          </cell>
          <cell r="AD90" t="str">
            <v>.</v>
          </cell>
          <cell r="AE90" t="str">
            <v>.</v>
          </cell>
          <cell r="AF90" t="str">
            <v>.</v>
          </cell>
          <cell r="AG90" t="str">
            <v>.</v>
          </cell>
          <cell r="AH90" t="str">
            <v>.</v>
          </cell>
          <cell r="AI90" t="str">
            <v>.</v>
          </cell>
          <cell r="AJ90" t="str">
            <v>.</v>
          </cell>
          <cell r="AK90" t="str">
            <v>.</v>
          </cell>
          <cell r="AL90" t="str">
            <v>.</v>
          </cell>
          <cell r="AM90" t="str">
            <v>.</v>
          </cell>
          <cell r="AN90" t="str">
            <v>.</v>
          </cell>
          <cell r="AO90" t="str">
            <v>.</v>
          </cell>
          <cell r="AP90" t="str">
            <v>.</v>
          </cell>
          <cell r="AQ90" t="str">
            <v>.</v>
          </cell>
          <cell r="AR90" t="str">
            <v>.</v>
          </cell>
          <cell r="AS90" t="str">
            <v>.</v>
          </cell>
          <cell r="AT90" t="str">
            <v>.</v>
          </cell>
          <cell r="AU90" t="str">
            <v>.</v>
          </cell>
          <cell r="AV90" t="str">
            <v>.</v>
          </cell>
          <cell r="AW90" t="str">
            <v>.</v>
          </cell>
          <cell r="AX90" t="str">
            <v>.</v>
          </cell>
          <cell r="AY90" t="str">
            <v>.</v>
          </cell>
          <cell r="AZ90" t="str">
            <v>.</v>
          </cell>
          <cell r="BA90" t="str">
            <v>.</v>
          </cell>
          <cell r="BB90" t="str">
            <v>.</v>
          </cell>
          <cell r="BC90" t="str">
            <v>.</v>
          </cell>
          <cell r="BD90" t="str">
            <v>.</v>
          </cell>
          <cell r="BE90" t="str">
            <v>.</v>
          </cell>
          <cell r="BF90" t="str">
            <v>.</v>
          </cell>
          <cell r="BG90" t="str">
            <v>.</v>
          </cell>
          <cell r="BH90" t="str">
            <v>.</v>
          </cell>
          <cell r="BI90" t="str">
            <v>.</v>
          </cell>
          <cell r="BJ90" t="str">
            <v>.</v>
          </cell>
          <cell r="BK90" t="str">
            <v>.</v>
          </cell>
          <cell r="BL90" t="str">
            <v>.</v>
          </cell>
          <cell r="BM90" t="str">
            <v>.</v>
          </cell>
          <cell r="BN90" t="str">
            <v>.</v>
          </cell>
          <cell r="BO90" t="str">
            <v>.</v>
          </cell>
          <cell r="BP90" t="str">
            <v>.</v>
          </cell>
          <cell r="BQ90" t="str">
            <v>.</v>
          </cell>
          <cell r="BR90" t="str">
            <v>.</v>
          </cell>
          <cell r="BS90" t="str">
            <v>.</v>
          </cell>
          <cell r="BT90" t="str">
            <v>.</v>
          </cell>
          <cell r="BU90" t="str">
            <v>.</v>
          </cell>
          <cell r="BV90" t="str">
            <v>.</v>
          </cell>
          <cell r="BW90" t="str">
            <v>.</v>
          </cell>
          <cell r="BX90" t="str">
            <v>.</v>
          </cell>
          <cell r="BY90" t="str">
            <v>.</v>
          </cell>
          <cell r="BZ90" t="str">
            <v>.</v>
          </cell>
          <cell r="CA90" t="str">
            <v>.</v>
          </cell>
          <cell r="CB90" t="str">
            <v>.</v>
          </cell>
          <cell r="CC90" t="str">
            <v>.</v>
          </cell>
          <cell r="CD90" t="str">
            <v>.</v>
          </cell>
          <cell r="CE90" t="str">
            <v>.</v>
          </cell>
          <cell r="CF90" t="str">
            <v>.</v>
          </cell>
          <cell r="CG90" t="str">
            <v>.</v>
          </cell>
          <cell r="CH90" t="str">
            <v>.</v>
          </cell>
          <cell r="CI90" t="str">
            <v>.</v>
          </cell>
          <cell r="CJ90" t="str">
            <v>.</v>
          </cell>
          <cell r="CK90" t="str">
            <v>.</v>
          </cell>
          <cell r="CL90" t="str">
            <v>.</v>
          </cell>
          <cell r="CM90" t="str">
            <v>.</v>
          </cell>
          <cell r="CN90" t="str">
            <v>.</v>
          </cell>
          <cell r="CO90" t="str">
            <v>.</v>
          </cell>
          <cell r="CP90" t="str">
            <v>.</v>
          </cell>
          <cell r="CQ90" t="str">
            <v>.</v>
          </cell>
          <cell r="CR90" t="str">
            <v>.</v>
          </cell>
          <cell r="CS90" t="str">
            <v>.</v>
          </cell>
          <cell r="CT90" t="str">
            <v>.</v>
          </cell>
          <cell r="CU90" t="str">
            <v>.</v>
          </cell>
          <cell r="CV90" t="str">
            <v>.</v>
          </cell>
          <cell r="CW90" t="str">
            <v>.</v>
          </cell>
          <cell r="CX90" t="str">
            <v>.</v>
          </cell>
          <cell r="CY90" t="str">
            <v>.</v>
          </cell>
          <cell r="CZ90" t="str">
            <v>.</v>
          </cell>
          <cell r="DA90" t="str">
            <v>.</v>
          </cell>
          <cell r="DB90" t="str">
            <v>.</v>
          </cell>
          <cell r="DC90" t="str">
            <v>.</v>
          </cell>
          <cell r="DD90" t="str">
            <v>.</v>
          </cell>
          <cell r="DE90" t="str">
            <v>.</v>
          </cell>
          <cell r="DF90" t="str">
            <v>.</v>
          </cell>
          <cell r="DG90" t="str">
            <v>.</v>
          </cell>
          <cell r="DH90" t="str">
            <v>.</v>
          </cell>
          <cell r="DI90" t="str">
            <v>.</v>
          </cell>
          <cell r="DJ90" t="str">
            <v>.</v>
          </cell>
          <cell r="DK90" t="str">
            <v>.</v>
          </cell>
          <cell r="DL90" t="str">
            <v>.</v>
          </cell>
          <cell r="DM90" t="str">
            <v>.</v>
          </cell>
          <cell r="DN90" t="str">
            <v>.</v>
          </cell>
          <cell r="DO90" t="str">
            <v>.</v>
          </cell>
          <cell r="DP90" t="str">
            <v>.</v>
          </cell>
          <cell r="DQ90" t="str">
            <v>.</v>
          </cell>
          <cell r="DR90" t="str">
            <v>.</v>
          </cell>
          <cell r="DS90" t="str">
            <v>.</v>
          </cell>
          <cell r="DT90" t="str">
            <v>.</v>
          </cell>
          <cell r="DU90" t="str">
            <v>.</v>
          </cell>
          <cell r="DV90" t="str">
            <v>.</v>
          </cell>
          <cell r="DW90" t="str">
            <v>.</v>
          </cell>
          <cell r="DX90" t="str">
            <v>.</v>
          </cell>
          <cell r="DY90" t="str">
            <v>.</v>
          </cell>
          <cell r="DZ90" t="str">
            <v>.</v>
          </cell>
          <cell r="EA90" t="str">
            <v>.</v>
          </cell>
          <cell r="EB90" t="str">
            <v>.</v>
          </cell>
          <cell r="EC90" t="str">
            <v>.</v>
          </cell>
          <cell r="ED90" t="str">
            <v>.</v>
          </cell>
          <cell r="EE90" t="str">
            <v>.</v>
          </cell>
          <cell r="EF90" t="str">
            <v>.</v>
          </cell>
          <cell r="EG90" t="str">
            <v>.</v>
          </cell>
          <cell r="EH90" t="str">
            <v>.</v>
          </cell>
          <cell r="EI90" t="str">
            <v>.</v>
          </cell>
          <cell r="EJ90" t="str">
            <v>.</v>
          </cell>
          <cell r="EK90" t="str">
            <v>.</v>
          </cell>
          <cell r="EL90" t="str">
            <v>.</v>
          </cell>
          <cell r="EM90" t="str">
            <v>.</v>
          </cell>
          <cell r="EN90" t="str">
            <v>.</v>
          </cell>
          <cell r="EO90" t="str">
            <v>.</v>
          </cell>
          <cell r="EP90" t="str">
            <v>.</v>
          </cell>
          <cell r="EQ90" t="str">
            <v>.</v>
          </cell>
          <cell r="ER90" t="str">
            <v>.</v>
          </cell>
          <cell r="ES90" t="str">
            <v>.</v>
          </cell>
          <cell r="ET90" t="str">
            <v>.</v>
          </cell>
          <cell r="EU90" t="str">
            <v>.</v>
          </cell>
          <cell r="EV90" t="str">
            <v>.</v>
          </cell>
          <cell r="EW90" t="str">
            <v>.</v>
          </cell>
          <cell r="EX90" t="str">
            <v>.</v>
          </cell>
          <cell r="EY90" t="str">
            <v>.</v>
          </cell>
          <cell r="EZ90" t="str">
            <v>.</v>
          </cell>
          <cell r="FA90" t="str">
            <v>.</v>
          </cell>
          <cell r="FB90" t="str">
            <v>.</v>
          </cell>
          <cell r="FC90" t="str">
            <v>.</v>
          </cell>
          <cell r="FD90" t="str">
            <v>.</v>
          </cell>
          <cell r="FE90" t="str">
            <v>.</v>
          </cell>
          <cell r="FF90" t="str">
            <v>.</v>
          </cell>
          <cell r="FG90" t="str">
            <v>.</v>
          </cell>
          <cell r="FH90" t="str">
            <v>.</v>
          </cell>
          <cell r="FI90" t="str">
            <v>.</v>
          </cell>
          <cell r="FJ90" t="str">
            <v>.</v>
          </cell>
          <cell r="FK90" t="str">
            <v>.</v>
          </cell>
          <cell r="FL90" t="str">
            <v>.</v>
          </cell>
          <cell r="FM90" t="str">
            <v>.</v>
          </cell>
          <cell r="FN90" t="str">
            <v>.</v>
          </cell>
          <cell r="FO90" t="str">
            <v>.</v>
          </cell>
          <cell r="FP90" t="str">
            <v>.</v>
          </cell>
          <cell r="FQ90" t="str">
            <v>.</v>
          </cell>
          <cell r="FR90" t="str">
            <v>.</v>
          </cell>
          <cell r="FS90" t="str">
            <v>.</v>
          </cell>
          <cell r="FT90" t="str">
            <v>.</v>
          </cell>
          <cell r="FU90" t="str">
            <v>.</v>
          </cell>
          <cell r="FV90" t="str">
            <v>.</v>
          </cell>
          <cell r="FW90" t="str">
            <v>.</v>
          </cell>
          <cell r="FX90" t="str">
            <v>.</v>
          </cell>
          <cell r="FY90" t="str">
            <v>.</v>
          </cell>
          <cell r="FZ90" t="str">
            <v>.</v>
          </cell>
          <cell r="GA90" t="str">
            <v>.</v>
          </cell>
          <cell r="GB90" t="str">
            <v>.</v>
          </cell>
          <cell r="GC90" t="str">
            <v>.</v>
          </cell>
          <cell r="GD90" t="str">
            <v>.</v>
          </cell>
          <cell r="GE90" t="str">
            <v>.</v>
          </cell>
          <cell r="GF90" t="str">
            <v>.</v>
          </cell>
          <cell r="GG90" t="str">
            <v>.</v>
          </cell>
          <cell r="GH90" t="str">
            <v>.</v>
          </cell>
          <cell r="GI90" t="str">
            <v>.</v>
          </cell>
          <cell r="GJ90" t="str">
            <v>.</v>
          </cell>
          <cell r="GK90" t="str">
            <v>.</v>
          </cell>
          <cell r="GL90" t="str">
            <v>.</v>
          </cell>
          <cell r="GM90" t="str">
            <v>.</v>
          </cell>
          <cell r="GN90" t="str">
            <v>.</v>
          </cell>
          <cell r="GO90" t="str">
            <v>.</v>
          </cell>
          <cell r="GP90" t="str">
            <v>.</v>
          </cell>
          <cell r="GQ90" t="str">
            <v>.</v>
          </cell>
          <cell r="GR90" t="str">
            <v>.</v>
          </cell>
          <cell r="GS90" t="str">
            <v>.</v>
          </cell>
          <cell r="GT90" t="str">
            <v>.</v>
          </cell>
          <cell r="GU90" t="str">
            <v>.</v>
          </cell>
          <cell r="GV90" t="str">
            <v>.</v>
          </cell>
          <cell r="GW90" t="str">
            <v>.</v>
          </cell>
          <cell r="GX90" t="str">
            <v>.</v>
          </cell>
        </row>
        <row r="91">
          <cell r="A91" t="str">
            <v>Catapla</v>
          </cell>
          <cell r="B91" t="str">
            <v>CAH-AU</v>
          </cell>
        </row>
        <row r="92">
          <cell r="A92" t="str">
            <v>Mkt Cap</v>
          </cell>
          <cell r="B92">
            <v>267</v>
          </cell>
        </row>
        <row r="93">
          <cell r="A93" t="str">
            <v>Net Debt</v>
          </cell>
          <cell r="B93">
            <v>30</v>
          </cell>
        </row>
        <row r="94">
          <cell r="A94" t="str">
            <v>EV</v>
          </cell>
          <cell r="B94">
            <v>297</v>
          </cell>
        </row>
        <row r="95">
          <cell r="A95" t="str">
            <v>Mkt Cap</v>
          </cell>
          <cell r="B95">
            <v>262.5</v>
          </cell>
        </row>
        <row r="96">
          <cell r="A96" t="str">
            <v>Conquest</v>
          </cell>
          <cell r="B96" t="str">
            <v>CQT-AU</v>
          </cell>
        </row>
        <row r="97">
          <cell r="A97" t="str">
            <v>Mkt Cap</v>
          </cell>
          <cell r="B97">
            <v>262.5</v>
          </cell>
        </row>
        <row r="98">
          <cell r="A98" t="str">
            <v>Net Debt</v>
          </cell>
          <cell r="B98">
            <v>-26</v>
          </cell>
        </row>
        <row r="99">
          <cell r="A99" t="str">
            <v>EV</v>
          </cell>
          <cell r="B99">
            <v>236.5</v>
          </cell>
        </row>
        <row r="101">
          <cell r="A101" t="str">
            <v>Mt Rawdon Val'n, A$mn</v>
          </cell>
          <cell r="B101">
            <v>240.13329179909874</v>
          </cell>
        </row>
        <row r="103">
          <cell r="A103" t="str">
            <v>Cracow Val'n, A$mn</v>
          </cell>
          <cell r="B103">
            <v>306.71726463668125</v>
          </cell>
        </row>
        <row r="105">
          <cell r="A105" t="str">
            <v>TOTAL Value, A$mn</v>
          </cell>
          <cell r="B105">
            <v>1076.3505564357799</v>
          </cell>
        </row>
        <row r="107">
          <cell r="A107" t="str">
            <v>NCM Share</v>
          </cell>
          <cell r="B107">
            <v>0.33</v>
          </cell>
        </row>
        <row r="109">
          <cell r="A109" t="str">
            <v>NCM Share of value</v>
          </cell>
          <cell r="B109">
            <v>355.19568362380738</v>
          </cell>
        </row>
      </sheetData>
      <sheetData sheetId="5"/>
      <sheetData sheetId="6" refreshError="1">
        <row r="3">
          <cell r="F3">
            <v>31.103999999999999</v>
          </cell>
        </row>
        <row r="4">
          <cell r="F4">
            <v>2204.6</v>
          </cell>
        </row>
        <row r="5">
          <cell r="F5">
            <v>3.2150205761316872E-2</v>
          </cell>
        </row>
        <row r="6">
          <cell r="F6">
            <v>4.5359702440351992E-4</v>
          </cell>
        </row>
        <row r="15">
          <cell r="C15">
            <v>7.8575000000000006E-2</v>
          </cell>
        </row>
      </sheetData>
      <sheetData sheetId="7"/>
      <sheetData sheetId="8"/>
      <sheetData sheetId="9"/>
      <sheetData sheetId="10"/>
      <sheetData sheetId="11"/>
      <sheetData sheetId="12" refreshError="1">
        <row r="1">
          <cell r="A1" t="str">
            <v>LIHIR ISLAND</v>
          </cell>
          <cell r="CH1" t="str">
            <v>LGL Ownership (US$)</v>
          </cell>
          <cell r="CI1" t="str">
            <v>NCM Ownership (A$)</v>
          </cell>
        </row>
        <row r="2">
          <cell r="A2" t="str">
            <v>Year Ending Dec</v>
          </cell>
          <cell r="C2" t="str">
            <v>2000A</v>
          </cell>
          <cell r="D2" t="str">
            <v>2001A</v>
          </cell>
          <cell r="E2" t="str">
            <v>2002A</v>
          </cell>
          <cell r="F2" t="str">
            <v>2003A</v>
          </cell>
          <cell r="G2" t="str">
            <v>2004A</v>
          </cell>
          <cell r="H2" t="str">
            <v>2005A</v>
          </cell>
          <cell r="I2" t="str">
            <v>2006A</v>
          </cell>
          <cell r="J2" t="str">
            <v>2007A</v>
          </cell>
          <cell r="K2">
            <v>2008</v>
          </cell>
          <cell r="L2" t="str">
            <v>2009E</v>
          </cell>
          <cell r="M2" t="str">
            <v>2010E</v>
          </cell>
          <cell r="N2" t="str">
            <v>2011E</v>
          </cell>
          <cell r="O2" t="str">
            <v>2012E</v>
          </cell>
          <cell r="P2" t="str">
            <v>2013E</v>
          </cell>
          <cell r="Q2" t="str">
            <v>2014E</v>
          </cell>
          <cell r="R2" t="str">
            <v>2015E</v>
          </cell>
          <cell r="S2" t="str">
            <v>2016E</v>
          </cell>
          <cell r="T2" t="str">
            <v>2017E</v>
          </cell>
          <cell r="U2" t="str">
            <v>2018E</v>
          </cell>
          <cell r="V2" t="str">
            <v>2019E</v>
          </cell>
          <cell r="W2" t="str">
            <v>2020E</v>
          </cell>
          <cell r="X2" t="str">
            <v>2021E</v>
          </cell>
          <cell r="Y2" t="str">
            <v>2022E</v>
          </cell>
          <cell r="Z2" t="str">
            <v>2023E</v>
          </cell>
          <cell r="AA2" t="str">
            <v>2024E</v>
          </cell>
          <cell r="AB2" t="str">
            <v>2025E</v>
          </cell>
          <cell r="AC2" t="str">
            <v>2026E</v>
          </cell>
          <cell r="AD2" t="str">
            <v>2027E</v>
          </cell>
          <cell r="AE2" t="str">
            <v>2028E</v>
          </cell>
          <cell r="AF2" t="str">
            <v>2029E</v>
          </cell>
          <cell r="AG2" t="str">
            <v>2030E</v>
          </cell>
          <cell r="AH2" t="str">
            <v>2031E</v>
          </cell>
          <cell r="AI2" t="str">
            <v>2032E</v>
          </cell>
          <cell r="AJ2" t="str">
            <v>2033E</v>
          </cell>
          <cell r="AK2" t="str">
            <v>2034E</v>
          </cell>
          <cell r="AL2" t="str">
            <v>2035E</v>
          </cell>
          <cell r="AM2" t="str">
            <v>2036E</v>
          </cell>
          <cell r="AN2" t="str">
            <v>2037E</v>
          </cell>
          <cell r="AO2" t="str">
            <v>2038E</v>
          </cell>
          <cell r="AP2" t="str">
            <v>2039E</v>
          </cell>
          <cell r="AQ2" t="str">
            <v>2040E</v>
          </cell>
          <cell r="AR2" t="str">
            <v>2041E</v>
          </cell>
          <cell r="AS2" t="str">
            <v>2042E</v>
          </cell>
          <cell r="AT2" t="str">
            <v>2043E</v>
          </cell>
          <cell r="AU2" t="str">
            <v>2044E</v>
          </cell>
          <cell r="AV2" t="str">
            <v>2045E</v>
          </cell>
          <cell r="AW2" t="str">
            <v>2046E</v>
          </cell>
          <cell r="AX2" t="str">
            <v>2047E</v>
          </cell>
          <cell r="AY2" t="str">
            <v>2048E</v>
          </cell>
          <cell r="AZ2" t="str">
            <v>2049E</v>
          </cell>
          <cell r="BA2" t="str">
            <v>2050E</v>
          </cell>
          <cell r="BB2" t="str">
            <v>SUM/AVG</v>
          </cell>
          <cell r="BE2" t="str">
            <v>FY-00</v>
          </cell>
          <cell r="BF2">
            <v>37043</v>
          </cell>
          <cell r="BG2">
            <v>37226</v>
          </cell>
          <cell r="BH2" t="str">
            <v>FY-01</v>
          </cell>
          <cell r="BI2">
            <v>37408</v>
          </cell>
          <cell r="BJ2">
            <v>37591</v>
          </cell>
          <cell r="BK2" t="str">
            <v>FY-02</v>
          </cell>
          <cell r="BL2">
            <v>37773</v>
          </cell>
          <cell r="BM2">
            <v>37956</v>
          </cell>
          <cell r="BN2" t="str">
            <v>FY-03</v>
          </cell>
          <cell r="BO2">
            <v>38139</v>
          </cell>
          <cell r="BP2">
            <v>38322</v>
          </cell>
          <cell r="BQ2" t="str">
            <v>FY-04</v>
          </cell>
          <cell r="BR2">
            <v>38504</v>
          </cell>
          <cell r="BS2">
            <v>38687</v>
          </cell>
          <cell r="BT2" t="str">
            <v>FY-05</v>
          </cell>
          <cell r="BU2">
            <v>38869</v>
          </cell>
          <cell r="BV2">
            <v>39052</v>
          </cell>
          <cell r="BW2" t="str">
            <v>FY-06</v>
          </cell>
          <cell r="BX2">
            <v>39234</v>
          </cell>
          <cell r="BY2">
            <v>39417</v>
          </cell>
          <cell r="BZ2" t="str">
            <v>FY-07</v>
          </cell>
          <cell r="CA2">
            <v>39600</v>
          </cell>
          <cell r="CB2">
            <v>39783</v>
          </cell>
          <cell r="CC2" t="str">
            <v>FY-08</v>
          </cell>
          <cell r="CD2">
            <v>39965</v>
          </cell>
          <cell r="CE2" t="str">
            <v>FY-09</v>
          </cell>
          <cell r="CF2">
            <v>40148</v>
          </cell>
          <cell r="CG2">
            <v>40330</v>
          </cell>
          <cell r="CH2" t="str">
            <v>FY-10</v>
          </cell>
          <cell r="CI2">
            <v>40513</v>
          </cell>
          <cell r="CJ2">
            <v>40695</v>
          </cell>
          <cell r="CK2" t="str">
            <v>FY-11</v>
          </cell>
          <cell r="CL2">
            <v>40878</v>
          </cell>
          <cell r="CM2">
            <v>41061</v>
          </cell>
          <cell r="CN2" t="str">
            <v>FY-12</v>
          </cell>
          <cell r="CO2">
            <v>41244</v>
          </cell>
          <cell r="CP2">
            <v>41426</v>
          </cell>
          <cell r="CQ2" t="str">
            <v>FY-13</v>
          </cell>
          <cell r="CR2">
            <v>41609</v>
          </cell>
          <cell r="CS2">
            <v>41791</v>
          </cell>
          <cell r="CT2" t="str">
            <v>FY-14</v>
          </cell>
          <cell r="CU2">
            <v>41974</v>
          </cell>
          <cell r="CV2">
            <v>42156</v>
          </cell>
          <cell r="CW2" t="str">
            <v>FY-15</v>
          </cell>
          <cell r="CX2">
            <v>42339</v>
          </cell>
          <cell r="CY2">
            <v>42522</v>
          </cell>
          <cell r="CZ2" t="str">
            <v>FY-16</v>
          </cell>
          <cell r="DA2">
            <v>42705</v>
          </cell>
          <cell r="DB2">
            <v>42887</v>
          </cell>
          <cell r="DC2" t="str">
            <v>FY-17</v>
          </cell>
          <cell r="DD2">
            <v>43070</v>
          </cell>
          <cell r="DE2">
            <v>43252</v>
          </cell>
          <cell r="DF2" t="str">
            <v>FY-18</v>
          </cell>
          <cell r="DG2">
            <v>43435</v>
          </cell>
          <cell r="DH2">
            <v>43617</v>
          </cell>
          <cell r="DI2" t="str">
            <v>FY-19</v>
          </cell>
          <cell r="DJ2">
            <v>43800</v>
          </cell>
          <cell r="DK2">
            <v>43983</v>
          </cell>
          <cell r="DL2" t="str">
            <v>FY-20</v>
          </cell>
          <cell r="DM2">
            <v>44166</v>
          </cell>
          <cell r="DN2">
            <v>44348</v>
          </cell>
          <cell r="DO2" t="str">
            <v>FY21</v>
          </cell>
          <cell r="DP2">
            <v>44531</v>
          </cell>
          <cell r="DQ2">
            <v>44713</v>
          </cell>
          <cell r="DR2" t="str">
            <v>FY22</v>
          </cell>
          <cell r="DS2">
            <v>44896</v>
          </cell>
          <cell r="DT2">
            <v>45078</v>
          </cell>
          <cell r="DU2" t="str">
            <v>FY23</v>
          </cell>
          <cell r="DV2">
            <v>45261</v>
          </cell>
          <cell r="DW2">
            <v>45443</v>
          </cell>
          <cell r="DX2" t="str">
            <v>FY24</v>
          </cell>
          <cell r="DY2">
            <v>45626</v>
          </cell>
          <cell r="DZ2">
            <v>45808</v>
          </cell>
          <cell r="EA2" t="str">
            <v>FY25</v>
          </cell>
          <cell r="EB2">
            <v>45991</v>
          </cell>
          <cell r="EC2">
            <v>46173</v>
          </cell>
          <cell r="ED2" t="str">
            <v>FY26</v>
          </cell>
          <cell r="EE2">
            <v>46356</v>
          </cell>
          <cell r="EF2">
            <v>46538</v>
          </cell>
          <cell r="EG2" t="str">
            <v>FY27</v>
          </cell>
          <cell r="EH2">
            <v>46721</v>
          </cell>
          <cell r="EI2">
            <v>46903</v>
          </cell>
          <cell r="EJ2" t="str">
            <v>FY28</v>
          </cell>
          <cell r="EK2">
            <v>47086</v>
          </cell>
          <cell r="EL2">
            <v>47268</v>
          </cell>
          <cell r="EM2" t="str">
            <v>FY29</v>
          </cell>
          <cell r="EN2">
            <v>47451</v>
          </cell>
          <cell r="EO2">
            <v>47633</v>
          </cell>
          <cell r="EP2" t="str">
            <v>FY30</v>
          </cell>
          <cell r="EQ2">
            <v>47816</v>
          </cell>
          <cell r="ER2">
            <v>47998</v>
          </cell>
          <cell r="ES2" t="str">
            <v>FY31</v>
          </cell>
          <cell r="ET2">
            <v>48181</v>
          </cell>
          <cell r="EU2">
            <v>48363</v>
          </cell>
          <cell r="EV2" t="str">
            <v>FY32</v>
          </cell>
          <cell r="EW2">
            <v>48546</v>
          </cell>
          <cell r="EX2">
            <v>48728</v>
          </cell>
          <cell r="EY2" t="str">
            <v>FY33</v>
          </cell>
          <cell r="EZ2">
            <v>48911</v>
          </cell>
          <cell r="FA2">
            <v>49093</v>
          </cell>
          <cell r="FB2" t="str">
            <v>FY34</v>
          </cell>
          <cell r="FC2">
            <v>49276</v>
          </cell>
          <cell r="FD2">
            <v>49458</v>
          </cell>
          <cell r="FE2" t="str">
            <v>FY35</v>
          </cell>
          <cell r="FF2">
            <v>49641</v>
          </cell>
          <cell r="FG2">
            <v>49823</v>
          </cell>
          <cell r="FH2" t="str">
            <v>FY36</v>
          </cell>
          <cell r="FI2">
            <v>50006</v>
          </cell>
          <cell r="FJ2">
            <v>50188</v>
          </cell>
          <cell r="FK2" t="str">
            <v>FY37</v>
          </cell>
          <cell r="FL2">
            <v>50371</v>
          </cell>
          <cell r="FM2">
            <v>50553</v>
          </cell>
          <cell r="FN2" t="str">
            <v>FY38</v>
          </cell>
          <cell r="FO2">
            <v>50736</v>
          </cell>
          <cell r="FP2">
            <v>50918</v>
          </cell>
          <cell r="FQ2" t="str">
            <v>FY39</v>
          </cell>
          <cell r="FR2">
            <v>51101</v>
          </cell>
          <cell r="FS2">
            <v>51283</v>
          </cell>
          <cell r="FT2" t="str">
            <v>FY40</v>
          </cell>
          <cell r="FU2">
            <v>51466</v>
          </cell>
          <cell r="FV2">
            <v>51648</v>
          </cell>
          <cell r="FW2" t="str">
            <v>FY41</v>
          </cell>
          <cell r="FX2">
            <v>51831</v>
          </cell>
          <cell r="FY2">
            <v>52013</v>
          </cell>
          <cell r="FZ2" t="str">
            <v>FY42</v>
          </cell>
          <cell r="GA2">
            <v>52196</v>
          </cell>
          <cell r="GB2">
            <v>52378</v>
          </cell>
          <cell r="GC2" t="str">
            <v>FY43</v>
          </cell>
          <cell r="GD2">
            <v>52561</v>
          </cell>
          <cell r="GE2">
            <v>52743</v>
          </cell>
          <cell r="GF2" t="str">
            <v>FY44</v>
          </cell>
          <cell r="GG2">
            <v>52926</v>
          </cell>
          <cell r="GH2">
            <v>53108</v>
          </cell>
          <cell r="GI2" t="str">
            <v>FY45</v>
          </cell>
          <cell r="GJ2">
            <v>53291</v>
          </cell>
          <cell r="GK2">
            <v>53473</v>
          </cell>
          <cell r="GL2" t="str">
            <v>FY46</v>
          </cell>
          <cell r="GM2">
            <v>53656</v>
          </cell>
          <cell r="GN2">
            <v>53838</v>
          </cell>
          <cell r="GO2" t="str">
            <v>FY47</v>
          </cell>
          <cell r="GP2">
            <v>54021</v>
          </cell>
          <cell r="GQ2">
            <v>54203</v>
          </cell>
          <cell r="GR2" t="str">
            <v>FY48</v>
          </cell>
          <cell r="GS2">
            <v>54386</v>
          </cell>
          <cell r="GT2">
            <v>54568</v>
          </cell>
          <cell r="GU2" t="str">
            <v>FY49</v>
          </cell>
          <cell r="GV2">
            <v>54751</v>
          </cell>
          <cell r="GW2">
            <v>54933</v>
          </cell>
          <cell r="GX2" t="str">
            <v>FY50</v>
          </cell>
        </row>
        <row r="3">
          <cell r="A3" t="str">
            <v>Processing of economic grade ore likely to be completed in 2040</v>
          </cell>
          <cell r="BS3" t="str">
            <v>Landslide Oct 9</v>
          </cell>
        </row>
        <row r="4">
          <cell r="A4" t="str">
            <v>Inputs and Factors</v>
          </cell>
          <cell r="B4" t="str">
            <v>.</v>
          </cell>
          <cell r="C4" t="str">
            <v>.</v>
          </cell>
          <cell r="D4" t="str">
            <v>.</v>
          </cell>
          <cell r="E4" t="str">
            <v>.</v>
          </cell>
          <cell r="F4" t="str">
            <v>.</v>
          </cell>
          <cell r="G4" t="str">
            <v>.</v>
          </cell>
          <cell r="H4" t="str">
            <v>.</v>
          </cell>
          <cell r="I4" t="str">
            <v>.</v>
          </cell>
          <cell r="J4" t="str">
            <v>.</v>
          </cell>
          <cell r="K4" t="str">
            <v>.</v>
          </cell>
          <cell r="L4" t="str">
            <v>.</v>
          </cell>
          <cell r="M4" t="str">
            <v>.</v>
          </cell>
          <cell r="N4" t="str">
            <v>.</v>
          </cell>
          <cell r="O4" t="str">
            <v>.</v>
          </cell>
          <cell r="P4" t="str">
            <v>.</v>
          </cell>
          <cell r="Q4" t="str">
            <v>.</v>
          </cell>
          <cell r="R4" t="str">
            <v>.</v>
          </cell>
          <cell r="S4" t="str">
            <v>.</v>
          </cell>
          <cell r="T4" t="str">
            <v>.</v>
          </cell>
          <cell r="U4" t="str">
            <v>.</v>
          </cell>
          <cell r="V4" t="str">
            <v>.</v>
          </cell>
          <cell r="W4" t="str">
            <v>.</v>
          </cell>
          <cell r="X4" t="str">
            <v>.</v>
          </cell>
          <cell r="Y4" t="str">
            <v>.</v>
          </cell>
          <cell r="Z4" t="str">
            <v>.</v>
          </cell>
          <cell r="AA4" t="str">
            <v>.</v>
          </cell>
          <cell r="AB4" t="str">
            <v>.</v>
          </cell>
          <cell r="AC4" t="str">
            <v>.</v>
          </cell>
          <cell r="AD4" t="str">
            <v>.</v>
          </cell>
          <cell r="AE4" t="str">
            <v>.</v>
          </cell>
          <cell r="AF4" t="str">
            <v>.</v>
          </cell>
          <cell r="AG4" t="str">
            <v>.</v>
          </cell>
          <cell r="AH4" t="str">
            <v>.</v>
          </cell>
          <cell r="AI4" t="str">
            <v>.</v>
          </cell>
          <cell r="AJ4" t="str">
            <v>.</v>
          </cell>
          <cell r="AK4" t="str">
            <v>.</v>
          </cell>
          <cell r="AL4" t="str">
            <v>.</v>
          </cell>
          <cell r="AM4" t="str">
            <v>.</v>
          </cell>
          <cell r="AN4" t="str">
            <v>.</v>
          </cell>
          <cell r="AO4" t="str">
            <v>.</v>
          </cell>
          <cell r="AP4" t="str">
            <v>.</v>
          </cell>
          <cell r="AQ4" t="str">
            <v>.</v>
          </cell>
          <cell r="AR4" t="str">
            <v>.</v>
          </cell>
          <cell r="AS4" t="str">
            <v>.</v>
          </cell>
          <cell r="AT4" t="str">
            <v>.</v>
          </cell>
          <cell r="AU4" t="str">
            <v>.</v>
          </cell>
          <cell r="AV4" t="str">
            <v>.</v>
          </cell>
          <cell r="AW4" t="str">
            <v>.</v>
          </cell>
          <cell r="AX4" t="str">
            <v>.</v>
          </cell>
          <cell r="AY4" t="str">
            <v>.</v>
          </cell>
          <cell r="AZ4" t="str">
            <v>.</v>
          </cell>
          <cell r="BA4" t="str">
            <v>.</v>
          </cell>
          <cell r="BB4" t="str">
            <v>.</v>
          </cell>
          <cell r="BC4" t="str">
            <v>.</v>
          </cell>
          <cell r="BD4" t="str">
            <v>.</v>
          </cell>
          <cell r="BE4" t="str">
            <v>.</v>
          </cell>
          <cell r="BF4" t="str">
            <v>.</v>
          </cell>
          <cell r="BG4" t="str">
            <v>.</v>
          </cell>
          <cell r="BH4" t="str">
            <v>.</v>
          </cell>
          <cell r="BI4" t="str">
            <v>.</v>
          </cell>
          <cell r="BJ4" t="str">
            <v>.</v>
          </cell>
          <cell r="BK4" t="str">
            <v>.</v>
          </cell>
          <cell r="BL4" t="str">
            <v>.</v>
          </cell>
          <cell r="BM4" t="str">
            <v>.</v>
          </cell>
          <cell r="BN4" t="str">
            <v>.</v>
          </cell>
          <cell r="BO4" t="str">
            <v>.</v>
          </cell>
          <cell r="BP4" t="str">
            <v>.</v>
          </cell>
          <cell r="BQ4" t="str">
            <v>.</v>
          </cell>
          <cell r="BR4" t="str">
            <v>.</v>
          </cell>
          <cell r="BS4" t="str">
            <v>.</v>
          </cell>
          <cell r="BT4" t="str">
            <v>.</v>
          </cell>
          <cell r="BU4" t="str">
            <v>.</v>
          </cell>
          <cell r="BV4" t="str">
            <v>.</v>
          </cell>
          <cell r="BW4" t="str">
            <v>.</v>
          </cell>
          <cell r="BX4" t="str">
            <v>.</v>
          </cell>
          <cell r="BY4" t="str">
            <v>.</v>
          </cell>
          <cell r="BZ4" t="str">
            <v>.</v>
          </cell>
          <cell r="CA4" t="str">
            <v>.</v>
          </cell>
          <cell r="CB4" t="str">
            <v>.</v>
          </cell>
          <cell r="CC4" t="str">
            <v>.</v>
          </cell>
          <cell r="CD4" t="str">
            <v>.</v>
          </cell>
          <cell r="CE4" t="str">
            <v>.</v>
          </cell>
          <cell r="CF4" t="str">
            <v>.</v>
          </cell>
          <cell r="CG4" t="str">
            <v>.</v>
          </cell>
          <cell r="CH4" t="str">
            <v>.</v>
          </cell>
          <cell r="CI4" t="str">
            <v>.</v>
          </cell>
          <cell r="CJ4" t="str">
            <v>.</v>
          </cell>
          <cell r="CK4" t="str">
            <v>.</v>
          </cell>
          <cell r="CL4" t="str">
            <v>.</v>
          </cell>
          <cell r="CM4" t="str">
            <v>.</v>
          </cell>
          <cell r="CN4" t="str">
            <v>.</v>
          </cell>
          <cell r="CO4" t="str">
            <v>.</v>
          </cell>
          <cell r="CP4" t="str">
            <v>.</v>
          </cell>
          <cell r="CQ4" t="str">
            <v>.</v>
          </cell>
          <cell r="CR4" t="str">
            <v>.</v>
          </cell>
          <cell r="CS4" t="str">
            <v>.</v>
          </cell>
          <cell r="CT4" t="str">
            <v>.</v>
          </cell>
          <cell r="CU4" t="str">
            <v>.</v>
          </cell>
          <cell r="CV4" t="str">
            <v>.</v>
          </cell>
          <cell r="CW4" t="str">
            <v>.</v>
          </cell>
          <cell r="CX4" t="str">
            <v>.</v>
          </cell>
          <cell r="CY4" t="str">
            <v>.</v>
          </cell>
          <cell r="CZ4" t="str">
            <v>.</v>
          </cell>
          <cell r="DA4" t="str">
            <v>.</v>
          </cell>
          <cell r="DB4" t="str">
            <v>.</v>
          </cell>
          <cell r="DC4" t="str">
            <v>.</v>
          </cell>
          <cell r="DD4" t="str">
            <v>.</v>
          </cell>
          <cell r="DE4" t="str">
            <v>.</v>
          </cell>
          <cell r="DF4" t="str">
            <v>.</v>
          </cell>
          <cell r="DG4" t="str">
            <v>.</v>
          </cell>
          <cell r="DH4" t="str">
            <v>.</v>
          </cell>
          <cell r="DI4" t="str">
            <v>.</v>
          </cell>
          <cell r="DJ4" t="str">
            <v>.</v>
          </cell>
          <cell r="DK4" t="str">
            <v>.</v>
          </cell>
          <cell r="DL4" t="str">
            <v>.</v>
          </cell>
          <cell r="DM4" t="str">
            <v>.</v>
          </cell>
          <cell r="DN4" t="str">
            <v>.</v>
          </cell>
          <cell r="DO4" t="str">
            <v>.</v>
          </cell>
          <cell r="DP4" t="str">
            <v>.</v>
          </cell>
          <cell r="DQ4" t="str">
            <v>.</v>
          </cell>
          <cell r="DR4" t="str">
            <v>.</v>
          </cell>
          <cell r="DS4" t="str">
            <v>.</v>
          </cell>
          <cell r="DT4" t="str">
            <v>.</v>
          </cell>
          <cell r="DU4" t="str">
            <v>.</v>
          </cell>
          <cell r="DV4" t="str">
            <v>.</v>
          </cell>
          <cell r="DW4" t="str">
            <v>.</v>
          </cell>
          <cell r="DX4" t="str">
            <v>.</v>
          </cell>
          <cell r="DY4" t="str">
            <v>.</v>
          </cell>
          <cell r="DZ4" t="str">
            <v>.</v>
          </cell>
          <cell r="EA4" t="str">
            <v>.</v>
          </cell>
          <cell r="EB4" t="str">
            <v>.</v>
          </cell>
          <cell r="EC4" t="str">
            <v>.</v>
          </cell>
          <cell r="ED4" t="str">
            <v>.</v>
          </cell>
          <cell r="EE4" t="str">
            <v>.</v>
          </cell>
          <cell r="EF4" t="str">
            <v>.</v>
          </cell>
          <cell r="EG4" t="str">
            <v>.</v>
          </cell>
          <cell r="EH4" t="str">
            <v>.</v>
          </cell>
          <cell r="EI4" t="str">
            <v>.</v>
          </cell>
          <cell r="EJ4" t="str">
            <v>.</v>
          </cell>
          <cell r="EK4" t="str">
            <v>.</v>
          </cell>
          <cell r="EL4" t="str">
            <v>.</v>
          </cell>
          <cell r="EM4" t="str">
            <v>.</v>
          </cell>
          <cell r="EN4" t="str">
            <v>.</v>
          </cell>
          <cell r="EO4" t="str">
            <v>.</v>
          </cell>
          <cell r="EP4" t="str">
            <v>.</v>
          </cell>
          <cell r="EQ4" t="str">
            <v>.</v>
          </cell>
          <cell r="ER4" t="str">
            <v>.</v>
          </cell>
          <cell r="ES4" t="str">
            <v>.</v>
          </cell>
          <cell r="ET4" t="str">
            <v>.</v>
          </cell>
          <cell r="EU4" t="str">
            <v>.</v>
          </cell>
          <cell r="EV4" t="str">
            <v>.</v>
          </cell>
          <cell r="EW4" t="str">
            <v>.</v>
          </cell>
          <cell r="EX4" t="str">
            <v>.</v>
          </cell>
          <cell r="EY4" t="str">
            <v>.</v>
          </cell>
          <cell r="EZ4" t="str">
            <v>.</v>
          </cell>
          <cell r="FA4" t="str">
            <v>.</v>
          </cell>
          <cell r="FB4" t="str">
            <v>.</v>
          </cell>
          <cell r="FC4" t="str">
            <v>.</v>
          </cell>
          <cell r="FD4" t="str">
            <v>.</v>
          </cell>
          <cell r="FE4" t="str">
            <v>.</v>
          </cell>
          <cell r="FF4" t="str">
            <v>.</v>
          </cell>
          <cell r="FG4" t="str">
            <v>.</v>
          </cell>
          <cell r="FH4" t="str">
            <v>.</v>
          </cell>
          <cell r="FI4" t="str">
            <v>.</v>
          </cell>
          <cell r="FJ4" t="str">
            <v>.</v>
          </cell>
          <cell r="FK4" t="str">
            <v>.</v>
          </cell>
          <cell r="FL4" t="str">
            <v>.</v>
          </cell>
          <cell r="FM4" t="str">
            <v>.</v>
          </cell>
          <cell r="FN4" t="str">
            <v>.</v>
          </cell>
          <cell r="FO4" t="str">
            <v>.</v>
          </cell>
          <cell r="FP4" t="str">
            <v>.</v>
          </cell>
          <cell r="FQ4" t="str">
            <v>.</v>
          </cell>
          <cell r="FR4" t="str">
            <v>.</v>
          </cell>
          <cell r="FS4" t="str">
            <v>.</v>
          </cell>
          <cell r="FT4" t="str">
            <v>.</v>
          </cell>
          <cell r="FU4" t="str">
            <v>.</v>
          </cell>
          <cell r="FV4" t="str">
            <v>.</v>
          </cell>
          <cell r="FW4" t="str">
            <v>.</v>
          </cell>
          <cell r="FX4" t="str">
            <v>.</v>
          </cell>
          <cell r="FY4" t="str">
            <v>.</v>
          </cell>
          <cell r="FZ4" t="str">
            <v>.</v>
          </cell>
          <cell r="GA4" t="str">
            <v>.</v>
          </cell>
          <cell r="GB4" t="str">
            <v>.</v>
          </cell>
          <cell r="GC4" t="str">
            <v>.</v>
          </cell>
          <cell r="GD4" t="str">
            <v>.</v>
          </cell>
          <cell r="GE4" t="str">
            <v>.</v>
          </cell>
          <cell r="GF4" t="str">
            <v>.</v>
          </cell>
          <cell r="GG4" t="str">
            <v>.</v>
          </cell>
          <cell r="GH4" t="str">
            <v>.</v>
          </cell>
          <cell r="GI4" t="str">
            <v>.</v>
          </cell>
          <cell r="GJ4" t="str">
            <v>.</v>
          </cell>
          <cell r="GK4" t="str">
            <v>.</v>
          </cell>
          <cell r="GL4" t="str">
            <v>.</v>
          </cell>
          <cell r="GM4" t="str">
            <v>.</v>
          </cell>
          <cell r="GN4" t="str">
            <v>.</v>
          </cell>
          <cell r="GO4" t="str">
            <v>.</v>
          </cell>
          <cell r="GP4" t="str">
            <v>.</v>
          </cell>
          <cell r="GQ4" t="str">
            <v>.</v>
          </cell>
          <cell r="GR4" t="str">
            <v>.</v>
          </cell>
          <cell r="GS4" t="str">
            <v>.</v>
          </cell>
          <cell r="GT4" t="str">
            <v>.</v>
          </cell>
          <cell r="GU4" t="str">
            <v>.</v>
          </cell>
          <cell r="GV4" t="str">
            <v>.</v>
          </cell>
          <cell r="GW4" t="str">
            <v>.</v>
          </cell>
          <cell r="GX4" t="str">
            <v>.</v>
          </cell>
        </row>
        <row r="5">
          <cell r="A5" t="str">
            <v>AUDUSD</v>
          </cell>
          <cell r="B5" t="str">
            <v>A$/US$</v>
          </cell>
          <cell r="D5">
            <v>0.26117750000000006</v>
          </cell>
          <cell r="E5">
            <v>0.52353249999999996</v>
          </cell>
          <cell r="F5">
            <v>0.58460250000000002</v>
          </cell>
          <cell r="G5">
            <v>0.71380196514423067</v>
          </cell>
          <cell r="H5">
            <v>0.76229906481824072</v>
          </cell>
          <cell r="I5">
            <v>0.75321903379828758</v>
          </cell>
          <cell r="J5">
            <v>0.83883346153846161</v>
          </cell>
          <cell r="K5">
            <v>0.84775</v>
          </cell>
          <cell r="L5">
            <v>0.73956132812499997</v>
          </cell>
          <cell r="M5">
            <v>0.88272499999999998</v>
          </cell>
          <cell r="N5">
            <v>0.98307038461538465</v>
          </cell>
          <cell r="O5">
            <v>1.036959556816754</v>
          </cell>
          <cell r="P5">
            <v>1.0646083595489366</v>
          </cell>
          <cell r="Q5">
            <v>1.0169812676489334</v>
          </cell>
          <cell r="R5">
            <v>0.90941599824874531</v>
          </cell>
          <cell r="S5">
            <v>0.84605740102282767</v>
          </cell>
          <cell r="T5">
            <v>0.90730399677394802</v>
          </cell>
          <cell r="U5">
            <v>0.96855059252506848</v>
          </cell>
          <cell r="V5">
            <v>0.96855059252506848</v>
          </cell>
          <cell r="W5">
            <v>0.96855059252506848</v>
          </cell>
          <cell r="X5">
            <v>0.96855059252506848</v>
          </cell>
          <cell r="Y5">
            <v>0.96855059252506848</v>
          </cell>
          <cell r="Z5">
            <v>0.96855059252506848</v>
          </cell>
          <cell r="AA5">
            <v>0.96855059252506848</v>
          </cell>
          <cell r="AB5">
            <v>0.96855059252506848</v>
          </cell>
          <cell r="AC5">
            <v>0.96855059252506848</v>
          </cell>
          <cell r="AD5">
            <v>0.96855059252506848</v>
          </cell>
          <cell r="AE5">
            <v>0.96855059252506848</v>
          </cell>
          <cell r="AF5">
            <v>0.96855059252506848</v>
          </cell>
          <cell r="AG5">
            <v>0.96855059252506848</v>
          </cell>
          <cell r="AH5">
            <v>0.96855059252506848</v>
          </cell>
          <cell r="AI5">
            <v>0.96855059252506848</v>
          </cell>
          <cell r="AJ5">
            <v>0.96855059252506848</v>
          </cell>
          <cell r="AK5">
            <v>0.96855059252506848</v>
          </cell>
          <cell r="AL5">
            <v>0.96855059252506848</v>
          </cell>
          <cell r="AM5">
            <v>0.96855059252506848</v>
          </cell>
          <cell r="AN5">
            <v>0.96855059252506848</v>
          </cell>
          <cell r="AO5">
            <v>0.96855059252506848</v>
          </cell>
          <cell r="AP5">
            <v>0.96855059252506848</v>
          </cell>
          <cell r="AQ5">
            <v>0.96855059252506848</v>
          </cell>
          <cell r="AR5">
            <v>0.96855059252506848</v>
          </cell>
          <cell r="AS5">
            <v>0.96855059252506848</v>
          </cell>
          <cell r="AT5">
            <v>0.96855059252506848</v>
          </cell>
          <cell r="AU5">
            <v>0.96855059252506848</v>
          </cell>
          <cell r="AV5">
            <v>0.96855059252506848</v>
          </cell>
          <cell r="AW5">
            <v>0.96855059252506848</v>
          </cell>
          <cell r="AX5">
            <v>0.96855059252506848</v>
          </cell>
          <cell r="AY5">
            <v>0.96855059252506848</v>
          </cell>
          <cell r="AZ5">
            <v>0.96855059252506848</v>
          </cell>
          <cell r="BA5">
            <v>0.96855059252506848</v>
          </cell>
          <cell r="BD5">
            <v>0</v>
          </cell>
          <cell r="BF5">
            <v>0</v>
          </cell>
          <cell r="BG5">
            <v>0.52235500000000012</v>
          </cell>
          <cell r="BH5">
            <v>0.26117750000000006</v>
          </cell>
          <cell r="BI5">
            <v>0.51254</v>
          </cell>
          <cell r="BJ5">
            <v>0.53452500000000003</v>
          </cell>
          <cell r="BK5">
            <v>0.52353249999999996</v>
          </cell>
          <cell r="BL5">
            <v>0.55264000000000002</v>
          </cell>
          <cell r="BM5">
            <v>0.61656500000000003</v>
          </cell>
          <cell r="BN5">
            <v>0.58460250000000002</v>
          </cell>
          <cell r="BO5">
            <v>0.68764384615384611</v>
          </cell>
          <cell r="BP5">
            <v>0.73996008413461523</v>
          </cell>
          <cell r="BQ5">
            <v>0.71380196514423067</v>
          </cell>
          <cell r="BR5">
            <v>0.77271212730547911</v>
          </cell>
          <cell r="BS5">
            <v>0.75188600233100233</v>
          </cell>
          <cell r="BT5">
            <v>0.76229906481824072</v>
          </cell>
          <cell r="BU5">
            <v>0.74381659906510667</v>
          </cell>
          <cell r="BV5">
            <v>0.7626214685314685</v>
          </cell>
          <cell r="BW5">
            <v>0.75321903379828758</v>
          </cell>
          <cell r="BX5">
            <v>0.8086507692307694</v>
          </cell>
          <cell r="BY5">
            <v>0.86901615384615383</v>
          </cell>
          <cell r="BZ5">
            <v>0.83883346153846161</v>
          </cell>
          <cell r="CA5">
            <v>0.92549999999999999</v>
          </cell>
          <cell r="CB5">
            <v>0.77</v>
          </cell>
          <cell r="CC5">
            <v>0.84775</v>
          </cell>
          <cell r="CD5">
            <v>0.70912265625000004</v>
          </cell>
          <cell r="CE5">
            <v>0.73956132812499997</v>
          </cell>
          <cell r="CF5">
            <v>0.87</v>
          </cell>
          <cell r="CG5">
            <v>0.89545000000000008</v>
          </cell>
          <cell r="CH5">
            <v>0.88272499999999998</v>
          </cell>
          <cell r="CI5">
            <v>0.93484999999999996</v>
          </cell>
          <cell r="CJ5">
            <v>1.0312907692307693</v>
          </cell>
          <cell r="CK5">
            <v>0.98307038461538465</v>
          </cell>
          <cell r="CL5">
            <v>1.0522203320984089</v>
          </cell>
          <cell r="CM5">
            <v>1.0216987815350991</v>
          </cell>
          <cell r="CN5">
            <v>1.036959556816754</v>
          </cell>
          <cell r="CO5">
            <v>1.0803423817490325</v>
          </cell>
          <cell r="CP5">
            <v>1.0488743373488409</v>
          </cell>
          <cell r="CQ5">
            <v>1.0646083595489366</v>
          </cell>
          <cell r="CR5">
            <v>1.0488743373488409</v>
          </cell>
          <cell r="CS5">
            <v>0.98508819794902591</v>
          </cell>
          <cell r="CT5">
            <v>1.0169812676489334</v>
          </cell>
          <cell r="CU5">
            <v>0.97277459547466305</v>
          </cell>
          <cell r="CV5">
            <v>0.84605740102282767</v>
          </cell>
          <cell r="CW5">
            <v>0.90941599824874531</v>
          </cell>
          <cell r="CX5">
            <v>0.84605740102282767</v>
          </cell>
          <cell r="CY5">
            <v>0.84605740102282767</v>
          </cell>
          <cell r="CZ5">
            <v>0.84605740102282767</v>
          </cell>
          <cell r="DA5">
            <v>0.84605740102282767</v>
          </cell>
          <cell r="DB5">
            <v>0.96855059252506848</v>
          </cell>
          <cell r="DC5">
            <v>0.90730399677394802</v>
          </cell>
          <cell r="DD5">
            <v>0.96855059252506848</v>
          </cell>
          <cell r="DE5">
            <v>0.96855059252506848</v>
          </cell>
          <cell r="DF5">
            <v>0.96855059252506848</v>
          </cell>
          <cell r="DG5">
            <v>0.96855059252506848</v>
          </cell>
          <cell r="DH5">
            <v>0.96855059252506848</v>
          </cell>
          <cell r="DI5">
            <v>0.96855059252506848</v>
          </cell>
          <cell r="DJ5">
            <v>0.96855059252506848</v>
          </cell>
          <cell r="DK5">
            <v>0.96855059252506848</v>
          </cell>
          <cell r="DL5">
            <v>0.96855059252506848</v>
          </cell>
          <cell r="DM5">
            <v>0.96855059252506848</v>
          </cell>
          <cell r="DN5">
            <v>0.96855059252506848</v>
          </cell>
          <cell r="DO5">
            <v>0.96855059252506848</v>
          </cell>
          <cell r="DP5">
            <v>0.96855059252506848</v>
          </cell>
          <cell r="DQ5">
            <v>0.96855059252506848</v>
          </cell>
          <cell r="DR5">
            <v>0.96855059252506848</v>
          </cell>
          <cell r="DS5">
            <v>0.96855059252506848</v>
          </cell>
          <cell r="DT5">
            <v>0.96855059252506848</v>
          </cell>
          <cell r="DU5">
            <v>0.96855059252506848</v>
          </cell>
          <cell r="DV5">
            <v>0.96855059252506848</v>
          </cell>
          <cell r="DW5">
            <v>0.96855059252506848</v>
          </cell>
          <cell r="DX5">
            <v>0.96855059252506848</v>
          </cell>
          <cell r="DY5">
            <v>0.96855059252506848</v>
          </cell>
          <cell r="DZ5">
            <v>0.96855059252506848</v>
          </cell>
          <cell r="EA5">
            <v>0.96855059252506848</v>
          </cell>
          <cell r="EB5">
            <v>0.96855059252506848</v>
          </cell>
          <cell r="EC5">
            <v>0.96855059252506848</v>
          </cell>
          <cell r="ED5">
            <v>0.96855059252506848</v>
          </cell>
          <cell r="EE5">
            <v>0.96855059252506848</v>
          </cell>
          <cell r="EF5">
            <v>0.96855059252506848</v>
          </cell>
          <cell r="EG5">
            <v>0.96855059252506848</v>
          </cell>
          <cell r="EH5">
            <v>0.96855059252506848</v>
          </cell>
          <cell r="EI5">
            <v>0.96855059252506848</v>
          </cell>
          <cell r="EJ5">
            <v>0.96855059252506848</v>
          </cell>
          <cell r="EK5">
            <v>0.96855059252506848</v>
          </cell>
          <cell r="EL5">
            <v>0.96855059252506848</v>
          </cell>
          <cell r="EM5">
            <v>0.96855059252506848</v>
          </cell>
          <cell r="EN5">
            <v>0.96855059252506848</v>
          </cell>
          <cell r="EO5">
            <v>0.96855059252506848</v>
          </cell>
          <cell r="EP5">
            <v>0.96855059252506848</v>
          </cell>
          <cell r="EQ5">
            <v>0.96855059252506848</v>
          </cell>
          <cell r="ER5">
            <v>0.96855059252506848</v>
          </cell>
          <cell r="ES5">
            <v>0.96855059252506848</v>
          </cell>
          <cell r="ET5">
            <v>0.96855059252506848</v>
          </cell>
          <cell r="EU5">
            <v>0.96855059252506848</v>
          </cell>
          <cell r="EV5">
            <v>0.96855059252506848</v>
          </cell>
          <cell r="EW5">
            <v>0.96855059252506848</v>
          </cell>
          <cell r="EX5">
            <v>0.96855059252506848</v>
          </cell>
          <cell r="EY5">
            <v>0.96855059252506848</v>
          </cell>
          <cell r="EZ5">
            <v>0.96855059252506848</v>
          </cell>
          <cell r="FA5">
            <v>0.96855059252506848</v>
          </cell>
          <cell r="FB5">
            <v>0.96855059252506848</v>
          </cell>
          <cell r="FC5">
            <v>0.96855059252506848</v>
          </cell>
          <cell r="FD5">
            <v>0.96855059252506848</v>
          </cell>
          <cell r="FE5">
            <v>0.96855059252506848</v>
          </cell>
          <cell r="FF5">
            <v>0.96855059252506848</v>
          </cell>
          <cell r="FG5">
            <v>0.96855059252506848</v>
          </cell>
          <cell r="FH5">
            <v>0.96855059252506848</v>
          </cell>
          <cell r="FI5">
            <v>0.96855059252506848</v>
          </cell>
          <cell r="FJ5">
            <v>0.96855059252506848</v>
          </cell>
          <cell r="FK5">
            <v>0.96855059252506848</v>
          </cell>
          <cell r="FL5">
            <v>0.96855059252506848</v>
          </cell>
          <cell r="FM5">
            <v>0.96855059252506848</v>
          </cell>
          <cell r="FN5">
            <v>0.96855059252506848</v>
          </cell>
          <cell r="FO5">
            <v>0.96855059252506848</v>
          </cell>
          <cell r="FP5">
            <v>0.96855059252506848</v>
          </cell>
          <cell r="FQ5">
            <v>0.96855059252506848</v>
          </cell>
          <cell r="FR5">
            <v>0.96855059252506848</v>
          </cell>
          <cell r="FS5">
            <v>0.96855059252506848</v>
          </cell>
          <cell r="FT5">
            <v>0.96855059252506848</v>
          </cell>
          <cell r="FU5">
            <v>0.96855059252506848</v>
          </cell>
          <cell r="FV5">
            <v>0.96855059252506848</v>
          </cell>
          <cell r="FW5">
            <v>0.96855059252506848</v>
          </cell>
          <cell r="FX5">
            <v>0.96855059252506848</v>
          </cell>
          <cell r="FY5">
            <v>0.96855059252506848</v>
          </cell>
          <cell r="FZ5">
            <v>0.96855059252506848</v>
          </cell>
          <cell r="GA5">
            <v>0.96855059252506848</v>
          </cell>
          <cell r="GB5">
            <v>0.96855059252506848</v>
          </cell>
          <cell r="GC5">
            <v>0.96855059252506848</v>
          </cell>
          <cell r="GD5">
            <v>0.96855059252506848</v>
          </cell>
          <cell r="GE5">
            <v>0.96855059252506848</v>
          </cell>
          <cell r="GF5">
            <v>0.96855059252506848</v>
          </cell>
          <cell r="GG5">
            <v>0.96855059252506848</v>
          </cell>
          <cell r="GH5">
            <v>0.96855059252506848</v>
          </cell>
          <cell r="GI5">
            <v>0.96855059252506848</v>
          </cell>
          <cell r="GJ5">
            <v>0.96855059252506848</v>
          </cell>
          <cell r="GK5">
            <v>0.96855059252506848</v>
          </cell>
          <cell r="GL5">
            <v>0.96855059252506848</v>
          </cell>
          <cell r="GM5">
            <v>0.96855059252506848</v>
          </cell>
          <cell r="GN5">
            <v>0.96855059252506848</v>
          </cell>
          <cell r="GO5">
            <v>0.96855059252506848</v>
          </cell>
          <cell r="GP5">
            <v>0.96855059252506848</v>
          </cell>
          <cell r="GQ5">
            <v>0.96855059252506848</v>
          </cell>
          <cell r="GR5">
            <v>0.96855059252506848</v>
          </cell>
          <cell r="GS5">
            <v>0.96855059252506848</v>
          </cell>
          <cell r="GT5">
            <v>0.96855059252506848</v>
          </cell>
          <cell r="GU5">
            <v>0.96855059252506848</v>
          </cell>
          <cell r="GV5">
            <v>0.96855059252506848</v>
          </cell>
          <cell r="GW5">
            <v>0.96855059252506848</v>
          </cell>
          <cell r="GX5">
            <v>0.96855059252506848</v>
          </cell>
        </row>
        <row r="6">
          <cell r="A6" t="str">
            <v>Gold price</v>
          </cell>
          <cell r="B6" t="str">
            <v>US$/oz</v>
          </cell>
          <cell r="D6">
            <v>271.18167582417584</v>
          </cell>
          <cell r="E6">
            <v>310.34464285714284</v>
          </cell>
          <cell r="F6">
            <v>364.39538461538461</v>
          </cell>
          <cell r="G6">
            <v>410.12912587412598</v>
          </cell>
          <cell r="H6">
            <v>445.25824999999998</v>
          </cell>
          <cell r="I6">
            <v>605.49172386347675</v>
          </cell>
          <cell r="J6">
            <v>698.10430944055952</v>
          </cell>
          <cell r="K6">
            <v>872.17499999999995</v>
          </cell>
          <cell r="L6">
            <v>874.92499999999995</v>
          </cell>
          <cell r="M6">
            <v>1091.5</v>
          </cell>
          <cell r="N6">
            <v>1360.3958087978435</v>
          </cell>
          <cell r="O6">
            <v>1997</v>
          </cell>
          <cell r="P6">
            <v>2071.25</v>
          </cell>
          <cell r="Q6">
            <v>1830</v>
          </cell>
          <cell r="R6">
            <v>1600</v>
          </cell>
          <cell r="S6">
            <v>1450</v>
          </cell>
          <cell r="T6">
            <v>1215.6107566089336</v>
          </cell>
          <cell r="U6">
            <v>1031.2215132178669</v>
          </cell>
          <cell r="V6">
            <v>1031.2215132178669</v>
          </cell>
          <cell r="W6">
            <v>1031.2215132178669</v>
          </cell>
          <cell r="X6">
            <v>1031.2215132178669</v>
          </cell>
          <cell r="Y6">
            <v>1031.2215132178669</v>
          </cell>
          <cell r="Z6">
            <v>1031.2215132178669</v>
          </cell>
          <cell r="AA6">
            <v>1031.2215132178669</v>
          </cell>
          <cell r="AB6">
            <v>1031.2215132178669</v>
          </cell>
          <cell r="AC6">
            <v>1031.2215132178669</v>
          </cell>
          <cell r="AD6">
            <v>1031.2215132178669</v>
          </cell>
          <cell r="AE6">
            <v>1031.2215132178669</v>
          </cell>
          <cell r="AF6">
            <v>1031.2215132178669</v>
          </cell>
          <cell r="AG6">
            <v>1031.2215132178669</v>
          </cell>
          <cell r="AH6">
            <v>1031.2215132178669</v>
          </cell>
          <cell r="AI6">
            <v>1031.2215132178669</v>
          </cell>
          <cell r="AJ6">
            <v>1031.2215132178669</v>
          </cell>
          <cell r="AK6">
            <v>1031.2215132178669</v>
          </cell>
          <cell r="AL6">
            <v>1031.2215132178669</v>
          </cell>
          <cell r="AM6">
            <v>1031.2215132178669</v>
          </cell>
          <cell r="AN6">
            <v>1031.2215132178669</v>
          </cell>
          <cell r="AO6">
            <v>1031.2215132178669</v>
          </cell>
          <cell r="AP6">
            <v>1031.2215132178669</v>
          </cell>
          <cell r="AQ6">
            <v>1031.2215132178669</v>
          </cell>
          <cell r="AR6">
            <v>1031.2215132178669</v>
          </cell>
          <cell r="AS6">
            <v>1031.2215132178669</v>
          </cell>
          <cell r="AT6">
            <v>1031.2215132178669</v>
          </cell>
          <cell r="AU6">
            <v>1031.2215132178669</v>
          </cell>
          <cell r="AV6">
            <v>1031.2215132178669</v>
          </cell>
          <cell r="AW6">
            <v>1031.2215132178669</v>
          </cell>
          <cell r="AX6">
            <v>1031.2215132178669</v>
          </cell>
          <cell r="AY6">
            <v>1031.2215132178669</v>
          </cell>
          <cell r="AZ6">
            <v>1031.2215132178669</v>
          </cell>
          <cell r="BA6">
            <v>1031.2215132178669</v>
          </cell>
          <cell r="BF6">
            <v>266.21846153846161</v>
          </cell>
          <cell r="BG6">
            <v>276.14489010989013</v>
          </cell>
          <cell r="BH6">
            <v>271.18167582417584</v>
          </cell>
          <cell r="BI6">
            <v>301.22884615384612</v>
          </cell>
          <cell r="BJ6">
            <v>319.46043956043962</v>
          </cell>
          <cell r="BK6">
            <v>310.34464285714284</v>
          </cell>
          <cell r="BL6">
            <v>349.95576923076925</v>
          </cell>
          <cell r="BM6">
            <v>378.83499999999998</v>
          </cell>
          <cell r="BN6">
            <v>364.39538461538461</v>
          </cell>
          <cell r="BO6">
            <v>401.53076923076952</v>
          </cell>
          <cell r="BP6">
            <v>418.72748251748249</v>
          </cell>
          <cell r="BQ6">
            <v>410.12912587412598</v>
          </cell>
          <cell r="BR6">
            <v>427.69600000000003</v>
          </cell>
          <cell r="BS6">
            <v>462.82049999999998</v>
          </cell>
          <cell r="BT6">
            <v>445.25824999999998</v>
          </cell>
          <cell r="BU6">
            <v>590.50935483870967</v>
          </cell>
          <cell r="BV6">
            <v>620.47409288824383</v>
          </cell>
          <cell r="BW6">
            <v>605.49172386347675</v>
          </cell>
          <cell r="BX6">
            <v>659</v>
          </cell>
          <cell r="BY6">
            <v>737.20861888111904</v>
          </cell>
          <cell r="BZ6">
            <v>698.10430944055952</v>
          </cell>
          <cell r="CA6">
            <v>910.5</v>
          </cell>
          <cell r="CB6">
            <v>833.85</v>
          </cell>
          <cell r="CC6">
            <v>872.17499999999995</v>
          </cell>
          <cell r="CD6">
            <v>916</v>
          </cell>
          <cell r="CE6">
            <v>874.92499999999995</v>
          </cell>
          <cell r="CF6">
            <v>1025</v>
          </cell>
          <cell r="CG6">
            <v>1158</v>
          </cell>
          <cell r="CH6">
            <v>1091.5</v>
          </cell>
          <cell r="CI6">
            <v>1273.0783086823783</v>
          </cell>
          <cell r="CJ6">
            <v>1447.713308913309</v>
          </cell>
          <cell r="CK6">
            <v>1360.3958087978435</v>
          </cell>
          <cell r="CL6">
            <v>1776.5</v>
          </cell>
          <cell r="CM6">
            <v>2217.5</v>
          </cell>
          <cell r="CN6">
            <v>1997</v>
          </cell>
          <cell r="CO6">
            <v>2182.5</v>
          </cell>
          <cell r="CP6">
            <v>1960</v>
          </cell>
          <cell r="CQ6">
            <v>2071.25</v>
          </cell>
          <cell r="CR6">
            <v>1960</v>
          </cell>
          <cell r="CS6">
            <v>1700</v>
          </cell>
          <cell r="CT6">
            <v>1830</v>
          </cell>
          <cell r="CU6">
            <v>1700</v>
          </cell>
          <cell r="CV6">
            <v>1500</v>
          </cell>
          <cell r="CW6">
            <v>1600</v>
          </cell>
          <cell r="CX6">
            <v>1500</v>
          </cell>
          <cell r="CY6">
            <v>1400</v>
          </cell>
          <cell r="CZ6">
            <v>1450</v>
          </cell>
          <cell r="DA6">
            <v>1400</v>
          </cell>
          <cell r="DB6">
            <v>1031.2215132178669</v>
          </cell>
          <cell r="DC6">
            <v>1215.6107566089336</v>
          </cell>
          <cell r="DD6">
            <v>1031.2215132178669</v>
          </cell>
          <cell r="DE6">
            <v>1031.2215132178669</v>
          </cell>
          <cell r="DF6">
            <v>1031.2215132178669</v>
          </cell>
          <cell r="DG6">
            <v>1031.2215132178669</v>
          </cell>
          <cell r="DH6">
            <v>1031.2215132178669</v>
          </cell>
          <cell r="DI6">
            <v>1031.2215132178669</v>
          </cell>
          <cell r="DJ6">
            <v>1031.2215132178669</v>
          </cell>
          <cell r="DK6">
            <v>1031.2215132178669</v>
          </cell>
          <cell r="DL6">
            <v>1031.2215132178669</v>
          </cell>
          <cell r="DM6">
            <v>1031.2215132178669</v>
          </cell>
          <cell r="DN6">
            <v>1031.2215132178669</v>
          </cell>
          <cell r="DO6">
            <v>1031.2215132178669</v>
          </cell>
          <cell r="DP6">
            <v>1031.2215132178669</v>
          </cell>
          <cell r="DQ6">
            <v>1031.2215132178669</v>
          </cell>
          <cell r="DR6">
            <v>1031.2215132178669</v>
          </cell>
          <cell r="DS6">
            <v>1031.2215132178669</v>
          </cell>
          <cell r="DT6">
            <v>1031.2215132178669</v>
          </cell>
          <cell r="DU6">
            <v>1031.2215132178669</v>
          </cell>
          <cell r="DV6">
            <v>1031.2215132178669</v>
          </cell>
          <cell r="DW6">
            <v>1031.2215132178669</v>
          </cell>
          <cell r="DX6">
            <v>1031.2215132178669</v>
          </cell>
          <cell r="DY6">
            <v>1031.2215132178669</v>
          </cell>
          <cell r="DZ6">
            <v>1031.2215132178669</v>
          </cell>
          <cell r="EA6">
            <v>1031.2215132178669</v>
          </cell>
          <cell r="EB6">
            <v>1031.2215132178669</v>
          </cell>
          <cell r="EC6">
            <v>1031.2215132178669</v>
          </cell>
          <cell r="ED6">
            <v>1031.2215132178669</v>
          </cell>
          <cell r="EE6">
            <v>1031.2215132178669</v>
          </cell>
          <cell r="EF6">
            <v>1031.2215132178669</v>
          </cell>
          <cell r="EG6">
            <v>1031.2215132178669</v>
          </cell>
          <cell r="EH6">
            <v>1031.2215132178669</v>
          </cell>
          <cell r="EI6">
            <v>1031.2215132178669</v>
          </cell>
          <cell r="EJ6">
            <v>1031.2215132178669</v>
          </cell>
          <cell r="EK6">
            <v>1031.2215132178669</v>
          </cell>
          <cell r="EL6">
            <v>1031.2215132178669</v>
          </cell>
          <cell r="EM6">
            <v>1031.2215132178669</v>
          </cell>
          <cell r="EN6">
            <v>1031.2215132178669</v>
          </cell>
          <cell r="EO6">
            <v>1031.2215132178669</v>
          </cell>
          <cell r="EP6">
            <v>1031.2215132178669</v>
          </cell>
          <cell r="EQ6">
            <v>1031.2215132178669</v>
          </cell>
          <cell r="ER6">
            <v>1031.2215132178669</v>
          </cell>
          <cell r="ES6">
            <v>1031.2215132178669</v>
          </cell>
          <cell r="ET6">
            <v>1031.2215132178669</v>
          </cell>
          <cell r="EU6">
            <v>1031.2215132178669</v>
          </cell>
          <cell r="EV6">
            <v>1031.2215132178669</v>
          </cell>
          <cell r="EW6">
            <v>1031.2215132178669</v>
          </cell>
          <cell r="EX6">
            <v>1031.2215132178669</v>
          </cell>
          <cell r="EY6">
            <v>1031.2215132178669</v>
          </cell>
          <cell r="EZ6">
            <v>1031.2215132178669</v>
          </cell>
          <cell r="FA6">
            <v>1031.2215132178669</v>
          </cell>
          <cell r="FB6">
            <v>1031.2215132178669</v>
          </cell>
          <cell r="FC6">
            <v>1031.2215132178669</v>
          </cell>
          <cell r="FD6">
            <v>1031.2215132178669</v>
          </cell>
          <cell r="FE6">
            <v>1031.2215132178669</v>
          </cell>
          <cell r="FF6">
            <v>1031.2215132178669</v>
          </cell>
          <cell r="FG6">
            <v>1031.2215132178669</v>
          </cell>
          <cell r="FH6">
            <v>1031.2215132178669</v>
          </cell>
          <cell r="FI6">
            <v>1031.2215132178669</v>
          </cell>
          <cell r="FJ6">
            <v>1031.2215132178669</v>
          </cell>
          <cell r="FK6">
            <v>1031.2215132178669</v>
          </cell>
          <cell r="FL6">
            <v>1031.2215132178669</v>
          </cell>
          <cell r="FM6">
            <v>1031.2215132178669</v>
          </cell>
          <cell r="FN6">
            <v>1031.2215132178669</v>
          </cell>
          <cell r="FO6">
            <v>1031.2215132178669</v>
          </cell>
          <cell r="FP6">
            <v>1031.2215132178669</v>
          </cell>
          <cell r="FQ6">
            <v>1031.2215132178669</v>
          </cell>
          <cell r="FR6">
            <v>1031.2215132178669</v>
          </cell>
          <cell r="FS6">
            <v>1031.2215132178669</v>
          </cell>
          <cell r="FT6">
            <v>1031.2215132178669</v>
          </cell>
          <cell r="FU6">
            <v>1031.2215132178669</v>
          </cell>
          <cell r="FV6">
            <v>1031.2215132178669</v>
          </cell>
          <cell r="FW6">
            <v>1031.2215132178669</v>
          </cell>
          <cell r="FX6">
            <v>1031.2215132178669</v>
          </cell>
          <cell r="FY6">
            <v>1031.2215132178669</v>
          </cell>
          <cell r="FZ6">
            <v>1031.2215132178669</v>
          </cell>
          <cell r="GA6">
            <v>1031.2215132178669</v>
          </cell>
          <cell r="GB6">
            <v>1031.2215132178669</v>
          </cell>
          <cell r="GC6">
            <v>1031.2215132178669</v>
          </cell>
          <cell r="GD6">
            <v>1031.2215132178669</v>
          </cell>
          <cell r="GE6">
            <v>1031.2215132178669</v>
          </cell>
          <cell r="GF6">
            <v>1031.2215132178669</v>
          </cell>
          <cell r="GG6">
            <v>1031.2215132178669</v>
          </cell>
          <cell r="GH6">
            <v>1031.2215132178669</v>
          </cell>
          <cell r="GI6">
            <v>1031.2215132178669</v>
          </cell>
          <cell r="GJ6">
            <v>1031.2215132178669</v>
          </cell>
          <cell r="GK6">
            <v>1031.2215132178669</v>
          </cell>
          <cell r="GL6">
            <v>1031.2215132178669</v>
          </cell>
          <cell r="GM6">
            <v>1031.2215132178669</v>
          </cell>
          <cell r="GN6">
            <v>1031.2215132178669</v>
          </cell>
          <cell r="GO6">
            <v>1031.2215132178669</v>
          </cell>
          <cell r="GP6">
            <v>1031.2215132178669</v>
          </cell>
          <cell r="GQ6">
            <v>1031.2215132178669</v>
          </cell>
          <cell r="GR6">
            <v>1031.2215132178669</v>
          </cell>
          <cell r="GS6">
            <v>1031.2215132178669</v>
          </cell>
          <cell r="GT6">
            <v>1031.2215132178669</v>
          </cell>
          <cell r="GU6">
            <v>1031.2215132178669</v>
          </cell>
          <cell r="GV6">
            <v>1031.2215132178669</v>
          </cell>
          <cell r="GW6">
            <v>1031.2215132178669</v>
          </cell>
          <cell r="GX6">
            <v>1031.2215132178669</v>
          </cell>
        </row>
        <row r="7">
          <cell r="A7" t="str">
            <v>Lihir Island ownership</v>
          </cell>
          <cell r="B7" t="str">
            <v>%</v>
          </cell>
          <cell r="D7">
            <v>1</v>
          </cell>
          <cell r="E7">
            <v>1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  <cell r="J7">
            <v>1</v>
          </cell>
          <cell r="K7">
            <v>1</v>
          </cell>
          <cell r="L7">
            <v>1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1</v>
          </cell>
          <cell r="S7">
            <v>1</v>
          </cell>
          <cell r="T7">
            <v>1</v>
          </cell>
          <cell r="U7">
            <v>1</v>
          </cell>
          <cell r="V7">
            <v>1</v>
          </cell>
          <cell r="W7">
            <v>1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>
            <v>1</v>
          </cell>
          <cell r="AC7">
            <v>1</v>
          </cell>
          <cell r="AD7">
            <v>1</v>
          </cell>
          <cell r="AE7">
            <v>1</v>
          </cell>
          <cell r="AF7">
            <v>1</v>
          </cell>
          <cell r="AG7">
            <v>1</v>
          </cell>
          <cell r="AH7">
            <v>1</v>
          </cell>
          <cell r="AI7">
            <v>1</v>
          </cell>
          <cell r="AJ7">
            <v>1</v>
          </cell>
          <cell r="AK7">
            <v>1</v>
          </cell>
          <cell r="AL7">
            <v>1</v>
          </cell>
          <cell r="AM7">
            <v>1</v>
          </cell>
          <cell r="AN7">
            <v>1</v>
          </cell>
          <cell r="AO7">
            <v>1</v>
          </cell>
          <cell r="AP7">
            <v>1</v>
          </cell>
          <cell r="AQ7">
            <v>1</v>
          </cell>
          <cell r="AR7">
            <v>1</v>
          </cell>
          <cell r="AS7">
            <v>1</v>
          </cell>
          <cell r="AT7">
            <v>1</v>
          </cell>
          <cell r="AU7">
            <v>1</v>
          </cell>
          <cell r="AV7">
            <v>1</v>
          </cell>
          <cell r="AW7">
            <v>1</v>
          </cell>
          <cell r="AX7">
            <v>1</v>
          </cell>
          <cell r="AY7">
            <v>1</v>
          </cell>
          <cell r="AZ7">
            <v>1</v>
          </cell>
          <cell r="BA7">
            <v>1</v>
          </cell>
          <cell r="BF7">
            <v>1</v>
          </cell>
          <cell r="BG7">
            <v>1</v>
          </cell>
          <cell r="BH7">
            <v>1</v>
          </cell>
          <cell r="BI7">
            <v>1</v>
          </cell>
          <cell r="BJ7">
            <v>1</v>
          </cell>
          <cell r="BK7">
            <v>1</v>
          </cell>
          <cell r="BL7">
            <v>1</v>
          </cell>
          <cell r="BM7">
            <v>1</v>
          </cell>
          <cell r="BN7">
            <v>1</v>
          </cell>
          <cell r="BO7">
            <v>1</v>
          </cell>
          <cell r="BP7">
            <v>1</v>
          </cell>
          <cell r="BQ7">
            <v>1</v>
          </cell>
          <cell r="BR7">
            <v>1</v>
          </cell>
          <cell r="BS7">
            <v>1</v>
          </cell>
          <cell r="BT7">
            <v>1</v>
          </cell>
          <cell r="BU7">
            <v>1</v>
          </cell>
          <cell r="BV7">
            <v>1</v>
          </cell>
          <cell r="BW7">
            <v>1</v>
          </cell>
          <cell r="BX7">
            <v>1</v>
          </cell>
          <cell r="BY7">
            <v>1</v>
          </cell>
          <cell r="BZ7">
            <v>1</v>
          </cell>
          <cell r="CA7">
            <v>1</v>
          </cell>
          <cell r="CB7">
            <v>1</v>
          </cell>
          <cell r="CC7">
            <v>1</v>
          </cell>
          <cell r="CD7">
            <v>1</v>
          </cell>
          <cell r="CE7">
            <v>1</v>
          </cell>
          <cell r="CF7">
            <v>1</v>
          </cell>
          <cell r="CG7">
            <v>1</v>
          </cell>
          <cell r="CH7">
            <v>1</v>
          </cell>
          <cell r="CI7">
            <v>1</v>
          </cell>
          <cell r="CJ7">
            <v>1</v>
          </cell>
          <cell r="CK7">
            <v>1</v>
          </cell>
          <cell r="CL7">
            <v>1</v>
          </cell>
          <cell r="CM7">
            <v>1</v>
          </cell>
          <cell r="CN7">
            <v>1</v>
          </cell>
          <cell r="CO7">
            <v>1</v>
          </cell>
          <cell r="CP7">
            <v>1</v>
          </cell>
          <cell r="CQ7">
            <v>1</v>
          </cell>
          <cell r="CR7">
            <v>1</v>
          </cell>
          <cell r="CS7">
            <v>1</v>
          </cell>
          <cell r="CT7">
            <v>1</v>
          </cell>
          <cell r="CU7">
            <v>1</v>
          </cell>
          <cell r="CV7">
            <v>1</v>
          </cell>
          <cell r="CW7">
            <v>1</v>
          </cell>
          <cell r="CX7">
            <v>1</v>
          </cell>
          <cell r="CY7">
            <v>1</v>
          </cell>
          <cell r="CZ7">
            <v>1</v>
          </cell>
          <cell r="DA7">
            <v>1</v>
          </cell>
          <cell r="DB7">
            <v>1</v>
          </cell>
          <cell r="DC7">
            <v>1</v>
          </cell>
          <cell r="DD7">
            <v>1</v>
          </cell>
          <cell r="DE7">
            <v>1</v>
          </cell>
          <cell r="DF7">
            <v>1</v>
          </cell>
          <cell r="DG7">
            <v>1</v>
          </cell>
          <cell r="DH7">
            <v>1</v>
          </cell>
          <cell r="DI7">
            <v>1</v>
          </cell>
          <cell r="DJ7">
            <v>1</v>
          </cell>
          <cell r="DK7">
            <v>1</v>
          </cell>
          <cell r="DL7">
            <v>1</v>
          </cell>
          <cell r="DM7">
            <v>1</v>
          </cell>
          <cell r="DN7">
            <v>1</v>
          </cell>
          <cell r="DO7">
            <v>1</v>
          </cell>
          <cell r="DP7">
            <v>1</v>
          </cell>
          <cell r="DQ7">
            <v>1</v>
          </cell>
          <cell r="DR7">
            <v>1</v>
          </cell>
          <cell r="DS7">
            <v>1</v>
          </cell>
          <cell r="DT7">
            <v>1</v>
          </cell>
          <cell r="DU7">
            <v>1</v>
          </cell>
          <cell r="DV7">
            <v>1</v>
          </cell>
          <cell r="DW7">
            <v>1</v>
          </cell>
          <cell r="DX7">
            <v>1</v>
          </cell>
          <cell r="DY7">
            <v>1</v>
          </cell>
          <cell r="DZ7">
            <v>1</v>
          </cell>
          <cell r="EA7">
            <v>1</v>
          </cell>
          <cell r="EB7">
            <v>1</v>
          </cell>
          <cell r="EC7">
            <v>1</v>
          </cell>
          <cell r="ED7">
            <v>1</v>
          </cell>
          <cell r="EE7">
            <v>1</v>
          </cell>
          <cell r="EF7">
            <v>1</v>
          </cell>
          <cell r="EG7">
            <v>1</v>
          </cell>
          <cell r="EH7">
            <v>1</v>
          </cell>
          <cell r="EI7">
            <v>1</v>
          </cell>
          <cell r="EJ7">
            <v>1</v>
          </cell>
          <cell r="EK7">
            <v>1</v>
          </cell>
          <cell r="EL7">
            <v>1</v>
          </cell>
          <cell r="EM7">
            <v>1</v>
          </cell>
          <cell r="EN7">
            <v>1</v>
          </cell>
          <cell r="EO7">
            <v>1</v>
          </cell>
          <cell r="EP7">
            <v>1</v>
          </cell>
          <cell r="EQ7">
            <v>1</v>
          </cell>
          <cell r="ER7">
            <v>1</v>
          </cell>
          <cell r="ES7">
            <v>1</v>
          </cell>
          <cell r="ET7">
            <v>1</v>
          </cell>
          <cell r="EU7">
            <v>1</v>
          </cell>
          <cell r="EV7">
            <v>1</v>
          </cell>
          <cell r="EW7">
            <v>1</v>
          </cell>
          <cell r="EX7">
            <v>1</v>
          </cell>
          <cell r="EY7">
            <v>1</v>
          </cell>
          <cell r="EZ7">
            <v>1</v>
          </cell>
          <cell r="FA7">
            <v>1</v>
          </cell>
          <cell r="FB7">
            <v>1</v>
          </cell>
          <cell r="FC7">
            <v>1</v>
          </cell>
          <cell r="FD7">
            <v>1</v>
          </cell>
          <cell r="FE7">
            <v>1</v>
          </cell>
          <cell r="FF7">
            <v>1</v>
          </cell>
          <cell r="FG7">
            <v>1</v>
          </cell>
          <cell r="FH7">
            <v>1</v>
          </cell>
          <cell r="FI7">
            <v>1</v>
          </cell>
          <cell r="FJ7">
            <v>1</v>
          </cell>
          <cell r="FK7">
            <v>1</v>
          </cell>
          <cell r="FL7">
            <v>1</v>
          </cell>
          <cell r="FM7">
            <v>1</v>
          </cell>
          <cell r="FN7">
            <v>1</v>
          </cell>
          <cell r="FO7">
            <v>1</v>
          </cell>
          <cell r="FP7">
            <v>1</v>
          </cell>
          <cell r="FQ7">
            <v>1</v>
          </cell>
          <cell r="FR7">
            <v>1</v>
          </cell>
          <cell r="FS7">
            <v>1</v>
          </cell>
          <cell r="FT7">
            <v>1</v>
          </cell>
          <cell r="FU7">
            <v>1</v>
          </cell>
          <cell r="FV7">
            <v>1</v>
          </cell>
          <cell r="FW7">
            <v>1</v>
          </cell>
          <cell r="FX7">
            <v>1</v>
          </cell>
          <cell r="FY7">
            <v>1</v>
          </cell>
          <cell r="FZ7">
            <v>1</v>
          </cell>
          <cell r="GA7">
            <v>1</v>
          </cell>
          <cell r="GB7">
            <v>1</v>
          </cell>
          <cell r="GC7">
            <v>1</v>
          </cell>
          <cell r="GD7">
            <v>1</v>
          </cell>
          <cell r="GE7">
            <v>1</v>
          </cell>
          <cell r="GF7">
            <v>1</v>
          </cell>
          <cell r="GG7">
            <v>1</v>
          </cell>
          <cell r="GH7">
            <v>1</v>
          </cell>
          <cell r="GI7">
            <v>1</v>
          </cell>
          <cell r="GJ7">
            <v>1</v>
          </cell>
          <cell r="GK7">
            <v>1</v>
          </cell>
          <cell r="GL7">
            <v>1</v>
          </cell>
          <cell r="GM7">
            <v>1</v>
          </cell>
          <cell r="GN7">
            <v>1</v>
          </cell>
          <cell r="GO7">
            <v>1</v>
          </cell>
          <cell r="GP7">
            <v>1</v>
          </cell>
          <cell r="GQ7">
            <v>1</v>
          </cell>
          <cell r="GR7">
            <v>1</v>
          </cell>
          <cell r="GS7">
            <v>1</v>
          </cell>
          <cell r="GT7">
            <v>1</v>
          </cell>
          <cell r="GU7">
            <v>1</v>
          </cell>
          <cell r="GV7">
            <v>1</v>
          </cell>
          <cell r="GW7">
            <v>1</v>
          </cell>
          <cell r="GX7">
            <v>1</v>
          </cell>
        </row>
        <row r="8">
          <cell r="A8" t="str">
            <v>Yr end date</v>
          </cell>
          <cell r="B8">
            <v>40872</v>
          </cell>
          <cell r="D8">
            <v>37072</v>
          </cell>
          <cell r="E8">
            <v>37437</v>
          </cell>
          <cell r="F8">
            <v>37802</v>
          </cell>
          <cell r="G8">
            <v>38168</v>
          </cell>
          <cell r="H8">
            <v>38533</v>
          </cell>
          <cell r="I8">
            <v>38898</v>
          </cell>
          <cell r="J8">
            <v>39263</v>
          </cell>
          <cell r="K8">
            <v>39629</v>
          </cell>
          <cell r="L8">
            <v>39994</v>
          </cell>
          <cell r="M8">
            <v>40359</v>
          </cell>
          <cell r="N8">
            <v>40724</v>
          </cell>
          <cell r="O8">
            <v>41090</v>
          </cell>
          <cell r="P8">
            <v>41455</v>
          </cell>
          <cell r="Q8">
            <v>41820</v>
          </cell>
          <cell r="R8">
            <v>42185</v>
          </cell>
          <cell r="S8">
            <v>42551</v>
          </cell>
          <cell r="T8">
            <v>42916</v>
          </cell>
          <cell r="U8">
            <v>43281</v>
          </cell>
          <cell r="V8">
            <v>43646</v>
          </cell>
          <cell r="W8">
            <v>44012</v>
          </cell>
          <cell r="X8">
            <v>44377</v>
          </cell>
          <cell r="Y8">
            <v>44742</v>
          </cell>
          <cell r="Z8">
            <v>45107</v>
          </cell>
          <cell r="AA8">
            <v>45473</v>
          </cell>
          <cell r="AB8">
            <v>45838</v>
          </cell>
          <cell r="AC8">
            <v>46203</v>
          </cell>
          <cell r="AD8">
            <v>46568</v>
          </cell>
          <cell r="AE8">
            <v>46934</v>
          </cell>
          <cell r="AF8">
            <v>47299</v>
          </cell>
          <cell r="AG8">
            <v>47664</v>
          </cell>
          <cell r="AH8">
            <v>48029</v>
          </cell>
          <cell r="AI8">
            <v>48395</v>
          </cell>
          <cell r="AJ8">
            <v>48760</v>
          </cell>
          <cell r="AK8">
            <v>49125</v>
          </cell>
          <cell r="AL8">
            <v>49490</v>
          </cell>
          <cell r="AM8">
            <v>49856</v>
          </cell>
          <cell r="AN8">
            <v>50221</v>
          </cell>
          <cell r="AO8">
            <v>50586</v>
          </cell>
          <cell r="AP8">
            <v>50951</v>
          </cell>
          <cell r="AQ8">
            <v>51317</v>
          </cell>
          <cell r="AR8">
            <v>51682</v>
          </cell>
          <cell r="AS8">
            <v>52047</v>
          </cell>
          <cell r="AT8">
            <v>52412</v>
          </cell>
          <cell r="AU8">
            <v>52778</v>
          </cell>
          <cell r="AV8">
            <v>53143</v>
          </cell>
          <cell r="AW8">
            <v>53508</v>
          </cell>
          <cell r="AX8">
            <v>53873</v>
          </cell>
          <cell r="AY8">
            <v>54239</v>
          </cell>
          <cell r="AZ8">
            <v>54604</v>
          </cell>
          <cell r="BA8">
            <v>54969</v>
          </cell>
          <cell r="BE8">
            <v>36891</v>
          </cell>
          <cell r="BF8">
            <v>37072</v>
          </cell>
          <cell r="BG8">
            <v>37072</v>
          </cell>
          <cell r="BH8">
            <v>37256</v>
          </cell>
          <cell r="BI8">
            <v>37437</v>
          </cell>
          <cell r="BJ8">
            <v>37437</v>
          </cell>
          <cell r="BK8">
            <v>37621</v>
          </cell>
          <cell r="BL8">
            <v>37802</v>
          </cell>
          <cell r="BM8">
            <v>37802</v>
          </cell>
          <cell r="BN8">
            <v>37986</v>
          </cell>
          <cell r="BO8">
            <v>38168</v>
          </cell>
          <cell r="BP8">
            <v>38168</v>
          </cell>
          <cell r="BQ8">
            <v>38352</v>
          </cell>
          <cell r="BR8">
            <v>38533</v>
          </cell>
          <cell r="BS8">
            <v>38533</v>
          </cell>
          <cell r="BT8">
            <v>38717</v>
          </cell>
          <cell r="BU8">
            <v>38898</v>
          </cell>
          <cell r="BV8">
            <v>38898</v>
          </cell>
          <cell r="BW8">
            <v>39082</v>
          </cell>
          <cell r="BX8">
            <v>39263</v>
          </cell>
          <cell r="BY8">
            <v>39263</v>
          </cell>
          <cell r="BZ8">
            <v>39447</v>
          </cell>
          <cell r="CA8">
            <v>39629</v>
          </cell>
          <cell r="CB8">
            <v>39629</v>
          </cell>
          <cell r="CC8">
            <v>39813</v>
          </cell>
          <cell r="CD8">
            <v>39994</v>
          </cell>
          <cell r="CE8">
            <v>39994</v>
          </cell>
          <cell r="CF8">
            <v>40178</v>
          </cell>
          <cell r="CG8">
            <v>40359</v>
          </cell>
          <cell r="CH8">
            <v>40359</v>
          </cell>
          <cell r="CI8">
            <v>40543</v>
          </cell>
          <cell r="CJ8">
            <v>40724</v>
          </cell>
          <cell r="CK8">
            <v>40724</v>
          </cell>
          <cell r="CL8">
            <v>40908</v>
          </cell>
          <cell r="CM8">
            <v>41090</v>
          </cell>
          <cell r="CN8">
            <v>41090</v>
          </cell>
          <cell r="CO8">
            <v>41274</v>
          </cell>
          <cell r="CP8">
            <v>41455</v>
          </cell>
          <cell r="CQ8">
            <v>41455</v>
          </cell>
          <cell r="CR8">
            <v>41639</v>
          </cell>
          <cell r="CS8">
            <v>41820</v>
          </cell>
          <cell r="CT8">
            <v>41820</v>
          </cell>
          <cell r="CU8">
            <v>42004</v>
          </cell>
          <cell r="CV8">
            <v>42185</v>
          </cell>
          <cell r="CW8">
            <v>42185</v>
          </cell>
          <cell r="CX8">
            <v>42369</v>
          </cell>
          <cell r="CY8">
            <v>42551</v>
          </cell>
          <cell r="CZ8">
            <v>42551</v>
          </cell>
          <cell r="DA8">
            <v>42735</v>
          </cell>
          <cell r="DB8">
            <v>42916</v>
          </cell>
          <cell r="DC8">
            <v>42916</v>
          </cell>
          <cell r="DD8">
            <v>43100</v>
          </cell>
          <cell r="DE8">
            <v>43281</v>
          </cell>
          <cell r="DF8">
            <v>43281</v>
          </cell>
          <cell r="DG8">
            <v>43465</v>
          </cell>
          <cell r="DH8">
            <v>43646</v>
          </cell>
          <cell r="DI8">
            <v>43646</v>
          </cell>
          <cell r="DJ8">
            <v>43830</v>
          </cell>
          <cell r="DK8">
            <v>44012</v>
          </cell>
          <cell r="DL8">
            <v>44012</v>
          </cell>
          <cell r="DM8">
            <v>44196</v>
          </cell>
          <cell r="DN8">
            <v>44377</v>
          </cell>
          <cell r="DO8">
            <v>44377</v>
          </cell>
          <cell r="DP8">
            <v>44561</v>
          </cell>
          <cell r="DQ8">
            <v>44742</v>
          </cell>
          <cell r="DR8">
            <v>44742</v>
          </cell>
          <cell r="DS8">
            <v>44926</v>
          </cell>
          <cell r="DT8">
            <v>45107</v>
          </cell>
          <cell r="DU8">
            <v>45107</v>
          </cell>
          <cell r="DV8">
            <v>45291</v>
          </cell>
          <cell r="DW8">
            <v>45473</v>
          </cell>
          <cell r="DX8">
            <v>45473</v>
          </cell>
          <cell r="DY8">
            <v>45657</v>
          </cell>
          <cell r="DZ8">
            <v>45838</v>
          </cell>
          <cell r="EA8">
            <v>45838</v>
          </cell>
          <cell r="EB8">
            <v>46022</v>
          </cell>
          <cell r="EC8">
            <v>46203</v>
          </cell>
          <cell r="ED8">
            <v>46203</v>
          </cell>
          <cell r="EE8">
            <v>46387</v>
          </cell>
          <cell r="EF8">
            <v>46568</v>
          </cell>
          <cell r="EG8">
            <v>46568</v>
          </cell>
          <cell r="EH8">
            <v>46752</v>
          </cell>
          <cell r="EI8">
            <v>46934</v>
          </cell>
          <cell r="EJ8">
            <v>46934</v>
          </cell>
          <cell r="EK8">
            <v>47118</v>
          </cell>
          <cell r="EL8">
            <v>47299</v>
          </cell>
          <cell r="EM8">
            <v>47299</v>
          </cell>
          <cell r="EN8">
            <v>47483</v>
          </cell>
          <cell r="EO8">
            <v>47664</v>
          </cell>
          <cell r="EP8">
            <v>47664</v>
          </cell>
          <cell r="EQ8">
            <v>47848</v>
          </cell>
          <cell r="ER8">
            <v>48029</v>
          </cell>
          <cell r="ES8">
            <v>48029</v>
          </cell>
          <cell r="ET8">
            <v>48213</v>
          </cell>
          <cell r="EU8">
            <v>48395</v>
          </cell>
          <cell r="EV8">
            <v>48395</v>
          </cell>
          <cell r="EW8">
            <v>48579</v>
          </cell>
          <cell r="EX8">
            <v>48760</v>
          </cell>
          <cell r="EY8">
            <v>48760</v>
          </cell>
          <cell r="EZ8">
            <v>48944</v>
          </cell>
          <cell r="FA8">
            <v>49125</v>
          </cell>
          <cell r="FB8">
            <v>49125</v>
          </cell>
          <cell r="FC8">
            <v>49309</v>
          </cell>
          <cell r="FD8">
            <v>49490</v>
          </cell>
          <cell r="FE8">
            <v>49490</v>
          </cell>
          <cell r="FF8">
            <v>49674</v>
          </cell>
          <cell r="FG8">
            <v>49856</v>
          </cell>
          <cell r="FH8">
            <v>49856</v>
          </cell>
          <cell r="FI8">
            <v>50040</v>
          </cell>
          <cell r="FJ8">
            <v>50221</v>
          </cell>
          <cell r="FK8">
            <v>50221</v>
          </cell>
          <cell r="FL8">
            <v>50405</v>
          </cell>
          <cell r="FM8">
            <v>50586</v>
          </cell>
          <cell r="FN8">
            <v>50586</v>
          </cell>
          <cell r="FO8">
            <v>50770</v>
          </cell>
          <cell r="FP8">
            <v>50951</v>
          </cell>
          <cell r="FQ8">
            <v>50951</v>
          </cell>
          <cell r="FR8">
            <v>51135</v>
          </cell>
          <cell r="FS8">
            <v>51317</v>
          </cell>
          <cell r="FT8">
            <v>51317</v>
          </cell>
          <cell r="FU8">
            <v>51501</v>
          </cell>
          <cell r="FV8">
            <v>51682</v>
          </cell>
          <cell r="FW8">
            <v>51682</v>
          </cell>
          <cell r="FX8">
            <v>51866</v>
          </cell>
          <cell r="FY8">
            <v>52047</v>
          </cell>
          <cell r="FZ8">
            <v>52047</v>
          </cell>
          <cell r="GA8">
            <v>52231</v>
          </cell>
          <cell r="GB8">
            <v>52412</v>
          </cell>
          <cell r="GC8">
            <v>52412</v>
          </cell>
          <cell r="GD8">
            <v>52596</v>
          </cell>
          <cell r="GE8">
            <v>52778</v>
          </cell>
          <cell r="GF8">
            <v>52778</v>
          </cell>
          <cell r="GG8">
            <v>52962</v>
          </cell>
          <cell r="GH8">
            <v>53143</v>
          </cell>
          <cell r="GI8">
            <v>53143</v>
          </cell>
          <cell r="GJ8">
            <v>53327</v>
          </cell>
          <cell r="GK8">
            <v>53508</v>
          </cell>
          <cell r="GL8">
            <v>53508</v>
          </cell>
          <cell r="GM8">
            <v>53692</v>
          </cell>
          <cell r="GN8">
            <v>53873</v>
          </cell>
          <cell r="GO8">
            <v>53873</v>
          </cell>
          <cell r="GP8">
            <v>54057</v>
          </cell>
          <cell r="GQ8">
            <v>54239</v>
          </cell>
          <cell r="GR8">
            <v>54239</v>
          </cell>
          <cell r="GS8">
            <v>54423</v>
          </cell>
          <cell r="GT8">
            <v>54604</v>
          </cell>
          <cell r="GU8">
            <v>54604</v>
          </cell>
          <cell r="GV8">
            <v>54788</v>
          </cell>
          <cell r="GW8">
            <v>54969</v>
          </cell>
          <cell r="GX8">
            <v>54969</v>
          </cell>
          <cell r="HF8">
            <v>365</v>
          </cell>
          <cell r="HG8">
            <v>0</v>
          </cell>
        </row>
        <row r="9">
          <cell r="A9" t="str">
            <v>Gold Production inflator</v>
          </cell>
          <cell r="B9" t="str">
            <v>%</v>
          </cell>
          <cell r="D9">
            <v>0</v>
          </cell>
          <cell r="E9">
            <v>0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1</v>
          </cell>
          <cell r="S9">
            <v>1</v>
          </cell>
          <cell r="T9">
            <v>1</v>
          </cell>
          <cell r="U9">
            <v>1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</v>
          </cell>
          <cell r="AI9">
            <v>1</v>
          </cell>
          <cell r="AJ9">
            <v>1</v>
          </cell>
          <cell r="AK9">
            <v>1</v>
          </cell>
          <cell r="AL9">
            <v>1</v>
          </cell>
          <cell r="AM9">
            <v>1</v>
          </cell>
          <cell r="AN9">
            <v>1</v>
          </cell>
          <cell r="AO9">
            <v>1</v>
          </cell>
          <cell r="AP9">
            <v>1</v>
          </cell>
          <cell r="AQ9">
            <v>1</v>
          </cell>
          <cell r="AR9">
            <v>1</v>
          </cell>
          <cell r="AS9">
            <v>1</v>
          </cell>
          <cell r="AT9">
            <v>1</v>
          </cell>
          <cell r="AU9">
            <v>1</v>
          </cell>
          <cell r="AV9">
            <v>1</v>
          </cell>
          <cell r="AW9">
            <v>1</v>
          </cell>
          <cell r="AX9">
            <v>1</v>
          </cell>
          <cell r="AY9">
            <v>1</v>
          </cell>
          <cell r="AZ9">
            <v>1</v>
          </cell>
          <cell r="BA9">
            <v>1</v>
          </cell>
          <cell r="BK9">
            <v>1</v>
          </cell>
          <cell r="BL9">
            <v>1</v>
          </cell>
          <cell r="BM9">
            <v>1</v>
          </cell>
          <cell r="BN9">
            <v>1</v>
          </cell>
          <cell r="BO9">
            <v>1</v>
          </cell>
          <cell r="BP9">
            <v>1</v>
          </cell>
          <cell r="BQ9">
            <v>1</v>
          </cell>
          <cell r="BR9">
            <v>1</v>
          </cell>
          <cell r="BS9">
            <v>1</v>
          </cell>
          <cell r="BT9">
            <v>1</v>
          </cell>
          <cell r="BU9">
            <v>1</v>
          </cell>
          <cell r="BV9">
            <v>1</v>
          </cell>
          <cell r="BW9">
            <v>1</v>
          </cell>
          <cell r="BX9">
            <v>1</v>
          </cell>
          <cell r="BY9">
            <v>1</v>
          </cell>
          <cell r="BZ9">
            <v>1</v>
          </cell>
          <cell r="CA9">
            <v>1</v>
          </cell>
          <cell r="CB9">
            <v>1</v>
          </cell>
          <cell r="CC9">
            <v>1</v>
          </cell>
          <cell r="CD9">
            <v>1</v>
          </cell>
          <cell r="CE9">
            <v>1</v>
          </cell>
          <cell r="CF9">
            <v>1</v>
          </cell>
          <cell r="CG9">
            <v>1</v>
          </cell>
          <cell r="CH9">
            <v>1</v>
          </cell>
          <cell r="CI9">
            <v>1</v>
          </cell>
          <cell r="CJ9">
            <v>1</v>
          </cell>
          <cell r="CK9">
            <v>1</v>
          </cell>
          <cell r="CL9">
            <v>1</v>
          </cell>
          <cell r="CM9">
            <v>1</v>
          </cell>
          <cell r="CN9">
            <v>1</v>
          </cell>
          <cell r="CO9">
            <v>1</v>
          </cell>
          <cell r="CP9">
            <v>1</v>
          </cell>
          <cell r="CQ9">
            <v>1</v>
          </cell>
          <cell r="CR9">
            <v>1</v>
          </cell>
          <cell r="CS9">
            <v>1</v>
          </cell>
          <cell r="CT9">
            <v>1</v>
          </cell>
          <cell r="CU9">
            <v>1</v>
          </cell>
          <cell r="CV9">
            <v>1</v>
          </cell>
          <cell r="CW9">
            <v>1</v>
          </cell>
          <cell r="CX9">
            <v>1</v>
          </cell>
          <cell r="CY9">
            <v>1</v>
          </cell>
          <cell r="CZ9">
            <v>1</v>
          </cell>
          <cell r="DA9">
            <v>1</v>
          </cell>
          <cell r="DB9">
            <v>1</v>
          </cell>
          <cell r="DC9">
            <v>1</v>
          </cell>
          <cell r="DD9">
            <v>1</v>
          </cell>
          <cell r="DE9">
            <v>1</v>
          </cell>
          <cell r="DF9">
            <v>1</v>
          </cell>
          <cell r="DG9">
            <v>1</v>
          </cell>
          <cell r="DH9">
            <v>1</v>
          </cell>
          <cell r="DI9">
            <v>1</v>
          </cell>
          <cell r="DJ9">
            <v>1</v>
          </cell>
          <cell r="DK9">
            <v>1</v>
          </cell>
          <cell r="DL9">
            <v>1</v>
          </cell>
          <cell r="DM9">
            <v>1</v>
          </cell>
          <cell r="DN9">
            <v>1</v>
          </cell>
          <cell r="DO9">
            <v>1</v>
          </cell>
          <cell r="DP9">
            <v>1</v>
          </cell>
          <cell r="DQ9">
            <v>1</v>
          </cell>
          <cell r="DR9">
            <v>1</v>
          </cell>
          <cell r="DS9">
            <v>1</v>
          </cell>
          <cell r="DT9">
            <v>1</v>
          </cell>
          <cell r="DU9">
            <v>1</v>
          </cell>
          <cell r="DV9">
            <v>1</v>
          </cell>
          <cell r="DW9">
            <v>1</v>
          </cell>
          <cell r="DX9">
            <v>1</v>
          </cell>
          <cell r="DY9">
            <v>1</v>
          </cell>
          <cell r="DZ9">
            <v>1</v>
          </cell>
          <cell r="EA9">
            <v>1</v>
          </cell>
          <cell r="EB9">
            <v>1</v>
          </cell>
          <cell r="EC9">
            <v>1</v>
          </cell>
          <cell r="ED9">
            <v>1</v>
          </cell>
          <cell r="EE9">
            <v>1</v>
          </cell>
          <cell r="EF9">
            <v>1</v>
          </cell>
          <cell r="EG9">
            <v>1</v>
          </cell>
          <cell r="EH9">
            <v>1</v>
          </cell>
          <cell r="EI9">
            <v>1</v>
          </cell>
          <cell r="EJ9">
            <v>1</v>
          </cell>
          <cell r="EK9">
            <v>1</v>
          </cell>
          <cell r="EL9">
            <v>1</v>
          </cell>
          <cell r="EM9">
            <v>1</v>
          </cell>
          <cell r="EN9">
            <v>1</v>
          </cell>
          <cell r="EO9">
            <v>1</v>
          </cell>
          <cell r="EP9">
            <v>1</v>
          </cell>
          <cell r="EQ9">
            <v>1</v>
          </cell>
          <cell r="ER9">
            <v>1</v>
          </cell>
          <cell r="ES9">
            <v>1</v>
          </cell>
          <cell r="ET9">
            <v>1</v>
          </cell>
          <cell r="EU9">
            <v>1</v>
          </cell>
          <cell r="EV9">
            <v>1</v>
          </cell>
          <cell r="EW9">
            <v>1</v>
          </cell>
          <cell r="EX9">
            <v>1</v>
          </cell>
          <cell r="EY9">
            <v>1</v>
          </cell>
          <cell r="EZ9">
            <v>1</v>
          </cell>
          <cell r="FA9">
            <v>1</v>
          </cell>
          <cell r="FB9">
            <v>1</v>
          </cell>
          <cell r="FC9">
            <v>1</v>
          </cell>
          <cell r="FD9">
            <v>1</v>
          </cell>
          <cell r="FE9">
            <v>1</v>
          </cell>
          <cell r="FF9">
            <v>1</v>
          </cell>
          <cell r="FG9">
            <v>1</v>
          </cell>
          <cell r="FH9">
            <v>1</v>
          </cell>
          <cell r="FI9">
            <v>1</v>
          </cell>
          <cell r="FJ9">
            <v>1</v>
          </cell>
          <cell r="FK9">
            <v>1</v>
          </cell>
          <cell r="FL9">
            <v>1</v>
          </cell>
          <cell r="FM9">
            <v>1</v>
          </cell>
          <cell r="FN9">
            <v>1</v>
          </cell>
          <cell r="FO9">
            <v>1</v>
          </cell>
          <cell r="FP9">
            <v>1</v>
          </cell>
          <cell r="FQ9">
            <v>1</v>
          </cell>
          <cell r="FR9">
            <v>1</v>
          </cell>
          <cell r="FS9">
            <v>1</v>
          </cell>
          <cell r="FT9">
            <v>1</v>
          </cell>
          <cell r="FU9">
            <v>1</v>
          </cell>
          <cell r="FV9">
            <v>1</v>
          </cell>
          <cell r="FW9">
            <v>1</v>
          </cell>
          <cell r="FX9">
            <v>1</v>
          </cell>
          <cell r="FY9">
            <v>1</v>
          </cell>
          <cell r="FZ9">
            <v>1</v>
          </cell>
          <cell r="GA9">
            <v>1</v>
          </cell>
          <cell r="GB9">
            <v>1</v>
          </cell>
          <cell r="GC9">
            <v>1</v>
          </cell>
          <cell r="GD9">
            <v>1</v>
          </cell>
          <cell r="GE9">
            <v>1</v>
          </cell>
          <cell r="GF9">
            <v>1</v>
          </cell>
          <cell r="GG9">
            <v>1</v>
          </cell>
          <cell r="GH9">
            <v>1</v>
          </cell>
          <cell r="GI9">
            <v>1</v>
          </cell>
          <cell r="GJ9">
            <v>1</v>
          </cell>
          <cell r="GK9">
            <v>1</v>
          </cell>
          <cell r="GL9">
            <v>1</v>
          </cell>
          <cell r="GM9">
            <v>1</v>
          </cell>
          <cell r="GN9">
            <v>1</v>
          </cell>
          <cell r="GO9">
            <v>1</v>
          </cell>
          <cell r="GP9">
            <v>1</v>
          </cell>
          <cell r="GQ9">
            <v>1</v>
          </cell>
          <cell r="GR9">
            <v>1</v>
          </cell>
          <cell r="GS9">
            <v>1</v>
          </cell>
          <cell r="GT9">
            <v>1</v>
          </cell>
          <cell r="GU9">
            <v>1</v>
          </cell>
          <cell r="GV9">
            <v>1</v>
          </cell>
          <cell r="GW9">
            <v>1</v>
          </cell>
          <cell r="GX9">
            <v>1</v>
          </cell>
        </row>
        <row r="10">
          <cell r="A10" t="str">
            <v>Cost inflator</v>
          </cell>
          <cell r="B10" t="str">
            <v>%</v>
          </cell>
          <cell r="D10">
            <v>0</v>
          </cell>
          <cell r="E10">
            <v>0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  <cell r="S10">
            <v>1</v>
          </cell>
          <cell r="T10">
            <v>1</v>
          </cell>
          <cell r="U10">
            <v>1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  <cell r="EL10">
            <v>1</v>
          </cell>
          <cell r="EM10">
            <v>1</v>
          </cell>
          <cell r="EN10">
            <v>1</v>
          </cell>
          <cell r="EO10">
            <v>1</v>
          </cell>
          <cell r="EP10">
            <v>1</v>
          </cell>
          <cell r="EQ10">
            <v>1</v>
          </cell>
          <cell r="ER10">
            <v>1</v>
          </cell>
          <cell r="ES10">
            <v>1</v>
          </cell>
          <cell r="ET10">
            <v>1</v>
          </cell>
          <cell r="EU10">
            <v>1</v>
          </cell>
          <cell r="EV10">
            <v>1</v>
          </cell>
          <cell r="EW10">
            <v>1</v>
          </cell>
          <cell r="EX10">
            <v>1</v>
          </cell>
          <cell r="EY10">
            <v>1</v>
          </cell>
          <cell r="EZ10">
            <v>1</v>
          </cell>
          <cell r="FA10">
            <v>1</v>
          </cell>
          <cell r="FB10">
            <v>1</v>
          </cell>
          <cell r="FC10">
            <v>1</v>
          </cell>
          <cell r="FD10">
            <v>1</v>
          </cell>
          <cell r="FE10">
            <v>1</v>
          </cell>
          <cell r="FF10">
            <v>1</v>
          </cell>
          <cell r="FG10">
            <v>1</v>
          </cell>
          <cell r="FH10">
            <v>1</v>
          </cell>
          <cell r="FI10">
            <v>1</v>
          </cell>
          <cell r="FJ10">
            <v>1</v>
          </cell>
          <cell r="FK10">
            <v>1</v>
          </cell>
          <cell r="FL10">
            <v>1</v>
          </cell>
          <cell r="FM10">
            <v>1</v>
          </cell>
          <cell r="FN10">
            <v>1</v>
          </cell>
          <cell r="FO10">
            <v>1</v>
          </cell>
          <cell r="FP10">
            <v>1</v>
          </cell>
          <cell r="FQ10">
            <v>1</v>
          </cell>
          <cell r="FR10">
            <v>1</v>
          </cell>
          <cell r="FS10">
            <v>1</v>
          </cell>
          <cell r="FT10">
            <v>1</v>
          </cell>
          <cell r="FU10">
            <v>1</v>
          </cell>
          <cell r="FV10">
            <v>1</v>
          </cell>
          <cell r="FW10">
            <v>1</v>
          </cell>
          <cell r="FX10">
            <v>1</v>
          </cell>
          <cell r="FY10">
            <v>1</v>
          </cell>
          <cell r="FZ10">
            <v>1</v>
          </cell>
          <cell r="GA10">
            <v>1</v>
          </cell>
          <cell r="GB10">
            <v>1</v>
          </cell>
          <cell r="GC10">
            <v>1</v>
          </cell>
          <cell r="GD10">
            <v>1</v>
          </cell>
          <cell r="GE10">
            <v>1</v>
          </cell>
          <cell r="GF10">
            <v>1</v>
          </cell>
          <cell r="GG10">
            <v>1</v>
          </cell>
          <cell r="GH10">
            <v>1</v>
          </cell>
          <cell r="GI10">
            <v>1</v>
          </cell>
          <cell r="GJ10">
            <v>1</v>
          </cell>
          <cell r="GK10">
            <v>1</v>
          </cell>
          <cell r="GL10">
            <v>1</v>
          </cell>
          <cell r="GM10">
            <v>1</v>
          </cell>
          <cell r="GN10">
            <v>1</v>
          </cell>
          <cell r="GO10">
            <v>1</v>
          </cell>
          <cell r="GP10">
            <v>1</v>
          </cell>
          <cell r="GQ10">
            <v>1</v>
          </cell>
          <cell r="GR10">
            <v>1</v>
          </cell>
          <cell r="GS10">
            <v>1</v>
          </cell>
          <cell r="GT10">
            <v>1</v>
          </cell>
          <cell r="GU10">
            <v>1</v>
          </cell>
          <cell r="GV10">
            <v>1</v>
          </cell>
          <cell r="GW10">
            <v>1</v>
          </cell>
          <cell r="GX10">
            <v>1</v>
          </cell>
        </row>
        <row r="11">
          <cell r="A11" t="str">
            <v>Capex inflator</v>
          </cell>
          <cell r="B11" t="str">
            <v>%</v>
          </cell>
          <cell r="D11">
            <v>0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  <cell r="J11">
            <v>1</v>
          </cell>
          <cell r="K11">
            <v>1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1</v>
          </cell>
          <cell r="S11">
            <v>1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</v>
          </cell>
          <cell r="AI11">
            <v>1</v>
          </cell>
          <cell r="AJ11">
            <v>1</v>
          </cell>
          <cell r="AK11">
            <v>1</v>
          </cell>
          <cell r="AL11">
            <v>1</v>
          </cell>
          <cell r="AM11">
            <v>1</v>
          </cell>
          <cell r="AN11">
            <v>1</v>
          </cell>
          <cell r="AO11">
            <v>1</v>
          </cell>
          <cell r="AP11">
            <v>1</v>
          </cell>
          <cell r="AQ11">
            <v>1</v>
          </cell>
          <cell r="AR11">
            <v>1</v>
          </cell>
          <cell r="AS11">
            <v>1</v>
          </cell>
          <cell r="AT11">
            <v>1</v>
          </cell>
          <cell r="AU11">
            <v>1</v>
          </cell>
          <cell r="AV11">
            <v>1</v>
          </cell>
          <cell r="AW11">
            <v>1</v>
          </cell>
          <cell r="AX11">
            <v>1</v>
          </cell>
          <cell r="AY11">
            <v>1</v>
          </cell>
          <cell r="AZ11">
            <v>1</v>
          </cell>
          <cell r="BA11">
            <v>1</v>
          </cell>
          <cell r="BK11">
            <v>1</v>
          </cell>
          <cell r="BL11">
            <v>1</v>
          </cell>
          <cell r="BM11">
            <v>1</v>
          </cell>
          <cell r="BN11">
            <v>1</v>
          </cell>
          <cell r="BO11">
            <v>1</v>
          </cell>
          <cell r="BP11">
            <v>1</v>
          </cell>
          <cell r="BQ11">
            <v>1</v>
          </cell>
          <cell r="BR11">
            <v>1</v>
          </cell>
          <cell r="BS11">
            <v>1</v>
          </cell>
          <cell r="BT11">
            <v>1</v>
          </cell>
          <cell r="BU11">
            <v>1</v>
          </cell>
          <cell r="BV11">
            <v>1</v>
          </cell>
          <cell r="BW11">
            <v>1</v>
          </cell>
          <cell r="BX11">
            <v>1</v>
          </cell>
          <cell r="BY11">
            <v>1</v>
          </cell>
          <cell r="BZ11">
            <v>1</v>
          </cell>
          <cell r="CA11">
            <v>1</v>
          </cell>
          <cell r="CB11">
            <v>1</v>
          </cell>
          <cell r="CC11">
            <v>1</v>
          </cell>
          <cell r="CD11">
            <v>1</v>
          </cell>
          <cell r="CE11">
            <v>1</v>
          </cell>
          <cell r="CF11">
            <v>1</v>
          </cell>
          <cell r="CG11">
            <v>1</v>
          </cell>
          <cell r="CH11">
            <v>1</v>
          </cell>
          <cell r="CI11">
            <v>1</v>
          </cell>
          <cell r="CJ11">
            <v>1</v>
          </cell>
          <cell r="CK11">
            <v>1</v>
          </cell>
          <cell r="CL11">
            <v>1</v>
          </cell>
          <cell r="CM11">
            <v>1</v>
          </cell>
          <cell r="CN11">
            <v>1</v>
          </cell>
          <cell r="CO11">
            <v>1</v>
          </cell>
          <cell r="CP11">
            <v>1</v>
          </cell>
          <cell r="CQ11">
            <v>1</v>
          </cell>
          <cell r="CR11">
            <v>1</v>
          </cell>
          <cell r="CS11">
            <v>1</v>
          </cell>
          <cell r="CT11">
            <v>1</v>
          </cell>
          <cell r="CU11">
            <v>1</v>
          </cell>
          <cell r="CV11">
            <v>1</v>
          </cell>
          <cell r="CW11">
            <v>1</v>
          </cell>
          <cell r="CX11">
            <v>1</v>
          </cell>
          <cell r="CY11">
            <v>1</v>
          </cell>
          <cell r="CZ11">
            <v>1</v>
          </cell>
          <cell r="DA11">
            <v>1</v>
          </cell>
          <cell r="DB11">
            <v>1</v>
          </cell>
          <cell r="DC11">
            <v>1</v>
          </cell>
          <cell r="DD11">
            <v>1</v>
          </cell>
          <cell r="DE11">
            <v>1</v>
          </cell>
          <cell r="DF11">
            <v>1</v>
          </cell>
          <cell r="DG11">
            <v>1</v>
          </cell>
          <cell r="DH11">
            <v>1</v>
          </cell>
          <cell r="DI11">
            <v>1</v>
          </cell>
          <cell r="DJ11">
            <v>1</v>
          </cell>
          <cell r="DK11">
            <v>1</v>
          </cell>
          <cell r="DL11">
            <v>1</v>
          </cell>
          <cell r="DM11">
            <v>1</v>
          </cell>
          <cell r="DN11">
            <v>1</v>
          </cell>
          <cell r="DO11">
            <v>1</v>
          </cell>
          <cell r="DP11">
            <v>1</v>
          </cell>
          <cell r="DQ11">
            <v>1</v>
          </cell>
          <cell r="DR11">
            <v>1</v>
          </cell>
          <cell r="DS11">
            <v>1</v>
          </cell>
          <cell r="DT11">
            <v>1</v>
          </cell>
          <cell r="DU11">
            <v>1</v>
          </cell>
          <cell r="DV11">
            <v>1</v>
          </cell>
          <cell r="DW11">
            <v>1</v>
          </cell>
          <cell r="DX11">
            <v>1</v>
          </cell>
          <cell r="DY11">
            <v>1</v>
          </cell>
          <cell r="DZ11">
            <v>1</v>
          </cell>
          <cell r="EA11">
            <v>1</v>
          </cell>
          <cell r="EB11">
            <v>1</v>
          </cell>
          <cell r="EC11">
            <v>1</v>
          </cell>
          <cell r="ED11">
            <v>1</v>
          </cell>
          <cell r="EE11">
            <v>1</v>
          </cell>
          <cell r="EF11">
            <v>1</v>
          </cell>
          <cell r="EG11">
            <v>1</v>
          </cell>
          <cell r="EH11">
            <v>1</v>
          </cell>
          <cell r="EI11">
            <v>1</v>
          </cell>
          <cell r="EJ11">
            <v>1</v>
          </cell>
          <cell r="EK11">
            <v>1</v>
          </cell>
          <cell r="EL11">
            <v>1</v>
          </cell>
          <cell r="EM11">
            <v>1</v>
          </cell>
          <cell r="EN11">
            <v>1</v>
          </cell>
          <cell r="EO11">
            <v>1</v>
          </cell>
          <cell r="EP11">
            <v>1</v>
          </cell>
          <cell r="EQ11">
            <v>1</v>
          </cell>
          <cell r="ER11">
            <v>1</v>
          </cell>
          <cell r="ES11">
            <v>1</v>
          </cell>
          <cell r="ET11">
            <v>1</v>
          </cell>
          <cell r="EU11">
            <v>1</v>
          </cell>
          <cell r="EV11">
            <v>1</v>
          </cell>
          <cell r="EW11">
            <v>1</v>
          </cell>
          <cell r="EX11">
            <v>1</v>
          </cell>
          <cell r="EY11">
            <v>1</v>
          </cell>
          <cell r="EZ11">
            <v>1</v>
          </cell>
          <cell r="FA11">
            <v>1</v>
          </cell>
          <cell r="FB11">
            <v>1</v>
          </cell>
          <cell r="FC11">
            <v>1</v>
          </cell>
          <cell r="FD11">
            <v>1</v>
          </cell>
          <cell r="FE11">
            <v>1</v>
          </cell>
          <cell r="FF11">
            <v>1</v>
          </cell>
          <cell r="FG11">
            <v>1</v>
          </cell>
          <cell r="FH11">
            <v>1</v>
          </cell>
          <cell r="FI11">
            <v>1</v>
          </cell>
          <cell r="FJ11">
            <v>1</v>
          </cell>
          <cell r="FK11">
            <v>1</v>
          </cell>
          <cell r="FL11">
            <v>1</v>
          </cell>
          <cell r="FM11">
            <v>1</v>
          </cell>
          <cell r="FN11">
            <v>1</v>
          </cell>
          <cell r="FO11">
            <v>1</v>
          </cell>
          <cell r="FP11">
            <v>1</v>
          </cell>
          <cell r="FQ11">
            <v>1</v>
          </cell>
          <cell r="FR11">
            <v>1</v>
          </cell>
          <cell r="FS11">
            <v>1</v>
          </cell>
          <cell r="FT11">
            <v>1</v>
          </cell>
          <cell r="FU11">
            <v>1</v>
          </cell>
          <cell r="FV11">
            <v>1</v>
          </cell>
          <cell r="FW11">
            <v>1</v>
          </cell>
          <cell r="FX11">
            <v>1</v>
          </cell>
          <cell r="FY11">
            <v>1</v>
          </cell>
          <cell r="FZ11">
            <v>1</v>
          </cell>
          <cell r="GA11">
            <v>1</v>
          </cell>
          <cell r="GB11">
            <v>1</v>
          </cell>
          <cell r="GC11">
            <v>1</v>
          </cell>
          <cell r="GD11">
            <v>1</v>
          </cell>
          <cell r="GE11">
            <v>1</v>
          </cell>
          <cell r="GF11">
            <v>1</v>
          </cell>
          <cell r="GG11">
            <v>1</v>
          </cell>
          <cell r="GH11">
            <v>1</v>
          </cell>
          <cell r="GI11">
            <v>1</v>
          </cell>
          <cell r="GJ11">
            <v>1</v>
          </cell>
          <cell r="GK11">
            <v>1</v>
          </cell>
          <cell r="GL11">
            <v>1</v>
          </cell>
          <cell r="GM11">
            <v>1</v>
          </cell>
          <cell r="GN11">
            <v>1</v>
          </cell>
          <cell r="GO11">
            <v>1</v>
          </cell>
          <cell r="GP11">
            <v>1</v>
          </cell>
          <cell r="GQ11">
            <v>1</v>
          </cell>
          <cell r="GR11">
            <v>1</v>
          </cell>
          <cell r="GS11">
            <v>1</v>
          </cell>
          <cell r="GT11">
            <v>1</v>
          </cell>
          <cell r="GU11">
            <v>1</v>
          </cell>
          <cell r="GV11">
            <v>1</v>
          </cell>
          <cell r="GW11">
            <v>1</v>
          </cell>
          <cell r="GX11">
            <v>1</v>
          </cell>
        </row>
        <row r="13">
          <cell r="A13" t="str">
            <v>Reserves &amp; Resources</v>
          </cell>
          <cell r="B13" t="str">
            <v>.</v>
          </cell>
          <cell r="C13" t="str">
            <v>.</v>
          </cell>
          <cell r="D13" t="str">
            <v>.</v>
          </cell>
          <cell r="E13" t="str">
            <v>.</v>
          </cell>
          <cell r="F13" t="str">
            <v>.</v>
          </cell>
          <cell r="G13" t="str">
            <v>.</v>
          </cell>
          <cell r="H13" t="str">
            <v>.</v>
          </cell>
          <cell r="I13" t="str">
            <v>.</v>
          </cell>
          <cell r="J13" t="str">
            <v>.</v>
          </cell>
          <cell r="K13" t="str">
            <v>.</v>
          </cell>
          <cell r="L13" t="str">
            <v>.</v>
          </cell>
          <cell r="M13" t="str">
            <v>.</v>
          </cell>
          <cell r="N13" t="str">
            <v>.</v>
          </cell>
          <cell r="O13" t="str">
            <v>.</v>
          </cell>
          <cell r="P13" t="str">
            <v>.</v>
          </cell>
          <cell r="Q13" t="str">
            <v>.</v>
          </cell>
          <cell r="R13" t="str">
            <v>.</v>
          </cell>
          <cell r="S13" t="str">
            <v>.</v>
          </cell>
          <cell r="T13" t="str">
            <v>.</v>
          </cell>
          <cell r="U13" t="str">
            <v>.</v>
          </cell>
          <cell r="V13" t="str">
            <v>.</v>
          </cell>
          <cell r="W13" t="str">
            <v>.</v>
          </cell>
          <cell r="X13" t="str">
            <v>.</v>
          </cell>
          <cell r="Y13" t="str">
            <v>.</v>
          </cell>
          <cell r="Z13" t="str">
            <v>.</v>
          </cell>
          <cell r="AA13" t="str">
            <v>.</v>
          </cell>
          <cell r="AB13" t="str">
            <v>.</v>
          </cell>
          <cell r="AC13" t="str">
            <v>.</v>
          </cell>
          <cell r="AD13" t="str">
            <v>.</v>
          </cell>
          <cell r="AE13" t="str">
            <v>.</v>
          </cell>
          <cell r="AF13" t="str">
            <v>.</v>
          </cell>
          <cell r="AG13" t="str">
            <v>.</v>
          </cell>
          <cell r="AH13" t="str">
            <v>.</v>
          </cell>
          <cell r="AI13" t="str">
            <v>.</v>
          </cell>
          <cell r="AJ13" t="str">
            <v>.</v>
          </cell>
          <cell r="AK13" t="str">
            <v>.</v>
          </cell>
          <cell r="AL13" t="str">
            <v>.</v>
          </cell>
          <cell r="AM13" t="str">
            <v>.</v>
          </cell>
          <cell r="AN13" t="str">
            <v>.</v>
          </cell>
          <cell r="AO13" t="str">
            <v>.</v>
          </cell>
          <cell r="AP13" t="str">
            <v>.</v>
          </cell>
          <cell r="AQ13" t="str">
            <v>.</v>
          </cell>
          <cell r="AR13" t="str">
            <v>.</v>
          </cell>
          <cell r="AS13" t="str">
            <v>.</v>
          </cell>
          <cell r="AT13" t="str">
            <v>.</v>
          </cell>
          <cell r="AU13" t="str">
            <v>.</v>
          </cell>
          <cell r="AV13" t="str">
            <v>.</v>
          </cell>
          <cell r="AW13" t="str">
            <v>.</v>
          </cell>
          <cell r="AX13" t="str">
            <v>.</v>
          </cell>
          <cell r="AY13" t="str">
            <v>.</v>
          </cell>
          <cell r="AZ13" t="str">
            <v>.</v>
          </cell>
          <cell r="BA13" t="str">
            <v>.</v>
          </cell>
          <cell r="BB13" t="str">
            <v>.</v>
          </cell>
          <cell r="BC13" t="str">
            <v>.</v>
          </cell>
          <cell r="BD13" t="str">
            <v>.</v>
          </cell>
          <cell r="BE13" t="str">
            <v>.</v>
          </cell>
          <cell r="BF13" t="str">
            <v>.</v>
          </cell>
          <cell r="BG13" t="str">
            <v>.</v>
          </cell>
          <cell r="BH13" t="str">
            <v>.</v>
          </cell>
          <cell r="BI13" t="str">
            <v>.</v>
          </cell>
          <cell r="BJ13" t="str">
            <v>.</v>
          </cell>
          <cell r="BK13" t="str">
            <v>.</v>
          </cell>
          <cell r="BL13" t="str">
            <v>.</v>
          </cell>
          <cell r="BM13" t="str">
            <v>.</v>
          </cell>
          <cell r="BN13" t="str">
            <v>.</v>
          </cell>
          <cell r="BO13" t="str">
            <v>.</v>
          </cell>
          <cell r="BP13" t="str">
            <v>.</v>
          </cell>
          <cell r="BQ13" t="str">
            <v>.</v>
          </cell>
          <cell r="BR13" t="str">
            <v>.</v>
          </cell>
          <cell r="BS13" t="str">
            <v>.</v>
          </cell>
          <cell r="BT13" t="str">
            <v>.</v>
          </cell>
          <cell r="BU13" t="str">
            <v>.</v>
          </cell>
          <cell r="BV13" t="str">
            <v>.</v>
          </cell>
          <cell r="BW13" t="str">
            <v>.</v>
          </cell>
          <cell r="BX13" t="str">
            <v>.</v>
          </cell>
          <cell r="BY13" t="str">
            <v>.</v>
          </cell>
          <cell r="BZ13" t="str">
            <v>.</v>
          </cell>
          <cell r="CA13" t="str">
            <v>.</v>
          </cell>
          <cell r="CB13" t="str">
            <v>.</v>
          </cell>
          <cell r="CC13" t="str">
            <v>.</v>
          </cell>
          <cell r="CD13" t="str">
            <v>.</v>
          </cell>
          <cell r="CE13" t="str">
            <v>.</v>
          </cell>
          <cell r="CF13" t="str">
            <v>.</v>
          </cell>
          <cell r="CG13" t="str">
            <v>.</v>
          </cell>
          <cell r="CH13" t="str">
            <v>.</v>
          </cell>
          <cell r="CI13" t="str">
            <v>.</v>
          </cell>
          <cell r="CJ13" t="str">
            <v>.</v>
          </cell>
          <cell r="CK13" t="str">
            <v>.</v>
          </cell>
          <cell r="CL13" t="str">
            <v>.</v>
          </cell>
          <cell r="CM13" t="str">
            <v>.</v>
          </cell>
          <cell r="CN13" t="str">
            <v>.</v>
          </cell>
          <cell r="CO13" t="str">
            <v>.</v>
          </cell>
          <cell r="CP13" t="str">
            <v>.</v>
          </cell>
          <cell r="CQ13" t="str">
            <v>.</v>
          </cell>
          <cell r="CR13" t="str">
            <v>.</v>
          </cell>
          <cell r="CS13" t="str">
            <v>.</v>
          </cell>
          <cell r="CT13" t="str">
            <v>.</v>
          </cell>
          <cell r="CU13" t="str">
            <v>.</v>
          </cell>
          <cell r="CV13" t="str">
            <v>.</v>
          </cell>
          <cell r="CW13" t="str">
            <v>.</v>
          </cell>
          <cell r="CX13" t="str">
            <v>.</v>
          </cell>
          <cell r="CY13" t="str">
            <v>.</v>
          </cell>
          <cell r="CZ13" t="str">
            <v>.</v>
          </cell>
          <cell r="DA13" t="str">
            <v>.</v>
          </cell>
          <cell r="DB13" t="str">
            <v>.</v>
          </cell>
          <cell r="DC13" t="str">
            <v>.</v>
          </cell>
          <cell r="DD13" t="str">
            <v>.</v>
          </cell>
          <cell r="DE13" t="str">
            <v>.</v>
          </cell>
          <cell r="DF13" t="str">
            <v>.</v>
          </cell>
          <cell r="DG13" t="str">
            <v>.</v>
          </cell>
          <cell r="DH13" t="str">
            <v>.</v>
          </cell>
          <cell r="DI13" t="str">
            <v>.</v>
          </cell>
          <cell r="DJ13" t="str">
            <v>.</v>
          </cell>
          <cell r="DK13" t="str">
            <v>.</v>
          </cell>
          <cell r="DL13" t="str">
            <v>.</v>
          </cell>
          <cell r="DM13" t="str">
            <v>.</v>
          </cell>
          <cell r="DN13" t="str">
            <v>.</v>
          </cell>
          <cell r="DO13" t="str">
            <v>.</v>
          </cell>
          <cell r="DP13" t="str">
            <v>.</v>
          </cell>
          <cell r="DQ13" t="str">
            <v>.</v>
          </cell>
          <cell r="DR13" t="str">
            <v>.</v>
          </cell>
          <cell r="DS13" t="str">
            <v>.</v>
          </cell>
          <cell r="DT13" t="str">
            <v>.</v>
          </cell>
          <cell r="DU13" t="str">
            <v>.</v>
          </cell>
          <cell r="DV13" t="str">
            <v>.</v>
          </cell>
          <cell r="DW13" t="str">
            <v>.</v>
          </cell>
          <cell r="DX13" t="str">
            <v>.</v>
          </cell>
          <cell r="DY13" t="str">
            <v>.</v>
          </cell>
          <cell r="DZ13" t="str">
            <v>.</v>
          </cell>
          <cell r="EA13" t="str">
            <v>.</v>
          </cell>
          <cell r="EB13" t="str">
            <v>.</v>
          </cell>
          <cell r="EC13" t="str">
            <v>.</v>
          </cell>
          <cell r="ED13" t="str">
            <v>.</v>
          </cell>
          <cell r="EE13" t="str">
            <v>.</v>
          </cell>
          <cell r="EF13" t="str">
            <v>.</v>
          </cell>
          <cell r="EG13" t="str">
            <v>.</v>
          </cell>
          <cell r="EH13" t="str">
            <v>.</v>
          </cell>
          <cell r="EI13" t="str">
            <v>.</v>
          </cell>
          <cell r="EJ13" t="str">
            <v>.</v>
          </cell>
          <cell r="EK13" t="str">
            <v>.</v>
          </cell>
          <cell r="EL13" t="str">
            <v>.</v>
          </cell>
          <cell r="EM13" t="str">
            <v>.</v>
          </cell>
          <cell r="EN13" t="str">
            <v>.</v>
          </cell>
          <cell r="EO13" t="str">
            <v>.</v>
          </cell>
          <cell r="EP13" t="str">
            <v>.</v>
          </cell>
          <cell r="EQ13" t="str">
            <v>.</v>
          </cell>
          <cell r="ER13" t="str">
            <v>.</v>
          </cell>
          <cell r="ES13" t="str">
            <v>.</v>
          </cell>
          <cell r="ET13" t="str">
            <v>.</v>
          </cell>
          <cell r="EU13" t="str">
            <v>.</v>
          </cell>
          <cell r="EV13" t="str">
            <v>.</v>
          </cell>
          <cell r="EW13" t="str">
            <v>.</v>
          </cell>
          <cell r="EX13" t="str">
            <v>.</v>
          </cell>
          <cell r="EY13" t="str">
            <v>.</v>
          </cell>
          <cell r="EZ13" t="str">
            <v>.</v>
          </cell>
          <cell r="FA13" t="str">
            <v>.</v>
          </cell>
          <cell r="FB13" t="str">
            <v>.</v>
          </cell>
          <cell r="FC13" t="str">
            <v>.</v>
          </cell>
          <cell r="FD13" t="str">
            <v>.</v>
          </cell>
          <cell r="FE13" t="str">
            <v>.</v>
          </cell>
          <cell r="FF13" t="str">
            <v>.</v>
          </cell>
          <cell r="FG13" t="str">
            <v>.</v>
          </cell>
          <cell r="FH13" t="str">
            <v>.</v>
          </cell>
          <cell r="FI13" t="str">
            <v>.</v>
          </cell>
          <cell r="FJ13" t="str">
            <v>.</v>
          </cell>
          <cell r="FK13" t="str">
            <v>.</v>
          </cell>
          <cell r="FL13" t="str">
            <v>.</v>
          </cell>
          <cell r="FM13" t="str">
            <v>.</v>
          </cell>
          <cell r="FN13" t="str">
            <v>.</v>
          </cell>
          <cell r="FO13" t="str">
            <v>.</v>
          </cell>
          <cell r="FP13" t="str">
            <v>.</v>
          </cell>
          <cell r="FQ13" t="str">
            <v>.</v>
          </cell>
          <cell r="FR13" t="str">
            <v>.</v>
          </cell>
          <cell r="FS13" t="str">
            <v>.</v>
          </cell>
          <cell r="FT13" t="str">
            <v>.</v>
          </cell>
          <cell r="FU13" t="str">
            <v>.</v>
          </cell>
          <cell r="FV13" t="str">
            <v>.</v>
          </cell>
          <cell r="FW13" t="str">
            <v>.</v>
          </cell>
          <cell r="FX13" t="str">
            <v>.</v>
          </cell>
          <cell r="FY13" t="str">
            <v>.</v>
          </cell>
          <cell r="FZ13" t="str">
            <v>.</v>
          </cell>
          <cell r="GA13" t="str">
            <v>.</v>
          </cell>
          <cell r="GB13" t="str">
            <v>.</v>
          </cell>
          <cell r="GC13" t="str">
            <v>.</v>
          </cell>
          <cell r="GD13" t="str">
            <v>.</v>
          </cell>
          <cell r="GE13" t="str">
            <v>.</v>
          </cell>
          <cell r="GF13" t="str">
            <v>.</v>
          </cell>
          <cell r="GG13" t="str">
            <v>.</v>
          </cell>
          <cell r="GH13" t="str">
            <v>.</v>
          </cell>
          <cell r="GI13" t="str">
            <v>.</v>
          </cell>
          <cell r="GJ13" t="str">
            <v>.</v>
          </cell>
          <cell r="GK13" t="str">
            <v>.</v>
          </cell>
          <cell r="GL13" t="str">
            <v>.</v>
          </cell>
          <cell r="GM13" t="str">
            <v>.</v>
          </cell>
          <cell r="GN13" t="str">
            <v>.</v>
          </cell>
          <cell r="GO13" t="str">
            <v>.</v>
          </cell>
          <cell r="GP13" t="str">
            <v>.</v>
          </cell>
          <cell r="GQ13" t="str">
            <v>.</v>
          </cell>
          <cell r="GR13" t="str">
            <v>.</v>
          </cell>
          <cell r="GS13" t="str">
            <v>.</v>
          </cell>
          <cell r="GT13" t="str">
            <v>.</v>
          </cell>
          <cell r="GU13" t="str">
            <v>.</v>
          </cell>
          <cell r="GV13" t="str">
            <v>.</v>
          </cell>
          <cell r="GW13" t="str">
            <v>.</v>
          </cell>
          <cell r="GX13" t="str">
            <v>.</v>
          </cell>
        </row>
        <row r="14">
          <cell r="A14" t="str">
            <v>Proved and Provable</v>
          </cell>
          <cell r="B14" t="str">
            <v>Mt</v>
          </cell>
          <cell r="D14">
            <v>0</v>
          </cell>
          <cell r="E14">
            <v>0</v>
          </cell>
          <cell r="F14">
            <v>0</v>
          </cell>
          <cell r="G14">
            <v>149.29999999999998</v>
          </cell>
          <cell r="H14">
            <v>139.92599999999999</v>
          </cell>
          <cell r="I14">
            <v>131.97099999999998</v>
          </cell>
          <cell r="J14">
            <v>254.2</v>
          </cell>
          <cell r="K14">
            <v>239.6</v>
          </cell>
          <cell r="L14">
            <v>234.00299999999999</v>
          </cell>
          <cell r="M14">
            <v>323.02199999999999</v>
          </cell>
          <cell r="N14">
            <v>310.62200000000001</v>
          </cell>
          <cell r="O14">
            <v>298.22200000000004</v>
          </cell>
          <cell r="P14">
            <v>285.82200000000006</v>
          </cell>
          <cell r="Q14">
            <v>273.42200000000008</v>
          </cell>
          <cell r="R14">
            <v>263.42200000000008</v>
          </cell>
          <cell r="S14">
            <v>253.42200000000008</v>
          </cell>
          <cell r="T14">
            <v>243.42200000000008</v>
          </cell>
          <cell r="U14">
            <v>233.42200000000008</v>
          </cell>
          <cell r="V14">
            <v>223.42200000000008</v>
          </cell>
          <cell r="W14">
            <v>213.42200000000008</v>
          </cell>
          <cell r="X14">
            <v>203.42200000000008</v>
          </cell>
          <cell r="Y14">
            <v>193.42200000000008</v>
          </cell>
          <cell r="Z14">
            <v>183.42200000000008</v>
          </cell>
          <cell r="AA14">
            <v>173.42200000000008</v>
          </cell>
          <cell r="AB14">
            <v>163.42200000000008</v>
          </cell>
          <cell r="AC14">
            <v>153.42200000000008</v>
          </cell>
          <cell r="AD14">
            <v>143.42200000000008</v>
          </cell>
          <cell r="AE14">
            <v>133.42200000000008</v>
          </cell>
          <cell r="AF14">
            <v>123.42200000000008</v>
          </cell>
          <cell r="AG14">
            <v>113.42200000000008</v>
          </cell>
          <cell r="AH14">
            <v>103.42200000000008</v>
          </cell>
          <cell r="AI14">
            <v>93.422000000000082</v>
          </cell>
          <cell r="AJ14">
            <v>83.422000000000082</v>
          </cell>
          <cell r="AK14">
            <v>73.422000000000082</v>
          </cell>
          <cell r="AL14">
            <v>63.422000000000082</v>
          </cell>
          <cell r="AM14">
            <v>53.422000000000082</v>
          </cell>
          <cell r="AN14">
            <v>43.422000000000082</v>
          </cell>
          <cell r="AO14">
            <v>33.422000000000082</v>
          </cell>
          <cell r="AP14">
            <v>23.422000000000082</v>
          </cell>
          <cell r="AQ14">
            <v>13.422000000000082</v>
          </cell>
          <cell r="AR14">
            <v>3.4220000000000823</v>
          </cell>
          <cell r="AS14">
            <v>3.4220000000000823</v>
          </cell>
          <cell r="AT14">
            <v>3.4220000000000823</v>
          </cell>
          <cell r="AU14">
            <v>3.4220000000000823</v>
          </cell>
          <cell r="AV14">
            <v>3.4220000000000823</v>
          </cell>
          <cell r="AW14">
            <v>3.4220000000000823</v>
          </cell>
          <cell r="AX14">
            <v>3.4220000000000823</v>
          </cell>
          <cell r="AY14">
            <v>3.4220000000000823</v>
          </cell>
          <cell r="AZ14">
            <v>3.4220000000000823</v>
          </cell>
          <cell r="BA14">
            <v>3.4220000000000823</v>
          </cell>
          <cell r="BF14">
            <v>0</v>
          </cell>
          <cell r="BG14">
            <v>0</v>
          </cell>
          <cell r="BI14">
            <v>0</v>
          </cell>
          <cell r="BJ14">
            <v>0</v>
          </cell>
          <cell r="BL14">
            <v>0</v>
          </cell>
          <cell r="BM14">
            <v>0</v>
          </cell>
          <cell r="BO14">
            <v>0</v>
          </cell>
          <cell r="BP14">
            <v>149.29999999999998</v>
          </cell>
          <cell r="BQ14">
            <v>149.29999999999998</v>
          </cell>
          <cell r="BR14">
            <v>143.03899999999999</v>
          </cell>
          <cell r="BS14">
            <v>139.92599999999999</v>
          </cell>
          <cell r="BT14">
            <v>139.92599999999999</v>
          </cell>
          <cell r="BU14">
            <v>138.04999999999998</v>
          </cell>
          <cell r="BV14">
            <v>131.97099999999998</v>
          </cell>
          <cell r="BW14">
            <v>131.97099999999998</v>
          </cell>
          <cell r="BX14">
            <v>125.65499999999997</v>
          </cell>
          <cell r="BY14">
            <v>254.2</v>
          </cell>
          <cell r="BZ14">
            <v>254.2</v>
          </cell>
          <cell r="CA14">
            <v>247.67499999999998</v>
          </cell>
          <cell r="CB14">
            <v>239.6</v>
          </cell>
          <cell r="CC14">
            <v>239.6</v>
          </cell>
          <cell r="CD14">
            <v>234.00299999999999</v>
          </cell>
          <cell r="CE14">
            <v>234.00299999999999</v>
          </cell>
          <cell r="CF14">
            <v>330.8</v>
          </cell>
          <cell r="CG14">
            <v>323.02199999999999</v>
          </cell>
          <cell r="CH14">
            <v>323.02199999999999</v>
          </cell>
          <cell r="CI14">
            <v>316.822</v>
          </cell>
          <cell r="CJ14">
            <v>310.62200000000001</v>
          </cell>
          <cell r="CK14">
            <v>310.62200000000001</v>
          </cell>
          <cell r="CL14">
            <v>304.42200000000003</v>
          </cell>
          <cell r="CM14">
            <v>298.22200000000004</v>
          </cell>
          <cell r="CN14">
            <v>298.22200000000004</v>
          </cell>
          <cell r="CO14">
            <v>292.02200000000005</v>
          </cell>
          <cell r="CP14">
            <v>285.82200000000006</v>
          </cell>
          <cell r="CQ14">
            <v>285.82200000000006</v>
          </cell>
          <cell r="CR14">
            <v>279.62200000000007</v>
          </cell>
          <cell r="CS14">
            <v>273.42200000000008</v>
          </cell>
          <cell r="CT14">
            <v>273.42200000000008</v>
          </cell>
          <cell r="CU14">
            <v>268.42200000000008</v>
          </cell>
          <cell r="CV14">
            <v>263.42200000000008</v>
          </cell>
          <cell r="CW14">
            <v>263.42200000000008</v>
          </cell>
          <cell r="CX14">
            <v>258.42200000000008</v>
          </cell>
          <cell r="CY14">
            <v>253.42200000000008</v>
          </cell>
          <cell r="CZ14">
            <v>253.42200000000008</v>
          </cell>
          <cell r="DA14">
            <v>248.42200000000008</v>
          </cell>
          <cell r="DB14">
            <v>243.42200000000008</v>
          </cell>
          <cell r="DC14">
            <v>243.42200000000008</v>
          </cell>
          <cell r="DD14">
            <v>238.42200000000008</v>
          </cell>
          <cell r="DE14">
            <v>233.42200000000008</v>
          </cell>
          <cell r="DF14">
            <v>233.42200000000008</v>
          </cell>
          <cell r="DG14">
            <v>228.42200000000008</v>
          </cell>
          <cell r="DH14">
            <v>223.42200000000008</v>
          </cell>
          <cell r="DI14">
            <v>223.42200000000008</v>
          </cell>
          <cell r="DJ14">
            <v>218.42200000000008</v>
          </cell>
          <cell r="DK14">
            <v>213.42200000000008</v>
          </cell>
          <cell r="DL14">
            <v>213.42200000000008</v>
          </cell>
          <cell r="DM14">
            <v>208.42200000000008</v>
          </cell>
          <cell r="DN14">
            <v>203.42200000000008</v>
          </cell>
          <cell r="DO14">
            <v>203.42200000000008</v>
          </cell>
          <cell r="DP14">
            <v>198.42200000000008</v>
          </cell>
          <cell r="DQ14">
            <v>193.42200000000008</v>
          </cell>
          <cell r="DR14">
            <v>193.42200000000008</v>
          </cell>
          <cell r="DS14">
            <v>188.42200000000008</v>
          </cell>
          <cell r="DT14">
            <v>183.42200000000008</v>
          </cell>
          <cell r="DU14">
            <v>183.42200000000008</v>
          </cell>
          <cell r="DV14">
            <v>178.42200000000008</v>
          </cell>
          <cell r="DW14">
            <v>173.42200000000008</v>
          </cell>
          <cell r="DX14">
            <v>173.42200000000008</v>
          </cell>
          <cell r="DY14">
            <v>168.42200000000008</v>
          </cell>
          <cell r="DZ14">
            <v>163.42200000000008</v>
          </cell>
          <cell r="EA14">
            <v>163.42200000000008</v>
          </cell>
          <cell r="EB14">
            <v>158.42200000000008</v>
          </cell>
          <cell r="EC14">
            <v>153.42200000000008</v>
          </cell>
          <cell r="ED14">
            <v>153.42200000000008</v>
          </cell>
          <cell r="EE14">
            <v>148.42200000000008</v>
          </cell>
          <cell r="EF14">
            <v>143.42200000000008</v>
          </cell>
          <cell r="EG14">
            <v>143.42200000000008</v>
          </cell>
          <cell r="EH14">
            <v>138.42200000000008</v>
          </cell>
          <cell r="EI14">
            <v>133.42200000000008</v>
          </cell>
          <cell r="EJ14">
            <v>133.42200000000008</v>
          </cell>
          <cell r="EK14">
            <v>128.42200000000008</v>
          </cell>
          <cell r="EL14">
            <v>123.42200000000008</v>
          </cell>
          <cell r="EM14">
            <v>123.42200000000008</v>
          </cell>
          <cell r="EN14">
            <v>118.42200000000008</v>
          </cell>
          <cell r="EO14">
            <v>113.42200000000008</v>
          </cell>
          <cell r="EP14">
            <v>113.42200000000008</v>
          </cell>
          <cell r="EQ14">
            <v>108.42200000000008</v>
          </cell>
          <cell r="ER14">
            <v>103.42200000000008</v>
          </cell>
          <cell r="ES14">
            <v>103.42200000000008</v>
          </cell>
          <cell r="ET14">
            <v>98.422000000000082</v>
          </cell>
          <cell r="EU14">
            <v>93.422000000000082</v>
          </cell>
          <cell r="EV14">
            <v>93.422000000000082</v>
          </cell>
          <cell r="EW14">
            <v>88.422000000000082</v>
          </cell>
          <cell r="EX14">
            <v>83.422000000000082</v>
          </cell>
          <cell r="EY14">
            <v>83.422000000000082</v>
          </cell>
          <cell r="EZ14">
            <v>78.422000000000082</v>
          </cell>
          <cell r="FA14">
            <v>73.422000000000082</v>
          </cell>
          <cell r="FB14">
            <v>73.422000000000082</v>
          </cell>
          <cell r="FC14">
            <v>68.422000000000082</v>
          </cell>
          <cell r="FD14">
            <v>63.422000000000082</v>
          </cell>
          <cell r="FE14">
            <v>63.422000000000082</v>
          </cell>
          <cell r="FF14">
            <v>58.422000000000082</v>
          </cell>
          <cell r="FG14">
            <v>53.422000000000082</v>
          </cell>
          <cell r="FH14">
            <v>53.422000000000082</v>
          </cell>
          <cell r="FI14">
            <v>48.422000000000082</v>
          </cell>
          <cell r="FJ14">
            <v>43.422000000000082</v>
          </cell>
          <cell r="FK14">
            <v>43.422000000000082</v>
          </cell>
          <cell r="FL14">
            <v>38.422000000000082</v>
          </cell>
          <cell r="FM14">
            <v>33.422000000000082</v>
          </cell>
          <cell r="FN14">
            <v>33.422000000000082</v>
          </cell>
          <cell r="FO14">
            <v>28.422000000000082</v>
          </cell>
          <cell r="FP14">
            <v>23.422000000000082</v>
          </cell>
          <cell r="FQ14">
            <v>23.422000000000082</v>
          </cell>
          <cell r="FR14">
            <v>18.422000000000082</v>
          </cell>
          <cell r="FS14">
            <v>13.422000000000082</v>
          </cell>
          <cell r="FT14">
            <v>13.422000000000082</v>
          </cell>
          <cell r="FU14">
            <v>8.4220000000000823</v>
          </cell>
          <cell r="FV14">
            <v>3.4220000000000823</v>
          </cell>
          <cell r="FW14">
            <v>3.4220000000000823</v>
          </cell>
          <cell r="FX14">
            <v>3.4220000000000823</v>
          </cell>
          <cell r="FY14">
            <v>3.4220000000000823</v>
          </cell>
          <cell r="FZ14">
            <v>3.4220000000000823</v>
          </cell>
          <cell r="GA14">
            <v>3.4220000000000823</v>
          </cell>
          <cell r="GB14">
            <v>3.4220000000000823</v>
          </cell>
          <cell r="GC14">
            <v>3.4220000000000823</v>
          </cell>
          <cell r="GD14">
            <v>3.4220000000000823</v>
          </cell>
          <cell r="GE14">
            <v>3.4220000000000823</v>
          </cell>
          <cell r="GF14">
            <v>3.4220000000000823</v>
          </cell>
          <cell r="GG14">
            <v>3.4220000000000823</v>
          </cell>
          <cell r="GH14">
            <v>3.4220000000000823</v>
          </cell>
          <cell r="GI14">
            <v>3.4220000000000823</v>
          </cell>
          <cell r="GJ14">
            <v>3.4220000000000823</v>
          </cell>
          <cell r="GK14">
            <v>3.4220000000000823</v>
          </cell>
          <cell r="GL14">
            <v>3.4220000000000823</v>
          </cell>
          <cell r="GM14">
            <v>3.4220000000000823</v>
          </cell>
          <cell r="GN14">
            <v>3.4220000000000823</v>
          </cell>
          <cell r="GO14">
            <v>3.4220000000000823</v>
          </cell>
          <cell r="GP14">
            <v>3.4220000000000823</v>
          </cell>
          <cell r="GQ14">
            <v>3.4220000000000823</v>
          </cell>
          <cell r="GR14">
            <v>3.4220000000000823</v>
          </cell>
          <cell r="GS14">
            <v>3.4220000000000823</v>
          </cell>
          <cell r="GT14">
            <v>3.4220000000000823</v>
          </cell>
          <cell r="GU14">
            <v>3.4220000000000823</v>
          </cell>
          <cell r="GV14">
            <v>3.4220000000000823</v>
          </cell>
          <cell r="GW14">
            <v>3.4220000000000823</v>
          </cell>
          <cell r="GX14">
            <v>3.4220000000000823</v>
          </cell>
        </row>
        <row r="15">
          <cell r="A15" t="str">
            <v>Gold grade</v>
          </cell>
          <cell r="B15" t="str">
            <v>g/t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2.71</v>
          </cell>
          <cell r="N15">
            <v>2.71</v>
          </cell>
          <cell r="O15">
            <v>2.71</v>
          </cell>
          <cell r="P15">
            <v>2.71</v>
          </cell>
          <cell r="Q15">
            <v>2.71</v>
          </cell>
          <cell r="R15">
            <v>2.71</v>
          </cell>
          <cell r="S15">
            <v>2.71</v>
          </cell>
          <cell r="T15">
            <v>2.71</v>
          </cell>
          <cell r="U15">
            <v>2.71</v>
          </cell>
          <cell r="V15">
            <v>2.71</v>
          </cell>
          <cell r="W15">
            <v>2.71</v>
          </cell>
          <cell r="X15">
            <v>2.71</v>
          </cell>
          <cell r="Y15">
            <v>2.71</v>
          </cell>
          <cell r="Z15">
            <v>2.71</v>
          </cell>
          <cell r="AA15">
            <v>2.71</v>
          </cell>
          <cell r="AB15">
            <v>2.71</v>
          </cell>
          <cell r="AC15">
            <v>2.71</v>
          </cell>
          <cell r="AD15">
            <v>2.71</v>
          </cell>
          <cell r="AE15">
            <v>2.71</v>
          </cell>
          <cell r="AF15">
            <v>2.71</v>
          </cell>
          <cell r="AG15">
            <v>2.71</v>
          </cell>
          <cell r="AH15">
            <v>2.71</v>
          </cell>
          <cell r="AI15">
            <v>2.71</v>
          </cell>
          <cell r="AJ15">
            <v>2.71</v>
          </cell>
          <cell r="AK15">
            <v>2.71</v>
          </cell>
          <cell r="AL15">
            <v>2.71</v>
          </cell>
          <cell r="AM15">
            <v>2.71</v>
          </cell>
          <cell r="AN15">
            <v>2.71</v>
          </cell>
          <cell r="AO15">
            <v>2.71</v>
          </cell>
          <cell r="AP15">
            <v>2.71</v>
          </cell>
          <cell r="AQ15">
            <v>2.71</v>
          </cell>
          <cell r="AR15">
            <v>2.71</v>
          </cell>
          <cell r="AS15">
            <v>2.71</v>
          </cell>
          <cell r="AT15">
            <v>2.71</v>
          </cell>
          <cell r="AU15">
            <v>2.71</v>
          </cell>
          <cell r="AV15">
            <v>2.71</v>
          </cell>
          <cell r="AW15">
            <v>2.71</v>
          </cell>
          <cell r="AX15">
            <v>2.71</v>
          </cell>
          <cell r="AY15">
            <v>2.71</v>
          </cell>
          <cell r="AZ15">
            <v>2.71</v>
          </cell>
          <cell r="BA15">
            <v>2.71</v>
          </cell>
          <cell r="CF15">
            <v>2.71</v>
          </cell>
          <cell r="CG15">
            <v>2.71</v>
          </cell>
          <cell r="CH15">
            <v>2.71</v>
          </cell>
          <cell r="CI15">
            <v>2.71</v>
          </cell>
          <cell r="CJ15">
            <v>2.71</v>
          </cell>
          <cell r="CK15">
            <v>2.71</v>
          </cell>
          <cell r="CL15">
            <v>2.71</v>
          </cell>
          <cell r="CM15">
            <v>2.71</v>
          </cell>
          <cell r="CN15">
            <v>2.71</v>
          </cell>
          <cell r="CO15">
            <v>2.71</v>
          </cell>
          <cell r="CP15">
            <v>2.71</v>
          </cell>
          <cell r="CQ15">
            <v>2.71</v>
          </cell>
          <cell r="CR15">
            <v>2.71</v>
          </cell>
          <cell r="CS15">
            <v>2.71</v>
          </cell>
          <cell r="CT15">
            <v>2.71</v>
          </cell>
          <cell r="CU15">
            <v>2.71</v>
          </cell>
          <cell r="CV15">
            <v>2.71</v>
          </cell>
          <cell r="CW15">
            <v>2.71</v>
          </cell>
          <cell r="CX15">
            <v>2.71</v>
          </cell>
          <cell r="CY15">
            <v>2.71</v>
          </cell>
          <cell r="CZ15">
            <v>2.71</v>
          </cell>
          <cell r="DA15">
            <v>2.71</v>
          </cell>
          <cell r="DB15">
            <v>2.71</v>
          </cell>
          <cell r="DC15">
            <v>2.71</v>
          </cell>
          <cell r="DD15">
            <v>2.71</v>
          </cell>
          <cell r="DE15">
            <v>2.71</v>
          </cell>
          <cell r="DF15">
            <v>2.71</v>
          </cell>
          <cell r="DG15">
            <v>2.71</v>
          </cell>
          <cell r="DH15">
            <v>2.71</v>
          </cell>
          <cell r="DI15">
            <v>2.71</v>
          </cell>
          <cell r="DJ15">
            <v>2.71</v>
          </cell>
          <cell r="DK15">
            <v>2.71</v>
          </cell>
          <cell r="DL15">
            <v>2.71</v>
          </cell>
          <cell r="DM15">
            <v>2.71</v>
          </cell>
          <cell r="DN15">
            <v>2.71</v>
          </cell>
          <cell r="DO15">
            <v>2.71</v>
          </cell>
          <cell r="DP15">
            <v>2.71</v>
          </cell>
          <cell r="DQ15">
            <v>2.71</v>
          </cell>
          <cell r="DR15">
            <v>2.71</v>
          </cell>
          <cell r="DS15">
            <v>2.71</v>
          </cell>
          <cell r="DT15">
            <v>2.71</v>
          </cell>
          <cell r="DU15">
            <v>2.71</v>
          </cell>
          <cell r="DV15">
            <v>2.71</v>
          </cell>
          <cell r="DW15">
            <v>2.71</v>
          </cell>
          <cell r="DX15">
            <v>2.71</v>
          </cell>
          <cell r="DY15">
            <v>2.71</v>
          </cell>
          <cell r="DZ15">
            <v>2.71</v>
          </cell>
          <cell r="EA15">
            <v>2.71</v>
          </cell>
          <cell r="EB15">
            <v>2.71</v>
          </cell>
          <cell r="EC15">
            <v>2.71</v>
          </cell>
          <cell r="ED15">
            <v>2.71</v>
          </cell>
          <cell r="EE15">
            <v>2.71</v>
          </cell>
          <cell r="EF15">
            <v>2.71</v>
          </cell>
          <cell r="EG15">
            <v>2.71</v>
          </cell>
          <cell r="EH15">
            <v>2.71</v>
          </cell>
          <cell r="EI15">
            <v>2.71</v>
          </cell>
          <cell r="EJ15">
            <v>2.71</v>
          </cell>
          <cell r="EK15">
            <v>2.71</v>
          </cell>
          <cell r="EL15">
            <v>2.71</v>
          </cell>
          <cell r="EM15">
            <v>2.71</v>
          </cell>
          <cell r="EN15">
            <v>2.71</v>
          </cell>
          <cell r="EO15">
            <v>2.71</v>
          </cell>
          <cell r="EP15">
            <v>2.71</v>
          </cell>
          <cell r="EQ15">
            <v>2.71</v>
          </cell>
          <cell r="ER15">
            <v>2.71</v>
          </cell>
          <cell r="ES15">
            <v>2.71</v>
          </cell>
          <cell r="ET15">
            <v>2.71</v>
          </cell>
          <cell r="EU15">
            <v>2.71</v>
          </cell>
          <cell r="EV15">
            <v>2.71</v>
          </cell>
          <cell r="EW15">
            <v>2.71</v>
          </cell>
          <cell r="EX15">
            <v>2.71</v>
          </cell>
          <cell r="EY15">
            <v>2.71</v>
          </cell>
          <cell r="EZ15">
            <v>2.71</v>
          </cell>
          <cell r="FA15">
            <v>2.71</v>
          </cell>
          <cell r="FB15">
            <v>2.71</v>
          </cell>
          <cell r="FC15">
            <v>2.71</v>
          </cell>
          <cell r="FD15">
            <v>2.71</v>
          </cell>
          <cell r="FE15">
            <v>2.71</v>
          </cell>
          <cell r="FF15">
            <v>2.71</v>
          </cell>
          <cell r="FG15">
            <v>2.71</v>
          </cell>
          <cell r="FH15">
            <v>2.71</v>
          </cell>
          <cell r="FI15">
            <v>2.71</v>
          </cell>
          <cell r="FJ15">
            <v>2.71</v>
          </cell>
          <cell r="FK15">
            <v>2.71</v>
          </cell>
          <cell r="FL15">
            <v>2.71</v>
          </cell>
          <cell r="FM15">
            <v>2.71</v>
          </cell>
          <cell r="FN15">
            <v>2.71</v>
          </cell>
          <cell r="FO15">
            <v>2.71</v>
          </cell>
          <cell r="FP15">
            <v>2.71</v>
          </cell>
          <cell r="FQ15">
            <v>2.71</v>
          </cell>
          <cell r="FR15">
            <v>2.71</v>
          </cell>
          <cell r="FS15">
            <v>2.71</v>
          </cell>
          <cell r="FT15">
            <v>2.71</v>
          </cell>
          <cell r="FU15">
            <v>2.71</v>
          </cell>
          <cell r="FV15">
            <v>2.71</v>
          </cell>
          <cell r="FW15">
            <v>2.71</v>
          </cell>
          <cell r="FX15">
            <v>2.71</v>
          </cell>
          <cell r="FY15">
            <v>2.71</v>
          </cell>
          <cell r="FZ15">
            <v>2.71</v>
          </cell>
          <cell r="GA15">
            <v>2.71</v>
          </cell>
          <cell r="GB15">
            <v>2.71</v>
          </cell>
          <cell r="GC15">
            <v>2.71</v>
          </cell>
          <cell r="GD15">
            <v>2.71</v>
          </cell>
          <cell r="GE15">
            <v>2.71</v>
          </cell>
          <cell r="GF15">
            <v>2.71</v>
          </cell>
          <cell r="GG15">
            <v>2.71</v>
          </cell>
          <cell r="GH15">
            <v>2.71</v>
          </cell>
          <cell r="GI15">
            <v>2.71</v>
          </cell>
          <cell r="GJ15">
            <v>2.71</v>
          </cell>
          <cell r="GK15">
            <v>2.71</v>
          </cell>
          <cell r="GL15">
            <v>2.71</v>
          </cell>
          <cell r="GM15">
            <v>2.71</v>
          </cell>
          <cell r="GN15">
            <v>2.71</v>
          </cell>
          <cell r="GO15">
            <v>2.71</v>
          </cell>
          <cell r="GP15">
            <v>2.71</v>
          </cell>
          <cell r="GQ15">
            <v>2.71</v>
          </cell>
          <cell r="GR15">
            <v>2.71</v>
          </cell>
          <cell r="GS15">
            <v>2.71</v>
          </cell>
          <cell r="GT15">
            <v>2.71</v>
          </cell>
          <cell r="GU15">
            <v>2.71</v>
          </cell>
          <cell r="GV15">
            <v>2.71</v>
          </cell>
          <cell r="GW15">
            <v>2.71</v>
          </cell>
          <cell r="GX15">
            <v>2.71</v>
          </cell>
        </row>
        <row r="16">
          <cell r="A16" t="str">
            <v>Gold contained</v>
          </cell>
          <cell r="B16" t="str">
            <v>Moz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28.143956404320985</v>
          </cell>
          <cell r="N16">
            <v>27.063580889917695</v>
          </cell>
          <cell r="O16">
            <v>25.983205375514405</v>
          </cell>
          <cell r="P16">
            <v>24.902829861111115</v>
          </cell>
          <cell r="Q16">
            <v>23.822454346707826</v>
          </cell>
          <cell r="R16">
            <v>22.951183770576137</v>
          </cell>
          <cell r="S16">
            <v>22.079913194444451</v>
          </cell>
          <cell r="T16">
            <v>21.208642618312766</v>
          </cell>
          <cell r="U16">
            <v>20.337372042181077</v>
          </cell>
          <cell r="V16">
            <v>19.466101466049391</v>
          </cell>
          <cell r="W16">
            <v>18.594830889917702</v>
          </cell>
          <cell r="X16">
            <v>17.723560313786013</v>
          </cell>
          <cell r="Y16">
            <v>16.852289737654331</v>
          </cell>
          <cell r="Z16">
            <v>15.981019161522642</v>
          </cell>
          <cell r="AA16">
            <v>15.109748585390953</v>
          </cell>
          <cell r="AB16">
            <v>14.238478009259268</v>
          </cell>
          <cell r="AC16">
            <v>13.367207433127579</v>
          </cell>
          <cell r="AD16">
            <v>12.495936856995892</v>
          </cell>
          <cell r="AE16">
            <v>11.624666280864206</v>
          </cell>
          <cell r="AF16">
            <v>10.753395704732517</v>
          </cell>
          <cell r="AG16">
            <v>9.8821251286008316</v>
          </cell>
          <cell r="AH16">
            <v>9.0108545524691426</v>
          </cell>
          <cell r="AI16">
            <v>8.1395839763374553</v>
          </cell>
          <cell r="AJ16">
            <v>7.268313400205769</v>
          </cell>
          <cell r="AK16">
            <v>6.3970428240740809</v>
          </cell>
          <cell r="AL16">
            <v>5.5257722479423936</v>
          </cell>
          <cell r="AM16">
            <v>4.6545016718107064</v>
          </cell>
          <cell r="AN16">
            <v>3.7832310956790196</v>
          </cell>
          <cell r="AO16">
            <v>2.9119605195473324</v>
          </cell>
          <cell r="AP16">
            <v>2.0406899434156451</v>
          </cell>
          <cell r="AQ16">
            <v>1.1694193672839579</v>
          </cell>
          <cell r="AR16">
            <v>0.29814879115227055</v>
          </cell>
          <cell r="AS16">
            <v>0.29814879115227055</v>
          </cell>
          <cell r="AT16">
            <v>0.29814879115227055</v>
          </cell>
          <cell r="AU16">
            <v>0.29814879115227055</v>
          </cell>
          <cell r="AV16">
            <v>0.29814879115227055</v>
          </cell>
          <cell r="AW16">
            <v>0.29814879115227055</v>
          </cell>
          <cell r="AX16">
            <v>0.29814879115227055</v>
          </cell>
          <cell r="AY16">
            <v>0.29814879115227055</v>
          </cell>
          <cell r="AZ16">
            <v>0.29814879115227055</v>
          </cell>
          <cell r="BA16">
            <v>0.29814879115227055</v>
          </cell>
          <cell r="CF16">
            <v>28.821630658436217</v>
          </cell>
          <cell r="CG16">
            <v>28.143956404320985</v>
          </cell>
          <cell r="CH16">
            <v>28.143956404320985</v>
          </cell>
          <cell r="CI16">
            <v>27.603768647119342</v>
          </cell>
          <cell r="CJ16">
            <v>27.063580889917695</v>
          </cell>
          <cell r="CK16">
            <v>27.063580889917695</v>
          </cell>
          <cell r="CL16">
            <v>26.523393132716052</v>
          </cell>
          <cell r="CM16">
            <v>25.983205375514405</v>
          </cell>
          <cell r="CN16">
            <v>25.983205375514405</v>
          </cell>
          <cell r="CO16">
            <v>25.443017618312762</v>
          </cell>
          <cell r="CP16">
            <v>24.902829861111115</v>
          </cell>
          <cell r="CQ16">
            <v>24.902829861111115</v>
          </cell>
          <cell r="CR16">
            <v>24.362642103909472</v>
          </cell>
          <cell r="CS16">
            <v>23.822454346707826</v>
          </cell>
          <cell r="CT16">
            <v>23.822454346707826</v>
          </cell>
          <cell r="CU16">
            <v>23.386819058641983</v>
          </cell>
          <cell r="CV16">
            <v>22.951183770576137</v>
          </cell>
          <cell r="CW16">
            <v>22.951183770576137</v>
          </cell>
          <cell r="CX16">
            <v>22.515548482510297</v>
          </cell>
          <cell r="CY16">
            <v>22.079913194444451</v>
          </cell>
          <cell r="CZ16">
            <v>22.079913194444451</v>
          </cell>
          <cell r="DA16">
            <v>21.644277906378608</v>
          </cell>
          <cell r="DB16">
            <v>21.208642618312766</v>
          </cell>
          <cell r="DC16">
            <v>21.208642618312766</v>
          </cell>
          <cell r="DD16">
            <v>20.773007330246919</v>
          </cell>
          <cell r="DE16">
            <v>20.337372042181077</v>
          </cell>
          <cell r="DF16">
            <v>20.337372042181077</v>
          </cell>
          <cell r="DG16">
            <v>19.901736754115234</v>
          </cell>
          <cell r="DH16">
            <v>19.466101466049391</v>
          </cell>
          <cell r="DI16">
            <v>19.466101466049391</v>
          </cell>
          <cell r="DJ16">
            <v>19.030466177983548</v>
          </cell>
          <cell r="DK16">
            <v>18.594830889917702</v>
          </cell>
          <cell r="DL16">
            <v>18.594830889917702</v>
          </cell>
          <cell r="DM16">
            <v>18.159195601851859</v>
          </cell>
          <cell r="DN16">
            <v>17.723560313786013</v>
          </cell>
          <cell r="DO16">
            <v>17.723560313786013</v>
          </cell>
          <cell r="DP16">
            <v>17.28792502572017</v>
          </cell>
          <cell r="DQ16">
            <v>16.852289737654331</v>
          </cell>
          <cell r="DR16">
            <v>16.852289737654331</v>
          </cell>
          <cell r="DS16">
            <v>16.416654449588485</v>
          </cell>
          <cell r="DT16">
            <v>15.981019161522642</v>
          </cell>
          <cell r="DU16">
            <v>15.981019161522642</v>
          </cell>
          <cell r="DV16">
            <v>15.545383873456798</v>
          </cell>
          <cell r="DW16">
            <v>15.109748585390953</v>
          </cell>
          <cell r="DX16">
            <v>15.109748585390953</v>
          </cell>
          <cell r="DY16">
            <v>14.67411329732511</v>
          </cell>
          <cell r="DZ16">
            <v>14.238478009259268</v>
          </cell>
          <cell r="EA16">
            <v>14.238478009259268</v>
          </cell>
          <cell r="EB16">
            <v>13.802842721193423</v>
          </cell>
          <cell r="EC16">
            <v>13.367207433127579</v>
          </cell>
          <cell r="ED16">
            <v>13.367207433127579</v>
          </cell>
          <cell r="EE16">
            <v>12.931572145061736</v>
          </cell>
          <cell r="EF16">
            <v>12.495936856995892</v>
          </cell>
          <cell r="EG16">
            <v>12.495936856995892</v>
          </cell>
          <cell r="EH16">
            <v>12.060301568930049</v>
          </cell>
          <cell r="EI16">
            <v>11.624666280864206</v>
          </cell>
          <cell r="EJ16">
            <v>11.624666280864206</v>
          </cell>
          <cell r="EK16">
            <v>11.189030992798362</v>
          </cell>
          <cell r="EL16">
            <v>10.753395704732517</v>
          </cell>
          <cell r="EM16">
            <v>10.753395704732517</v>
          </cell>
          <cell r="EN16">
            <v>10.317760416666673</v>
          </cell>
          <cell r="EO16">
            <v>9.8821251286008316</v>
          </cell>
          <cell r="EP16">
            <v>9.8821251286008316</v>
          </cell>
          <cell r="EQ16">
            <v>9.4464898405349871</v>
          </cell>
          <cell r="ER16">
            <v>9.0108545524691426</v>
          </cell>
          <cell r="ES16">
            <v>9.0108545524691426</v>
          </cell>
          <cell r="ET16">
            <v>8.5752192644032998</v>
          </cell>
          <cell r="EU16">
            <v>8.1395839763374553</v>
          </cell>
          <cell r="EV16">
            <v>8.1395839763374553</v>
          </cell>
          <cell r="EW16">
            <v>7.7039486882716117</v>
          </cell>
          <cell r="EX16">
            <v>7.268313400205769</v>
          </cell>
          <cell r="EY16">
            <v>7.268313400205769</v>
          </cell>
          <cell r="EZ16">
            <v>6.8326781121399254</v>
          </cell>
          <cell r="FA16">
            <v>6.3970428240740809</v>
          </cell>
          <cell r="FB16">
            <v>6.3970428240740809</v>
          </cell>
          <cell r="FC16">
            <v>5.9614075360082381</v>
          </cell>
          <cell r="FD16">
            <v>5.5257722479423936</v>
          </cell>
          <cell r="FE16">
            <v>5.5257722479423936</v>
          </cell>
          <cell r="FF16">
            <v>5.0901369598765509</v>
          </cell>
          <cell r="FG16">
            <v>4.6545016718107064</v>
          </cell>
          <cell r="FH16">
            <v>4.6545016718107064</v>
          </cell>
          <cell r="FI16">
            <v>4.2188663837448628</v>
          </cell>
          <cell r="FJ16">
            <v>3.7832310956790196</v>
          </cell>
          <cell r="FK16">
            <v>3.7832310956790196</v>
          </cell>
          <cell r="FL16">
            <v>3.3475958076131755</v>
          </cell>
          <cell r="FM16">
            <v>2.9119605195473324</v>
          </cell>
          <cell r="FN16">
            <v>2.9119605195473324</v>
          </cell>
          <cell r="FO16">
            <v>2.4763252314814888</v>
          </cell>
          <cell r="FP16">
            <v>2.0406899434156451</v>
          </cell>
          <cell r="FQ16">
            <v>2.0406899434156451</v>
          </cell>
          <cell r="FR16">
            <v>1.6050546553498013</v>
          </cell>
          <cell r="FS16">
            <v>1.1694193672839579</v>
          </cell>
          <cell r="FT16">
            <v>1.1694193672839579</v>
          </cell>
          <cell r="FU16">
            <v>0.73378407921811417</v>
          </cell>
          <cell r="FV16">
            <v>0.29814879115227055</v>
          </cell>
          <cell r="FW16">
            <v>0.29814879115227055</v>
          </cell>
          <cell r="FX16">
            <v>0.29814879115227055</v>
          </cell>
          <cell r="FY16">
            <v>0.29814879115227055</v>
          </cell>
          <cell r="FZ16">
            <v>0.29814879115227055</v>
          </cell>
          <cell r="GA16">
            <v>0.29814879115227055</v>
          </cell>
          <cell r="GB16">
            <v>0.29814879115227055</v>
          </cell>
          <cell r="GC16">
            <v>0.29814879115227055</v>
          </cell>
          <cell r="GD16">
            <v>0.29814879115227055</v>
          </cell>
          <cell r="GE16">
            <v>0.29814879115227055</v>
          </cell>
          <cell r="GF16">
            <v>0.29814879115227055</v>
          </cell>
          <cell r="GG16">
            <v>0.29814879115227055</v>
          </cell>
          <cell r="GH16">
            <v>0.29814879115227055</v>
          </cell>
          <cell r="GI16">
            <v>0.29814879115227055</v>
          </cell>
          <cell r="GJ16">
            <v>0.29814879115227055</v>
          </cell>
          <cell r="GK16">
            <v>0.29814879115227055</v>
          </cell>
          <cell r="GL16">
            <v>0.29814879115227055</v>
          </cell>
          <cell r="GM16">
            <v>0.29814879115227055</v>
          </cell>
          <cell r="GN16">
            <v>0.29814879115227055</v>
          </cell>
          <cell r="GO16">
            <v>0.29814879115227055</v>
          </cell>
          <cell r="GP16">
            <v>0.29814879115227055</v>
          </cell>
          <cell r="GQ16">
            <v>0.29814879115227055</v>
          </cell>
          <cell r="GR16">
            <v>0.29814879115227055</v>
          </cell>
          <cell r="GS16">
            <v>0.29814879115227055</v>
          </cell>
          <cell r="GT16">
            <v>0.29814879115227055</v>
          </cell>
          <cell r="GU16">
            <v>0.29814879115227055</v>
          </cell>
          <cell r="GV16">
            <v>0.29814879115227055</v>
          </cell>
          <cell r="GW16">
            <v>0.29814879115227055</v>
          </cell>
          <cell r="GX16">
            <v>0.29814879115227055</v>
          </cell>
        </row>
        <row r="18">
          <cell r="A18" t="str">
            <v>Measured &amp; Indicated</v>
          </cell>
          <cell r="B18" t="str">
            <v>Mt</v>
          </cell>
          <cell r="D18">
            <v>0</v>
          </cell>
          <cell r="E18">
            <v>0</v>
          </cell>
          <cell r="F18">
            <v>0</v>
          </cell>
          <cell r="G18">
            <v>346</v>
          </cell>
          <cell r="H18">
            <v>346</v>
          </cell>
          <cell r="I18">
            <v>346</v>
          </cell>
          <cell r="J18">
            <v>192.8</v>
          </cell>
          <cell r="K18">
            <v>384.1</v>
          </cell>
          <cell r="L18">
            <v>384.1</v>
          </cell>
          <cell r="M18">
            <v>545.62199999999996</v>
          </cell>
          <cell r="N18">
            <v>533.22199999999987</v>
          </cell>
          <cell r="O18">
            <v>520.82199999999978</v>
          </cell>
          <cell r="P18">
            <v>508.42199999999974</v>
          </cell>
          <cell r="Q18">
            <v>496.02199999999976</v>
          </cell>
          <cell r="R18">
            <v>486.02199999999976</v>
          </cell>
          <cell r="S18">
            <v>476.02199999999976</v>
          </cell>
          <cell r="T18">
            <v>466.02199999999976</v>
          </cell>
          <cell r="U18">
            <v>456.02199999999976</v>
          </cell>
          <cell r="V18">
            <v>446.02199999999976</v>
          </cell>
          <cell r="W18">
            <v>436.02199999999976</v>
          </cell>
          <cell r="X18">
            <v>426.02199999999976</v>
          </cell>
          <cell r="Y18">
            <v>416.02199999999976</v>
          </cell>
          <cell r="Z18">
            <v>406.02199999999976</v>
          </cell>
          <cell r="AA18">
            <v>396.02199999999976</v>
          </cell>
          <cell r="AB18">
            <v>386.02199999999976</v>
          </cell>
          <cell r="AC18">
            <v>376.02199999999976</v>
          </cell>
          <cell r="AD18">
            <v>366.02199999999976</v>
          </cell>
          <cell r="AE18">
            <v>356.02199999999976</v>
          </cell>
          <cell r="AF18">
            <v>346.02199999999976</v>
          </cell>
          <cell r="AG18">
            <v>336.02199999999976</v>
          </cell>
          <cell r="AH18">
            <v>326.02199999999976</v>
          </cell>
          <cell r="AI18">
            <v>316.02199999999976</v>
          </cell>
          <cell r="AJ18">
            <v>306.02199999999976</v>
          </cell>
          <cell r="AK18">
            <v>296.02199999999976</v>
          </cell>
          <cell r="AL18">
            <v>286.02199999999976</v>
          </cell>
          <cell r="AM18">
            <v>276.02199999999976</v>
          </cell>
          <cell r="AN18">
            <v>266.02199999999976</v>
          </cell>
          <cell r="AO18">
            <v>256.02199999999976</v>
          </cell>
          <cell r="AP18">
            <v>246.02199999999976</v>
          </cell>
          <cell r="AQ18">
            <v>236.02199999999976</v>
          </cell>
          <cell r="AR18">
            <v>226.02199999999976</v>
          </cell>
          <cell r="AS18">
            <v>226.02199999999976</v>
          </cell>
          <cell r="AT18">
            <v>226.02199999999976</v>
          </cell>
          <cell r="AU18">
            <v>226.02199999999976</v>
          </cell>
          <cell r="AV18">
            <v>226.02199999999976</v>
          </cell>
          <cell r="AW18">
            <v>226.02199999999976</v>
          </cell>
          <cell r="AX18">
            <v>226.02199999999976</v>
          </cell>
          <cell r="AY18">
            <v>226.02199999999976</v>
          </cell>
          <cell r="AZ18">
            <v>226.02199999999976</v>
          </cell>
          <cell r="BA18">
            <v>226.02199999999976</v>
          </cell>
          <cell r="BF18">
            <v>0</v>
          </cell>
          <cell r="BG18">
            <v>0</v>
          </cell>
          <cell r="BI18">
            <v>0</v>
          </cell>
          <cell r="BJ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346</v>
          </cell>
          <cell r="BQ18">
            <v>346</v>
          </cell>
          <cell r="BR18">
            <v>346</v>
          </cell>
          <cell r="BS18">
            <v>346</v>
          </cell>
          <cell r="BT18">
            <v>346</v>
          </cell>
          <cell r="BU18">
            <v>346</v>
          </cell>
          <cell r="BV18">
            <v>346</v>
          </cell>
          <cell r="BW18">
            <v>346</v>
          </cell>
          <cell r="BX18">
            <v>346</v>
          </cell>
          <cell r="BY18">
            <v>192.8</v>
          </cell>
          <cell r="BZ18">
            <v>192.8</v>
          </cell>
          <cell r="CA18">
            <v>192.8</v>
          </cell>
          <cell r="CB18">
            <v>384.1</v>
          </cell>
          <cell r="CC18">
            <v>384.1</v>
          </cell>
          <cell r="CD18">
            <v>384.1</v>
          </cell>
          <cell r="CE18">
            <v>384.1</v>
          </cell>
          <cell r="CF18">
            <v>553.4</v>
          </cell>
          <cell r="CG18">
            <v>545.62199999999996</v>
          </cell>
          <cell r="CH18">
            <v>545.62199999999996</v>
          </cell>
          <cell r="CI18">
            <v>539.42199999999991</v>
          </cell>
          <cell r="CJ18">
            <v>533.22199999999987</v>
          </cell>
          <cell r="CK18">
            <v>533.22199999999987</v>
          </cell>
          <cell r="CL18">
            <v>527.02199999999982</v>
          </cell>
          <cell r="CM18">
            <v>520.82199999999978</v>
          </cell>
          <cell r="CN18">
            <v>520.82199999999978</v>
          </cell>
          <cell r="CO18">
            <v>514.62199999999973</v>
          </cell>
          <cell r="CP18">
            <v>508.42199999999974</v>
          </cell>
          <cell r="CQ18">
            <v>508.42199999999974</v>
          </cell>
          <cell r="CR18">
            <v>502.22199999999975</v>
          </cell>
          <cell r="CS18">
            <v>496.02199999999976</v>
          </cell>
          <cell r="CT18">
            <v>496.02199999999976</v>
          </cell>
          <cell r="CU18">
            <v>491.02199999999976</v>
          </cell>
          <cell r="CV18">
            <v>486.02199999999976</v>
          </cell>
          <cell r="CW18">
            <v>486.02199999999976</v>
          </cell>
          <cell r="CX18">
            <v>481.02199999999976</v>
          </cell>
          <cell r="CY18">
            <v>476.02199999999976</v>
          </cell>
          <cell r="CZ18">
            <v>476.02199999999976</v>
          </cell>
          <cell r="DA18">
            <v>471.02199999999976</v>
          </cell>
          <cell r="DB18">
            <v>466.02199999999976</v>
          </cell>
          <cell r="DC18">
            <v>466.02199999999976</v>
          </cell>
          <cell r="DD18">
            <v>461.02199999999976</v>
          </cell>
          <cell r="DE18">
            <v>456.02199999999976</v>
          </cell>
          <cell r="DF18">
            <v>456.02199999999976</v>
          </cell>
          <cell r="DG18">
            <v>451.02199999999976</v>
          </cell>
          <cell r="DH18">
            <v>446.02199999999976</v>
          </cell>
          <cell r="DI18">
            <v>446.02199999999976</v>
          </cell>
          <cell r="DJ18">
            <v>441.02199999999976</v>
          </cell>
          <cell r="DK18">
            <v>436.02199999999976</v>
          </cell>
          <cell r="DL18">
            <v>436.02199999999976</v>
          </cell>
          <cell r="DM18">
            <v>431.02199999999976</v>
          </cell>
          <cell r="DN18">
            <v>426.02199999999976</v>
          </cell>
          <cell r="DO18">
            <v>426.02199999999976</v>
          </cell>
          <cell r="DP18">
            <v>421.02199999999976</v>
          </cell>
          <cell r="DQ18">
            <v>416.02199999999976</v>
          </cell>
          <cell r="DR18">
            <v>416.02199999999976</v>
          </cell>
          <cell r="DS18">
            <v>411.02199999999976</v>
          </cell>
          <cell r="DT18">
            <v>406.02199999999976</v>
          </cell>
          <cell r="DU18">
            <v>406.02199999999976</v>
          </cell>
          <cell r="DV18">
            <v>401.02199999999976</v>
          </cell>
          <cell r="DW18">
            <v>396.02199999999976</v>
          </cell>
          <cell r="DX18">
            <v>396.02199999999976</v>
          </cell>
          <cell r="DY18">
            <v>391.02199999999976</v>
          </cell>
          <cell r="DZ18">
            <v>386.02199999999976</v>
          </cell>
          <cell r="EA18">
            <v>386.02199999999976</v>
          </cell>
          <cell r="EB18">
            <v>381.02199999999976</v>
          </cell>
          <cell r="EC18">
            <v>376.02199999999976</v>
          </cell>
          <cell r="ED18">
            <v>376.02199999999976</v>
          </cell>
          <cell r="EE18">
            <v>371.02199999999976</v>
          </cell>
          <cell r="EF18">
            <v>366.02199999999976</v>
          </cell>
          <cell r="EG18">
            <v>366.02199999999976</v>
          </cell>
          <cell r="EH18">
            <v>361.02199999999976</v>
          </cell>
          <cell r="EI18">
            <v>356.02199999999976</v>
          </cell>
          <cell r="EJ18">
            <v>356.02199999999976</v>
          </cell>
          <cell r="EK18">
            <v>351.02199999999976</v>
          </cell>
          <cell r="EL18">
            <v>346.02199999999976</v>
          </cell>
          <cell r="EM18">
            <v>346.02199999999976</v>
          </cell>
          <cell r="EN18">
            <v>341.02199999999976</v>
          </cell>
          <cell r="EO18">
            <v>336.02199999999976</v>
          </cell>
          <cell r="EP18">
            <v>336.02199999999976</v>
          </cell>
          <cell r="EQ18">
            <v>331.02199999999976</v>
          </cell>
          <cell r="ER18">
            <v>326.02199999999976</v>
          </cell>
          <cell r="ES18">
            <v>326.02199999999976</v>
          </cell>
          <cell r="ET18">
            <v>321.02199999999976</v>
          </cell>
          <cell r="EU18">
            <v>316.02199999999976</v>
          </cell>
          <cell r="EV18">
            <v>316.02199999999976</v>
          </cell>
          <cell r="EW18">
            <v>311.02199999999976</v>
          </cell>
          <cell r="EX18">
            <v>306.02199999999976</v>
          </cell>
          <cell r="EY18">
            <v>306.02199999999976</v>
          </cell>
          <cell r="EZ18">
            <v>301.02199999999976</v>
          </cell>
          <cell r="FA18">
            <v>296.02199999999976</v>
          </cell>
          <cell r="FB18">
            <v>296.02199999999976</v>
          </cell>
          <cell r="FC18">
            <v>291.02199999999976</v>
          </cell>
          <cell r="FD18">
            <v>286.02199999999976</v>
          </cell>
          <cell r="FE18">
            <v>286.02199999999976</v>
          </cell>
          <cell r="FF18">
            <v>281.02199999999976</v>
          </cell>
          <cell r="FG18">
            <v>276.02199999999976</v>
          </cell>
          <cell r="FH18">
            <v>276.02199999999976</v>
          </cell>
          <cell r="FI18">
            <v>271.02199999999976</v>
          </cell>
          <cell r="FJ18">
            <v>266.02199999999976</v>
          </cell>
          <cell r="FK18">
            <v>266.02199999999976</v>
          </cell>
          <cell r="FL18">
            <v>261.02199999999976</v>
          </cell>
          <cell r="FM18">
            <v>256.02199999999976</v>
          </cell>
          <cell r="FN18">
            <v>256.02199999999976</v>
          </cell>
          <cell r="FO18">
            <v>251.02199999999976</v>
          </cell>
          <cell r="FP18">
            <v>246.02199999999976</v>
          </cell>
          <cell r="FQ18">
            <v>246.02199999999976</v>
          </cell>
          <cell r="FR18">
            <v>241.02199999999976</v>
          </cell>
          <cell r="FS18">
            <v>236.02199999999976</v>
          </cell>
          <cell r="FT18">
            <v>236.02199999999976</v>
          </cell>
          <cell r="FU18">
            <v>231.02199999999976</v>
          </cell>
          <cell r="FV18">
            <v>226.02199999999976</v>
          </cell>
          <cell r="FW18">
            <v>226.02199999999976</v>
          </cell>
          <cell r="FX18">
            <v>226.02199999999976</v>
          </cell>
          <cell r="FY18">
            <v>226.02199999999976</v>
          </cell>
          <cell r="FZ18">
            <v>226.02199999999976</v>
          </cell>
          <cell r="GA18">
            <v>226.02199999999976</v>
          </cell>
          <cell r="GB18">
            <v>226.02199999999976</v>
          </cell>
          <cell r="GC18">
            <v>226.02199999999976</v>
          </cell>
          <cell r="GD18">
            <v>226.02199999999976</v>
          </cell>
          <cell r="GE18">
            <v>226.02199999999976</v>
          </cell>
          <cell r="GF18">
            <v>226.02199999999976</v>
          </cell>
          <cell r="GG18">
            <v>226.02199999999976</v>
          </cell>
          <cell r="GH18">
            <v>226.02199999999976</v>
          </cell>
          <cell r="GI18">
            <v>226.02199999999976</v>
          </cell>
          <cell r="GJ18">
            <v>226.02199999999976</v>
          </cell>
          <cell r="GK18">
            <v>226.02199999999976</v>
          </cell>
          <cell r="GL18">
            <v>226.02199999999976</v>
          </cell>
          <cell r="GM18">
            <v>226.02199999999976</v>
          </cell>
          <cell r="GN18">
            <v>226.02199999999976</v>
          </cell>
          <cell r="GO18">
            <v>226.02199999999976</v>
          </cell>
          <cell r="GP18">
            <v>226.02199999999976</v>
          </cell>
          <cell r="GQ18">
            <v>226.02199999999976</v>
          </cell>
          <cell r="GR18">
            <v>226.02199999999976</v>
          </cell>
          <cell r="GS18">
            <v>226.02199999999976</v>
          </cell>
          <cell r="GT18">
            <v>226.02199999999976</v>
          </cell>
          <cell r="GU18">
            <v>226.02199999999976</v>
          </cell>
          <cell r="GV18">
            <v>226.02199999999976</v>
          </cell>
          <cell r="GW18">
            <v>226.02199999999976</v>
          </cell>
          <cell r="GX18">
            <v>226.02199999999976</v>
          </cell>
        </row>
        <row r="19">
          <cell r="A19" t="str">
            <v>Gold grade</v>
          </cell>
          <cell r="B19" t="str">
            <v>g/t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2.4250245885721879</v>
          </cell>
          <cell r="N19">
            <v>2.4257435441876565</v>
          </cell>
          <cell r="O19">
            <v>2.4287350693195981</v>
          </cell>
          <cell r="P19">
            <v>2.4153585184841475</v>
          </cell>
          <cell r="Q19">
            <v>2.3910552490725951</v>
          </cell>
          <cell r="R19">
            <v>2.3414780259371919</v>
          </cell>
          <cell r="S19">
            <v>2.2898178224716612</v>
          </cell>
          <cell r="T19">
            <v>2.2359405475603396</v>
          </cell>
          <cell r="U19">
            <v>2.1797003482764516</v>
          </cell>
          <cell r="V19">
            <v>2.1209382913584607</v>
          </cell>
          <cell r="W19">
            <v>2.0594808632473658</v>
          </cell>
          <cell r="X19">
            <v>1.9951382588725524</v>
          </cell>
          <cell r="Y19">
            <v>1.9277024236409659</v>
          </cell>
          <cell r="Z19">
            <v>1.8569448060807581</v>
          </cell>
          <cell r="AA19">
            <v>1.7826137699953057</v>
          </cell>
          <cell r="AB19">
            <v>1.7044316043843111</v>
          </cell>
          <cell r="AC19">
            <v>1.6220910562525597</v>
          </cell>
          <cell r="AD19">
            <v>1.5352512950608419</v>
          </cell>
          <cell r="AE19">
            <v>1.4435331970701784</v>
          </cell>
          <cell r="AF19">
            <v>1.3465138119942619</v>
          </cell>
          <cell r="AG19">
            <v>1.2437198416188167</v>
          </cell>
          <cell r="AH19">
            <v>1.1346199182478405</v>
          </cell>
          <cell r="AI19">
            <v>1.0186154171341142</v>
          </cell>
          <cell r="AJ19">
            <v>0.89502946755500101</v>
          </cell>
          <cell r="AK19">
            <v>0.76309373656916035</v>
          </cell>
          <cell r="AL19">
            <v>0.62193244034806905</v>
          </cell>
          <cell r="AM19">
            <v>0.47054287998708372</v>
          </cell>
          <cell r="AN19">
            <v>0.30777158726103215</v>
          </cell>
          <cell r="AO19">
            <v>0.13228488002169247</v>
          </cell>
          <cell r="AP19">
            <v>-5.7467763372896753E-2</v>
          </cell>
          <cell r="AQ19">
            <v>-0.26329964034694803</v>
          </cell>
          <cell r="AR19">
            <v>-0.48734495468320749</v>
          </cell>
          <cell r="AS19">
            <v>-0.59354296557029051</v>
          </cell>
          <cell r="AT19">
            <v>-0.69974097645737343</v>
          </cell>
          <cell r="AU19">
            <v>-0.80593898734445646</v>
          </cell>
          <cell r="AV19">
            <v>-0.91213699823153938</v>
          </cell>
          <cell r="AW19">
            <v>-1.0183350091186223</v>
          </cell>
          <cell r="AX19">
            <v>-1.1245330200057053</v>
          </cell>
          <cell r="AY19">
            <v>-1.2307310308927883</v>
          </cell>
          <cell r="AZ19">
            <v>-1.3369290417798714</v>
          </cell>
          <cell r="BA19">
            <v>-1.4431270526669542</v>
          </cell>
          <cell r="CF19">
            <v>2.4168268883267077</v>
          </cell>
          <cell r="CG19">
            <v>2.4250245885721879</v>
          </cell>
          <cell r="CH19">
            <v>2.4250245885721879</v>
          </cell>
          <cell r="CI19">
            <v>2.4229021039820684</v>
          </cell>
          <cell r="CJ19">
            <v>2.4257435441876565</v>
          </cell>
          <cell r="CK19">
            <v>2.4257435441876565</v>
          </cell>
          <cell r="CL19">
            <v>2.4276558087085984</v>
          </cell>
          <cell r="CM19">
            <v>2.4287350693195981</v>
          </cell>
          <cell r="CN19">
            <v>2.4287350693195981</v>
          </cell>
          <cell r="CO19">
            <v>2.4230140591747564</v>
          </cell>
          <cell r="CP19">
            <v>2.4153585184841475</v>
          </cell>
          <cell r="CQ19">
            <v>2.4153585184841475</v>
          </cell>
          <cell r="CR19">
            <v>2.4033568973882407</v>
          </cell>
          <cell r="CS19">
            <v>2.3910552490725951</v>
          </cell>
          <cell r="CT19">
            <v>2.3910552490725951</v>
          </cell>
          <cell r="CU19">
            <v>2.3665190560479292</v>
          </cell>
          <cell r="CV19">
            <v>2.3414780259371919</v>
          </cell>
          <cell r="CW19">
            <v>2.3414780259371919</v>
          </cell>
          <cell r="CX19">
            <v>2.3159164161001486</v>
          </cell>
          <cell r="CY19">
            <v>2.2898178224716612</v>
          </cell>
          <cell r="CZ19">
            <v>2.2898178224716612</v>
          </cell>
          <cell r="DA19">
            <v>2.2631651444558534</v>
          </cell>
          <cell r="DB19">
            <v>2.2359405475603396</v>
          </cell>
          <cell r="DC19">
            <v>2.2359405475603396</v>
          </cell>
          <cell r="DD19">
            <v>2.2081254235989696</v>
          </cell>
          <cell r="DE19">
            <v>2.1797003482764516</v>
          </cell>
          <cell r="DF19">
            <v>2.1797003482764516</v>
          </cell>
          <cell r="DG19">
            <v>2.1506450359516913</v>
          </cell>
          <cell r="DH19">
            <v>2.1209382913584607</v>
          </cell>
          <cell r="DI19">
            <v>2.1209382913584607</v>
          </cell>
          <cell r="DJ19">
            <v>2.0905579580419191</v>
          </cell>
          <cell r="DK19">
            <v>2.0594808632473658</v>
          </cell>
          <cell r="DL19">
            <v>2.0594808632473658</v>
          </cell>
          <cell r="DM19">
            <v>2.0276827589731443</v>
          </cell>
          <cell r="DN19">
            <v>1.9951382588725524</v>
          </cell>
          <cell r="DO19">
            <v>1.9951382588725524</v>
          </cell>
          <cell r="DP19">
            <v>1.9618207706596857</v>
          </cell>
          <cell r="DQ19">
            <v>1.9277024236409659</v>
          </cell>
          <cell r="DR19">
            <v>1.9277024236409659</v>
          </cell>
          <cell r="DS19">
            <v>1.8927539909572764</v>
          </cell>
          <cell r="DT19">
            <v>1.8569448060807581</v>
          </cell>
          <cell r="DU19">
            <v>1.8569448060807581</v>
          </cell>
          <cell r="DV19">
            <v>1.8202426730648225</v>
          </cell>
          <cell r="DW19">
            <v>1.7826137699953057</v>
          </cell>
          <cell r="DX19">
            <v>1.7826137699953057</v>
          </cell>
          <cell r="DY19">
            <v>1.7440225450341944</v>
          </cell>
          <cell r="DZ19">
            <v>1.7044316043843111</v>
          </cell>
          <cell r="EA19">
            <v>1.7044316043843111</v>
          </cell>
          <cell r="EB19">
            <v>1.6638015914328312</v>
          </cell>
          <cell r="EC19">
            <v>1.6220910562525597</v>
          </cell>
          <cell r="ED19">
            <v>1.6220910562525597</v>
          </cell>
          <cell r="EE19">
            <v>1.5792563145513738</v>
          </cell>
          <cell r="EF19">
            <v>1.5352512950608419</v>
          </cell>
          <cell r="EG19">
            <v>1.5352512950608419</v>
          </cell>
          <cell r="EH19">
            <v>1.4900273742432295</v>
          </cell>
          <cell r="EI19">
            <v>1.4435331970701784</v>
          </cell>
          <cell r="EJ19">
            <v>1.4435331970701784</v>
          </cell>
          <cell r="EK19">
            <v>1.3957144824842853</v>
          </cell>
          <cell r="EL19">
            <v>1.3465138119942619</v>
          </cell>
          <cell r="EM19">
            <v>1.3465138119942619</v>
          </cell>
          <cell r="EN19">
            <v>1.295870399672626</v>
          </cell>
          <cell r="EO19">
            <v>1.2437198416188167</v>
          </cell>
          <cell r="EP19">
            <v>1.2437198416188167</v>
          </cell>
          <cell r="EQ19">
            <v>1.18999384271655</v>
          </cell>
          <cell r="ER19">
            <v>1.1346199182478405</v>
          </cell>
          <cell r="ES19">
            <v>1.1346199182478405</v>
          </cell>
          <cell r="ET19">
            <v>1.0775210676223974</v>
          </cell>
          <cell r="EU19">
            <v>1.0186154171341142</v>
          </cell>
          <cell r="EV19">
            <v>1.0186154171341142</v>
          </cell>
          <cell r="EW19">
            <v>0.95781582825921241</v>
          </cell>
          <cell r="EX19">
            <v>0.89502946755500101</v>
          </cell>
          <cell r="EY19">
            <v>0.89502946755500101</v>
          </cell>
          <cell r="EZ19">
            <v>0.83015733369453482</v>
          </cell>
          <cell r="FA19">
            <v>0.76309373656916035</v>
          </cell>
          <cell r="FB19">
            <v>0.76309373656916035</v>
          </cell>
          <cell r="FC19">
            <v>0.69372572269435195</v>
          </cell>
          <cell r="FD19">
            <v>0.62193244034806905</v>
          </cell>
          <cell r="FE19">
            <v>0.62193244034806905</v>
          </cell>
          <cell r="FF19">
            <v>0.54758443693559622</v>
          </cell>
          <cell r="FG19">
            <v>0.47054287998708372</v>
          </cell>
          <cell r="FH19">
            <v>0.47054287998708372</v>
          </cell>
          <cell r="FI19">
            <v>0.39065869192565389</v>
          </cell>
          <cell r="FJ19">
            <v>0.30777158726103215</v>
          </cell>
          <cell r="FK19">
            <v>0.30777158726103215</v>
          </cell>
          <cell r="FL19">
            <v>0.2217089991251083</v>
          </cell>
          <cell r="FM19">
            <v>0.13228488002169247</v>
          </cell>
          <cell r="FN19">
            <v>0.13228488002169247</v>
          </cell>
          <cell r="FO19">
            <v>3.9298359252151097E-2</v>
          </cell>
          <cell r="FP19">
            <v>-5.7467763372896753E-2</v>
          </cell>
          <cell r="FQ19">
            <v>-5.7467763372896753E-2</v>
          </cell>
          <cell r="FR19">
            <v>-0.15824871130953644</v>
          </cell>
          <cell r="FS19">
            <v>-0.26329964034694803</v>
          </cell>
          <cell r="FT19">
            <v>-0.26329964034694803</v>
          </cell>
          <cell r="FU19">
            <v>-0.37289779558088687</v>
          </cell>
          <cell r="FV19">
            <v>-0.48734495468320749</v>
          </cell>
          <cell r="FW19">
            <v>-0.48734495468320749</v>
          </cell>
          <cell r="FX19">
            <v>-0.540443960126749</v>
          </cell>
          <cell r="FY19">
            <v>-0.59354296557029051</v>
          </cell>
          <cell r="FZ19">
            <v>-0.59354296557029051</v>
          </cell>
          <cell r="GA19">
            <v>-0.64664197101383203</v>
          </cell>
          <cell r="GB19">
            <v>-0.69974097645737343</v>
          </cell>
          <cell r="GC19">
            <v>-0.69974097645737343</v>
          </cell>
          <cell r="GD19">
            <v>-0.75283998190091483</v>
          </cell>
          <cell r="GE19">
            <v>-0.80593898734445646</v>
          </cell>
          <cell r="GF19">
            <v>-0.80593898734445646</v>
          </cell>
          <cell r="GG19">
            <v>-0.85903799278799786</v>
          </cell>
          <cell r="GH19">
            <v>-0.91213699823153938</v>
          </cell>
          <cell r="GI19">
            <v>-0.91213699823153938</v>
          </cell>
          <cell r="GJ19">
            <v>-0.96523600367508078</v>
          </cell>
          <cell r="GK19">
            <v>-1.0183350091186223</v>
          </cell>
          <cell r="GL19">
            <v>-1.0183350091186223</v>
          </cell>
          <cell r="GM19">
            <v>-1.0714340145621637</v>
          </cell>
          <cell r="GN19">
            <v>-1.1245330200057053</v>
          </cell>
          <cell r="GO19">
            <v>-1.1245330200057053</v>
          </cell>
          <cell r="GP19">
            <v>-1.1776320254492467</v>
          </cell>
          <cell r="GQ19">
            <v>-1.2307310308927883</v>
          </cell>
          <cell r="GR19">
            <v>-1.2307310308927883</v>
          </cell>
          <cell r="GS19">
            <v>-1.2838300363363297</v>
          </cell>
          <cell r="GT19">
            <v>-1.3369290417798714</v>
          </cell>
          <cell r="GU19">
            <v>-1.3369290417798714</v>
          </cell>
          <cell r="GV19">
            <v>-1.3900280472234126</v>
          </cell>
          <cell r="GW19">
            <v>-1.4431270526669542</v>
          </cell>
          <cell r="GX19">
            <v>-1.4431270526669542</v>
          </cell>
        </row>
        <row r="20">
          <cell r="A20" t="str">
            <v>Gold contained</v>
          </cell>
          <cell r="B20" t="str">
            <v>Moz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42.539440781440781</v>
          </cell>
          <cell r="N20">
            <v>41.584999489417129</v>
          </cell>
          <cell r="O20">
            <v>40.668038074626132</v>
          </cell>
          <cell r="P20">
            <v>39.481140968516804</v>
          </cell>
          <cell r="Q20">
            <v>38.130658653404261</v>
          </cell>
          <cell r="R20">
            <v>36.587250293275638</v>
          </cell>
          <cell r="S20">
            <v>35.043841933147014</v>
          </cell>
          <cell r="T20">
            <v>33.500433573018391</v>
          </cell>
          <cell r="U20">
            <v>31.957025212889771</v>
          </cell>
          <cell r="V20">
            <v>30.413616852761155</v>
          </cell>
          <cell r="W20">
            <v>28.870208492632539</v>
          </cell>
          <cell r="X20">
            <v>27.326800132503923</v>
          </cell>
          <cell r="Y20">
            <v>25.783391772375307</v>
          </cell>
          <cell r="Z20">
            <v>24.239983412246691</v>
          </cell>
          <cell r="AA20">
            <v>22.696575052118074</v>
          </cell>
          <cell r="AB20">
            <v>21.153166691989458</v>
          </cell>
          <cell r="AC20">
            <v>19.609758331860842</v>
          </cell>
          <cell r="AD20">
            <v>18.066349971732226</v>
          </cell>
          <cell r="AE20">
            <v>16.52294161160361</v>
          </cell>
          <cell r="AF20">
            <v>14.979533251474994</v>
          </cell>
          <cell r="AG20">
            <v>13.436124891346378</v>
          </cell>
          <cell r="AH20">
            <v>11.892716531217761</v>
          </cell>
          <cell r="AI20">
            <v>10.349308171089145</v>
          </cell>
          <cell r="AJ20">
            <v>8.8058998109605291</v>
          </cell>
          <cell r="AK20">
            <v>7.2624914508319121</v>
          </cell>
          <cell r="AL20">
            <v>5.7190830907032941</v>
          </cell>
          <cell r="AM20">
            <v>4.1756747305746762</v>
          </cell>
          <cell r="AN20">
            <v>2.6322663704460592</v>
          </cell>
          <cell r="AO20">
            <v>1.0888580103174421</v>
          </cell>
          <cell r="AP20">
            <v>-0.45455034981117515</v>
          </cell>
          <cell r="AQ20">
            <v>-1.9979587099397924</v>
          </cell>
          <cell r="AR20">
            <v>-3.5413670700684095</v>
          </cell>
          <cell r="AS20">
            <v>-4.313071250132718</v>
          </cell>
          <cell r="AT20">
            <v>-5.084775430197026</v>
          </cell>
          <cell r="AU20">
            <v>-5.8564796102613341</v>
          </cell>
          <cell r="AV20">
            <v>-6.6281837903256422</v>
          </cell>
          <cell r="AW20">
            <v>-7.3998879703899503</v>
          </cell>
          <cell r="AX20">
            <v>-8.1715921504542592</v>
          </cell>
          <cell r="AY20">
            <v>-8.9432963305185673</v>
          </cell>
          <cell r="AZ20">
            <v>-9.7150005105828754</v>
          </cell>
          <cell r="BA20">
            <v>-10.486704690647183</v>
          </cell>
          <cell r="CF20">
            <v>43</v>
          </cell>
          <cell r="CG20">
            <v>42.539440781440781</v>
          </cell>
          <cell r="CH20">
            <v>42.539440781440781</v>
          </cell>
          <cell r="CI20">
            <v>42.019248287494051</v>
          </cell>
          <cell r="CJ20">
            <v>41.584999489417129</v>
          </cell>
          <cell r="CK20">
            <v>41.584999489417129</v>
          </cell>
          <cell r="CL20">
            <v>41.133874087487868</v>
          </cell>
          <cell r="CM20">
            <v>40.668038074626132</v>
          </cell>
          <cell r="CN20">
            <v>40.668038074626132</v>
          </cell>
          <cell r="CO20">
            <v>40.0892599395779</v>
          </cell>
          <cell r="CP20">
            <v>39.481140968516804</v>
          </cell>
          <cell r="CQ20">
            <v>39.481140968516804</v>
          </cell>
          <cell r="CR20">
            <v>38.805899810960533</v>
          </cell>
          <cell r="CS20">
            <v>38.130658653404261</v>
          </cell>
          <cell r="CT20">
            <v>38.130658653404261</v>
          </cell>
          <cell r="CU20">
            <v>37.358954473339949</v>
          </cell>
          <cell r="CV20">
            <v>36.587250293275638</v>
          </cell>
          <cell r="CW20">
            <v>36.587250293275638</v>
          </cell>
          <cell r="CX20">
            <v>35.815546113211326</v>
          </cell>
          <cell r="CY20">
            <v>35.043841933147014</v>
          </cell>
          <cell r="CZ20">
            <v>35.043841933147014</v>
          </cell>
          <cell r="DA20">
            <v>34.272137753082703</v>
          </cell>
          <cell r="DB20">
            <v>33.500433573018391</v>
          </cell>
          <cell r="DC20">
            <v>33.500433573018391</v>
          </cell>
          <cell r="DD20">
            <v>32.728729392954079</v>
          </cell>
          <cell r="DE20">
            <v>31.957025212889771</v>
          </cell>
          <cell r="DF20">
            <v>31.957025212889771</v>
          </cell>
          <cell r="DG20">
            <v>31.185321032825463</v>
          </cell>
          <cell r="DH20">
            <v>30.413616852761155</v>
          </cell>
          <cell r="DI20">
            <v>30.413616852761155</v>
          </cell>
          <cell r="DJ20">
            <v>29.641912672696847</v>
          </cell>
          <cell r="DK20">
            <v>28.870208492632539</v>
          </cell>
          <cell r="DL20">
            <v>28.870208492632539</v>
          </cell>
          <cell r="DM20">
            <v>28.098504312568231</v>
          </cell>
          <cell r="DN20">
            <v>27.326800132503923</v>
          </cell>
          <cell r="DO20">
            <v>27.326800132503923</v>
          </cell>
          <cell r="DP20">
            <v>26.555095952439615</v>
          </cell>
          <cell r="DQ20">
            <v>25.783391772375307</v>
          </cell>
          <cell r="DR20">
            <v>25.783391772375307</v>
          </cell>
          <cell r="DS20">
            <v>25.011687592310999</v>
          </cell>
          <cell r="DT20">
            <v>24.239983412246691</v>
          </cell>
          <cell r="DU20">
            <v>24.239983412246691</v>
          </cell>
          <cell r="DV20">
            <v>23.468279232182383</v>
          </cell>
          <cell r="DW20">
            <v>22.696575052118074</v>
          </cell>
          <cell r="DX20">
            <v>22.696575052118074</v>
          </cell>
          <cell r="DY20">
            <v>21.924870872053766</v>
          </cell>
          <cell r="DZ20">
            <v>21.153166691989458</v>
          </cell>
          <cell r="EA20">
            <v>21.153166691989458</v>
          </cell>
          <cell r="EB20">
            <v>20.38146251192515</v>
          </cell>
          <cell r="EC20">
            <v>19.609758331860842</v>
          </cell>
          <cell r="ED20">
            <v>19.609758331860842</v>
          </cell>
          <cell r="EE20">
            <v>18.838054151796534</v>
          </cell>
          <cell r="EF20">
            <v>18.066349971732226</v>
          </cell>
          <cell r="EG20">
            <v>18.066349971732226</v>
          </cell>
          <cell r="EH20">
            <v>17.294645791667918</v>
          </cell>
          <cell r="EI20">
            <v>16.52294161160361</v>
          </cell>
          <cell r="EJ20">
            <v>16.52294161160361</v>
          </cell>
          <cell r="EK20">
            <v>15.751237431539302</v>
          </cell>
          <cell r="EL20">
            <v>14.979533251474994</v>
          </cell>
          <cell r="EM20">
            <v>14.979533251474994</v>
          </cell>
          <cell r="EN20">
            <v>14.207829071410686</v>
          </cell>
          <cell r="EO20">
            <v>13.436124891346378</v>
          </cell>
          <cell r="EP20">
            <v>13.436124891346378</v>
          </cell>
          <cell r="EQ20">
            <v>12.664420711282069</v>
          </cell>
          <cell r="ER20">
            <v>11.892716531217761</v>
          </cell>
          <cell r="ES20">
            <v>11.892716531217761</v>
          </cell>
          <cell r="ET20">
            <v>11.121012351153453</v>
          </cell>
          <cell r="EU20">
            <v>10.349308171089145</v>
          </cell>
          <cell r="EV20">
            <v>10.349308171089145</v>
          </cell>
          <cell r="EW20">
            <v>9.5776039910248372</v>
          </cell>
          <cell r="EX20">
            <v>8.8058998109605291</v>
          </cell>
          <cell r="EY20">
            <v>8.8058998109605291</v>
          </cell>
          <cell r="EZ20">
            <v>8.034195630896221</v>
          </cell>
          <cell r="FA20">
            <v>7.2624914508319121</v>
          </cell>
          <cell r="FB20">
            <v>7.2624914508319121</v>
          </cell>
          <cell r="FC20">
            <v>6.4907872707676031</v>
          </cell>
          <cell r="FD20">
            <v>5.7190830907032941</v>
          </cell>
          <cell r="FE20">
            <v>5.7190830907032941</v>
          </cell>
          <cell r="FF20">
            <v>4.9473789106389852</v>
          </cell>
          <cell r="FG20">
            <v>4.1756747305746762</v>
          </cell>
          <cell r="FH20">
            <v>4.1756747305746762</v>
          </cell>
          <cell r="FI20">
            <v>3.4039705505103677</v>
          </cell>
          <cell r="FJ20">
            <v>2.6322663704460592</v>
          </cell>
          <cell r="FK20">
            <v>2.6322663704460592</v>
          </cell>
          <cell r="FL20">
            <v>1.8605621903817506</v>
          </cell>
          <cell r="FM20">
            <v>1.0888580103174421</v>
          </cell>
          <cell r="FN20">
            <v>1.0888580103174421</v>
          </cell>
          <cell r="FO20">
            <v>0.31715383025313348</v>
          </cell>
          <cell r="FP20">
            <v>-0.45455034981117515</v>
          </cell>
          <cell r="FQ20">
            <v>-0.45455034981117515</v>
          </cell>
          <cell r="FR20">
            <v>-1.2262545298754839</v>
          </cell>
          <cell r="FS20">
            <v>-1.9979587099397924</v>
          </cell>
          <cell r="FT20">
            <v>-1.9979587099397924</v>
          </cell>
          <cell r="FU20">
            <v>-2.7696628900041009</v>
          </cell>
          <cell r="FV20">
            <v>-3.5413670700684095</v>
          </cell>
          <cell r="FW20">
            <v>-3.5413670700684095</v>
          </cell>
          <cell r="FX20">
            <v>-3.9272191601005639</v>
          </cell>
          <cell r="FY20">
            <v>-4.313071250132718</v>
          </cell>
          <cell r="FZ20">
            <v>-4.313071250132718</v>
          </cell>
          <cell r="GA20">
            <v>-4.698923340164872</v>
          </cell>
          <cell r="GB20">
            <v>-5.084775430197026</v>
          </cell>
          <cell r="GC20">
            <v>-5.084775430197026</v>
          </cell>
          <cell r="GD20">
            <v>-5.4706275202291801</v>
          </cell>
          <cell r="GE20">
            <v>-5.8564796102613341</v>
          </cell>
          <cell r="GF20">
            <v>-5.8564796102613341</v>
          </cell>
          <cell r="GG20">
            <v>-6.2423317002934882</v>
          </cell>
          <cell r="GH20">
            <v>-6.6281837903256422</v>
          </cell>
          <cell r="GI20">
            <v>-6.6281837903256422</v>
          </cell>
          <cell r="GJ20">
            <v>-7.0140358803577962</v>
          </cell>
          <cell r="GK20">
            <v>-7.3998879703899503</v>
          </cell>
          <cell r="GL20">
            <v>-7.3998879703899503</v>
          </cell>
          <cell r="GM20">
            <v>-7.7857400604221043</v>
          </cell>
          <cell r="GN20">
            <v>-8.1715921504542592</v>
          </cell>
          <cell r="GO20">
            <v>-8.1715921504542592</v>
          </cell>
          <cell r="GP20">
            <v>-8.5574442404864133</v>
          </cell>
          <cell r="GQ20">
            <v>-8.9432963305185673</v>
          </cell>
          <cell r="GR20">
            <v>-8.9432963305185673</v>
          </cell>
          <cell r="GS20">
            <v>-9.3291484205507214</v>
          </cell>
          <cell r="GT20">
            <v>-9.7150005105828754</v>
          </cell>
          <cell r="GU20">
            <v>-9.7150005105828754</v>
          </cell>
          <cell r="GV20">
            <v>-10.100852600615029</v>
          </cell>
          <cell r="GW20">
            <v>-10.486704690647183</v>
          </cell>
          <cell r="GX20">
            <v>-10.486704690647183</v>
          </cell>
        </row>
        <row r="22">
          <cell r="A22" t="str">
            <v>Inferred Resources</v>
          </cell>
          <cell r="B22" t="str">
            <v>Mt</v>
          </cell>
          <cell r="D22">
            <v>0</v>
          </cell>
          <cell r="E22">
            <v>0</v>
          </cell>
          <cell r="F22">
            <v>0</v>
          </cell>
          <cell r="G22">
            <v>75.8</v>
          </cell>
          <cell r="H22">
            <v>75.8</v>
          </cell>
          <cell r="I22">
            <v>75.8</v>
          </cell>
          <cell r="J22">
            <v>63.4</v>
          </cell>
          <cell r="K22">
            <v>46.4</v>
          </cell>
          <cell r="L22">
            <v>46.4</v>
          </cell>
          <cell r="M22">
            <v>87.3</v>
          </cell>
          <cell r="N22">
            <v>87.3</v>
          </cell>
          <cell r="O22">
            <v>87.3</v>
          </cell>
          <cell r="P22">
            <v>87.3</v>
          </cell>
          <cell r="Q22">
            <v>87.3</v>
          </cell>
          <cell r="R22">
            <v>87.3</v>
          </cell>
          <cell r="S22">
            <v>87.3</v>
          </cell>
          <cell r="T22">
            <v>87.3</v>
          </cell>
          <cell r="U22">
            <v>87.3</v>
          </cell>
          <cell r="V22">
            <v>87.3</v>
          </cell>
          <cell r="W22">
            <v>87.3</v>
          </cell>
          <cell r="X22">
            <v>87.3</v>
          </cell>
          <cell r="Y22">
            <v>87.3</v>
          </cell>
          <cell r="Z22">
            <v>87.3</v>
          </cell>
          <cell r="AA22">
            <v>87.3</v>
          </cell>
          <cell r="AB22">
            <v>87.3</v>
          </cell>
          <cell r="AC22">
            <v>87.3</v>
          </cell>
          <cell r="AD22">
            <v>87.3</v>
          </cell>
          <cell r="AE22">
            <v>87.3</v>
          </cell>
          <cell r="AF22">
            <v>87.3</v>
          </cell>
          <cell r="AG22">
            <v>87.3</v>
          </cell>
          <cell r="AH22">
            <v>87.3</v>
          </cell>
          <cell r="AI22">
            <v>87.3</v>
          </cell>
          <cell r="AJ22">
            <v>87.3</v>
          </cell>
          <cell r="AK22">
            <v>87.3</v>
          </cell>
          <cell r="AL22">
            <v>87.3</v>
          </cell>
          <cell r="AM22">
            <v>87.3</v>
          </cell>
          <cell r="AN22">
            <v>87.3</v>
          </cell>
          <cell r="AO22">
            <v>87.3</v>
          </cell>
          <cell r="AP22">
            <v>87.3</v>
          </cell>
          <cell r="AQ22">
            <v>87.3</v>
          </cell>
          <cell r="AR22">
            <v>87.3</v>
          </cell>
          <cell r="AS22">
            <v>87.3</v>
          </cell>
          <cell r="AT22">
            <v>87.3</v>
          </cell>
          <cell r="AU22">
            <v>87.3</v>
          </cell>
          <cell r="AV22">
            <v>87.3</v>
          </cell>
          <cell r="AW22">
            <v>87.3</v>
          </cell>
          <cell r="AX22">
            <v>87.3</v>
          </cell>
          <cell r="AY22">
            <v>87.3</v>
          </cell>
          <cell r="AZ22">
            <v>87.3</v>
          </cell>
          <cell r="BA22">
            <v>87.3</v>
          </cell>
          <cell r="BF22">
            <v>0</v>
          </cell>
          <cell r="BG22">
            <v>0</v>
          </cell>
          <cell r="BI22">
            <v>0</v>
          </cell>
          <cell r="BJ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75.8</v>
          </cell>
          <cell r="BQ22">
            <v>75.8</v>
          </cell>
          <cell r="BR22">
            <v>75.8</v>
          </cell>
          <cell r="BS22">
            <v>75.8</v>
          </cell>
          <cell r="BT22">
            <v>75.8</v>
          </cell>
          <cell r="BU22">
            <v>75.8</v>
          </cell>
          <cell r="BV22">
            <v>75.8</v>
          </cell>
          <cell r="BW22">
            <v>75.8</v>
          </cell>
          <cell r="BX22">
            <v>75.8</v>
          </cell>
          <cell r="BY22">
            <v>63.4</v>
          </cell>
          <cell r="BZ22">
            <v>63.4</v>
          </cell>
          <cell r="CA22">
            <v>63.4</v>
          </cell>
          <cell r="CB22">
            <v>46.4</v>
          </cell>
          <cell r="CC22">
            <v>46.4</v>
          </cell>
          <cell r="CD22">
            <v>46.4</v>
          </cell>
          <cell r="CE22">
            <v>46.4</v>
          </cell>
          <cell r="CF22">
            <v>87.3</v>
          </cell>
          <cell r="CG22">
            <v>87.3</v>
          </cell>
          <cell r="CH22">
            <v>87.3</v>
          </cell>
          <cell r="CI22">
            <v>87.3</v>
          </cell>
          <cell r="CJ22">
            <v>87.3</v>
          </cell>
          <cell r="CK22">
            <v>87.3</v>
          </cell>
          <cell r="CL22">
            <v>87.3</v>
          </cell>
          <cell r="CM22">
            <v>87.3</v>
          </cell>
          <cell r="CN22">
            <v>87.3</v>
          </cell>
          <cell r="CO22">
            <v>87.3</v>
          </cell>
          <cell r="CP22">
            <v>87.3</v>
          </cell>
          <cell r="CQ22">
            <v>87.3</v>
          </cell>
          <cell r="CR22">
            <v>87.3</v>
          </cell>
          <cell r="CS22">
            <v>87.3</v>
          </cell>
          <cell r="CT22">
            <v>87.3</v>
          </cell>
          <cell r="CU22">
            <v>87.3</v>
          </cell>
          <cell r="CV22">
            <v>87.3</v>
          </cell>
          <cell r="CW22">
            <v>87.3</v>
          </cell>
          <cell r="CX22">
            <v>87.3</v>
          </cell>
          <cell r="CY22">
            <v>87.3</v>
          </cell>
          <cell r="CZ22">
            <v>87.3</v>
          </cell>
          <cell r="DA22">
            <v>87.3</v>
          </cell>
          <cell r="DB22">
            <v>87.3</v>
          </cell>
          <cell r="DC22">
            <v>87.3</v>
          </cell>
          <cell r="DD22">
            <v>87.3</v>
          </cell>
          <cell r="DE22">
            <v>87.3</v>
          </cell>
          <cell r="DF22">
            <v>87.3</v>
          </cell>
          <cell r="DG22">
            <v>87.3</v>
          </cell>
          <cell r="DH22">
            <v>87.3</v>
          </cell>
          <cell r="DI22">
            <v>87.3</v>
          </cell>
          <cell r="DJ22">
            <v>87.3</v>
          </cell>
          <cell r="DK22">
            <v>87.3</v>
          </cell>
          <cell r="DL22">
            <v>87.3</v>
          </cell>
          <cell r="DM22">
            <v>87.3</v>
          </cell>
          <cell r="DN22">
            <v>87.3</v>
          </cell>
          <cell r="DO22">
            <v>87.3</v>
          </cell>
          <cell r="DP22">
            <v>87.3</v>
          </cell>
          <cell r="DQ22">
            <v>87.3</v>
          </cell>
          <cell r="DR22">
            <v>87.3</v>
          </cell>
          <cell r="DS22">
            <v>87.3</v>
          </cell>
          <cell r="DT22">
            <v>87.3</v>
          </cell>
          <cell r="DU22">
            <v>87.3</v>
          </cell>
          <cell r="DV22">
            <v>87.3</v>
          </cell>
          <cell r="DW22">
            <v>87.3</v>
          </cell>
          <cell r="DX22">
            <v>87.3</v>
          </cell>
          <cell r="DY22">
            <v>87.3</v>
          </cell>
          <cell r="DZ22">
            <v>87.3</v>
          </cell>
          <cell r="EA22">
            <v>87.3</v>
          </cell>
          <cell r="EB22">
            <v>87.3</v>
          </cell>
          <cell r="EC22">
            <v>87.3</v>
          </cell>
          <cell r="ED22">
            <v>87.3</v>
          </cell>
          <cell r="EE22">
            <v>87.3</v>
          </cell>
          <cell r="EF22">
            <v>87.3</v>
          </cell>
          <cell r="EG22">
            <v>87.3</v>
          </cell>
          <cell r="EH22">
            <v>87.3</v>
          </cell>
          <cell r="EI22">
            <v>87.3</v>
          </cell>
          <cell r="EJ22">
            <v>87.3</v>
          </cell>
          <cell r="EK22">
            <v>87.3</v>
          </cell>
          <cell r="EL22">
            <v>87.3</v>
          </cell>
          <cell r="EM22">
            <v>87.3</v>
          </cell>
          <cell r="EN22">
            <v>87.3</v>
          </cell>
          <cell r="EO22">
            <v>87.3</v>
          </cell>
          <cell r="EP22">
            <v>87.3</v>
          </cell>
          <cell r="EQ22">
            <v>87.3</v>
          </cell>
          <cell r="ER22">
            <v>87.3</v>
          </cell>
          <cell r="ES22">
            <v>87.3</v>
          </cell>
          <cell r="ET22">
            <v>87.3</v>
          </cell>
          <cell r="EU22">
            <v>87.3</v>
          </cell>
          <cell r="EV22">
            <v>87.3</v>
          </cell>
          <cell r="EW22">
            <v>87.3</v>
          </cell>
          <cell r="EX22">
            <v>87.3</v>
          </cell>
          <cell r="EY22">
            <v>87.3</v>
          </cell>
          <cell r="EZ22">
            <v>87.3</v>
          </cell>
          <cell r="FA22">
            <v>87.3</v>
          </cell>
          <cell r="FB22">
            <v>87.3</v>
          </cell>
          <cell r="FC22">
            <v>87.3</v>
          </cell>
          <cell r="FD22">
            <v>87.3</v>
          </cell>
          <cell r="FE22">
            <v>87.3</v>
          </cell>
          <cell r="FF22">
            <v>87.3</v>
          </cell>
          <cell r="FG22">
            <v>87.3</v>
          </cell>
          <cell r="FH22">
            <v>87.3</v>
          </cell>
          <cell r="FI22">
            <v>87.3</v>
          </cell>
          <cell r="FJ22">
            <v>87.3</v>
          </cell>
          <cell r="FK22">
            <v>87.3</v>
          </cell>
          <cell r="FL22">
            <v>87.3</v>
          </cell>
          <cell r="FM22">
            <v>87.3</v>
          </cell>
          <cell r="FN22">
            <v>87.3</v>
          </cell>
          <cell r="FO22">
            <v>87.3</v>
          </cell>
          <cell r="FP22">
            <v>87.3</v>
          </cell>
          <cell r="FQ22">
            <v>87.3</v>
          </cell>
          <cell r="FR22">
            <v>87.3</v>
          </cell>
          <cell r="FS22">
            <v>87.3</v>
          </cell>
          <cell r="FT22">
            <v>87.3</v>
          </cell>
          <cell r="FU22">
            <v>87.3</v>
          </cell>
          <cell r="FV22">
            <v>87.3</v>
          </cell>
          <cell r="FW22">
            <v>87.3</v>
          </cell>
          <cell r="FX22">
            <v>87.3</v>
          </cell>
          <cell r="FY22">
            <v>87.3</v>
          </cell>
          <cell r="FZ22">
            <v>87.3</v>
          </cell>
          <cell r="GA22">
            <v>87.3</v>
          </cell>
          <cell r="GB22">
            <v>87.3</v>
          </cell>
          <cell r="GC22">
            <v>87.3</v>
          </cell>
          <cell r="GD22">
            <v>87.3</v>
          </cell>
          <cell r="GE22">
            <v>87.3</v>
          </cell>
          <cell r="GF22">
            <v>87.3</v>
          </cell>
          <cell r="GG22">
            <v>87.3</v>
          </cell>
          <cell r="GH22">
            <v>87.3</v>
          </cell>
          <cell r="GI22">
            <v>87.3</v>
          </cell>
          <cell r="GJ22">
            <v>87.3</v>
          </cell>
          <cell r="GK22">
            <v>87.3</v>
          </cell>
          <cell r="GL22">
            <v>87.3</v>
          </cell>
          <cell r="GM22">
            <v>87.3</v>
          </cell>
          <cell r="GN22">
            <v>87.3</v>
          </cell>
          <cell r="GO22">
            <v>87.3</v>
          </cell>
          <cell r="GP22">
            <v>87.3</v>
          </cell>
          <cell r="GQ22">
            <v>87.3</v>
          </cell>
          <cell r="GR22">
            <v>87.3</v>
          </cell>
          <cell r="GS22">
            <v>87.3</v>
          </cell>
          <cell r="GT22">
            <v>87.3</v>
          </cell>
          <cell r="GU22">
            <v>87.3</v>
          </cell>
          <cell r="GV22">
            <v>87.3</v>
          </cell>
          <cell r="GW22">
            <v>87.3</v>
          </cell>
          <cell r="GX22">
            <v>87.3</v>
          </cell>
        </row>
        <row r="23">
          <cell r="A23" t="str">
            <v>Gold grade</v>
          </cell>
          <cell r="B23" t="str">
            <v>g/t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1.95</v>
          </cell>
          <cell r="N23">
            <v>1.95</v>
          </cell>
          <cell r="O23">
            <v>1.95</v>
          </cell>
          <cell r="P23">
            <v>1.95</v>
          </cell>
          <cell r="Q23">
            <v>1.95</v>
          </cell>
          <cell r="R23">
            <v>1.95</v>
          </cell>
          <cell r="S23">
            <v>1.95</v>
          </cell>
          <cell r="T23">
            <v>1.95</v>
          </cell>
          <cell r="U23">
            <v>1.95</v>
          </cell>
          <cell r="V23">
            <v>1.95</v>
          </cell>
          <cell r="W23">
            <v>1.95</v>
          </cell>
          <cell r="X23">
            <v>1.95</v>
          </cell>
          <cell r="Y23">
            <v>1.95</v>
          </cell>
          <cell r="Z23">
            <v>1.95</v>
          </cell>
          <cell r="AA23">
            <v>1.95</v>
          </cell>
          <cell r="AB23">
            <v>1.95</v>
          </cell>
          <cell r="AC23">
            <v>1.95</v>
          </cell>
          <cell r="AD23">
            <v>1.95</v>
          </cell>
          <cell r="AE23">
            <v>1.95</v>
          </cell>
          <cell r="AF23">
            <v>1.95</v>
          </cell>
          <cell r="AG23">
            <v>1.95</v>
          </cell>
          <cell r="AH23">
            <v>1.95</v>
          </cell>
          <cell r="AI23">
            <v>1.95</v>
          </cell>
          <cell r="AJ23">
            <v>1.95</v>
          </cell>
          <cell r="AK23">
            <v>1.95</v>
          </cell>
          <cell r="AL23">
            <v>1.95</v>
          </cell>
          <cell r="AM23">
            <v>1.95</v>
          </cell>
          <cell r="AN23">
            <v>1.95</v>
          </cell>
          <cell r="AO23">
            <v>1.95</v>
          </cell>
          <cell r="AP23">
            <v>1.95</v>
          </cell>
          <cell r="AQ23">
            <v>1.95</v>
          </cell>
          <cell r="AR23">
            <v>1.95</v>
          </cell>
          <cell r="AS23">
            <v>1.95</v>
          </cell>
          <cell r="AT23">
            <v>1.95</v>
          </cell>
          <cell r="AU23">
            <v>1.95</v>
          </cell>
          <cell r="AV23">
            <v>1.95</v>
          </cell>
          <cell r="AW23">
            <v>1.95</v>
          </cell>
          <cell r="AX23">
            <v>1.95</v>
          </cell>
          <cell r="AY23">
            <v>1.95</v>
          </cell>
          <cell r="AZ23">
            <v>1.95</v>
          </cell>
          <cell r="BA23">
            <v>1.95</v>
          </cell>
          <cell r="CF23">
            <v>1.95</v>
          </cell>
          <cell r="CG23">
            <v>1.95</v>
          </cell>
          <cell r="CH23">
            <v>1.95</v>
          </cell>
          <cell r="CI23">
            <v>1.95</v>
          </cell>
          <cell r="CJ23">
            <v>1.95</v>
          </cell>
          <cell r="CK23">
            <v>1.95</v>
          </cell>
          <cell r="CL23">
            <v>1.95</v>
          </cell>
          <cell r="CM23">
            <v>1.95</v>
          </cell>
          <cell r="CN23">
            <v>1.95</v>
          </cell>
          <cell r="CO23">
            <v>1.95</v>
          </cell>
          <cell r="CP23">
            <v>1.95</v>
          </cell>
          <cell r="CQ23">
            <v>1.95</v>
          </cell>
          <cell r="CR23">
            <v>1.95</v>
          </cell>
          <cell r="CS23">
            <v>1.95</v>
          </cell>
          <cell r="CT23">
            <v>1.95</v>
          </cell>
          <cell r="CU23">
            <v>1.95</v>
          </cell>
          <cell r="CV23">
            <v>1.95</v>
          </cell>
          <cell r="CW23">
            <v>1.95</v>
          </cell>
          <cell r="CX23">
            <v>1.95</v>
          </cell>
          <cell r="CY23">
            <v>1.95</v>
          </cell>
          <cell r="CZ23">
            <v>1.95</v>
          </cell>
          <cell r="DA23">
            <v>1.95</v>
          </cell>
          <cell r="DB23">
            <v>1.95</v>
          </cell>
          <cell r="DC23">
            <v>1.95</v>
          </cell>
          <cell r="DD23">
            <v>1.95</v>
          </cell>
          <cell r="DE23">
            <v>1.95</v>
          </cell>
          <cell r="DF23">
            <v>1.95</v>
          </cell>
          <cell r="DG23">
            <v>1.95</v>
          </cell>
          <cell r="DH23">
            <v>1.95</v>
          </cell>
          <cell r="DI23">
            <v>1.95</v>
          </cell>
          <cell r="DJ23">
            <v>1.95</v>
          </cell>
          <cell r="DK23">
            <v>1.95</v>
          </cell>
          <cell r="DL23">
            <v>1.95</v>
          </cell>
          <cell r="DM23">
            <v>1.95</v>
          </cell>
          <cell r="DN23">
            <v>1.95</v>
          </cell>
          <cell r="DO23">
            <v>1.95</v>
          </cell>
          <cell r="DP23">
            <v>1.95</v>
          </cell>
          <cell r="DQ23">
            <v>1.95</v>
          </cell>
          <cell r="DR23">
            <v>1.95</v>
          </cell>
          <cell r="DS23">
            <v>1.95</v>
          </cell>
          <cell r="DT23">
            <v>1.95</v>
          </cell>
          <cell r="DU23">
            <v>1.95</v>
          </cell>
          <cell r="DV23">
            <v>1.95</v>
          </cell>
          <cell r="DW23">
            <v>1.95</v>
          </cell>
          <cell r="DX23">
            <v>1.95</v>
          </cell>
          <cell r="DY23">
            <v>1.95</v>
          </cell>
          <cell r="DZ23">
            <v>1.95</v>
          </cell>
          <cell r="EA23">
            <v>1.95</v>
          </cell>
          <cell r="EB23">
            <v>1.95</v>
          </cell>
          <cell r="EC23">
            <v>1.95</v>
          </cell>
          <cell r="ED23">
            <v>1.95</v>
          </cell>
          <cell r="EE23">
            <v>1.95</v>
          </cell>
          <cell r="EF23">
            <v>1.95</v>
          </cell>
          <cell r="EG23">
            <v>1.95</v>
          </cell>
          <cell r="EH23">
            <v>1.95</v>
          </cell>
          <cell r="EI23">
            <v>1.95</v>
          </cell>
          <cell r="EJ23">
            <v>1.95</v>
          </cell>
          <cell r="EK23">
            <v>1.95</v>
          </cell>
          <cell r="EL23">
            <v>1.95</v>
          </cell>
          <cell r="EM23">
            <v>1.95</v>
          </cell>
          <cell r="EN23">
            <v>1.95</v>
          </cell>
          <cell r="EO23">
            <v>1.95</v>
          </cell>
          <cell r="EP23">
            <v>1.95</v>
          </cell>
          <cell r="EQ23">
            <v>1.95</v>
          </cell>
          <cell r="ER23">
            <v>1.95</v>
          </cell>
          <cell r="ES23">
            <v>1.95</v>
          </cell>
          <cell r="ET23">
            <v>1.95</v>
          </cell>
          <cell r="EU23">
            <v>1.95</v>
          </cell>
          <cell r="EV23">
            <v>1.95</v>
          </cell>
          <cell r="EW23">
            <v>1.95</v>
          </cell>
          <cell r="EX23">
            <v>1.95</v>
          </cell>
          <cell r="EY23">
            <v>1.95</v>
          </cell>
          <cell r="EZ23">
            <v>1.95</v>
          </cell>
          <cell r="FA23">
            <v>1.95</v>
          </cell>
          <cell r="FB23">
            <v>1.95</v>
          </cell>
          <cell r="FC23">
            <v>1.95</v>
          </cell>
          <cell r="FD23">
            <v>1.95</v>
          </cell>
          <cell r="FE23">
            <v>1.95</v>
          </cell>
          <cell r="FF23">
            <v>1.95</v>
          </cell>
          <cell r="FG23">
            <v>1.95</v>
          </cell>
          <cell r="FH23">
            <v>1.95</v>
          </cell>
          <cell r="FI23">
            <v>1.95</v>
          </cell>
          <cell r="FJ23">
            <v>1.95</v>
          </cell>
          <cell r="FK23">
            <v>1.95</v>
          </cell>
          <cell r="FL23">
            <v>1.95</v>
          </cell>
          <cell r="FM23">
            <v>1.95</v>
          </cell>
          <cell r="FN23">
            <v>1.95</v>
          </cell>
          <cell r="FO23">
            <v>1.95</v>
          </cell>
          <cell r="FP23">
            <v>1.95</v>
          </cell>
          <cell r="FQ23">
            <v>1.95</v>
          </cell>
          <cell r="FR23">
            <v>1.95</v>
          </cell>
          <cell r="FS23">
            <v>1.95</v>
          </cell>
          <cell r="FT23">
            <v>1.95</v>
          </cell>
          <cell r="FU23">
            <v>1.95</v>
          </cell>
          <cell r="FV23">
            <v>1.95</v>
          </cell>
          <cell r="FW23">
            <v>1.95</v>
          </cell>
          <cell r="FX23">
            <v>1.95</v>
          </cell>
          <cell r="FY23">
            <v>1.95</v>
          </cell>
          <cell r="FZ23">
            <v>1.95</v>
          </cell>
          <cell r="GA23">
            <v>1.95</v>
          </cell>
          <cell r="GB23">
            <v>1.95</v>
          </cell>
          <cell r="GC23">
            <v>1.95</v>
          </cell>
          <cell r="GD23">
            <v>1.95</v>
          </cell>
          <cell r="GE23">
            <v>1.95</v>
          </cell>
          <cell r="GF23">
            <v>1.95</v>
          </cell>
          <cell r="GG23">
            <v>1.95</v>
          </cell>
          <cell r="GH23">
            <v>1.95</v>
          </cell>
          <cell r="GI23">
            <v>1.95</v>
          </cell>
          <cell r="GJ23">
            <v>1.95</v>
          </cell>
          <cell r="GK23">
            <v>1.95</v>
          </cell>
          <cell r="GL23">
            <v>1.95</v>
          </cell>
          <cell r="GM23">
            <v>1.95</v>
          </cell>
          <cell r="GN23">
            <v>1.95</v>
          </cell>
          <cell r="GO23">
            <v>1.95</v>
          </cell>
          <cell r="GP23">
            <v>1.95</v>
          </cell>
          <cell r="GQ23">
            <v>1.95</v>
          </cell>
          <cell r="GR23">
            <v>1.95</v>
          </cell>
          <cell r="GS23">
            <v>1.95</v>
          </cell>
          <cell r="GT23">
            <v>1.95</v>
          </cell>
          <cell r="GU23">
            <v>1.95</v>
          </cell>
          <cell r="GV23">
            <v>1.95</v>
          </cell>
          <cell r="GW23">
            <v>1.95</v>
          </cell>
          <cell r="GX23">
            <v>1.95</v>
          </cell>
        </row>
        <row r="24">
          <cell r="A24" t="str">
            <v>Gold contained</v>
          </cell>
          <cell r="B24" t="str">
            <v>Moz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5.4730902777777777</v>
          </cell>
          <cell r="N24">
            <v>5.4730902777777777</v>
          </cell>
          <cell r="O24">
            <v>5.4730902777777777</v>
          </cell>
          <cell r="P24">
            <v>5.4730902777777777</v>
          </cell>
          <cell r="Q24">
            <v>5.4730902777777777</v>
          </cell>
          <cell r="R24">
            <v>5.4730902777777777</v>
          </cell>
          <cell r="S24">
            <v>5.4730902777777777</v>
          </cell>
          <cell r="T24">
            <v>5.4730902777777777</v>
          </cell>
          <cell r="U24">
            <v>5.4730902777777777</v>
          </cell>
          <cell r="V24">
            <v>5.4730902777777777</v>
          </cell>
          <cell r="W24">
            <v>5.4730902777777777</v>
          </cell>
          <cell r="X24">
            <v>5.4730902777777777</v>
          </cell>
          <cell r="Y24">
            <v>5.4730902777777777</v>
          </cell>
          <cell r="Z24">
            <v>5.4730902777777777</v>
          </cell>
          <cell r="AA24">
            <v>5.4730902777777777</v>
          </cell>
          <cell r="AB24">
            <v>5.4730902777777777</v>
          </cell>
          <cell r="AC24">
            <v>5.4730902777777777</v>
          </cell>
          <cell r="AD24">
            <v>5.4730902777777777</v>
          </cell>
          <cell r="AE24">
            <v>5.4730902777777777</v>
          </cell>
          <cell r="AF24">
            <v>5.4730902777777777</v>
          </cell>
          <cell r="AG24">
            <v>5.4730902777777777</v>
          </cell>
          <cell r="AH24">
            <v>5.4730902777777777</v>
          </cell>
          <cell r="AI24">
            <v>5.4730902777777777</v>
          </cell>
          <cell r="AJ24">
            <v>5.4730902777777777</v>
          </cell>
          <cell r="AK24">
            <v>5.4730902777777777</v>
          </cell>
          <cell r="AL24">
            <v>5.4730902777777777</v>
          </cell>
          <cell r="AM24">
            <v>5.4730902777777777</v>
          </cell>
          <cell r="AN24">
            <v>5.4730902777777777</v>
          </cell>
          <cell r="AO24">
            <v>5.4730902777777777</v>
          </cell>
          <cell r="AP24">
            <v>5.4730902777777777</v>
          </cell>
          <cell r="AQ24">
            <v>5.4730902777777777</v>
          </cell>
          <cell r="AR24">
            <v>5.4730902777777777</v>
          </cell>
          <cell r="AS24">
            <v>5.4730902777777777</v>
          </cell>
          <cell r="AT24">
            <v>5.4730902777777777</v>
          </cell>
          <cell r="AU24">
            <v>5.4730902777777777</v>
          </cell>
          <cell r="AV24">
            <v>5.4730902777777777</v>
          </cell>
          <cell r="AW24">
            <v>5.4730902777777777</v>
          </cell>
          <cell r="AX24">
            <v>5.4730902777777777</v>
          </cell>
          <cell r="AY24">
            <v>5.4730902777777777</v>
          </cell>
          <cell r="AZ24">
            <v>5.4730902777777777</v>
          </cell>
          <cell r="BA24">
            <v>5.4730902777777777</v>
          </cell>
          <cell r="CF24">
            <v>5.4730902777777777</v>
          </cell>
          <cell r="CG24">
            <v>5.4730902777777777</v>
          </cell>
          <cell r="CH24">
            <v>5.4730902777777777</v>
          </cell>
          <cell r="CI24">
            <v>5.4730902777777777</v>
          </cell>
          <cell r="CJ24">
            <v>5.4730902777777777</v>
          </cell>
          <cell r="CK24">
            <v>5.4730902777777777</v>
          </cell>
          <cell r="CL24">
            <v>5.4730902777777777</v>
          </cell>
          <cell r="CM24">
            <v>5.4730902777777777</v>
          </cell>
          <cell r="CN24">
            <v>5.4730902777777777</v>
          </cell>
          <cell r="CO24">
            <v>5.4730902777777777</v>
          </cell>
          <cell r="CP24">
            <v>5.4730902777777777</v>
          </cell>
          <cell r="CQ24">
            <v>5.4730902777777777</v>
          </cell>
          <cell r="CR24">
            <v>5.4730902777777777</v>
          </cell>
          <cell r="CS24">
            <v>5.4730902777777777</v>
          </cell>
          <cell r="CT24">
            <v>5.4730902777777777</v>
          </cell>
          <cell r="CU24">
            <v>5.4730902777777777</v>
          </cell>
          <cell r="CV24">
            <v>5.4730902777777777</v>
          </cell>
          <cell r="CW24">
            <v>5.4730902777777777</v>
          </cell>
          <cell r="CX24">
            <v>5.4730902777777777</v>
          </cell>
          <cell r="CY24">
            <v>5.4730902777777777</v>
          </cell>
          <cell r="CZ24">
            <v>5.4730902777777777</v>
          </cell>
          <cell r="DA24">
            <v>5.4730902777777777</v>
          </cell>
          <cell r="DB24">
            <v>5.4730902777777777</v>
          </cell>
          <cell r="DC24">
            <v>5.4730902777777777</v>
          </cell>
          <cell r="DD24">
            <v>5.4730902777777777</v>
          </cell>
          <cell r="DE24">
            <v>5.4730902777777777</v>
          </cell>
          <cell r="DF24">
            <v>5.4730902777777777</v>
          </cell>
          <cell r="DG24">
            <v>5.4730902777777777</v>
          </cell>
          <cell r="DH24">
            <v>5.4730902777777777</v>
          </cell>
          <cell r="DI24">
            <v>5.4730902777777777</v>
          </cell>
          <cell r="DJ24">
            <v>5.4730902777777777</v>
          </cell>
          <cell r="DK24">
            <v>5.4730902777777777</v>
          </cell>
          <cell r="DL24">
            <v>5.4730902777777777</v>
          </cell>
          <cell r="DM24">
            <v>5.4730902777777777</v>
          </cell>
          <cell r="DN24">
            <v>5.4730902777777777</v>
          </cell>
          <cell r="DO24">
            <v>5.4730902777777777</v>
          </cell>
          <cell r="DP24">
            <v>5.4730902777777777</v>
          </cell>
          <cell r="DQ24">
            <v>5.4730902777777777</v>
          </cell>
          <cell r="DR24">
            <v>5.4730902777777777</v>
          </cell>
          <cell r="DS24">
            <v>5.4730902777777777</v>
          </cell>
          <cell r="DT24">
            <v>5.4730902777777777</v>
          </cell>
          <cell r="DU24">
            <v>5.4730902777777777</v>
          </cell>
          <cell r="DV24">
            <v>5.4730902777777777</v>
          </cell>
          <cell r="DW24">
            <v>5.4730902777777777</v>
          </cell>
          <cell r="DX24">
            <v>5.4730902777777777</v>
          </cell>
          <cell r="DY24">
            <v>5.4730902777777777</v>
          </cell>
          <cell r="DZ24">
            <v>5.4730902777777777</v>
          </cell>
          <cell r="EA24">
            <v>5.4730902777777777</v>
          </cell>
          <cell r="EB24">
            <v>5.4730902777777777</v>
          </cell>
          <cell r="EC24">
            <v>5.4730902777777777</v>
          </cell>
          <cell r="ED24">
            <v>5.4730902777777777</v>
          </cell>
          <cell r="EE24">
            <v>5.4730902777777777</v>
          </cell>
          <cell r="EF24">
            <v>5.4730902777777777</v>
          </cell>
          <cell r="EG24">
            <v>5.4730902777777777</v>
          </cell>
          <cell r="EH24">
            <v>5.4730902777777777</v>
          </cell>
          <cell r="EI24">
            <v>5.4730902777777777</v>
          </cell>
          <cell r="EJ24">
            <v>5.4730902777777777</v>
          </cell>
          <cell r="EK24">
            <v>5.4730902777777777</v>
          </cell>
          <cell r="EL24">
            <v>5.4730902777777777</v>
          </cell>
          <cell r="EM24">
            <v>5.4730902777777777</v>
          </cell>
          <cell r="EN24">
            <v>5.4730902777777777</v>
          </cell>
          <cell r="EO24">
            <v>5.4730902777777777</v>
          </cell>
          <cell r="EP24">
            <v>5.4730902777777777</v>
          </cell>
          <cell r="EQ24">
            <v>5.4730902777777777</v>
          </cell>
          <cell r="ER24">
            <v>5.4730902777777777</v>
          </cell>
          <cell r="ES24">
            <v>5.4730902777777777</v>
          </cell>
          <cell r="ET24">
            <v>5.4730902777777777</v>
          </cell>
          <cell r="EU24">
            <v>5.4730902777777777</v>
          </cell>
          <cell r="EV24">
            <v>5.4730902777777777</v>
          </cell>
          <cell r="EW24">
            <v>5.4730902777777777</v>
          </cell>
          <cell r="EX24">
            <v>5.4730902777777777</v>
          </cell>
          <cell r="EY24">
            <v>5.4730902777777777</v>
          </cell>
          <cell r="EZ24">
            <v>5.4730902777777777</v>
          </cell>
          <cell r="FA24">
            <v>5.4730902777777777</v>
          </cell>
          <cell r="FB24">
            <v>5.4730902777777777</v>
          </cell>
          <cell r="FC24">
            <v>5.4730902777777777</v>
          </cell>
          <cell r="FD24">
            <v>5.4730902777777777</v>
          </cell>
          <cell r="FE24">
            <v>5.4730902777777777</v>
          </cell>
          <cell r="FF24">
            <v>5.4730902777777777</v>
          </cell>
          <cell r="FG24">
            <v>5.4730902777777777</v>
          </cell>
          <cell r="FH24">
            <v>5.4730902777777777</v>
          </cell>
          <cell r="FI24">
            <v>5.4730902777777777</v>
          </cell>
          <cell r="FJ24">
            <v>5.4730902777777777</v>
          </cell>
          <cell r="FK24">
            <v>5.4730902777777777</v>
          </cell>
          <cell r="FL24">
            <v>5.4730902777777777</v>
          </cell>
          <cell r="FM24">
            <v>5.4730902777777777</v>
          </cell>
          <cell r="FN24">
            <v>5.4730902777777777</v>
          </cell>
          <cell r="FO24">
            <v>5.4730902777777777</v>
          </cell>
          <cell r="FP24">
            <v>5.4730902777777777</v>
          </cell>
          <cell r="FQ24">
            <v>5.4730902777777777</v>
          </cell>
          <cell r="FR24">
            <v>5.4730902777777777</v>
          </cell>
          <cell r="FS24">
            <v>5.4730902777777777</v>
          </cell>
          <cell r="FT24">
            <v>5.4730902777777777</v>
          </cell>
          <cell r="FU24">
            <v>5.4730902777777777</v>
          </cell>
          <cell r="FV24">
            <v>5.4730902777777777</v>
          </cell>
          <cell r="FW24">
            <v>5.4730902777777777</v>
          </cell>
          <cell r="FX24">
            <v>5.4730902777777777</v>
          </cell>
          <cell r="FY24">
            <v>5.4730902777777777</v>
          </cell>
          <cell r="FZ24">
            <v>5.4730902777777777</v>
          </cell>
          <cell r="GA24">
            <v>5.4730902777777777</v>
          </cell>
          <cell r="GB24">
            <v>5.4730902777777777</v>
          </cell>
          <cell r="GC24">
            <v>5.4730902777777777</v>
          </cell>
          <cell r="GD24">
            <v>5.4730902777777777</v>
          </cell>
          <cell r="GE24">
            <v>5.4730902777777777</v>
          </cell>
          <cell r="GF24">
            <v>5.4730902777777777</v>
          </cell>
          <cell r="GG24">
            <v>5.4730902777777777</v>
          </cell>
          <cell r="GH24">
            <v>5.4730902777777777</v>
          </cell>
          <cell r="GI24">
            <v>5.4730902777777777</v>
          </cell>
          <cell r="GJ24">
            <v>5.4730902777777777</v>
          </cell>
          <cell r="GK24">
            <v>5.4730902777777777</v>
          </cell>
          <cell r="GL24">
            <v>5.4730902777777777</v>
          </cell>
          <cell r="GM24">
            <v>5.4730902777777777</v>
          </cell>
          <cell r="GN24">
            <v>5.4730902777777777</v>
          </cell>
          <cell r="GO24">
            <v>5.4730902777777777</v>
          </cell>
          <cell r="GP24">
            <v>5.4730902777777777</v>
          </cell>
          <cell r="GQ24">
            <v>5.4730902777777777</v>
          </cell>
          <cell r="GR24">
            <v>5.4730902777777777</v>
          </cell>
          <cell r="GS24">
            <v>5.4730902777777777</v>
          </cell>
          <cell r="GT24">
            <v>5.4730902777777777</v>
          </cell>
          <cell r="GU24">
            <v>5.4730902777777777</v>
          </cell>
          <cell r="GV24">
            <v>5.4730902777777777</v>
          </cell>
          <cell r="GW24">
            <v>5.4730902777777777</v>
          </cell>
          <cell r="GX24">
            <v>5.4730902777777777</v>
          </cell>
        </row>
        <row r="26">
          <cell r="A26" t="str">
            <v>Economic Grade Stockpile Ore</v>
          </cell>
          <cell r="B26" t="str">
            <v>Mt</v>
          </cell>
          <cell r="D26">
            <v>0</v>
          </cell>
          <cell r="E26">
            <v>0</v>
          </cell>
          <cell r="F26">
            <v>0</v>
          </cell>
          <cell r="G26">
            <v>38.700000000000003</v>
          </cell>
          <cell r="H26">
            <v>36</v>
          </cell>
          <cell r="I26">
            <v>39.610999999999997</v>
          </cell>
          <cell r="J26">
            <v>45.286000000000001</v>
          </cell>
          <cell r="K26">
            <v>52.22</v>
          </cell>
          <cell r="L26">
            <v>54.664999999999999</v>
          </cell>
          <cell r="M26">
            <v>66.061999999999998</v>
          </cell>
          <cell r="N26">
            <v>72.177000000000007</v>
          </cell>
          <cell r="O26">
            <v>78.577000000000012</v>
          </cell>
          <cell r="P26">
            <v>78.977000000000018</v>
          </cell>
          <cell r="Q26">
            <v>79.377000000000024</v>
          </cell>
          <cell r="R26">
            <v>77.377000000000024</v>
          </cell>
          <cell r="S26">
            <v>75.377000000000024</v>
          </cell>
          <cell r="T26">
            <v>73.377000000000024</v>
          </cell>
          <cell r="U26">
            <v>71.377000000000024</v>
          </cell>
          <cell r="V26">
            <v>69.377000000000024</v>
          </cell>
          <cell r="W26">
            <v>68.127000000000024</v>
          </cell>
          <cell r="X26">
            <v>66.627000000000024</v>
          </cell>
          <cell r="Y26">
            <v>65.127000000000024</v>
          </cell>
          <cell r="Z26">
            <v>63.627000000000024</v>
          </cell>
          <cell r="AA26">
            <v>62.127000000000024</v>
          </cell>
          <cell r="AB26">
            <v>60.627000000000024</v>
          </cell>
          <cell r="AC26">
            <v>59.127000000000024</v>
          </cell>
          <cell r="AD26">
            <v>57.627000000000024</v>
          </cell>
          <cell r="AE26">
            <v>56.127000000000024</v>
          </cell>
          <cell r="AF26">
            <v>54.627000000000024</v>
          </cell>
          <cell r="AG26">
            <v>53.127000000000024</v>
          </cell>
          <cell r="AH26">
            <v>51.627000000000024</v>
          </cell>
          <cell r="AI26">
            <v>50.127000000000024</v>
          </cell>
          <cell r="AJ26">
            <v>48.627000000000024</v>
          </cell>
          <cell r="AK26">
            <v>47.127000000000024</v>
          </cell>
          <cell r="AL26">
            <v>45.627000000000024</v>
          </cell>
          <cell r="AM26">
            <v>44.127000000000024</v>
          </cell>
          <cell r="AN26">
            <v>42.627000000000024</v>
          </cell>
          <cell r="AO26">
            <v>41.127000000000024</v>
          </cell>
          <cell r="AP26">
            <v>39.627000000000024</v>
          </cell>
          <cell r="AQ26">
            <v>38.127000000000024</v>
          </cell>
          <cell r="AR26">
            <v>36.627000000000024</v>
          </cell>
          <cell r="AS26">
            <v>25.127000000000024</v>
          </cell>
          <cell r="AT26">
            <v>13.627000000000024</v>
          </cell>
          <cell r="AU26">
            <v>2.1270000000000238</v>
          </cell>
          <cell r="AV26">
            <v>-9.3729999999999762</v>
          </cell>
          <cell r="AW26">
            <v>-20.872999999999976</v>
          </cell>
          <cell r="AX26">
            <v>-32.372999999999976</v>
          </cell>
          <cell r="AY26">
            <v>-43.872999999999976</v>
          </cell>
          <cell r="AZ26">
            <v>-55.372999999999976</v>
          </cell>
          <cell r="BA26">
            <v>-66.872999999999976</v>
          </cell>
          <cell r="BF26">
            <v>0</v>
          </cell>
          <cell r="BG26">
            <v>0</v>
          </cell>
          <cell r="BI26">
            <v>0</v>
          </cell>
          <cell r="BJ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38.700000000000003</v>
          </cell>
          <cell r="BQ26">
            <v>38.700000000000003</v>
          </cell>
          <cell r="BR26">
            <v>38.700000000000003</v>
          </cell>
          <cell r="BS26">
            <v>36</v>
          </cell>
          <cell r="BT26">
            <v>36</v>
          </cell>
          <cell r="BU26">
            <v>35.923999999999999</v>
          </cell>
          <cell r="BV26">
            <v>39.610999999999997</v>
          </cell>
          <cell r="BW26">
            <v>39.610999999999997</v>
          </cell>
          <cell r="BX26">
            <v>43.674999999999997</v>
          </cell>
          <cell r="BY26">
            <v>45.286000000000001</v>
          </cell>
          <cell r="BZ26">
            <v>45.286000000000001</v>
          </cell>
          <cell r="CA26">
            <v>48.92</v>
          </cell>
          <cell r="CB26">
            <v>52.22</v>
          </cell>
          <cell r="CC26">
            <v>52.22</v>
          </cell>
          <cell r="CD26">
            <v>54.664999999999999</v>
          </cell>
          <cell r="CE26">
            <v>54.664999999999999</v>
          </cell>
          <cell r="CF26">
            <v>61.6</v>
          </cell>
          <cell r="CG26">
            <v>66.061999999999998</v>
          </cell>
          <cell r="CH26">
            <v>66.061999999999998</v>
          </cell>
          <cell r="CI26">
            <v>69.155000000000001</v>
          </cell>
          <cell r="CJ26">
            <v>72.177000000000007</v>
          </cell>
          <cell r="CK26">
            <v>72.177000000000007</v>
          </cell>
          <cell r="CL26">
            <v>75.37700000000001</v>
          </cell>
          <cell r="CM26">
            <v>78.577000000000012</v>
          </cell>
          <cell r="CN26">
            <v>78.577000000000012</v>
          </cell>
          <cell r="CO26">
            <v>78.777000000000015</v>
          </cell>
          <cell r="CP26">
            <v>78.977000000000018</v>
          </cell>
          <cell r="CQ26">
            <v>78.977000000000018</v>
          </cell>
          <cell r="CR26">
            <v>79.177000000000021</v>
          </cell>
          <cell r="CS26">
            <v>79.377000000000024</v>
          </cell>
          <cell r="CT26">
            <v>79.377000000000024</v>
          </cell>
          <cell r="CU26">
            <v>78.377000000000024</v>
          </cell>
          <cell r="CV26">
            <v>77.377000000000024</v>
          </cell>
          <cell r="CW26">
            <v>77.377000000000024</v>
          </cell>
          <cell r="CX26">
            <v>76.377000000000024</v>
          </cell>
          <cell r="CY26">
            <v>75.377000000000024</v>
          </cell>
          <cell r="CZ26">
            <v>75.377000000000024</v>
          </cell>
          <cell r="DA26">
            <v>74.377000000000024</v>
          </cell>
          <cell r="DB26">
            <v>73.377000000000024</v>
          </cell>
          <cell r="DC26">
            <v>73.377000000000024</v>
          </cell>
          <cell r="DD26">
            <v>72.377000000000024</v>
          </cell>
          <cell r="DE26">
            <v>71.377000000000024</v>
          </cell>
          <cell r="DF26">
            <v>71.377000000000024</v>
          </cell>
          <cell r="DG26">
            <v>70.377000000000024</v>
          </cell>
          <cell r="DH26">
            <v>69.377000000000024</v>
          </cell>
          <cell r="DI26">
            <v>69.377000000000024</v>
          </cell>
          <cell r="DJ26">
            <v>68.877000000000024</v>
          </cell>
          <cell r="DK26">
            <v>68.127000000000024</v>
          </cell>
          <cell r="DL26">
            <v>68.127000000000024</v>
          </cell>
          <cell r="DM26">
            <v>67.377000000000024</v>
          </cell>
          <cell r="DN26">
            <v>66.627000000000024</v>
          </cell>
          <cell r="DO26">
            <v>66.627000000000024</v>
          </cell>
          <cell r="DP26">
            <v>65.877000000000024</v>
          </cell>
          <cell r="DQ26">
            <v>65.127000000000024</v>
          </cell>
          <cell r="DR26">
            <v>65.127000000000024</v>
          </cell>
          <cell r="DS26">
            <v>64.377000000000024</v>
          </cell>
          <cell r="DT26">
            <v>63.627000000000024</v>
          </cell>
          <cell r="DU26">
            <v>63.627000000000024</v>
          </cell>
          <cell r="DV26">
            <v>62.877000000000024</v>
          </cell>
          <cell r="DW26">
            <v>62.127000000000024</v>
          </cell>
          <cell r="DX26">
            <v>62.127000000000024</v>
          </cell>
          <cell r="DY26">
            <v>61.377000000000024</v>
          </cell>
          <cell r="DZ26">
            <v>60.627000000000024</v>
          </cell>
          <cell r="EA26">
            <v>60.627000000000024</v>
          </cell>
          <cell r="EB26">
            <v>59.877000000000024</v>
          </cell>
          <cell r="EC26">
            <v>59.127000000000024</v>
          </cell>
          <cell r="ED26">
            <v>59.127000000000024</v>
          </cell>
          <cell r="EE26">
            <v>58.377000000000024</v>
          </cell>
          <cell r="EF26">
            <v>57.627000000000024</v>
          </cell>
          <cell r="EG26">
            <v>57.627000000000024</v>
          </cell>
          <cell r="EH26">
            <v>56.877000000000024</v>
          </cell>
          <cell r="EI26">
            <v>56.127000000000024</v>
          </cell>
          <cell r="EJ26">
            <v>56.127000000000024</v>
          </cell>
          <cell r="EK26">
            <v>55.377000000000024</v>
          </cell>
          <cell r="EL26">
            <v>54.627000000000024</v>
          </cell>
          <cell r="EM26">
            <v>54.627000000000024</v>
          </cell>
          <cell r="EN26">
            <v>53.877000000000024</v>
          </cell>
          <cell r="EO26">
            <v>53.127000000000024</v>
          </cell>
          <cell r="EP26">
            <v>53.127000000000024</v>
          </cell>
          <cell r="EQ26">
            <v>52.377000000000024</v>
          </cell>
          <cell r="ER26">
            <v>51.627000000000024</v>
          </cell>
          <cell r="ES26">
            <v>51.627000000000024</v>
          </cell>
          <cell r="ET26">
            <v>50.877000000000024</v>
          </cell>
          <cell r="EU26">
            <v>50.127000000000024</v>
          </cell>
          <cell r="EV26">
            <v>50.127000000000024</v>
          </cell>
          <cell r="EW26">
            <v>49.377000000000024</v>
          </cell>
          <cell r="EX26">
            <v>48.627000000000024</v>
          </cell>
          <cell r="EY26">
            <v>48.627000000000024</v>
          </cell>
          <cell r="EZ26">
            <v>47.877000000000024</v>
          </cell>
          <cell r="FA26">
            <v>47.127000000000024</v>
          </cell>
          <cell r="FB26">
            <v>47.127000000000024</v>
          </cell>
          <cell r="FC26">
            <v>46.377000000000024</v>
          </cell>
          <cell r="FD26">
            <v>45.627000000000024</v>
          </cell>
          <cell r="FE26">
            <v>45.627000000000024</v>
          </cell>
          <cell r="FF26">
            <v>44.877000000000024</v>
          </cell>
          <cell r="FG26">
            <v>44.127000000000024</v>
          </cell>
          <cell r="FH26">
            <v>44.127000000000024</v>
          </cell>
          <cell r="FI26">
            <v>43.377000000000024</v>
          </cell>
          <cell r="FJ26">
            <v>42.627000000000024</v>
          </cell>
          <cell r="FK26">
            <v>42.627000000000024</v>
          </cell>
          <cell r="FL26">
            <v>41.877000000000024</v>
          </cell>
          <cell r="FM26">
            <v>41.127000000000024</v>
          </cell>
          <cell r="FN26">
            <v>41.127000000000024</v>
          </cell>
          <cell r="FO26">
            <v>40.377000000000024</v>
          </cell>
          <cell r="FP26">
            <v>39.627000000000024</v>
          </cell>
          <cell r="FQ26">
            <v>39.627000000000024</v>
          </cell>
          <cell r="FR26">
            <v>38.877000000000024</v>
          </cell>
          <cell r="FS26">
            <v>38.127000000000024</v>
          </cell>
          <cell r="FT26">
            <v>38.127000000000024</v>
          </cell>
          <cell r="FU26">
            <v>37.377000000000024</v>
          </cell>
          <cell r="FV26">
            <v>36.627000000000024</v>
          </cell>
          <cell r="FW26">
            <v>36.627000000000024</v>
          </cell>
          <cell r="FX26">
            <v>30.877000000000024</v>
          </cell>
          <cell r="FY26">
            <v>25.127000000000024</v>
          </cell>
          <cell r="FZ26">
            <v>25.127000000000024</v>
          </cell>
          <cell r="GA26">
            <v>19.377000000000024</v>
          </cell>
          <cell r="GB26">
            <v>13.627000000000024</v>
          </cell>
          <cell r="GC26">
            <v>13.627000000000024</v>
          </cell>
          <cell r="GD26">
            <v>7.8770000000000238</v>
          </cell>
          <cell r="GE26">
            <v>2.1270000000000238</v>
          </cell>
          <cell r="GF26">
            <v>2.1270000000000238</v>
          </cell>
          <cell r="GG26">
            <v>-3.6229999999999762</v>
          </cell>
          <cell r="GH26">
            <v>-9.3729999999999762</v>
          </cell>
          <cell r="GI26">
            <v>-9.3729999999999762</v>
          </cell>
          <cell r="GJ26">
            <v>-15.122999999999976</v>
          </cell>
          <cell r="GK26">
            <v>-20.872999999999976</v>
          </cell>
          <cell r="GL26">
            <v>-20.872999999999976</v>
          </cell>
          <cell r="GM26">
            <v>-26.622999999999976</v>
          </cell>
          <cell r="GN26">
            <v>-32.372999999999976</v>
          </cell>
          <cell r="GO26">
            <v>-32.372999999999976</v>
          </cell>
          <cell r="GP26">
            <v>-38.122999999999976</v>
          </cell>
          <cell r="GQ26">
            <v>-43.872999999999976</v>
          </cell>
          <cell r="GR26">
            <v>-43.872999999999976</v>
          </cell>
          <cell r="GS26">
            <v>-49.622999999999976</v>
          </cell>
          <cell r="GT26">
            <v>-55.372999999999976</v>
          </cell>
          <cell r="GU26">
            <v>-55.372999999999976</v>
          </cell>
          <cell r="GV26">
            <v>-61.122999999999976</v>
          </cell>
          <cell r="GW26">
            <v>-66.872999999999976</v>
          </cell>
          <cell r="GX26">
            <v>-66.872999999999976</v>
          </cell>
        </row>
        <row r="27">
          <cell r="A27" t="str">
            <v>Gold grade</v>
          </cell>
          <cell r="B27" t="str">
            <v>g/t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2.46</v>
          </cell>
          <cell r="N27">
            <v>2.46</v>
          </cell>
          <cell r="O27">
            <v>2.46</v>
          </cell>
          <cell r="P27">
            <v>2.46</v>
          </cell>
          <cell r="Q27">
            <v>2.46</v>
          </cell>
          <cell r="R27">
            <v>2.46</v>
          </cell>
          <cell r="S27">
            <v>2.46</v>
          </cell>
          <cell r="T27">
            <v>2.46</v>
          </cell>
          <cell r="U27">
            <v>2.46</v>
          </cell>
          <cell r="V27">
            <v>2.46</v>
          </cell>
          <cell r="W27">
            <v>2.46</v>
          </cell>
          <cell r="X27">
            <v>2.46</v>
          </cell>
          <cell r="Y27">
            <v>2.46</v>
          </cell>
          <cell r="Z27">
            <v>2.46</v>
          </cell>
          <cell r="AA27">
            <v>2.46</v>
          </cell>
          <cell r="AB27">
            <v>2.46</v>
          </cell>
          <cell r="AC27">
            <v>2.46</v>
          </cell>
          <cell r="AD27">
            <v>2.46</v>
          </cell>
          <cell r="AE27">
            <v>2.46</v>
          </cell>
          <cell r="AF27">
            <v>2.46</v>
          </cell>
          <cell r="AG27">
            <v>2.46</v>
          </cell>
          <cell r="AH27">
            <v>2.46</v>
          </cell>
          <cell r="AI27">
            <v>2.46</v>
          </cell>
          <cell r="AJ27">
            <v>2.46</v>
          </cell>
          <cell r="AK27">
            <v>2.46</v>
          </cell>
          <cell r="AL27">
            <v>2.46</v>
          </cell>
          <cell r="AM27">
            <v>2.46</v>
          </cell>
          <cell r="AN27">
            <v>2.46</v>
          </cell>
          <cell r="AO27">
            <v>2.46</v>
          </cell>
          <cell r="AP27">
            <v>2.46</v>
          </cell>
          <cell r="AQ27">
            <v>2.46</v>
          </cell>
          <cell r="AR27">
            <v>2.46</v>
          </cell>
          <cell r="AS27">
            <v>2.46</v>
          </cell>
          <cell r="AT27">
            <v>2.46</v>
          </cell>
          <cell r="AU27">
            <v>2.46</v>
          </cell>
          <cell r="AV27">
            <v>2.46</v>
          </cell>
          <cell r="AW27">
            <v>2.46</v>
          </cell>
          <cell r="AX27">
            <v>2.46</v>
          </cell>
          <cell r="AY27">
            <v>2.46</v>
          </cell>
          <cell r="AZ27">
            <v>2.46</v>
          </cell>
          <cell r="BA27">
            <v>2.46</v>
          </cell>
          <cell r="CF27">
            <v>2.46</v>
          </cell>
          <cell r="CG27">
            <v>2.46</v>
          </cell>
          <cell r="CH27">
            <v>2.46</v>
          </cell>
          <cell r="CI27">
            <v>2.46</v>
          </cell>
          <cell r="CJ27">
            <v>2.46</v>
          </cell>
          <cell r="CK27">
            <v>2.46</v>
          </cell>
          <cell r="CL27">
            <v>2.46</v>
          </cell>
          <cell r="CM27">
            <v>2.46</v>
          </cell>
          <cell r="CN27">
            <v>2.46</v>
          </cell>
          <cell r="CO27">
            <v>2.46</v>
          </cell>
          <cell r="CP27">
            <v>2.46</v>
          </cell>
          <cell r="CQ27">
            <v>2.46</v>
          </cell>
          <cell r="CR27">
            <v>2.46</v>
          </cell>
          <cell r="CS27">
            <v>2.46</v>
          </cell>
          <cell r="CT27">
            <v>2.46</v>
          </cell>
          <cell r="CU27">
            <v>2.46</v>
          </cell>
          <cell r="CV27">
            <v>2.46</v>
          </cell>
          <cell r="CW27">
            <v>2.46</v>
          </cell>
          <cell r="CX27">
            <v>2.46</v>
          </cell>
          <cell r="CY27">
            <v>2.46</v>
          </cell>
          <cell r="CZ27">
            <v>2.46</v>
          </cell>
          <cell r="DA27">
            <v>2.46</v>
          </cell>
          <cell r="DB27">
            <v>2.46</v>
          </cell>
          <cell r="DC27">
            <v>2.46</v>
          </cell>
          <cell r="DD27">
            <v>2.46</v>
          </cell>
          <cell r="DE27">
            <v>2.46</v>
          </cell>
          <cell r="DF27">
            <v>2.46</v>
          </cell>
          <cell r="DG27">
            <v>2.46</v>
          </cell>
          <cell r="DH27">
            <v>2.46</v>
          </cell>
          <cell r="DI27">
            <v>2.46</v>
          </cell>
          <cell r="DJ27">
            <v>2.46</v>
          </cell>
          <cell r="DK27">
            <v>2.46</v>
          </cell>
          <cell r="DL27">
            <v>2.46</v>
          </cell>
          <cell r="DM27">
            <v>2.46</v>
          </cell>
          <cell r="DN27">
            <v>2.46</v>
          </cell>
          <cell r="DO27">
            <v>2.46</v>
          </cell>
          <cell r="DP27">
            <v>2.46</v>
          </cell>
          <cell r="DQ27">
            <v>2.46</v>
          </cell>
          <cell r="DR27">
            <v>2.46</v>
          </cell>
          <cell r="DS27">
            <v>2.46</v>
          </cell>
          <cell r="DT27">
            <v>2.46</v>
          </cell>
          <cell r="DU27">
            <v>2.46</v>
          </cell>
          <cell r="DV27">
            <v>2.46</v>
          </cell>
          <cell r="DW27">
            <v>2.46</v>
          </cell>
          <cell r="DX27">
            <v>2.46</v>
          </cell>
          <cell r="DY27">
            <v>2.46</v>
          </cell>
          <cell r="DZ27">
            <v>2.46</v>
          </cell>
          <cell r="EA27">
            <v>2.46</v>
          </cell>
          <cell r="EB27">
            <v>2.46</v>
          </cell>
          <cell r="EC27">
            <v>2.46</v>
          </cell>
          <cell r="ED27">
            <v>2.46</v>
          </cell>
          <cell r="EE27">
            <v>2.46</v>
          </cell>
          <cell r="EF27">
            <v>2.46</v>
          </cell>
          <cell r="EG27">
            <v>2.46</v>
          </cell>
          <cell r="EH27">
            <v>2.46</v>
          </cell>
          <cell r="EI27">
            <v>2.46</v>
          </cell>
          <cell r="EJ27">
            <v>2.46</v>
          </cell>
          <cell r="EK27">
            <v>2.46</v>
          </cell>
          <cell r="EL27">
            <v>2.46</v>
          </cell>
          <cell r="EM27">
            <v>2.46</v>
          </cell>
          <cell r="EN27">
            <v>2.46</v>
          </cell>
          <cell r="EO27">
            <v>2.46</v>
          </cell>
          <cell r="EP27">
            <v>2.46</v>
          </cell>
          <cell r="EQ27">
            <v>2.46</v>
          </cell>
          <cell r="ER27">
            <v>2.46</v>
          </cell>
          <cell r="ES27">
            <v>2.46</v>
          </cell>
          <cell r="ET27">
            <v>2.46</v>
          </cell>
          <cell r="EU27">
            <v>2.46</v>
          </cell>
          <cell r="EV27">
            <v>2.46</v>
          </cell>
          <cell r="EW27">
            <v>2.46</v>
          </cell>
          <cell r="EX27">
            <v>2.46</v>
          </cell>
          <cell r="EY27">
            <v>2.46</v>
          </cell>
          <cell r="EZ27">
            <v>2.46</v>
          </cell>
          <cell r="FA27">
            <v>2.46</v>
          </cell>
          <cell r="FB27">
            <v>2.46</v>
          </cell>
          <cell r="FC27">
            <v>2.46</v>
          </cell>
          <cell r="FD27">
            <v>2.46</v>
          </cell>
          <cell r="FE27">
            <v>2.46</v>
          </cell>
          <cell r="FF27">
            <v>2.46</v>
          </cell>
          <cell r="FG27">
            <v>2.46</v>
          </cell>
          <cell r="FH27">
            <v>2.46</v>
          </cell>
          <cell r="FI27">
            <v>2.46</v>
          </cell>
          <cell r="FJ27">
            <v>2.46</v>
          </cell>
          <cell r="FK27">
            <v>2.46</v>
          </cell>
          <cell r="FL27">
            <v>2.46</v>
          </cell>
          <cell r="FM27">
            <v>2.46</v>
          </cell>
          <cell r="FN27">
            <v>2.46</v>
          </cell>
          <cell r="FO27">
            <v>2.46</v>
          </cell>
          <cell r="FP27">
            <v>2.46</v>
          </cell>
          <cell r="FQ27">
            <v>2.46</v>
          </cell>
          <cell r="FR27">
            <v>2.46</v>
          </cell>
          <cell r="FS27">
            <v>2.46</v>
          </cell>
          <cell r="FT27">
            <v>2.46</v>
          </cell>
          <cell r="FU27">
            <v>2.46</v>
          </cell>
          <cell r="FV27">
            <v>2.46</v>
          </cell>
          <cell r="FW27">
            <v>2.46</v>
          </cell>
          <cell r="FX27">
            <v>2.46</v>
          </cell>
          <cell r="FY27">
            <v>2.46</v>
          </cell>
          <cell r="FZ27">
            <v>2.46</v>
          </cell>
          <cell r="GA27">
            <v>2.46</v>
          </cell>
          <cell r="GB27">
            <v>2.46</v>
          </cell>
          <cell r="GC27">
            <v>2.46</v>
          </cell>
          <cell r="GD27">
            <v>2.46</v>
          </cell>
          <cell r="GE27">
            <v>2.46</v>
          </cell>
          <cell r="GF27">
            <v>2.46</v>
          </cell>
          <cell r="GG27">
            <v>2.46</v>
          </cell>
          <cell r="GH27">
            <v>2.46</v>
          </cell>
          <cell r="GI27">
            <v>2.46</v>
          </cell>
          <cell r="GJ27">
            <v>2.46</v>
          </cell>
          <cell r="GK27">
            <v>2.46</v>
          </cell>
          <cell r="GL27">
            <v>2.46</v>
          </cell>
          <cell r="GM27">
            <v>2.46</v>
          </cell>
          <cell r="GN27">
            <v>2.46</v>
          </cell>
          <cell r="GO27">
            <v>2.46</v>
          </cell>
          <cell r="GP27">
            <v>2.46</v>
          </cell>
          <cell r="GQ27">
            <v>2.46</v>
          </cell>
          <cell r="GR27">
            <v>2.46</v>
          </cell>
          <cell r="GS27">
            <v>2.46</v>
          </cell>
          <cell r="GT27">
            <v>2.46</v>
          </cell>
          <cell r="GU27">
            <v>2.46</v>
          </cell>
          <cell r="GV27">
            <v>2.46</v>
          </cell>
          <cell r="GW27">
            <v>2.46</v>
          </cell>
          <cell r="GX27">
            <v>2.46</v>
          </cell>
        </row>
        <row r="28">
          <cell r="A28" t="str">
            <v>Gold contained</v>
          </cell>
          <cell r="B28" t="str">
            <v>Moz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4.8719135802469138</v>
          </cell>
          <cell r="N28">
            <v>4.8719135802469138</v>
          </cell>
          <cell r="O28">
            <v>4.8719135802469138</v>
          </cell>
          <cell r="P28">
            <v>4.8719135802469138</v>
          </cell>
          <cell r="Q28">
            <v>4.8719135802469138</v>
          </cell>
          <cell r="R28">
            <v>4.8719135802469138</v>
          </cell>
          <cell r="S28">
            <v>4.8719135802469138</v>
          </cell>
          <cell r="T28">
            <v>4.8719135802469138</v>
          </cell>
          <cell r="U28">
            <v>4.8719135802469138</v>
          </cell>
          <cell r="V28">
            <v>4.8719135802469138</v>
          </cell>
          <cell r="W28">
            <v>4.8719135802469138</v>
          </cell>
          <cell r="X28">
            <v>4.8719135802469138</v>
          </cell>
          <cell r="Y28">
            <v>4.8719135802469138</v>
          </cell>
          <cell r="Z28">
            <v>4.8719135802469138</v>
          </cell>
          <cell r="AA28">
            <v>4.8719135802469138</v>
          </cell>
          <cell r="AB28">
            <v>4.8719135802469138</v>
          </cell>
          <cell r="AC28">
            <v>4.8719135802469138</v>
          </cell>
          <cell r="AD28">
            <v>4.8719135802469138</v>
          </cell>
          <cell r="AE28">
            <v>4.8719135802469138</v>
          </cell>
          <cell r="AF28">
            <v>4.8719135802469138</v>
          </cell>
          <cell r="AG28">
            <v>4.8719135802469138</v>
          </cell>
          <cell r="AH28">
            <v>4.8719135802469138</v>
          </cell>
          <cell r="AI28">
            <v>4.8719135802469138</v>
          </cell>
          <cell r="AJ28">
            <v>4.8719135802469138</v>
          </cell>
          <cell r="AK28">
            <v>4.8719135802469138</v>
          </cell>
          <cell r="AL28">
            <v>4.8719135802469138</v>
          </cell>
          <cell r="AM28">
            <v>4.8719135802469138</v>
          </cell>
          <cell r="AN28">
            <v>4.8719135802469138</v>
          </cell>
          <cell r="AO28">
            <v>4.8719135802469138</v>
          </cell>
          <cell r="AP28">
            <v>4.8719135802469138</v>
          </cell>
          <cell r="AQ28">
            <v>4.8719135802469138</v>
          </cell>
          <cell r="AR28">
            <v>4.8719135802469138</v>
          </cell>
          <cell r="AS28">
            <v>4.8719135802469138</v>
          </cell>
          <cell r="AT28">
            <v>4.8719135802469138</v>
          </cell>
          <cell r="AU28">
            <v>4.8719135802469138</v>
          </cell>
          <cell r="AV28">
            <v>4.8719135802469138</v>
          </cell>
          <cell r="AW28">
            <v>4.8719135802469138</v>
          </cell>
          <cell r="AX28">
            <v>4.8719135802469138</v>
          </cell>
          <cell r="AY28">
            <v>4.8719135802469138</v>
          </cell>
          <cell r="AZ28">
            <v>4.8719135802469138</v>
          </cell>
          <cell r="BA28">
            <v>4.8719135802469138</v>
          </cell>
          <cell r="CF28">
            <v>4.8719135802469138</v>
          </cell>
          <cell r="CG28">
            <v>4.8719135802469138</v>
          </cell>
          <cell r="CH28">
            <v>4.8719135802469138</v>
          </cell>
          <cell r="CI28">
            <v>4.8719135802469138</v>
          </cell>
          <cell r="CJ28">
            <v>4.8719135802469138</v>
          </cell>
          <cell r="CK28">
            <v>4.8719135802469138</v>
          </cell>
          <cell r="CL28">
            <v>4.8719135802469138</v>
          </cell>
          <cell r="CM28">
            <v>4.8719135802469138</v>
          </cell>
          <cell r="CN28">
            <v>4.8719135802469138</v>
          </cell>
          <cell r="CO28">
            <v>4.8719135802469138</v>
          </cell>
          <cell r="CP28">
            <v>4.8719135802469138</v>
          </cell>
          <cell r="CQ28">
            <v>4.8719135802469138</v>
          </cell>
          <cell r="CR28">
            <v>4.8719135802469138</v>
          </cell>
          <cell r="CS28">
            <v>4.8719135802469138</v>
          </cell>
          <cell r="CT28">
            <v>4.8719135802469138</v>
          </cell>
          <cell r="CU28">
            <v>4.8719135802469138</v>
          </cell>
          <cell r="CV28">
            <v>4.8719135802469138</v>
          </cell>
          <cell r="CW28">
            <v>4.8719135802469138</v>
          </cell>
          <cell r="CX28">
            <v>4.8719135802469138</v>
          </cell>
          <cell r="CY28">
            <v>4.8719135802469138</v>
          </cell>
          <cell r="CZ28">
            <v>4.8719135802469138</v>
          </cell>
          <cell r="DA28">
            <v>4.8719135802469138</v>
          </cell>
          <cell r="DB28">
            <v>4.8719135802469138</v>
          </cell>
          <cell r="DC28">
            <v>4.8719135802469138</v>
          </cell>
          <cell r="DD28">
            <v>4.8719135802469138</v>
          </cell>
          <cell r="DE28">
            <v>4.8719135802469138</v>
          </cell>
          <cell r="DF28">
            <v>4.8719135802469138</v>
          </cell>
          <cell r="DG28">
            <v>4.8719135802469138</v>
          </cell>
          <cell r="DH28">
            <v>4.8719135802469138</v>
          </cell>
          <cell r="DI28">
            <v>4.8719135802469138</v>
          </cell>
          <cell r="DJ28">
            <v>4.8719135802469138</v>
          </cell>
          <cell r="DK28">
            <v>4.8719135802469138</v>
          </cell>
          <cell r="DL28">
            <v>4.8719135802469138</v>
          </cell>
          <cell r="DM28">
            <v>4.8719135802469138</v>
          </cell>
          <cell r="DN28">
            <v>4.8719135802469138</v>
          </cell>
          <cell r="DO28">
            <v>4.8719135802469138</v>
          </cell>
          <cell r="DP28">
            <v>4.8719135802469138</v>
          </cell>
          <cell r="DQ28">
            <v>4.8719135802469138</v>
          </cell>
          <cell r="DR28">
            <v>4.8719135802469138</v>
          </cell>
          <cell r="DS28">
            <v>4.8719135802469138</v>
          </cell>
          <cell r="DT28">
            <v>4.8719135802469138</v>
          </cell>
          <cell r="DU28">
            <v>4.8719135802469138</v>
          </cell>
          <cell r="DV28">
            <v>4.8719135802469138</v>
          </cell>
          <cell r="DW28">
            <v>4.8719135802469138</v>
          </cell>
          <cell r="DX28">
            <v>4.8719135802469138</v>
          </cell>
          <cell r="DY28">
            <v>4.8719135802469138</v>
          </cell>
          <cell r="DZ28">
            <v>4.8719135802469138</v>
          </cell>
          <cell r="EA28">
            <v>4.8719135802469138</v>
          </cell>
          <cell r="EB28">
            <v>4.8719135802469138</v>
          </cell>
          <cell r="EC28">
            <v>4.8719135802469138</v>
          </cell>
          <cell r="ED28">
            <v>4.8719135802469138</v>
          </cell>
          <cell r="EE28">
            <v>4.8719135802469138</v>
          </cell>
          <cell r="EF28">
            <v>4.8719135802469138</v>
          </cell>
          <cell r="EG28">
            <v>4.8719135802469138</v>
          </cell>
          <cell r="EH28">
            <v>4.8719135802469138</v>
          </cell>
          <cell r="EI28">
            <v>4.8719135802469138</v>
          </cell>
          <cell r="EJ28">
            <v>4.8719135802469138</v>
          </cell>
          <cell r="EK28">
            <v>4.8719135802469138</v>
          </cell>
          <cell r="EL28">
            <v>4.8719135802469138</v>
          </cell>
          <cell r="EM28">
            <v>4.8719135802469138</v>
          </cell>
          <cell r="EN28">
            <v>4.8719135802469138</v>
          </cell>
          <cell r="EO28">
            <v>4.8719135802469138</v>
          </cell>
          <cell r="EP28">
            <v>4.8719135802469138</v>
          </cell>
          <cell r="EQ28">
            <v>4.8719135802469138</v>
          </cell>
          <cell r="ER28">
            <v>4.8719135802469138</v>
          </cell>
          <cell r="ES28">
            <v>4.8719135802469138</v>
          </cell>
          <cell r="ET28">
            <v>4.8719135802469138</v>
          </cell>
          <cell r="EU28">
            <v>4.8719135802469138</v>
          </cell>
          <cell r="EV28">
            <v>4.8719135802469138</v>
          </cell>
          <cell r="EW28">
            <v>4.8719135802469138</v>
          </cell>
          <cell r="EX28">
            <v>4.8719135802469138</v>
          </cell>
          <cell r="EY28">
            <v>4.8719135802469138</v>
          </cell>
          <cell r="EZ28">
            <v>4.8719135802469138</v>
          </cell>
          <cell r="FA28">
            <v>4.8719135802469138</v>
          </cell>
          <cell r="FB28">
            <v>4.8719135802469138</v>
          </cell>
          <cell r="FC28">
            <v>4.8719135802469138</v>
          </cell>
          <cell r="FD28">
            <v>4.8719135802469138</v>
          </cell>
          <cell r="FE28">
            <v>4.8719135802469138</v>
          </cell>
          <cell r="FF28">
            <v>4.8719135802469138</v>
          </cell>
          <cell r="FG28">
            <v>4.8719135802469138</v>
          </cell>
          <cell r="FH28">
            <v>4.8719135802469138</v>
          </cell>
          <cell r="FI28">
            <v>4.8719135802469138</v>
          </cell>
          <cell r="FJ28">
            <v>4.8719135802469138</v>
          </cell>
          <cell r="FK28">
            <v>4.8719135802469138</v>
          </cell>
          <cell r="FL28">
            <v>4.8719135802469138</v>
          </cell>
          <cell r="FM28">
            <v>4.8719135802469138</v>
          </cell>
          <cell r="FN28">
            <v>4.8719135802469138</v>
          </cell>
          <cell r="FO28">
            <v>4.8719135802469138</v>
          </cell>
          <cell r="FP28">
            <v>4.8719135802469138</v>
          </cell>
          <cell r="FQ28">
            <v>4.8719135802469138</v>
          </cell>
          <cell r="FR28">
            <v>4.8719135802469138</v>
          </cell>
          <cell r="FS28">
            <v>4.8719135802469138</v>
          </cell>
          <cell r="FT28">
            <v>4.8719135802469138</v>
          </cell>
          <cell r="FU28">
            <v>4.8719135802469138</v>
          </cell>
          <cell r="FV28">
            <v>4.8719135802469138</v>
          </cell>
          <cell r="FW28">
            <v>4.8719135802469138</v>
          </cell>
          <cell r="FX28">
            <v>4.8719135802469138</v>
          </cell>
          <cell r="FY28">
            <v>4.8719135802469138</v>
          </cell>
          <cell r="FZ28">
            <v>4.8719135802469138</v>
          </cell>
          <cell r="GA28">
            <v>4.8719135802469138</v>
          </cell>
          <cell r="GB28">
            <v>4.8719135802469138</v>
          </cell>
          <cell r="GC28">
            <v>4.8719135802469138</v>
          </cell>
          <cell r="GD28">
            <v>4.8719135802469138</v>
          </cell>
          <cell r="GE28">
            <v>4.8719135802469138</v>
          </cell>
          <cell r="GF28">
            <v>4.8719135802469138</v>
          </cell>
          <cell r="GG28">
            <v>4.8719135802469138</v>
          </cell>
          <cell r="GH28">
            <v>4.8719135802469138</v>
          </cell>
          <cell r="GI28">
            <v>4.8719135802469138</v>
          </cell>
          <cell r="GJ28">
            <v>4.8719135802469138</v>
          </cell>
          <cell r="GK28">
            <v>4.8719135802469138</v>
          </cell>
          <cell r="GL28">
            <v>4.8719135802469138</v>
          </cell>
          <cell r="GM28">
            <v>4.8719135802469138</v>
          </cell>
          <cell r="GN28">
            <v>4.8719135802469138</v>
          </cell>
          <cell r="GO28">
            <v>4.8719135802469138</v>
          </cell>
          <cell r="GP28">
            <v>4.8719135802469138</v>
          </cell>
          <cell r="GQ28">
            <v>4.8719135802469138</v>
          </cell>
          <cell r="GR28">
            <v>4.8719135802469138</v>
          </cell>
          <cell r="GS28">
            <v>4.8719135802469138</v>
          </cell>
          <cell r="GT28">
            <v>4.8719135802469138</v>
          </cell>
          <cell r="GU28">
            <v>4.8719135802469138</v>
          </cell>
          <cell r="GV28">
            <v>4.8719135802469138</v>
          </cell>
          <cell r="GW28">
            <v>4.8719135802469138</v>
          </cell>
          <cell r="GX28">
            <v>4.8719135802469138</v>
          </cell>
        </row>
        <row r="30">
          <cell r="A30" t="str">
            <v>Mining</v>
          </cell>
          <cell r="B30" t="str">
            <v>.</v>
          </cell>
          <cell r="C30" t="str">
            <v>.</v>
          </cell>
          <cell r="D30" t="str">
            <v>.</v>
          </cell>
          <cell r="E30" t="str">
            <v>.</v>
          </cell>
          <cell r="F30" t="str">
            <v>.</v>
          </cell>
          <cell r="G30" t="str">
            <v>.</v>
          </cell>
          <cell r="H30" t="str">
            <v>.</v>
          </cell>
          <cell r="I30" t="str">
            <v>.</v>
          </cell>
          <cell r="J30" t="str">
            <v>.</v>
          </cell>
          <cell r="K30" t="str">
            <v>.</v>
          </cell>
          <cell r="L30" t="str">
            <v>.</v>
          </cell>
          <cell r="M30" t="str">
            <v>.</v>
          </cell>
          <cell r="N30" t="str">
            <v>.</v>
          </cell>
          <cell r="O30" t="str">
            <v>.</v>
          </cell>
          <cell r="P30" t="str">
            <v>.</v>
          </cell>
          <cell r="Q30" t="str">
            <v>.</v>
          </cell>
          <cell r="R30" t="str">
            <v>.</v>
          </cell>
          <cell r="S30" t="str">
            <v>.</v>
          </cell>
          <cell r="T30" t="str">
            <v>.</v>
          </cell>
          <cell r="U30" t="str">
            <v>.</v>
          </cell>
          <cell r="V30" t="str">
            <v>.</v>
          </cell>
          <cell r="W30" t="str">
            <v>.</v>
          </cell>
          <cell r="X30" t="str">
            <v>.</v>
          </cell>
          <cell r="Y30" t="str">
            <v>.</v>
          </cell>
          <cell r="Z30" t="str">
            <v>.</v>
          </cell>
          <cell r="AA30" t="str">
            <v>.</v>
          </cell>
          <cell r="AB30" t="str">
            <v>.</v>
          </cell>
          <cell r="AC30" t="str">
            <v>.</v>
          </cell>
          <cell r="AD30" t="str">
            <v>.</v>
          </cell>
          <cell r="AE30" t="str">
            <v>.</v>
          </cell>
          <cell r="AF30" t="str">
            <v>.</v>
          </cell>
          <cell r="AG30" t="str">
            <v>.</v>
          </cell>
          <cell r="AH30" t="str">
            <v>.</v>
          </cell>
          <cell r="AI30" t="str">
            <v>.</v>
          </cell>
          <cell r="AJ30" t="str">
            <v>.</v>
          </cell>
          <cell r="AK30" t="str">
            <v>.</v>
          </cell>
          <cell r="AL30" t="str">
            <v>.</v>
          </cell>
          <cell r="AM30" t="str">
            <v>.</v>
          </cell>
          <cell r="AN30" t="str">
            <v>.</v>
          </cell>
          <cell r="AO30" t="str">
            <v>.</v>
          </cell>
          <cell r="AP30" t="str">
            <v>.</v>
          </cell>
          <cell r="AQ30" t="str">
            <v>.</v>
          </cell>
          <cell r="AR30" t="str">
            <v>.</v>
          </cell>
          <cell r="AS30" t="str">
            <v>.</v>
          </cell>
          <cell r="AT30" t="str">
            <v>.</v>
          </cell>
          <cell r="AU30" t="str">
            <v>.</v>
          </cell>
          <cell r="AV30" t="str">
            <v>.</v>
          </cell>
          <cell r="AW30" t="str">
            <v>.</v>
          </cell>
          <cell r="AX30" t="str">
            <v>.</v>
          </cell>
          <cell r="AY30" t="str">
            <v>.</v>
          </cell>
          <cell r="AZ30" t="str">
            <v>.</v>
          </cell>
          <cell r="BA30" t="str">
            <v>.</v>
          </cell>
          <cell r="BB30" t="str">
            <v>.</v>
          </cell>
          <cell r="BC30" t="str">
            <v>.</v>
          </cell>
          <cell r="BD30" t="str">
            <v>.</v>
          </cell>
          <cell r="BE30" t="str">
            <v>.</v>
          </cell>
          <cell r="BF30" t="str">
            <v>.</v>
          </cell>
          <cell r="BG30" t="str">
            <v>.</v>
          </cell>
          <cell r="BH30" t="str">
            <v>.</v>
          </cell>
          <cell r="BI30" t="str">
            <v>.</v>
          </cell>
          <cell r="BJ30" t="str">
            <v>.</v>
          </cell>
          <cell r="BK30" t="str">
            <v>.</v>
          </cell>
          <cell r="BL30" t="str">
            <v>.</v>
          </cell>
          <cell r="BM30" t="str">
            <v>.</v>
          </cell>
          <cell r="BN30" t="str">
            <v>.</v>
          </cell>
          <cell r="BO30" t="str">
            <v>.</v>
          </cell>
          <cell r="BP30" t="str">
            <v>.</v>
          </cell>
          <cell r="BQ30" t="str">
            <v>.</v>
          </cell>
          <cell r="BR30" t="str">
            <v>.</v>
          </cell>
          <cell r="BS30" t="str">
            <v>.</v>
          </cell>
          <cell r="BT30" t="str">
            <v>.</v>
          </cell>
          <cell r="BU30" t="str">
            <v>.</v>
          </cell>
          <cell r="BV30" t="str">
            <v>.</v>
          </cell>
          <cell r="BW30" t="str">
            <v>.</v>
          </cell>
          <cell r="BX30" t="str">
            <v>.</v>
          </cell>
          <cell r="BY30" t="str">
            <v>.</v>
          </cell>
          <cell r="BZ30" t="str">
            <v>.</v>
          </cell>
          <cell r="CA30" t="str">
            <v>.</v>
          </cell>
          <cell r="CB30" t="str">
            <v>.</v>
          </cell>
          <cell r="CC30" t="str">
            <v>.</v>
          </cell>
          <cell r="CD30" t="str">
            <v>.</v>
          </cell>
          <cell r="CE30" t="str">
            <v>.</v>
          </cell>
          <cell r="CF30" t="str">
            <v>.</v>
          </cell>
          <cell r="CG30" t="str">
            <v>.</v>
          </cell>
          <cell r="CH30" t="str">
            <v>.</v>
          </cell>
          <cell r="CI30" t="str">
            <v>.</v>
          </cell>
          <cell r="CJ30" t="str">
            <v>.</v>
          </cell>
          <cell r="CK30" t="str">
            <v>.</v>
          </cell>
          <cell r="CL30" t="str">
            <v>.</v>
          </cell>
          <cell r="CM30" t="str">
            <v>.</v>
          </cell>
          <cell r="CN30" t="str">
            <v>.</v>
          </cell>
          <cell r="CO30" t="str">
            <v>.</v>
          </cell>
          <cell r="CP30" t="str">
            <v>.</v>
          </cell>
          <cell r="CQ30" t="str">
            <v>.</v>
          </cell>
          <cell r="CR30" t="str">
            <v>.</v>
          </cell>
          <cell r="CS30" t="str">
            <v>.</v>
          </cell>
          <cell r="CT30" t="str">
            <v>.</v>
          </cell>
          <cell r="CU30" t="str">
            <v>.</v>
          </cell>
          <cell r="CV30" t="str">
            <v>.</v>
          </cell>
          <cell r="CW30" t="str">
            <v>.</v>
          </cell>
          <cell r="CX30" t="str">
            <v>.</v>
          </cell>
          <cell r="CY30" t="str">
            <v>.</v>
          </cell>
          <cell r="CZ30" t="str">
            <v>.</v>
          </cell>
          <cell r="DA30" t="str">
            <v>.</v>
          </cell>
          <cell r="DB30" t="str">
            <v>.</v>
          </cell>
          <cell r="DC30" t="str">
            <v>.</v>
          </cell>
          <cell r="DD30" t="str">
            <v>.</v>
          </cell>
          <cell r="DE30" t="str">
            <v>.</v>
          </cell>
          <cell r="DF30" t="str">
            <v>.</v>
          </cell>
          <cell r="DG30" t="str">
            <v>.</v>
          </cell>
          <cell r="DH30" t="str">
            <v>.</v>
          </cell>
          <cell r="DI30" t="str">
            <v>.</v>
          </cell>
          <cell r="DJ30" t="str">
            <v>.</v>
          </cell>
          <cell r="DK30" t="str">
            <v>.</v>
          </cell>
          <cell r="DL30" t="str">
            <v>.</v>
          </cell>
          <cell r="DM30" t="str">
            <v>.</v>
          </cell>
          <cell r="DN30" t="str">
            <v>.</v>
          </cell>
          <cell r="DO30" t="str">
            <v>.</v>
          </cell>
          <cell r="DP30" t="str">
            <v>.</v>
          </cell>
          <cell r="DQ30" t="str">
            <v>.</v>
          </cell>
          <cell r="DR30" t="str">
            <v>.</v>
          </cell>
          <cell r="DS30" t="str">
            <v>.</v>
          </cell>
          <cell r="DT30" t="str">
            <v>.</v>
          </cell>
          <cell r="DU30" t="str">
            <v>.</v>
          </cell>
          <cell r="DV30" t="str">
            <v>.</v>
          </cell>
          <cell r="DW30" t="str">
            <v>.</v>
          </cell>
          <cell r="DX30" t="str">
            <v>.</v>
          </cell>
          <cell r="DY30" t="str">
            <v>.</v>
          </cell>
          <cell r="DZ30" t="str">
            <v>.</v>
          </cell>
          <cell r="EA30" t="str">
            <v>.</v>
          </cell>
          <cell r="EB30" t="str">
            <v>.</v>
          </cell>
          <cell r="EC30" t="str">
            <v>.</v>
          </cell>
          <cell r="ED30" t="str">
            <v>.</v>
          </cell>
          <cell r="EE30" t="str">
            <v>.</v>
          </cell>
          <cell r="EF30" t="str">
            <v>.</v>
          </cell>
          <cell r="EG30" t="str">
            <v>.</v>
          </cell>
          <cell r="EH30" t="str">
            <v>.</v>
          </cell>
          <cell r="EI30" t="str">
            <v>.</v>
          </cell>
          <cell r="EJ30" t="str">
            <v>.</v>
          </cell>
          <cell r="EK30" t="str">
            <v>.</v>
          </cell>
          <cell r="EL30" t="str">
            <v>.</v>
          </cell>
          <cell r="EM30" t="str">
            <v>.</v>
          </cell>
          <cell r="EN30" t="str">
            <v>.</v>
          </cell>
          <cell r="EO30" t="str">
            <v>.</v>
          </cell>
          <cell r="EP30" t="str">
            <v>.</v>
          </cell>
          <cell r="EQ30" t="str">
            <v>.</v>
          </cell>
          <cell r="ER30" t="str">
            <v>.</v>
          </cell>
          <cell r="ES30" t="str">
            <v>.</v>
          </cell>
          <cell r="ET30" t="str">
            <v>.</v>
          </cell>
          <cell r="EU30" t="str">
            <v>.</v>
          </cell>
          <cell r="EV30" t="str">
            <v>.</v>
          </cell>
          <cell r="EW30" t="str">
            <v>.</v>
          </cell>
          <cell r="EX30" t="str">
            <v>.</v>
          </cell>
          <cell r="EY30" t="str">
            <v>.</v>
          </cell>
          <cell r="EZ30" t="str">
            <v>.</v>
          </cell>
          <cell r="FA30" t="str">
            <v>.</v>
          </cell>
          <cell r="FB30" t="str">
            <v>.</v>
          </cell>
          <cell r="FC30" t="str">
            <v>.</v>
          </cell>
          <cell r="FD30" t="str">
            <v>.</v>
          </cell>
          <cell r="FE30" t="str">
            <v>.</v>
          </cell>
          <cell r="FF30" t="str">
            <v>.</v>
          </cell>
          <cell r="FG30" t="str">
            <v>.</v>
          </cell>
          <cell r="FH30" t="str">
            <v>.</v>
          </cell>
          <cell r="FI30" t="str">
            <v>.</v>
          </cell>
          <cell r="FJ30" t="str">
            <v>.</v>
          </cell>
          <cell r="FK30" t="str">
            <v>.</v>
          </cell>
          <cell r="FL30" t="str">
            <v>.</v>
          </cell>
          <cell r="FM30" t="str">
            <v>.</v>
          </cell>
          <cell r="FN30" t="str">
            <v>.</v>
          </cell>
          <cell r="FO30" t="str">
            <v>.</v>
          </cell>
          <cell r="FP30" t="str">
            <v>.</v>
          </cell>
          <cell r="FQ30" t="str">
            <v>.</v>
          </cell>
          <cell r="FR30" t="str">
            <v>.</v>
          </cell>
          <cell r="FS30" t="str">
            <v>.</v>
          </cell>
          <cell r="FT30" t="str">
            <v>.</v>
          </cell>
          <cell r="FU30" t="str">
            <v>.</v>
          </cell>
          <cell r="FV30" t="str">
            <v>.</v>
          </cell>
          <cell r="FW30" t="str">
            <v>.</v>
          </cell>
          <cell r="FX30" t="str">
            <v>.</v>
          </cell>
          <cell r="FY30" t="str">
            <v>.</v>
          </cell>
          <cell r="FZ30" t="str">
            <v>.</v>
          </cell>
          <cell r="GA30" t="str">
            <v>.</v>
          </cell>
          <cell r="GB30" t="str">
            <v>.</v>
          </cell>
          <cell r="GC30" t="str">
            <v>.</v>
          </cell>
          <cell r="GD30" t="str">
            <v>.</v>
          </cell>
          <cell r="GE30" t="str">
            <v>.</v>
          </cell>
          <cell r="GF30" t="str">
            <v>.</v>
          </cell>
          <cell r="GG30" t="str">
            <v>.</v>
          </cell>
          <cell r="GH30" t="str">
            <v>.</v>
          </cell>
          <cell r="GI30" t="str">
            <v>.</v>
          </cell>
          <cell r="GJ30" t="str">
            <v>.</v>
          </cell>
          <cell r="GK30" t="str">
            <v>.</v>
          </cell>
          <cell r="GL30" t="str">
            <v>.</v>
          </cell>
          <cell r="GM30" t="str">
            <v>.</v>
          </cell>
          <cell r="GN30" t="str">
            <v>.</v>
          </cell>
          <cell r="GO30" t="str">
            <v>.</v>
          </cell>
          <cell r="GP30" t="str">
            <v>.</v>
          </cell>
          <cell r="GQ30" t="str">
            <v>.</v>
          </cell>
          <cell r="GR30" t="str">
            <v>.</v>
          </cell>
          <cell r="GS30" t="str">
            <v>.</v>
          </cell>
          <cell r="GT30" t="str">
            <v>.</v>
          </cell>
          <cell r="GU30" t="str">
            <v>.</v>
          </cell>
          <cell r="GV30" t="str">
            <v>.</v>
          </cell>
          <cell r="GW30" t="str">
            <v>.</v>
          </cell>
          <cell r="GX30" t="str">
            <v>.</v>
          </cell>
        </row>
        <row r="31">
          <cell r="A31" t="str">
            <v>Economic Ore Mined</v>
          </cell>
          <cell r="B31" t="str">
            <v>kt</v>
          </cell>
          <cell r="D31">
            <v>7851</v>
          </cell>
          <cell r="E31">
            <v>9291</v>
          </cell>
          <cell r="F31">
            <v>10979</v>
          </cell>
          <cell r="G31">
            <v>6551</v>
          </cell>
          <cell r="H31">
            <v>5856</v>
          </cell>
          <cell r="I31">
            <v>3751</v>
          </cell>
          <cell r="J31">
            <v>4380</v>
          </cell>
          <cell r="K31">
            <v>8336</v>
          </cell>
          <cell r="L31">
            <v>6659</v>
          </cell>
          <cell r="M31">
            <v>8396</v>
          </cell>
          <cell r="N31">
            <v>6000</v>
          </cell>
          <cell r="O31">
            <v>6000</v>
          </cell>
          <cell r="P31">
            <v>6000</v>
          </cell>
          <cell r="Q31">
            <v>6000</v>
          </cell>
          <cell r="R31">
            <v>5000</v>
          </cell>
          <cell r="S31">
            <v>5000</v>
          </cell>
          <cell r="T31">
            <v>5000</v>
          </cell>
          <cell r="U31">
            <v>5000</v>
          </cell>
          <cell r="V31">
            <v>5000</v>
          </cell>
          <cell r="W31">
            <v>5000</v>
          </cell>
          <cell r="X31">
            <v>5000</v>
          </cell>
          <cell r="Y31">
            <v>5000</v>
          </cell>
          <cell r="Z31">
            <v>5000</v>
          </cell>
          <cell r="AA31">
            <v>5000</v>
          </cell>
          <cell r="AB31">
            <v>5000</v>
          </cell>
          <cell r="AC31">
            <v>5000</v>
          </cell>
          <cell r="AD31">
            <v>5000</v>
          </cell>
          <cell r="AE31">
            <v>5000</v>
          </cell>
          <cell r="AF31">
            <v>5000</v>
          </cell>
          <cell r="AG31">
            <v>5000</v>
          </cell>
          <cell r="AH31">
            <v>5000</v>
          </cell>
          <cell r="AI31">
            <v>5000</v>
          </cell>
          <cell r="AJ31">
            <v>5000</v>
          </cell>
          <cell r="AK31">
            <v>5000</v>
          </cell>
          <cell r="AL31">
            <v>5000</v>
          </cell>
          <cell r="AM31">
            <v>5000</v>
          </cell>
          <cell r="AN31">
            <v>5000</v>
          </cell>
          <cell r="AO31">
            <v>5000</v>
          </cell>
          <cell r="AP31">
            <v>5000</v>
          </cell>
          <cell r="AQ31">
            <v>5000</v>
          </cell>
          <cell r="AR31">
            <v>5000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F31">
            <v>4530</v>
          </cell>
          <cell r="BG31">
            <v>3321</v>
          </cell>
          <cell r="BH31">
            <v>7851</v>
          </cell>
          <cell r="BI31">
            <v>4698</v>
          </cell>
          <cell r="BJ31">
            <v>4593</v>
          </cell>
          <cell r="BK31">
            <v>9291</v>
          </cell>
          <cell r="BL31">
            <v>5417</v>
          </cell>
          <cell r="BM31">
            <v>5562</v>
          </cell>
          <cell r="BN31">
            <v>10979</v>
          </cell>
          <cell r="BO31">
            <v>2724</v>
          </cell>
          <cell r="BP31">
            <v>3827</v>
          </cell>
          <cell r="BQ31">
            <v>6551</v>
          </cell>
          <cell r="BR31">
            <v>4722</v>
          </cell>
          <cell r="BS31">
            <v>1134</v>
          </cell>
          <cell r="BT31">
            <v>5856</v>
          </cell>
          <cell r="BU31">
            <v>924</v>
          </cell>
          <cell r="BV31">
            <v>2827</v>
          </cell>
          <cell r="BW31">
            <v>3751</v>
          </cell>
          <cell r="BX31">
            <v>2857</v>
          </cell>
          <cell r="BY31">
            <v>1523</v>
          </cell>
          <cell r="BZ31">
            <v>4380</v>
          </cell>
          <cell r="CA31">
            <v>4243</v>
          </cell>
          <cell r="CB31">
            <v>4093</v>
          </cell>
          <cell r="CC31">
            <v>8336</v>
          </cell>
          <cell r="CD31">
            <v>2566</v>
          </cell>
          <cell r="CE31">
            <v>6659</v>
          </cell>
          <cell r="CF31">
            <v>4064</v>
          </cell>
          <cell r="CG31">
            <v>4332</v>
          </cell>
          <cell r="CH31">
            <v>8396</v>
          </cell>
          <cell r="CI31">
            <v>3000</v>
          </cell>
          <cell r="CJ31">
            <v>3000</v>
          </cell>
          <cell r="CK31">
            <v>6000</v>
          </cell>
          <cell r="CL31">
            <v>3000</v>
          </cell>
          <cell r="CM31">
            <v>3000</v>
          </cell>
          <cell r="CN31">
            <v>6000</v>
          </cell>
          <cell r="CO31">
            <v>3000</v>
          </cell>
          <cell r="CP31">
            <v>3000</v>
          </cell>
          <cell r="CQ31">
            <v>6000</v>
          </cell>
          <cell r="CR31">
            <v>3000</v>
          </cell>
          <cell r="CS31">
            <v>3000</v>
          </cell>
          <cell r="CT31">
            <v>6000</v>
          </cell>
          <cell r="CU31">
            <v>2500</v>
          </cell>
          <cell r="CV31">
            <v>2500</v>
          </cell>
          <cell r="CW31">
            <v>5000</v>
          </cell>
          <cell r="CX31">
            <v>2500</v>
          </cell>
          <cell r="CY31">
            <v>2500</v>
          </cell>
          <cell r="CZ31">
            <v>5000</v>
          </cell>
          <cell r="DA31">
            <v>2500</v>
          </cell>
          <cell r="DB31">
            <v>2500</v>
          </cell>
          <cell r="DC31">
            <v>5000</v>
          </cell>
          <cell r="DD31">
            <v>2500</v>
          </cell>
          <cell r="DE31">
            <v>2500</v>
          </cell>
          <cell r="DF31">
            <v>5000</v>
          </cell>
          <cell r="DG31">
            <v>2500</v>
          </cell>
          <cell r="DH31">
            <v>2500</v>
          </cell>
          <cell r="DI31">
            <v>5000</v>
          </cell>
          <cell r="DJ31">
            <v>2500</v>
          </cell>
          <cell r="DK31">
            <v>2500</v>
          </cell>
          <cell r="DL31">
            <v>5000</v>
          </cell>
          <cell r="DM31">
            <v>2500</v>
          </cell>
          <cell r="DN31">
            <v>2500</v>
          </cell>
          <cell r="DO31">
            <v>5000</v>
          </cell>
          <cell r="DP31">
            <v>2500</v>
          </cell>
          <cell r="DQ31">
            <v>2500</v>
          </cell>
          <cell r="DR31">
            <v>5000</v>
          </cell>
          <cell r="DS31">
            <v>2500</v>
          </cell>
          <cell r="DT31">
            <v>2500</v>
          </cell>
          <cell r="DU31">
            <v>5000</v>
          </cell>
          <cell r="DV31">
            <v>2500</v>
          </cell>
          <cell r="DW31">
            <v>2500</v>
          </cell>
          <cell r="DX31">
            <v>5000</v>
          </cell>
          <cell r="DY31">
            <v>2500</v>
          </cell>
          <cell r="DZ31">
            <v>2500</v>
          </cell>
          <cell r="EA31">
            <v>5000</v>
          </cell>
          <cell r="EB31">
            <v>2500</v>
          </cell>
          <cell r="EC31">
            <v>2500</v>
          </cell>
          <cell r="ED31">
            <v>5000</v>
          </cell>
          <cell r="EE31">
            <v>2500</v>
          </cell>
          <cell r="EF31">
            <v>2500</v>
          </cell>
          <cell r="EG31">
            <v>5000</v>
          </cell>
          <cell r="EH31">
            <v>2500</v>
          </cell>
          <cell r="EI31">
            <v>2500</v>
          </cell>
          <cell r="EJ31">
            <v>5000</v>
          </cell>
          <cell r="EK31">
            <v>2500</v>
          </cell>
          <cell r="EL31">
            <v>2500</v>
          </cell>
          <cell r="EM31">
            <v>5000</v>
          </cell>
          <cell r="EN31">
            <v>2500</v>
          </cell>
          <cell r="EO31">
            <v>2500</v>
          </cell>
          <cell r="EP31">
            <v>5000</v>
          </cell>
          <cell r="EQ31">
            <v>2500</v>
          </cell>
          <cell r="ER31">
            <v>2500</v>
          </cell>
          <cell r="ES31">
            <v>5000</v>
          </cell>
          <cell r="ET31">
            <v>2500</v>
          </cell>
          <cell r="EU31">
            <v>2500</v>
          </cell>
          <cell r="EV31">
            <v>5000</v>
          </cell>
          <cell r="EW31">
            <v>2500</v>
          </cell>
          <cell r="EX31">
            <v>2500</v>
          </cell>
          <cell r="EY31">
            <v>5000</v>
          </cell>
          <cell r="EZ31">
            <v>2500</v>
          </cell>
          <cell r="FA31">
            <v>2500</v>
          </cell>
          <cell r="FB31">
            <v>5000</v>
          </cell>
          <cell r="FC31">
            <v>2500</v>
          </cell>
          <cell r="FD31">
            <v>2500</v>
          </cell>
          <cell r="FE31">
            <v>5000</v>
          </cell>
          <cell r="FF31">
            <v>2500</v>
          </cell>
          <cell r="FG31">
            <v>2500</v>
          </cell>
          <cell r="FH31">
            <v>5000</v>
          </cell>
          <cell r="FI31">
            <v>2500</v>
          </cell>
          <cell r="FJ31">
            <v>2500</v>
          </cell>
          <cell r="FK31">
            <v>5000</v>
          </cell>
          <cell r="FL31">
            <v>2500</v>
          </cell>
          <cell r="FM31">
            <v>2500</v>
          </cell>
          <cell r="FN31">
            <v>5000</v>
          </cell>
          <cell r="FO31">
            <v>2500</v>
          </cell>
          <cell r="FP31">
            <v>2500</v>
          </cell>
          <cell r="FQ31">
            <v>5000</v>
          </cell>
          <cell r="FR31">
            <v>2500</v>
          </cell>
          <cell r="FS31">
            <v>2500</v>
          </cell>
          <cell r="FT31">
            <v>5000</v>
          </cell>
          <cell r="FU31">
            <v>2500</v>
          </cell>
          <cell r="FV31">
            <v>2500</v>
          </cell>
          <cell r="FW31">
            <v>5000</v>
          </cell>
        </row>
        <row r="32">
          <cell r="A32" t="str">
            <v>High Grade Ore Mined</v>
          </cell>
          <cell r="B32" t="str">
            <v>kt</v>
          </cell>
          <cell r="D32">
            <v>0</v>
          </cell>
          <cell r="E32">
            <v>0</v>
          </cell>
          <cell r="F32">
            <v>0</v>
          </cell>
          <cell r="G32">
            <v>5035</v>
          </cell>
          <cell r="H32">
            <v>3518</v>
          </cell>
          <cell r="I32">
            <v>4204</v>
          </cell>
          <cell r="J32">
            <v>6111</v>
          </cell>
          <cell r="K32">
            <v>6182</v>
          </cell>
          <cell r="L32">
            <v>6931</v>
          </cell>
          <cell r="M32">
            <v>6504</v>
          </cell>
          <cell r="N32">
            <v>6400</v>
          </cell>
          <cell r="O32">
            <v>6400</v>
          </cell>
          <cell r="P32">
            <v>6400</v>
          </cell>
          <cell r="Q32">
            <v>6400</v>
          </cell>
          <cell r="R32">
            <v>5000</v>
          </cell>
          <cell r="S32">
            <v>5000</v>
          </cell>
          <cell r="T32">
            <v>5000</v>
          </cell>
          <cell r="U32">
            <v>5000</v>
          </cell>
          <cell r="V32">
            <v>5000</v>
          </cell>
          <cell r="W32">
            <v>5000</v>
          </cell>
          <cell r="X32">
            <v>5000</v>
          </cell>
          <cell r="Y32">
            <v>5000</v>
          </cell>
          <cell r="Z32">
            <v>5000</v>
          </cell>
          <cell r="AA32">
            <v>5000</v>
          </cell>
          <cell r="AB32">
            <v>5000</v>
          </cell>
          <cell r="AC32">
            <v>5000</v>
          </cell>
          <cell r="AD32">
            <v>5000</v>
          </cell>
          <cell r="AE32">
            <v>5000</v>
          </cell>
          <cell r="AF32">
            <v>5000</v>
          </cell>
          <cell r="AG32">
            <v>5000</v>
          </cell>
          <cell r="AH32">
            <v>5000</v>
          </cell>
          <cell r="AI32">
            <v>5000</v>
          </cell>
          <cell r="AJ32">
            <v>5000</v>
          </cell>
          <cell r="AK32">
            <v>5000</v>
          </cell>
          <cell r="AL32">
            <v>5000</v>
          </cell>
          <cell r="AM32">
            <v>5000</v>
          </cell>
          <cell r="AN32">
            <v>5000</v>
          </cell>
          <cell r="AO32">
            <v>5000</v>
          </cell>
          <cell r="AP32">
            <v>5000</v>
          </cell>
          <cell r="AQ32">
            <v>5000</v>
          </cell>
          <cell r="AR32">
            <v>5000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0</v>
          </cell>
          <cell r="BK32">
            <v>0</v>
          </cell>
          <cell r="BL32">
            <v>0</v>
          </cell>
          <cell r="BM32">
            <v>0</v>
          </cell>
          <cell r="BN32">
            <v>0</v>
          </cell>
          <cell r="BO32">
            <v>2671</v>
          </cell>
          <cell r="BP32">
            <v>2364</v>
          </cell>
          <cell r="BQ32">
            <v>5035</v>
          </cell>
          <cell r="BR32">
            <v>1539</v>
          </cell>
          <cell r="BS32">
            <v>1979</v>
          </cell>
          <cell r="BT32">
            <v>3518</v>
          </cell>
          <cell r="BU32">
            <v>952</v>
          </cell>
          <cell r="BV32">
            <v>3252</v>
          </cell>
          <cell r="BW32">
            <v>4204</v>
          </cell>
          <cell r="BX32">
            <v>3459</v>
          </cell>
          <cell r="BY32">
            <v>2652</v>
          </cell>
          <cell r="BZ32">
            <v>6111</v>
          </cell>
          <cell r="CA32">
            <v>2282</v>
          </cell>
          <cell r="CB32">
            <v>3900</v>
          </cell>
          <cell r="CC32">
            <v>6182</v>
          </cell>
          <cell r="CD32">
            <v>3031</v>
          </cell>
          <cell r="CE32">
            <v>6931</v>
          </cell>
          <cell r="CF32">
            <v>3058</v>
          </cell>
          <cell r="CG32">
            <v>3446</v>
          </cell>
          <cell r="CH32">
            <v>6504</v>
          </cell>
          <cell r="CI32">
            <v>3200</v>
          </cell>
          <cell r="CJ32">
            <v>3200</v>
          </cell>
          <cell r="CK32">
            <v>6400</v>
          </cell>
          <cell r="CL32">
            <v>3200</v>
          </cell>
          <cell r="CM32">
            <v>3200</v>
          </cell>
          <cell r="CN32">
            <v>6400</v>
          </cell>
          <cell r="CO32">
            <v>3200</v>
          </cell>
          <cell r="CP32">
            <v>3200</v>
          </cell>
          <cell r="CQ32">
            <v>6400</v>
          </cell>
          <cell r="CR32">
            <v>3200</v>
          </cell>
          <cell r="CS32">
            <v>3200</v>
          </cell>
          <cell r="CT32">
            <v>6400</v>
          </cell>
          <cell r="CU32">
            <v>2500</v>
          </cell>
          <cell r="CV32">
            <v>2500</v>
          </cell>
          <cell r="CW32">
            <v>5000</v>
          </cell>
          <cell r="CX32">
            <v>2500</v>
          </cell>
          <cell r="CY32">
            <v>2500</v>
          </cell>
          <cell r="CZ32">
            <v>5000</v>
          </cell>
          <cell r="DA32">
            <v>2500</v>
          </cell>
          <cell r="DB32">
            <v>2500</v>
          </cell>
          <cell r="DC32">
            <v>5000</v>
          </cell>
          <cell r="DD32">
            <v>2500</v>
          </cell>
          <cell r="DE32">
            <v>2500</v>
          </cell>
          <cell r="DF32">
            <v>5000</v>
          </cell>
          <cell r="DG32">
            <v>2500</v>
          </cell>
          <cell r="DH32">
            <v>2500</v>
          </cell>
          <cell r="DI32">
            <v>5000</v>
          </cell>
          <cell r="DJ32">
            <v>2500</v>
          </cell>
          <cell r="DK32">
            <v>2500</v>
          </cell>
          <cell r="DL32">
            <v>5000</v>
          </cell>
          <cell r="DM32">
            <v>2500</v>
          </cell>
          <cell r="DN32">
            <v>2500</v>
          </cell>
          <cell r="DO32">
            <v>5000</v>
          </cell>
          <cell r="DP32">
            <v>2500</v>
          </cell>
          <cell r="DQ32">
            <v>2500</v>
          </cell>
          <cell r="DR32">
            <v>5000</v>
          </cell>
          <cell r="DS32">
            <v>2500</v>
          </cell>
          <cell r="DT32">
            <v>2500</v>
          </cell>
          <cell r="DU32">
            <v>5000</v>
          </cell>
          <cell r="DV32">
            <v>2500</v>
          </cell>
          <cell r="DW32">
            <v>2500</v>
          </cell>
          <cell r="DX32">
            <v>5000</v>
          </cell>
          <cell r="DY32">
            <v>2500</v>
          </cell>
          <cell r="DZ32">
            <v>2500</v>
          </cell>
          <cell r="EA32">
            <v>5000</v>
          </cell>
          <cell r="EB32">
            <v>2500</v>
          </cell>
          <cell r="EC32">
            <v>2500</v>
          </cell>
          <cell r="ED32">
            <v>5000</v>
          </cell>
          <cell r="EE32">
            <v>2500</v>
          </cell>
          <cell r="EF32">
            <v>2500</v>
          </cell>
          <cell r="EG32">
            <v>5000</v>
          </cell>
          <cell r="EH32">
            <v>2500</v>
          </cell>
          <cell r="EI32">
            <v>2500</v>
          </cell>
          <cell r="EJ32">
            <v>5000</v>
          </cell>
          <cell r="EK32">
            <v>2500</v>
          </cell>
          <cell r="EL32">
            <v>2500</v>
          </cell>
          <cell r="EM32">
            <v>5000</v>
          </cell>
          <cell r="EN32">
            <v>2500</v>
          </cell>
          <cell r="EO32">
            <v>2500</v>
          </cell>
          <cell r="EP32">
            <v>5000</v>
          </cell>
          <cell r="EQ32">
            <v>2500</v>
          </cell>
          <cell r="ER32">
            <v>2500</v>
          </cell>
          <cell r="ES32">
            <v>5000</v>
          </cell>
          <cell r="ET32">
            <v>2500</v>
          </cell>
          <cell r="EU32">
            <v>2500</v>
          </cell>
          <cell r="EV32">
            <v>5000</v>
          </cell>
          <cell r="EW32">
            <v>2500</v>
          </cell>
          <cell r="EX32">
            <v>2500</v>
          </cell>
          <cell r="EY32">
            <v>5000</v>
          </cell>
          <cell r="EZ32">
            <v>2500</v>
          </cell>
          <cell r="FA32">
            <v>2500</v>
          </cell>
          <cell r="FB32">
            <v>5000</v>
          </cell>
          <cell r="FC32">
            <v>2500</v>
          </cell>
          <cell r="FD32">
            <v>2500</v>
          </cell>
          <cell r="FE32">
            <v>5000</v>
          </cell>
          <cell r="FF32">
            <v>2500</v>
          </cell>
          <cell r="FG32">
            <v>2500</v>
          </cell>
          <cell r="FH32">
            <v>5000</v>
          </cell>
          <cell r="FI32">
            <v>2500</v>
          </cell>
          <cell r="FJ32">
            <v>2500</v>
          </cell>
          <cell r="FK32">
            <v>5000</v>
          </cell>
          <cell r="FL32">
            <v>2500</v>
          </cell>
          <cell r="FM32">
            <v>2500</v>
          </cell>
          <cell r="FN32">
            <v>5000</v>
          </cell>
          <cell r="FO32">
            <v>2500</v>
          </cell>
          <cell r="FP32">
            <v>2500</v>
          </cell>
          <cell r="FQ32">
            <v>5000</v>
          </cell>
          <cell r="FR32">
            <v>2500</v>
          </cell>
          <cell r="FS32">
            <v>2500</v>
          </cell>
          <cell r="FT32">
            <v>5000</v>
          </cell>
          <cell r="FU32">
            <v>2500</v>
          </cell>
          <cell r="FV32">
            <v>2500</v>
          </cell>
          <cell r="FW32">
            <v>5000</v>
          </cell>
        </row>
        <row r="33">
          <cell r="A33" t="str">
            <v>Ore Mined</v>
          </cell>
          <cell r="B33" t="str">
            <v>kt</v>
          </cell>
          <cell r="D33">
            <v>7851</v>
          </cell>
          <cell r="E33">
            <v>9291</v>
          </cell>
          <cell r="F33">
            <v>10979</v>
          </cell>
          <cell r="G33">
            <v>11586</v>
          </cell>
          <cell r="H33">
            <v>9374</v>
          </cell>
          <cell r="I33">
            <v>7955</v>
          </cell>
          <cell r="J33">
            <v>10491</v>
          </cell>
          <cell r="K33">
            <v>14518</v>
          </cell>
          <cell r="L33">
            <v>13590</v>
          </cell>
          <cell r="M33">
            <v>14900</v>
          </cell>
          <cell r="N33">
            <v>12400</v>
          </cell>
          <cell r="O33">
            <v>12400</v>
          </cell>
          <cell r="P33">
            <v>12400</v>
          </cell>
          <cell r="Q33">
            <v>12400</v>
          </cell>
          <cell r="R33">
            <v>10000</v>
          </cell>
          <cell r="S33">
            <v>10000</v>
          </cell>
          <cell r="T33">
            <v>10000</v>
          </cell>
          <cell r="U33">
            <v>10000</v>
          </cell>
          <cell r="V33">
            <v>10000</v>
          </cell>
          <cell r="W33">
            <v>10000</v>
          </cell>
          <cell r="X33">
            <v>10000</v>
          </cell>
          <cell r="Y33">
            <v>10000</v>
          </cell>
          <cell r="Z33">
            <v>10000</v>
          </cell>
          <cell r="AA33">
            <v>10000</v>
          </cell>
          <cell r="AB33">
            <v>10000</v>
          </cell>
          <cell r="AC33">
            <v>10000</v>
          </cell>
          <cell r="AD33">
            <v>10000</v>
          </cell>
          <cell r="AE33">
            <v>10000</v>
          </cell>
          <cell r="AF33">
            <v>10000</v>
          </cell>
          <cell r="AG33">
            <v>10000</v>
          </cell>
          <cell r="AH33">
            <v>10000</v>
          </cell>
          <cell r="AI33">
            <v>10000</v>
          </cell>
          <cell r="AJ33">
            <v>10000</v>
          </cell>
          <cell r="AK33">
            <v>10000</v>
          </cell>
          <cell r="AL33">
            <v>10000</v>
          </cell>
          <cell r="AM33">
            <v>10000</v>
          </cell>
          <cell r="AN33">
            <v>10000</v>
          </cell>
          <cell r="AO33">
            <v>10000</v>
          </cell>
          <cell r="AP33">
            <v>10000</v>
          </cell>
          <cell r="AQ33">
            <v>10000</v>
          </cell>
          <cell r="AR33">
            <v>10000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F33">
            <v>4530</v>
          </cell>
          <cell r="BG33">
            <v>3321</v>
          </cell>
          <cell r="BH33">
            <v>7851</v>
          </cell>
          <cell r="BI33">
            <v>4698</v>
          </cell>
          <cell r="BJ33">
            <v>4593</v>
          </cell>
          <cell r="BK33">
            <v>9291</v>
          </cell>
          <cell r="BL33">
            <v>5417</v>
          </cell>
          <cell r="BM33">
            <v>5562</v>
          </cell>
          <cell r="BN33">
            <v>10979</v>
          </cell>
          <cell r="BO33">
            <v>5395</v>
          </cell>
          <cell r="BP33">
            <v>6191</v>
          </cell>
          <cell r="BQ33">
            <v>11586</v>
          </cell>
          <cell r="BR33">
            <v>6261</v>
          </cell>
          <cell r="BS33">
            <v>3113</v>
          </cell>
          <cell r="BT33">
            <v>9374</v>
          </cell>
          <cell r="BU33">
            <v>1876</v>
          </cell>
          <cell r="BV33">
            <v>6079</v>
          </cell>
          <cell r="BW33">
            <v>7955</v>
          </cell>
          <cell r="BX33">
            <v>6316</v>
          </cell>
          <cell r="BY33">
            <v>4175</v>
          </cell>
          <cell r="BZ33">
            <v>10491</v>
          </cell>
          <cell r="CA33">
            <v>6525</v>
          </cell>
          <cell r="CB33">
            <v>7993</v>
          </cell>
          <cell r="CC33">
            <v>14518</v>
          </cell>
          <cell r="CD33">
            <v>5597</v>
          </cell>
          <cell r="CE33">
            <v>13590</v>
          </cell>
          <cell r="CF33">
            <v>7122</v>
          </cell>
          <cell r="CG33">
            <v>7778</v>
          </cell>
          <cell r="CH33">
            <v>14900</v>
          </cell>
          <cell r="CI33">
            <v>6200</v>
          </cell>
          <cell r="CJ33">
            <v>6200</v>
          </cell>
          <cell r="CK33">
            <v>12400</v>
          </cell>
          <cell r="CL33">
            <v>6200</v>
          </cell>
          <cell r="CM33">
            <v>6200</v>
          </cell>
          <cell r="CN33">
            <v>12400</v>
          </cell>
          <cell r="CO33">
            <v>6200</v>
          </cell>
          <cell r="CP33">
            <v>6200</v>
          </cell>
          <cell r="CQ33">
            <v>12400</v>
          </cell>
          <cell r="CR33">
            <v>6200</v>
          </cell>
          <cell r="CS33">
            <v>6200</v>
          </cell>
          <cell r="CT33">
            <v>12400</v>
          </cell>
          <cell r="CU33">
            <v>5000</v>
          </cell>
          <cell r="CV33">
            <v>5000</v>
          </cell>
          <cell r="CW33">
            <v>10000</v>
          </cell>
          <cell r="CX33">
            <v>5000</v>
          </cell>
          <cell r="CY33">
            <v>5000</v>
          </cell>
          <cell r="CZ33">
            <v>10000</v>
          </cell>
          <cell r="DA33">
            <v>5000</v>
          </cell>
          <cell r="DB33">
            <v>5000</v>
          </cell>
          <cell r="DC33">
            <v>10000</v>
          </cell>
          <cell r="DD33">
            <v>5000</v>
          </cell>
          <cell r="DE33">
            <v>5000</v>
          </cell>
          <cell r="DF33">
            <v>10000</v>
          </cell>
          <cell r="DG33">
            <v>5000</v>
          </cell>
          <cell r="DH33">
            <v>5000</v>
          </cell>
          <cell r="DI33">
            <v>10000</v>
          </cell>
          <cell r="DJ33">
            <v>5000</v>
          </cell>
          <cell r="DK33">
            <v>5000</v>
          </cell>
          <cell r="DL33">
            <v>10000</v>
          </cell>
          <cell r="DM33">
            <v>5000</v>
          </cell>
          <cell r="DN33">
            <v>5000</v>
          </cell>
          <cell r="DO33">
            <v>10000</v>
          </cell>
          <cell r="DP33">
            <v>5000</v>
          </cell>
          <cell r="DQ33">
            <v>5000</v>
          </cell>
          <cell r="DR33">
            <v>10000</v>
          </cell>
          <cell r="DS33">
            <v>5000</v>
          </cell>
          <cell r="DT33">
            <v>5000</v>
          </cell>
          <cell r="DU33">
            <v>10000</v>
          </cell>
          <cell r="DV33">
            <v>5000</v>
          </cell>
          <cell r="DW33">
            <v>5000</v>
          </cell>
          <cell r="DX33">
            <v>10000</v>
          </cell>
          <cell r="DY33">
            <v>5000</v>
          </cell>
          <cell r="DZ33">
            <v>5000</v>
          </cell>
          <cell r="EA33">
            <v>10000</v>
          </cell>
          <cell r="EB33">
            <v>5000</v>
          </cell>
          <cell r="EC33">
            <v>5000</v>
          </cell>
          <cell r="ED33">
            <v>10000</v>
          </cell>
          <cell r="EE33">
            <v>5000</v>
          </cell>
          <cell r="EF33">
            <v>5000</v>
          </cell>
          <cell r="EG33">
            <v>10000</v>
          </cell>
          <cell r="EH33">
            <v>5000</v>
          </cell>
          <cell r="EI33">
            <v>5000</v>
          </cell>
          <cell r="EJ33">
            <v>10000</v>
          </cell>
          <cell r="EK33">
            <v>5000</v>
          </cell>
          <cell r="EL33">
            <v>5000</v>
          </cell>
          <cell r="EM33">
            <v>10000</v>
          </cell>
          <cell r="EN33">
            <v>5000</v>
          </cell>
          <cell r="EO33">
            <v>5000</v>
          </cell>
          <cell r="EP33">
            <v>10000</v>
          </cell>
          <cell r="EQ33">
            <v>5000</v>
          </cell>
          <cell r="ER33">
            <v>5000</v>
          </cell>
          <cell r="ES33">
            <v>10000</v>
          </cell>
          <cell r="ET33">
            <v>5000</v>
          </cell>
          <cell r="EU33">
            <v>5000</v>
          </cell>
          <cell r="EV33">
            <v>10000</v>
          </cell>
          <cell r="EW33">
            <v>5000</v>
          </cell>
          <cell r="EX33">
            <v>5000</v>
          </cell>
          <cell r="EY33">
            <v>10000</v>
          </cell>
          <cell r="EZ33">
            <v>5000</v>
          </cell>
          <cell r="FA33">
            <v>5000</v>
          </cell>
          <cell r="FB33">
            <v>10000</v>
          </cell>
          <cell r="FC33">
            <v>5000</v>
          </cell>
          <cell r="FD33">
            <v>5000</v>
          </cell>
          <cell r="FE33">
            <v>10000</v>
          </cell>
          <cell r="FF33">
            <v>5000</v>
          </cell>
          <cell r="FG33">
            <v>5000</v>
          </cell>
          <cell r="FH33">
            <v>10000</v>
          </cell>
          <cell r="FI33">
            <v>5000</v>
          </cell>
          <cell r="FJ33">
            <v>5000</v>
          </cell>
          <cell r="FK33">
            <v>10000</v>
          </cell>
          <cell r="FL33">
            <v>5000</v>
          </cell>
          <cell r="FM33">
            <v>5000</v>
          </cell>
          <cell r="FN33">
            <v>10000</v>
          </cell>
          <cell r="FO33">
            <v>5000</v>
          </cell>
          <cell r="FP33">
            <v>5000</v>
          </cell>
          <cell r="FQ33">
            <v>10000</v>
          </cell>
          <cell r="FR33">
            <v>5000</v>
          </cell>
          <cell r="FS33">
            <v>5000</v>
          </cell>
          <cell r="FT33">
            <v>10000</v>
          </cell>
          <cell r="FU33">
            <v>5000</v>
          </cell>
          <cell r="FV33">
            <v>5000</v>
          </cell>
          <cell r="FW33">
            <v>10000</v>
          </cell>
        </row>
        <row r="34">
          <cell r="A34" t="str">
            <v>Waste Removed</v>
          </cell>
          <cell r="B34" t="str">
            <v>kt</v>
          </cell>
          <cell r="D34">
            <v>24082</v>
          </cell>
          <cell r="E34">
            <v>30722</v>
          </cell>
          <cell r="F34">
            <v>23945</v>
          </cell>
          <cell r="G34">
            <v>35169</v>
          </cell>
          <cell r="H34">
            <v>32183</v>
          </cell>
          <cell r="I34">
            <v>48195</v>
          </cell>
          <cell r="J34">
            <v>47769</v>
          </cell>
          <cell r="K34">
            <v>36141</v>
          </cell>
          <cell r="L34">
            <v>34730</v>
          </cell>
          <cell r="M34">
            <v>31156</v>
          </cell>
          <cell r="N34">
            <v>42252</v>
          </cell>
          <cell r="O34">
            <v>43600</v>
          </cell>
          <cell r="P34">
            <v>43600</v>
          </cell>
          <cell r="Q34">
            <v>43600</v>
          </cell>
          <cell r="R34">
            <v>46000</v>
          </cell>
          <cell r="S34">
            <v>46000</v>
          </cell>
          <cell r="T34">
            <v>46000</v>
          </cell>
          <cell r="U34">
            <v>46000</v>
          </cell>
          <cell r="V34">
            <v>46000</v>
          </cell>
          <cell r="W34">
            <v>46000</v>
          </cell>
          <cell r="X34">
            <v>46000</v>
          </cell>
          <cell r="Y34">
            <v>46000</v>
          </cell>
          <cell r="Z34">
            <v>46000</v>
          </cell>
          <cell r="AA34">
            <v>46000</v>
          </cell>
          <cell r="AB34">
            <v>46000</v>
          </cell>
          <cell r="AC34">
            <v>46000</v>
          </cell>
          <cell r="AD34">
            <v>46000</v>
          </cell>
          <cell r="AE34">
            <v>46000</v>
          </cell>
          <cell r="AF34">
            <v>46000</v>
          </cell>
          <cell r="AG34">
            <v>46000</v>
          </cell>
          <cell r="AH34">
            <v>46000</v>
          </cell>
          <cell r="AI34">
            <v>46000</v>
          </cell>
          <cell r="AJ34">
            <v>46000</v>
          </cell>
          <cell r="AK34">
            <v>46000</v>
          </cell>
          <cell r="AL34">
            <v>46000</v>
          </cell>
          <cell r="AM34">
            <v>46000</v>
          </cell>
          <cell r="AN34">
            <v>46000</v>
          </cell>
          <cell r="AO34">
            <v>46000</v>
          </cell>
          <cell r="AP34">
            <v>46000</v>
          </cell>
          <cell r="AQ34">
            <v>46000</v>
          </cell>
          <cell r="AR34">
            <v>46000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F34">
            <v>11787</v>
          </cell>
          <cell r="BG34">
            <v>12295</v>
          </cell>
          <cell r="BH34">
            <v>24082</v>
          </cell>
          <cell r="BI34">
            <v>14772</v>
          </cell>
          <cell r="BJ34">
            <v>15950</v>
          </cell>
          <cell r="BK34">
            <v>30722</v>
          </cell>
          <cell r="BL34">
            <v>12119</v>
          </cell>
          <cell r="BM34">
            <v>11826</v>
          </cell>
          <cell r="BN34">
            <v>23945</v>
          </cell>
          <cell r="BO34">
            <v>14116</v>
          </cell>
          <cell r="BP34">
            <v>21053</v>
          </cell>
          <cell r="BQ34">
            <v>35169</v>
          </cell>
          <cell r="BR34">
            <v>13190</v>
          </cell>
          <cell r="BS34">
            <v>18993</v>
          </cell>
          <cell r="BT34">
            <v>32183</v>
          </cell>
          <cell r="BU34">
            <v>22902</v>
          </cell>
          <cell r="BV34">
            <v>25293</v>
          </cell>
          <cell r="BW34">
            <v>48195</v>
          </cell>
          <cell r="BX34">
            <v>24166</v>
          </cell>
          <cell r="BY34">
            <v>23603</v>
          </cell>
          <cell r="BZ34">
            <v>47769</v>
          </cell>
          <cell r="CA34">
            <v>19050</v>
          </cell>
          <cell r="CB34">
            <v>17091</v>
          </cell>
          <cell r="CC34">
            <v>36141</v>
          </cell>
          <cell r="CD34">
            <v>17639</v>
          </cell>
          <cell r="CE34">
            <v>34730</v>
          </cell>
          <cell r="CF34">
            <v>16010</v>
          </cell>
          <cell r="CG34">
            <v>15146</v>
          </cell>
          <cell r="CH34">
            <v>31156</v>
          </cell>
          <cell r="CI34">
            <v>20452</v>
          </cell>
          <cell r="CJ34">
            <v>21800</v>
          </cell>
          <cell r="CK34">
            <v>42252</v>
          </cell>
          <cell r="CL34">
            <v>21800</v>
          </cell>
          <cell r="CM34">
            <v>21800</v>
          </cell>
          <cell r="CN34">
            <v>43600</v>
          </cell>
          <cell r="CO34">
            <v>21800</v>
          </cell>
          <cell r="CP34">
            <v>21800</v>
          </cell>
          <cell r="CQ34">
            <v>43600</v>
          </cell>
          <cell r="CR34">
            <v>21800</v>
          </cell>
          <cell r="CS34">
            <v>21800</v>
          </cell>
          <cell r="CT34">
            <v>43600</v>
          </cell>
          <cell r="CU34">
            <v>23000</v>
          </cell>
          <cell r="CV34">
            <v>23000</v>
          </cell>
          <cell r="CW34">
            <v>46000</v>
          </cell>
          <cell r="CX34">
            <v>23000</v>
          </cell>
          <cell r="CY34">
            <v>23000</v>
          </cell>
          <cell r="CZ34">
            <v>46000</v>
          </cell>
          <cell r="DA34">
            <v>23000</v>
          </cell>
          <cell r="DB34">
            <v>23000</v>
          </cell>
          <cell r="DC34">
            <v>46000</v>
          </cell>
          <cell r="DD34">
            <v>23000</v>
          </cell>
          <cell r="DE34">
            <v>23000</v>
          </cell>
          <cell r="DF34">
            <v>46000</v>
          </cell>
          <cell r="DG34">
            <v>23000</v>
          </cell>
          <cell r="DH34">
            <v>23000</v>
          </cell>
          <cell r="DI34">
            <v>46000</v>
          </cell>
          <cell r="DJ34">
            <v>23000</v>
          </cell>
          <cell r="DK34">
            <v>23000</v>
          </cell>
          <cell r="DL34">
            <v>46000</v>
          </cell>
          <cell r="DM34">
            <v>23000</v>
          </cell>
          <cell r="DN34">
            <v>23000</v>
          </cell>
          <cell r="DO34">
            <v>46000</v>
          </cell>
          <cell r="DP34">
            <v>23000</v>
          </cell>
          <cell r="DQ34">
            <v>23000</v>
          </cell>
          <cell r="DR34">
            <v>46000</v>
          </cell>
          <cell r="DS34">
            <v>23000</v>
          </cell>
          <cell r="DT34">
            <v>23000</v>
          </cell>
          <cell r="DU34">
            <v>46000</v>
          </cell>
          <cell r="DV34">
            <v>23000</v>
          </cell>
          <cell r="DW34">
            <v>23000</v>
          </cell>
          <cell r="DX34">
            <v>46000</v>
          </cell>
          <cell r="DY34">
            <v>23000</v>
          </cell>
          <cell r="DZ34">
            <v>23000</v>
          </cell>
          <cell r="EA34">
            <v>46000</v>
          </cell>
          <cell r="EB34">
            <v>23000</v>
          </cell>
          <cell r="EC34">
            <v>23000</v>
          </cell>
          <cell r="ED34">
            <v>46000</v>
          </cell>
          <cell r="EE34">
            <v>23000</v>
          </cell>
          <cell r="EF34">
            <v>23000</v>
          </cell>
          <cell r="EG34">
            <v>46000</v>
          </cell>
          <cell r="EH34">
            <v>23000</v>
          </cell>
          <cell r="EI34">
            <v>23000</v>
          </cell>
          <cell r="EJ34">
            <v>46000</v>
          </cell>
          <cell r="EK34">
            <v>23000</v>
          </cell>
          <cell r="EL34">
            <v>23000</v>
          </cell>
          <cell r="EM34">
            <v>46000</v>
          </cell>
          <cell r="EN34">
            <v>23000</v>
          </cell>
          <cell r="EO34">
            <v>23000</v>
          </cell>
          <cell r="EP34">
            <v>46000</v>
          </cell>
          <cell r="EQ34">
            <v>23000</v>
          </cell>
          <cell r="ER34">
            <v>23000</v>
          </cell>
          <cell r="ES34">
            <v>46000</v>
          </cell>
          <cell r="ET34">
            <v>23000</v>
          </cell>
          <cell r="EU34">
            <v>23000</v>
          </cell>
          <cell r="EV34">
            <v>46000</v>
          </cell>
          <cell r="EW34">
            <v>23000</v>
          </cell>
          <cell r="EX34">
            <v>23000</v>
          </cell>
          <cell r="EY34">
            <v>46000</v>
          </cell>
          <cell r="EZ34">
            <v>23000</v>
          </cell>
          <cell r="FA34">
            <v>23000</v>
          </cell>
          <cell r="FB34">
            <v>46000</v>
          </cell>
          <cell r="FC34">
            <v>23000</v>
          </cell>
          <cell r="FD34">
            <v>23000</v>
          </cell>
          <cell r="FE34">
            <v>46000</v>
          </cell>
          <cell r="FF34">
            <v>23000</v>
          </cell>
          <cell r="FG34">
            <v>23000</v>
          </cell>
          <cell r="FH34">
            <v>46000</v>
          </cell>
          <cell r="FI34">
            <v>23000</v>
          </cell>
          <cell r="FJ34">
            <v>23000</v>
          </cell>
          <cell r="FK34">
            <v>46000</v>
          </cell>
          <cell r="FL34">
            <v>23000</v>
          </cell>
          <cell r="FM34">
            <v>23000</v>
          </cell>
          <cell r="FN34">
            <v>46000</v>
          </cell>
          <cell r="FO34">
            <v>23000</v>
          </cell>
          <cell r="FP34">
            <v>23000</v>
          </cell>
          <cell r="FQ34">
            <v>46000</v>
          </cell>
          <cell r="FR34">
            <v>23000</v>
          </cell>
          <cell r="FS34">
            <v>23000</v>
          </cell>
          <cell r="FT34">
            <v>46000</v>
          </cell>
          <cell r="FU34">
            <v>23000</v>
          </cell>
          <cell r="FV34">
            <v>23000</v>
          </cell>
          <cell r="FW34">
            <v>46000</v>
          </cell>
        </row>
        <row r="35">
          <cell r="A35" t="str">
            <v>Total Material Moved</v>
          </cell>
          <cell r="B35" t="str">
            <v>kt</v>
          </cell>
          <cell r="D35">
            <v>31933</v>
          </cell>
          <cell r="E35">
            <v>40013</v>
          </cell>
          <cell r="F35">
            <v>34924</v>
          </cell>
          <cell r="G35">
            <v>46755</v>
          </cell>
          <cell r="H35">
            <v>41557</v>
          </cell>
          <cell r="I35">
            <v>56150</v>
          </cell>
          <cell r="J35">
            <v>58260</v>
          </cell>
          <cell r="K35">
            <v>50659</v>
          </cell>
          <cell r="L35">
            <v>48320</v>
          </cell>
          <cell r="M35">
            <v>46056</v>
          </cell>
          <cell r="N35">
            <v>54652</v>
          </cell>
          <cell r="O35">
            <v>56000</v>
          </cell>
          <cell r="P35">
            <v>56000</v>
          </cell>
          <cell r="Q35">
            <v>56000</v>
          </cell>
          <cell r="R35">
            <v>56000</v>
          </cell>
          <cell r="S35">
            <v>56000</v>
          </cell>
          <cell r="T35">
            <v>56000</v>
          </cell>
          <cell r="U35">
            <v>56000</v>
          </cell>
          <cell r="V35">
            <v>56000</v>
          </cell>
          <cell r="W35">
            <v>56000</v>
          </cell>
          <cell r="X35">
            <v>56000</v>
          </cell>
          <cell r="Y35">
            <v>56000</v>
          </cell>
          <cell r="Z35">
            <v>56000</v>
          </cell>
          <cell r="AA35">
            <v>56000</v>
          </cell>
          <cell r="AB35">
            <v>56000</v>
          </cell>
          <cell r="AC35">
            <v>56000</v>
          </cell>
          <cell r="AD35">
            <v>56000</v>
          </cell>
          <cell r="AE35">
            <v>56000</v>
          </cell>
          <cell r="AF35">
            <v>56000</v>
          </cell>
          <cell r="AG35">
            <v>56000</v>
          </cell>
          <cell r="AH35">
            <v>56000</v>
          </cell>
          <cell r="AI35">
            <v>56000</v>
          </cell>
          <cell r="AJ35">
            <v>56000</v>
          </cell>
          <cell r="AK35">
            <v>56000</v>
          </cell>
          <cell r="AL35">
            <v>56000</v>
          </cell>
          <cell r="AM35">
            <v>56000</v>
          </cell>
          <cell r="AN35">
            <v>56000</v>
          </cell>
          <cell r="AO35">
            <v>56000</v>
          </cell>
          <cell r="AP35">
            <v>56000</v>
          </cell>
          <cell r="AQ35">
            <v>56000</v>
          </cell>
          <cell r="AR35">
            <v>56000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F35">
            <v>16317</v>
          </cell>
          <cell r="BG35">
            <v>15616</v>
          </cell>
          <cell r="BH35">
            <v>31933</v>
          </cell>
          <cell r="BI35">
            <v>19470</v>
          </cell>
          <cell r="BJ35">
            <v>20543</v>
          </cell>
          <cell r="BK35">
            <v>40013</v>
          </cell>
          <cell r="BL35">
            <v>17536</v>
          </cell>
          <cell r="BM35">
            <v>17388</v>
          </cell>
          <cell r="BN35">
            <v>34924</v>
          </cell>
          <cell r="BO35">
            <v>19511</v>
          </cell>
          <cell r="BP35">
            <v>27244</v>
          </cell>
          <cell r="BQ35">
            <v>46755</v>
          </cell>
          <cell r="BR35">
            <v>19451</v>
          </cell>
          <cell r="BS35">
            <v>22106</v>
          </cell>
          <cell r="BT35">
            <v>41557</v>
          </cell>
          <cell r="BU35">
            <v>24778</v>
          </cell>
          <cell r="BV35">
            <v>31372</v>
          </cell>
          <cell r="BW35">
            <v>56150</v>
          </cell>
          <cell r="BX35">
            <v>30482</v>
          </cell>
          <cell r="BY35">
            <v>27778</v>
          </cell>
          <cell r="BZ35">
            <v>58260</v>
          </cell>
          <cell r="CA35">
            <v>25575</v>
          </cell>
          <cell r="CB35">
            <v>25084</v>
          </cell>
          <cell r="CC35">
            <v>50659</v>
          </cell>
          <cell r="CD35">
            <v>23236</v>
          </cell>
          <cell r="CE35">
            <v>48320</v>
          </cell>
          <cell r="CF35">
            <v>23132</v>
          </cell>
          <cell r="CG35">
            <v>22924</v>
          </cell>
          <cell r="CH35">
            <v>46056</v>
          </cell>
          <cell r="CI35">
            <v>26652</v>
          </cell>
          <cell r="CJ35">
            <v>28000</v>
          </cell>
          <cell r="CK35">
            <v>54652</v>
          </cell>
          <cell r="CL35">
            <v>28000</v>
          </cell>
          <cell r="CM35">
            <v>28000</v>
          </cell>
          <cell r="CN35">
            <v>56000</v>
          </cell>
          <cell r="CO35">
            <v>28000</v>
          </cell>
          <cell r="CP35">
            <v>28000</v>
          </cell>
          <cell r="CQ35">
            <v>56000</v>
          </cell>
          <cell r="CR35">
            <v>28000</v>
          </cell>
          <cell r="CS35">
            <v>28000</v>
          </cell>
          <cell r="CT35">
            <v>56000</v>
          </cell>
          <cell r="CU35">
            <v>28000</v>
          </cell>
          <cell r="CV35">
            <v>28000</v>
          </cell>
          <cell r="CW35">
            <v>56000</v>
          </cell>
          <cell r="CX35">
            <v>28000</v>
          </cell>
          <cell r="CY35">
            <v>28000</v>
          </cell>
          <cell r="CZ35">
            <v>56000</v>
          </cell>
          <cell r="DA35">
            <v>28000</v>
          </cell>
          <cell r="DB35">
            <v>28000</v>
          </cell>
          <cell r="DC35">
            <v>56000</v>
          </cell>
          <cell r="DD35">
            <v>28000</v>
          </cell>
          <cell r="DE35">
            <v>28000</v>
          </cell>
          <cell r="DF35">
            <v>56000</v>
          </cell>
          <cell r="DG35">
            <v>28000</v>
          </cell>
          <cell r="DH35">
            <v>28000</v>
          </cell>
          <cell r="DI35">
            <v>56000</v>
          </cell>
          <cell r="DJ35">
            <v>28000</v>
          </cell>
          <cell r="DK35">
            <v>28000</v>
          </cell>
          <cell r="DL35">
            <v>56000</v>
          </cell>
          <cell r="DM35">
            <v>28000</v>
          </cell>
          <cell r="DN35">
            <v>28000</v>
          </cell>
          <cell r="DO35">
            <v>56000</v>
          </cell>
          <cell r="DP35">
            <v>28000</v>
          </cell>
          <cell r="DQ35">
            <v>28000</v>
          </cell>
          <cell r="DR35">
            <v>56000</v>
          </cell>
          <cell r="DS35">
            <v>28000</v>
          </cell>
          <cell r="DT35">
            <v>28000</v>
          </cell>
          <cell r="DU35">
            <v>56000</v>
          </cell>
          <cell r="DV35">
            <v>28000</v>
          </cell>
          <cell r="DW35">
            <v>28000</v>
          </cell>
          <cell r="DX35">
            <v>56000</v>
          </cell>
          <cell r="DY35">
            <v>28000</v>
          </cell>
          <cell r="DZ35">
            <v>28000</v>
          </cell>
          <cell r="EA35">
            <v>56000</v>
          </cell>
          <cell r="EB35">
            <v>28000</v>
          </cell>
          <cell r="EC35">
            <v>28000</v>
          </cell>
          <cell r="ED35">
            <v>56000</v>
          </cell>
          <cell r="EE35">
            <v>28000</v>
          </cell>
          <cell r="EF35">
            <v>28000</v>
          </cell>
          <cell r="EG35">
            <v>56000</v>
          </cell>
          <cell r="EH35">
            <v>28000</v>
          </cell>
          <cell r="EI35">
            <v>28000</v>
          </cell>
          <cell r="EJ35">
            <v>56000</v>
          </cell>
          <cell r="EK35">
            <v>28000</v>
          </cell>
          <cell r="EL35">
            <v>28000</v>
          </cell>
          <cell r="EM35">
            <v>56000</v>
          </cell>
          <cell r="EN35">
            <v>28000</v>
          </cell>
          <cell r="EO35">
            <v>28000</v>
          </cell>
          <cell r="EP35">
            <v>56000</v>
          </cell>
          <cell r="EQ35">
            <v>28000</v>
          </cell>
          <cell r="ER35">
            <v>28000</v>
          </cell>
          <cell r="ES35">
            <v>56000</v>
          </cell>
          <cell r="ET35">
            <v>28000</v>
          </cell>
          <cell r="EU35">
            <v>28000</v>
          </cell>
          <cell r="EV35">
            <v>56000</v>
          </cell>
          <cell r="EW35">
            <v>28000</v>
          </cell>
          <cell r="EX35">
            <v>28000</v>
          </cell>
          <cell r="EY35">
            <v>56000</v>
          </cell>
          <cell r="EZ35">
            <v>28000</v>
          </cell>
          <cell r="FA35">
            <v>28000</v>
          </cell>
          <cell r="FB35">
            <v>56000</v>
          </cell>
          <cell r="FC35">
            <v>28000</v>
          </cell>
          <cell r="FD35">
            <v>28000</v>
          </cell>
          <cell r="FE35">
            <v>56000</v>
          </cell>
          <cell r="FF35">
            <v>28000</v>
          </cell>
          <cell r="FG35">
            <v>28000</v>
          </cell>
          <cell r="FH35">
            <v>56000</v>
          </cell>
          <cell r="FI35">
            <v>28000</v>
          </cell>
          <cell r="FJ35">
            <v>28000</v>
          </cell>
          <cell r="FK35">
            <v>56000</v>
          </cell>
          <cell r="FL35">
            <v>28000</v>
          </cell>
          <cell r="FM35">
            <v>28000</v>
          </cell>
          <cell r="FN35">
            <v>56000</v>
          </cell>
          <cell r="FO35">
            <v>28000</v>
          </cell>
          <cell r="FP35">
            <v>28000</v>
          </cell>
          <cell r="FQ35">
            <v>56000</v>
          </cell>
          <cell r="FR35">
            <v>28000</v>
          </cell>
          <cell r="FS35">
            <v>28000</v>
          </cell>
          <cell r="FT35">
            <v>56000</v>
          </cell>
          <cell r="FU35">
            <v>28000</v>
          </cell>
          <cell r="FV35">
            <v>28000</v>
          </cell>
          <cell r="FW35">
            <v>56000</v>
          </cell>
        </row>
        <row r="36">
          <cell r="A36" t="str">
            <v>Strip Ratio</v>
          </cell>
          <cell r="D36">
            <v>3.0673799515985225</v>
          </cell>
          <cell r="E36">
            <v>3.3066408352168764</v>
          </cell>
          <cell r="F36">
            <v>2.1809818744876583</v>
          </cell>
          <cell r="G36">
            <v>3.0354738477472814</v>
          </cell>
          <cell r="H36">
            <v>3.4332195434179646</v>
          </cell>
          <cell r="I36">
            <v>6.0584538026398489</v>
          </cell>
          <cell r="J36">
            <v>4.5533314269373752</v>
          </cell>
          <cell r="K36">
            <v>2.4893924783027965</v>
          </cell>
          <cell r="L36">
            <v>2.5555555555555554</v>
          </cell>
          <cell r="M36">
            <v>2.091006711409396</v>
          </cell>
          <cell r="N36">
            <v>3.4074193548387095</v>
          </cell>
          <cell r="O36">
            <v>3.5161290322580645</v>
          </cell>
          <cell r="P36">
            <v>3.5161290322580645</v>
          </cell>
          <cell r="Q36">
            <v>3.5161290322580645</v>
          </cell>
          <cell r="R36">
            <v>4.5999999999999996</v>
          </cell>
          <cell r="S36">
            <v>4.5999999999999996</v>
          </cell>
          <cell r="T36">
            <v>4.5999999999999996</v>
          </cell>
          <cell r="U36">
            <v>4.5999999999999996</v>
          </cell>
          <cell r="V36">
            <v>4.5999999999999996</v>
          </cell>
          <cell r="W36">
            <v>4.5999999999999996</v>
          </cell>
          <cell r="X36">
            <v>4.5999999999999996</v>
          </cell>
          <cell r="Y36">
            <v>4.5999999999999996</v>
          </cell>
          <cell r="Z36">
            <v>4.5999999999999996</v>
          </cell>
          <cell r="AA36">
            <v>4.5999999999999996</v>
          </cell>
          <cell r="AB36">
            <v>4.5999999999999996</v>
          </cell>
          <cell r="AC36">
            <v>4.5999999999999996</v>
          </cell>
          <cell r="AD36">
            <v>4.5999999999999996</v>
          </cell>
          <cell r="AE36">
            <v>4.5999999999999996</v>
          </cell>
          <cell r="AF36">
            <v>4.5999999999999996</v>
          </cell>
          <cell r="AG36">
            <v>4.5999999999999996</v>
          </cell>
          <cell r="AH36">
            <v>4.5999999999999996</v>
          </cell>
          <cell r="AI36">
            <v>4.5999999999999996</v>
          </cell>
          <cell r="AJ36">
            <v>4.5999999999999996</v>
          </cell>
          <cell r="AK36">
            <v>4.5999999999999996</v>
          </cell>
          <cell r="AL36">
            <v>4.5999999999999996</v>
          </cell>
          <cell r="AM36">
            <v>4.5999999999999996</v>
          </cell>
          <cell r="AN36">
            <v>4.5999999999999996</v>
          </cell>
          <cell r="AO36">
            <v>4.5999999999999996</v>
          </cell>
          <cell r="AP36">
            <v>4.5999999999999996</v>
          </cell>
          <cell r="AQ36">
            <v>4.5999999999999996</v>
          </cell>
          <cell r="AR36">
            <v>4.5999999999999996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F36">
            <v>2.6019867549668874</v>
          </cell>
          <cell r="BG36">
            <v>3.7021981330924421</v>
          </cell>
          <cell r="BH36">
            <v>3.0673799515985225</v>
          </cell>
          <cell r="BI36">
            <v>3.1443167305236273</v>
          </cell>
          <cell r="BJ36">
            <v>3.4726758110167646</v>
          </cell>
          <cell r="BK36">
            <v>3.3066408352168764</v>
          </cell>
          <cell r="BL36">
            <v>2.2372161713125345</v>
          </cell>
          <cell r="BM36">
            <v>2.1262135922330097</v>
          </cell>
          <cell r="BN36">
            <v>2.1809818744876583</v>
          </cell>
          <cell r="BO36">
            <v>2.6164967562557924</v>
          </cell>
          <cell r="BP36">
            <v>3.400581489258601</v>
          </cell>
          <cell r="BQ36">
            <v>3.0354738477472814</v>
          </cell>
          <cell r="BR36">
            <v>2.1066922216898258</v>
          </cell>
          <cell r="BS36">
            <v>6.1011885640860903</v>
          </cell>
          <cell r="BT36">
            <v>3.4332195434179646</v>
          </cell>
          <cell r="BU36">
            <v>12.207889125799573</v>
          </cell>
          <cell r="BV36">
            <v>4.1607172232275049</v>
          </cell>
          <cell r="BW36">
            <v>6.0584538026398489</v>
          </cell>
          <cell r="BX36">
            <v>3.8261557948068399</v>
          </cell>
          <cell r="BY36">
            <v>5.6534131736526945</v>
          </cell>
          <cell r="BZ36">
            <v>4.5533314269373752</v>
          </cell>
          <cell r="CA36">
            <v>2.9195402298850577</v>
          </cell>
          <cell r="CB36">
            <v>2.1382459652195673</v>
          </cell>
          <cell r="CC36">
            <v>2.4893924783027965</v>
          </cell>
          <cell r="CD36">
            <v>3.1515097373592997</v>
          </cell>
          <cell r="CE36">
            <v>2.5555555555555554</v>
          </cell>
          <cell r="CF36">
            <v>2.2479640550407187</v>
          </cell>
          <cell r="CG36">
            <v>1.9472872203651324</v>
          </cell>
          <cell r="CH36">
            <v>2.091006711409396</v>
          </cell>
          <cell r="CI36">
            <v>3.2987096774193549</v>
          </cell>
          <cell r="CJ36">
            <v>3.5161290322580645</v>
          </cell>
          <cell r="CK36">
            <v>3.4074193548387095</v>
          </cell>
          <cell r="CL36">
            <v>3.5161290322580645</v>
          </cell>
          <cell r="CM36">
            <v>3.5161290322580645</v>
          </cell>
          <cell r="CN36">
            <v>3.5161290322580645</v>
          </cell>
          <cell r="CO36">
            <v>3.5161290322580645</v>
          </cell>
          <cell r="CP36">
            <v>3.5161290322580645</v>
          </cell>
          <cell r="CQ36">
            <v>3.5161290322580645</v>
          </cell>
          <cell r="CR36">
            <v>3.5161290322580645</v>
          </cell>
          <cell r="CS36">
            <v>3.5161290322580645</v>
          </cell>
          <cell r="CT36">
            <v>3.5161290322580645</v>
          </cell>
          <cell r="CU36">
            <v>4.5999999999999996</v>
          </cell>
          <cell r="CV36">
            <v>4.5999999999999996</v>
          </cell>
          <cell r="CW36">
            <v>4.5999999999999996</v>
          </cell>
          <cell r="CX36">
            <v>4.5999999999999996</v>
          </cell>
          <cell r="CY36">
            <v>4.5999999999999996</v>
          </cell>
          <cell r="CZ36">
            <v>4.5999999999999996</v>
          </cell>
          <cell r="DA36">
            <v>4.5999999999999996</v>
          </cell>
          <cell r="DB36">
            <v>4.5999999999999996</v>
          </cell>
          <cell r="DC36">
            <v>4.5999999999999996</v>
          </cell>
          <cell r="DD36">
            <v>4.5999999999999996</v>
          </cell>
          <cell r="DE36">
            <v>4.5999999999999996</v>
          </cell>
          <cell r="DF36">
            <v>4.5999999999999996</v>
          </cell>
          <cell r="DG36">
            <v>4.5999999999999996</v>
          </cell>
          <cell r="DH36">
            <v>4.5999999999999996</v>
          </cell>
          <cell r="DI36">
            <v>4.5999999999999996</v>
          </cell>
          <cell r="DJ36">
            <v>4.5999999999999996</v>
          </cell>
          <cell r="DK36">
            <v>4.5999999999999996</v>
          </cell>
          <cell r="DL36">
            <v>4.5999999999999996</v>
          </cell>
          <cell r="DM36">
            <v>4.5999999999999996</v>
          </cell>
          <cell r="DN36">
            <v>4.5999999999999996</v>
          </cell>
          <cell r="DO36">
            <v>4.5999999999999996</v>
          </cell>
          <cell r="DP36">
            <v>4.5999999999999996</v>
          </cell>
          <cell r="DQ36">
            <v>4.5999999999999996</v>
          </cell>
          <cell r="DR36">
            <v>4.5999999999999996</v>
          </cell>
          <cell r="DS36">
            <v>4.5999999999999996</v>
          </cell>
          <cell r="DT36">
            <v>4.5999999999999996</v>
          </cell>
          <cell r="DU36">
            <v>4.5999999999999996</v>
          </cell>
          <cell r="DV36">
            <v>4.5999999999999996</v>
          </cell>
          <cell r="DW36">
            <v>4.5999999999999996</v>
          </cell>
          <cell r="DX36">
            <v>4.5999999999999996</v>
          </cell>
          <cell r="DY36">
            <v>4.5999999999999996</v>
          </cell>
          <cell r="DZ36">
            <v>4.5999999999999996</v>
          </cell>
          <cell r="EA36">
            <v>4.5999999999999996</v>
          </cell>
          <cell r="EB36">
            <v>4.5999999999999996</v>
          </cell>
          <cell r="EC36">
            <v>4.5999999999999996</v>
          </cell>
          <cell r="ED36">
            <v>4.5999999999999996</v>
          </cell>
          <cell r="EE36">
            <v>4.5999999999999996</v>
          </cell>
          <cell r="EF36">
            <v>4.5999999999999996</v>
          </cell>
          <cell r="EG36">
            <v>4.5999999999999996</v>
          </cell>
          <cell r="EH36">
            <v>4.5999999999999996</v>
          </cell>
          <cell r="EI36">
            <v>4.5999999999999996</v>
          </cell>
          <cell r="EJ36">
            <v>4.5999999999999996</v>
          </cell>
          <cell r="EK36">
            <v>4.5999999999999996</v>
          </cell>
          <cell r="EL36">
            <v>4.5999999999999996</v>
          </cell>
          <cell r="EM36">
            <v>4.5999999999999996</v>
          </cell>
          <cell r="EN36">
            <v>4.5999999999999996</v>
          </cell>
          <cell r="EO36">
            <v>4.5999999999999996</v>
          </cell>
          <cell r="EP36">
            <v>4.5999999999999996</v>
          </cell>
          <cell r="EQ36">
            <v>4.5999999999999996</v>
          </cell>
          <cell r="ER36">
            <v>4.5999999999999996</v>
          </cell>
          <cell r="ES36">
            <v>4.5999999999999996</v>
          </cell>
          <cell r="ET36">
            <v>4.5999999999999996</v>
          </cell>
          <cell r="EU36">
            <v>4.5999999999999996</v>
          </cell>
          <cell r="EV36">
            <v>4.5999999999999996</v>
          </cell>
          <cell r="EW36">
            <v>4.5999999999999996</v>
          </cell>
          <cell r="EX36">
            <v>4.5999999999999996</v>
          </cell>
          <cell r="EY36">
            <v>4.5999999999999996</v>
          </cell>
          <cell r="EZ36">
            <v>4.5999999999999996</v>
          </cell>
          <cell r="FA36">
            <v>4.5999999999999996</v>
          </cell>
          <cell r="FB36">
            <v>4.5999999999999996</v>
          </cell>
          <cell r="FC36">
            <v>4.5999999999999996</v>
          </cell>
          <cell r="FD36">
            <v>4.5999999999999996</v>
          </cell>
          <cell r="FE36">
            <v>4.5999999999999996</v>
          </cell>
          <cell r="FF36">
            <v>4.5999999999999996</v>
          </cell>
          <cell r="FG36">
            <v>4.5999999999999996</v>
          </cell>
          <cell r="FH36">
            <v>4.5999999999999996</v>
          </cell>
          <cell r="FI36">
            <v>4.5999999999999996</v>
          </cell>
          <cell r="FJ36">
            <v>4.5999999999999996</v>
          </cell>
          <cell r="FK36">
            <v>4.5999999999999996</v>
          </cell>
          <cell r="FL36">
            <v>4.5999999999999996</v>
          </cell>
          <cell r="FM36">
            <v>4.5999999999999996</v>
          </cell>
          <cell r="FN36">
            <v>4.5999999999999996</v>
          </cell>
          <cell r="FO36">
            <v>4.5999999999999996</v>
          </cell>
          <cell r="FP36">
            <v>4.5999999999999996</v>
          </cell>
          <cell r="FQ36">
            <v>4.5999999999999996</v>
          </cell>
          <cell r="FR36">
            <v>4.5999999999999996</v>
          </cell>
          <cell r="FS36">
            <v>4.5999999999999996</v>
          </cell>
          <cell r="FT36">
            <v>4.5999999999999996</v>
          </cell>
          <cell r="FU36">
            <v>4.5999999999999996</v>
          </cell>
          <cell r="FV36">
            <v>4.5999999999999996</v>
          </cell>
          <cell r="FW36">
            <v>4.5999999999999996</v>
          </cell>
        </row>
        <row r="38">
          <cell r="A38" t="str">
            <v>Processing</v>
          </cell>
          <cell r="B38" t="str">
            <v>.</v>
          </cell>
          <cell r="C38" t="str">
            <v>.</v>
          </cell>
          <cell r="D38" t="str">
            <v>.</v>
          </cell>
          <cell r="E38" t="str">
            <v>.</v>
          </cell>
          <cell r="F38" t="str">
            <v>.</v>
          </cell>
          <cell r="G38" t="str">
            <v>.</v>
          </cell>
          <cell r="H38" t="str">
            <v>.</v>
          </cell>
          <cell r="I38" t="str">
            <v>.</v>
          </cell>
          <cell r="J38" t="str">
            <v>.</v>
          </cell>
          <cell r="K38" t="str">
            <v>.</v>
          </cell>
          <cell r="L38" t="str">
            <v>.</v>
          </cell>
          <cell r="M38" t="str">
            <v>.</v>
          </cell>
          <cell r="N38" t="str">
            <v>.</v>
          </cell>
          <cell r="O38" t="str">
            <v>.</v>
          </cell>
          <cell r="P38" t="str">
            <v>.</v>
          </cell>
          <cell r="Q38" t="str">
            <v>.</v>
          </cell>
          <cell r="R38" t="str">
            <v>.</v>
          </cell>
          <cell r="S38" t="str">
            <v>.</v>
          </cell>
          <cell r="T38" t="str">
            <v>.</v>
          </cell>
          <cell r="U38" t="str">
            <v>.</v>
          </cell>
          <cell r="V38" t="str">
            <v>.</v>
          </cell>
          <cell r="W38" t="str">
            <v>.</v>
          </cell>
          <cell r="X38" t="str">
            <v>.</v>
          </cell>
          <cell r="Y38" t="str">
            <v>.</v>
          </cell>
          <cell r="Z38" t="str">
            <v>.</v>
          </cell>
          <cell r="AA38" t="str">
            <v>.</v>
          </cell>
          <cell r="AB38" t="str">
            <v>.</v>
          </cell>
          <cell r="AC38" t="str">
            <v>.</v>
          </cell>
          <cell r="AD38" t="str">
            <v>.</v>
          </cell>
          <cell r="AE38" t="str">
            <v>.</v>
          </cell>
          <cell r="AF38" t="str">
            <v>.</v>
          </cell>
          <cell r="AG38" t="str">
            <v>.</v>
          </cell>
          <cell r="AH38" t="str">
            <v>.</v>
          </cell>
          <cell r="AI38" t="str">
            <v>.</v>
          </cell>
          <cell r="AJ38" t="str">
            <v>.</v>
          </cell>
          <cell r="AK38" t="str">
            <v>.</v>
          </cell>
          <cell r="AL38" t="str">
            <v>.</v>
          </cell>
          <cell r="AM38" t="str">
            <v>.</v>
          </cell>
          <cell r="AN38" t="str">
            <v>.</v>
          </cell>
          <cell r="AO38" t="str">
            <v>.</v>
          </cell>
          <cell r="AP38" t="str">
            <v>.</v>
          </cell>
          <cell r="AQ38" t="str">
            <v>.</v>
          </cell>
          <cell r="AR38" t="str">
            <v>.</v>
          </cell>
          <cell r="AS38" t="str">
            <v>.</v>
          </cell>
          <cell r="AT38" t="str">
            <v>.</v>
          </cell>
          <cell r="AU38" t="str">
            <v>.</v>
          </cell>
          <cell r="AV38" t="str">
            <v>.</v>
          </cell>
          <cell r="AW38" t="str">
            <v>.</v>
          </cell>
          <cell r="AX38" t="str">
            <v>.</v>
          </cell>
          <cell r="AY38" t="str">
            <v>.</v>
          </cell>
          <cell r="AZ38" t="str">
            <v>.</v>
          </cell>
          <cell r="BA38" t="str">
            <v>.</v>
          </cell>
          <cell r="BB38" t="str">
            <v>.</v>
          </cell>
          <cell r="BC38" t="str">
            <v>.</v>
          </cell>
          <cell r="BD38" t="str">
            <v>.</v>
          </cell>
          <cell r="BE38" t="str">
            <v>.</v>
          </cell>
          <cell r="BF38" t="str">
            <v>.</v>
          </cell>
          <cell r="BG38" t="str">
            <v>.</v>
          </cell>
          <cell r="BH38" t="str">
            <v>.</v>
          </cell>
          <cell r="BI38" t="str">
            <v>.</v>
          </cell>
          <cell r="BJ38" t="str">
            <v>.</v>
          </cell>
          <cell r="BK38" t="str">
            <v>.</v>
          </cell>
          <cell r="BL38" t="str">
            <v>.</v>
          </cell>
          <cell r="BM38" t="str">
            <v>.</v>
          </cell>
          <cell r="BN38" t="str">
            <v>.</v>
          </cell>
          <cell r="BO38" t="str">
            <v>.</v>
          </cell>
          <cell r="BP38" t="str">
            <v>.</v>
          </cell>
          <cell r="BQ38" t="str">
            <v>.</v>
          </cell>
          <cell r="BR38" t="str">
            <v>.</v>
          </cell>
          <cell r="BS38" t="str">
            <v>.</v>
          </cell>
          <cell r="BT38" t="str">
            <v>.</v>
          </cell>
          <cell r="BU38" t="str">
            <v>.</v>
          </cell>
          <cell r="BV38" t="str">
            <v>.</v>
          </cell>
          <cell r="BW38" t="str">
            <v>.</v>
          </cell>
          <cell r="BX38" t="str">
            <v>.</v>
          </cell>
          <cell r="BY38" t="str">
            <v>.</v>
          </cell>
          <cell r="BZ38" t="str">
            <v>.</v>
          </cell>
          <cell r="CA38" t="str">
            <v>.</v>
          </cell>
          <cell r="CB38" t="str">
            <v>.</v>
          </cell>
          <cell r="CC38" t="str">
            <v>.</v>
          </cell>
          <cell r="CD38" t="str">
            <v>.</v>
          </cell>
          <cell r="CE38" t="str">
            <v>.</v>
          </cell>
          <cell r="CF38" t="str">
            <v>.</v>
          </cell>
          <cell r="CG38" t="str">
            <v>.</v>
          </cell>
          <cell r="CH38" t="str">
            <v>.</v>
          </cell>
          <cell r="CI38" t="str">
            <v>.</v>
          </cell>
          <cell r="CJ38" t="str">
            <v>.</v>
          </cell>
          <cell r="CK38" t="str">
            <v>.</v>
          </cell>
          <cell r="CL38" t="str">
            <v>.</v>
          </cell>
          <cell r="CM38" t="str">
            <v>.</v>
          </cell>
          <cell r="CN38" t="str">
            <v>.</v>
          </cell>
          <cell r="CO38" t="str">
            <v>.</v>
          </cell>
          <cell r="CP38" t="str">
            <v>.</v>
          </cell>
          <cell r="CQ38" t="str">
            <v>.</v>
          </cell>
          <cell r="CR38" t="str">
            <v>.</v>
          </cell>
          <cell r="CS38" t="str">
            <v>.</v>
          </cell>
          <cell r="CT38" t="str">
            <v>.</v>
          </cell>
          <cell r="CU38" t="str">
            <v>.</v>
          </cell>
          <cell r="CV38" t="str">
            <v>.</v>
          </cell>
          <cell r="CW38" t="str">
            <v>.</v>
          </cell>
          <cell r="CX38" t="str">
            <v>.</v>
          </cell>
          <cell r="CY38" t="str">
            <v>.</v>
          </cell>
          <cell r="CZ38" t="str">
            <v>.</v>
          </cell>
          <cell r="DA38" t="str">
            <v>.</v>
          </cell>
          <cell r="DB38" t="str">
            <v>.</v>
          </cell>
          <cell r="DC38" t="str">
            <v>.</v>
          </cell>
          <cell r="DD38" t="str">
            <v>.</v>
          </cell>
          <cell r="DE38" t="str">
            <v>.</v>
          </cell>
          <cell r="DF38" t="str">
            <v>.</v>
          </cell>
          <cell r="DG38" t="str">
            <v>.</v>
          </cell>
          <cell r="DH38" t="str">
            <v>.</v>
          </cell>
          <cell r="DI38" t="str">
            <v>.</v>
          </cell>
          <cell r="DJ38" t="str">
            <v>.</v>
          </cell>
          <cell r="DK38" t="str">
            <v>.</v>
          </cell>
          <cell r="DL38" t="str">
            <v>.</v>
          </cell>
          <cell r="DM38" t="str">
            <v>.</v>
          </cell>
          <cell r="DN38" t="str">
            <v>.</v>
          </cell>
          <cell r="DO38" t="str">
            <v>.</v>
          </cell>
          <cell r="DP38" t="str">
            <v>.</v>
          </cell>
          <cell r="DQ38" t="str">
            <v>.</v>
          </cell>
          <cell r="DR38" t="str">
            <v>.</v>
          </cell>
          <cell r="DS38" t="str">
            <v>.</v>
          </cell>
          <cell r="DT38" t="str">
            <v>.</v>
          </cell>
          <cell r="DU38" t="str">
            <v>.</v>
          </cell>
          <cell r="DV38" t="str">
            <v>.</v>
          </cell>
          <cell r="DW38" t="str">
            <v>.</v>
          </cell>
          <cell r="DX38" t="str">
            <v>.</v>
          </cell>
          <cell r="DY38" t="str">
            <v>.</v>
          </cell>
          <cell r="DZ38" t="str">
            <v>.</v>
          </cell>
          <cell r="EA38" t="str">
            <v>.</v>
          </cell>
          <cell r="EB38" t="str">
            <v>.</v>
          </cell>
          <cell r="EC38" t="str">
            <v>.</v>
          </cell>
          <cell r="ED38" t="str">
            <v>.</v>
          </cell>
          <cell r="EE38" t="str">
            <v>.</v>
          </cell>
          <cell r="EF38" t="str">
            <v>.</v>
          </cell>
          <cell r="EG38" t="str">
            <v>.</v>
          </cell>
          <cell r="EH38" t="str">
            <v>.</v>
          </cell>
          <cell r="EI38" t="str">
            <v>.</v>
          </cell>
          <cell r="EJ38" t="str">
            <v>.</v>
          </cell>
          <cell r="EK38" t="str">
            <v>.</v>
          </cell>
          <cell r="EL38" t="str">
            <v>.</v>
          </cell>
          <cell r="EM38" t="str">
            <v>.</v>
          </cell>
          <cell r="EN38" t="str">
            <v>.</v>
          </cell>
          <cell r="EO38" t="str">
            <v>.</v>
          </cell>
          <cell r="EP38" t="str">
            <v>.</v>
          </cell>
          <cell r="EQ38" t="str">
            <v>.</v>
          </cell>
          <cell r="ER38" t="str">
            <v>.</v>
          </cell>
          <cell r="ES38" t="str">
            <v>.</v>
          </cell>
          <cell r="ET38" t="str">
            <v>.</v>
          </cell>
          <cell r="EU38" t="str">
            <v>.</v>
          </cell>
          <cell r="EV38" t="str">
            <v>.</v>
          </cell>
          <cell r="EW38" t="str">
            <v>.</v>
          </cell>
          <cell r="EX38" t="str">
            <v>.</v>
          </cell>
          <cell r="EY38" t="str">
            <v>.</v>
          </cell>
          <cell r="EZ38" t="str">
            <v>.</v>
          </cell>
          <cell r="FA38" t="str">
            <v>.</v>
          </cell>
          <cell r="FB38" t="str">
            <v>.</v>
          </cell>
          <cell r="FC38" t="str">
            <v>.</v>
          </cell>
          <cell r="FD38" t="str">
            <v>.</v>
          </cell>
          <cell r="FE38" t="str">
            <v>.</v>
          </cell>
          <cell r="FF38" t="str">
            <v>.</v>
          </cell>
          <cell r="FG38" t="str">
            <v>.</v>
          </cell>
          <cell r="FH38" t="str">
            <v>.</v>
          </cell>
          <cell r="FI38" t="str">
            <v>.</v>
          </cell>
          <cell r="FJ38" t="str">
            <v>.</v>
          </cell>
          <cell r="FK38" t="str">
            <v>.</v>
          </cell>
          <cell r="FL38" t="str">
            <v>.</v>
          </cell>
          <cell r="FM38" t="str">
            <v>.</v>
          </cell>
          <cell r="FN38" t="str">
            <v>.</v>
          </cell>
          <cell r="FO38" t="str">
            <v>.</v>
          </cell>
          <cell r="FP38" t="str">
            <v>.</v>
          </cell>
          <cell r="FQ38" t="str">
            <v>.</v>
          </cell>
          <cell r="FR38" t="str">
            <v>.</v>
          </cell>
          <cell r="FS38" t="str">
            <v>.</v>
          </cell>
          <cell r="FT38" t="str">
            <v>.</v>
          </cell>
          <cell r="FU38" t="str">
            <v>.</v>
          </cell>
          <cell r="FV38" t="str">
            <v>.</v>
          </cell>
          <cell r="FW38" t="str">
            <v>.</v>
          </cell>
          <cell r="FX38" t="str">
            <v>.</v>
          </cell>
          <cell r="FY38" t="str">
            <v>.</v>
          </cell>
          <cell r="FZ38" t="str">
            <v>.</v>
          </cell>
          <cell r="GA38" t="str">
            <v>.</v>
          </cell>
          <cell r="GB38" t="str">
            <v>.</v>
          </cell>
          <cell r="GC38" t="str">
            <v>.</v>
          </cell>
          <cell r="GD38" t="str">
            <v>.</v>
          </cell>
          <cell r="GE38" t="str">
            <v>.</v>
          </cell>
          <cell r="GF38" t="str">
            <v>.</v>
          </cell>
          <cell r="GG38" t="str">
            <v>.</v>
          </cell>
          <cell r="GH38" t="str">
            <v>.</v>
          </cell>
          <cell r="GI38" t="str">
            <v>.</v>
          </cell>
          <cell r="GJ38" t="str">
            <v>.</v>
          </cell>
          <cell r="GK38" t="str">
            <v>.</v>
          </cell>
          <cell r="GL38" t="str">
            <v>.</v>
          </cell>
          <cell r="GM38" t="str">
            <v>.</v>
          </cell>
          <cell r="GN38" t="str">
            <v>.</v>
          </cell>
          <cell r="GO38" t="str">
            <v>.</v>
          </cell>
          <cell r="GP38" t="str">
            <v>.</v>
          </cell>
          <cell r="GQ38" t="str">
            <v>.</v>
          </cell>
          <cell r="GR38" t="str">
            <v>.</v>
          </cell>
          <cell r="GS38" t="str">
            <v>.</v>
          </cell>
          <cell r="GT38" t="str">
            <v>.</v>
          </cell>
          <cell r="GU38" t="str">
            <v>.</v>
          </cell>
          <cell r="GV38" t="str">
            <v>.</v>
          </cell>
          <cell r="GW38" t="str">
            <v>.</v>
          </cell>
          <cell r="GX38" t="str">
            <v>.</v>
          </cell>
        </row>
        <row r="39">
          <cell r="A39" t="str">
            <v>Ore to Stockpile</v>
          </cell>
          <cell r="B39" t="str">
            <v>kt</v>
          </cell>
          <cell r="D39">
            <v>4232</v>
          </cell>
          <cell r="E39">
            <v>5463</v>
          </cell>
          <cell r="F39">
            <v>7053</v>
          </cell>
          <cell r="G39">
            <v>7495</v>
          </cell>
          <cell r="H39">
            <v>5892</v>
          </cell>
          <cell r="I39">
            <v>3611</v>
          </cell>
          <cell r="J39">
            <v>5675</v>
          </cell>
          <cell r="K39">
            <v>6934</v>
          </cell>
          <cell r="L39">
            <v>5745</v>
          </cell>
          <cell r="M39">
            <v>8227</v>
          </cell>
          <cell r="N39">
            <v>6115</v>
          </cell>
          <cell r="O39">
            <v>6400</v>
          </cell>
          <cell r="P39">
            <v>400</v>
          </cell>
          <cell r="Q39">
            <v>400</v>
          </cell>
          <cell r="R39">
            <v>-2000</v>
          </cell>
          <cell r="S39">
            <v>-2000</v>
          </cell>
          <cell r="T39">
            <v>-2000</v>
          </cell>
          <cell r="U39">
            <v>-2000</v>
          </cell>
          <cell r="V39">
            <v>-2000</v>
          </cell>
          <cell r="W39">
            <v>-1250</v>
          </cell>
          <cell r="X39">
            <v>-1500</v>
          </cell>
          <cell r="Y39">
            <v>-1500</v>
          </cell>
          <cell r="Z39">
            <v>-1500</v>
          </cell>
          <cell r="AA39">
            <v>-1500</v>
          </cell>
          <cell r="AB39">
            <v>-1500</v>
          </cell>
          <cell r="AC39">
            <v>-1500</v>
          </cell>
          <cell r="AD39">
            <v>-1500</v>
          </cell>
          <cell r="AE39">
            <v>-1500</v>
          </cell>
          <cell r="AF39">
            <v>-1500</v>
          </cell>
          <cell r="AG39">
            <v>-1500</v>
          </cell>
          <cell r="AH39">
            <v>-1500</v>
          </cell>
          <cell r="AI39">
            <v>-1500</v>
          </cell>
          <cell r="AJ39">
            <v>-1500</v>
          </cell>
          <cell r="AK39">
            <v>-1500</v>
          </cell>
          <cell r="AL39">
            <v>-1500</v>
          </cell>
          <cell r="AM39">
            <v>-1500</v>
          </cell>
          <cell r="AN39">
            <v>-1500</v>
          </cell>
          <cell r="AO39">
            <v>-1500</v>
          </cell>
          <cell r="AP39">
            <v>-1500</v>
          </cell>
          <cell r="AQ39">
            <v>-1500</v>
          </cell>
          <cell r="AR39">
            <v>-1500</v>
          </cell>
          <cell r="AS39">
            <v>-11500</v>
          </cell>
          <cell r="AT39">
            <v>-11500</v>
          </cell>
          <cell r="AU39">
            <v>-11500</v>
          </cell>
          <cell r="AV39">
            <v>-11500</v>
          </cell>
          <cell r="AW39">
            <v>-11500</v>
          </cell>
          <cell r="AX39">
            <v>-11500</v>
          </cell>
          <cell r="AY39">
            <v>-11500</v>
          </cell>
          <cell r="AZ39">
            <v>-11500</v>
          </cell>
          <cell r="BA39">
            <v>-11500</v>
          </cell>
          <cell r="BF39">
            <v>2704</v>
          </cell>
          <cell r="BG39">
            <v>1528</v>
          </cell>
          <cell r="BH39">
            <v>4232</v>
          </cell>
          <cell r="BI39">
            <v>2824</v>
          </cell>
          <cell r="BJ39">
            <v>2639</v>
          </cell>
          <cell r="BK39">
            <v>5463</v>
          </cell>
          <cell r="BL39">
            <v>3560</v>
          </cell>
          <cell r="BM39">
            <v>3493</v>
          </cell>
          <cell r="BN39">
            <v>7053</v>
          </cell>
          <cell r="BO39">
            <v>3480</v>
          </cell>
          <cell r="BP39">
            <v>4015</v>
          </cell>
          <cell r="BQ39">
            <v>7495</v>
          </cell>
          <cell r="BR39">
            <v>4407</v>
          </cell>
          <cell r="BS39">
            <v>1485</v>
          </cell>
          <cell r="BT39">
            <v>5892</v>
          </cell>
          <cell r="BU39">
            <v>-76</v>
          </cell>
          <cell r="BV39">
            <v>3687</v>
          </cell>
          <cell r="BW39">
            <v>3611</v>
          </cell>
          <cell r="BX39">
            <v>4064</v>
          </cell>
          <cell r="BY39">
            <v>1611</v>
          </cell>
          <cell r="BZ39">
            <v>5675</v>
          </cell>
          <cell r="CA39">
            <v>3634</v>
          </cell>
          <cell r="CB39">
            <v>3300</v>
          </cell>
          <cell r="CC39">
            <v>6934</v>
          </cell>
          <cell r="CD39">
            <v>2445</v>
          </cell>
          <cell r="CE39">
            <v>5745</v>
          </cell>
          <cell r="CF39">
            <v>3765</v>
          </cell>
          <cell r="CG39">
            <v>4462</v>
          </cell>
          <cell r="CH39">
            <v>8227</v>
          </cell>
          <cell r="CI39">
            <v>3093</v>
          </cell>
          <cell r="CJ39">
            <v>3022</v>
          </cell>
          <cell r="CK39">
            <v>6115</v>
          </cell>
          <cell r="CL39">
            <v>3200</v>
          </cell>
          <cell r="CM39">
            <v>3200</v>
          </cell>
          <cell r="CN39">
            <v>6400</v>
          </cell>
          <cell r="CO39">
            <v>200</v>
          </cell>
          <cell r="CP39">
            <v>200</v>
          </cell>
          <cell r="CQ39">
            <v>400</v>
          </cell>
          <cell r="CR39">
            <v>200</v>
          </cell>
          <cell r="CS39">
            <v>200</v>
          </cell>
          <cell r="CT39">
            <v>400</v>
          </cell>
          <cell r="CU39">
            <v>-1000</v>
          </cell>
          <cell r="CV39">
            <v>-1000</v>
          </cell>
          <cell r="CW39">
            <v>-2000</v>
          </cell>
          <cell r="CX39">
            <v>-1000</v>
          </cell>
          <cell r="CY39">
            <v>-1000</v>
          </cell>
          <cell r="CZ39">
            <v>-2000</v>
          </cell>
          <cell r="DA39">
            <v>-1000</v>
          </cell>
          <cell r="DB39">
            <v>-1000</v>
          </cell>
          <cell r="DC39">
            <v>-2000</v>
          </cell>
          <cell r="DD39">
            <v>-1000</v>
          </cell>
          <cell r="DE39">
            <v>-1000</v>
          </cell>
          <cell r="DF39">
            <v>-2000</v>
          </cell>
          <cell r="DG39">
            <v>-1000</v>
          </cell>
          <cell r="DH39">
            <v>-1000</v>
          </cell>
          <cell r="DI39">
            <v>-2000</v>
          </cell>
          <cell r="DJ39">
            <v>-500</v>
          </cell>
          <cell r="DK39">
            <v>-750</v>
          </cell>
          <cell r="DL39">
            <v>-1250</v>
          </cell>
          <cell r="DM39">
            <v>-750</v>
          </cell>
          <cell r="DN39">
            <v>-750</v>
          </cell>
          <cell r="DO39">
            <v>-1500</v>
          </cell>
          <cell r="DP39">
            <v>-750</v>
          </cell>
          <cell r="DQ39">
            <v>-750</v>
          </cell>
          <cell r="DR39">
            <v>-1500</v>
          </cell>
          <cell r="DS39">
            <v>-750</v>
          </cell>
          <cell r="DT39">
            <v>-750</v>
          </cell>
          <cell r="DU39">
            <v>-1500</v>
          </cell>
          <cell r="DV39">
            <v>-750</v>
          </cell>
          <cell r="DW39">
            <v>-750</v>
          </cell>
          <cell r="DX39">
            <v>-1500</v>
          </cell>
          <cell r="DY39">
            <v>-750</v>
          </cell>
          <cell r="DZ39">
            <v>-750</v>
          </cell>
          <cell r="EA39">
            <v>-1500</v>
          </cell>
          <cell r="EB39">
            <v>-750</v>
          </cell>
          <cell r="EC39">
            <v>-750</v>
          </cell>
          <cell r="ED39">
            <v>-1500</v>
          </cell>
          <cell r="EE39">
            <v>-750</v>
          </cell>
          <cell r="EF39">
            <v>-750</v>
          </cell>
          <cell r="EG39">
            <v>-1500</v>
          </cell>
          <cell r="EH39">
            <v>-750</v>
          </cell>
          <cell r="EI39">
            <v>-750</v>
          </cell>
          <cell r="EJ39">
            <v>-1500</v>
          </cell>
          <cell r="EK39">
            <v>-750</v>
          </cell>
          <cell r="EL39">
            <v>-750</v>
          </cell>
          <cell r="EM39">
            <v>-1500</v>
          </cell>
          <cell r="EN39">
            <v>-750</v>
          </cell>
          <cell r="EO39">
            <v>-750</v>
          </cell>
          <cell r="EP39">
            <v>-1500</v>
          </cell>
          <cell r="EQ39">
            <v>-750</v>
          </cell>
          <cell r="ER39">
            <v>-750</v>
          </cell>
          <cell r="ES39">
            <v>-1500</v>
          </cell>
          <cell r="ET39">
            <v>-750</v>
          </cell>
          <cell r="EU39">
            <v>-750</v>
          </cell>
          <cell r="EV39">
            <v>-1500</v>
          </cell>
          <cell r="EW39">
            <v>-750</v>
          </cell>
          <cell r="EX39">
            <v>-750</v>
          </cell>
          <cell r="EY39">
            <v>-1500</v>
          </cell>
          <cell r="EZ39">
            <v>-750</v>
          </cell>
          <cell r="FA39">
            <v>-750</v>
          </cell>
          <cell r="FB39">
            <v>-1500</v>
          </cell>
          <cell r="FC39">
            <v>-750</v>
          </cell>
          <cell r="FD39">
            <v>-750</v>
          </cell>
          <cell r="FE39">
            <v>-1500</v>
          </cell>
          <cell r="FF39">
            <v>-750</v>
          </cell>
          <cell r="FG39">
            <v>-750</v>
          </cell>
          <cell r="FH39">
            <v>-1500</v>
          </cell>
          <cell r="FI39">
            <v>-750</v>
          </cell>
          <cell r="FJ39">
            <v>-750</v>
          </cell>
          <cell r="FK39">
            <v>-1500</v>
          </cell>
          <cell r="FL39">
            <v>-750</v>
          </cell>
          <cell r="FM39">
            <v>-750</v>
          </cell>
          <cell r="FN39">
            <v>-1500</v>
          </cell>
          <cell r="FO39">
            <v>-750</v>
          </cell>
          <cell r="FP39">
            <v>-750</v>
          </cell>
          <cell r="FQ39">
            <v>-1500</v>
          </cell>
          <cell r="FR39">
            <v>-750</v>
          </cell>
          <cell r="FS39">
            <v>-750</v>
          </cell>
          <cell r="FT39">
            <v>-1500</v>
          </cell>
          <cell r="FU39">
            <v>-750</v>
          </cell>
          <cell r="FV39">
            <v>-750</v>
          </cell>
          <cell r="FW39">
            <v>-1500</v>
          </cell>
          <cell r="FX39">
            <v>-5750</v>
          </cell>
          <cell r="FY39">
            <v>-5750</v>
          </cell>
          <cell r="FZ39">
            <v>-11500</v>
          </cell>
          <cell r="GA39">
            <v>-5750</v>
          </cell>
          <cell r="GB39">
            <v>-5750</v>
          </cell>
          <cell r="GC39">
            <v>-11500</v>
          </cell>
          <cell r="GD39">
            <v>-5750</v>
          </cell>
          <cell r="GE39">
            <v>-5750</v>
          </cell>
          <cell r="GF39">
            <v>-11500</v>
          </cell>
          <cell r="GG39">
            <v>-5750</v>
          </cell>
          <cell r="GH39">
            <v>-5750</v>
          </cell>
          <cell r="GI39">
            <v>-11500</v>
          </cell>
          <cell r="GJ39">
            <v>-5750</v>
          </cell>
          <cell r="GK39">
            <v>-5750</v>
          </cell>
          <cell r="GL39">
            <v>-11500</v>
          </cell>
          <cell r="GM39">
            <v>-5750</v>
          </cell>
          <cell r="GN39">
            <v>-5750</v>
          </cell>
          <cell r="GO39">
            <v>-11500</v>
          </cell>
          <cell r="GP39">
            <v>-5750</v>
          </cell>
          <cell r="GQ39">
            <v>-5750</v>
          </cell>
          <cell r="GR39">
            <v>-11500</v>
          </cell>
          <cell r="GS39">
            <v>-5750</v>
          </cell>
          <cell r="GT39">
            <v>-5750</v>
          </cell>
          <cell r="GU39">
            <v>-11500</v>
          </cell>
          <cell r="GV39">
            <v>-5750</v>
          </cell>
          <cell r="GW39">
            <v>-5750</v>
          </cell>
          <cell r="GX39">
            <v>-11500</v>
          </cell>
        </row>
        <row r="40">
          <cell r="A40" t="str">
            <v>Ore to Mill (tonnes treated)</v>
          </cell>
          <cell r="B40" t="str">
            <v>kt</v>
          </cell>
          <cell r="D40">
            <v>3619</v>
          </cell>
          <cell r="E40">
            <v>3828</v>
          </cell>
          <cell r="F40">
            <v>3926</v>
          </cell>
          <cell r="G40">
            <v>4091</v>
          </cell>
          <cell r="H40">
            <v>3482</v>
          </cell>
          <cell r="I40">
            <v>4344</v>
          </cell>
          <cell r="J40">
            <v>4816</v>
          </cell>
          <cell r="K40">
            <v>6154</v>
          </cell>
          <cell r="L40">
            <v>6415</v>
          </cell>
          <cell r="M40">
            <v>6673</v>
          </cell>
          <cell r="N40">
            <v>6285</v>
          </cell>
          <cell r="O40">
            <v>6000</v>
          </cell>
          <cell r="P40">
            <v>12000</v>
          </cell>
          <cell r="Q40">
            <v>12000</v>
          </cell>
          <cell r="R40">
            <v>12000</v>
          </cell>
          <cell r="S40">
            <v>12000</v>
          </cell>
          <cell r="T40">
            <v>12000</v>
          </cell>
          <cell r="U40">
            <v>12000</v>
          </cell>
          <cell r="V40">
            <v>12000</v>
          </cell>
          <cell r="W40">
            <v>11250</v>
          </cell>
          <cell r="X40">
            <v>11500</v>
          </cell>
          <cell r="Y40">
            <v>11500</v>
          </cell>
          <cell r="Z40">
            <v>11500</v>
          </cell>
          <cell r="AA40">
            <v>11500</v>
          </cell>
          <cell r="AB40">
            <v>11500</v>
          </cell>
          <cell r="AC40">
            <v>11500</v>
          </cell>
          <cell r="AD40">
            <v>11500</v>
          </cell>
          <cell r="AE40">
            <v>11500</v>
          </cell>
          <cell r="AF40">
            <v>11500</v>
          </cell>
          <cell r="AG40">
            <v>11500</v>
          </cell>
          <cell r="AH40">
            <v>11500</v>
          </cell>
          <cell r="AI40">
            <v>11500</v>
          </cell>
          <cell r="AJ40">
            <v>11500</v>
          </cell>
          <cell r="AK40">
            <v>11500</v>
          </cell>
          <cell r="AL40">
            <v>11500</v>
          </cell>
          <cell r="AM40">
            <v>11500</v>
          </cell>
          <cell r="AN40">
            <v>11500</v>
          </cell>
          <cell r="AO40">
            <v>11500</v>
          </cell>
          <cell r="AP40">
            <v>11500</v>
          </cell>
          <cell r="AQ40">
            <v>11500</v>
          </cell>
          <cell r="AR40">
            <v>11500</v>
          </cell>
          <cell r="AS40">
            <v>11500</v>
          </cell>
          <cell r="AT40">
            <v>11500</v>
          </cell>
          <cell r="AU40">
            <v>11500</v>
          </cell>
          <cell r="AV40">
            <v>11500</v>
          </cell>
          <cell r="AW40">
            <v>11500</v>
          </cell>
          <cell r="AX40">
            <v>11500</v>
          </cell>
          <cell r="AY40">
            <v>11500</v>
          </cell>
          <cell r="AZ40">
            <v>11500</v>
          </cell>
          <cell r="BA40">
            <v>11500</v>
          </cell>
          <cell r="BF40">
            <v>1826</v>
          </cell>
          <cell r="BG40">
            <v>1793</v>
          </cell>
          <cell r="BH40">
            <v>3619</v>
          </cell>
          <cell r="BI40">
            <v>1874</v>
          </cell>
          <cell r="BJ40">
            <v>1954</v>
          </cell>
          <cell r="BK40">
            <v>3828</v>
          </cell>
          <cell r="BL40">
            <v>1857</v>
          </cell>
          <cell r="BM40">
            <v>2069</v>
          </cell>
          <cell r="BN40">
            <v>3926</v>
          </cell>
          <cell r="BO40">
            <v>1915</v>
          </cell>
          <cell r="BP40">
            <v>2176</v>
          </cell>
          <cell r="BQ40">
            <v>4091</v>
          </cell>
          <cell r="BR40">
            <v>1854</v>
          </cell>
          <cell r="BS40">
            <v>1628</v>
          </cell>
          <cell r="BT40">
            <v>3482</v>
          </cell>
          <cell r="BU40">
            <v>1952</v>
          </cell>
          <cell r="BV40">
            <v>2392</v>
          </cell>
          <cell r="BW40">
            <v>4344</v>
          </cell>
          <cell r="BX40">
            <v>2252</v>
          </cell>
          <cell r="BY40">
            <v>2564</v>
          </cell>
          <cell r="BZ40">
            <v>4816</v>
          </cell>
          <cell r="CA40">
            <v>2891</v>
          </cell>
          <cell r="CB40">
            <v>3263</v>
          </cell>
          <cell r="CC40">
            <v>6154</v>
          </cell>
          <cell r="CD40">
            <v>3152</v>
          </cell>
          <cell r="CE40">
            <v>6415</v>
          </cell>
          <cell r="CF40">
            <v>3357</v>
          </cell>
          <cell r="CG40">
            <v>3316</v>
          </cell>
          <cell r="CH40">
            <v>6673</v>
          </cell>
          <cell r="CI40">
            <v>3107</v>
          </cell>
          <cell r="CJ40">
            <v>3178</v>
          </cell>
          <cell r="CK40">
            <v>6285</v>
          </cell>
          <cell r="CL40">
            <v>3000</v>
          </cell>
          <cell r="CM40">
            <v>3000</v>
          </cell>
          <cell r="CN40">
            <v>6000</v>
          </cell>
          <cell r="CO40">
            <v>6000</v>
          </cell>
          <cell r="CP40">
            <v>6000</v>
          </cell>
          <cell r="CQ40">
            <v>12000</v>
          </cell>
          <cell r="CR40">
            <v>6000</v>
          </cell>
          <cell r="CS40">
            <v>6000</v>
          </cell>
          <cell r="CT40">
            <v>12000</v>
          </cell>
          <cell r="CU40">
            <v>6000</v>
          </cell>
          <cell r="CV40">
            <v>6000</v>
          </cell>
          <cell r="CW40">
            <v>12000</v>
          </cell>
          <cell r="CX40">
            <v>6000</v>
          </cell>
          <cell r="CY40">
            <v>6000</v>
          </cell>
          <cell r="CZ40">
            <v>12000</v>
          </cell>
          <cell r="DA40">
            <v>6000</v>
          </cell>
          <cell r="DB40">
            <v>6000</v>
          </cell>
          <cell r="DC40">
            <v>12000</v>
          </cell>
          <cell r="DD40">
            <v>6000</v>
          </cell>
          <cell r="DE40">
            <v>6000</v>
          </cell>
          <cell r="DF40">
            <v>12000</v>
          </cell>
          <cell r="DG40">
            <v>6000</v>
          </cell>
          <cell r="DH40">
            <v>6000</v>
          </cell>
          <cell r="DI40">
            <v>12000</v>
          </cell>
          <cell r="DJ40">
            <v>5500</v>
          </cell>
          <cell r="DK40">
            <v>5750</v>
          </cell>
          <cell r="DL40">
            <v>11250</v>
          </cell>
          <cell r="DM40">
            <v>5750</v>
          </cell>
          <cell r="DN40">
            <v>5750</v>
          </cell>
          <cell r="DO40">
            <v>11500</v>
          </cell>
          <cell r="DP40">
            <v>5750</v>
          </cell>
          <cell r="DQ40">
            <v>5750</v>
          </cell>
          <cell r="DR40">
            <v>11500</v>
          </cell>
          <cell r="DS40">
            <v>5750</v>
          </cell>
          <cell r="DT40">
            <v>5750</v>
          </cell>
          <cell r="DU40">
            <v>11500</v>
          </cell>
          <cell r="DV40">
            <v>5750</v>
          </cell>
          <cell r="DW40">
            <v>5750</v>
          </cell>
          <cell r="DX40">
            <v>11500</v>
          </cell>
          <cell r="DY40">
            <v>5750</v>
          </cell>
          <cell r="DZ40">
            <v>5750</v>
          </cell>
          <cell r="EA40">
            <v>11500</v>
          </cell>
          <cell r="EB40">
            <v>5750</v>
          </cell>
          <cell r="EC40">
            <v>5750</v>
          </cell>
          <cell r="ED40">
            <v>11500</v>
          </cell>
          <cell r="EE40">
            <v>5750</v>
          </cell>
          <cell r="EF40">
            <v>5750</v>
          </cell>
          <cell r="EG40">
            <v>11500</v>
          </cell>
          <cell r="EH40">
            <v>5750</v>
          </cell>
          <cell r="EI40">
            <v>5750</v>
          </cell>
          <cell r="EJ40">
            <v>11500</v>
          </cell>
          <cell r="EK40">
            <v>5750</v>
          </cell>
          <cell r="EL40">
            <v>5750</v>
          </cell>
          <cell r="EM40">
            <v>11500</v>
          </cell>
          <cell r="EN40">
            <v>5750</v>
          </cell>
          <cell r="EO40">
            <v>5750</v>
          </cell>
          <cell r="EP40">
            <v>11500</v>
          </cell>
          <cell r="EQ40">
            <v>5750</v>
          </cell>
          <cell r="ER40">
            <v>5750</v>
          </cell>
          <cell r="ES40">
            <v>11500</v>
          </cell>
          <cell r="ET40">
            <v>5750</v>
          </cell>
          <cell r="EU40">
            <v>5750</v>
          </cell>
          <cell r="EV40">
            <v>11500</v>
          </cell>
          <cell r="EW40">
            <v>5750</v>
          </cell>
          <cell r="EX40">
            <v>5750</v>
          </cell>
          <cell r="EY40">
            <v>11500</v>
          </cell>
          <cell r="EZ40">
            <v>5750</v>
          </cell>
          <cell r="FA40">
            <v>5750</v>
          </cell>
          <cell r="FB40">
            <v>11500</v>
          </cell>
          <cell r="FC40">
            <v>5750</v>
          </cell>
          <cell r="FD40">
            <v>5750</v>
          </cell>
          <cell r="FE40">
            <v>11500</v>
          </cell>
          <cell r="FF40">
            <v>5750</v>
          </cell>
          <cell r="FG40">
            <v>5750</v>
          </cell>
          <cell r="FH40">
            <v>11500</v>
          </cell>
          <cell r="FI40">
            <v>5750</v>
          </cell>
          <cell r="FJ40">
            <v>5750</v>
          </cell>
          <cell r="FK40">
            <v>11500</v>
          </cell>
          <cell r="FL40">
            <v>5750</v>
          </cell>
          <cell r="FM40">
            <v>5750</v>
          </cell>
          <cell r="FN40">
            <v>11500</v>
          </cell>
          <cell r="FO40">
            <v>5750</v>
          </cell>
          <cell r="FP40">
            <v>5750</v>
          </cell>
          <cell r="FQ40">
            <v>11500</v>
          </cell>
          <cell r="FR40">
            <v>5750</v>
          </cell>
          <cell r="FS40">
            <v>5750</v>
          </cell>
          <cell r="FT40">
            <v>11500</v>
          </cell>
          <cell r="FU40">
            <v>5750</v>
          </cell>
          <cell r="FV40">
            <v>5750</v>
          </cell>
          <cell r="FW40">
            <v>11500</v>
          </cell>
          <cell r="FX40">
            <v>5750</v>
          </cell>
          <cell r="FY40">
            <v>5750</v>
          </cell>
          <cell r="FZ40">
            <v>11500</v>
          </cell>
          <cell r="GA40">
            <v>5750</v>
          </cell>
          <cell r="GB40">
            <v>5750</v>
          </cell>
          <cell r="GC40">
            <v>11500</v>
          </cell>
          <cell r="GD40">
            <v>5750</v>
          </cell>
          <cell r="GE40">
            <v>5750</v>
          </cell>
          <cell r="GF40">
            <v>11500</v>
          </cell>
          <cell r="GG40">
            <v>5750</v>
          </cell>
          <cell r="GH40">
            <v>5750</v>
          </cell>
          <cell r="GI40">
            <v>11500</v>
          </cell>
          <cell r="GJ40">
            <v>5750</v>
          </cell>
          <cell r="GK40">
            <v>5750</v>
          </cell>
          <cell r="GL40">
            <v>11500</v>
          </cell>
          <cell r="GM40">
            <v>5750</v>
          </cell>
          <cell r="GN40">
            <v>5750</v>
          </cell>
          <cell r="GO40">
            <v>11500</v>
          </cell>
          <cell r="GP40">
            <v>5750</v>
          </cell>
          <cell r="GQ40">
            <v>5750</v>
          </cell>
          <cell r="GR40">
            <v>11500</v>
          </cell>
          <cell r="GS40">
            <v>5750</v>
          </cell>
          <cell r="GT40">
            <v>5750</v>
          </cell>
          <cell r="GU40">
            <v>11500</v>
          </cell>
          <cell r="GV40">
            <v>5750</v>
          </cell>
          <cell r="GW40">
            <v>5750</v>
          </cell>
          <cell r="GX40">
            <v>11500</v>
          </cell>
        </row>
        <row r="41">
          <cell r="A41" t="str">
            <v>EG Ore Stockpile Balance</v>
          </cell>
          <cell r="B41" t="str">
            <v>kt</v>
          </cell>
          <cell r="D41">
            <v>4232</v>
          </cell>
          <cell r="E41">
            <v>9695</v>
          </cell>
          <cell r="F41">
            <v>16748</v>
          </cell>
          <cell r="G41">
            <v>24243</v>
          </cell>
          <cell r="H41">
            <v>36000</v>
          </cell>
          <cell r="I41">
            <v>39611</v>
          </cell>
          <cell r="J41">
            <v>45286</v>
          </cell>
          <cell r="K41">
            <v>52220</v>
          </cell>
          <cell r="L41">
            <v>54665</v>
          </cell>
          <cell r="M41">
            <v>62892</v>
          </cell>
          <cell r="N41">
            <v>69007</v>
          </cell>
          <cell r="O41">
            <v>75407</v>
          </cell>
          <cell r="P41">
            <v>75807</v>
          </cell>
          <cell r="Q41">
            <v>76207</v>
          </cell>
          <cell r="R41">
            <v>74207</v>
          </cell>
          <cell r="S41">
            <v>72207</v>
          </cell>
          <cell r="T41">
            <v>70207</v>
          </cell>
          <cell r="U41">
            <v>68207</v>
          </cell>
          <cell r="V41">
            <v>66207</v>
          </cell>
          <cell r="W41">
            <v>64957</v>
          </cell>
          <cell r="X41">
            <v>63457</v>
          </cell>
          <cell r="Y41">
            <v>61957</v>
          </cell>
          <cell r="Z41">
            <v>60457</v>
          </cell>
          <cell r="AA41">
            <v>58957</v>
          </cell>
          <cell r="AB41">
            <v>57457</v>
          </cell>
          <cell r="AC41">
            <v>55957</v>
          </cell>
          <cell r="AD41">
            <v>54457</v>
          </cell>
          <cell r="AE41">
            <v>52957</v>
          </cell>
          <cell r="AF41">
            <v>51457</v>
          </cell>
          <cell r="AG41">
            <v>49957</v>
          </cell>
          <cell r="AH41">
            <v>48457</v>
          </cell>
          <cell r="AI41">
            <v>46957</v>
          </cell>
          <cell r="AJ41">
            <v>45457</v>
          </cell>
          <cell r="AK41">
            <v>43957</v>
          </cell>
          <cell r="AL41">
            <v>42457</v>
          </cell>
          <cell r="AM41">
            <v>40957</v>
          </cell>
          <cell r="AN41">
            <v>39457</v>
          </cell>
          <cell r="AO41">
            <v>37957</v>
          </cell>
          <cell r="AP41">
            <v>36457</v>
          </cell>
          <cell r="AQ41">
            <v>34957</v>
          </cell>
          <cell r="AR41">
            <v>33457</v>
          </cell>
          <cell r="AS41">
            <v>21957</v>
          </cell>
          <cell r="AT41">
            <v>10457</v>
          </cell>
          <cell r="AU41">
            <v>-1043</v>
          </cell>
          <cell r="AV41">
            <v>-12543</v>
          </cell>
          <cell r="AW41">
            <v>-24043</v>
          </cell>
          <cell r="AX41">
            <v>-35543</v>
          </cell>
          <cell r="AY41">
            <v>-47043</v>
          </cell>
          <cell r="AZ41">
            <v>-58543</v>
          </cell>
          <cell r="BA41">
            <v>-70043</v>
          </cell>
          <cell r="BF41">
            <v>2704</v>
          </cell>
          <cell r="BG41">
            <v>4232</v>
          </cell>
          <cell r="BH41">
            <v>4232</v>
          </cell>
          <cell r="BI41">
            <v>7056</v>
          </cell>
          <cell r="BJ41">
            <v>9695</v>
          </cell>
          <cell r="BK41">
            <v>9695</v>
          </cell>
          <cell r="BL41">
            <v>13255</v>
          </cell>
          <cell r="BM41">
            <v>16748</v>
          </cell>
          <cell r="BN41">
            <v>16748</v>
          </cell>
          <cell r="BO41">
            <v>20228</v>
          </cell>
          <cell r="BP41">
            <v>24243</v>
          </cell>
          <cell r="BQ41">
            <v>24243</v>
          </cell>
          <cell r="BR41">
            <v>28650</v>
          </cell>
          <cell r="BS41">
            <v>36000</v>
          </cell>
          <cell r="BT41">
            <v>36000</v>
          </cell>
          <cell r="BU41">
            <v>35924</v>
          </cell>
          <cell r="BV41">
            <v>39611</v>
          </cell>
          <cell r="BW41">
            <v>39611</v>
          </cell>
          <cell r="BX41">
            <v>43675</v>
          </cell>
          <cell r="BY41">
            <v>45286</v>
          </cell>
          <cell r="BZ41">
            <v>45286</v>
          </cell>
          <cell r="CA41">
            <v>48920</v>
          </cell>
          <cell r="CB41">
            <v>52220</v>
          </cell>
          <cell r="CC41">
            <v>52220</v>
          </cell>
          <cell r="CD41">
            <v>54665</v>
          </cell>
          <cell r="CE41">
            <v>54665</v>
          </cell>
          <cell r="CF41">
            <v>58430</v>
          </cell>
          <cell r="CG41">
            <v>62892</v>
          </cell>
          <cell r="CH41">
            <v>62892</v>
          </cell>
          <cell r="CI41">
            <v>65985</v>
          </cell>
          <cell r="CJ41">
            <v>69007</v>
          </cell>
          <cell r="CK41">
            <v>69007</v>
          </cell>
          <cell r="CL41">
            <v>72207</v>
          </cell>
          <cell r="CM41">
            <v>75407</v>
          </cell>
          <cell r="CN41">
            <v>75407</v>
          </cell>
          <cell r="CO41">
            <v>75607</v>
          </cell>
          <cell r="CP41">
            <v>75807</v>
          </cell>
          <cell r="CQ41">
            <v>75807</v>
          </cell>
          <cell r="CR41">
            <v>76007</v>
          </cell>
          <cell r="CS41">
            <v>76207</v>
          </cell>
          <cell r="CT41">
            <v>76207</v>
          </cell>
          <cell r="CU41">
            <v>75207</v>
          </cell>
          <cell r="CV41">
            <v>74207</v>
          </cell>
          <cell r="CW41">
            <v>74207</v>
          </cell>
          <cell r="CX41">
            <v>73207</v>
          </cell>
          <cell r="CY41">
            <v>72207</v>
          </cell>
          <cell r="CZ41">
            <v>72207</v>
          </cell>
          <cell r="DA41">
            <v>71207</v>
          </cell>
          <cell r="DB41">
            <v>70207</v>
          </cell>
          <cell r="DC41">
            <v>70207</v>
          </cell>
          <cell r="DD41">
            <v>69207</v>
          </cell>
          <cell r="DE41">
            <v>68207</v>
          </cell>
          <cell r="DF41">
            <v>68207</v>
          </cell>
          <cell r="DG41">
            <v>67207</v>
          </cell>
          <cell r="DH41">
            <v>66207</v>
          </cell>
          <cell r="DI41">
            <v>66207</v>
          </cell>
          <cell r="DJ41">
            <v>65707</v>
          </cell>
          <cell r="DK41">
            <v>64957</v>
          </cell>
          <cell r="DL41">
            <v>64957</v>
          </cell>
          <cell r="DM41">
            <v>64207</v>
          </cell>
          <cell r="DN41">
            <v>63457</v>
          </cell>
          <cell r="DO41">
            <v>63457</v>
          </cell>
          <cell r="DP41">
            <v>62707</v>
          </cell>
          <cell r="DQ41">
            <v>61957</v>
          </cell>
          <cell r="DR41">
            <v>61957</v>
          </cell>
          <cell r="DS41">
            <v>61207</v>
          </cell>
          <cell r="DT41">
            <v>60457</v>
          </cell>
          <cell r="DU41">
            <v>60457</v>
          </cell>
          <cell r="DV41">
            <v>59707</v>
          </cell>
          <cell r="DW41">
            <v>58957</v>
          </cell>
          <cell r="DX41">
            <v>58957</v>
          </cell>
          <cell r="DY41">
            <v>58207</v>
          </cell>
          <cell r="DZ41">
            <v>57457</v>
          </cell>
          <cell r="EA41">
            <v>57457</v>
          </cell>
          <cell r="EB41">
            <v>56707</v>
          </cell>
          <cell r="EC41">
            <v>55957</v>
          </cell>
          <cell r="ED41">
            <v>55957</v>
          </cell>
          <cell r="EE41">
            <v>55207</v>
          </cell>
          <cell r="EF41">
            <v>54457</v>
          </cell>
          <cell r="EG41">
            <v>54457</v>
          </cell>
          <cell r="EH41">
            <v>53707</v>
          </cell>
          <cell r="EI41">
            <v>52957</v>
          </cell>
          <cell r="EJ41">
            <v>52957</v>
          </cell>
          <cell r="EK41">
            <v>52207</v>
          </cell>
          <cell r="EL41">
            <v>51457</v>
          </cell>
          <cell r="EM41">
            <v>51457</v>
          </cell>
          <cell r="EN41">
            <v>50707</v>
          </cell>
          <cell r="EO41">
            <v>49957</v>
          </cell>
          <cell r="EP41">
            <v>49957</v>
          </cell>
          <cell r="EQ41">
            <v>49207</v>
          </cell>
          <cell r="ER41">
            <v>48457</v>
          </cell>
          <cell r="ES41">
            <v>48457</v>
          </cell>
          <cell r="ET41">
            <v>47707</v>
          </cell>
          <cell r="EU41">
            <v>46957</v>
          </cell>
          <cell r="EV41">
            <v>46957</v>
          </cell>
          <cell r="EW41">
            <v>46207</v>
          </cell>
          <cell r="EX41">
            <v>45457</v>
          </cell>
          <cell r="EY41">
            <v>45457</v>
          </cell>
          <cell r="EZ41">
            <v>44707</v>
          </cell>
          <cell r="FA41">
            <v>43957</v>
          </cell>
          <cell r="FB41">
            <v>43957</v>
          </cell>
          <cell r="FC41">
            <v>43207</v>
          </cell>
          <cell r="FD41">
            <v>42457</v>
          </cell>
          <cell r="FE41">
            <v>42457</v>
          </cell>
          <cell r="FF41">
            <v>41707</v>
          </cell>
          <cell r="FG41">
            <v>40957</v>
          </cell>
          <cell r="FH41">
            <v>40957</v>
          </cell>
          <cell r="FI41">
            <v>40207</v>
          </cell>
          <cell r="FJ41">
            <v>39457</v>
          </cell>
          <cell r="FK41">
            <v>39457</v>
          </cell>
          <cell r="FL41">
            <v>38707</v>
          </cell>
          <cell r="FM41">
            <v>37957</v>
          </cell>
          <cell r="FN41">
            <v>37957</v>
          </cell>
          <cell r="FO41">
            <v>37207</v>
          </cell>
          <cell r="FP41">
            <v>36457</v>
          </cell>
          <cell r="FQ41">
            <v>36457</v>
          </cell>
          <cell r="FR41">
            <v>35707</v>
          </cell>
          <cell r="FS41">
            <v>34957</v>
          </cell>
          <cell r="FT41">
            <v>34957</v>
          </cell>
          <cell r="FU41">
            <v>34207</v>
          </cell>
          <cell r="FV41">
            <v>33457</v>
          </cell>
          <cell r="FW41">
            <v>33457</v>
          </cell>
          <cell r="FX41">
            <v>27707</v>
          </cell>
          <cell r="FY41">
            <v>21957</v>
          </cell>
          <cell r="FZ41">
            <v>21957</v>
          </cell>
          <cell r="GA41">
            <v>16207</v>
          </cell>
          <cell r="GB41">
            <v>10457</v>
          </cell>
          <cell r="GC41">
            <v>10457</v>
          </cell>
          <cell r="GD41">
            <v>4707</v>
          </cell>
          <cell r="GE41">
            <v>-1043</v>
          </cell>
          <cell r="GF41">
            <v>-1043</v>
          </cell>
          <cell r="GG41">
            <v>-6793</v>
          </cell>
          <cell r="GH41">
            <v>-12543</v>
          </cell>
          <cell r="GI41">
            <v>-12543</v>
          </cell>
          <cell r="GJ41">
            <v>-18293</v>
          </cell>
          <cell r="GK41">
            <v>-24043</v>
          </cell>
          <cell r="GL41">
            <v>-24043</v>
          </cell>
          <cell r="GM41">
            <v>-29793</v>
          </cell>
          <cell r="GN41">
            <v>-35543</v>
          </cell>
          <cell r="GO41">
            <v>-35543</v>
          </cell>
          <cell r="GP41">
            <v>-41293</v>
          </cell>
          <cell r="GQ41">
            <v>-47043</v>
          </cell>
          <cell r="GR41">
            <v>-47043</v>
          </cell>
          <cell r="GS41">
            <v>-52793</v>
          </cell>
          <cell r="GT41">
            <v>-58543</v>
          </cell>
          <cell r="GU41">
            <v>-58543</v>
          </cell>
          <cell r="GV41">
            <v>-64293</v>
          </cell>
          <cell r="GW41">
            <v>-70043</v>
          </cell>
          <cell r="GX41">
            <v>-70043</v>
          </cell>
        </row>
        <row r="42">
          <cell r="A42" t="str">
            <v>Autoclave Feed</v>
          </cell>
          <cell r="B42" t="str">
            <v>kt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4598</v>
          </cell>
          <cell r="K42">
            <v>4803</v>
          </cell>
          <cell r="L42">
            <v>4965</v>
          </cell>
          <cell r="M42">
            <v>5018</v>
          </cell>
          <cell r="N42">
            <v>6285</v>
          </cell>
          <cell r="O42">
            <v>6100</v>
          </cell>
          <cell r="P42">
            <v>8250</v>
          </cell>
          <cell r="Q42">
            <v>12000</v>
          </cell>
          <cell r="R42">
            <v>12000</v>
          </cell>
          <cell r="S42">
            <v>12000</v>
          </cell>
          <cell r="T42">
            <v>12000</v>
          </cell>
          <cell r="U42">
            <v>12000</v>
          </cell>
          <cell r="V42">
            <v>12000</v>
          </cell>
          <cell r="W42">
            <v>12000</v>
          </cell>
          <cell r="X42">
            <v>12000</v>
          </cell>
          <cell r="Y42">
            <v>12000</v>
          </cell>
          <cell r="Z42">
            <v>12000</v>
          </cell>
          <cell r="AA42">
            <v>12000</v>
          </cell>
          <cell r="AB42">
            <v>12000</v>
          </cell>
          <cell r="AC42">
            <v>12000</v>
          </cell>
          <cell r="AD42">
            <v>12000</v>
          </cell>
          <cell r="AE42">
            <v>12000</v>
          </cell>
          <cell r="AF42">
            <v>12000</v>
          </cell>
          <cell r="AG42">
            <v>12000</v>
          </cell>
          <cell r="AH42">
            <v>12000</v>
          </cell>
          <cell r="AI42">
            <v>12000</v>
          </cell>
          <cell r="AJ42">
            <v>12000</v>
          </cell>
          <cell r="AK42">
            <v>12000</v>
          </cell>
          <cell r="AL42">
            <v>12000</v>
          </cell>
          <cell r="AM42">
            <v>12000</v>
          </cell>
          <cell r="AN42">
            <v>12000</v>
          </cell>
          <cell r="AO42">
            <v>12000</v>
          </cell>
          <cell r="AP42">
            <v>12000</v>
          </cell>
          <cell r="AQ42">
            <v>12000</v>
          </cell>
          <cell r="AR42">
            <v>12000</v>
          </cell>
          <cell r="AS42">
            <v>12000</v>
          </cell>
          <cell r="AT42">
            <v>12000</v>
          </cell>
          <cell r="AU42">
            <v>12000</v>
          </cell>
          <cell r="AV42">
            <v>12000</v>
          </cell>
          <cell r="AW42">
            <v>12000</v>
          </cell>
          <cell r="AX42">
            <v>12000</v>
          </cell>
          <cell r="AY42">
            <v>12000</v>
          </cell>
          <cell r="AZ42">
            <v>12000</v>
          </cell>
          <cell r="BA42">
            <v>12000</v>
          </cell>
          <cell r="BX42">
            <v>2317</v>
          </cell>
          <cell r="BY42">
            <v>2281</v>
          </cell>
          <cell r="BZ42">
            <v>4598</v>
          </cell>
          <cell r="CA42">
            <v>2242</v>
          </cell>
          <cell r="CB42">
            <v>2561</v>
          </cell>
          <cell r="CC42">
            <v>4803</v>
          </cell>
          <cell r="CD42">
            <v>2404</v>
          </cell>
          <cell r="CE42">
            <v>4965</v>
          </cell>
          <cell r="CF42">
            <v>2438</v>
          </cell>
          <cell r="CG42">
            <v>2580</v>
          </cell>
          <cell r="CH42">
            <v>5018</v>
          </cell>
          <cell r="CI42">
            <v>3107</v>
          </cell>
          <cell r="CJ42">
            <v>3178</v>
          </cell>
          <cell r="CK42">
            <v>6285</v>
          </cell>
          <cell r="CL42">
            <v>3050</v>
          </cell>
          <cell r="CM42">
            <v>3050</v>
          </cell>
          <cell r="CN42">
            <v>6100</v>
          </cell>
          <cell r="CO42">
            <v>4000</v>
          </cell>
          <cell r="CP42">
            <v>4250</v>
          </cell>
          <cell r="CQ42">
            <v>8250</v>
          </cell>
          <cell r="CR42">
            <v>6000</v>
          </cell>
          <cell r="CS42">
            <v>6000</v>
          </cell>
          <cell r="CT42">
            <v>12000</v>
          </cell>
          <cell r="CU42">
            <v>6000</v>
          </cell>
          <cell r="CV42">
            <v>6000</v>
          </cell>
          <cell r="CW42">
            <v>12000</v>
          </cell>
          <cell r="CX42">
            <v>6000</v>
          </cell>
          <cell r="CY42">
            <v>6000</v>
          </cell>
          <cell r="CZ42">
            <v>12000</v>
          </cell>
          <cell r="DA42">
            <v>6000</v>
          </cell>
          <cell r="DB42">
            <v>6000</v>
          </cell>
          <cell r="DC42">
            <v>12000</v>
          </cell>
          <cell r="DD42">
            <v>6000</v>
          </cell>
          <cell r="DE42">
            <v>6000</v>
          </cell>
          <cell r="DF42">
            <v>12000</v>
          </cell>
          <cell r="DG42">
            <v>6000</v>
          </cell>
          <cell r="DH42">
            <v>6000</v>
          </cell>
          <cell r="DI42">
            <v>12000</v>
          </cell>
          <cell r="DJ42">
            <v>6000</v>
          </cell>
          <cell r="DK42">
            <v>6000</v>
          </cell>
          <cell r="DL42">
            <v>12000</v>
          </cell>
          <cell r="DM42">
            <v>6000</v>
          </cell>
          <cell r="DN42">
            <v>6000</v>
          </cell>
          <cell r="DO42">
            <v>12000</v>
          </cell>
          <cell r="DP42">
            <v>6000</v>
          </cell>
          <cell r="DQ42">
            <v>6000</v>
          </cell>
          <cell r="DR42">
            <v>12000</v>
          </cell>
          <cell r="DS42">
            <v>6000</v>
          </cell>
          <cell r="DT42">
            <v>6000</v>
          </cell>
          <cell r="DU42">
            <v>12000</v>
          </cell>
          <cell r="DV42">
            <v>6000</v>
          </cell>
          <cell r="DW42">
            <v>6000</v>
          </cell>
          <cell r="DX42">
            <v>12000</v>
          </cell>
          <cell r="DY42">
            <v>6000</v>
          </cell>
          <cell r="DZ42">
            <v>6000</v>
          </cell>
          <cell r="EA42">
            <v>12000</v>
          </cell>
          <cell r="EB42">
            <v>6000</v>
          </cell>
          <cell r="EC42">
            <v>6000</v>
          </cell>
          <cell r="ED42">
            <v>12000</v>
          </cell>
          <cell r="EE42">
            <v>6000</v>
          </cell>
          <cell r="EF42">
            <v>6000</v>
          </cell>
          <cell r="EG42">
            <v>12000</v>
          </cell>
          <cell r="EH42">
            <v>6000</v>
          </cell>
          <cell r="EI42">
            <v>6000</v>
          </cell>
          <cell r="EJ42">
            <v>12000</v>
          </cell>
          <cell r="EK42">
            <v>6000</v>
          </cell>
          <cell r="EL42">
            <v>6000</v>
          </cell>
          <cell r="EM42">
            <v>12000</v>
          </cell>
          <cell r="EN42">
            <v>6000</v>
          </cell>
          <cell r="EO42">
            <v>6000</v>
          </cell>
          <cell r="EP42">
            <v>12000</v>
          </cell>
          <cell r="EQ42">
            <v>6000</v>
          </cell>
          <cell r="ER42">
            <v>6000</v>
          </cell>
          <cell r="ES42">
            <v>12000</v>
          </cell>
          <cell r="ET42">
            <v>6000</v>
          </cell>
          <cell r="EU42">
            <v>6000</v>
          </cell>
          <cell r="EV42">
            <v>12000</v>
          </cell>
          <cell r="EW42">
            <v>6000</v>
          </cell>
          <cell r="EX42">
            <v>6000</v>
          </cell>
          <cell r="EY42">
            <v>12000</v>
          </cell>
          <cell r="EZ42">
            <v>6000</v>
          </cell>
          <cell r="FA42">
            <v>6000</v>
          </cell>
          <cell r="FB42">
            <v>12000</v>
          </cell>
          <cell r="FC42">
            <v>6000</v>
          </cell>
          <cell r="FD42">
            <v>6000</v>
          </cell>
          <cell r="FE42">
            <v>12000</v>
          </cell>
          <cell r="FF42">
            <v>6000</v>
          </cell>
          <cell r="FG42">
            <v>6000</v>
          </cell>
          <cell r="FH42">
            <v>12000</v>
          </cell>
          <cell r="FI42">
            <v>6000</v>
          </cell>
          <cell r="FJ42">
            <v>6000</v>
          </cell>
          <cell r="FK42">
            <v>12000</v>
          </cell>
          <cell r="FL42">
            <v>6000</v>
          </cell>
          <cell r="FM42">
            <v>6000</v>
          </cell>
          <cell r="FN42">
            <v>12000</v>
          </cell>
          <cell r="FO42">
            <v>6000</v>
          </cell>
          <cell r="FP42">
            <v>6000</v>
          </cell>
          <cell r="FQ42">
            <v>12000</v>
          </cell>
          <cell r="FR42">
            <v>6000</v>
          </cell>
          <cell r="FS42">
            <v>6000</v>
          </cell>
          <cell r="FT42">
            <v>12000</v>
          </cell>
          <cell r="FU42">
            <v>6000</v>
          </cell>
          <cell r="FV42">
            <v>6000</v>
          </cell>
          <cell r="FW42">
            <v>12000</v>
          </cell>
          <cell r="FX42">
            <v>6000</v>
          </cell>
          <cell r="FY42">
            <v>6000</v>
          </cell>
          <cell r="FZ42">
            <v>12000</v>
          </cell>
          <cell r="GA42">
            <v>6000</v>
          </cell>
          <cell r="GB42">
            <v>6000</v>
          </cell>
          <cell r="GC42">
            <v>12000</v>
          </cell>
          <cell r="GD42">
            <v>6000</v>
          </cell>
          <cell r="GE42">
            <v>6000</v>
          </cell>
          <cell r="GF42">
            <v>12000</v>
          </cell>
          <cell r="GG42">
            <v>6000</v>
          </cell>
          <cell r="GH42">
            <v>6000</v>
          </cell>
          <cell r="GI42">
            <v>12000</v>
          </cell>
          <cell r="GJ42">
            <v>6000</v>
          </cell>
          <cell r="GK42">
            <v>6000</v>
          </cell>
          <cell r="GL42">
            <v>12000</v>
          </cell>
          <cell r="GM42">
            <v>6000</v>
          </cell>
          <cell r="GN42">
            <v>6000</v>
          </cell>
          <cell r="GO42">
            <v>12000</v>
          </cell>
          <cell r="GP42">
            <v>6000</v>
          </cell>
          <cell r="GQ42">
            <v>6000</v>
          </cell>
          <cell r="GR42">
            <v>12000</v>
          </cell>
          <cell r="GS42">
            <v>6000</v>
          </cell>
          <cell r="GT42">
            <v>6000</v>
          </cell>
          <cell r="GU42">
            <v>12000</v>
          </cell>
          <cell r="GV42">
            <v>6000</v>
          </cell>
          <cell r="GW42">
            <v>6000</v>
          </cell>
          <cell r="GX42">
            <v>12000</v>
          </cell>
        </row>
        <row r="43">
          <cell r="A43" t="str">
            <v>Head Grade - Gold</v>
          </cell>
          <cell r="B43" t="str">
            <v>g/t Au</v>
          </cell>
          <cell r="D43">
            <v>6.1840121580547116</v>
          </cell>
          <cell r="E43">
            <v>5.4577011494252874</v>
          </cell>
          <cell r="F43">
            <v>4.9380998471726958</v>
          </cell>
          <cell r="G43">
            <v>5.1283011488633585</v>
          </cell>
          <cell r="H43">
            <v>5.9762837449741522</v>
          </cell>
          <cell r="I43">
            <v>5.1369613259668503</v>
          </cell>
          <cell r="J43">
            <v>5.5118790778599385</v>
          </cell>
          <cell r="K43">
            <v>5.8600000000000021</v>
          </cell>
          <cell r="L43">
            <v>6.7535307150050361</v>
          </cell>
          <cell r="M43">
            <v>5.6283499402152257</v>
          </cell>
          <cell r="N43">
            <v>4.6452553699284014</v>
          </cell>
          <cell r="O43">
            <v>4.6749999999999998</v>
          </cell>
          <cell r="P43">
            <v>4.4742424242424246</v>
          </cell>
          <cell r="Q43">
            <v>3.5</v>
          </cell>
          <cell r="R43">
            <v>4</v>
          </cell>
          <cell r="S43">
            <v>4</v>
          </cell>
          <cell r="T43">
            <v>4</v>
          </cell>
          <cell r="U43">
            <v>4</v>
          </cell>
          <cell r="V43">
            <v>4</v>
          </cell>
          <cell r="W43">
            <v>4</v>
          </cell>
          <cell r="X43">
            <v>4</v>
          </cell>
          <cell r="Y43">
            <v>4</v>
          </cell>
          <cell r="Z43">
            <v>4</v>
          </cell>
          <cell r="AA43">
            <v>4</v>
          </cell>
          <cell r="AB43">
            <v>4</v>
          </cell>
          <cell r="AC43">
            <v>4</v>
          </cell>
          <cell r="AD43">
            <v>4</v>
          </cell>
          <cell r="AE43">
            <v>4</v>
          </cell>
          <cell r="AF43">
            <v>4</v>
          </cell>
          <cell r="AG43">
            <v>4</v>
          </cell>
          <cell r="AH43">
            <v>4</v>
          </cell>
          <cell r="AI43">
            <v>4</v>
          </cell>
          <cell r="AJ43">
            <v>4</v>
          </cell>
          <cell r="AK43">
            <v>4</v>
          </cell>
          <cell r="AL43">
            <v>4</v>
          </cell>
          <cell r="AM43">
            <v>4</v>
          </cell>
          <cell r="AN43">
            <v>4</v>
          </cell>
          <cell r="AO43">
            <v>4</v>
          </cell>
          <cell r="AP43">
            <v>4</v>
          </cell>
          <cell r="AQ43">
            <v>4</v>
          </cell>
          <cell r="AR43">
            <v>4</v>
          </cell>
          <cell r="AS43">
            <v>2</v>
          </cell>
          <cell r="AT43">
            <v>2</v>
          </cell>
          <cell r="AU43">
            <v>2</v>
          </cell>
          <cell r="AV43">
            <v>2</v>
          </cell>
          <cell r="AW43">
            <v>2</v>
          </cell>
          <cell r="AX43">
            <v>2</v>
          </cell>
          <cell r="AY43">
            <v>2</v>
          </cell>
          <cell r="AZ43">
            <v>2</v>
          </cell>
          <cell r="BA43">
            <v>2</v>
          </cell>
          <cell r="BF43">
            <v>6.62</v>
          </cell>
          <cell r="BG43">
            <v>5.74</v>
          </cell>
          <cell r="BH43">
            <v>6.1840121580547116</v>
          </cell>
          <cell r="BI43">
            <v>5.57</v>
          </cell>
          <cell r="BJ43">
            <v>5.35</v>
          </cell>
          <cell r="BK43">
            <v>5.4577011494252874</v>
          </cell>
          <cell r="BL43">
            <v>4.78</v>
          </cell>
          <cell r="BM43">
            <v>5.08</v>
          </cell>
          <cell r="BN43">
            <v>4.9380998471726958</v>
          </cell>
          <cell r="BO43">
            <v>5.24</v>
          </cell>
          <cell r="BP43">
            <v>5.03</v>
          </cell>
          <cell r="BQ43">
            <v>5.1283011488633585</v>
          </cell>
          <cell r="BR43">
            <v>4.41</v>
          </cell>
          <cell r="BS43">
            <v>7.76</v>
          </cell>
          <cell r="BT43">
            <v>5.9762837449741522</v>
          </cell>
          <cell r="BU43">
            <v>5.17</v>
          </cell>
          <cell r="BV43">
            <v>5.1100000000000003</v>
          </cell>
          <cell r="BW43">
            <v>5.1369613259668503</v>
          </cell>
          <cell r="BX43">
            <v>5.75</v>
          </cell>
          <cell r="BY43">
            <v>5.27</v>
          </cell>
          <cell r="BZ43">
            <v>5.5118790778599385</v>
          </cell>
          <cell r="CA43">
            <v>5.05</v>
          </cell>
          <cell r="CB43">
            <v>6.569105818039831</v>
          </cell>
          <cell r="CC43">
            <v>5.8600000000000021</v>
          </cell>
          <cell r="CD43">
            <v>6.95</v>
          </cell>
          <cell r="CE43">
            <v>6.7535307150050361</v>
          </cell>
          <cell r="CF43">
            <v>5.87</v>
          </cell>
          <cell r="CG43">
            <v>5.4</v>
          </cell>
          <cell r="CH43">
            <v>5.6283499402152257</v>
          </cell>
          <cell r="CI43">
            <v>5.07</v>
          </cell>
          <cell r="CJ43">
            <v>4.2300000000000004</v>
          </cell>
          <cell r="CK43">
            <v>4.6452553699284014</v>
          </cell>
          <cell r="CL43">
            <v>4.5999999999999996</v>
          </cell>
          <cell r="CM43">
            <v>4.75</v>
          </cell>
          <cell r="CN43">
            <v>4.6749999999999998</v>
          </cell>
          <cell r="CO43">
            <v>4.5</v>
          </cell>
          <cell r="CP43">
            <v>4.45</v>
          </cell>
          <cell r="CQ43">
            <v>4.4742424242424246</v>
          </cell>
          <cell r="CR43">
            <v>3.5</v>
          </cell>
          <cell r="CS43">
            <v>3.5</v>
          </cell>
          <cell r="CT43">
            <v>3.5</v>
          </cell>
          <cell r="CU43">
            <v>4</v>
          </cell>
          <cell r="CV43">
            <v>4</v>
          </cell>
          <cell r="CW43">
            <v>4</v>
          </cell>
          <cell r="CX43">
            <v>4</v>
          </cell>
          <cell r="CY43">
            <v>4</v>
          </cell>
          <cell r="CZ43">
            <v>4</v>
          </cell>
          <cell r="DA43">
            <v>4</v>
          </cell>
          <cell r="DB43">
            <v>4</v>
          </cell>
          <cell r="DC43">
            <v>4</v>
          </cell>
          <cell r="DD43">
            <v>4</v>
          </cell>
          <cell r="DE43">
            <v>4</v>
          </cell>
          <cell r="DF43">
            <v>4</v>
          </cell>
          <cell r="DG43">
            <v>4</v>
          </cell>
          <cell r="DH43">
            <v>4</v>
          </cell>
          <cell r="DI43">
            <v>4</v>
          </cell>
          <cell r="DJ43">
            <v>4</v>
          </cell>
          <cell r="DK43">
            <v>4</v>
          </cell>
          <cell r="DL43">
            <v>4</v>
          </cell>
          <cell r="DM43">
            <v>4</v>
          </cell>
          <cell r="DN43">
            <v>4</v>
          </cell>
          <cell r="DO43">
            <v>4</v>
          </cell>
          <cell r="DP43">
            <v>4</v>
          </cell>
          <cell r="DQ43">
            <v>4</v>
          </cell>
          <cell r="DR43">
            <v>4</v>
          </cell>
          <cell r="DS43">
            <v>4</v>
          </cell>
          <cell r="DT43">
            <v>4</v>
          </cell>
          <cell r="DU43">
            <v>4</v>
          </cell>
          <cell r="DV43">
            <v>4</v>
          </cell>
          <cell r="DW43">
            <v>4</v>
          </cell>
          <cell r="DX43">
            <v>4</v>
          </cell>
          <cell r="DY43">
            <v>4</v>
          </cell>
          <cell r="DZ43">
            <v>4</v>
          </cell>
          <cell r="EA43">
            <v>4</v>
          </cell>
          <cell r="EB43">
            <v>4</v>
          </cell>
          <cell r="EC43">
            <v>4</v>
          </cell>
          <cell r="ED43">
            <v>4</v>
          </cell>
          <cell r="EE43">
            <v>4</v>
          </cell>
          <cell r="EF43">
            <v>4</v>
          </cell>
          <cell r="EG43">
            <v>4</v>
          </cell>
          <cell r="EH43">
            <v>4</v>
          </cell>
          <cell r="EI43">
            <v>4</v>
          </cell>
          <cell r="EJ43">
            <v>4</v>
          </cell>
          <cell r="EK43">
            <v>4</v>
          </cell>
          <cell r="EL43">
            <v>4</v>
          </cell>
          <cell r="EM43">
            <v>4</v>
          </cell>
          <cell r="EN43">
            <v>4</v>
          </cell>
          <cell r="EO43">
            <v>4</v>
          </cell>
          <cell r="EP43">
            <v>4</v>
          </cell>
          <cell r="EQ43">
            <v>4</v>
          </cell>
          <cell r="ER43">
            <v>4</v>
          </cell>
          <cell r="ES43">
            <v>4</v>
          </cell>
          <cell r="ET43">
            <v>4</v>
          </cell>
          <cell r="EU43">
            <v>4</v>
          </cell>
          <cell r="EV43">
            <v>4</v>
          </cell>
          <cell r="EW43">
            <v>4</v>
          </cell>
          <cell r="EX43">
            <v>4</v>
          </cell>
          <cell r="EY43">
            <v>4</v>
          </cell>
          <cell r="EZ43">
            <v>4</v>
          </cell>
          <cell r="FA43">
            <v>4</v>
          </cell>
          <cell r="FB43">
            <v>4</v>
          </cell>
          <cell r="FC43">
            <v>4</v>
          </cell>
          <cell r="FD43">
            <v>4</v>
          </cell>
          <cell r="FE43">
            <v>4</v>
          </cell>
          <cell r="FF43">
            <v>4</v>
          </cell>
          <cell r="FG43">
            <v>4</v>
          </cell>
          <cell r="FH43">
            <v>4</v>
          </cell>
          <cell r="FI43">
            <v>4</v>
          </cell>
          <cell r="FJ43">
            <v>4</v>
          </cell>
          <cell r="FK43">
            <v>4</v>
          </cell>
          <cell r="FL43">
            <v>4</v>
          </cell>
          <cell r="FM43">
            <v>4</v>
          </cell>
          <cell r="FN43">
            <v>4</v>
          </cell>
          <cell r="FO43">
            <v>4</v>
          </cell>
          <cell r="FP43">
            <v>4</v>
          </cell>
          <cell r="FQ43">
            <v>4</v>
          </cell>
          <cell r="FR43">
            <v>4</v>
          </cell>
          <cell r="FS43">
            <v>4</v>
          </cell>
          <cell r="FT43">
            <v>4</v>
          </cell>
          <cell r="FU43">
            <v>4</v>
          </cell>
          <cell r="FV43">
            <v>4</v>
          </cell>
          <cell r="FW43">
            <v>4</v>
          </cell>
          <cell r="FX43">
            <v>2</v>
          </cell>
          <cell r="FY43">
            <v>2</v>
          </cell>
          <cell r="FZ43">
            <v>2</v>
          </cell>
          <cell r="GA43">
            <v>2</v>
          </cell>
          <cell r="GB43">
            <v>2</v>
          </cell>
          <cell r="GC43">
            <v>2</v>
          </cell>
          <cell r="GD43">
            <v>2</v>
          </cell>
          <cell r="GE43">
            <v>2</v>
          </cell>
          <cell r="GF43">
            <v>2</v>
          </cell>
          <cell r="GG43">
            <v>2</v>
          </cell>
          <cell r="GH43">
            <v>2</v>
          </cell>
          <cell r="GI43">
            <v>2</v>
          </cell>
          <cell r="GJ43">
            <v>2</v>
          </cell>
          <cell r="GK43">
            <v>2</v>
          </cell>
          <cell r="GL43">
            <v>2</v>
          </cell>
          <cell r="GM43">
            <v>2</v>
          </cell>
          <cell r="GN43">
            <v>2</v>
          </cell>
          <cell r="GO43">
            <v>2</v>
          </cell>
          <cell r="GP43">
            <v>2</v>
          </cell>
          <cell r="GQ43">
            <v>2</v>
          </cell>
          <cell r="GR43">
            <v>2</v>
          </cell>
          <cell r="GS43">
            <v>2</v>
          </cell>
          <cell r="GT43">
            <v>2</v>
          </cell>
          <cell r="GU43">
            <v>2</v>
          </cell>
          <cell r="GV43">
            <v>2</v>
          </cell>
          <cell r="GW43">
            <v>2</v>
          </cell>
          <cell r="GX43">
            <v>2</v>
          </cell>
        </row>
        <row r="44">
          <cell r="A44" t="str">
            <v>Au Recovery (Actual)</v>
          </cell>
          <cell r="B44" t="str">
            <v>%</v>
          </cell>
          <cell r="D44">
            <v>0.90869596939232233</v>
          </cell>
          <cell r="E44">
            <v>0.89608259073706253</v>
          </cell>
          <cell r="F44">
            <v>0.88684724568423967</v>
          </cell>
          <cell r="G44">
            <v>0.8840550950472652</v>
          </cell>
          <cell r="H44">
            <v>0.89661199128809355</v>
          </cell>
          <cell r="I44">
            <v>0.90237015815651556</v>
          </cell>
          <cell r="J44">
            <v>0.86188384072800905</v>
          </cell>
          <cell r="K44">
            <v>0.82580848372035132</v>
          </cell>
          <cell r="L44">
            <v>1.1002749426232241</v>
          </cell>
          <cell r="M44">
            <v>0.80815938475384652</v>
          </cell>
          <cell r="N44">
            <v>0.82874063369971707</v>
          </cell>
          <cell r="O44">
            <v>0.83</v>
          </cell>
          <cell r="P44">
            <v>0.82999999999999985</v>
          </cell>
          <cell r="Q44">
            <v>0.83</v>
          </cell>
          <cell r="R44">
            <v>0.83000000000000007</v>
          </cell>
          <cell r="S44">
            <v>0.83000000000000007</v>
          </cell>
          <cell r="T44">
            <v>0.83000000000000007</v>
          </cell>
          <cell r="U44">
            <v>0.83000000000000007</v>
          </cell>
          <cell r="V44">
            <v>0.83000000000000007</v>
          </cell>
          <cell r="W44">
            <v>0.83000000000000007</v>
          </cell>
          <cell r="X44">
            <v>0.83000000000000007</v>
          </cell>
          <cell r="Y44">
            <v>0.83000000000000007</v>
          </cell>
          <cell r="Z44">
            <v>0.83000000000000007</v>
          </cell>
          <cell r="AA44">
            <v>0.83000000000000007</v>
          </cell>
          <cell r="AB44">
            <v>0.83000000000000007</v>
          </cell>
          <cell r="AC44">
            <v>0.83000000000000007</v>
          </cell>
          <cell r="AD44">
            <v>0.83000000000000007</v>
          </cell>
          <cell r="AE44">
            <v>0.83000000000000007</v>
          </cell>
          <cell r="AF44">
            <v>0.83000000000000007</v>
          </cell>
          <cell r="AG44">
            <v>0.83000000000000007</v>
          </cell>
          <cell r="AH44">
            <v>0.83000000000000007</v>
          </cell>
          <cell r="AI44">
            <v>0.83000000000000007</v>
          </cell>
          <cell r="AJ44">
            <v>0.83000000000000007</v>
          </cell>
          <cell r="AK44">
            <v>0.83000000000000007</v>
          </cell>
          <cell r="AL44">
            <v>0.83000000000000007</v>
          </cell>
          <cell r="AM44">
            <v>0.83000000000000007</v>
          </cell>
          <cell r="AN44">
            <v>0.83000000000000007</v>
          </cell>
          <cell r="AO44">
            <v>0.83000000000000007</v>
          </cell>
          <cell r="AP44">
            <v>0.83000000000000007</v>
          </cell>
          <cell r="AQ44">
            <v>0.83000000000000007</v>
          </cell>
          <cell r="AR44">
            <v>0.83000000000000007</v>
          </cell>
          <cell r="AS44">
            <v>0.83000000000000007</v>
          </cell>
          <cell r="AT44">
            <v>0.83000000000000007</v>
          </cell>
          <cell r="AU44">
            <v>0.83000000000000007</v>
          </cell>
          <cell r="AV44">
            <v>0.83000000000000007</v>
          </cell>
          <cell r="AW44">
            <v>0.83000000000000007</v>
          </cell>
          <cell r="AX44">
            <v>0.83000000000000007</v>
          </cell>
          <cell r="AY44">
            <v>0.83000000000000007</v>
          </cell>
          <cell r="AZ44">
            <v>0.83000000000000007</v>
          </cell>
          <cell r="BA44">
            <v>0.83000000000000007</v>
          </cell>
          <cell r="BF44">
            <v>0.91590000000000005</v>
          </cell>
          <cell r="BG44">
            <v>0.90039999999999998</v>
          </cell>
          <cell r="BH44">
            <v>0.90869596939232233</v>
          </cell>
          <cell r="BI44">
            <v>0.89839999999999998</v>
          </cell>
          <cell r="BJ44">
            <v>0.89380000000000004</v>
          </cell>
          <cell r="BK44">
            <v>0.89608259073706253</v>
          </cell>
          <cell r="BL44">
            <v>0.90400000000000003</v>
          </cell>
          <cell r="BM44">
            <v>0.87160000000000004</v>
          </cell>
          <cell r="BN44">
            <v>0.88684724568423967</v>
          </cell>
          <cell r="BO44">
            <v>0.87170000000000003</v>
          </cell>
          <cell r="BP44">
            <v>0.89470000000000005</v>
          </cell>
          <cell r="BQ44">
            <v>0.8840550950472652</v>
          </cell>
          <cell r="BR44">
            <v>0.89600000000000002</v>
          </cell>
          <cell r="BS44">
            <v>0.89700000000000002</v>
          </cell>
          <cell r="BT44">
            <v>0.89661199128809355</v>
          </cell>
          <cell r="BU44">
            <v>0.90400000000000003</v>
          </cell>
          <cell r="BV44">
            <v>0.90100000000000002</v>
          </cell>
          <cell r="BW44">
            <v>0.90237015815651556</v>
          </cell>
          <cell r="BX44">
            <v>0.90410000000000001</v>
          </cell>
          <cell r="BY44">
            <v>0.81299999999999994</v>
          </cell>
          <cell r="BZ44">
            <v>0.86188384072800905</v>
          </cell>
          <cell r="CA44">
            <v>0.81499999999999995</v>
          </cell>
          <cell r="CB44">
            <v>0.83299999999999996</v>
          </cell>
          <cell r="CC44">
            <v>0.82580848372035132</v>
          </cell>
          <cell r="CD44">
            <v>0.82699999999999996</v>
          </cell>
          <cell r="CE44">
            <v>1.1002749426232241</v>
          </cell>
          <cell r="CF44">
            <v>0.79759999999999998</v>
          </cell>
          <cell r="CG44">
            <v>0.81899999999999995</v>
          </cell>
          <cell r="CH44">
            <v>0.80815938475384652</v>
          </cell>
          <cell r="CI44">
            <v>0.82599999999999996</v>
          </cell>
          <cell r="CJ44">
            <v>0.83199999999999996</v>
          </cell>
          <cell r="CK44">
            <v>0.82874063369971707</v>
          </cell>
          <cell r="CL44">
            <v>0.83</v>
          </cell>
          <cell r="CM44">
            <v>0.83</v>
          </cell>
          <cell r="CN44">
            <v>0.83</v>
          </cell>
          <cell r="CO44">
            <v>0.83</v>
          </cell>
          <cell r="CP44">
            <v>0.83</v>
          </cell>
          <cell r="CQ44">
            <v>0.82999999999999985</v>
          </cell>
          <cell r="CR44">
            <v>0.83</v>
          </cell>
          <cell r="CS44">
            <v>0.83</v>
          </cell>
          <cell r="CT44">
            <v>0.83</v>
          </cell>
          <cell r="CU44">
            <v>0.83</v>
          </cell>
          <cell r="CV44">
            <v>0.83</v>
          </cell>
          <cell r="CW44">
            <v>0.83000000000000007</v>
          </cell>
          <cell r="CX44">
            <v>0.83</v>
          </cell>
          <cell r="CY44">
            <v>0.83</v>
          </cell>
          <cell r="CZ44">
            <v>0.83000000000000007</v>
          </cell>
          <cell r="DA44">
            <v>0.83</v>
          </cell>
          <cell r="DB44">
            <v>0.83</v>
          </cell>
          <cell r="DC44">
            <v>0.83000000000000007</v>
          </cell>
          <cell r="DD44">
            <v>0.83</v>
          </cell>
          <cell r="DE44">
            <v>0.83</v>
          </cell>
          <cell r="DF44">
            <v>0.83000000000000007</v>
          </cell>
          <cell r="DG44">
            <v>0.83</v>
          </cell>
          <cell r="DH44">
            <v>0.83</v>
          </cell>
          <cell r="DI44">
            <v>0.83000000000000007</v>
          </cell>
          <cell r="DJ44">
            <v>0.83</v>
          </cell>
          <cell r="DK44">
            <v>0.83</v>
          </cell>
          <cell r="DL44">
            <v>0.83000000000000007</v>
          </cell>
          <cell r="DM44">
            <v>0.83</v>
          </cell>
          <cell r="DN44">
            <v>0.83</v>
          </cell>
          <cell r="DO44">
            <v>0.83000000000000007</v>
          </cell>
          <cell r="DP44">
            <v>0.83</v>
          </cell>
          <cell r="DQ44">
            <v>0.83</v>
          </cell>
          <cell r="DR44">
            <v>0.83000000000000007</v>
          </cell>
          <cell r="DS44">
            <v>0.83</v>
          </cell>
          <cell r="DT44">
            <v>0.83</v>
          </cell>
          <cell r="DU44">
            <v>0.83000000000000007</v>
          </cell>
          <cell r="DV44">
            <v>0.83</v>
          </cell>
          <cell r="DW44">
            <v>0.83</v>
          </cell>
          <cell r="DX44">
            <v>0.83000000000000007</v>
          </cell>
          <cell r="DY44">
            <v>0.83</v>
          </cell>
          <cell r="DZ44">
            <v>0.83</v>
          </cell>
          <cell r="EA44">
            <v>0.83000000000000007</v>
          </cell>
          <cell r="EB44">
            <v>0.83</v>
          </cell>
          <cell r="EC44">
            <v>0.83</v>
          </cell>
          <cell r="ED44">
            <v>0.83000000000000007</v>
          </cell>
          <cell r="EE44">
            <v>0.83</v>
          </cell>
          <cell r="EF44">
            <v>0.83</v>
          </cell>
          <cell r="EG44">
            <v>0.83000000000000007</v>
          </cell>
          <cell r="EH44">
            <v>0.83</v>
          </cell>
          <cell r="EI44">
            <v>0.83</v>
          </cell>
          <cell r="EJ44">
            <v>0.83000000000000007</v>
          </cell>
          <cell r="EK44">
            <v>0.83</v>
          </cell>
          <cell r="EL44">
            <v>0.83</v>
          </cell>
          <cell r="EM44">
            <v>0.83000000000000007</v>
          </cell>
          <cell r="EN44">
            <v>0.83</v>
          </cell>
          <cell r="EO44">
            <v>0.83</v>
          </cell>
          <cell r="EP44">
            <v>0.83000000000000007</v>
          </cell>
          <cell r="EQ44">
            <v>0.83</v>
          </cell>
          <cell r="ER44">
            <v>0.83</v>
          </cell>
          <cell r="ES44">
            <v>0.83000000000000007</v>
          </cell>
          <cell r="ET44">
            <v>0.83</v>
          </cell>
          <cell r="EU44">
            <v>0.83</v>
          </cell>
          <cell r="EV44">
            <v>0.83000000000000007</v>
          </cell>
          <cell r="EW44">
            <v>0.83</v>
          </cell>
          <cell r="EX44">
            <v>0.83</v>
          </cell>
          <cell r="EY44">
            <v>0.83000000000000007</v>
          </cell>
          <cell r="EZ44">
            <v>0.83</v>
          </cell>
          <cell r="FA44">
            <v>0.83</v>
          </cell>
          <cell r="FB44">
            <v>0.83000000000000007</v>
          </cell>
          <cell r="FC44">
            <v>0.83</v>
          </cell>
          <cell r="FD44">
            <v>0.83</v>
          </cell>
          <cell r="FE44">
            <v>0.83000000000000007</v>
          </cell>
          <cell r="FF44">
            <v>0.83</v>
          </cell>
          <cell r="FG44">
            <v>0.83</v>
          </cell>
          <cell r="FH44">
            <v>0.83000000000000007</v>
          </cell>
          <cell r="FI44">
            <v>0.83</v>
          </cell>
          <cell r="FJ44">
            <v>0.83</v>
          </cell>
          <cell r="FK44">
            <v>0.83000000000000007</v>
          </cell>
          <cell r="FL44">
            <v>0.83</v>
          </cell>
          <cell r="FM44">
            <v>0.83</v>
          </cell>
          <cell r="FN44">
            <v>0.83000000000000007</v>
          </cell>
          <cell r="FO44">
            <v>0.83</v>
          </cell>
          <cell r="FP44">
            <v>0.83</v>
          </cell>
          <cell r="FQ44">
            <v>0.83000000000000007</v>
          </cell>
          <cell r="FR44">
            <v>0.83</v>
          </cell>
          <cell r="FS44">
            <v>0.83</v>
          </cell>
          <cell r="FT44">
            <v>0.83000000000000007</v>
          </cell>
          <cell r="FU44">
            <v>0.83</v>
          </cell>
          <cell r="FV44">
            <v>0.83</v>
          </cell>
          <cell r="FW44">
            <v>0.83000000000000007</v>
          </cell>
          <cell r="FX44">
            <v>0.83</v>
          </cell>
          <cell r="FY44">
            <v>0.83</v>
          </cell>
          <cell r="FZ44">
            <v>0.83000000000000007</v>
          </cell>
          <cell r="GA44">
            <v>0.83</v>
          </cell>
          <cell r="GB44">
            <v>0.83</v>
          </cell>
          <cell r="GC44">
            <v>0.83000000000000007</v>
          </cell>
          <cell r="GD44">
            <v>0.83</v>
          </cell>
          <cell r="GE44">
            <v>0.83</v>
          </cell>
          <cell r="GF44">
            <v>0.83000000000000007</v>
          </cell>
          <cell r="GG44">
            <v>0.83</v>
          </cell>
          <cell r="GH44">
            <v>0.83</v>
          </cell>
          <cell r="GI44">
            <v>0.83000000000000007</v>
          </cell>
          <cell r="GJ44">
            <v>0.83</v>
          </cell>
          <cell r="GK44">
            <v>0.83</v>
          </cell>
          <cell r="GL44">
            <v>0.83000000000000007</v>
          </cell>
          <cell r="GM44">
            <v>0.83</v>
          </cell>
          <cell r="GN44">
            <v>0.83</v>
          </cell>
          <cell r="GO44">
            <v>0.83000000000000007</v>
          </cell>
          <cell r="GP44">
            <v>0.83</v>
          </cell>
          <cell r="GQ44">
            <v>0.83</v>
          </cell>
          <cell r="GR44">
            <v>0.83000000000000007</v>
          </cell>
          <cell r="GS44">
            <v>0.83</v>
          </cell>
          <cell r="GT44">
            <v>0.83</v>
          </cell>
          <cell r="GU44">
            <v>0.83000000000000007</v>
          </cell>
          <cell r="GV44">
            <v>0.83</v>
          </cell>
          <cell r="GW44">
            <v>0.83</v>
          </cell>
          <cell r="GX44">
            <v>0.83000000000000007</v>
          </cell>
        </row>
        <row r="45">
          <cell r="A45" t="str">
            <v>Total Gold Production - Actual</v>
          </cell>
          <cell r="B45" t="str">
            <v>oz</v>
          </cell>
          <cell r="D45">
            <v>647942</v>
          </cell>
          <cell r="E45">
            <v>607194</v>
          </cell>
          <cell r="F45">
            <v>550772</v>
          </cell>
          <cell r="G45">
            <v>599386</v>
          </cell>
          <cell r="H45">
            <v>595966</v>
          </cell>
          <cell r="I45">
            <v>650811</v>
          </cell>
          <cell r="J45">
            <v>700211</v>
          </cell>
          <cell r="K45">
            <v>771454</v>
          </cell>
          <cell r="L45">
            <v>929383</v>
          </cell>
          <cell r="M45">
            <v>764442</v>
          </cell>
          <cell r="N45">
            <v>790974</v>
          </cell>
          <cell r="O45">
            <v>761077.9742765273</v>
          </cell>
          <cell r="P45">
            <v>985124.59807073954</v>
          </cell>
          <cell r="Q45">
            <v>1120900.3215434083</v>
          </cell>
          <cell r="R45">
            <v>1281028.9389067523</v>
          </cell>
          <cell r="S45">
            <v>1281028.9389067523</v>
          </cell>
          <cell r="T45">
            <v>1281028.9389067523</v>
          </cell>
          <cell r="U45">
            <v>1281028.9389067523</v>
          </cell>
          <cell r="V45">
            <v>1281028.9389067523</v>
          </cell>
          <cell r="W45">
            <v>1281028.9389067523</v>
          </cell>
          <cell r="X45">
            <v>1281028.9389067523</v>
          </cell>
          <cell r="Y45">
            <v>1281028.9389067523</v>
          </cell>
          <cell r="Z45">
            <v>1281028.9389067523</v>
          </cell>
          <cell r="AA45">
            <v>1281028.9389067523</v>
          </cell>
          <cell r="AB45">
            <v>1281028.9389067523</v>
          </cell>
          <cell r="AC45">
            <v>1281028.9389067523</v>
          </cell>
          <cell r="AD45">
            <v>1281028.9389067523</v>
          </cell>
          <cell r="AE45">
            <v>1281028.9389067523</v>
          </cell>
          <cell r="AF45">
            <v>1281028.9389067523</v>
          </cell>
          <cell r="AG45">
            <v>1281028.9389067523</v>
          </cell>
          <cell r="AH45">
            <v>1281028.9389067523</v>
          </cell>
          <cell r="AI45">
            <v>1281028.9389067523</v>
          </cell>
          <cell r="AJ45">
            <v>1281028.9389067523</v>
          </cell>
          <cell r="AK45">
            <v>1281028.9389067523</v>
          </cell>
          <cell r="AL45">
            <v>1281028.9389067523</v>
          </cell>
          <cell r="AM45">
            <v>1281028.9389067523</v>
          </cell>
          <cell r="AN45">
            <v>1281028.9389067523</v>
          </cell>
          <cell r="AO45">
            <v>1281028.9389067523</v>
          </cell>
          <cell r="AP45">
            <v>1281028.9389067523</v>
          </cell>
          <cell r="AQ45">
            <v>1281028.9389067523</v>
          </cell>
          <cell r="AR45">
            <v>1281028.9389067523</v>
          </cell>
          <cell r="AS45">
            <v>640514.46945337614</v>
          </cell>
          <cell r="AT45">
            <v>640514.46945337614</v>
          </cell>
          <cell r="AU45">
            <v>640514.46945337614</v>
          </cell>
          <cell r="AV45">
            <v>640514.46945337614</v>
          </cell>
          <cell r="AW45">
            <v>640514.46945337614</v>
          </cell>
          <cell r="AX45">
            <v>640514.46945337614</v>
          </cell>
          <cell r="AY45">
            <v>640514.46945337614</v>
          </cell>
          <cell r="AZ45">
            <v>640514.46945337614</v>
          </cell>
          <cell r="BA45">
            <v>640514.46945337614</v>
          </cell>
          <cell r="BF45">
            <v>346794</v>
          </cell>
          <cell r="BG45">
            <v>301148</v>
          </cell>
          <cell r="BH45">
            <v>647942</v>
          </cell>
          <cell r="BI45">
            <v>301299</v>
          </cell>
          <cell r="BJ45">
            <v>305895</v>
          </cell>
          <cell r="BK45">
            <v>607194</v>
          </cell>
          <cell r="BL45">
            <v>259190</v>
          </cell>
          <cell r="BM45">
            <v>291582</v>
          </cell>
          <cell r="BN45">
            <v>550772</v>
          </cell>
          <cell r="BO45">
            <v>277409</v>
          </cell>
          <cell r="BP45">
            <v>321977</v>
          </cell>
          <cell r="BQ45">
            <v>599386</v>
          </cell>
          <cell r="BR45">
            <v>231240</v>
          </cell>
          <cell r="BS45">
            <v>364726</v>
          </cell>
          <cell r="BT45">
            <v>595966</v>
          </cell>
          <cell r="BU45">
            <v>297238</v>
          </cell>
          <cell r="BV45">
            <v>353573</v>
          </cell>
          <cell r="BW45">
            <v>650811</v>
          </cell>
          <cell r="BX45">
            <v>375730</v>
          </cell>
          <cell r="BY45">
            <v>324481</v>
          </cell>
          <cell r="BZ45">
            <v>700211</v>
          </cell>
          <cell r="CA45">
            <v>308218</v>
          </cell>
          <cell r="CB45">
            <v>463236</v>
          </cell>
          <cell r="CC45">
            <v>771454</v>
          </cell>
          <cell r="CD45">
            <v>466147</v>
          </cell>
          <cell r="CE45">
            <v>929383</v>
          </cell>
          <cell r="CF45">
            <v>387244</v>
          </cell>
          <cell r="CG45">
            <v>377198</v>
          </cell>
          <cell r="CH45">
            <v>764442</v>
          </cell>
          <cell r="CI45">
            <v>429679</v>
          </cell>
          <cell r="CJ45">
            <v>361295</v>
          </cell>
          <cell r="CK45">
            <v>790974</v>
          </cell>
          <cell r="CL45">
            <v>374434.08360128617</v>
          </cell>
          <cell r="CM45">
            <v>386643.89067524113</v>
          </cell>
          <cell r="CN45">
            <v>761077.9742765273</v>
          </cell>
          <cell r="CO45">
            <v>480385.85209003213</v>
          </cell>
          <cell r="CP45">
            <v>504738.74598070735</v>
          </cell>
          <cell r="CQ45">
            <v>985124.59807073954</v>
          </cell>
          <cell r="CR45">
            <v>560450.16077170416</v>
          </cell>
          <cell r="CS45">
            <v>560450.16077170416</v>
          </cell>
          <cell r="CT45">
            <v>1120900.3215434083</v>
          </cell>
          <cell r="CU45">
            <v>640514.46945337614</v>
          </cell>
          <cell r="CV45">
            <v>640514.46945337614</v>
          </cell>
          <cell r="CW45">
            <v>1281028.9389067523</v>
          </cell>
          <cell r="CX45">
            <v>640514.46945337614</v>
          </cell>
          <cell r="CY45">
            <v>640514.46945337614</v>
          </cell>
          <cell r="CZ45">
            <v>1281028.9389067523</v>
          </cell>
          <cell r="DA45">
            <v>640514.46945337614</v>
          </cell>
          <cell r="DB45">
            <v>640514.46945337614</v>
          </cell>
          <cell r="DC45">
            <v>1281028.9389067523</v>
          </cell>
          <cell r="DD45">
            <v>640514.46945337614</v>
          </cell>
          <cell r="DE45">
            <v>640514.46945337614</v>
          </cell>
          <cell r="DF45">
            <v>1281028.9389067523</v>
          </cell>
          <cell r="DG45">
            <v>640514.46945337614</v>
          </cell>
          <cell r="DH45">
            <v>640514.46945337614</v>
          </cell>
          <cell r="DI45">
            <v>1281028.9389067523</v>
          </cell>
          <cell r="DJ45">
            <v>640514.46945337614</v>
          </cell>
          <cell r="DK45">
            <v>640514.46945337614</v>
          </cell>
          <cell r="DL45">
            <v>1281028.9389067523</v>
          </cell>
          <cell r="DM45">
            <v>640514.46945337614</v>
          </cell>
          <cell r="DN45">
            <v>640514.46945337614</v>
          </cell>
          <cell r="DO45">
            <v>1281028.9389067523</v>
          </cell>
          <cell r="DP45">
            <v>640514.46945337614</v>
          </cell>
          <cell r="DQ45">
            <v>640514.46945337614</v>
          </cell>
          <cell r="DR45">
            <v>1281028.9389067523</v>
          </cell>
          <cell r="DS45">
            <v>640514.46945337614</v>
          </cell>
          <cell r="DT45">
            <v>640514.46945337614</v>
          </cell>
          <cell r="DU45">
            <v>1281028.9389067523</v>
          </cell>
          <cell r="DV45">
            <v>640514.46945337614</v>
          </cell>
          <cell r="DW45">
            <v>640514.46945337614</v>
          </cell>
          <cell r="DX45">
            <v>1281028.9389067523</v>
          </cell>
          <cell r="DY45">
            <v>640514.46945337614</v>
          </cell>
          <cell r="DZ45">
            <v>640514.46945337614</v>
          </cell>
          <cell r="EA45">
            <v>1281028.9389067523</v>
          </cell>
          <cell r="EB45">
            <v>640514.46945337614</v>
          </cell>
          <cell r="EC45">
            <v>640514.46945337614</v>
          </cell>
          <cell r="ED45">
            <v>1281028.9389067523</v>
          </cell>
          <cell r="EE45">
            <v>640514.46945337614</v>
          </cell>
          <cell r="EF45">
            <v>640514.46945337614</v>
          </cell>
          <cell r="EG45">
            <v>1281028.9389067523</v>
          </cell>
          <cell r="EH45">
            <v>640514.46945337614</v>
          </cell>
          <cell r="EI45">
            <v>640514.46945337614</v>
          </cell>
          <cell r="EJ45">
            <v>1281028.9389067523</v>
          </cell>
          <cell r="EK45">
            <v>640514.46945337614</v>
          </cell>
          <cell r="EL45">
            <v>640514.46945337614</v>
          </cell>
          <cell r="EM45">
            <v>1281028.9389067523</v>
          </cell>
          <cell r="EN45">
            <v>640514.46945337614</v>
          </cell>
          <cell r="EO45">
            <v>640514.46945337614</v>
          </cell>
          <cell r="EP45">
            <v>1281028.9389067523</v>
          </cell>
          <cell r="EQ45">
            <v>640514.46945337614</v>
          </cell>
          <cell r="ER45">
            <v>640514.46945337614</v>
          </cell>
          <cell r="ES45">
            <v>1281028.9389067523</v>
          </cell>
          <cell r="ET45">
            <v>640514.46945337614</v>
          </cell>
          <cell r="EU45">
            <v>640514.46945337614</v>
          </cell>
          <cell r="EV45">
            <v>1281028.9389067523</v>
          </cell>
          <cell r="EW45">
            <v>640514.46945337614</v>
          </cell>
          <cell r="EX45">
            <v>640514.46945337614</v>
          </cell>
          <cell r="EY45">
            <v>1281028.9389067523</v>
          </cell>
          <cell r="EZ45">
            <v>640514.46945337614</v>
          </cell>
          <cell r="FA45">
            <v>640514.46945337614</v>
          </cell>
          <cell r="FB45">
            <v>1281028.9389067523</v>
          </cell>
          <cell r="FC45">
            <v>640514.46945337614</v>
          </cell>
          <cell r="FD45">
            <v>640514.46945337614</v>
          </cell>
          <cell r="FE45">
            <v>1281028.9389067523</v>
          </cell>
          <cell r="FF45">
            <v>640514.46945337614</v>
          </cell>
          <cell r="FG45">
            <v>640514.46945337614</v>
          </cell>
          <cell r="FH45">
            <v>1281028.9389067523</v>
          </cell>
          <cell r="FI45">
            <v>640514.46945337614</v>
          </cell>
          <cell r="FJ45">
            <v>640514.46945337614</v>
          </cell>
          <cell r="FK45">
            <v>1281028.9389067523</v>
          </cell>
          <cell r="FL45">
            <v>640514.46945337614</v>
          </cell>
          <cell r="FM45">
            <v>640514.46945337614</v>
          </cell>
          <cell r="FN45">
            <v>1281028.9389067523</v>
          </cell>
          <cell r="FO45">
            <v>640514.46945337614</v>
          </cell>
          <cell r="FP45">
            <v>640514.46945337614</v>
          </cell>
          <cell r="FQ45">
            <v>1281028.9389067523</v>
          </cell>
          <cell r="FR45">
            <v>640514.46945337614</v>
          </cell>
          <cell r="FS45">
            <v>640514.46945337614</v>
          </cell>
          <cell r="FT45">
            <v>1281028.9389067523</v>
          </cell>
          <cell r="FU45">
            <v>640514.46945337614</v>
          </cell>
          <cell r="FV45">
            <v>640514.46945337614</v>
          </cell>
          <cell r="FW45">
            <v>1281028.9389067523</v>
          </cell>
          <cell r="FX45">
            <v>320257.23472668807</v>
          </cell>
          <cell r="FY45">
            <v>320257.23472668807</v>
          </cell>
          <cell r="FZ45">
            <v>640514.46945337614</v>
          </cell>
          <cell r="GA45">
            <v>320257.23472668807</v>
          </cell>
          <cell r="GB45">
            <v>320257.23472668807</v>
          </cell>
          <cell r="GC45">
            <v>640514.46945337614</v>
          </cell>
          <cell r="GD45">
            <v>320257.23472668807</v>
          </cell>
          <cell r="GE45">
            <v>320257.23472668807</v>
          </cell>
          <cell r="GF45">
            <v>640514.46945337614</v>
          </cell>
          <cell r="GG45">
            <v>320257.23472668807</v>
          </cell>
          <cell r="GH45">
            <v>320257.23472668807</v>
          </cell>
          <cell r="GI45">
            <v>640514.46945337614</v>
          </cell>
          <cell r="GJ45">
            <v>320257.23472668807</v>
          </cell>
          <cell r="GK45">
            <v>320257.23472668807</v>
          </cell>
          <cell r="GL45">
            <v>640514.46945337614</v>
          </cell>
          <cell r="GM45">
            <v>320257.23472668807</v>
          </cell>
          <cell r="GN45">
            <v>320257.23472668807</v>
          </cell>
          <cell r="GO45">
            <v>640514.46945337614</v>
          </cell>
          <cell r="GP45">
            <v>320257.23472668807</v>
          </cell>
          <cell r="GQ45">
            <v>320257.23472668807</v>
          </cell>
          <cell r="GR45">
            <v>640514.46945337614</v>
          </cell>
          <cell r="GS45">
            <v>320257.23472668807</v>
          </cell>
          <cell r="GT45">
            <v>320257.23472668807</v>
          </cell>
          <cell r="GU45">
            <v>640514.46945337614</v>
          </cell>
          <cell r="GV45">
            <v>320257.23472668807</v>
          </cell>
          <cell r="GW45">
            <v>320257.23472668807</v>
          </cell>
          <cell r="GX45">
            <v>640514.46945337614</v>
          </cell>
        </row>
        <row r="46">
          <cell r="A46" t="str">
            <v>Gold Sold</v>
          </cell>
          <cell r="B46" t="str">
            <v>oz</v>
          </cell>
          <cell r="D46">
            <v>643368</v>
          </cell>
          <cell r="E46">
            <v>593155</v>
          </cell>
          <cell r="F46">
            <v>579127</v>
          </cell>
          <cell r="G46">
            <v>610241</v>
          </cell>
          <cell r="H46">
            <v>592225</v>
          </cell>
          <cell r="I46">
            <v>642531</v>
          </cell>
          <cell r="J46">
            <v>707339</v>
          </cell>
          <cell r="K46">
            <v>765484</v>
          </cell>
          <cell r="L46">
            <v>930668</v>
          </cell>
          <cell r="M46">
            <v>762422</v>
          </cell>
          <cell r="N46">
            <v>790974</v>
          </cell>
          <cell r="O46">
            <v>761077.9742765273</v>
          </cell>
          <cell r="P46">
            <v>985124.59807073954</v>
          </cell>
          <cell r="Q46">
            <v>1120900.3215434083</v>
          </cell>
          <cell r="R46">
            <v>1281028.9389067523</v>
          </cell>
          <cell r="S46">
            <v>1281028.9389067523</v>
          </cell>
          <cell r="T46">
            <v>1281028.9389067523</v>
          </cell>
          <cell r="U46">
            <v>1281028.9389067523</v>
          </cell>
          <cell r="V46">
            <v>1281028.9389067523</v>
          </cell>
          <cell r="W46">
            <v>1281028.9389067523</v>
          </cell>
          <cell r="X46">
            <v>1281028.9389067523</v>
          </cell>
          <cell r="Y46">
            <v>1281028.9389067523</v>
          </cell>
          <cell r="Z46">
            <v>1281028.9389067523</v>
          </cell>
          <cell r="AA46">
            <v>1281028.9389067523</v>
          </cell>
          <cell r="AB46">
            <v>1281028.9389067523</v>
          </cell>
          <cell r="AC46">
            <v>1281028.9389067523</v>
          </cell>
          <cell r="AD46">
            <v>1281028.9389067523</v>
          </cell>
          <cell r="AE46">
            <v>1281028.9389067523</v>
          </cell>
          <cell r="AF46">
            <v>1281028.9389067523</v>
          </cell>
          <cell r="AG46">
            <v>1281028.9389067523</v>
          </cell>
          <cell r="AH46">
            <v>1281028.9389067523</v>
          </cell>
          <cell r="AI46">
            <v>1281028.9389067523</v>
          </cell>
          <cell r="AJ46">
            <v>1281028.9389067523</v>
          </cell>
          <cell r="AK46">
            <v>1281028.9389067523</v>
          </cell>
          <cell r="AL46">
            <v>1281028.9389067523</v>
          </cell>
          <cell r="AM46">
            <v>1281028.9389067523</v>
          </cell>
          <cell r="AN46">
            <v>1281028.9389067523</v>
          </cell>
          <cell r="AO46">
            <v>1281028.9389067523</v>
          </cell>
          <cell r="AP46">
            <v>1281028.9389067523</v>
          </cell>
          <cell r="AQ46">
            <v>1281028.9389067523</v>
          </cell>
          <cell r="AR46">
            <v>1281028.9389067523</v>
          </cell>
          <cell r="AS46">
            <v>640514.46945337614</v>
          </cell>
          <cell r="AT46">
            <v>640514.46945337614</v>
          </cell>
          <cell r="AU46">
            <v>640514.46945337614</v>
          </cell>
          <cell r="AV46">
            <v>640514.46945337614</v>
          </cell>
          <cell r="AW46">
            <v>640514.46945337614</v>
          </cell>
          <cell r="AX46">
            <v>640514.46945337614</v>
          </cell>
          <cell r="AY46">
            <v>640514.46945337614</v>
          </cell>
          <cell r="AZ46">
            <v>640514.46945337614</v>
          </cell>
          <cell r="BA46">
            <v>640514.46945337614</v>
          </cell>
          <cell r="BF46">
            <v>337377</v>
          </cell>
          <cell r="BG46">
            <v>305991</v>
          </cell>
          <cell r="BH46">
            <v>643368</v>
          </cell>
          <cell r="BI46">
            <v>299284</v>
          </cell>
          <cell r="BJ46">
            <v>293871</v>
          </cell>
          <cell r="BK46">
            <v>593155</v>
          </cell>
          <cell r="BL46">
            <v>282841</v>
          </cell>
          <cell r="BM46">
            <v>296286</v>
          </cell>
          <cell r="BN46">
            <v>579127</v>
          </cell>
          <cell r="BO46">
            <v>282399</v>
          </cell>
          <cell r="BP46">
            <v>327842</v>
          </cell>
          <cell r="BQ46">
            <v>610241</v>
          </cell>
          <cell r="BR46">
            <v>234921</v>
          </cell>
          <cell r="BS46">
            <v>357304</v>
          </cell>
          <cell r="BT46">
            <v>592225</v>
          </cell>
          <cell r="BU46">
            <v>305986</v>
          </cell>
          <cell r="BV46">
            <v>336545</v>
          </cell>
          <cell r="BW46">
            <v>642531</v>
          </cell>
          <cell r="BX46">
            <v>357129</v>
          </cell>
          <cell r="BY46">
            <v>350210</v>
          </cell>
          <cell r="BZ46">
            <v>707339</v>
          </cell>
          <cell r="CA46">
            <v>300212</v>
          </cell>
          <cell r="CB46">
            <v>465272</v>
          </cell>
          <cell r="CC46">
            <v>765484</v>
          </cell>
          <cell r="CD46">
            <v>465396</v>
          </cell>
          <cell r="CE46">
            <v>930668</v>
          </cell>
          <cell r="CF46">
            <v>386903</v>
          </cell>
          <cell r="CG46">
            <v>375519</v>
          </cell>
          <cell r="CH46">
            <v>762422</v>
          </cell>
          <cell r="CI46">
            <v>429679</v>
          </cell>
          <cell r="CJ46">
            <v>361295</v>
          </cell>
          <cell r="CK46">
            <v>790974</v>
          </cell>
          <cell r="CL46">
            <v>374434.08360128617</v>
          </cell>
          <cell r="CM46">
            <v>386643.89067524113</v>
          </cell>
          <cell r="CN46">
            <v>761077.9742765273</v>
          </cell>
          <cell r="CO46">
            <v>480385.85209003213</v>
          </cell>
          <cell r="CP46">
            <v>504738.74598070735</v>
          </cell>
          <cell r="CQ46">
            <v>985124.59807073954</v>
          </cell>
          <cell r="CR46">
            <v>560450.16077170416</v>
          </cell>
          <cell r="CS46">
            <v>560450.16077170416</v>
          </cell>
          <cell r="CT46">
            <v>1120900.3215434083</v>
          </cell>
          <cell r="CU46">
            <v>640514.46945337614</v>
          </cell>
          <cell r="CV46">
            <v>640514.46945337614</v>
          </cell>
          <cell r="CW46">
            <v>1281028.9389067523</v>
          </cell>
          <cell r="CX46">
            <v>640514.46945337614</v>
          </cell>
          <cell r="CY46">
            <v>640514.46945337614</v>
          </cell>
          <cell r="CZ46">
            <v>1281028.9389067523</v>
          </cell>
          <cell r="DA46">
            <v>640514.46945337614</v>
          </cell>
          <cell r="DB46">
            <v>640514.46945337614</v>
          </cell>
          <cell r="DC46">
            <v>1281028.9389067523</v>
          </cell>
          <cell r="DD46">
            <v>640514.46945337614</v>
          </cell>
          <cell r="DE46">
            <v>640514.46945337614</v>
          </cell>
          <cell r="DF46">
            <v>1281028.9389067523</v>
          </cell>
          <cell r="DG46">
            <v>640514.46945337614</v>
          </cell>
          <cell r="DH46">
            <v>640514.46945337614</v>
          </cell>
          <cell r="DI46">
            <v>1281028.9389067523</v>
          </cell>
          <cell r="DJ46">
            <v>640514.46945337614</v>
          </cell>
          <cell r="DK46">
            <v>640514.46945337614</v>
          </cell>
          <cell r="DL46">
            <v>1281028.9389067523</v>
          </cell>
          <cell r="DM46">
            <v>640514.46945337614</v>
          </cell>
          <cell r="DN46">
            <v>640514.46945337614</v>
          </cell>
          <cell r="DO46">
            <v>1281028.9389067523</v>
          </cell>
          <cell r="DP46">
            <v>640514.46945337614</v>
          </cell>
          <cell r="DQ46">
            <v>640514.46945337614</v>
          </cell>
          <cell r="DR46">
            <v>1281028.9389067523</v>
          </cell>
          <cell r="DS46">
            <v>640514.46945337614</v>
          </cell>
          <cell r="DT46">
            <v>640514.46945337614</v>
          </cell>
          <cell r="DU46">
            <v>1281028.9389067523</v>
          </cell>
          <cell r="DV46">
            <v>640514.46945337614</v>
          </cell>
          <cell r="DW46">
            <v>640514.46945337614</v>
          </cell>
          <cell r="DX46">
            <v>1281028.9389067523</v>
          </cell>
          <cell r="DY46">
            <v>640514.46945337614</v>
          </cell>
          <cell r="DZ46">
            <v>640514.46945337614</v>
          </cell>
          <cell r="EA46">
            <v>1281028.9389067523</v>
          </cell>
          <cell r="EB46">
            <v>640514.46945337614</v>
          </cell>
          <cell r="EC46">
            <v>640514.46945337614</v>
          </cell>
          <cell r="ED46">
            <v>1281028.9389067523</v>
          </cell>
          <cell r="EE46">
            <v>640514.46945337614</v>
          </cell>
          <cell r="EF46">
            <v>640514.46945337614</v>
          </cell>
          <cell r="EG46">
            <v>1281028.9389067523</v>
          </cell>
          <cell r="EH46">
            <v>640514.46945337614</v>
          </cell>
          <cell r="EI46">
            <v>640514.46945337614</v>
          </cell>
          <cell r="EJ46">
            <v>1281028.9389067523</v>
          </cell>
          <cell r="EK46">
            <v>640514.46945337614</v>
          </cell>
          <cell r="EL46">
            <v>640514.46945337614</v>
          </cell>
          <cell r="EM46">
            <v>1281028.9389067523</v>
          </cell>
          <cell r="EN46">
            <v>640514.46945337614</v>
          </cell>
          <cell r="EO46">
            <v>640514.46945337614</v>
          </cell>
          <cell r="EP46">
            <v>1281028.9389067523</v>
          </cell>
          <cell r="EQ46">
            <v>640514.46945337614</v>
          </cell>
          <cell r="ER46">
            <v>640514.46945337614</v>
          </cell>
          <cell r="ES46">
            <v>1281028.9389067523</v>
          </cell>
          <cell r="ET46">
            <v>640514.46945337614</v>
          </cell>
          <cell r="EU46">
            <v>640514.46945337614</v>
          </cell>
          <cell r="EV46">
            <v>1281028.9389067523</v>
          </cell>
          <cell r="EW46">
            <v>640514.46945337614</v>
          </cell>
          <cell r="EX46">
            <v>640514.46945337614</v>
          </cell>
          <cell r="EY46">
            <v>1281028.9389067523</v>
          </cell>
          <cell r="EZ46">
            <v>640514.46945337614</v>
          </cell>
          <cell r="FA46">
            <v>640514.46945337614</v>
          </cell>
          <cell r="FB46">
            <v>1281028.9389067523</v>
          </cell>
          <cell r="FC46">
            <v>640514.46945337614</v>
          </cell>
          <cell r="FD46">
            <v>640514.46945337614</v>
          </cell>
          <cell r="FE46">
            <v>1281028.9389067523</v>
          </cell>
          <cell r="FF46">
            <v>640514.46945337614</v>
          </cell>
          <cell r="FG46">
            <v>640514.46945337614</v>
          </cell>
          <cell r="FH46">
            <v>1281028.9389067523</v>
          </cell>
          <cell r="FI46">
            <v>640514.46945337614</v>
          </cell>
          <cell r="FJ46">
            <v>640514.46945337614</v>
          </cell>
          <cell r="FK46">
            <v>1281028.9389067523</v>
          </cell>
          <cell r="FL46">
            <v>640514.46945337614</v>
          </cell>
          <cell r="FM46">
            <v>640514.46945337614</v>
          </cell>
          <cell r="FN46">
            <v>1281028.9389067523</v>
          </cell>
          <cell r="FO46">
            <v>640514.46945337614</v>
          </cell>
          <cell r="FP46">
            <v>640514.46945337614</v>
          </cell>
          <cell r="FQ46">
            <v>1281028.9389067523</v>
          </cell>
          <cell r="FR46">
            <v>640514.46945337614</v>
          </cell>
          <cell r="FS46">
            <v>640514.46945337614</v>
          </cell>
          <cell r="FT46">
            <v>1281028.9389067523</v>
          </cell>
          <cell r="FU46">
            <v>640514.46945337614</v>
          </cell>
          <cell r="FV46">
            <v>640514.46945337614</v>
          </cell>
          <cell r="FW46">
            <v>1281028.9389067523</v>
          </cell>
          <cell r="FX46">
            <v>320257.23472668807</v>
          </cell>
          <cell r="FY46">
            <v>320257.23472668807</v>
          </cell>
          <cell r="FZ46">
            <v>640514.46945337614</v>
          </cell>
          <cell r="GA46">
            <v>320257.23472668807</v>
          </cell>
          <cell r="GB46">
            <v>320257.23472668807</v>
          </cell>
          <cell r="GC46">
            <v>640514.46945337614</v>
          </cell>
          <cell r="GD46">
            <v>320257.23472668807</v>
          </cell>
          <cell r="GE46">
            <v>320257.23472668807</v>
          </cell>
          <cell r="GF46">
            <v>640514.46945337614</v>
          </cell>
          <cell r="GG46">
            <v>320257.23472668807</v>
          </cell>
          <cell r="GH46">
            <v>320257.23472668807</v>
          </cell>
          <cell r="GI46">
            <v>640514.46945337614</v>
          </cell>
          <cell r="GJ46">
            <v>320257.23472668807</v>
          </cell>
          <cell r="GK46">
            <v>320257.23472668807</v>
          </cell>
          <cell r="GL46">
            <v>640514.46945337614</v>
          </cell>
          <cell r="GM46">
            <v>320257.23472668807</v>
          </cell>
          <cell r="GN46">
            <v>320257.23472668807</v>
          </cell>
          <cell r="GO46">
            <v>640514.46945337614</v>
          </cell>
          <cell r="GP46">
            <v>320257.23472668807</v>
          </cell>
          <cell r="GQ46">
            <v>320257.23472668807</v>
          </cell>
          <cell r="GR46">
            <v>640514.46945337614</v>
          </cell>
          <cell r="GS46">
            <v>320257.23472668807</v>
          </cell>
          <cell r="GT46">
            <v>320257.23472668807</v>
          </cell>
          <cell r="GU46">
            <v>640514.46945337614</v>
          </cell>
          <cell r="GV46">
            <v>320257.23472668807</v>
          </cell>
          <cell r="GW46">
            <v>320257.23472668807</v>
          </cell>
          <cell r="GX46">
            <v>640514.46945337614</v>
          </cell>
        </row>
        <row r="47">
          <cell r="A47" t="str">
            <v>Gold Inventory</v>
          </cell>
          <cell r="B47" t="str">
            <v>oz</v>
          </cell>
          <cell r="D47">
            <v>4574</v>
          </cell>
          <cell r="E47">
            <v>18613</v>
          </cell>
          <cell r="F47">
            <v>-9742</v>
          </cell>
          <cell r="G47">
            <v>-20597</v>
          </cell>
          <cell r="H47">
            <v>-16856</v>
          </cell>
          <cell r="I47">
            <v>-8576</v>
          </cell>
          <cell r="J47">
            <v>-15704</v>
          </cell>
          <cell r="K47">
            <v>-7698</v>
          </cell>
          <cell r="L47">
            <v>-6947</v>
          </cell>
          <cell r="M47">
            <v>-4927</v>
          </cell>
          <cell r="N47">
            <v>-4927</v>
          </cell>
          <cell r="O47">
            <v>-4927</v>
          </cell>
          <cell r="P47">
            <v>-4927</v>
          </cell>
          <cell r="Q47">
            <v>-4927</v>
          </cell>
          <cell r="R47">
            <v>-4927</v>
          </cell>
          <cell r="S47">
            <v>-4927</v>
          </cell>
          <cell r="T47">
            <v>-4927</v>
          </cell>
          <cell r="U47">
            <v>-4927</v>
          </cell>
          <cell r="V47">
            <v>-4927</v>
          </cell>
          <cell r="W47">
            <v>-4927</v>
          </cell>
          <cell r="X47">
            <v>-4927</v>
          </cell>
          <cell r="Y47">
            <v>-4927</v>
          </cell>
          <cell r="Z47">
            <v>-4927</v>
          </cell>
          <cell r="AA47">
            <v>-4927</v>
          </cell>
          <cell r="AB47">
            <v>-4927</v>
          </cell>
          <cell r="AC47">
            <v>-4927</v>
          </cell>
          <cell r="AD47">
            <v>-4927</v>
          </cell>
          <cell r="AE47">
            <v>-4927</v>
          </cell>
          <cell r="AF47">
            <v>-4927</v>
          </cell>
          <cell r="AG47">
            <v>-4927</v>
          </cell>
          <cell r="AH47">
            <v>-4927</v>
          </cell>
          <cell r="AI47">
            <v>-4927</v>
          </cell>
          <cell r="AJ47">
            <v>-4927</v>
          </cell>
          <cell r="AK47">
            <v>-4927</v>
          </cell>
          <cell r="AL47">
            <v>-4927</v>
          </cell>
          <cell r="AM47">
            <v>-4927</v>
          </cell>
          <cell r="AN47">
            <v>-4927</v>
          </cell>
          <cell r="AO47">
            <v>-4927</v>
          </cell>
          <cell r="AP47">
            <v>-4927</v>
          </cell>
          <cell r="AQ47">
            <v>-4927</v>
          </cell>
          <cell r="AR47">
            <v>-4927</v>
          </cell>
          <cell r="AS47">
            <v>-4927</v>
          </cell>
          <cell r="AT47">
            <v>-4927</v>
          </cell>
          <cell r="AU47">
            <v>-4927</v>
          </cell>
          <cell r="AV47">
            <v>-4927</v>
          </cell>
          <cell r="AW47">
            <v>-4927</v>
          </cell>
          <cell r="AX47">
            <v>-4927</v>
          </cell>
          <cell r="AY47">
            <v>-4927</v>
          </cell>
          <cell r="AZ47">
            <v>-4927</v>
          </cell>
          <cell r="BA47">
            <v>-4927</v>
          </cell>
          <cell r="BF47">
            <v>9417</v>
          </cell>
          <cell r="BG47">
            <v>4574</v>
          </cell>
          <cell r="BH47">
            <v>4574</v>
          </cell>
          <cell r="BI47">
            <v>6589</v>
          </cell>
          <cell r="BJ47">
            <v>18613</v>
          </cell>
          <cell r="BK47">
            <v>18613</v>
          </cell>
          <cell r="BL47">
            <v>-5038</v>
          </cell>
          <cell r="BM47">
            <v>-9742</v>
          </cell>
          <cell r="BN47">
            <v>-9742</v>
          </cell>
          <cell r="BO47">
            <v>-14732</v>
          </cell>
          <cell r="BP47">
            <v>-20597</v>
          </cell>
          <cell r="BQ47">
            <v>-20597</v>
          </cell>
          <cell r="BR47">
            <v>-24278</v>
          </cell>
          <cell r="BS47">
            <v>-16856</v>
          </cell>
          <cell r="BT47">
            <v>-16856</v>
          </cell>
          <cell r="BU47">
            <v>-25604</v>
          </cell>
          <cell r="BV47">
            <v>-8576</v>
          </cell>
          <cell r="BW47">
            <v>-8576</v>
          </cell>
          <cell r="BX47">
            <v>10025</v>
          </cell>
          <cell r="BY47">
            <v>-15704</v>
          </cell>
          <cell r="BZ47">
            <v>-15704</v>
          </cell>
          <cell r="CA47">
            <v>-7698</v>
          </cell>
          <cell r="CB47">
            <v>-7698</v>
          </cell>
          <cell r="CC47">
            <v>-7698</v>
          </cell>
          <cell r="CD47">
            <v>-6947</v>
          </cell>
          <cell r="CE47">
            <v>-6947</v>
          </cell>
          <cell r="CF47">
            <v>-6606</v>
          </cell>
          <cell r="CG47">
            <v>-4927</v>
          </cell>
          <cell r="CH47">
            <v>-4927</v>
          </cell>
          <cell r="CI47">
            <v>-4927</v>
          </cell>
          <cell r="CJ47">
            <v>-4927</v>
          </cell>
          <cell r="CK47">
            <v>-4927</v>
          </cell>
          <cell r="CL47">
            <v>-4927</v>
          </cell>
          <cell r="CM47">
            <v>-4927</v>
          </cell>
          <cell r="CN47">
            <v>-4927</v>
          </cell>
          <cell r="CO47">
            <v>-4927</v>
          </cell>
          <cell r="CP47">
            <v>-4927</v>
          </cell>
          <cell r="CQ47">
            <v>-4927</v>
          </cell>
          <cell r="CR47">
            <v>-4927</v>
          </cell>
          <cell r="CS47">
            <v>-4927</v>
          </cell>
          <cell r="CT47">
            <v>-4927</v>
          </cell>
          <cell r="CU47">
            <v>-4927</v>
          </cell>
          <cell r="CV47">
            <v>-4927</v>
          </cell>
          <cell r="CW47">
            <v>-4927</v>
          </cell>
          <cell r="CX47">
            <v>-4927</v>
          </cell>
          <cell r="CY47">
            <v>-4927</v>
          </cell>
          <cell r="CZ47">
            <v>-4927</v>
          </cell>
          <cell r="DA47">
            <v>-4927</v>
          </cell>
          <cell r="DB47">
            <v>-4927</v>
          </cell>
          <cell r="DC47">
            <v>-4927</v>
          </cell>
          <cell r="DD47">
            <v>-4927</v>
          </cell>
          <cell r="DE47">
            <v>-4927</v>
          </cell>
          <cell r="DF47">
            <v>-4927</v>
          </cell>
          <cell r="DG47">
            <v>-4927</v>
          </cell>
          <cell r="DH47">
            <v>-4927</v>
          </cell>
          <cell r="DI47">
            <v>-4927</v>
          </cell>
          <cell r="DJ47">
            <v>-4927</v>
          </cell>
          <cell r="DK47">
            <v>-4927</v>
          </cell>
          <cell r="DL47">
            <v>-4927</v>
          </cell>
          <cell r="DM47">
            <v>-4927</v>
          </cell>
          <cell r="DN47">
            <v>-4927</v>
          </cell>
          <cell r="DO47">
            <v>-4927</v>
          </cell>
          <cell r="DP47">
            <v>-4927</v>
          </cell>
          <cell r="DQ47">
            <v>-4927</v>
          </cell>
          <cell r="DR47">
            <v>-4927</v>
          </cell>
          <cell r="DS47">
            <v>-4927</v>
          </cell>
          <cell r="DT47">
            <v>-4927</v>
          </cell>
          <cell r="DU47">
            <v>-4927</v>
          </cell>
          <cell r="DV47">
            <v>-4927</v>
          </cell>
          <cell r="DW47">
            <v>-4927</v>
          </cell>
          <cell r="DX47">
            <v>-4927</v>
          </cell>
          <cell r="DY47">
            <v>-4927</v>
          </cell>
          <cell r="DZ47">
            <v>-4927</v>
          </cell>
          <cell r="EA47">
            <v>-4927</v>
          </cell>
          <cell r="EB47">
            <v>-4927</v>
          </cell>
          <cell r="EC47">
            <v>-4927</v>
          </cell>
          <cell r="ED47">
            <v>-4927</v>
          </cell>
          <cell r="EE47">
            <v>-4927</v>
          </cell>
          <cell r="EF47">
            <v>-4927</v>
          </cell>
          <cell r="EG47">
            <v>-4927</v>
          </cell>
          <cell r="EH47">
            <v>-4927</v>
          </cell>
          <cell r="EI47">
            <v>-4927</v>
          </cell>
          <cell r="EJ47">
            <v>-4927</v>
          </cell>
          <cell r="EK47">
            <v>-4927</v>
          </cell>
          <cell r="EL47">
            <v>-4927</v>
          </cell>
          <cell r="EM47">
            <v>-4927</v>
          </cell>
          <cell r="EN47">
            <v>-4927</v>
          </cell>
          <cell r="EO47">
            <v>-4927</v>
          </cell>
          <cell r="EP47">
            <v>-4927</v>
          </cell>
          <cell r="EQ47">
            <v>-4927</v>
          </cell>
          <cell r="ER47">
            <v>-4927</v>
          </cell>
          <cell r="ES47">
            <v>-4927</v>
          </cell>
          <cell r="ET47">
            <v>-4927</v>
          </cell>
          <cell r="EU47">
            <v>-4927</v>
          </cell>
          <cell r="EV47">
            <v>-4927</v>
          </cell>
          <cell r="EW47">
            <v>-4927</v>
          </cell>
          <cell r="EX47">
            <v>-4927</v>
          </cell>
          <cell r="EY47">
            <v>-4927</v>
          </cell>
          <cell r="EZ47">
            <v>-4927</v>
          </cell>
          <cell r="FA47">
            <v>-4927</v>
          </cell>
          <cell r="FB47">
            <v>-4927</v>
          </cell>
          <cell r="FC47">
            <v>-4927</v>
          </cell>
          <cell r="FD47">
            <v>-4927</v>
          </cell>
          <cell r="FE47">
            <v>-4927</v>
          </cell>
          <cell r="FF47">
            <v>-4927</v>
          </cell>
          <cell r="FG47">
            <v>-4927</v>
          </cell>
          <cell r="FH47">
            <v>-4927</v>
          </cell>
          <cell r="FI47">
            <v>-4927</v>
          </cell>
          <cell r="FJ47">
            <v>-4927</v>
          </cell>
          <cell r="FK47">
            <v>-4927</v>
          </cell>
          <cell r="FL47">
            <v>-4927</v>
          </cell>
          <cell r="FM47">
            <v>-4927</v>
          </cell>
          <cell r="FN47">
            <v>-4927</v>
          </cell>
          <cell r="FO47">
            <v>-4927</v>
          </cell>
          <cell r="FP47">
            <v>-4927</v>
          </cell>
          <cell r="FQ47">
            <v>-4927</v>
          </cell>
          <cell r="FR47">
            <v>-4927</v>
          </cell>
          <cell r="FS47">
            <v>-4927</v>
          </cell>
          <cell r="FT47">
            <v>-4927</v>
          </cell>
          <cell r="FU47">
            <v>-4927</v>
          </cell>
          <cell r="FV47">
            <v>-4927</v>
          </cell>
          <cell r="FW47">
            <v>-4927</v>
          </cell>
          <cell r="FX47">
            <v>-4927</v>
          </cell>
          <cell r="FY47">
            <v>-4927</v>
          </cell>
          <cell r="FZ47">
            <v>-4927</v>
          </cell>
          <cell r="GA47">
            <v>-4927</v>
          </cell>
          <cell r="GB47">
            <v>-4927</v>
          </cell>
          <cell r="GC47">
            <v>-4927</v>
          </cell>
          <cell r="GD47">
            <v>-4927</v>
          </cell>
          <cell r="GE47">
            <v>-4927</v>
          </cell>
          <cell r="GF47">
            <v>-4927</v>
          </cell>
          <cell r="GG47">
            <v>-4927</v>
          </cell>
          <cell r="GH47">
            <v>-4927</v>
          </cell>
          <cell r="GI47">
            <v>-4927</v>
          </cell>
          <cell r="GJ47">
            <v>-4927</v>
          </cell>
          <cell r="GK47">
            <v>-4927</v>
          </cell>
          <cell r="GL47">
            <v>-4927</v>
          </cell>
          <cell r="GM47">
            <v>-4927</v>
          </cell>
          <cell r="GN47">
            <v>-4927</v>
          </cell>
          <cell r="GO47">
            <v>-4927</v>
          </cell>
          <cell r="GP47">
            <v>-4927</v>
          </cell>
          <cell r="GQ47">
            <v>-4927</v>
          </cell>
          <cell r="GR47">
            <v>-4927</v>
          </cell>
          <cell r="GS47">
            <v>-4927</v>
          </cell>
          <cell r="GT47">
            <v>-4927</v>
          </cell>
          <cell r="GU47">
            <v>-4927</v>
          </cell>
          <cell r="GV47">
            <v>-4927</v>
          </cell>
          <cell r="GW47">
            <v>-4927</v>
          </cell>
          <cell r="GX47">
            <v>-4927</v>
          </cell>
        </row>
        <row r="49">
          <cell r="A49" t="str">
            <v>Costs</v>
          </cell>
          <cell r="B49" t="str">
            <v>.</v>
          </cell>
          <cell r="C49" t="str">
            <v>.</v>
          </cell>
          <cell r="D49" t="str">
            <v>.</v>
          </cell>
          <cell r="E49" t="str">
            <v>.</v>
          </cell>
          <cell r="F49" t="str">
            <v>.</v>
          </cell>
          <cell r="G49" t="str">
            <v>.</v>
          </cell>
          <cell r="H49" t="str">
            <v>.</v>
          </cell>
          <cell r="I49" t="str">
            <v>.</v>
          </cell>
          <cell r="J49" t="str">
            <v>.</v>
          </cell>
          <cell r="K49" t="str">
            <v>.</v>
          </cell>
          <cell r="L49" t="str">
            <v>.</v>
          </cell>
          <cell r="M49" t="str">
            <v>.</v>
          </cell>
          <cell r="N49" t="str">
            <v>.</v>
          </cell>
          <cell r="O49" t="str">
            <v>.</v>
          </cell>
          <cell r="P49" t="str">
            <v>.</v>
          </cell>
          <cell r="Q49" t="str">
            <v>.</v>
          </cell>
          <cell r="R49" t="str">
            <v>.</v>
          </cell>
          <cell r="S49" t="str">
            <v>.</v>
          </cell>
          <cell r="T49" t="str">
            <v>.</v>
          </cell>
          <cell r="U49" t="str">
            <v>.</v>
          </cell>
          <cell r="V49" t="str">
            <v>.</v>
          </cell>
          <cell r="W49" t="str">
            <v>.</v>
          </cell>
          <cell r="X49" t="str">
            <v>.</v>
          </cell>
          <cell r="Y49" t="str">
            <v>.</v>
          </cell>
          <cell r="Z49" t="str">
            <v>.</v>
          </cell>
          <cell r="AA49" t="str">
            <v>.</v>
          </cell>
          <cell r="AB49" t="str">
            <v>.</v>
          </cell>
          <cell r="AC49" t="str">
            <v>.</v>
          </cell>
          <cell r="AD49" t="str">
            <v>.</v>
          </cell>
          <cell r="AE49" t="str">
            <v>.</v>
          </cell>
          <cell r="AF49" t="str">
            <v>.</v>
          </cell>
          <cell r="AG49" t="str">
            <v>.</v>
          </cell>
          <cell r="AH49" t="str">
            <v>.</v>
          </cell>
          <cell r="AI49" t="str">
            <v>.</v>
          </cell>
          <cell r="AJ49" t="str">
            <v>.</v>
          </cell>
          <cell r="AK49" t="str">
            <v>.</v>
          </cell>
          <cell r="AL49" t="str">
            <v>.</v>
          </cell>
          <cell r="AM49" t="str">
            <v>.</v>
          </cell>
          <cell r="AN49" t="str">
            <v>.</v>
          </cell>
          <cell r="AO49" t="str">
            <v>.</v>
          </cell>
          <cell r="AP49" t="str">
            <v>.</v>
          </cell>
          <cell r="AQ49" t="str">
            <v>.</v>
          </cell>
          <cell r="AR49" t="str">
            <v>.</v>
          </cell>
          <cell r="AS49" t="str">
            <v>.</v>
          </cell>
          <cell r="AT49" t="str">
            <v>.</v>
          </cell>
          <cell r="AU49" t="str">
            <v>.</v>
          </cell>
          <cell r="AV49" t="str">
            <v>.</v>
          </cell>
          <cell r="AW49" t="str">
            <v>.</v>
          </cell>
          <cell r="AX49" t="str">
            <v>.</v>
          </cell>
          <cell r="AY49" t="str">
            <v>.</v>
          </cell>
          <cell r="AZ49" t="str">
            <v>.</v>
          </cell>
          <cell r="BA49" t="str">
            <v>.</v>
          </cell>
          <cell r="BB49" t="str">
            <v>.</v>
          </cell>
          <cell r="BC49" t="str">
            <v>.</v>
          </cell>
          <cell r="BD49" t="str">
            <v>.</v>
          </cell>
          <cell r="BE49" t="str">
            <v>.</v>
          </cell>
          <cell r="BF49" t="str">
            <v>.</v>
          </cell>
          <cell r="BG49" t="str">
            <v>.</v>
          </cell>
          <cell r="BH49" t="str">
            <v>.</v>
          </cell>
          <cell r="BI49" t="str">
            <v>.</v>
          </cell>
          <cell r="BJ49" t="str">
            <v>.</v>
          </cell>
          <cell r="BK49" t="str">
            <v>.</v>
          </cell>
          <cell r="BL49" t="str">
            <v>.</v>
          </cell>
          <cell r="BM49" t="str">
            <v>.</v>
          </cell>
          <cell r="BN49" t="str">
            <v>.</v>
          </cell>
          <cell r="BO49" t="str">
            <v>.</v>
          </cell>
          <cell r="BP49" t="str">
            <v>.</v>
          </cell>
          <cell r="BQ49" t="str">
            <v>.</v>
          </cell>
          <cell r="BR49" t="str">
            <v>.</v>
          </cell>
          <cell r="BS49" t="str">
            <v>.</v>
          </cell>
          <cell r="BT49" t="str">
            <v>.</v>
          </cell>
          <cell r="BU49" t="str">
            <v>.</v>
          </cell>
          <cell r="BV49" t="str">
            <v>.</v>
          </cell>
          <cell r="BW49" t="str">
            <v>.</v>
          </cell>
          <cell r="BX49" t="str">
            <v>.</v>
          </cell>
          <cell r="BY49" t="str">
            <v>.</v>
          </cell>
          <cell r="BZ49" t="str">
            <v>.</v>
          </cell>
          <cell r="CA49" t="str">
            <v>.</v>
          </cell>
          <cell r="CB49" t="str">
            <v>.</v>
          </cell>
          <cell r="CC49" t="str">
            <v>.</v>
          </cell>
          <cell r="CD49" t="str">
            <v>.</v>
          </cell>
          <cell r="CE49" t="str">
            <v>.</v>
          </cell>
          <cell r="CF49" t="str">
            <v>.</v>
          </cell>
          <cell r="CG49" t="str">
            <v>.</v>
          </cell>
          <cell r="CH49" t="str">
            <v>.</v>
          </cell>
          <cell r="CI49" t="str">
            <v>.</v>
          </cell>
          <cell r="CJ49" t="str">
            <v>.</v>
          </cell>
          <cell r="CK49" t="str">
            <v>.</v>
          </cell>
          <cell r="CL49" t="str">
            <v>.</v>
          </cell>
          <cell r="CM49" t="str">
            <v>.</v>
          </cell>
          <cell r="CN49" t="str">
            <v>.</v>
          </cell>
          <cell r="CO49" t="str">
            <v>.</v>
          </cell>
          <cell r="CP49" t="str">
            <v>.</v>
          </cell>
          <cell r="CQ49" t="str">
            <v>.</v>
          </cell>
          <cell r="CR49" t="str">
            <v>.</v>
          </cell>
          <cell r="CS49" t="str">
            <v>.</v>
          </cell>
          <cell r="CT49" t="str">
            <v>.</v>
          </cell>
          <cell r="CU49" t="str">
            <v>.</v>
          </cell>
          <cell r="CV49" t="str">
            <v>.</v>
          </cell>
          <cell r="CW49" t="str">
            <v>.</v>
          </cell>
          <cell r="CX49" t="str">
            <v>.</v>
          </cell>
          <cell r="CY49" t="str">
            <v>.</v>
          </cell>
          <cell r="CZ49" t="str">
            <v>.</v>
          </cell>
          <cell r="DA49" t="str">
            <v>.</v>
          </cell>
          <cell r="DB49" t="str">
            <v>.</v>
          </cell>
          <cell r="DC49" t="str">
            <v>.</v>
          </cell>
          <cell r="DD49" t="str">
            <v>.</v>
          </cell>
          <cell r="DE49" t="str">
            <v>.</v>
          </cell>
          <cell r="DF49" t="str">
            <v>.</v>
          </cell>
          <cell r="DG49" t="str">
            <v>.</v>
          </cell>
          <cell r="DH49" t="str">
            <v>.</v>
          </cell>
          <cell r="DI49" t="str">
            <v>.</v>
          </cell>
          <cell r="DJ49" t="str">
            <v>.</v>
          </cell>
          <cell r="DK49" t="str">
            <v>.</v>
          </cell>
          <cell r="DL49" t="str">
            <v>.</v>
          </cell>
          <cell r="DM49" t="str">
            <v>.</v>
          </cell>
          <cell r="DN49" t="str">
            <v>.</v>
          </cell>
          <cell r="DO49" t="str">
            <v>.</v>
          </cell>
          <cell r="DP49" t="str">
            <v>.</v>
          </cell>
          <cell r="DQ49" t="str">
            <v>.</v>
          </cell>
          <cell r="DR49" t="str">
            <v>.</v>
          </cell>
          <cell r="DS49" t="str">
            <v>.</v>
          </cell>
          <cell r="DT49" t="str">
            <v>.</v>
          </cell>
          <cell r="DU49" t="str">
            <v>.</v>
          </cell>
          <cell r="DV49" t="str">
            <v>.</v>
          </cell>
          <cell r="DW49" t="str">
            <v>.</v>
          </cell>
          <cell r="DX49" t="str">
            <v>.</v>
          </cell>
          <cell r="DY49" t="str">
            <v>.</v>
          </cell>
          <cell r="DZ49" t="str">
            <v>.</v>
          </cell>
          <cell r="EA49" t="str">
            <v>.</v>
          </cell>
          <cell r="EB49" t="str">
            <v>.</v>
          </cell>
          <cell r="EC49" t="str">
            <v>.</v>
          </cell>
          <cell r="ED49" t="str">
            <v>.</v>
          </cell>
          <cell r="EE49" t="str">
            <v>.</v>
          </cell>
          <cell r="EF49" t="str">
            <v>.</v>
          </cell>
          <cell r="EG49" t="str">
            <v>.</v>
          </cell>
          <cell r="EH49" t="str">
            <v>.</v>
          </cell>
          <cell r="EI49" t="str">
            <v>.</v>
          </cell>
          <cell r="EJ49" t="str">
            <v>.</v>
          </cell>
          <cell r="EK49" t="str">
            <v>.</v>
          </cell>
          <cell r="EL49" t="str">
            <v>.</v>
          </cell>
          <cell r="EM49" t="str">
            <v>.</v>
          </cell>
          <cell r="EN49" t="str">
            <v>.</v>
          </cell>
          <cell r="EO49" t="str">
            <v>.</v>
          </cell>
          <cell r="EP49" t="str">
            <v>.</v>
          </cell>
          <cell r="EQ49" t="str">
            <v>.</v>
          </cell>
          <cell r="ER49" t="str">
            <v>.</v>
          </cell>
          <cell r="ES49" t="str">
            <v>.</v>
          </cell>
          <cell r="ET49" t="str">
            <v>.</v>
          </cell>
          <cell r="EU49" t="str">
            <v>.</v>
          </cell>
          <cell r="EV49" t="str">
            <v>.</v>
          </cell>
          <cell r="EW49" t="str">
            <v>.</v>
          </cell>
          <cell r="EX49" t="str">
            <v>.</v>
          </cell>
          <cell r="EY49" t="str">
            <v>.</v>
          </cell>
          <cell r="EZ49" t="str">
            <v>.</v>
          </cell>
          <cell r="FA49" t="str">
            <v>.</v>
          </cell>
          <cell r="FB49" t="str">
            <v>.</v>
          </cell>
          <cell r="FC49" t="str">
            <v>.</v>
          </cell>
          <cell r="FD49" t="str">
            <v>.</v>
          </cell>
          <cell r="FE49" t="str">
            <v>.</v>
          </cell>
          <cell r="FF49" t="str">
            <v>.</v>
          </cell>
          <cell r="FG49" t="str">
            <v>.</v>
          </cell>
          <cell r="FH49" t="str">
            <v>.</v>
          </cell>
          <cell r="FI49" t="str">
            <v>.</v>
          </cell>
          <cell r="FJ49" t="str">
            <v>.</v>
          </cell>
          <cell r="FK49" t="str">
            <v>.</v>
          </cell>
          <cell r="FL49" t="str">
            <v>.</v>
          </cell>
          <cell r="FM49" t="str">
            <v>.</v>
          </cell>
          <cell r="FN49" t="str">
            <v>.</v>
          </cell>
          <cell r="FO49" t="str">
            <v>.</v>
          </cell>
          <cell r="FP49" t="str">
            <v>.</v>
          </cell>
          <cell r="FQ49" t="str">
            <v>.</v>
          </cell>
          <cell r="FR49" t="str">
            <v>.</v>
          </cell>
          <cell r="FS49" t="str">
            <v>.</v>
          </cell>
          <cell r="FT49" t="str">
            <v>.</v>
          </cell>
          <cell r="FU49" t="str">
            <v>.</v>
          </cell>
          <cell r="FV49" t="str">
            <v>.</v>
          </cell>
          <cell r="FW49" t="str">
            <v>.</v>
          </cell>
          <cell r="FX49" t="str">
            <v>.</v>
          </cell>
          <cell r="FY49" t="str">
            <v>.</v>
          </cell>
          <cell r="FZ49" t="str">
            <v>.</v>
          </cell>
          <cell r="GA49" t="str">
            <v>.</v>
          </cell>
          <cell r="GB49" t="str">
            <v>.</v>
          </cell>
          <cell r="GC49" t="str">
            <v>.</v>
          </cell>
          <cell r="GD49" t="str">
            <v>.</v>
          </cell>
          <cell r="GE49" t="str">
            <v>.</v>
          </cell>
          <cell r="GF49" t="str">
            <v>.</v>
          </cell>
          <cell r="GG49" t="str">
            <v>.</v>
          </cell>
          <cell r="GH49" t="str">
            <v>.</v>
          </cell>
          <cell r="GI49" t="str">
            <v>.</v>
          </cell>
          <cell r="GJ49" t="str">
            <v>.</v>
          </cell>
          <cell r="GK49" t="str">
            <v>.</v>
          </cell>
          <cell r="GL49" t="str">
            <v>.</v>
          </cell>
          <cell r="GM49" t="str">
            <v>.</v>
          </cell>
          <cell r="GN49" t="str">
            <v>.</v>
          </cell>
          <cell r="GO49" t="str">
            <v>.</v>
          </cell>
          <cell r="GP49" t="str">
            <v>.</v>
          </cell>
          <cell r="GQ49" t="str">
            <v>.</v>
          </cell>
          <cell r="GR49" t="str">
            <v>.</v>
          </cell>
          <cell r="GS49" t="str">
            <v>.</v>
          </cell>
          <cell r="GT49" t="str">
            <v>.</v>
          </cell>
          <cell r="GU49" t="str">
            <v>.</v>
          </cell>
          <cell r="GV49" t="str">
            <v>.</v>
          </cell>
          <cell r="GW49" t="str">
            <v>.</v>
          </cell>
          <cell r="GX49" t="str">
            <v>.</v>
          </cell>
        </row>
        <row r="50">
          <cell r="A50" t="str">
            <v>Mining</v>
          </cell>
          <cell r="B50" t="str">
            <v>A$/oz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252</v>
          </cell>
          <cell r="O50">
            <v>289.0636799851286</v>
          </cell>
          <cell r="P50">
            <v>223.32200457774204</v>
          </cell>
          <cell r="Q50">
            <v>196.27079747561675</v>
          </cell>
          <cell r="R50">
            <v>171.73694779116468</v>
          </cell>
          <cell r="S50">
            <v>171.73694779116468</v>
          </cell>
          <cell r="T50">
            <v>171.73694779116468</v>
          </cell>
          <cell r="U50">
            <v>171.73694779116468</v>
          </cell>
          <cell r="V50">
            <v>171.73694779116468</v>
          </cell>
          <cell r="W50">
            <v>171.73694779116468</v>
          </cell>
          <cell r="X50">
            <v>171.73694779116468</v>
          </cell>
          <cell r="Y50">
            <v>171.73694779116468</v>
          </cell>
          <cell r="Z50">
            <v>171.73694779116468</v>
          </cell>
          <cell r="AA50">
            <v>171.73694779116468</v>
          </cell>
          <cell r="AB50">
            <v>171.73694779116468</v>
          </cell>
          <cell r="AC50">
            <v>171.73694779116468</v>
          </cell>
          <cell r="AD50">
            <v>171.73694779116468</v>
          </cell>
          <cell r="AE50">
            <v>171.73694779116468</v>
          </cell>
          <cell r="AF50">
            <v>171.73694779116468</v>
          </cell>
          <cell r="AG50">
            <v>171.73694779116468</v>
          </cell>
          <cell r="AH50">
            <v>171.73694779116468</v>
          </cell>
          <cell r="AI50">
            <v>171.73694779116468</v>
          </cell>
          <cell r="AJ50">
            <v>171.73694779116468</v>
          </cell>
          <cell r="AK50">
            <v>171.73694779116468</v>
          </cell>
          <cell r="AL50">
            <v>171.73694779116468</v>
          </cell>
          <cell r="AM50">
            <v>171.73694779116468</v>
          </cell>
          <cell r="AN50">
            <v>171.73694779116468</v>
          </cell>
          <cell r="AO50">
            <v>171.73694779116468</v>
          </cell>
          <cell r="AP50">
            <v>171.73694779116468</v>
          </cell>
          <cell r="AQ50">
            <v>171.73694779116468</v>
          </cell>
          <cell r="AR50">
            <v>171.73694779116468</v>
          </cell>
          <cell r="AS50">
            <v>218.57429718875505</v>
          </cell>
          <cell r="AT50">
            <v>218.57429718875505</v>
          </cell>
          <cell r="AU50">
            <v>218.57429718875505</v>
          </cell>
          <cell r="AV50">
            <v>218.57429718875505</v>
          </cell>
          <cell r="AW50">
            <v>218.57429718875505</v>
          </cell>
          <cell r="AX50">
            <v>218.57429718875505</v>
          </cell>
          <cell r="AY50">
            <v>218.57429718875505</v>
          </cell>
          <cell r="AZ50">
            <v>218.57429718875505</v>
          </cell>
          <cell r="BA50">
            <v>218.57429718875505</v>
          </cell>
          <cell r="CI50">
            <v>239</v>
          </cell>
          <cell r="CJ50">
            <v>267.46057100153615</v>
          </cell>
          <cell r="CK50">
            <v>252</v>
          </cell>
          <cell r="CL50">
            <v>293.7766747674948</v>
          </cell>
          <cell r="CM50">
            <v>284.49951661694234</v>
          </cell>
          <cell r="CN50">
            <v>289.0636799851286</v>
          </cell>
          <cell r="CO50">
            <v>228.98259705488621</v>
          </cell>
          <cell r="CP50">
            <v>217.93452726968681</v>
          </cell>
          <cell r="CQ50">
            <v>223.32200457774204</v>
          </cell>
          <cell r="CR50">
            <v>196.27079747561675</v>
          </cell>
          <cell r="CS50">
            <v>196.27079747561675</v>
          </cell>
          <cell r="CT50">
            <v>196.27079747561675</v>
          </cell>
          <cell r="CU50">
            <v>171.73694779116468</v>
          </cell>
          <cell r="CV50">
            <v>171.73694779116468</v>
          </cell>
          <cell r="CW50">
            <v>171.73694779116468</v>
          </cell>
          <cell r="CX50">
            <v>171.73694779116468</v>
          </cell>
          <cell r="CY50">
            <v>171.73694779116468</v>
          </cell>
          <cell r="CZ50">
            <v>171.73694779116468</v>
          </cell>
          <cell r="DA50">
            <v>171.73694779116468</v>
          </cell>
          <cell r="DB50">
            <v>171.73694779116468</v>
          </cell>
          <cell r="DC50">
            <v>171.73694779116468</v>
          </cell>
          <cell r="DD50">
            <v>171.73694779116468</v>
          </cell>
          <cell r="DE50">
            <v>171.73694779116468</v>
          </cell>
          <cell r="DF50">
            <v>171.73694779116468</v>
          </cell>
          <cell r="DG50">
            <v>171.73694779116468</v>
          </cell>
          <cell r="DH50">
            <v>171.73694779116468</v>
          </cell>
          <cell r="DI50">
            <v>171.73694779116468</v>
          </cell>
          <cell r="DJ50">
            <v>171.73694779116468</v>
          </cell>
          <cell r="DK50">
            <v>171.73694779116468</v>
          </cell>
          <cell r="DL50">
            <v>171.73694779116468</v>
          </cell>
          <cell r="DM50">
            <v>171.73694779116468</v>
          </cell>
          <cell r="DN50">
            <v>171.73694779116468</v>
          </cell>
          <cell r="DO50">
            <v>171.73694779116468</v>
          </cell>
          <cell r="DP50">
            <v>171.73694779116468</v>
          </cell>
          <cell r="DQ50">
            <v>171.73694779116468</v>
          </cell>
          <cell r="DR50">
            <v>171.73694779116468</v>
          </cell>
          <cell r="DS50">
            <v>171.73694779116468</v>
          </cell>
          <cell r="DT50">
            <v>171.73694779116468</v>
          </cell>
          <cell r="DU50">
            <v>171.73694779116468</v>
          </cell>
          <cell r="DV50">
            <v>171.73694779116468</v>
          </cell>
          <cell r="DW50">
            <v>171.73694779116468</v>
          </cell>
          <cell r="DX50">
            <v>171.73694779116468</v>
          </cell>
          <cell r="DY50">
            <v>171.73694779116468</v>
          </cell>
          <cell r="DZ50">
            <v>171.73694779116468</v>
          </cell>
          <cell r="EA50">
            <v>171.73694779116468</v>
          </cell>
          <cell r="EB50">
            <v>171.73694779116468</v>
          </cell>
          <cell r="EC50">
            <v>171.73694779116468</v>
          </cell>
          <cell r="ED50">
            <v>171.73694779116468</v>
          </cell>
          <cell r="EE50">
            <v>171.73694779116468</v>
          </cell>
          <cell r="EF50">
            <v>171.73694779116468</v>
          </cell>
          <cell r="EG50">
            <v>171.73694779116468</v>
          </cell>
          <cell r="EH50">
            <v>171.73694779116468</v>
          </cell>
          <cell r="EI50">
            <v>171.73694779116468</v>
          </cell>
          <cell r="EJ50">
            <v>171.73694779116468</v>
          </cell>
          <cell r="EK50">
            <v>171.73694779116468</v>
          </cell>
          <cell r="EL50">
            <v>171.73694779116468</v>
          </cell>
          <cell r="EM50">
            <v>171.73694779116468</v>
          </cell>
          <cell r="EN50">
            <v>171.73694779116468</v>
          </cell>
          <cell r="EO50">
            <v>171.73694779116468</v>
          </cell>
          <cell r="EP50">
            <v>171.73694779116468</v>
          </cell>
          <cell r="EQ50">
            <v>171.73694779116468</v>
          </cell>
          <cell r="ER50">
            <v>171.73694779116468</v>
          </cell>
          <cell r="ES50">
            <v>171.73694779116468</v>
          </cell>
          <cell r="ET50">
            <v>171.73694779116468</v>
          </cell>
          <cell r="EU50">
            <v>171.73694779116468</v>
          </cell>
          <cell r="EV50">
            <v>171.73694779116468</v>
          </cell>
          <cell r="EW50">
            <v>171.73694779116468</v>
          </cell>
          <cell r="EX50">
            <v>171.73694779116468</v>
          </cell>
          <cell r="EY50">
            <v>171.73694779116468</v>
          </cell>
          <cell r="EZ50">
            <v>171.73694779116468</v>
          </cell>
          <cell r="FA50">
            <v>171.73694779116468</v>
          </cell>
          <cell r="FB50">
            <v>171.73694779116468</v>
          </cell>
          <cell r="FC50">
            <v>171.73694779116468</v>
          </cell>
          <cell r="FD50">
            <v>171.73694779116468</v>
          </cell>
          <cell r="FE50">
            <v>171.73694779116468</v>
          </cell>
          <cell r="FF50">
            <v>171.73694779116468</v>
          </cell>
          <cell r="FG50">
            <v>171.73694779116468</v>
          </cell>
          <cell r="FH50">
            <v>171.73694779116468</v>
          </cell>
          <cell r="FI50">
            <v>171.73694779116468</v>
          </cell>
          <cell r="FJ50">
            <v>171.73694779116468</v>
          </cell>
          <cell r="FK50">
            <v>171.73694779116468</v>
          </cell>
          <cell r="FL50">
            <v>171.73694779116468</v>
          </cell>
          <cell r="FM50">
            <v>171.73694779116468</v>
          </cell>
          <cell r="FN50">
            <v>171.73694779116468</v>
          </cell>
          <cell r="FO50">
            <v>171.73694779116468</v>
          </cell>
          <cell r="FP50">
            <v>171.73694779116468</v>
          </cell>
          <cell r="FQ50">
            <v>171.73694779116468</v>
          </cell>
          <cell r="FR50">
            <v>171.73694779116468</v>
          </cell>
          <cell r="FS50">
            <v>171.73694779116468</v>
          </cell>
          <cell r="FT50">
            <v>171.73694779116468</v>
          </cell>
          <cell r="FU50">
            <v>171.73694779116468</v>
          </cell>
          <cell r="FV50">
            <v>171.73694779116468</v>
          </cell>
          <cell r="FW50">
            <v>171.73694779116468</v>
          </cell>
          <cell r="FX50">
            <v>218.57429718875505</v>
          </cell>
          <cell r="FY50">
            <v>218.57429718875505</v>
          </cell>
          <cell r="FZ50">
            <v>218.57429718875505</v>
          </cell>
          <cell r="GA50">
            <v>218.57429718875505</v>
          </cell>
          <cell r="GB50">
            <v>218.57429718875505</v>
          </cell>
          <cell r="GC50">
            <v>218.57429718875505</v>
          </cell>
          <cell r="GD50">
            <v>218.57429718875505</v>
          </cell>
          <cell r="GE50">
            <v>218.57429718875505</v>
          </cell>
          <cell r="GF50">
            <v>218.57429718875505</v>
          </cell>
          <cell r="GG50">
            <v>218.57429718875505</v>
          </cell>
          <cell r="GH50">
            <v>218.57429718875505</v>
          </cell>
          <cell r="GI50">
            <v>218.57429718875505</v>
          </cell>
          <cell r="GJ50">
            <v>218.57429718875505</v>
          </cell>
          <cell r="GK50">
            <v>218.57429718875505</v>
          </cell>
          <cell r="GL50">
            <v>218.57429718875505</v>
          </cell>
          <cell r="GM50">
            <v>218.57429718875505</v>
          </cell>
          <cell r="GN50">
            <v>218.57429718875505</v>
          </cell>
          <cell r="GO50">
            <v>218.57429718875505</v>
          </cell>
          <cell r="GP50">
            <v>218.57429718875505</v>
          </cell>
          <cell r="GQ50">
            <v>218.57429718875505</v>
          </cell>
          <cell r="GR50">
            <v>218.57429718875505</v>
          </cell>
          <cell r="GS50">
            <v>218.57429718875505</v>
          </cell>
          <cell r="GT50">
            <v>218.57429718875505</v>
          </cell>
          <cell r="GU50">
            <v>218.57429718875505</v>
          </cell>
          <cell r="GV50">
            <v>218.57429718875505</v>
          </cell>
          <cell r="GW50">
            <v>218.57429718875505</v>
          </cell>
          <cell r="GX50">
            <v>218.57429718875505</v>
          </cell>
        </row>
        <row r="51">
          <cell r="A51" t="str">
            <v>Mining (tonne moved)</v>
          </cell>
          <cell r="B51" t="str">
            <v>A$/t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3.6471757300739225</v>
          </cell>
          <cell r="O51">
            <v>3.08</v>
          </cell>
          <cell r="P51">
            <v>3.08</v>
          </cell>
          <cell r="Q51">
            <v>3.08</v>
          </cell>
          <cell r="R51">
            <v>3.08</v>
          </cell>
          <cell r="S51">
            <v>3.08</v>
          </cell>
          <cell r="T51">
            <v>3.08</v>
          </cell>
          <cell r="U51">
            <v>3.08</v>
          </cell>
          <cell r="V51">
            <v>3.08</v>
          </cell>
          <cell r="W51">
            <v>3.08</v>
          </cell>
          <cell r="X51">
            <v>3.08</v>
          </cell>
          <cell r="Y51">
            <v>3.08</v>
          </cell>
          <cell r="Z51">
            <v>3.08</v>
          </cell>
          <cell r="AA51">
            <v>3.08</v>
          </cell>
          <cell r="AB51">
            <v>3.08</v>
          </cell>
          <cell r="AC51">
            <v>3.08</v>
          </cell>
          <cell r="AD51">
            <v>3.08</v>
          </cell>
          <cell r="AE51">
            <v>3.08</v>
          </cell>
          <cell r="AF51">
            <v>3.08</v>
          </cell>
          <cell r="AG51">
            <v>3.08</v>
          </cell>
          <cell r="AH51">
            <v>3.08</v>
          </cell>
          <cell r="AI51">
            <v>3.08</v>
          </cell>
          <cell r="AJ51">
            <v>3.08</v>
          </cell>
          <cell r="AK51">
            <v>3.08</v>
          </cell>
          <cell r="AL51">
            <v>3.08</v>
          </cell>
          <cell r="AM51">
            <v>3.08</v>
          </cell>
          <cell r="AN51">
            <v>3.08</v>
          </cell>
          <cell r="AO51">
            <v>3.08</v>
          </cell>
          <cell r="AP51">
            <v>3.08</v>
          </cell>
          <cell r="AQ51">
            <v>3.08</v>
          </cell>
          <cell r="AR51">
            <v>3.08</v>
          </cell>
          <cell r="AS51" t="e">
            <v>#DIV/0!</v>
          </cell>
          <cell r="AT51" t="e">
            <v>#DIV/0!</v>
          </cell>
          <cell r="AU51" t="e">
            <v>#DIV/0!</v>
          </cell>
          <cell r="AV51" t="e">
            <v>#DIV/0!</v>
          </cell>
          <cell r="AW51" t="e">
            <v>#DIV/0!</v>
          </cell>
          <cell r="AX51" t="e">
            <v>#DIV/0!</v>
          </cell>
          <cell r="AY51" t="e">
            <v>#DIV/0!</v>
          </cell>
          <cell r="AZ51" t="e">
            <v>#DIV/0!</v>
          </cell>
          <cell r="BA51" t="e">
            <v>#DIV/0!</v>
          </cell>
          <cell r="CI51">
            <v>3.8531172519885937</v>
          </cell>
          <cell r="CJ51">
            <v>3.4511488214285713</v>
          </cell>
          <cell r="CK51">
            <v>3.6471757300739225</v>
          </cell>
          <cell r="CL51">
            <v>3.08</v>
          </cell>
          <cell r="CM51">
            <v>3.08</v>
          </cell>
          <cell r="CN51">
            <v>3.08</v>
          </cell>
          <cell r="CO51">
            <v>3.08</v>
          </cell>
          <cell r="CP51">
            <v>3.08</v>
          </cell>
          <cell r="CQ51">
            <v>3.08</v>
          </cell>
          <cell r="CR51">
            <v>3.08</v>
          </cell>
          <cell r="CS51">
            <v>3.08</v>
          </cell>
          <cell r="CT51">
            <v>3.08</v>
          </cell>
          <cell r="CU51">
            <v>3.08</v>
          </cell>
          <cell r="CV51">
            <v>3.08</v>
          </cell>
          <cell r="CW51">
            <v>3.08</v>
          </cell>
          <cell r="CX51">
            <v>3.08</v>
          </cell>
          <cell r="CY51">
            <v>3.08</v>
          </cell>
          <cell r="CZ51">
            <v>3.08</v>
          </cell>
          <cell r="DA51">
            <v>3.08</v>
          </cell>
          <cell r="DB51">
            <v>3.08</v>
          </cell>
          <cell r="DC51">
            <v>3.08</v>
          </cell>
          <cell r="DD51">
            <v>3.08</v>
          </cell>
          <cell r="DE51">
            <v>3.08</v>
          </cell>
          <cell r="DF51">
            <v>3.08</v>
          </cell>
          <cell r="DG51">
            <v>3.08</v>
          </cell>
          <cell r="DH51">
            <v>3.08</v>
          </cell>
          <cell r="DI51">
            <v>3.08</v>
          </cell>
          <cell r="DJ51">
            <v>3.08</v>
          </cell>
          <cell r="DK51">
            <v>3.08</v>
          </cell>
          <cell r="DL51">
            <v>3.08</v>
          </cell>
          <cell r="DM51">
            <v>3.08</v>
          </cell>
          <cell r="DN51">
            <v>3.08</v>
          </cell>
          <cell r="DO51">
            <v>3.08</v>
          </cell>
          <cell r="DP51">
            <v>3.08</v>
          </cell>
          <cell r="DQ51">
            <v>3.08</v>
          </cell>
          <cell r="DR51">
            <v>3.08</v>
          </cell>
          <cell r="DS51">
            <v>3.08</v>
          </cell>
          <cell r="DT51">
            <v>3.08</v>
          </cell>
          <cell r="DU51">
            <v>3.08</v>
          </cell>
          <cell r="DV51">
            <v>3.08</v>
          </cell>
          <cell r="DW51">
            <v>3.08</v>
          </cell>
          <cell r="DX51">
            <v>3.08</v>
          </cell>
          <cell r="DY51">
            <v>3.08</v>
          </cell>
          <cell r="DZ51">
            <v>3.08</v>
          </cell>
          <cell r="EA51">
            <v>3.08</v>
          </cell>
          <cell r="EB51">
            <v>3.08</v>
          </cell>
          <cell r="EC51">
            <v>3.08</v>
          </cell>
          <cell r="ED51">
            <v>3.08</v>
          </cell>
          <cell r="EE51">
            <v>3.08</v>
          </cell>
          <cell r="EF51">
            <v>3.08</v>
          </cell>
          <cell r="EG51">
            <v>3.08</v>
          </cell>
          <cell r="EH51">
            <v>3.08</v>
          </cell>
          <cell r="EI51">
            <v>3.08</v>
          </cell>
          <cell r="EJ51">
            <v>3.08</v>
          </cell>
          <cell r="EK51">
            <v>3.08</v>
          </cell>
          <cell r="EL51">
            <v>3.08</v>
          </cell>
          <cell r="EM51">
            <v>3.08</v>
          </cell>
          <cell r="EN51">
            <v>3.08</v>
          </cell>
          <cell r="EO51">
            <v>3.08</v>
          </cell>
          <cell r="EP51">
            <v>3.08</v>
          </cell>
          <cell r="EQ51">
            <v>3.08</v>
          </cell>
          <cell r="ER51">
            <v>3.08</v>
          </cell>
          <cell r="ES51">
            <v>3.08</v>
          </cell>
          <cell r="ET51">
            <v>3.08</v>
          </cell>
          <cell r="EU51">
            <v>3.08</v>
          </cell>
          <cell r="EV51">
            <v>3.08</v>
          </cell>
          <cell r="EW51">
            <v>3.08</v>
          </cell>
          <cell r="EX51">
            <v>3.08</v>
          </cell>
          <cell r="EY51">
            <v>3.08</v>
          </cell>
          <cell r="EZ51">
            <v>3.08</v>
          </cell>
          <cell r="FA51">
            <v>3.08</v>
          </cell>
          <cell r="FB51">
            <v>3.08</v>
          </cell>
          <cell r="FC51">
            <v>3.08</v>
          </cell>
          <cell r="FD51">
            <v>3.08</v>
          </cell>
          <cell r="FE51">
            <v>3.08</v>
          </cell>
          <cell r="FF51">
            <v>3.08</v>
          </cell>
          <cell r="FG51">
            <v>3.08</v>
          </cell>
          <cell r="FH51">
            <v>3.08</v>
          </cell>
          <cell r="FI51">
            <v>3.08</v>
          </cell>
          <cell r="FJ51">
            <v>3.08</v>
          </cell>
          <cell r="FK51">
            <v>3.08</v>
          </cell>
          <cell r="FL51">
            <v>3.08</v>
          </cell>
          <cell r="FM51">
            <v>3.08</v>
          </cell>
          <cell r="FN51">
            <v>3.08</v>
          </cell>
          <cell r="FO51">
            <v>3.08</v>
          </cell>
          <cell r="FP51">
            <v>3.08</v>
          </cell>
          <cell r="FQ51">
            <v>3.08</v>
          </cell>
          <cell r="FR51">
            <v>3.08</v>
          </cell>
          <cell r="FS51">
            <v>3.08</v>
          </cell>
          <cell r="FT51">
            <v>3.08</v>
          </cell>
          <cell r="FU51">
            <v>3.08</v>
          </cell>
          <cell r="FV51">
            <v>3.08</v>
          </cell>
          <cell r="FW51">
            <v>3.08</v>
          </cell>
          <cell r="FX51">
            <v>0</v>
          </cell>
          <cell r="FY51">
            <v>0</v>
          </cell>
          <cell r="FZ51" t="e">
            <v>#DIV/0!</v>
          </cell>
          <cell r="GA51">
            <v>0</v>
          </cell>
          <cell r="GB51">
            <v>0</v>
          </cell>
          <cell r="GC51" t="e">
            <v>#DIV/0!</v>
          </cell>
          <cell r="GD51">
            <v>0</v>
          </cell>
          <cell r="GE51">
            <v>0</v>
          </cell>
          <cell r="GF51" t="e">
            <v>#DIV/0!</v>
          </cell>
          <cell r="GG51">
            <v>0</v>
          </cell>
          <cell r="GH51">
            <v>0</v>
          </cell>
          <cell r="GI51" t="e">
            <v>#DIV/0!</v>
          </cell>
          <cell r="GJ51">
            <v>0</v>
          </cell>
          <cell r="GK51">
            <v>0</v>
          </cell>
          <cell r="GL51" t="e">
            <v>#DIV/0!</v>
          </cell>
          <cell r="GM51">
            <v>0</v>
          </cell>
          <cell r="GN51">
            <v>0</v>
          </cell>
          <cell r="GO51" t="e">
            <v>#DIV/0!</v>
          </cell>
          <cell r="GP51">
            <v>0</v>
          </cell>
          <cell r="GQ51">
            <v>0</v>
          </cell>
          <cell r="GR51" t="e">
            <v>#DIV/0!</v>
          </cell>
          <cell r="GS51">
            <v>0</v>
          </cell>
          <cell r="GT51">
            <v>0</v>
          </cell>
          <cell r="GU51" t="e">
            <v>#DIV/0!</v>
          </cell>
          <cell r="GV51">
            <v>0</v>
          </cell>
          <cell r="GW51">
            <v>0</v>
          </cell>
          <cell r="GX51" t="e">
            <v>#DIV/0!</v>
          </cell>
        </row>
        <row r="52">
          <cell r="A52" t="str">
            <v>Mining</v>
          </cell>
          <cell r="B52" t="str">
            <v>A$mn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199.32544799999999</v>
          </cell>
          <cell r="O52">
            <v>220</v>
          </cell>
          <cell r="P52">
            <v>220</v>
          </cell>
          <cell r="Q52">
            <v>220</v>
          </cell>
          <cell r="R52">
            <v>220</v>
          </cell>
          <cell r="S52">
            <v>220</v>
          </cell>
          <cell r="T52">
            <v>220</v>
          </cell>
          <cell r="U52">
            <v>220</v>
          </cell>
          <cell r="V52">
            <v>220</v>
          </cell>
          <cell r="W52">
            <v>220</v>
          </cell>
          <cell r="X52">
            <v>220</v>
          </cell>
          <cell r="Y52">
            <v>220</v>
          </cell>
          <cell r="Z52">
            <v>220</v>
          </cell>
          <cell r="AA52">
            <v>220</v>
          </cell>
          <cell r="AB52">
            <v>220</v>
          </cell>
          <cell r="AC52">
            <v>220</v>
          </cell>
          <cell r="AD52">
            <v>220</v>
          </cell>
          <cell r="AE52">
            <v>220</v>
          </cell>
          <cell r="AF52">
            <v>220</v>
          </cell>
          <cell r="AG52">
            <v>220</v>
          </cell>
          <cell r="AH52">
            <v>220</v>
          </cell>
          <cell r="AI52">
            <v>220</v>
          </cell>
          <cell r="AJ52">
            <v>220</v>
          </cell>
          <cell r="AK52">
            <v>220</v>
          </cell>
          <cell r="AL52">
            <v>220</v>
          </cell>
          <cell r="AM52">
            <v>220</v>
          </cell>
          <cell r="AN52">
            <v>220</v>
          </cell>
          <cell r="AO52">
            <v>220</v>
          </cell>
          <cell r="AP52">
            <v>220</v>
          </cell>
          <cell r="AQ52">
            <v>220</v>
          </cell>
          <cell r="AR52">
            <v>220</v>
          </cell>
          <cell r="AS52">
            <v>140</v>
          </cell>
          <cell r="AT52">
            <v>140</v>
          </cell>
          <cell r="AU52">
            <v>140</v>
          </cell>
          <cell r="AV52">
            <v>140</v>
          </cell>
          <cell r="AW52">
            <v>140</v>
          </cell>
          <cell r="AX52">
            <v>140</v>
          </cell>
          <cell r="AY52">
            <v>140</v>
          </cell>
          <cell r="AZ52">
            <v>140</v>
          </cell>
          <cell r="BA52">
            <v>140</v>
          </cell>
          <cell r="CI52">
            <v>102.693281</v>
          </cell>
          <cell r="CJ52">
            <v>96.632166999999995</v>
          </cell>
          <cell r="CK52">
            <v>199.32544799999999</v>
          </cell>
          <cell r="CL52">
            <v>110</v>
          </cell>
          <cell r="CM52">
            <v>110</v>
          </cell>
          <cell r="CN52">
            <v>220</v>
          </cell>
          <cell r="CO52">
            <v>110</v>
          </cell>
          <cell r="CP52">
            <v>110</v>
          </cell>
          <cell r="CQ52">
            <v>220</v>
          </cell>
          <cell r="CR52">
            <v>110</v>
          </cell>
          <cell r="CS52">
            <v>110</v>
          </cell>
          <cell r="CT52">
            <v>220</v>
          </cell>
          <cell r="CU52">
            <v>110</v>
          </cell>
          <cell r="CV52">
            <v>110</v>
          </cell>
          <cell r="CW52">
            <v>220</v>
          </cell>
          <cell r="CX52">
            <v>110</v>
          </cell>
          <cell r="CY52">
            <v>110</v>
          </cell>
          <cell r="CZ52">
            <v>220</v>
          </cell>
          <cell r="DA52">
            <v>110</v>
          </cell>
          <cell r="DB52">
            <v>110</v>
          </cell>
          <cell r="DC52">
            <v>220</v>
          </cell>
          <cell r="DD52">
            <v>110</v>
          </cell>
          <cell r="DE52">
            <v>110</v>
          </cell>
          <cell r="DF52">
            <v>220</v>
          </cell>
          <cell r="DG52">
            <v>110</v>
          </cell>
          <cell r="DH52">
            <v>110</v>
          </cell>
          <cell r="DI52">
            <v>220</v>
          </cell>
          <cell r="DJ52">
            <v>110</v>
          </cell>
          <cell r="DK52">
            <v>110</v>
          </cell>
          <cell r="DL52">
            <v>220</v>
          </cell>
          <cell r="DM52">
            <v>110</v>
          </cell>
          <cell r="DN52">
            <v>110</v>
          </cell>
          <cell r="DO52">
            <v>220</v>
          </cell>
          <cell r="DP52">
            <v>110</v>
          </cell>
          <cell r="DQ52">
            <v>110</v>
          </cell>
          <cell r="DR52">
            <v>220</v>
          </cell>
          <cell r="DS52">
            <v>110</v>
          </cell>
          <cell r="DT52">
            <v>110</v>
          </cell>
          <cell r="DU52">
            <v>220</v>
          </cell>
          <cell r="DV52">
            <v>110</v>
          </cell>
          <cell r="DW52">
            <v>110</v>
          </cell>
          <cell r="DX52">
            <v>220</v>
          </cell>
          <cell r="DY52">
            <v>110</v>
          </cell>
          <cell r="DZ52">
            <v>110</v>
          </cell>
          <cell r="EA52">
            <v>220</v>
          </cell>
          <cell r="EB52">
            <v>110</v>
          </cell>
          <cell r="EC52">
            <v>110</v>
          </cell>
          <cell r="ED52">
            <v>220</v>
          </cell>
          <cell r="EE52">
            <v>110</v>
          </cell>
          <cell r="EF52">
            <v>110</v>
          </cell>
          <cell r="EG52">
            <v>220</v>
          </cell>
          <cell r="EH52">
            <v>110</v>
          </cell>
          <cell r="EI52">
            <v>110</v>
          </cell>
          <cell r="EJ52">
            <v>220</v>
          </cell>
          <cell r="EK52">
            <v>110</v>
          </cell>
          <cell r="EL52">
            <v>110</v>
          </cell>
          <cell r="EM52">
            <v>220</v>
          </cell>
          <cell r="EN52">
            <v>110</v>
          </cell>
          <cell r="EO52">
            <v>110</v>
          </cell>
          <cell r="EP52">
            <v>220</v>
          </cell>
          <cell r="EQ52">
            <v>110</v>
          </cell>
          <cell r="ER52">
            <v>110</v>
          </cell>
          <cell r="ES52">
            <v>220</v>
          </cell>
          <cell r="ET52">
            <v>110</v>
          </cell>
          <cell r="EU52">
            <v>110</v>
          </cell>
          <cell r="EV52">
            <v>220</v>
          </cell>
          <cell r="EW52">
            <v>110</v>
          </cell>
          <cell r="EX52">
            <v>110</v>
          </cell>
          <cell r="EY52">
            <v>220</v>
          </cell>
          <cell r="EZ52">
            <v>110</v>
          </cell>
          <cell r="FA52">
            <v>110</v>
          </cell>
          <cell r="FB52">
            <v>220</v>
          </cell>
          <cell r="FC52">
            <v>110</v>
          </cell>
          <cell r="FD52">
            <v>110</v>
          </cell>
          <cell r="FE52">
            <v>220</v>
          </cell>
          <cell r="FF52">
            <v>110</v>
          </cell>
          <cell r="FG52">
            <v>110</v>
          </cell>
          <cell r="FH52">
            <v>220</v>
          </cell>
          <cell r="FI52">
            <v>110</v>
          </cell>
          <cell r="FJ52">
            <v>110</v>
          </cell>
          <cell r="FK52">
            <v>220</v>
          </cell>
          <cell r="FL52">
            <v>110</v>
          </cell>
          <cell r="FM52">
            <v>110</v>
          </cell>
          <cell r="FN52">
            <v>220</v>
          </cell>
          <cell r="FO52">
            <v>110</v>
          </cell>
          <cell r="FP52">
            <v>110</v>
          </cell>
          <cell r="FQ52">
            <v>220</v>
          </cell>
          <cell r="FR52">
            <v>110</v>
          </cell>
          <cell r="FS52">
            <v>110</v>
          </cell>
          <cell r="FT52">
            <v>220</v>
          </cell>
          <cell r="FU52">
            <v>110</v>
          </cell>
          <cell r="FV52">
            <v>110</v>
          </cell>
          <cell r="FW52">
            <v>220</v>
          </cell>
          <cell r="FX52">
            <v>70</v>
          </cell>
          <cell r="FY52">
            <v>70</v>
          </cell>
          <cell r="FZ52">
            <v>140</v>
          </cell>
          <cell r="GA52">
            <v>70</v>
          </cell>
          <cell r="GB52">
            <v>70</v>
          </cell>
          <cell r="GC52">
            <v>140</v>
          </cell>
          <cell r="GD52">
            <v>70</v>
          </cell>
          <cell r="GE52">
            <v>70</v>
          </cell>
          <cell r="GF52">
            <v>140</v>
          </cell>
          <cell r="GG52">
            <v>70</v>
          </cell>
          <cell r="GH52">
            <v>70</v>
          </cell>
          <cell r="GI52">
            <v>140</v>
          </cell>
          <cell r="GJ52">
            <v>70</v>
          </cell>
          <cell r="GK52">
            <v>70</v>
          </cell>
          <cell r="GL52">
            <v>140</v>
          </cell>
          <cell r="GM52">
            <v>70</v>
          </cell>
          <cell r="GN52">
            <v>70</v>
          </cell>
          <cell r="GO52">
            <v>140</v>
          </cell>
          <cell r="GP52">
            <v>70</v>
          </cell>
          <cell r="GQ52">
            <v>70</v>
          </cell>
          <cell r="GR52">
            <v>140</v>
          </cell>
          <cell r="GS52">
            <v>70</v>
          </cell>
          <cell r="GT52">
            <v>70</v>
          </cell>
          <cell r="GU52">
            <v>140</v>
          </cell>
          <cell r="GV52">
            <v>70</v>
          </cell>
          <cell r="GW52">
            <v>70</v>
          </cell>
          <cell r="GX52">
            <v>140</v>
          </cell>
        </row>
        <row r="53">
          <cell r="A53" t="str">
            <v>Milling</v>
          </cell>
          <cell r="B53" t="str">
            <v>A$/oz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192</v>
          </cell>
          <cell r="O53">
            <v>210.22813089827531</v>
          </cell>
          <cell r="P53">
            <v>162.41600332926694</v>
          </cell>
          <cell r="Q53">
            <v>142.7423981640849</v>
          </cell>
          <cell r="R53">
            <v>124.89959839357431</v>
          </cell>
          <cell r="S53">
            <v>124.89959839357431</v>
          </cell>
          <cell r="T53">
            <v>124.89959839357431</v>
          </cell>
          <cell r="U53">
            <v>124.89959839357431</v>
          </cell>
          <cell r="V53">
            <v>124.89959839357431</v>
          </cell>
          <cell r="W53">
            <v>117.09337349397592</v>
          </cell>
          <cell r="X53">
            <v>117.09337349397592</v>
          </cell>
          <cell r="Y53">
            <v>117.09337349397592</v>
          </cell>
          <cell r="Z53">
            <v>117.09337349397592</v>
          </cell>
          <cell r="AA53">
            <v>117.09337349397592</v>
          </cell>
          <cell r="AB53">
            <v>117.09337349397592</v>
          </cell>
          <cell r="AC53">
            <v>117.09337349397592</v>
          </cell>
          <cell r="AD53">
            <v>117.09337349397592</v>
          </cell>
          <cell r="AE53">
            <v>117.09337349397592</v>
          </cell>
          <cell r="AF53">
            <v>117.09337349397592</v>
          </cell>
          <cell r="AG53">
            <v>117.09337349397592</v>
          </cell>
          <cell r="AH53">
            <v>117.09337349397592</v>
          </cell>
          <cell r="AI53">
            <v>117.09337349397592</v>
          </cell>
          <cell r="AJ53">
            <v>117.09337349397592</v>
          </cell>
          <cell r="AK53">
            <v>117.09337349397592</v>
          </cell>
          <cell r="AL53">
            <v>117.09337349397592</v>
          </cell>
          <cell r="AM53">
            <v>117.09337349397592</v>
          </cell>
          <cell r="AN53">
            <v>117.09337349397592</v>
          </cell>
          <cell r="AO53">
            <v>117.09337349397592</v>
          </cell>
          <cell r="AP53">
            <v>117.09337349397592</v>
          </cell>
          <cell r="AQ53">
            <v>117.09337349397592</v>
          </cell>
          <cell r="AR53">
            <v>117.09337349397592</v>
          </cell>
          <cell r="AS53">
            <v>234.18674698795184</v>
          </cell>
          <cell r="AT53">
            <v>234.18674698795184</v>
          </cell>
          <cell r="AU53">
            <v>234.18674698795184</v>
          </cell>
          <cell r="AV53">
            <v>234.18674698795184</v>
          </cell>
          <cell r="AW53">
            <v>234.18674698795184</v>
          </cell>
          <cell r="AX53">
            <v>234.18674698795184</v>
          </cell>
          <cell r="AY53">
            <v>234.18674698795184</v>
          </cell>
          <cell r="AZ53">
            <v>234.18674698795184</v>
          </cell>
          <cell r="BA53">
            <v>234.18674698795184</v>
          </cell>
          <cell r="CI53">
            <v>182</v>
          </cell>
          <cell r="CJ53">
            <v>203.89274692425857</v>
          </cell>
          <cell r="CK53">
            <v>192</v>
          </cell>
          <cell r="CL53">
            <v>213.65576346726894</v>
          </cell>
          <cell r="CM53">
            <v>206.90873935777623</v>
          </cell>
          <cell r="CN53">
            <v>210.22813089827531</v>
          </cell>
          <cell r="CO53">
            <v>166.53279785809906</v>
          </cell>
          <cell r="CP53">
            <v>158.49783801431769</v>
          </cell>
          <cell r="CQ53">
            <v>162.41600332926694</v>
          </cell>
          <cell r="CR53">
            <v>142.7423981640849</v>
          </cell>
          <cell r="CS53">
            <v>142.7423981640849</v>
          </cell>
          <cell r="CT53">
            <v>142.7423981640849</v>
          </cell>
          <cell r="CU53">
            <v>124.89959839357431</v>
          </cell>
          <cell r="CV53">
            <v>124.89959839357431</v>
          </cell>
          <cell r="CW53">
            <v>124.89959839357431</v>
          </cell>
          <cell r="CX53">
            <v>124.89959839357431</v>
          </cell>
          <cell r="CY53">
            <v>124.89959839357431</v>
          </cell>
          <cell r="CZ53">
            <v>124.89959839357431</v>
          </cell>
          <cell r="DA53">
            <v>124.89959839357431</v>
          </cell>
          <cell r="DB53">
            <v>124.89959839357431</v>
          </cell>
          <cell r="DC53">
            <v>124.89959839357431</v>
          </cell>
          <cell r="DD53">
            <v>124.89959839357431</v>
          </cell>
          <cell r="DE53">
            <v>124.89959839357431</v>
          </cell>
          <cell r="DF53">
            <v>124.89959839357431</v>
          </cell>
          <cell r="DG53">
            <v>124.89959839357431</v>
          </cell>
          <cell r="DH53">
            <v>124.89959839357431</v>
          </cell>
          <cell r="DI53">
            <v>124.89959839357431</v>
          </cell>
          <cell r="DJ53">
            <v>117.09337349397592</v>
          </cell>
          <cell r="DK53">
            <v>117.09337349397592</v>
          </cell>
          <cell r="DL53">
            <v>117.09337349397592</v>
          </cell>
          <cell r="DM53">
            <v>117.09337349397592</v>
          </cell>
          <cell r="DN53">
            <v>117.09337349397592</v>
          </cell>
          <cell r="DO53">
            <v>117.09337349397592</v>
          </cell>
          <cell r="DP53">
            <v>117.09337349397592</v>
          </cell>
          <cell r="DQ53">
            <v>117.09337349397592</v>
          </cell>
          <cell r="DR53">
            <v>117.09337349397592</v>
          </cell>
          <cell r="DS53">
            <v>117.09337349397592</v>
          </cell>
          <cell r="DT53">
            <v>117.09337349397592</v>
          </cell>
          <cell r="DU53">
            <v>117.09337349397592</v>
          </cell>
          <cell r="DV53">
            <v>117.09337349397592</v>
          </cell>
          <cell r="DW53">
            <v>117.09337349397592</v>
          </cell>
          <cell r="DX53">
            <v>117.09337349397592</v>
          </cell>
          <cell r="DY53">
            <v>117.09337349397592</v>
          </cell>
          <cell r="DZ53">
            <v>117.09337349397592</v>
          </cell>
          <cell r="EA53">
            <v>117.09337349397592</v>
          </cell>
          <cell r="EB53">
            <v>117.09337349397592</v>
          </cell>
          <cell r="EC53">
            <v>117.09337349397592</v>
          </cell>
          <cell r="ED53">
            <v>117.09337349397592</v>
          </cell>
          <cell r="EE53">
            <v>117.09337349397592</v>
          </cell>
          <cell r="EF53">
            <v>117.09337349397592</v>
          </cell>
          <cell r="EG53">
            <v>117.09337349397592</v>
          </cell>
          <cell r="EH53">
            <v>117.09337349397592</v>
          </cell>
          <cell r="EI53">
            <v>117.09337349397592</v>
          </cell>
          <cell r="EJ53">
            <v>117.09337349397592</v>
          </cell>
          <cell r="EK53">
            <v>117.09337349397592</v>
          </cell>
          <cell r="EL53">
            <v>117.09337349397592</v>
          </cell>
          <cell r="EM53">
            <v>117.09337349397592</v>
          </cell>
          <cell r="EN53">
            <v>117.09337349397592</v>
          </cell>
          <cell r="EO53">
            <v>117.09337349397592</v>
          </cell>
          <cell r="EP53">
            <v>117.09337349397592</v>
          </cell>
          <cell r="EQ53">
            <v>117.09337349397592</v>
          </cell>
          <cell r="ER53">
            <v>117.09337349397592</v>
          </cell>
          <cell r="ES53">
            <v>117.09337349397592</v>
          </cell>
          <cell r="ET53">
            <v>117.09337349397592</v>
          </cell>
          <cell r="EU53">
            <v>117.09337349397592</v>
          </cell>
          <cell r="EV53">
            <v>117.09337349397592</v>
          </cell>
          <cell r="EW53">
            <v>117.09337349397592</v>
          </cell>
          <cell r="EX53">
            <v>117.09337349397592</v>
          </cell>
          <cell r="EY53">
            <v>117.09337349397592</v>
          </cell>
          <cell r="EZ53">
            <v>117.09337349397592</v>
          </cell>
          <cell r="FA53">
            <v>117.09337349397592</v>
          </cell>
          <cell r="FB53">
            <v>117.09337349397592</v>
          </cell>
          <cell r="FC53">
            <v>117.09337349397592</v>
          </cell>
          <cell r="FD53">
            <v>117.09337349397592</v>
          </cell>
          <cell r="FE53">
            <v>117.09337349397592</v>
          </cell>
          <cell r="FF53">
            <v>117.09337349397592</v>
          </cell>
          <cell r="FG53">
            <v>117.09337349397592</v>
          </cell>
          <cell r="FH53">
            <v>117.09337349397592</v>
          </cell>
          <cell r="FI53">
            <v>117.09337349397592</v>
          </cell>
          <cell r="FJ53">
            <v>117.09337349397592</v>
          </cell>
          <cell r="FK53">
            <v>117.09337349397592</v>
          </cell>
          <cell r="FL53">
            <v>117.09337349397592</v>
          </cell>
          <cell r="FM53">
            <v>117.09337349397592</v>
          </cell>
          <cell r="FN53">
            <v>117.09337349397592</v>
          </cell>
          <cell r="FO53">
            <v>117.09337349397592</v>
          </cell>
          <cell r="FP53">
            <v>117.09337349397592</v>
          </cell>
          <cell r="FQ53">
            <v>117.09337349397592</v>
          </cell>
          <cell r="FR53">
            <v>117.09337349397592</v>
          </cell>
          <cell r="FS53">
            <v>117.09337349397592</v>
          </cell>
          <cell r="FT53">
            <v>117.09337349397592</v>
          </cell>
          <cell r="FU53">
            <v>117.09337349397592</v>
          </cell>
          <cell r="FV53">
            <v>117.09337349397592</v>
          </cell>
          <cell r="FW53">
            <v>117.09337349397592</v>
          </cell>
          <cell r="FX53">
            <v>234.18674698795184</v>
          </cell>
          <cell r="FY53">
            <v>234.18674698795184</v>
          </cell>
          <cell r="FZ53">
            <v>234.18674698795184</v>
          </cell>
          <cell r="GA53">
            <v>234.18674698795184</v>
          </cell>
          <cell r="GB53">
            <v>234.18674698795184</v>
          </cell>
          <cell r="GC53">
            <v>234.18674698795184</v>
          </cell>
          <cell r="GD53">
            <v>234.18674698795184</v>
          </cell>
          <cell r="GE53">
            <v>234.18674698795184</v>
          </cell>
          <cell r="GF53">
            <v>234.18674698795184</v>
          </cell>
          <cell r="GG53">
            <v>234.18674698795184</v>
          </cell>
          <cell r="GH53">
            <v>234.18674698795184</v>
          </cell>
          <cell r="GI53">
            <v>234.18674698795184</v>
          </cell>
          <cell r="GJ53">
            <v>234.18674698795184</v>
          </cell>
          <cell r="GK53">
            <v>234.18674698795184</v>
          </cell>
          <cell r="GL53">
            <v>234.18674698795184</v>
          </cell>
          <cell r="GM53">
            <v>234.18674698795184</v>
          </cell>
          <cell r="GN53">
            <v>234.18674698795184</v>
          </cell>
          <cell r="GO53">
            <v>234.18674698795184</v>
          </cell>
          <cell r="GP53">
            <v>234.18674698795184</v>
          </cell>
          <cell r="GQ53">
            <v>234.18674698795184</v>
          </cell>
          <cell r="GR53">
            <v>234.18674698795184</v>
          </cell>
          <cell r="GS53">
            <v>234.18674698795184</v>
          </cell>
          <cell r="GT53">
            <v>234.18674698795184</v>
          </cell>
          <cell r="GU53">
            <v>234.18674698795184</v>
          </cell>
          <cell r="GV53">
            <v>234.18674698795184</v>
          </cell>
          <cell r="GW53">
            <v>234.18674698795184</v>
          </cell>
          <cell r="GX53">
            <v>234.18674698795184</v>
          </cell>
        </row>
        <row r="54">
          <cell r="A54" t="str">
            <v>Milling (tonne treated)</v>
          </cell>
          <cell r="B54" t="str">
            <v>A$/t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48.878985516575476</v>
          </cell>
          <cell r="O54">
            <v>26.229508196721312</v>
          </cell>
          <cell r="P54">
            <v>19.393939393939394</v>
          </cell>
          <cell r="Q54">
            <v>13.333333333333334</v>
          </cell>
          <cell r="R54">
            <v>13.333333333333334</v>
          </cell>
          <cell r="S54">
            <v>13.333333333333334</v>
          </cell>
          <cell r="T54">
            <v>13.333333333333334</v>
          </cell>
          <cell r="U54">
            <v>13.333333333333334</v>
          </cell>
          <cell r="V54">
            <v>13.333333333333334</v>
          </cell>
          <cell r="W54">
            <v>12.5</v>
          </cell>
          <cell r="X54">
            <v>12.5</v>
          </cell>
          <cell r="Y54">
            <v>12.5</v>
          </cell>
          <cell r="Z54">
            <v>12.5</v>
          </cell>
          <cell r="AA54">
            <v>12.5</v>
          </cell>
          <cell r="AB54">
            <v>12.5</v>
          </cell>
          <cell r="AC54">
            <v>12.5</v>
          </cell>
          <cell r="AD54">
            <v>12.5</v>
          </cell>
          <cell r="AE54">
            <v>12.5</v>
          </cell>
          <cell r="AF54">
            <v>12.5</v>
          </cell>
          <cell r="AG54">
            <v>12.5</v>
          </cell>
          <cell r="AH54">
            <v>12.5</v>
          </cell>
          <cell r="AI54">
            <v>12.5</v>
          </cell>
          <cell r="AJ54">
            <v>12.5</v>
          </cell>
          <cell r="AK54">
            <v>12.5</v>
          </cell>
          <cell r="AL54">
            <v>12.5</v>
          </cell>
          <cell r="AM54">
            <v>12.5</v>
          </cell>
          <cell r="AN54">
            <v>12.5</v>
          </cell>
          <cell r="AO54">
            <v>12.5</v>
          </cell>
          <cell r="AP54">
            <v>12.5</v>
          </cell>
          <cell r="AQ54">
            <v>12.5</v>
          </cell>
          <cell r="AR54">
            <v>12.5</v>
          </cell>
          <cell r="AS54">
            <v>12.5</v>
          </cell>
          <cell r="AT54">
            <v>12.5</v>
          </cell>
          <cell r="AU54">
            <v>12.5</v>
          </cell>
          <cell r="AV54">
            <v>12.5</v>
          </cell>
          <cell r="AW54">
            <v>12.5</v>
          </cell>
          <cell r="AX54">
            <v>12.5</v>
          </cell>
          <cell r="AY54">
            <v>12.5</v>
          </cell>
          <cell r="AZ54">
            <v>12.5</v>
          </cell>
          <cell r="BA54">
            <v>12.5</v>
          </cell>
          <cell r="CI54">
            <v>25.169481171548117</v>
          </cell>
          <cell r="CJ54">
            <v>28.19711348750193</v>
          </cell>
          <cell r="CK54">
            <v>48.878985516575476</v>
          </cell>
          <cell r="CL54">
            <v>26.229508196721312</v>
          </cell>
          <cell r="CM54">
            <v>26.229508196721312</v>
          </cell>
          <cell r="CN54">
            <v>26.229508196721312</v>
          </cell>
          <cell r="CO54">
            <v>20</v>
          </cell>
          <cell r="CP54">
            <v>18.823529411764703</v>
          </cell>
          <cell r="CQ54">
            <v>19.393939393939394</v>
          </cell>
          <cell r="CR54">
            <v>13.333333333333334</v>
          </cell>
          <cell r="CS54">
            <v>13.333333333333334</v>
          </cell>
          <cell r="CT54">
            <v>13.333333333333334</v>
          </cell>
          <cell r="CU54">
            <v>13.333333333333334</v>
          </cell>
          <cell r="CV54">
            <v>13.333333333333334</v>
          </cell>
          <cell r="CW54">
            <v>13.333333333333334</v>
          </cell>
          <cell r="CX54">
            <v>13.333333333333334</v>
          </cell>
          <cell r="CY54">
            <v>13.333333333333334</v>
          </cell>
          <cell r="CZ54">
            <v>13.333333333333334</v>
          </cell>
          <cell r="DA54">
            <v>13.333333333333334</v>
          </cell>
          <cell r="DB54">
            <v>13.333333333333334</v>
          </cell>
          <cell r="DC54">
            <v>13.333333333333334</v>
          </cell>
          <cell r="DD54">
            <v>13.333333333333334</v>
          </cell>
          <cell r="DE54">
            <v>13.333333333333334</v>
          </cell>
          <cell r="DF54">
            <v>13.333333333333334</v>
          </cell>
          <cell r="DG54">
            <v>13.333333333333334</v>
          </cell>
          <cell r="DH54">
            <v>13.333333333333334</v>
          </cell>
          <cell r="DI54">
            <v>13.333333333333334</v>
          </cell>
          <cell r="DJ54">
            <v>12.5</v>
          </cell>
          <cell r="DK54">
            <v>12.5</v>
          </cell>
          <cell r="DL54">
            <v>12.5</v>
          </cell>
          <cell r="DM54">
            <v>12.5</v>
          </cell>
          <cell r="DN54">
            <v>12.5</v>
          </cell>
          <cell r="DO54">
            <v>12.5</v>
          </cell>
          <cell r="DP54">
            <v>12.5</v>
          </cell>
          <cell r="DQ54">
            <v>12.5</v>
          </cell>
          <cell r="DR54">
            <v>12.5</v>
          </cell>
          <cell r="DS54">
            <v>12.5</v>
          </cell>
          <cell r="DT54">
            <v>12.5</v>
          </cell>
          <cell r="DU54">
            <v>12.5</v>
          </cell>
          <cell r="DV54">
            <v>12.5</v>
          </cell>
          <cell r="DW54">
            <v>12.5</v>
          </cell>
          <cell r="DX54">
            <v>12.5</v>
          </cell>
          <cell r="DY54">
            <v>12.5</v>
          </cell>
          <cell r="DZ54">
            <v>12.5</v>
          </cell>
          <cell r="EA54">
            <v>12.5</v>
          </cell>
          <cell r="EB54">
            <v>12.5</v>
          </cell>
          <cell r="EC54">
            <v>12.5</v>
          </cell>
          <cell r="ED54">
            <v>12.5</v>
          </cell>
          <cell r="EE54">
            <v>12.5</v>
          </cell>
          <cell r="EF54">
            <v>12.5</v>
          </cell>
          <cell r="EG54">
            <v>12.5</v>
          </cell>
          <cell r="EH54">
            <v>12.5</v>
          </cell>
          <cell r="EI54">
            <v>12.5</v>
          </cell>
          <cell r="EJ54">
            <v>12.5</v>
          </cell>
          <cell r="EK54">
            <v>12.5</v>
          </cell>
          <cell r="EL54">
            <v>12.5</v>
          </cell>
          <cell r="EM54">
            <v>12.5</v>
          </cell>
          <cell r="EN54">
            <v>12.5</v>
          </cell>
          <cell r="EO54">
            <v>12.5</v>
          </cell>
          <cell r="EP54">
            <v>12.5</v>
          </cell>
          <cell r="EQ54">
            <v>12.5</v>
          </cell>
          <cell r="ER54">
            <v>12.5</v>
          </cell>
          <cell r="ES54">
            <v>12.5</v>
          </cell>
          <cell r="ET54">
            <v>12.5</v>
          </cell>
          <cell r="EU54">
            <v>12.5</v>
          </cell>
          <cell r="EV54">
            <v>12.5</v>
          </cell>
          <cell r="EW54">
            <v>12.5</v>
          </cell>
          <cell r="EX54">
            <v>12.5</v>
          </cell>
          <cell r="EY54">
            <v>12.5</v>
          </cell>
          <cell r="EZ54">
            <v>12.5</v>
          </cell>
          <cell r="FA54">
            <v>12.5</v>
          </cell>
          <cell r="FB54">
            <v>12.5</v>
          </cell>
          <cell r="FC54">
            <v>12.5</v>
          </cell>
          <cell r="FD54">
            <v>12.5</v>
          </cell>
          <cell r="FE54">
            <v>12.5</v>
          </cell>
          <cell r="FF54">
            <v>12.5</v>
          </cell>
          <cell r="FG54">
            <v>12.5</v>
          </cell>
          <cell r="FH54">
            <v>12.5</v>
          </cell>
          <cell r="FI54">
            <v>12.5</v>
          </cell>
          <cell r="FJ54">
            <v>12.5</v>
          </cell>
          <cell r="FK54">
            <v>12.5</v>
          </cell>
          <cell r="FL54">
            <v>12.5</v>
          </cell>
          <cell r="FM54">
            <v>12.5</v>
          </cell>
          <cell r="FN54">
            <v>12.5</v>
          </cell>
          <cell r="FO54">
            <v>12.5</v>
          </cell>
          <cell r="FP54">
            <v>12.5</v>
          </cell>
          <cell r="FQ54">
            <v>12.5</v>
          </cell>
          <cell r="FR54">
            <v>12.5</v>
          </cell>
          <cell r="FS54">
            <v>12.5</v>
          </cell>
          <cell r="FT54">
            <v>12.5</v>
          </cell>
          <cell r="FU54">
            <v>12.5</v>
          </cell>
          <cell r="FV54">
            <v>12.5</v>
          </cell>
          <cell r="FW54">
            <v>12.5</v>
          </cell>
          <cell r="FX54">
            <v>12.5</v>
          </cell>
          <cell r="FY54">
            <v>12.5</v>
          </cell>
          <cell r="FZ54">
            <v>12.5</v>
          </cell>
          <cell r="GA54">
            <v>12.5</v>
          </cell>
          <cell r="GB54">
            <v>12.5</v>
          </cell>
          <cell r="GC54">
            <v>12.5</v>
          </cell>
          <cell r="GD54">
            <v>12.5</v>
          </cell>
          <cell r="GE54">
            <v>12.5</v>
          </cell>
          <cell r="GF54">
            <v>12.5</v>
          </cell>
          <cell r="GG54">
            <v>12.5</v>
          </cell>
          <cell r="GH54">
            <v>12.5</v>
          </cell>
          <cell r="GI54">
            <v>12.5</v>
          </cell>
          <cell r="GJ54">
            <v>12.5</v>
          </cell>
          <cell r="GK54">
            <v>12.5</v>
          </cell>
          <cell r="GL54">
            <v>12.5</v>
          </cell>
          <cell r="GM54">
            <v>12.5</v>
          </cell>
          <cell r="GN54">
            <v>12.5</v>
          </cell>
          <cell r="GO54">
            <v>12.5</v>
          </cell>
          <cell r="GP54">
            <v>12.5</v>
          </cell>
          <cell r="GQ54">
            <v>12.5</v>
          </cell>
          <cell r="GR54">
            <v>12.5</v>
          </cell>
          <cell r="GS54">
            <v>12.5</v>
          </cell>
          <cell r="GT54">
            <v>12.5</v>
          </cell>
          <cell r="GU54">
            <v>12.5</v>
          </cell>
          <cell r="GV54">
            <v>12.5</v>
          </cell>
          <cell r="GW54">
            <v>12.5</v>
          </cell>
          <cell r="GX54">
            <v>12.5</v>
          </cell>
        </row>
        <row r="55">
          <cell r="A55" t="str">
            <v>Milling</v>
          </cell>
          <cell r="B55" t="str">
            <v>A$mn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151.867008</v>
          </cell>
          <cell r="O55">
            <v>160</v>
          </cell>
          <cell r="P55">
            <v>160</v>
          </cell>
          <cell r="Q55">
            <v>160</v>
          </cell>
          <cell r="R55">
            <v>160</v>
          </cell>
          <cell r="S55">
            <v>160</v>
          </cell>
          <cell r="T55">
            <v>160</v>
          </cell>
          <cell r="U55">
            <v>160</v>
          </cell>
          <cell r="V55">
            <v>160</v>
          </cell>
          <cell r="W55">
            <v>150</v>
          </cell>
          <cell r="X55">
            <v>150</v>
          </cell>
          <cell r="Y55">
            <v>150</v>
          </cell>
          <cell r="Z55">
            <v>150</v>
          </cell>
          <cell r="AA55">
            <v>150</v>
          </cell>
          <cell r="AB55">
            <v>150</v>
          </cell>
          <cell r="AC55">
            <v>150</v>
          </cell>
          <cell r="AD55">
            <v>150</v>
          </cell>
          <cell r="AE55">
            <v>150</v>
          </cell>
          <cell r="AF55">
            <v>150</v>
          </cell>
          <cell r="AG55">
            <v>150</v>
          </cell>
          <cell r="AH55">
            <v>150</v>
          </cell>
          <cell r="AI55">
            <v>150</v>
          </cell>
          <cell r="AJ55">
            <v>150</v>
          </cell>
          <cell r="AK55">
            <v>150</v>
          </cell>
          <cell r="AL55">
            <v>150</v>
          </cell>
          <cell r="AM55">
            <v>150</v>
          </cell>
          <cell r="AN55">
            <v>150</v>
          </cell>
          <cell r="AO55">
            <v>150</v>
          </cell>
          <cell r="AP55">
            <v>150</v>
          </cell>
          <cell r="AQ55">
            <v>150</v>
          </cell>
          <cell r="AR55">
            <v>150</v>
          </cell>
          <cell r="AS55">
            <v>150</v>
          </cell>
          <cell r="AT55">
            <v>150</v>
          </cell>
          <cell r="AU55">
            <v>150</v>
          </cell>
          <cell r="AV55">
            <v>150</v>
          </cell>
          <cell r="AW55">
            <v>150</v>
          </cell>
          <cell r="AX55">
            <v>150</v>
          </cell>
          <cell r="AY55">
            <v>150</v>
          </cell>
          <cell r="AZ55">
            <v>150</v>
          </cell>
          <cell r="BA55">
            <v>150</v>
          </cell>
          <cell r="CI55">
            <v>78.201577999999998</v>
          </cell>
          <cell r="CJ55">
            <v>73.665430000000001</v>
          </cell>
          <cell r="CK55">
            <v>151.867008</v>
          </cell>
          <cell r="CL55">
            <v>80</v>
          </cell>
          <cell r="CM55">
            <v>80</v>
          </cell>
          <cell r="CN55">
            <v>160</v>
          </cell>
          <cell r="CO55">
            <v>80</v>
          </cell>
          <cell r="CP55">
            <v>80</v>
          </cell>
          <cell r="CQ55">
            <v>160</v>
          </cell>
          <cell r="CR55">
            <v>80</v>
          </cell>
          <cell r="CS55">
            <v>80</v>
          </cell>
          <cell r="CT55">
            <v>160</v>
          </cell>
          <cell r="CU55">
            <v>80</v>
          </cell>
          <cell r="CV55">
            <v>80</v>
          </cell>
          <cell r="CW55">
            <v>160</v>
          </cell>
          <cell r="CX55">
            <v>80</v>
          </cell>
          <cell r="CY55">
            <v>80</v>
          </cell>
          <cell r="CZ55">
            <v>160</v>
          </cell>
          <cell r="DA55">
            <v>80</v>
          </cell>
          <cell r="DB55">
            <v>80</v>
          </cell>
          <cell r="DC55">
            <v>160</v>
          </cell>
          <cell r="DD55">
            <v>80</v>
          </cell>
          <cell r="DE55">
            <v>80</v>
          </cell>
          <cell r="DF55">
            <v>160</v>
          </cell>
          <cell r="DG55">
            <v>80</v>
          </cell>
          <cell r="DH55">
            <v>80</v>
          </cell>
          <cell r="DI55">
            <v>160</v>
          </cell>
          <cell r="DJ55">
            <v>75</v>
          </cell>
          <cell r="DK55">
            <v>75</v>
          </cell>
          <cell r="DL55">
            <v>150</v>
          </cell>
          <cell r="DM55">
            <v>75</v>
          </cell>
          <cell r="DN55">
            <v>75</v>
          </cell>
          <cell r="DO55">
            <v>150</v>
          </cell>
          <cell r="DP55">
            <v>75</v>
          </cell>
          <cell r="DQ55">
            <v>75</v>
          </cell>
          <cell r="DR55">
            <v>150</v>
          </cell>
          <cell r="DS55">
            <v>75</v>
          </cell>
          <cell r="DT55">
            <v>75</v>
          </cell>
          <cell r="DU55">
            <v>150</v>
          </cell>
          <cell r="DV55">
            <v>75</v>
          </cell>
          <cell r="DW55">
            <v>75</v>
          </cell>
          <cell r="DX55">
            <v>150</v>
          </cell>
          <cell r="DY55">
            <v>75</v>
          </cell>
          <cell r="DZ55">
            <v>75</v>
          </cell>
          <cell r="EA55">
            <v>150</v>
          </cell>
          <cell r="EB55">
            <v>75</v>
          </cell>
          <cell r="EC55">
            <v>75</v>
          </cell>
          <cell r="ED55">
            <v>150</v>
          </cell>
          <cell r="EE55">
            <v>75</v>
          </cell>
          <cell r="EF55">
            <v>75</v>
          </cell>
          <cell r="EG55">
            <v>150</v>
          </cell>
          <cell r="EH55">
            <v>75</v>
          </cell>
          <cell r="EI55">
            <v>75</v>
          </cell>
          <cell r="EJ55">
            <v>150</v>
          </cell>
          <cell r="EK55">
            <v>75</v>
          </cell>
          <cell r="EL55">
            <v>75</v>
          </cell>
          <cell r="EM55">
            <v>150</v>
          </cell>
          <cell r="EN55">
            <v>75</v>
          </cell>
          <cell r="EO55">
            <v>75</v>
          </cell>
          <cell r="EP55">
            <v>150</v>
          </cell>
          <cell r="EQ55">
            <v>75</v>
          </cell>
          <cell r="ER55">
            <v>75</v>
          </cell>
          <cell r="ES55">
            <v>150</v>
          </cell>
          <cell r="ET55">
            <v>75</v>
          </cell>
          <cell r="EU55">
            <v>75</v>
          </cell>
          <cell r="EV55">
            <v>150</v>
          </cell>
          <cell r="EW55">
            <v>75</v>
          </cell>
          <cell r="EX55">
            <v>75</v>
          </cell>
          <cell r="EY55">
            <v>150</v>
          </cell>
          <cell r="EZ55">
            <v>75</v>
          </cell>
          <cell r="FA55">
            <v>75</v>
          </cell>
          <cell r="FB55">
            <v>150</v>
          </cell>
          <cell r="FC55">
            <v>75</v>
          </cell>
          <cell r="FD55">
            <v>75</v>
          </cell>
          <cell r="FE55">
            <v>150</v>
          </cell>
          <cell r="FF55">
            <v>75</v>
          </cell>
          <cell r="FG55">
            <v>75</v>
          </cell>
          <cell r="FH55">
            <v>150</v>
          </cell>
          <cell r="FI55">
            <v>75</v>
          </cell>
          <cell r="FJ55">
            <v>75</v>
          </cell>
          <cell r="FK55">
            <v>150</v>
          </cell>
          <cell r="FL55">
            <v>75</v>
          </cell>
          <cell r="FM55">
            <v>75</v>
          </cell>
          <cell r="FN55">
            <v>150</v>
          </cell>
          <cell r="FO55">
            <v>75</v>
          </cell>
          <cell r="FP55">
            <v>75</v>
          </cell>
          <cell r="FQ55">
            <v>150</v>
          </cell>
          <cell r="FR55">
            <v>75</v>
          </cell>
          <cell r="FS55">
            <v>75</v>
          </cell>
          <cell r="FT55">
            <v>150</v>
          </cell>
          <cell r="FU55">
            <v>75</v>
          </cell>
          <cell r="FV55">
            <v>75</v>
          </cell>
          <cell r="FW55">
            <v>150</v>
          </cell>
          <cell r="FX55">
            <v>75</v>
          </cell>
          <cell r="FY55">
            <v>75</v>
          </cell>
          <cell r="FZ55">
            <v>150</v>
          </cell>
          <cell r="GA55">
            <v>75</v>
          </cell>
          <cell r="GB55">
            <v>75</v>
          </cell>
          <cell r="GC55">
            <v>150</v>
          </cell>
          <cell r="GD55">
            <v>75</v>
          </cell>
          <cell r="GE55">
            <v>75</v>
          </cell>
          <cell r="GF55">
            <v>150</v>
          </cell>
          <cell r="GG55">
            <v>75</v>
          </cell>
          <cell r="GH55">
            <v>75</v>
          </cell>
          <cell r="GI55">
            <v>150</v>
          </cell>
          <cell r="GJ55">
            <v>75</v>
          </cell>
          <cell r="GK55">
            <v>75</v>
          </cell>
          <cell r="GL55">
            <v>150</v>
          </cell>
          <cell r="GM55">
            <v>75</v>
          </cell>
          <cell r="GN55">
            <v>75</v>
          </cell>
          <cell r="GO55">
            <v>150</v>
          </cell>
          <cell r="GP55">
            <v>75</v>
          </cell>
          <cell r="GQ55">
            <v>75</v>
          </cell>
          <cell r="GR55">
            <v>150</v>
          </cell>
          <cell r="GS55">
            <v>75</v>
          </cell>
          <cell r="GT55">
            <v>75</v>
          </cell>
          <cell r="GU55">
            <v>150</v>
          </cell>
          <cell r="GV55">
            <v>75</v>
          </cell>
          <cell r="GW55">
            <v>75</v>
          </cell>
          <cell r="GX55">
            <v>150</v>
          </cell>
        </row>
        <row r="56">
          <cell r="A56" t="str">
            <v>Admin</v>
          </cell>
          <cell r="B56" t="str">
            <v>A$/oz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175</v>
          </cell>
          <cell r="O56">
            <v>183.94961453599089</v>
          </cell>
          <cell r="P56">
            <v>142.11400291310858</v>
          </cell>
          <cell r="Q56">
            <v>124.89959839357431</v>
          </cell>
          <cell r="R56">
            <v>109.28714859437753</v>
          </cell>
          <cell r="S56">
            <v>109.28714859437753</v>
          </cell>
          <cell r="T56">
            <v>109.28714859437753</v>
          </cell>
          <cell r="U56">
            <v>109.28714859437753</v>
          </cell>
          <cell r="V56">
            <v>109.28714859437753</v>
          </cell>
          <cell r="W56">
            <v>101.48092369477912</v>
          </cell>
          <cell r="X56">
            <v>101.48092369477912</v>
          </cell>
          <cell r="Y56">
            <v>101.48092369477912</v>
          </cell>
          <cell r="Z56">
            <v>101.48092369477912</v>
          </cell>
          <cell r="AA56">
            <v>101.48092369477912</v>
          </cell>
          <cell r="AB56">
            <v>101.48092369477912</v>
          </cell>
          <cell r="AC56">
            <v>101.48092369477912</v>
          </cell>
          <cell r="AD56">
            <v>101.48092369477912</v>
          </cell>
          <cell r="AE56">
            <v>101.48092369477912</v>
          </cell>
          <cell r="AF56">
            <v>101.48092369477912</v>
          </cell>
          <cell r="AG56">
            <v>101.48092369477912</v>
          </cell>
          <cell r="AH56">
            <v>101.48092369477912</v>
          </cell>
          <cell r="AI56">
            <v>101.48092369477912</v>
          </cell>
          <cell r="AJ56">
            <v>101.48092369477912</v>
          </cell>
          <cell r="AK56">
            <v>101.48092369477912</v>
          </cell>
          <cell r="AL56">
            <v>101.48092369477912</v>
          </cell>
          <cell r="AM56">
            <v>101.48092369477912</v>
          </cell>
          <cell r="AN56">
            <v>101.48092369477912</v>
          </cell>
          <cell r="AO56">
            <v>101.48092369477912</v>
          </cell>
          <cell r="AP56">
            <v>101.48092369477912</v>
          </cell>
          <cell r="AQ56">
            <v>101.48092369477912</v>
          </cell>
          <cell r="AR56">
            <v>101.48092369477912</v>
          </cell>
          <cell r="AS56">
            <v>156.1244979919679</v>
          </cell>
          <cell r="AT56">
            <v>156.1244979919679</v>
          </cell>
          <cell r="AU56">
            <v>156.1244979919679</v>
          </cell>
          <cell r="AV56">
            <v>156.1244979919679</v>
          </cell>
          <cell r="AW56">
            <v>156.1244979919679</v>
          </cell>
          <cell r="AX56">
            <v>156.1244979919679</v>
          </cell>
          <cell r="AY56">
            <v>156.1244979919679</v>
          </cell>
          <cell r="AZ56">
            <v>156.1244979919679</v>
          </cell>
          <cell r="BA56">
            <v>156.1244979919679</v>
          </cell>
          <cell r="CI56">
            <v>149</v>
          </cell>
          <cell r="CJ56">
            <v>205.92114200307228</v>
          </cell>
          <cell r="CK56">
            <v>175</v>
          </cell>
          <cell r="CL56">
            <v>186.94879303386034</v>
          </cell>
          <cell r="CM56">
            <v>181.04514693805422</v>
          </cell>
          <cell r="CN56">
            <v>183.94961453599089</v>
          </cell>
          <cell r="CO56">
            <v>145.71619812583671</v>
          </cell>
          <cell r="CP56">
            <v>138.68560826252798</v>
          </cell>
          <cell r="CQ56">
            <v>142.11400291310858</v>
          </cell>
          <cell r="CR56">
            <v>124.89959839357431</v>
          </cell>
          <cell r="CS56">
            <v>124.89959839357431</v>
          </cell>
          <cell r="CT56">
            <v>124.89959839357431</v>
          </cell>
          <cell r="CU56">
            <v>109.28714859437753</v>
          </cell>
          <cell r="CV56">
            <v>109.28714859437753</v>
          </cell>
          <cell r="CW56">
            <v>109.28714859437753</v>
          </cell>
          <cell r="CX56">
            <v>109.28714859437753</v>
          </cell>
          <cell r="CY56">
            <v>109.28714859437753</v>
          </cell>
          <cell r="CZ56">
            <v>109.28714859437753</v>
          </cell>
          <cell r="DA56">
            <v>109.28714859437753</v>
          </cell>
          <cell r="DB56">
            <v>109.28714859437753</v>
          </cell>
          <cell r="DC56">
            <v>109.28714859437753</v>
          </cell>
          <cell r="DD56">
            <v>109.28714859437753</v>
          </cell>
          <cell r="DE56">
            <v>109.28714859437753</v>
          </cell>
          <cell r="DF56">
            <v>109.28714859437753</v>
          </cell>
          <cell r="DG56">
            <v>109.28714859437753</v>
          </cell>
          <cell r="DH56">
            <v>109.28714859437753</v>
          </cell>
          <cell r="DI56">
            <v>109.28714859437753</v>
          </cell>
          <cell r="DJ56">
            <v>101.48092369477912</v>
          </cell>
          <cell r="DK56">
            <v>101.48092369477912</v>
          </cell>
          <cell r="DL56">
            <v>101.48092369477912</v>
          </cell>
          <cell r="DM56">
            <v>101.48092369477912</v>
          </cell>
          <cell r="DN56">
            <v>101.48092369477912</v>
          </cell>
          <cell r="DO56">
            <v>101.48092369477912</v>
          </cell>
          <cell r="DP56">
            <v>101.48092369477912</v>
          </cell>
          <cell r="DQ56">
            <v>101.48092369477912</v>
          </cell>
          <cell r="DR56">
            <v>101.48092369477912</v>
          </cell>
          <cell r="DS56">
            <v>101.48092369477912</v>
          </cell>
          <cell r="DT56">
            <v>101.48092369477912</v>
          </cell>
          <cell r="DU56">
            <v>101.48092369477912</v>
          </cell>
          <cell r="DV56">
            <v>101.48092369477912</v>
          </cell>
          <cell r="DW56">
            <v>101.48092369477912</v>
          </cell>
          <cell r="DX56">
            <v>101.48092369477912</v>
          </cell>
          <cell r="DY56">
            <v>101.48092369477912</v>
          </cell>
          <cell r="DZ56">
            <v>101.48092369477912</v>
          </cell>
          <cell r="EA56">
            <v>101.48092369477912</v>
          </cell>
          <cell r="EB56">
            <v>101.48092369477912</v>
          </cell>
          <cell r="EC56">
            <v>101.48092369477912</v>
          </cell>
          <cell r="ED56">
            <v>101.48092369477912</v>
          </cell>
          <cell r="EE56">
            <v>101.48092369477912</v>
          </cell>
          <cell r="EF56">
            <v>101.48092369477912</v>
          </cell>
          <cell r="EG56">
            <v>101.48092369477912</v>
          </cell>
          <cell r="EH56">
            <v>101.48092369477912</v>
          </cell>
          <cell r="EI56">
            <v>101.48092369477912</v>
          </cell>
          <cell r="EJ56">
            <v>101.48092369477912</v>
          </cell>
          <cell r="EK56">
            <v>101.48092369477912</v>
          </cell>
          <cell r="EL56">
            <v>101.48092369477912</v>
          </cell>
          <cell r="EM56">
            <v>101.48092369477912</v>
          </cell>
          <cell r="EN56">
            <v>101.48092369477912</v>
          </cell>
          <cell r="EO56">
            <v>101.48092369477912</v>
          </cell>
          <cell r="EP56">
            <v>101.48092369477912</v>
          </cell>
          <cell r="EQ56">
            <v>101.48092369477912</v>
          </cell>
          <cell r="ER56">
            <v>101.48092369477912</v>
          </cell>
          <cell r="ES56">
            <v>101.48092369477912</v>
          </cell>
          <cell r="ET56">
            <v>101.48092369477912</v>
          </cell>
          <cell r="EU56">
            <v>101.48092369477912</v>
          </cell>
          <cell r="EV56">
            <v>101.48092369477912</v>
          </cell>
          <cell r="EW56">
            <v>101.48092369477912</v>
          </cell>
          <cell r="EX56">
            <v>101.48092369477912</v>
          </cell>
          <cell r="EY56">
            <v>101.48092369477912</v>
          </cell>
          <cell r="EZ56">
            <v>101.48092369477912</v>
          </cell>
          <cell r="FA56">
            <v>101.48092369477912</v>
          </cell>
          <cell r="FB56">
            <v>101.48092369477912</v>
          </cell>
          <cell r="FC56">
            <v>101.48092369477912</v>
          </cell>
          <cell r="FD56">
            <v>101.48092369477912</v>
          </cell>
          <cell r="FE56">
            <v>101.48092369477912</v>
          </cell>
          <cell r="FF56">
            <v>101.48092369477912</v>
          </cell>
          <cell r="FG56">
            <v>101.48092369477912</v>
          </cell>
          <cell r="FH56">
            <v>101.48092369477912</v>
          </cell>
          <cell r="FI56">
            <v>101.48092369477912</v>
          </cell>
          <cell r="FJ56">
            <v>101.48092369477912</v>
          </cell>
          <cell r="FK56">
            <v>101.48092369477912</v>
          </cell>
          <cell r="FL56">
            <v>101.48092369477912</v>
          </cell>
          <cell r="FM56">
            <v>101.48092369477912</v>
          </cell>
          <cell r="FN56">
            <v>101.48092369477912</v>
          </cell>
          <cell r="FO56">
            <v>101.48092369477912</v>
          </cell>
          <cell r="FP56">
            <v>101.48092369477912</v>
          </cell>
          <cell r="FQ56">
            <v>101.48092369477912</v>
          </cell>
          <cell r="FR56">
            <v>101.48092369477912</v>
          </cell>
          <cell r="FS56">
            <v>101.48092369477912</v>
          </cell>
          <cell r="FT56">
            <v>101.48092369477912</v>
          </cell>
          <cell r="FU56">
            <v>101.48092369477912</v>
          </cell>
          <cell r="FV56">
            <v>101.48092369477912</v>
          </cell>
          <cell r="FW56">
            <v>101.48092369477912</v>
          </cell>
          <cell r="FX56">
            <v>156.1244979919679</v>
          </cell>
          <cell r="FY56">
            <v>156.1244979919679</v>
          </cell>
          <cell r="FZ56">
            <v>156.1244979919679</v>
          </cell>
          <cell r="GA56">
            <v>156.1244979919679</v>
          </cell>
          <cell r="GB56">
            <v>156.1244979919679</v>
          </cell>
          <cell r="GC56">
            <v>156.1244979919679</v>
          </cell>
          <cell r="GD56">
            <v>156.1244979919679</v>
          </cell>
          <cell r="GE56">
            <v>156.1244979919679</v>
          </cell>
          <cell r="GF56">
            <v>156.1244979919679</v>
          </cell>
          <cell r="GG56">
            <v>156.1244979919679</v>
          </cell>
          <cell r="GH56">
            <v>156.1244979919679</v>
          </cell>
          <cell r="GI56">
            <v>156.1244979919679</v>
          </cell>
          <cell r="GJ56">
            <v>156.1244979919679</v>
          </cell>
          <cell r="GK56">
            <v>156.1244979919679</v>
          </cell>
          <cell r="GL56">
            <v>156.1244979919679</v>
          </cell>
          <cell r="GM56">
            <v>156.1244979919679</v>
          </cell>
          <cell r="GN56">
            <v>156.1244979919679</v>
          </cell>
          <cell r="GO56">
            <v>156.1244979919679</v>
          </cell>
          <cell r="GP56">
            <v>156.1244979919679</v>
          </cell>
          <cell r="GQ56">
            <v>156.1244979919679</v>
          </cell>
          <cell r="GR56">
            <v>156.1244979919679</v>
          </cell>
          <cell r="GS56">
            <v>156.1244979919679</v>
          </cell>
          <cell r="GT56">
            <v>156.1244979919679</v>
          </cell>
          <cell r="GU56">
            <v>156.1244979919679</v>
          </cell>
          <cell r="GV56">
            <v>156.1244979919679</v>
          </cell>
          <cell r="GW56">
            <v>156.1244979919679</v>
          </cell>
          <cell r="GX56">
            <v>156.1244979919679</v>
          </cell>
        </row>
        <row r="57">
          <cell r="A57" t="str">
            <v>Admin (tonne treated)</v>
          </cell>
          <cell r="B57" t="str">
            <v>A$/t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44.551158673962021</v>
          </cell>
          <cell r="O57">
            <v>22.950819672131146</v>
          </cell>
          <cell r="P57">
            <v>16.969696969696972</v>
          </cell>
          <cell r="Q57">
            <v>11.666666666666668</v>
          </cell>
          <cell r="R57">
            <v>11.666666666666668</v>
          </cell>
          <cell r="S57">
            <v>11.666666666666668</v>
          </cell>
          <cell r="T57">
            <v>11.666666666666668</v>
          </cell>
          <cell r="U57">
            <v>11.666666666666668</v>
          </cell>
          <cell r="V57">
            <v>11.666666666666668</v>
          </cell>
          <cell r="W57">
            <v>10.833333333333334</v>
          </cell>
          <cell r="X57">
            <v>10.833333333333334</v>
          </cell>
          <cell r="Y57">
            <v>10.833333333333334</v>
          </cell>
          <cell r="Z57">
            <v>10.833333333333334</v>
          </cell>
          <cell r="AA57">
            <v>10.833333333333334</v>
          </cell>
          <cell r="AB57">
            <v>10.833333333333334</v>
          </cell>
          <cell r="AC57">
            <v>10.833333333333334</v>
          </cell>
          <cell r="AD57">
            <v>10.833333333333334</v>
          </cell>
          <cell r="AE57">
            <v>10.833333333333334</v>
          </cell>
          <cell r="AF57">
            <v>10.833333333333334</v>
          </cell>
          <cell r="AG57">
            <v>10.833333333333334</v>
          </cell>
          <cell r="AH57">
            <v>10.833333333333334</v>
          </cell>
          <cell r="AI57">
            <v>10.833333333333334</v>
          </cell>
          <cell r="AJ57">
            <v>10.833333333333334</v>
          </cell>
          <cell r="AK57">
            <v>10.833333333333334</v>
          </cell>
          <cell r="AL57">
            <v>10.833333333333334</v>
          </cell>
          <cell r="AM57">
            <v>10.833333333333334</v>
          </cell>
          <cell r="AN57">
            <v>10.833333333333334</v>
          </cell>
          <cell r="AO57">
            <v>10.833333333333334</v>
          </cell>
          <cell r="AP57">
            <v>10.833333333333334</v>
          </cell>
          <cell r="AQ57">
            <v>10.833333333333334</v>
          </cell>
          <cell r="AR57">
            <v>10.833333333333334</v>
          </cell>
          <cell r="AS57">
            <v>8.3333333333333339</v>
          </cell>
          <cell r="AT57">
            <v>8.3333333333333339</v>
          </cell>
          <cell r="AU57">
            <v>8.3333333333333339</v>
          </cell>
          <cell r="AV57">
            <v>8.3333333333333339</v>
          </cell>
          <cell r="AW57">
            <v>8.3333333333333339</v>
          </cell>
          <cell r="AX57">
            <v>8.3333333333333339</v>
          </cell>
          <cell r="AY57">
            <v>8.3333333333333339</v>
          </cell>
          <cell r="AZ57">
            <v>8.3333333333333339</v>
          </cell>
          <cell r="BA57">
            <v>8.3333333333333339</v>
          </cell>
          <cell r="CI57">
            <v>20.605784036047634</v>
          </cell>
          <cell r="CJ57">
            <v>28.47762805752755</v>
          </cell>
          <cell r="CK57">
            <v>44.551158673962021</v>
          </cell>
          <cell r="CL57">
            <v>22.950819672131146</v>
          </cell>
          <cell r="CM57">
            <v>22.950819672131146</v>
          </cell>
          <cell r="CN57">
            <v>22.950819672131146</v>
          </cell>
          <cell r="CO57">
            <v>17.5</v>
          </cell>
          <cell r="CP57">
            <v>16.47058823529412</v>
          </cell>
          <cell r="CQ57">
            <v>16.969696969696972</v>
          </cell>
          <cell r="CR57">
            <v>11.666666666666668</v>
          </cell>
          <cell r="CS57">
            <v>11.666666666666668</v>
          </cell>
          <cell r="CT57">
            <v>11.666666666666668</v>
          </cell>
          <cell r="CU57">
            <v>11.666666666666668</v>
          </cell>
          <cell r="CV57">
            <v>11.666666666666668</v>
          </cell>
          <cell r="CW57">
            <v>11.666666666666668</v>
          </cell>
          <cell r="CX57">
            <v>11.666666666666668</v>
          </cell>
          <cell r="CY57">
            <v>11.666666666666668</v>
          </cell>
          <cell r="CZ57">
            <v>11.666666666666668</v>
          </cell>
          <cell r="DA57">
            <v>11.666666666666668</v>
          </cell>
          <cell r="DB57">
            <v>11.666666666666668</v>
          </cell>
          <cell r="DC57">
            <v>11.666666666666668</v>
          </cell>
          <cell r="DD57">
            <v>11.666666666666668</v>
          </cell>
          <cell r="DE57">
            <v>11.666666666666668</v>
          </cell>
          <cell r="DF57">
            <v>11.666666666666668</v>
          </cell>
          <cell r="DG57">
            <v>11.666666666666668</v>
          </cell>
          <cell r="DH57">
            <v>11.666666666666668</v>
          </cell>
          <cell r="DI57">
            <v>11.666666666666668</v>
          </cell>
          <cell r="DJ57">
            <v>10.833333333333334</v>
          </cell>
          <cell r="DK57">
            <v>10.833333333333334</v>
          </cell>
          <cell r="DL57">
            <v>10.833333333333334</v>
          </cell>
          <cell r="DM57">
            <v>10.833333333333334</v>
          </cell>
          <cell r="DN57">
            <v>10.833333333333334</v>
          </cell>
          <cell r="DO57">
            <v>10.833333333333334</v>
          </cell>
          <cell r="DP57">
            <v>10.833333333333334</v>
          </cell>
          <cell r="DQ57">
            <v>10.833333333333334</v>
          </cell>
          <cell r="DR57">
            <v>10.833333333333334</v>
          </cell>
          <cell r="DS57">
            <v>10.833333333333334</v>
          </cell>
          <cell r="DT57">
            <v>10.833333333333334</v>
          </cell>
          <cell r="DU57">
            <v>10.833333333333334</v>
          </cell>
          <cell r="DV57">
            <v>10.833333333333334</v>
          </cell>
          <cell r="DW57">
            <v>10.833333333333334</v>
          </cell>
          <cell r="DX57">
            <v>10.833333333333334</v>
          </cell>
          <cell r="DY57">
            <v>10.833333333333334</v>
          </cell>
          <cell r="DZ57">
            <v>10.833333333333334</v>
          </cell>
          <cell r="EA57">
            <v>10.833333333333334</v>
          </cell>
          <cell r="EB57">
            <v>10.833333333333334</v>
          </cell>
          <cell r="EC57">
            <v>10.833333333333334</v>
          </cell>
          <cell r="ED57">
            <v>10.833333333333334</v>
          </cell>
          <cell r="EE57">
            <v>10.833333333333334</v>
          </cell>
          <cell r="EF57">
            <v>10.833333333333334</v>
          </cell>
          <cell r="EG57">
            <v>10.833333333333334</v>
          </cell>
          <cell r="EH57">
            <v>10.833333333333334</v>
          </cell>
          <cell r="EI57">
            <v>10.833333333333334</v>
          </cell>
          <cell r="EJ57">
            <v>10.833333333333334</v>
          </cell>
          <cell r="EK57">
            <v>10.833333333333334</v>
          </cell>
          <cell r="EL57">
            <v>10.833333333333334</v>
          </cell>
          <cell r="EM57">
            <v>10.833333333333334</v>
          </cell>
          <cell r="EN57">
            <v>10.833333333333334</v>
          </cell>
          <cell r="EO57">
            <v>10.833333333333334</v>
          </cell>
          <cell r="EP57">
            <v>10.833333333333334</v>
          </cell>
          <cell r="EQ57">
            <v>10.833333333333334</v>
          </cell>
          <cell r="ER57">
            <v>10.833333333333334</v>
          </cell>
          <cell r="ES57">
            <v>10.833333333333334</v>
          </cell>
          <cell r="ET57">
            <v>10.833333333333334</v>
          </cell>
          <cell r="EU57">
            <v>10.833333333333334</v>
          </cell>
          <cell r="EV57">
            <v>10.833333333333334</v>
          </cell>
          <cell r="EW57">
            <v>10.833333333333334</v>
          </cell>
          <cell r="EX57">
            <v>10.833333333333334</v>
          </cell>
          <cell r="EY57">
            <v>10.833333333333334</v>
          </cell>
          <cell r="EZ57">
            <v>10.833333333333334</v>
          </cell>
          <cell r="FA57">
            <v>10.833333333333334</v>
          </cell>
          <cell r="FB57">
            <v>10.833333333333334</v>
          </cell>
          <cell r="FC57">
            <v>10.833333333333334</v>
          </cell>
          <cell r="FD57">
            <v>10.833333333333334</v>
          </cell>
          <cell r="FE57">
            <v>10.833333333333334</v>
          </cell>
          <cell r="FF57">
            <v>10.833333333333334</v>
          </cell>
          <cell r="FG57">
            <v>10.833333333333334</v>
          </cell>
          <cell r="FH57">
            <v>10.833333333333334</v>
          </cell>
          <cell r="FI57">
            <v>10.833333333333334</v>
          </cell>
          <cell r="FJ57">
            <v>10.833333333333334</v>
          </cell>
          <cell r="FK57">
            <v>10.833333333333334</v>
          </cell>
          <cell r="FL57">
            <v>10.833333333333334</v>
          </cell>
          <cell r="FM57">
            <v>10.833333333333334</v>
          </cell>
          <cell r="FN57">
            <v>10.833333333333334</v>
          </cell>
          <cell r="FO57">
            <v>10.833333333333334</v>
          </cell>
          <cell r="FP57">
            <v>10.833333333333334</v>
          </cell>
          <cell r="FQ57">
            <v>10.833333333333334</v>
          </cell>
          <cell r="FR57">
            <v>10.833333333333334</v>
          </cell>
          <cell r="FS57">
            <v>10.833333333333334</v>
          </cell>
          <cell r="FT57">
            <v>10.833333333333334</v>
          </cell>
          <cell r="FU57">
            <v>10.833333333333334</v>
          </cell>
          <cell r="FV57">
            <v>10.833333333333334</v>
          </cell>
          <cell r="FW57">
            <v>10.833333333333334</v>
          </cell>
          <cell r="FX57">
            <v>8.3333333333333339</v>
          </cell>
          <cell r="FY57">
            <v>8.3333333333333339</v>
          </cell>
          <cell r="FZ57">
            <v>8.3333333333333339</v>
          </cell>
          <cell r="GA57">
            <v>8.3333333333333339</v>
          </cell>
          <cell r="GB57">
            <v>8.3333333333333339</v>
          </cell>
          <cell r="GC57">
            <v>8.3333333333333339</v>
          </cell>
          <cell r="GD57">
            <v>8.3333333333333339</v>
          </cell>
          <cell r="GE57">
            <v>8.3333333333333339</v>
          </cell>
          <cell r="GF57">
            <v>8.3333333333333339</v>
          </cell>
          <cell r="GG57">
            <v>8.3333333333333339</v>
          </cell>
          <cell r="GH57">
            <v>8.3333333333333339</v>
          </cell>
          <cell r="GI57">
            <v>8.3333333333333339</v>
          </cell>
          <cell r="GJ57">
            <v>8.3333333333333339</v>
          </cell>
          <cell r="GK57">
            <v>8.3333333333333339</v>
          </cell>
          <cell r="GL57">
            <v>8.3333333333333339</v>
          </cell>
          <cell r="GM57">
            <v>8.3333333333333339</v>
          </cell>
          <cell r="GN57">
            <v>8.3333333333333339</v>
          </cell>
          <cell r="GO57">
            <v>8.3333333333333339</v>
          </cell>
          <cell r="GP57">
            <v>8.3333333333333339</v>
          </cell>
          <cell r="GQ57">
            <v>8.3333333333333339</v>
          </cell>
          <cell r="GR57">
            <v>8.3333333333333339</v>
          </cell>
          <cell r="GS57">
            <v>8.3333333333333339</v>
          </cell>
          <cell r="GT57">
            <v>8.3333333333333339</v>
          </cell>
          <cell r="GU57">
            <v>8.3333333333333339</v>
          </cell>
          <cell r="GV57">
            <v>8.3333333333333339</v>
          </cell>
          <cell r="GW57">
            <v>8.3333333333333339</v>
          </cell>
          <cell r="GX57">
            <v>8.3333333333333339</v>
          </cell>
        </row>
        <row r="58">
          <cell r="A58" t="str">
            <v>Admin</v>
          </cell>
          <cell r="B58" t="str">
            <v>A$M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138.42044999999999</v>
          </cell>
          <cell r="O58">
            <v>140</v>
          </cell>
          <cell r="P58">
            <v>140</v>
          </cell>
          <cell r="Q58">
            <v>140</v>
          </cell>
          <cell r="R58">
            <v>140</v>
          </cell>
          <cell r="S58">
            <v>140</v>
          </cell>
          <cell r="T58">
            <v>140</v>
          </cell>
          <cell r="U58">
            <v>140</v>
          </cell>
          <cell r="V58">
            <v>140</v>
          </cell>
          <cell r="W58">
            <v>130</v>
          </cell>
          <cell r="X58">
            <v>130</v>
          </cell>
          <cell r="Y58">
            <v>130</v>
          </cell>
          <cell r="Z58">
            <v>130</v>
          </cell>
          <cell r="AA58">
            <v>130</v>
          </cell>
          <cell r="AB58">
            <v>130</v>
          </cell>
          <cell r="AC58">
            <v>130</v>
          </cell>
          <cell r="AD58">
            <v>130</v>
          </cell>
          <cell r="AE58">
            <v>130</v>
          </cell>
          <cell r="AF58">
            <v>130</v>
          </cell>
          <cell r="AG58">
            <v>130</v>
          </cell>
          <cell r="AH58">
            <v>130</v>
          </cell>
          <cell r="AI58">
            <v>130</v>
          </cell>
          <cell r="AJ58">
            <v>130</v>
          </cell>
          <cell r="AK58">
            <v>130</v>
          </cell>
          <cell r="AL58">
            <v>130</v>
          </cell>
          <cell r="AM58">
            <v>130</v>
          </cell>
          <cell r="AN58">
            <v>130</v>
          </cell>
          <cell r="AO58">
            <v>130</v>
          </cell>
          <cell r="AP58">
            <v>130</v>
          </cell>
          <cell r="AQ58">
            <v>130</v>
          </cell>
          <cell r="AR58">
            <v>130</v>
          </cell>
          <cell r="AS58">
            <v>100</v>
          </cell>
          <cell r="AT58">
            <v>100</v>
          </cell>
          <cell r="AU58">
            <v>100</v>
          </cell>
          <cell r="AV58">
            <v>100</v>
          </cell>
          <cell r="AW58">
            <v>100</v>
          </cell>
          <cell r="AX58">
            <v>100</v>
          </cell>
          <cell r="AY58">
            <v>100</v>
          </cell>
          <cell r="AZ58">
            <v>100</v>
          </cell>
          <cell r="BA58">
            <v>100</v>
          </cell>
          <cell r="CI58">
            <v>64.022171</v>
          </cell>
          <cell r="CJ58">
            <v>74.398278999999988</v>
          </cell>
          <cell r="CK58">
            <v>138.42044999999999</v>
          </cell>
          <cell r="CL58">
            <v>70</v>
          </cell>
          <cell r="CM58">
            <v>70</v>
          </cell>
          <cell r="CN58">
            <v>140</v>
          </cell>
          <cell r="CO58">
            <v>70</v>
          </cell>
          <cell r="CP58">
            <v>70</v>
          </cell>
          <cell r="CQ58">
            <v>140</v>
          </cell>
          <cell r="CR58">
            <v>70</v>
          </cell>
          <cell r="CS58">
            <v>70</v>
          </cell>
          <cell r="CT58">
            <v>140</v>
          </cell>
          <cell r="CU58">
            <v>70</v>
          </cell>
          <cell r="CV58">
            <v>70</v>
          </cell>
          <cell r="CW58">
            <v>140</v>
          </cell>
          <cell r="CX58">
            <v>70</v>
          </cell>
          <cell r="CY58">
            <v>70</v>
          </cell>
          <cell r="CZ58">
            <v>140</v>
          </cell>
          <cell r="DA58">
            <v>70</v>
          </cell>
          <cell r="DB58">
            <v>70</v>
          </cell>
          <cell r="DC58">
            <v>140</v>
          </cell>
          <cell r="DD58">
            <v>70</v>
          </cell>
          <cell r="DE58">
            <v>70</v>
          </cell>
          <cell r="DF58">
            <v>140</v>
          </cell>
          <cell r="DG58">
            <v>70</v>
          </cell>
          <cell r="DH58">
            <v>70</v>
          </cell>
          <cell r="DI58">
            <v>140</v>
          </cell>
          <cell r="DJ58">
            <v>65</v>
          </cell>
          <cell r="DK58">
            <v>65</v>
          </cell>
          <cell r="DL58">
            <v>130</v>
          </cell>
          <cell r="DM58">
            <v>65</v>
          </cell>
          <cell r="DN58">
            <v>65</v>
          </cell>
          <cell r="DO58">
            <v>130</v>
          </cell>
          <cell r="DP58">
            <v>65</v>
          </cell>
          <cell r="DQ58">
            <v>65</v>
          </cell>
          <cell r="DR58">
            <v>130</v>
          </cell>
          <cell r="DS58">
            <v>65</v>
          </cell>
          <cell r="DT58">
            <v>65</v>
          </cell>
          <cell r="DU58">
            <v>130</v>
          </cell>
          <cell r="DV58">
            <v>65</v>
          </cell>
          <cell r="DW58">
            <v>65</v>
          </cell>
          <cell r="DX58">
            <v>130</v>
          </cell>
          <cell r="DY58">
            <v>65</v>
          </cell>
          <cell r="DZ58">
            <v>65</v>
          </cell>
          <cell r="EA58">
            <v>130</v>
          </cell>
          <cell r="EB58">
            <v>65</v>
          </cell>
          <cell r="EC58">
            <v>65</v>
          </cell>
          <cell r="ED58">
            <v>130</v>
          </cell>
          <cell r="EE58">
            <v>65</v>
          </cell>
          <cell r="EF58">
            <v>65</v>
          </cell>
          <cell r="EG58">
            <v>130</v>
          </cell>
          <cell r="EH58">
            <v>65</v>
          </cell>
          <cell r="EI58">
            <v>65</v>
          </cell>
          <cell r="EJ58">
            <v>130</v>
          </cell>
          <cell r="EK58">
            <v>65</v>
          </cell>
          <cell r="EL58">
            <v>65</v>
          </cell>
          <cell r="EM58">
            <v>130</v>
          </cell>
          <cell r="EN58">
            <v>65</v>
          </cell>
          <cell r="EO58">
            <v>65</v>
          </cell>
          <cell r="EP58">
            <v>130</v>
          </cell>
          <cell r="EQ58">
            <v>65</v>
          </cell>
          <cell r="ER58">
            <v>65</v>
          </cell>
          <cell r="ES58">
            <v>130</v>
          </cell>
          <cell r="ET58">
            <v>65</v>
          </cell>
          <cell r="EU58">
            <v>65</v>
          </cell>
          <cell r="EV58">
            <v>130</v>
          </cell>
          <cell r="EW58">
            <v>65</v>
          </cell>
          <cell r="EX58">
            <v>65</v>
          </cell>
          <cell r="EY58">
            <v>130</v>
          </cell>
          <cell r="EZ58">
            <v>65</v>
          </cell>
          <cell r="FA58">
            <v>65</v>
          </cell>
          <cell r="FB58">
            <v>130</v>
          </cell>
          <cell r="FC58">
            <v>65</v>
          </cell>
          <cell r="FD58">
            <v>65</v>
          </cell>
          <cell r="FE58">
            <v>130</v>
          </cell>
          <cell r="FF58">
            <v>65</v>
          </cell>
          <cell r="FG58">
            <v>65</v>
          </cell>
          <cell r="FH58">
            <v>130</v>
          </cell>
          <cell r="FI58">
            <v>65</v>
          </cell>
          <cell r="FJ58">
            <v>65</v>
          </cell>
          <cell r="FK58">
            <v>130</v>
          </cell>
          <cell r="FL58">
            <v>65</v>
          </cell>
          <cell r="FM58">
            <v>65</v>
          </cell>
          <cell r="FN58">
            <v>130</v>
          </cell>
          <cell r="FO58">
            <v>65</v>
          </cell>
          <cell r="FP58">
            <v>65</v>
          </cell>
          <cell r="FQ58">
            <v>130</v>
          </cell>
          <cell r="FR58">
            <v>65</v>
          </cell>
          <cell r="FS58">
            <v>65</v>
          </cell>
          <cell r="FT58">
            <v>130</v>
          </cell>
          <cell r="FU58">
            <v>65</v>
          </cell>
          <cell r="FV58">
            <v>65</v>
          </cell>
          <cell r="FW58">
            <v>130</v>
          </cell>
          <cell r="FX58">
            <v>50</v>
          </cell>
          <cell r="FY58">
            <v>50</v>
          </cell>
          <cell r="FZ58">
            <v>100</v>
          </cell>
          <cell r="GA58">
            <v>50</v>
          </cell>
          <cell r="GB58">
            <v>50</v>
          </cell>
          <cell r="GC58">
            <v>100</v>
          </cell>
          <cell r="GD58">
            <v>50</v>
          </cell>
          <cell r="GE58">
            <v>50</v>
          </cell>
          <cell r="GF58">
            <v>100</v>
          </cell>
          <cell r="GG58">
            <v>50</v>
          </cell>
          <cell r="GH58">
            <v>50</v>
          </cell>
          <cell r="GI58">
            <v>100</v>
          </cell>
          <cell r="GJ58">
            <v>50</v>
          </cell>
          <cell r="GK58">
            <v>50</v>
          </cell>
          <cell r="GL58">
            <v>100</v>
          </cell>
          <cell r="GM58">
            <v>50</v>
          </cell>
          <cell r="GN58">
            <v>50</v>
          </cell>
          <cell r="GO58">
            <v>100</v>
          </cell>
          <cell r="GP58">
            <v>50</v>
          </cell>
          <cell r="GQ58">
            <v>50</v>
          </cell>
          <cell r="GR58">
            <v>100</v>
          </cell>
          <cell r="GS58">
            <v>50</v>
          </cell>
          <cell r="GT58">
            <v>50</v>
          </cell>
          <cell r="GU58">
            <v>100</v>
          </cell>
          <cell r="GV58">
            <v>50</v>
          </cell>
          <cell r="GW58">
            <v>50</v>
          </cell>
          <cell r="GX58">
            <v>100</v>
          </cell>
        </row>
        <row r="59">
          <cell r="A59" t="str">
            <v>Operating Cash Costs</v>
          </cell>
          <cell r="B59" t="str">
            <v>A$/oz</v>
          </cell>
          <cell r="D59">
            <v>215.77403224362675</v>
          </cell>
          <cell r="E59">
            <v>245.05298471328769</v>
          </cell>
          <cell r="F59">
            <v>319.29425606239971</v>
          </cell>
          <cell r="G59">
            <v>356.79361713486804</v>
          </cell>
          <cell r="H59">
            <v>372.1537772289023</v>
          </cell>
          <cell r="I59">
            <v>396.50389950384982</v>
          </cell>
          <cell r="J59">
            <v>447.41323972345481</v>
          </cell>
          <cell r="K59">
            <v>545.00000000000011</v>
          </cell>
          <cell r="L59">
            <v>444.9662787031827</v>
          </cell>
          <cell r="M59">
            <v>611.15072426685094</v>
          </cell>
          <cell r="N59">
            <v>619</v>
          </cell>
          <cell r="O59">
            <v>683.24142541939489</v>
          </cell>
          <cell r="P59">
            <v>527.85201082011758</v>
          </cell>
          <cell r="Q59">
            <v>463.91279403327593</v>
          </cell>
          <cell r="R59">
            <v>405.92369477911654</v>
          </cell>
          <cell r="S59">
            <v>405.92369477911654</v>
          </cell>
          <cell r="T59">
            <v>405.92369477911654</v>
          </cell>
          <cell r="U59">
            <v>405.92369477911654</v>
          </cell>
          <cell r="V59">
            <v>405.92369477911654</v>
          </cell>
          <cell r="W59">
            <v>390.31124497991971</v>
          </cell>
          <cell r="X59">
            <v>390.31124497991971</v>
          </cell>
          <cell r="Y59">
            <v>390.31124497991971</v>
          </cell>
          <cell r="Z59">
            <v>390.31124497991971</v>
          </cell>
          <cell r="AA59">
            <v>390.31124497991971</v>
          </cell>
          <cell r="AB59">
            <v>390.31124497991971</v>
          </cell>
          <cell r="AC59">
            <v>390.31124497991971</v>
          </cell>
          <cell r="AD59">
            <v>390.31124497991971</v>
          </cell>
          <cell r="AE59">
            <v>390.31124497991971</v>
          </cell>
          <cell r="AF59">
            <v>390.31124497991971</v>
          </cell>
          <cell r="AG59">
            <v>390.31124497991971</v>
          </cell>
          <cell r="AH59">
            <v>390.31124497991971</v>
          </cell>
          <cell r="AI59">
            <v>390.31124497991971</v>
          </cell>
          <cell r="AJ59">
            <v>390.31124497991971</v>
          </cell>
          <cell r="AK59">
            <v>390.31124497991971</v>
          </cell>
          <cell r="AL59">
            <v>390.31124497991971</v>
          </cell>
          <cell r="AM59">
            <v>390.31124497991971</v>
          </cell>
          <cell r="AN59">
            <v>390.31124497991971</v>
          </cell>
          <cell r="AO59">
            <v>390.31124497991971</v>
          </cell>
          <cell r="AP59">
            <v>390.31124497991971</v>
          </cell>
          <cell r="AQ59">
            <v>390.31124497991971</v>
          </cell>
          <cell r="AR59">
            <v>390.31124497991971</v>
          </cell>
          <cell r="AS59">
            <v>608.88554216867476</v>
          </cell>
          <cell r="AT59">
            <v>608.88554216867476</v>
          </cell>
          <cell r="AU59">
            <v>608.88554216867476</v>
          </cell>
          <cell r="AV59">
            <v>608.88554216867476</v>
          </cell>
          <cell r="AW59">
            <v>608.88554216867476</v>
          </cell>
          <cell r="AX59">
            <v>608.88554216867476</v>
          </cell>
          <cell r="AY59">
            <v>608.88554216867476</v>
          </cell>
          <cell r="AZ59">
            <v>608.88554216867476</v>
          </cell>
          <cell r="BA59">
            <v>608.88554216867476</v>
          </cell>
          <cell r="BF59">
            <v>193</v>
          </cell>
          <cell r="BG59">
            <v>242</v>
          </cell>
          <cell r="BH59">
            <v>215.77403224362675</v>
          </cell>
          <cell r="BI59">
            <v>238</v>
          </cell>
          <cell r="BJ59">
            <v>252</v>
          </cell>
          <cell r="BK59">
            <v>245.05298471328769</v>
          </cell>
          <cell r="BL59">
            <v>332</v>
          </cell>
          <cell r="BM59">
            <v>308</v>
          </cell>
          <cell r="BN59">
            <v>319.29425606239971</v>
          </cell>
          <cell r="BO59">
            <v>367</v>
          </cell>
          <cell r="BP59">
            <v>348</v>
          </cell>
          <cell r="BQ59">
            <v>356.79361713486804</v>
          </cell>
          <cell r="BR59">
            <v>497</v>
          </cell>
          <cell r="BS59">
            <v>293</v>
          </cell>
          <cell r="BT59">
            <v>372.1537772289023</v>
          </cell>
          <cell r="BU59">
            <v>405.43</v>
          </cell>
          <cell r="BV59">
            <v>389</v>
          </cell>
          <cell r="BW59">
            <v>396.50389950384982</v>
          </cell>
          <cell r="BX59">
            <v>383</v>
          </cell>
          <cell r="BY59">
            <v>522</v>
          </cell>
          <cell r="BZ59">
            <v>447.41323972345481</v>
          </cell>
          <cell r="CA59">
            <v>647</v>
          </cell>
          <cell r="CB59">
            <v>477.13343522524167</v>
          </cell>
          <cell r="CC59">
            <v>545.00000000000011</v>
          </cell>
          <cell r="CD59">
            <v>413</v>
          </cell>
          <cell r="CE59">
            <v>444.9662787031827</v>
          </cell>
          <cell r="CF59">
            <v>619.09</v>
          </cell>
          <cell r="CG59">
            <v>603</v>
          </cell>
          <cell r="CH59">
            <v>611.15072426685094</v>
          </cell>
          <cell r="CI59">
            <v>570</v>
          </cell>
          <cell r="CJ59">
            <v>677.27445992886703</v>
          </cell>
          <cell r="CK59">
            <v>619</v>
          </cell>
          <cell r="CL59">
            <v>694.38123126862411</v>
          </cell>
          <cell r="CM59">
            <v>672.45340291277284</v>
          </cell>
          <cell r="CN59">
            <v>683.24142541939489</v>
          </cell>
          <cell r="CO59">
            <v>541.23159303882198</v>
          </cell>
          <cell r="CP59">
            <v>515.11797354653254</v>
          </cell>
          <cell r="CQ59">
            <v>527.85201082011758</v>
          </cell>
          <cell r="CR59">
            <v>463.91279403327593</v>
          </cell>
          <cell r="CS59">
            <v>463.91279403327593</v>
          </cell>
          <cell r="CT59">
            <v>463.91279403327593</v>
          </cell>
          <cell r="CU59">
            <v>405.92369477911654</v>
          </cell>
          <cell r="CV59">
            <v>405.92369477911654</v>
          </cell>
          <cell r="CW59">
            <v>405.92369477911654</v>
          </cell>
          <cell r="CX59">
            <v>405.92369477911654</v>
          </cell>
          <cell r="CY59">
            <v>405.92369477911654</v>
          </cell>
          <cell r="CZ59">
            <v>405.92369477911654</v>
          </cell>
          <cell r="DA59">
            <v>405.92369477911654</v>
          </cell>
          <cell r="DB59">
            <v>405.92369477911654</v>
          </cell>
          <cell r="DC59">
            <v>405.92369477911654</v>
          </cell>
          <cell r="DD59">
            <v>405.92369477911654</v>
          </cell>
          <cell r="DE59">
            <v>405.92369477911654</v>
          </cell>
          <cell r="DF59">
            <v>405.92369477911654</v>
          </cell>
          <cell r="DG59">
            <v>405.92369477911654</v>
          </cell>
          <cell r="DH59">
            <v>405.92369477911654</v>
          </cell>
          <cell r="DI59">
            <v>405.92369477911654</v>
          </cell>
          <cell r="DJ59">
            <v>390.31124497991971</v>
          </cell>
          <cell r="DK59">
            <v>390.31124497991971</v>
          </cell>
          <cell r="DL59">
            <v>390.31124497991971</v>
          </cell>
          <cell r="DM59">
            <v>390.31124497991971</v>
          </cell>
          <cell r="DN59">
            <v>390.31124497991971</v>
          </cell>
          <cell r="DO59">
            <v>390.31124497991971</v>
          </cell>
          <cell r="DP59">
            <v>390.31124497991971</v>
          </cell>
          <cell r="DQ59">
            <v>390.31124497991971</v>
          </cell>
          <cell r="DR59">
            <v>390.31124497991971</v>
          </cell>
          <cell r="DS59">
            <v>390.31124497991971</v>
          </cell>
          <cell r="DT59">
            <v>390.31124497991971</v>
          </cell>
          <cell r="DU59">
            <v>390.31124497991971</v>
          </cell>
          <cell r="DV59">
            <v>390.31124497991971</v>
          </cell>
          <cell r="DW59">
            <v>390.31124497991971</v>
          </cell>
          <cell r="DX59">
            <v>390.31124497991971</v>
          </cell>
          <cell r="DY59">
            <v>390.31124497991971</v>
          </cell>
          <cell r="DZ59">
            <v>390.31124497991971</v>
          </cell>
          <cell r="EA59">
            <v>390.31124497991971</v>
          </cell>
          <cell r="EB59">
            <v>390.31124497991971</v>
          </cell>
          <cell r="EC59">
            <v>390.31124497991971</v>
          </cell>
          <cell r="ED59">
            <v>390.31124497991971</v>
          </cell>
          <cell r="EE59">
            <v>390.31124497991971</v>
          </cell>
          <cell r="EF59">
            <v>390.31124497991971</v>
          </cell>
          <cell r="EG59">
            <v>390.31124497991971</v>
          </cell>
          <cell r="EH59">
            <v>390.31124497991971</v>
          </cell>
          <cell r="EI59">
            <v>390.31124497991971</v>
          </cell>
          <cell r="EJ59">
            <v>390.31124497991971</v>
          </cell>
          <cell r="EK59">
            <v>390.31124497991971</v>
          </cell>
          <cell r="EL59">
            <v>390.31124497991971</v>
          </cell>
          <cell r="EM59">
            <v>390.31124497991971</v>
          </cell>
          <cell r="EN59">
            <v>390.31124497991971</v>
          </cell>
          <cell r="EO59">
            <v>390.31124497991971</v>
          </cell>
          <cell r="EP59">
            <v>390.31124497991971</v>
          </cell>
          <cell r="EQ59">
            <v>390.31124497991971</v>
          </cell>
          <cell r="ER59">
            <v>390.31124497991971</v>
          </cell>
          <cell r="ES59">
            <v>390.31124497991971</v>
          </cell>
          <cell r="ET59">
            <v>390.31124497991971</v>
          </cell>
          <cell r="EU59">
            <v>390.31124497991971</v>
          </cell>
          <cell r="EV59">
            <v>390.31124497991971</v>
          </cell>
          <cell r="EW59">
            <v>390.31124497991971</v>
          </cell>
          <cell r="EX59">
            <v>390.31124497991971</v>
          </cell>
          <cell r="EY59">
            <v>390.31124497991971</v>
          </cell>
          <cell r="EZ59">
            <v>390.31124497991971</v>
          </cell>
          <cell r="FA59">
            <v>390.31124497991971</v>
          </cell>
          <cell r="FB59">
            <v>390.31124497991971</v>
          </cell>
          <cell r="FC59">
            <v>390.31124497991971</v>
          </cell>
          <cell r="FD59">
            <v>390.31124497991971</v>
          </cell>
          <cell r="FE59">
            <v>390.31124497991971</v>
          </cell>
          <cell r="FF59">
            <v>390.31124497991971</v>
          </cell>
          <cell r="FG59">
            <v>390.31124497991971</v>
          </cell>
          <cell r="FH59">
            <v>390.31124497991971</v>
          </cell>
          <cell r="FI59">
            <v>390.31124497991971</v>
          </cell>
          <cell r="FJ59">
            <v>390.31124497991971</v>
          </cell>
          <cell r="FK59">
            <v>390.31124497991971</v>
          </cell>
          <cell r="FL59">
            <v>390.31124497991971</v>
          </cell>
          <cell r="FM59">
            <v>390.31124497991971</v>
          </cell>
          <cell r="FN59">
            <v>390.31124497991971</v>
          </cell>
          <cell r="FO59">
            <v>390.31124497991971</v>
          </cell>
          <cell r="FP59">
            <v>390.31124497991971</v>
          </cell>
          <cell r="FQ59">
            <v>390.31124497991971</v>
          </cell>
          <cell r="FR59">
            <v>390.31124497991971</v>
          </cell>
          <cell r="FS59">
            <v>390.31124497991971</v>
          </cell>
          <cell r="FT59">
            <v>390.31124497991971</v>
          </cell>
          <cell r="FU59">
            <v>390.31124497991971</v>
          </cell>
          <cell r="FV59">
            <v>390.31124497991971</v>
          </cell>
          <cell r="FW59">
            <v>390.31124497991971</v>
          </cell>
          <cell r="FX59">
            <v>608.88554216867476</v>
          </cell>
          <cell r="FY59">
            <v>608.88554216867476</v>
          </cell>
          <cell r="FZ59">
            <v>608.88554216867476</v>
          </cell>
          <cell r="GA59">
            <v>608.88554216867476</v>
          </cell>
          <cell r="GB59">
            <v>608.88554216867476</v>
          </cell>
          <cell r="GC59">
            <v>608.88554216867476</v>
          </cell>
          <cell r="GD59">
            <v>608.88554216867476</v>
          </cell>
          <cell r="GE59">
            <v>608.88554216867476</v>
          </cell>
          <cell r="GF59">
            <v>608.88554216867476</v>
          </cell>
          <cell r="GG59">
            <v>608.88554216867476</v>
          </cell>
          <cell r="GH59">
            <v>608.88554216867476</v>
          </cell>
          <cell r="GI59">
            <v>608.88554216867476</v>
          </cell>
          <cell r="GJ59">
            <v>608.88554216867476</v>
          </cell>
          <cell r="GK59">
            <v>608.88554216867476</v>
          </cell>
          <cell r="GL59">
            <v>608.88554216867476</v>
          </cell>
          <cell r="GM59">
            <v>608.88554216867476</v>
          </cell>
          <cell r="GN59">
            <v>608.88554216867476</v>
          </cell>
          <cell r="GO59">
            <v>608.88554216867476</v>
          </cell>
          <cell r="GP59">
            <v>608.88554216867476</v>
          </cell>
          <cell r="GQ59">
            <v>608.88554216867476</v>
          </cell>
          <cell r="GR59">
            <v>608.88554216867476</v>
          </cell>
          <cell r="GS59">
            <v>608.88554216867476</v>
          </cell>
          <cell r="GT59">
            <v>608.88554216867476</v>
          </cell>
          <cell r="GU59">
            <v>608.88554216867476</v>
          </cell>
          <cell r="GV59">
            <v>608.88554216867476</v>
          </cell>
          <cell r="GW59">
            <v>608.88554216867476</v>
          </cell>
          <cell r="GX59">
            <v>608.88554216867476</v>
          </cell>
        </row>
        <row r="60">
          <cell r="A60" t="str">
            <v>Operating Cash Costs (tonne treated)</v>
          </cell>
          <cell r="B60" t="str">
            <v>A$/t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157.58381268104279</v>
          </cell>
          <cell r="O60">
            <v>88.920558153026732</v>
          </cell>
          <cell r="P60">
            <v>78.436238353474323</v>
          </cell>
          <cell r="Q60">
            <v>72.98437411008382</v>
          </cell>
          <cell r="R60">
            <v>68.974606138016242</v>
          </cell>
          <cell r="S60">
            <v>68.974606138016242</v>
          </cell>
          <cell r="T60">
            <v>68.974606138016242</v>
          </cell>
          <cell r="U60">
            <v>68.974606138016242</v>
          </cell>
          <cell r="V60">
            <v>68.974606138016242</v>
          </cell>
          <cell r="W60">
            <v>66.321736671169447</v>
          </cell>
          <cell r="X60">
            <v>66.321736671169447</v>
          </cell>
          <cell r="Y60">
            <v>66.321736671169447</v>
          </cell>
          <cell r="Z60">
            <v>66.321736671169447</v>
          </cell>
          <cell r="AA60">
            <v>66.321736671169447</v>
          </cell>
          <cell r="AB60">
            <v>66.321736671169447</v>
          </cell>
          <cell r="AC60">
            <v>66.321736671169447</v>
          </cell>
          <cell r="AD60">
            <v>66.321736671169447</v>
          </cell>
          <cell r="AE60">
            <v>66.321736671169447</v>
          </cell>
          <cell r="AF60">
            <v>66.321736671169447</v>
          </cell>
          <cell r="AG60">
            <v>66.321736671169447</v>
          </cell>
          <cell r="AH60">
            <v>66.321736671169447</v>
          </cell>
          <cell r="AI60">
            <v>66.321736671169447</v>
          </cell>
          <cell r="AJ60">
            <v>66.321736671169447</v>
          </cell>
          <cell r="AK60">
            <v>66.321736671169447</v>
          </cell>
          <cell r="AL60">
            <v>66.321736671169447</v>
          </cell>
          <cell r="AM60">
            <v>66.321736671169447</v>
          </cell>
          <cell r="AN60">
            <v>66.321736671169447</v>
          </cell>
          <cell r="AO60">
            <v>66.321736671169447</v>
          </cell>
          <cell r="AP60">
            <v>66.321736671169447</v>
          </cell>
          <cell r="AQ60">
            <v>66.321736671169447</v>
          </cell>
          <cell r="AR60">
            <v>66.321736671169447</v>
          </cell>
          <cell r="AS60">
            <v>72.782236456867011</v>
          </cell>
          <cell r="AT60">
            <v>72.782236456867011</v>
          </cell>
          <cell r="AU60">
            <v>72.782236456867011</v>
          </cell>
          <cell r="AV60">
            <v>72.782236456867011</v>
          </cell>
          <cell r="AW60">
            <v>72.782236456867011</v>
          </cell>
          <cell r="AX60">
            <v>72.782236456867011</v>
          </cell>
          <cell r="AY60">
            <v>72.782236456867011</v>
          </cell>
          <cell r="AZ60">
            <v>72.782236456867011</v>
          </cell>
          <cell r="BA60">
            <v>72.782236456867011</v>
          </cell>
          <cell r="CI60">
            <v>78.827495976826526</v>
          </cell>
          <cell r="CJ60">
            <v>76.996814348646936</v>
          </cell>
          <cell r="CK60">
            <v>157.58381268104279</v>
          </cell>
          <cell r="CL60">
            <v>96.028655638967223</v>
          </cell>
          <cell r="CM60">
            <v>81.812460667086228</v>
          </cell>
          <cell r="CN60">
            <v>88.920558153026732</v>
          </cell>
          <cell r="CO60">
            <v>74.849002145261665</v>
          </cell>
          <cell r="CP60">
            <v>81.812460667086228</v>
          </cell>
          <cell r="CQ60">
            <v>78.436238353474323</v>
          </cell>
          <cell r="CR60">
            <v>64.156287553081413</v>
          </cell>
          <cell r="CS60">
            <v>81.812460667086228</v>
          </cell>
          <cell r="CT60">
            <v>72.98437411008382</v>
          </cell>
          <cell r="CU60">
            <v>56.136751608946255</v>
          </cell>
          <cell r="CV60">
            <v>81.812460667086228</v>
          </cell>
          <cell r="CW60">
            <v>68.974606138016242</v>
          </cell>
          <cell r="CX60">
            <v>56.136751608946255</v>
          </cell>
          <cell r="CY60">
            <v>81.812460667086228</v>
          </cell>
          <cell r="CZ60">
            <v>68.974606138016242</v>
          </cell>
          <cell r="DA60">
            <v>56.136751608946255</v>
          </cell>
          <cell r="DB60">
            <v>81.812460667086228</v>
          </cell>
          <cell r="DC60">
            <v>68.974606138016242</v>
          </cell>
          <cell r="DD60">
            <v>56.136751608946255</v>
          </cell>
          <cell r="DE60">
            <v>81.812460667086228</v>
          </cell>
          <cell r="DF60">
            <v>68.974606138016242</v>
          </cell>
          <cell r="DG60">
            <v>56.136751608946255</v>
          </cell>
          <cell r="DH60">
            <v>81.812460667086228</v>
          </cell>
          <cell r="DI60">
            <v>68.974606138016242</v>
          </cell>
          <cell r="DJ60">
            <v>53.977645777832933</v>
          </cell>
          <cell r="DK60">
            <v>78.665827564505975</v>
          </cell>
          <cell r="DL60">
            <v>66.321736671169447</v>
          </cell>
          <cell r="DM60">
            <v>53.977645777832933</v>
          </cell>
          <cell r="DN60">
            <v>78.665827564505975</v>
          </cell>
          <cell r="DO60">
            <v>66.321736671169447</v>
          </cell>
          <cell r="DP60">
            <v>53.977645777832933</v>
          </cell>
          <cell r="DQ60">
            <v>78.665827564505975</v>
          </cell>
          <cell r="DR60">
            <v>66.321736671169447</v>
          </cell>
          <cell r="DS60">
            <v>53.977645777832933</v>
          </cell>
          <cell r="DT60">
            <v>78.665827564505975</v>
          </cell>
          <cell r="DU60">
            <v>66.321736671169447</v>
          </cell>
          <cell r="DV60">
            <v>53.977645777832933</v>
          </cell>
          <cell r="DW60">
            <v>78.665827564505975</v>
          </cell>
          <cell r="DX60">
            <v>66.321736671169447</v>
          </cell>
          <cell r="DY60">
            <v>53.977645777832933</v>
          </cell>
          <cell r="DZ60">
            <v>78.665827564505975</v>
          </cell>
          <cell r="EA60">
            <v>66.321736671169447</v>
          </cell>
          <cell r="EB60">
            <v>53.977645777832933</v>
          </cell>
          <cell r="EC60">
            <v>78.665827564505975</v>
          </cell>
          <cell r="ED60">
            <v>66.321736671169447</v>
          </cell>
          <cell r="EE60">
            <v>53.977645777832933</v>
          </cell>
          <cell r="EF60">
            <v>78.665827564505975</v>
          </cell>
          <cell r="EG60">
            <v>66.321736671169447</v>
          </cell>
          <cell r="EH60">
            <v>53.977645777832933</v>
          </cell>
          <cell r="EI60">
            <v>78.665827564505975</v>
          </cell>
          <cell r="EJ60">
            <v>66.321736671169447</v>
          </cell>
          <cell r="EK60">
            <v>53.977645777832933</v>
          </cell>
          <cell r="EL60">
            <v>78.665827564505975</v>
          </cell>
          <cell r="EM60">
            <v>66.321736671169447</v>
          </cell>
          <cell r="EN60">
            <v>53.977645777832933</v>
          </cell>
          <cell r="EO60">
            <v>78.665827564505975</v>
          </cell>
          <cell r="EP60">
            <v>66.321736671169447</v>
          </cell>
          <cell r="EQ60">
            <v>53.977645777832933</v>
          </cell>
          <cell r="ER60">
            <v>78.665827564505975</v>
          </cell>
          <cell r="ES60">
            <v>66.321736671169447</v>
          </cell>
          <cell r="ET60">
            <v>53.977645777832933</v>
          </cell>
          <cell r="EU60">
            <v>78.665827564505975</v>
          </cell>
          <cell r="EV60">
            <v>66.321736671169447</v>
          </cell>
          <cell r="EW60">
            <v>53.977645777832933</v>
          </cell>
          <cell r="EX60">
            <v>78.665827564505975</v>
          </cell>
          <cell r="EY60">
            <v>66.321736671169447</v>
          </cell>
          <cell r="EZ60">
            <v>53.977645777832933</v>
          </cell>
          <cell r="FA60">
            <v>78.665827564505975</v>
          </cell>
          <cell r="FB60">
            <v>66.321736671169447</v>
          </cell>
          <cell r="FC60">
            <v>53.977645777832933</v>
          </cell>
          <cell r="FD60">
            <v>78.665827564505975</v>
          </cell>
          <cell r="FE60">
            <v>66.321736671169447</v>
          </cell>
          <cell r="FF60">
            <v>53.977645777832933</v>
          </cell>
          <cell r="FG60">
            <v>78.665827564505975</v>
          </cell>
          <cell r="FH60">
            <v>66.321736671169447</v>
          </cell>
          <cell r="FI60">
            <v>53.977645777832933</v>
          </cell>
          <cell r="FJ60">
            <v>78.665827564505975</v>
          </cell>
          <cell r="FK60">
            <v>66.321736671169447</v>
          </cell>
          <cell r="FL60">
            <v>53.977645777832933</v>
          </cell>
          <cell r="FM60">
            <v>78.665827564505975</v>
          </cell>
          <cell r="FN60">
            <v>66.321736671169447</v>
          </cell>
          <cell r="FO60">
            <v>53.977645777832933</v>
          </cell>
          <cell r="FP60">
            <v>78.665827564505975</v>
          </cell>
          <cell r="FQ60">
            <v>66.321736671169447</v>
          </cell>
          <cell r="FR60">
            <v>53.977645777832933</v>
          </cell>
          <cell r="FS60">
            <v>78.665827564505975</v>
          </cell>
          <cell r="FT60">
            <v>66.321736671169447</v>
          </cell>
          <cell r="FU60">
            <v>53.977645777832933</v>
          </cell>
          <cell r="FV60">
            <v>78.665827564505975</v>
          </cell>
          <cell r="FW60">
            <v>66.321736671169447</v>
          </cell>
          <cell r="FX60">
            <v>84.205127413419376</v>
          </cell>
          <cell r="FY60">
            <v>61.35934550031466</v>
          </cell>
          <cell r="FZ60">
            <v>72.782236456867011</v>
          </cell>
          <cell r="GA60">
            <v>84.205127413419376</v>
          </cell>
          <cell r="GB60">
            <v>61.35934550031466</v>
          </cell>
          <cell r="GC60">
            <v>72.782236456867011</v>
          </cell>
          <cell r="GD60">
            <v>84.205127413419376</v>
          </cell>
          <cell r="GE60">
            <v>61.35934550031466</v>
          </cell>
          <cell r="GF60">
            <v>72.782236456867011</v>
          </cell>
          <cell r="GG60">
            <v>84.205127413419376</v>
          </cell>
          <cell r="GH60">
            <v>61.35934550031466</v>
          </cell>
          <cell r="GI60">
            <v>72.782236456867011</v>
          </cell>
          <cell r="GJ60">
            <v>84.205127413419376</v>
          </cell>
          <cell r="GK60">
            <v>61.35934550031466</v>
          </cell>
          <cell r="GL60">
            <v>72.782236456867011</v>
          </cell>
          <cell r="GM60">
            <v>84.205127413419376</v>
          </cell>
          <cell r="GN60">
            <v>61.35934550031466</v>
          </cell>
          <cell r="GO60">
            <v>72.782236456867011</v>
          </cell>
          <cell r="GP60">
            <v>84.205127413419376</v>
          </cell>
          <cell r="GQ60">
            <v>61.35934550031466</v>
          </cell>
          <cell r="GR60">
            <v>72.782236456867011</v>
          </cell>
          <cell r="GS60">
            <v>84.205127413419376</v>
          </cell>
          <cell r="GT60">
            <v>61.35934550031466</v>
          </cell>
          <cell r="GU60">
            <v>72.782236456867011</v>
          </cell>
          <cell r="GV60">
            <v>84.205127413419376</v>
          </cell>
          <cell r="GW60">
            <v>61.35934550031466</v>
          </cell>
          <cell r="GX60">
            <v>72.782236456867011</v>
          </cell>
        </row>
        <row r="61">
          <cell r="A61" t="str">
            <v>Operating Cash Costs</v>
          </cell>
          <cell r="B61" t="str">
            <v>A$M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489.61290600000001</v>
          </cell>
          <cell r="O61">
            <v>520</v>
          </cell>
          <cell r="P61">
            <v>520</v>
          </cell>
          <cell r="Q61">
            <v>520</v>
          </cell>
          <cell r="R61">
            <v>520</v>
          </cell>
          <cell r="S61">
            <v>520</v>
          </cell>
          <cell r="T61">
            <v>520</v>
          </cell>
          <cell r="U61">
            <v>520</v>
          </cell>
          <cell r="V61">
            <v>520</v>
          </cell>
          <cell r="W61">
            <v>500</v>
          </cell>
          <cell r="X61">
            <v>500</v>
          </cell>
          <cell r="Y61">
            <v>500</v>
          </cell>
          <cell r="Z61">
            <v>500</v>
          </cell>
          <cell r="AA61">
            <v>500</v>
          </cell>
          <cell r="AB61">
            <v>500</v>
          </cell>
          <cell r="AC61">
            <v>500</v>
          </cell>
          <cell r="AD61">
            <v>500</v>
          </cell>
          <cell r="AE61">
            <v>500</v>
          </cell>
          <cell r="AF61">
            <v>500</v>
          </cell>
          <cell r="AG61">
            <v>500</v>
          </cell>
          <cell r="AH61">
            <v>500</v>
          </cell>
          <cell r="AI61">
            <v>500</v>
          </cell>
          <cell r="AJ61">
            <v>500</v>
          </cell>
          <cell r="AK61">
            <v>500</v>
          </cell>
          <cell r="AL61">
            <v>500</v>
          </cell>
          <cell r="AM61">
            <v>500</v>
          </cell>
          <cell r="AN61">
            <v>500</v>
          </cell>
          <cell r="AO61">
            <v>500</v>
          </cell>
          <cell r="AP61">
            <v>500</v>
          </cell>
          <cell r="AQ61">
            <v>500</v>
          </cell>
          <cell r="AR61">
            <v>500</v>
          </cell>
          <cell r="AS61">
            <v>390</v>
          </cell>
          <cell r="AT61">
            <v>390</v>
          </cell>
          <cell r="AU61">
            <v>390</v>
          </cell>
          <cell r="AV61">
            <v>390</v>
          </cell>
          <cell r="AW61">
            <v>390</v>
          </cell>
          <cell r="AX61">
            <v>390</v>
          </cell>
          <cell r="AY61">
            <v>390</v>
          </cell>
          <cell r="AZ61">
            <v>390</v>
          </cell>
          <cell r="BA61">
            <v>390</v>
          </cell>
          <cell r="CI61">
            <v>244.91703000000001</v>
          </cell>
          <cell r="CJ61">
            <v>244.695876</v>
          </cell>
          <cell r="CK61">
            <v>489.61290600000001</v>
          </cell>
          <cell r="CL61">
            <v>260</v>
          </cell>
          <cell r="CM61">
            <v>260</v>
          </cell>
          <cell r="CN61">
            <v>520</v>
          </cell>
          <cell r="CO61">
            <v>260</v>
          </cell>
          <cell r="CP61">
            <v>260</v>
          </cell>
          <cell r="CQ61">
            <v>520</v>
          </cell>
          <cell r="CR61">
            <v>260</v>
          </cell>
          <cell r="CS61">
            <v>260</v>
          </cell>
          <cell r="CT61">
            <v>520</v>
          </cell>
          <cell r="CU61">
            <v>260</v>
          </cell>
          <cell r="CV61">
            <v>260</v>
          </cell>
          <cell r="CW61">
            <v>520</v>
          </cell>
          <cell r="CX61">
            <v>260</v>
          </cell>
          <cell r="CY61">
            <v>260</v>
          </cell>
          <cell r="CZ61">
            <v>520</v>
          </cell>
          <cell r="DA61">
            <v>260</v>
          </cell>
          <cell r="DB61">
            <v>260</v>
          </cell>
          <cell r="DC61">
            <v>520</v>
          </cell>
          <cell r="DD61">
            <v>260</v>
          </cell>
          <cell r="DE61">
            <v>260</v>
          </cell>
          <cell r="DF61">
            <v>520</v>
          </cell>
          <cell r="DG61">
            <v>260</v>
          </cell>
          <cell r="DH61">
            <v>260</v>
          </cell>
          <cell r="DI61">
            <v>520</v>
          </cell>
          <cell r="DJ61">
            <v>250</v>
          </cell>
          <cell r="DK61">
            <v>250</v>
          </cell>
          <cell r="DL61">
            <v>500</v>
          </cell>
          <cell r="DM61">
            <v>250</v>
          </cell>
          <cell r="DN61">
            <v>250</v>
          </cell>
          <cell r="DO61">
            <v>500</v>
          </cell>
          <cell r="DP61">
            <v>250</v>
          </cell>
          <cell r="DQ61">
            <v>250</v>
          </cell>
          <cell r="DR61">
            <v>500</v>
          </cell>
          <cell r="DS61">
            <v>250</v>
          </cell>
          <cell r="DT61">
            <v>250</v>
          </cell>
          <cell r="DU61">
            <v>500</v>
          </cell>
          <cell r="DV61">
            <v>250</v>
          </cell>
          <cell r="DW61">
            <v>250</v>
          </cell>
          <cell r="DX61">
            <v>500</v>
          </cell>
          <cell r="DY61">
            <v>250</v>
          </cell>
          <cell r="DZ61">
            <v>250</v>
          </cell>
          <cell r="EA61">
            <v>500</v>
          </cell>
          <cell r="EB61">
            <v>250</v>
          </cell>
          <cell r="EC61">
            <v>250</v>
          </cell>
          <cell r="ED61">
            <v>500</v>
          </cell>
          <cell r="EE61">
            <v>250</v>
          </cell>
          <cell r="EF61">
            <v>250</v>
          </cell>
          <cell r="EG61">
            <v>500</v>
          </cell>
          <cell r="EH61">
            <v>250</v>
          </cell>
          <cell r="EI61">
            <v>250</v>
          </cell>
          <cell r="EJ61">
            <v>500</v>
          </cell>
          <cell r="EK61">
            <v>250</v>
          </cell>
          <cell r="EL61">
            <v>250</v>
          </cell>
          <cell r="EM61">
            <v>500</v>
          </cell>
          <cell r="EN61">
            <v>250</v>
          </cell>
          <cell r="EO61">
            <v>250</v>
          </cell>
          <cell r="EP61">
            <v>500</v>
          </cell>
          <cell r="EQ61">
            <v>250</v>
          </cell>
          <cell r="ER61">
            <v>250</v>
          </cell>
          <cell r="ES61">
            <v>500</v>
          </cell>
          <cell r="ET61">
            <v>250</v>
          </cell>
          <cell r="EU61">
            <v>250</v>
          </cell>
          <cell r="EV61">
            <v>500</v>
          </cell>
          <cell r="EW61">
            <v>250</v>
          </cell>
          <cell r="EX61">
            <v>250</v>
          </cell>
          <cell r="EY61">
            <v>500</v>
          </cell>
          <cell r="EZ61">
            <v>250</v>
          </cell>
          <cell r="FA61">
            <v>250</v>
          </cell>
          <cell r="FB61">
            <v>500</v>
          </cell>
          <cell r="FC61">
            <v>250</v>
          </cell>
          <cell r="FD61">
            <v>250</v>
          </cell>
          <cell r="FE61">
            <v>500</v>
          </cell>
          <cell r="FF61">
            <v>250</v>
          </cell>
          <cell r="FG61">
            <v>250</v>
          </cell>
          <cell r="FH61">
            <v>500</v>
          </cell>
          <cell r="FI61">
            <v>250</v>
          </cell>
          <cell r="FJ61">
            <v>250</v>
          </cell>
          <cell r="FK61">
            <v>500</v>
          </cell>
          <cell r="FL61">
            <v>250</v>
          </cell>
          <cell r="FM61">
            <v>250</v>
          </cell>
          <cell r="FN61">
            <v>500</v>
          </cell>
          <cell r="FO61">
            <v>250</v>
          </cell>
          <cell r="FP61">
            <v>250</v>
          </cell>
          <cell r="FQ61">
            <v>500</v>
          </cell>
          <cell r="FR61">
            <v>250</v>
          </cell>
          <cell r="FS61">
            <v>250</v>
          </cell>
          <cell r="FT61">
            <v>500</v>
          </cell>
          <cell r="FU61">
            <v>250</v>
          </cell>
          <cell r="FV61">
            <v>250</v>
          </cell>
          <cell r="FW61">
            <v>500</v>
          </cell>
          <cell r="FX61">
            <v>195</v>
          </cell>
          <cell r="FY61">
            <v>195</v>
          </cell>
          <cell r="FZ61">
            <v>390</v>
          </cell>
          <cell r="GA61">
            <v>195</v>
          </cell>
          <cell r="GB61">
            <v>195</v>
          </cell>
          <cell r="GC61">
            <v>390</v>
          </cell>
          <cell r="GD61">
            <v>195</v>
          </cell>
          <cell r="GE61">
            <v>195</v>
          </cell>
          <cell r="GF61">
            <v>390</v>
          </cell>
          <cell r="GG61">
            <v>195</v>
          </cell>
          <cell r="GH61">
            <v>195</v>
          </cell>
          <cell r="GI61">
            <v>390</v>
          </cell>
          <cell r="GJ61">
            <v>195</v>
          </cell>
          <cell r="GK61">
            <v>195</v>
          </cell>
          <cell r="GL61">
            <v>390</v>
          </cell>
          <cell r="GM61">
            <v>195</v>
          </cell>
          <cell r="GN61">
            <v>195</v>
          </cell>
          <cell r="GO61">
            <v>390</v>
          </cell>
          <cell r="GP61">
            <v>195</v>
          </cell>
          <cell r="GQ61">
            <v>195</v>
          </cell>
          <cell r="GR61">
            <v>390</v>
          </cell>
          <cell r="GS61">
            <v>195</v>
          </cell>
          <cell r="GT61">
            <v>195</v>
          </cell>
          <cell r="GU61">
            <v>390</v>
          </cell>
          <cell r="GV61">
            <v>195</v>
          </cell>
          <cell r="GW61">
            <v>195</v>
          </cell>
          <cell r="GX61">
            <v>390</v>
          </cell>
        </row>
        <row r="63">
          <cell r="A63" t="str">
            <v>Smelt, refine, transport</v>
          </cell>
          <cell r="B63" t="str">
            <v>A$/oz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4</v>
          </cell>
          <cell r="O63">
            <v>2.8107253075741436</v>
          </cell>
          <cell r="P63">
            <v>2.8107253075741427</v>
          </cell>
          <cell r="Q63">
            <v>2.8107253075741432</v>
          </cell>
          <cell r="R63">
            <v>2.8107253075741432</v>
          </cell>
          <cell r="S63">
            <v>2.8107253075741432</v>
          </cell>
          <cell r="T63">
            <v>2.8107253075741432</v>
          </cell>
          <cell r="U63">
            <v>2.8107253075741432</v>
          </cell>
          <cell r="V63">
            <v>2.8107253075741432</v>
          </cell>
          <cell r="W63">
            <v>2.8107253075741432</v>
          </cell>
          <cell r="X63">
            <v>2.8107253075741432</v>
          </cell>
          <cell r="Y63">
            <v>2.8107253075741432</v>
          </cell>
          <cell r="Z63">
            <v>2.8107253075741432</v>
          </cell>
          <cell r="AA63">
            <v>2.8107253075741432</v>
          </cell>
          <cell r="AB63">
            <v>2.8107253075741432</v>
          </cell>
          <cell r="AC63">
            <v>2.8107253075741432</v>
          </cell>
          <cell r="AD63">
            <v>2.8107253075741432</v>
          </cell>
          <cell r="AE63">
            <v>2.8107253075741432</v>
          </cell>
          <cell r="AF63">
            <v>2.8107253075741432</v>
          </cell>
          <cell r="AG63">
            <v>2.8107253075741432</v>
          </cell>
          <cell r="AH63">
            <v>2.8107253075741432</v>
          </cell>
          <cell r="AI63">
            <v>2.8107253075741432</v>
          </cell>
          <cell r="AJ63">
            <v>2.8107253075741432</v>
          </cell>
          <cell r="AK63">
            <v>2.8107253075741432</v>
          </cell>
          <cell r="AL63">
            <v>2.8107253075741432</v>
          </cell>
          <cell r="AM63">
            <v>2.8107253075741432</v>
          </cell>
          <cell r="AN63">
            <v>2.8107253075741432</v>
          </cell>
          <cell r="AO63">
            <v>2.8107253075741432</v>
          </cell>
          <cell r="AP63">
            <v>2.8107253075741432</v>
          </cell>
          <cell r="AQ63">
            <v>2.8107253075741432</v>
          </cell>
          <cell r="AR63">
            <v>2.8107253075741432</v>
          </cell>
          <cell r="AS63">
            <v>2.8107253075741432</v>
          </cell>
          <cell r="AT63">
            <v>2.8107253075741432</v>
          </cell>
          <cell r="AU63">
            <v>2.8107253075741432</v>
          </cell>
          <cell r="AV63">
            <v>2.8107253075741432</v>
          </cell>
          <cell r="AW63">
            <v>2.8107253075741432</v>
          </cell>
          <cell r="AX63">
            <v>2.8107253075741432</v>
          </cell>
          <cell r="AY63">
            <v>2.8107253075741432</v>
          </cell>
          <cell r="AZ63">
            <v>2.8107253075741432</v>
          </cell>
          <cell r="BA63">
            <v>2.8107253075741432</v>
          </cell>
          <cell r="CI63">
            <v>5</v>
          </cell>
          <cell r="CJ63">
            <v>2.8107253075741432</v>
          </cell>
          <cell r="CK63">
            <v>4</v>
          </cell>
          <cell r="CL63">
            <v>2.8107253075741432</v>
          </cell>
          <cell r="CM63">
            <v>2.8107253075741432</v>
          </cell>
          <cell r="CN63">
            <v>2.8107253075741436</v>
          </cell>
          <cell r="CO63">
            <v>2.8107253075741432</v>
          </cell>
          <cell r="CP63">
            <v>2.8107253075741432</v>
          </cell>
          <cell r="CQ63">
            <v>2.8107253075741427</v>
          </cell>
          <cell r="CR63">
            <v>2.8107253075741432</v>
          </cell>
          <cell r="CS63">
            <v>2.8107253075741432</v>
          </cell>
          <cell r="CT63">
            <v>2.8107253075741432</v>
          </cell>
          <cell r="CU63">
            <v>2.8107253075741432</v>
          </cell>
          <cell r="CV63">
            <v>2.8107253075741432</v>
          </cell>
          <cell r="CW63">
            <v>2.8107253075741432</v>
          </cell>
          <cell r="CX63">
            <v>2.8107253075741432</v>
          </cell>
          <cell r="CY63">
            <v>2.8107253075741432</v>
          </cell>
          <cell r="CZ63">
            <v>2.8107253075741432</v>
          </cell>
          <cell r="DA63">
            <v>2.8107253075741432</v>
          </cell>
          <cell r="DB63">
            <v>2.8107253075741432</v>
          </cell>
          <cell r="DC63">
            <v>2.8107253075741432</v>
          </cell>
          <cell r="DD63">
            <v>2.8107253075741432</v>
          </cell>
          <cell r="DE63">
            <v>2.8107253075741432</v>
          </cell>
          <cell r="DF63">
            <v>2.8107253075741432</v>
          </cell>
          <cell r="DG63">
            <v>2.8107253075741432</v>
          </cell>
          <cell r="DH63">
            <v>2.8107253075741432</v>
          </cell>
          <cell r="DI63">
            <v>2.8107253075741432</v>
          </cell>
          <cell r="DJ63">
            <v>2.8107253075741432</v>
          </cell>
          <cell r="DK63">
            <v>2.8107253075741432</v>
          </cell>
          <cell r="DL63">
            <v>2.8107253075741432</v>
          </cell>
          <cell r="DM63">
            <v>2.8107253075741432</v>
          </cell>
          <cell r="DN63">
            <v>2.8107253075741432</v>
          </cell>
          <cell r="DO63">
            <v>2.8107253075741432</v>
          </cell>
          <cell r="DP63">
            <v>2.8107253075741432</v>
          </cell>
          <cell r="DQ63">
            <v>2.8107253075741432</v>
          </cell>
          <cell r="DR63">
            <v>2.8107253075741432</v>
          </cell>
          <cell r="DS63">
            <v>2.8107253075741432</v>
          </cell>
          <cell r="DT63">
            <v>2.8107253075741432</v>
          </cell>
          <cell r="DU63">
            <v>2.8107253075741432</v>
          </cell>
          <cell r="DV63">
            <v>2.8107253075741432</v>
          </cell>
          <cell r="DW63">
            <v>2.8107253075741432</v>
          </cell>
          <cell r="DX63">
            <v>2.8107253075741432</v>
          </cell>
          <cell r="DY63">
            <v>2.8107253075741432</v>
          </cell>
          <cell r="DZ63">
            <v>2.8107253075741432</v>
          </cell>
          <cell r="EA63">
            <v>2.8107253075741432</v>
          </cell>
          <cell r="EB63">
            <v>2.8107253075741432</v>
          </cell>
          <cell r="EC63">
            <v>2.8107253075741432</v>
          </cell>
          <cell r="ED63">
            <v>2.8107253075741432</v>
          </cell>
          <cell r="EE63">
            <v>2.8107253075741432</v>
          </cell>
          <cell r="EF63">
            <v>2.8107253075741432</v>
          </cell>
          <cell r="EG63">
            <v>2.8107253075741432</v>
          </cell>
          <cell r="EH63">
            <v>2.8107253075741432</v>
          </cell>
          <cell r="EI63">
            <v>2.8107253075741432</v>
          </cell>
          <cell r="EJ63">
            <v>2.8107253075741432</v>
          </cell>
          <cell r="EK63">
            <v>2.8107253075741432</v>
          </cell>
          <cell r="EL63">
            <v>2.8107253075741432</v>
          </cell>
          <cell r="EM63">
            <v>2.8107253075741432</v>
          </cell>
          <cell r="EN63">
            <v>2.8107253075741432</v>
          </cell>
          <cell r="EO63">
            <v>2.8107253075741432</v>
          </cell>
          <cell r="EP63">
            <v>2.8107253075741432</v>
          </cell>
          <cell r="EQ63">
            <v>2.8107253075741432</v>
          </cell>
          <cell r="ER63">
            <v>2.8107253075741432</v>
          </cell>
          <cell r="ES63">
            <v>2.8107253075741432</v>
          </cell>
          <cell r="ET63">
            <v>2.8107253075741432</v>
          </cell>
          <cell r="EU63">
            <v>2.8107253075741432</v>
          </cell>
          <cell r="EV63">
            <v>2.8107253075741432</v>
          </cell>
          <cell r="EW63">
            <v>2.8107253075741432</v>
          </cell>
          <cell r="EX63">
            <v>2.8107253075741432</v>
          </cell>
          <cell r="EY63">
            <v>2.8107253075741432</v>
          </cell>
          <cell r="EZ63">
            <v>2.8107253075741432</v>
          </cell>
          <cell r="FA63">
            <v>2.8107253075741432</v>
          </cell>
          <cell r="FB63">
            <v>2.8107253075741432</v>
          </cell>
          <cell r="FC63">
            <v>2.8107253075741432</v>
          </cell>
          <cell r="FD63">
            <v>2.8107253075741432</v>
          </cell>
          <cell r="FE63">
            <v>2.8107253075741432</v>
          </cell>
          <cell r="FF63">
            <v>2.8107253075741432</v>
          </cell>
          <cell r="FG63">
            <v>2.8107253075741432</v>
          </cell>
          <cell r="FH63">
            <v>2.8107253075741432</v>
          </cell>
          <cell r="FI63">
            <v>2.8107253075741432</v>
          </cell>
          <cell r="FJ63">
            <v>2.8107253075741432</v>
          </cell>
          <cell r="FK63">
            <v>2.8107253075741432</v>
          </cell>
          <cell r="FL63">
            <v>2.8107253075741432</v>
          </cell>
          <cell r="FM63">
            <v>2.8107253075741432</v>
          </cell>
          <cell r="FN63">
            <v>2.8107253075741432</v>
          </cell>
          <cell r="FO63">
            <v>2.8107253075741432</v>
          </cell>
          <cell r="FP63">
            <v>2.8107253075741432</v>
          </cell>
          <cell r="FQ63">
            <v>2.8107253075741432</v>
          </cell>
          <cell r="FR63">
            <v>2.8107253075741432</v>
          </cell>
          <cell r="FS63">
            <v>2.8107253075741432</v>
          </cell>
          <cell r="FT63">
            <v>2.8107253075741432</v>
          </cell>
          <cell r="FU63">
            <v>2.8107253075741432</v>
          </cell>
          <cell r="FV63">
            <v>2.8107253075741432</v>
          </cell>
          <cell r="FW63">
            <v>2.8107253075741432</v>
          </cell>
          <cell r="FX63">
            <v>2.8107253075741432</v>
          </cell>
          <cell r="FY63">
            <v>2.8107253075741432</v>
          </cell>
          <cell r="FZ63">
            <v>2.8107253075741432</v>
          </cell>
          <cell r="GA63">
            <v>2.8107253075741432</v>
          </cell>
          <cell r="GB63">
            <v>2.8107253075741432</v>
          </cell>
          <cell r="GC63">
            <v>2.8107253075741432</v>
          </cell>
          <cell r="GD63">
            <v>2.8107253075741432</v>
          </cell>
          <cell r="GE63">
            <v>2.8107253075741432</v>
          </cell>
          <cell r="GF63">
            <v>2.8107253075741432</v>
          </cell>
          <cell r="GG63">
            <v>2.8107253075741432</v>
          </cell>
          <cell r="GH63">
            <v>2.8107253075741432</v>
          </cell>
          <cell r="GI63">
            <v>2.8107253075741432</v>
          </cell>
          <cell r="GJ63">
            <v>2.8107253075741432</v>
          </cell>
          <cell r="GK63">
            <v>2.8107253075741432</v>
          </cell>
          <cell r="GL63">
            <v>2.8107253075741432</v>
          </cell>
          <cell r="GM63">
            <v>2.8107253075741432</v>
          </cell>
          <cell r="GN63">
            <v>2.8107253075741432</v>
          </cell>
          <cell r="GO63">
            <v>2.8107253075741432</v>
          </cell>
          <cell r="GP63">
            <v>2.8107253075741432</v>
          </cell>
          <cell r="GQ63">
            <v>2.8107253075741432</v>
          </cell>
          <cell r="GR63">
            <v>2.8107253075741432</v>
          </cell>
          <cell r="GS63">
            <v>2.8107253075741432</v>
          </cell>
          <cell r="GT63">
            <v>2.8107253075741432</v>
          </cell>
          <cell r="GU63">
            <v>2.8107253075741432</v>
          </cell>
          <cell r="GV63">
            <v>2.8107253075741432</v>
          </cell>
          <cell r="GW63">
            <v>2.8107253075741432</v>
          </cell>
          <cell r="GX63">
            <v>2.8107253075741432</v>
          </cell>
        </row>
        <row r="64">
          <cell r="A64" t="str">
            <v>Royalties</v>
          </cell>
          <cell r="B64" t="str">
            <v>A$/oz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30</v>
          </cell>
          <cell r="O64">
            <v>21.8869724321859</v>
          </cell>
          <cell r="P64">
            <v>16.541492040669745</v>
          </cell>
          <cell r="Q64">
            <v>15.729760718663115</v>
          </cell>
          <cell r="R64">
            <v>14.030944681789654</v>
          </cell>
          <cell r="S64">
            <v>14.427406033607602</v>
          </cell>
          <cell r="T64">
            <v>19.060370331733662</v>
          </cell>
          <cell r="U64">
            <v>23.195837870080148</v>
          </cell>
          <cell r="V64">
            <v>23.195837870080148</v>
          </cell>
          <cell r="W64">
            <v>23.195837870080148</v>
          </cell>
          <cell r="X64">
            <v>23.195837870080148</v>
          </cell>
          <cell r="Y64">
            <v>23.195837870080148</v>
          </cell>
          <cell r="Z64">
            <v>23.195837870080148</v>
          </cell>
          <cell r="AA64">
            <v>23.195837870080148</v>
          </cell>
          <cell r="AB64">
            <v>23.195837870080148</v>
          </cell>
          <cell r="AC64">
            <v>23.195837870080148</v>
          </cell>
          <cell r="AD64">
            <v>23.195837870080148</v>
          </cell>
          <cell r="AE64">
            <v>23.195837870080148</v>
          </cell>
          <cell r="AF64">
            <v>23.195837870080148</v>
          </cell>
          <cell r="AG64">
            <v>23.195837870080148</v>
          </cell>
          <cell r="AH64">
            <v>23.195837870080148</v>
          </cell>
          <cell r="AI64">
            <v>23.195837870080148</v>
          </cell>
          <cell r="AJ64">
            <v>23.195837870080148</v>
          </cell>
          <cell r="AK64">
            <v>23.195837870080148</v>
          </cell>
          <cell r="AL64">
            <v>23.195837870080148</v>
          </cell>
          <cell r="AM64">
            <v>23.195837870080148</v>
          </cell>
          <cell r="AN64">
            <v>23.195837870080148</v>
          </cell>
          <cell r="AO64">
            <v>23.195837870080148</v>
          </cell>
          <cell r="AP64">
            <v>23.195837870080148</v>
          </cell>
          <cell r="AQ64">
            <v>23.195837870080148</v>
          </cell>
          <cell r="AR64">
            <v>23.195837870080148</v>
          </cell>
          <cell r="AS64">
            <v>46.391675740160295</v>
          </cell>
          <cell r="AT64">
            <v>46.391675740160295</v>
          </cell>
          <cell r="AU64">
            <v>46.391675740160295</v>
          </cell>
          <cell r="AV64">
            <v>46.391675740160295</v>
          </cell>
          <cell r="AW64">
            <v>46.391675740160295</v>
          </cell>
          <cell r="AX64">
            <v>46.391675740160295</v>
          </cell>
          <cell r="AY64">
            <v>46.391675740160295</v>
          </cell>
          <cell r="AZ64">
            <v>46.391675740160295</v>
          </cell>
          <cell r="BA64">
            <v>46.391675740160295</v>
          </cell>
          <cell r="CI64">
            <v>29</v>
          </cell>
          <cell r="CJ64">
            <v>31.189274692425858</v>
          </cell>
          <cell r="CK64">
            <v>30</v>
          </cell>
          <cell r="CL64">
            <v>25.02273440760354</v>
          </cell>
          <cell r="CM64">
            <v>18.850234519149868</v>
          </cell>
          <cell r="CN64">
            <v>21.8869724321859</v>
          </cell>
          <cell r="CO64">
            <v>16.299925371972407</v>
          </cell>
          <cell r="CP64">
            <v>16.771403476839051</v>
          </cell>
          <cell r="CQ64">
            <v>16.541492040669745</v>
          </cell>
          <cell r="CR64">
            <v>15.104246107415172</v>
          </cell>
          <cell r="CS64">
            <v>16.355275329911059</v>
          </cell>
          <cell r="CT64">
            <v>15.729760718663115</v>
          </cell>
          <cell r="CU64">
            <v>14.131980089751275</v>
          </cell>
          <cell r="CV64">
            <v>13.929909273828029</v>
          </cell>
          <cell r="CW64">
            <v>14.030944681789654</v>
          </cell>
          <cell r="CX64">
            <v>13.929909273828029</v>
          </cell>
          <cell r="CY64">
            <v>14.924902793387174</v>
          </cell>
          <cell r="CZ64">
            <v>14.427406033607602</v>
          </cell>
          <cell r="DA64">
            <v>14.924902793387176</v>
          </cell>
          <cell r="DB64">
            <v>23.195837870080151</v>
          </cell>
          <cell r="DC64">
            <v>19.060370331733662</v>
          </cell>
          <cell r="DD64">
            <v>23.195837870080148</v>
          </cell>
          <cell r="DE64">
            <v>23.195837870080148</v>
          </cell>
          <cell r="DF64">
            <v>23.195837870080148</v>
          </cell>
          <cell r="DG64">
            <v>23.195837870080148</v>
          </cell>
          <cell r="DH64">
            <v>23.195837870080148</v>
          </cell>
          <cell r="DI64">
            <v>23.195837870080148</v>
          </cell>
          <cell r="DJ64">
            <v>23.195837870080148</v>
          </cell>
          <cell r="DK64">
            <v>23.195837870080148</v>
          </cell>
          <cell r="DL64">
            <v>23.195837870080148</v>
          </cell>
          <cell r="DM64">
            <v>23.195837870080148</v>
          </cell>
          <cell r="DN64">
            <v>23.195837870080148</v>
          </cell>
          <cell r="DO64">
            <v>23.195837870080148</v>
          </cell>
          <cell r="DP64">
            <v>23.195837870080148</v>
          </cell>
          <cell r="DQ64">
            <v>23.195837870080148</v>
          </cell>
          <cell r="DR64">
            <v>23.195837870080148</v>
          </cell>
          <cell r="DS64">
            <v>23.195837870080148</v>
          </cell>
          <cell r="DT64">
            <v>23.195837870080148</v>
          </cell>
          <cell r="DU64">
            <v>23.195837870080148</v>
          </cell>
          <cell r="DV64">
            <v>23.195837870080148</v>
          </cell>
          <cell r="DW64">
            <v>23.195837870080148</v>
          </cell>
          <cell r="DX64">
            <v>23.195837870080148</v>
          </cell>
          <cell r="DY64">
            <v>23.195837870080148</v>
          </cell>
          <cell r="DZ64">
            <v>23.195837870080148</v>
          </cell>
          <cell r="EA64">
            <v>23.195837870080148</v>
          </cell>
          <cell r="EB64">
            <v>23.195837870080148</v>
          </cell>
          <cell r="EC64">
            <v>23.195837870080148</v>
          </cell>
          <cell r="ED64">
            <v>23.195837870080148</v>
          </cell>
          <cell r="EE64">
            <v>23.195837870080148</v>
          </cell>
          <cell r="EF64">
            <v>23.195837870080148</v>
          </cell>
          <cell r="EG64">
            <v>23.195837870080148</v>
          </cell>
          <cell r="EH64">
            <v>23.195837870080148</v>
          </cell>
          <cell r="EI64">
            <v>23.195837870080148</v>
          </cell>
          <cell r="EJ64">
            <v>23.195837870080148</v>
          </cell>
          <cell r="EK64">
            <v>23.195837870080148</v>
          </cell>
          <cell r="EL64">
            <v>23.195837870080148</v>
          </cell>
          <cell r="EM64">
            <v>23.195837870080148</v>
          </cell>
          <cell r="EN64">
            <v>23.195837870080148</v>
          </cell>
          <cell r="EO64">
            <v>23.195837870080148</v>
          </cell>
          <cell r="EP64">
            <v>23.195837870080148</v>
          </cell>
          <cell r="EQ64">
            <v>23.195837870080148</v>
          </cell>
          <cell r="ER64">
            <v>23.195837870080148</v>
          </cell>
          <cell r="ES64">
            <v>23.195837870080148</v>
          </cell>
          <cell r="ET64">
            <v>23.195837870080148</v>
          </cell>
          <cell r="EU64">
            <v>23.195837870080148</v>
          </cell>
          <cell r="EV64">
            <v>23.195837870080148</v>
          </cell>
          <cell r="EW64">
            <v>23.195837870080148</v>
          </cell>
          <cell r="EX64">
            <v>23.195837870080148</v>
          </cell>
          <cell r="EY64">
            <v>23.195837870080148</v>
          </cell>
          <cell r="EZ64">
            <v>23.195837870080148</v>
          </cell>
          <cell r="FA64">
            <v>23.195837870080148</v>
          </cell>
          <cell r="FB64">
            <v>23.195837870080148</v>
          </cell>
          <cell r="FC64">
            <v>23.195837870080148</v>
          </cell>
          <cell r="FD64">
            <v>23.195837870080148</v>
          </cell>
          <cell r="FE64">
            <v>23.195837870080148</v>
          </cell>
          <cell r="FF64">
            <v>23.195837870080148</v>
          </cell>
          <cell r="FG64">
            <v>23.195837870080148</v>
          </cell>
          <cell r="FH64">
            <v>23.195837870080148</v>
          </cell>
          <cell r="FI64">
            <v>23.195837870080148</v>
          </cell>
          <cell r="FJ64">
            <v>23.195837870080148</v>
          </cell>
          <cell r="FK64">
            <v>23.195837870080148</v>
          </cell>
          <cell r="FL64">
            <v>23.195837870080148</v>
          </cell>
          <cell r="FM64">
            <v>23.195837870080148</v>
          </cell>
          <cell r="FN64">
            <v>23.195837870080148</v>
          </cell>
          <cell r="FO64">
            <v>23.195837870080148</v>
          </cell>
          <cell r="FP64">
            <v>23.195837870080148</v>
          </cell>
          <cell r="FQ64">
            <v>23.195837870080148</v>
          </cell>
          <cell r="FR64">
            <v>23.195837870080148</v>
          </cell>
          <cell r="FS64">
            <v>23.195837870080148</v>
          </cell>
          <cell r="FT64">
            <v>23.195837870080148</v>
          </cell>
          <cell r="FU64">
            <v>23.195837870080148</v>
          </cell>
          <cell r="FV64">
            <v>23.195837870080148</v>
          </cell>
          <cell r="FW64">
            <v>23.195837870080148</v>
          </cell>
          <cell r="FX64">
            <v>46.391675740160295</v>
          </cell>
          <cell r="FY64">
            <v>46.391675740160295</v>
          </cell>
          <cell r="FZ64">
            <v>46.391675740160295</v>
          </cell>
          <cell r="GA64">
            <v>46.391675740160295</v>
          </cell>
          <cell r="GB64">
            <v>46.391675740160295</v>
          </cell>
          <cell r="GC64">
            <v>46.391675740160295</v>
          </cell>
          <cell r="GD64">
            <v>46.391675740160295</v>
          </cell>
          <cell r="GE64">
            <v>46.391675740160295</v>
          </cell>
          <cell r="GF64">
            <v>46.391675740160295</v>
          </cell>
          <cell r="GG64">
            <v>46.391675740160295</v>
          </cell>
          <cell r="GH64">
            <v>46.391675740160295</v>
          </cell>
          <cell r="GI64">
            <v>46.391675740160295</v>
          </cell>
          <cell r="GJ64">
            <v>46.391675740160295</v>
          </cell>
          <cell r="GK64">
            <v>46.391675740160295</v>
          </cell>
          <cell r="GL64">
            <v>46.391675740160295</v>
          </cell>
          <cell r="GM64">
            <v>46.391675740160295</v>
          </cell>
          <cell r="GN64">
            <v>46.391675740160295</v>
          </cell>
          <cell r="GO64">
            <v>46.391675740160295</v>
          </cell>
          <cell r="GP64">
            <v>46.391675740160295</v>
          </cell>
          <cell r="GQ64">
            <v>46.391675740160295</v>
          </cell>
          <cell r="GR64">
            <v>46.391675740160295</v>
          </cell>
          <cell r="GS64">
            <v>46.391675740160295</v>
          </cell>
          <cell r="GT64">
            <v>46.391675740160295</v>
          </cell>
          <cell r="GU64">
            <v>46.391675740160295</v>
          </cell>
          <cell r="GV64">
            <v>46.391675740160295</v>
          </cell>
          <cell r="GW64">
            <v>46.391675740160295</v>
          </cell>
          <cell r="GX64">
            <v>46.391675740160295</v>
          </cell>
        </row>
        <row r="65">
          <cell r="A65" t="str">
            <v>By-product credits</v>
          </cell>
          <cell r="B65" t="str">
            <v>A$/oz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-1</v>
          </cell>
          <cell r="O65">
            <v>-2.1892746924258568</v>
          </cell>
          <cell r="P65">
            <v>-2.1892746924258564</v>
          </cell>
          <cell r="Q65">
            <v>-2.1892746924258568</v>
          </cell>
          <cell r="R65">
            <v>-2.1892746924258568</v>
          </cell>
          <cell r="S65">
            <v>-2.1892746924258568</v>
          </cell>
          <cell r="T65">
            <v>-2.1892746924258568</v>
          </cell>
          <cell r="U65">
            <v>-2.1892746924258568</v>
          </cell>
          <cell r="V65">
            <v>-2.1892746924258568</v>
          </cell>
          <cell r="W65">
            <v>-2.1892746924258568</v>
          </cell>
          <cell r="X65">
            <v>-2.1892746924258568</v>
          </cell>
          <cell r="Y65">
            <v>-2.1892746924258568</v>
          </cell>
          <cell r="Z65">
            <v>-2.1892746924258568</v>
          </cell>
          <cell r="AA65">
            <v>-2.1892746924258568</v>
          </cell>
          <cell r="AB65">
            <v>-2.1892746924258568</v>
          </cell>
          <cell r="AC65">
            <v>-2.1892746924258568</v>
          </cell>
          <cell r="AD65">
            <v>-2.1892746924258568</v>
          </cell>
          <cell r="AE65">
            <v>-2.1892746924258568</v>
          </cell>
          <cell r="AF65">
            <v>-2.1892746924258568</v>
          </cell>
          <cell r="AG65">
            <v>-2.1892746924258568</v>
          </cell>
          <cell r="AH65">
            <v>-2.1892746924258568</v>
          </cell>
          <cell r="AI65">
            <v>-2.1892746924258568</v>
          </cell>
          <cell r="AJ65">
            <v>-2.1892746924258568</v>
          </cell>
          <cell r="AK65">
            <v>-2.1892746924258568</v>
          </cell>
          <cell r="AL65">
            <v>-2.1892746924258568</v>
          </cell>
          <cell r="AM65">
            <v>-2.1892746924258568</v>
          </cell>
          <cell r="AN65">
            <v>-2.1892746924258568</v>
          </cell>
          <cell r="AO65">
            <v>-2.1892746924258568</v>
          </cell>
          <cell r="AP65">
            <v>-2.1892746924258568</v>
          </cell>
          <cell r="AQ65">
            <v>-2.1892746924258568</v>
          </cell>
          <cell r="AR65">
            <v>-2.1892746924258568</v>
          </cell>
          <cell r="AS65">
            <v>-2.1892746924258568</v>
          </cell>
          <cell r="AT65">
            <v>-2.1892746924258568</v>
          </cell>
          <cell r="AU65">
            <v>-2.1892746924258568</v>
          </cell>
          <cell r="AV65">
            <v>-2.1892746924258568</v>
          </cell>
          <cell r="AW65">
            <v>-2.1892746924258568</v>
          </cell>
          <cell r="AX65">
            <v>-2.1892746924258568</v>
          </cell>
          <cell r="AY65">
            <v>-2.1892746924258568</v>
          </cell>
          <cell r="AZ65">
            <v>-2.1892746924258568</v>
          </cell>
          <cell r="BA65">
            <v>-2.1892746924258568</v>
          </cell>
          <cell r="CI65">
            <v>0</v>
          </cell>
          <cell r="CJ65">
            <v>-2.1892746924258568</v>
          </cell>
          <cell r="CK65">
            <v>-1</v>
          </cell>
          <cell r="CL65">
            <v>-2.1892746924258568</v>
          </cell>
          <cell r="CM65">
            <v>-2.1892746924258568</v>
          </cell>
          <cell r="CN65">
            <v>-2.1892746924258568</v>
          </cell>
          <cell r="CO65">
            <v>-2.1892746924258568</v>
          </cell>
          <cell r="CP65">
            <v>-2.1892746924258568</v>
          </cell>
          <cell r="CQ65">
            <v>-2.1892746924258564</v>
          </cell>
          <cell r="CR65">
            <v>-2.1892746924258568</v>
          </cell>
          <cell r="CS65">
            <v>-2.1892746924258568</v>
          </cell>
          <cell r="CT65">
            <v>-2.1892746924258568</v>
          </cell>
          <cell r="CU65">
            <v>-2.1892746924258568</v>
          </cell>
          <cell r="CV65">
            <v>-2.1892746924258568</v>
          </cell>
          <cell r="CW65">
            <v>-2.1892746924258568</v>
          </cell>
          <cell r="CX65">
            <v>-2.1892746924258568</v>
          </cell>
          <cell r="CY65">
            <v>-2.1892746924258568</v>
          </cell>
          <cell r="CZ65">
            <v>-2.1892746924258568</v>
          </cell>
          <cell r="DA65">
            <v>-2.1892746924258568</v>
          </cell>
          <cell r="DB65">
            <v>-2.1892746924258568</v>
          </cell>
          <cell r="DC65">
            <v>-2.1892746924258568</v>
          </cell>
          <cell r="DD65">
            <v>-2.1892746924258568</v>
          </cell>
          <cell r="DE65">
            <v>-2.1892746924258568</v>
          </cell>
          <cell r="DF65">
            <v>-2.1892746924258568</v>
          </cell>
          <cell r="DG65">
            <v>-2.1892746924258568</v>
          </cell>
          <cell r="DH65">
            <v>-2.1892746924258568</v>
          </cell>
          <cell r="DI65">
            <v>-2.1892746924258568</v>
          </cell>
          <cell r="DJ65">
            <v>-2.1892746924258568</v>
          </cell>
          <cell r="DK65">
            <v>-2.1892746924258568</v>
          </cell>
          <cell r="DL65">
            <v>-2.1892746924258568</v>
          </cell>
          <cell r="DM65">
            <v>-2.1892746924258568</v>
          </cell>
          <cell r="DN65">
            <v>-2.1892746924258568</v>
          </cell>
          <cell r="DO65">
            <v>-2.1892746924258568</v>
          </cell>
          <cell r="DP65">
            <v>-2.1892746924258568</v>
          </cell>
          <cell r="DQ65">
            <v>-2.1892746924258568</v>
          </cell>
          <cell r="DR65">
            <v>-2.1892746924258568</v>
          </cell>
          <cell r="DS65">
            <v>-2.1892746924258568</v>
          </cell>
          <cell r="DT65">
            <v>-2.1892746924258568</v>
          </cell>
          <cell r="DU65">
            <v>-2.1892746924258568</v>
          </cell>
          <cell r="DV65">
            <v>-2.1892746924258568</v>
          </cell>
          <cell r="DW65">
            <v>-2.1892746924258568</v>
          </cell>
          <cell r="DX65">
            <v>-2.1892746924258568</v>
          </cell>
          <cell r="DY65">
            <v>-2.1892746924258568</v>
          </cell>
          <cell r="DZ65">
            <v>-2.1892746924258568</v>
          </cell>
          <cell r="EA65">
            <v>-2.1892746924258568</v>
          </cell>
          <cell r="EB65">
            <v>-2.1892746924258568</v>
          </cell>
          <cell r="EC65">
            <v>-2.1892746924258568</v>
          </cell>
          <cell r="ED65">
            <v>-2.1892746924258568</v>
          </cell>
          <cell r="EE65">
            <v>-2.1892746924258568</v>
          </cell>
          <cell r="EF65">
            <v>-2.1892746924258568</v>
          </cell>
          <cell r="EG65">
            <v>-2.1892746924258568</v>
          </cell>
          <cell r="EH65">
            <v>-2.1892746924258568</v>
          </cell>
          <cell r="EI65">
            <v>-2.1892746924258568</v>
          </cell>
          <cell r="EJ65">
            <v>-2.1892746924258568</v>
          </cell>
          <cell r="EK65">
            <v>-2.1892746924258568</v>
          </cell>
          <cell r="EL65">
            <v>-2.1892746924258568</v>
          </cell>
          <cell r="EM65">
            <v>-2.1892746924258568</v>
          </cell>
          <cell r="EN65">
            <v>-2.1892746924258568</v>
          </cell>
          <cell r="EO65">
            <v>-2.1892746924258568</v>
          </cell>
          <cell r="EP65">
            <v>-2.1892746924258568</v>
          </cell>
          <cell r="EQ65">
            <v>-2.1892746924258568</v>
          </cell>
          <cell r="ER65">
            <v>-2.1892746924258568</v>
          </cell>
          <cell r="ES65">
            <v>-2.1892746924258568</v>
          </cell>
          <cell r="ET65">
            <v>-2.1892746924258568</v>
          </cell>
          <cell r="EU65">
            <v>-2.1892746924258568</v>
          </cell>
          <cell r="EV65">
            <v>-2.1892746924258568</v>
          </cell>
          <cell r="EW65">
            <v>-2.1892746924258568</v>
          </cell>
          <cell r="EX65">
            <v>-2.1892746924258568</v>
          </cell>
          <cell r="EY65">
            <v>-2.1892746924258568</v>
          </cell>
          <cell r="EZ65">
            <v>-2.1892746924258568</v>
          </cell>
          <cell r="FA65">
            <v>-2.1892746924258568</v>
          </cell>
          <cell r="FB65">
            <v>-2.1892746924258568</v>
          </cell>
          <cell r="FC65">
            <v>-2.1892746924258568</v>
          </cell>
          <cell r="FD65">
            <v>-2.1892746924258568</v>
          </cell>
          <cell r="FE65">
            <v>-2.1892746924258568</v>
          </cell>
          <cell r="FF65">
            <v>-2.1892746924258568</v>
          </cell>
          <cell r="FG65">
            <v>-2.1892746924258568</v>
          </cell>
          <cell r="FH65">
            <v>-2.1892746924258568</v>
          </cell>
          <cell r="FI65">
            <v>-2.1892746924258568</v>
          </cell>
          <cell r="FJ65">
            <v>-2.1892746924258568</v>
          </cell>
          <cell r="FK65">
            <v>-2.1892746924258568</v>
          </cell>
          <cell r="FL65">
            <v>-2.1892746924258568</v>
          </cell>
          <cell r="FM65">
            <v>-2.1892746924258568</v>
          </cell>
          <cell r="FN65">
            <v>-2.1892746924258568</v>
          </cell>
          <cell r="FO65">
            <v>-2.1892746924258568</v>
          </cell>
          <cell r="FP65">
            <v>-2.1892746924258568</v>
          </cell>
          <cell r="FQ65">
            <v>-2.1892746924258568</v>
          </cell>
          <cell r="FR65">
            <v>-2.1892746924258568</v>
          </cell>
          <cell r="FS65">
            <v>-2.1892746924258568</v>
          </cell>
          <cell r="FT65">
            <v>-2.1892746924258568</v>
          </cell>
          <cell r="FU65">
            <v>-2.1892746924258568</v>
          </cell>
          <cell r="FV65">
            <v>-2.1892746924258568</v>
          </cell>
          <cell r="FW65">
            <v>-2.1892746924258568</v>
          </cell>
          <cell r="FX65">
            <v>-2.1892746924258568</v>
          </cell>
          <cell r="FY65">
            <v>-2.1892746924258568</v>
          </cell>
          <cell r="FZ65">
            <v>-2.1892746924258568</v>
          </cell>
          <cell r="GA65">
            <v>-2.1892746924258568</v>
          </cell>
          <cell r="GB65">
            <v>-2.1892746924258568</v>
          </cell>
          <cell r="GC65">
            <v>-2.1892746924258568</v>
          </cell>
          <cell r="GD65">
            <v>-2.1892746924258568</v>
          </cell>
          <cell r="GE65">
            <v>-2.1892746924258568</v>
          </cell>
          <cell r="GF65">
            <v>-2.1892746924258568</v>
          </cell>
          <cell r="GG65">
            <v>-2.1892746924258568</v>
          </cell>
          <cell r="GH65">
            <v>-2.1892746924258568</v>
          </cell>
          <cell r="GI65">
            <v>-2.1892746924258568</v>
          </cell>
          <cell r="GJ65">
            <v>-2.1892746924258568</v>
          </cell>
          <cell r="GK65">
            <v>-2.1892746924258568</v>
          </cell>
          <cell r="GL65">
            <v>-2.1892746924258568</v>
          </cell>
          <cell r="GM65">
            <v>-2.1892746924258568</v>
          </cell>
          <cell r="GN65">
            <v>-2.1892746924258568</v>
          </cell>
          <cell r="GO65">
            <v>-2.1892746924258568</v>
          </cell>
          <cell r="GP65">
            <v>-2.1892746924258568</v>
          </cell>
          <cell r="GQ65">
            <v>-2.1892746924258568</v>
          </cell>
          <cell r="GR65">
            <v>-2.1892746924258568</v>
          </cell>
          <cell r="GS65">
            <v>-2.1892746924258568</v>
          </cell>
          <cell r="GT65">
            <v>-2.1892746924258568</v>
          </cell>
          <cell r="GU65">
            <v>-2.1892746924258568</v>
          </cell>
          <cell r="GV65">
            <v>-2.1892746924258568</v>
          </cell>
          <cell r="GW65">
            <v>-2.1892746924258568</v>
          </cell>
          <cell r="GX65">
            <v>-2.1892746924258568</v>
          </cell>
        </row>
        <row r="66">
          <cell r="A66" t="str">
            <v>Gross Cash Costs</v>
          </cell>
          <cell r="B66" t="str">
            <v>A$/oz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652</v>
          </cell>
          <cell r="O66">
            <v>705.74984846672908</v>
          </cell>
          <cell r="P66">
            <v>545.01495347593573</v>
          </cell>
          <cell r="Q66">
            <v>480.26400536708741</v>
          </cell>
          <cell r="R66">
            <v>420.57609007605447</v>
          </cell>
          <cell r="S66">
            <v>420.97255142787247</v>
          </cell>
          <cell r="T66">
            <v>425.60551572599854</v>
          </cell>
          <cell r="U66">
            <v>429.740983264345</v>
          </cell>
          <cell r="V66">
            <v>429.740983264345</v>
          </cell>
          <cell r="W66">
            <v>414.12853346514817</v>
          </cell>
          <cell r="X66">
            <v>414.12853346514817</v>
          </cell>
          <cell r="Y66">
            <v>414.12853346514817</v>
          </cell>
          <cell r="Z66">
            <v>414.12853346514817</v>
          </cell>
          <cell r="AA66">
            <v>414.12853346514817</v>
          </cell>
          <cell r="AB66">
            <v>414.12853346514817</v>
          </cell>
          <cell r="AC66">
            <v>414.12853346514817</v>
          </cell>
          <cell r="AD66">
            <v>414.12853346514817</v>
          </cell>
          <cell r="AE66">
            <v>414.12853346514817</v>
          </cell>
          <cell r="AF66">
            <v>414.12853346514817</v>
          </cell>
          <cell r="AG66">
            <v>414.12853346514817</v>
          </cell>
          <cell r="AH66">
            <v>414.12853346514817</v>
          </cell>
          <cell r="AI66">
            <v>414.12853346514817</v>
          </cell>
          <cell r="AJ66">
            <v>414.12853346514817</v>
          </cell>
          <cell r="AK66">
            <v>414.12853346514817</v>
          </cell>
          <cell r="AL66">
            <v>414.12853346514817</v>
          </cell>
          <cell r="AM66">
            <v>414.12853346514817</v>
          </cell>
          <cell r="AN66">
            <v>414.12853346514817</v>
          </cell>
          <cell r="AO66">
            <v>414.12853346514817</v>
          </cell>
          <cell r="AP66">
            <v>414.12853346514817</v>
          </cell>
          <cell r="AQ66">
            <v>414.12853346514817</v>
          </cell>
          <cell r="AR66">
            <v>414.12853346514817</v>
          </cell>
          <cell r="AS66">
            <v>655.89866852398336</v>
          </cell>
          <cell r="AT66">
            <v>655.89866852398336</v>
          </cell>
          <cell r="AU66">
            <v>655.89866852398336</v>
          </cell>
          <cell r="AV66">
            <v>655.89866852398336</v>
          </cell>
          <cell r="AW66">
            <v>655.89866852398336</v>
          </cell>
          <cell r="AX66">
            <v>655.89866852398336</v>
          </cell>
          <cell r="AY66">
            <v>655.89866852398336</v>
          </cell>
          <cell r="AZ66">
            <v>655.89866852398336</v>
          </cell>
          <cell r="BA66">
            <v>655.89866852398336</v>
          </cell>
          <cell r="CI66">
            <v>604</v>
          </cell>
          <cell r="CJ66">
            <v>709.08518523644113</v>
          </cell>
          <cell r="CK66">
            <v>652</v>
          </cell>
          <cell r="CL66">
            <v>720.0254162913759</v>
          </cell>
          <cell r="CM66">
            <v>691.92508804707097</v>
          </cell>
          <cell r="CN66">
            <v>705.74984846672908</v>
          </cell>
          <cell r="CO66">
            <v>558.15296902594264</v>
          </cell>
          <cell r="CP66">
            <v>532.51082763851991</v>
          </cell>
          <cell r="CQ66">
            <v>545.01495347593573</v>
          </cell>
          <cell r="CR66">
            <v>479.63849075583937</v>
          </cell>
          <cell r="CS66">
            <v>480.88951997833527</v>
          </cell>
          <cell r="CT66">
            <v>480.26400536708741</v>
          </cell>
          <cell r="CU66">
            <v>420.67712548401613</v>
          </cell>
          <cell r="CV66">
            <v>420.47505466809287</v>
          </cell>
          <cell r="CW66">
            <v>420.57609007605447</v>
          </cell>
          <cell r="CX66">
            <v>420.47505466809287</v>
          </cell>
          <cell r="CY66">
            <v>421.47004818765203</v>
          </cell>
          <cell r="CZ66">
            <v>420.97255142787247</v>
          </cell>
          <cell r="DA66">
            <v>421.47004818765203</v>
          </cell>
          <cell r="DB66">
            <v>429.740983264345</v>
          </cell>
          <cell r="DC66">
            <v>425.60551572599854</v>
          </cell>
          <cell r="DD66">
            <v>429.740983264345</v>
          </cell>
          <cell r="DE66">
            <v>429.740983264345</v>
          </cell>
          <cell r="DF66">
            <v>429.740983264345</v>
          </cell>
          <cell r="DG66">
            <v>429.740983264345</v>
          </cell>
          <cell r="DH66">
            <v>429.740983264345</v>
          </cell>
          <cell r="DI66">
            <v>429.740983264345</v>
          </cell>
          <cell r="DJ66">
            <v>414.12853346514817</v>
          </cell>
          <cell r="DK66">
            <v>414.12853346514817</v>
          </cell>
          <cell r="DL66">
            <v>414.12853346514817</v>
          </cell>
          <cell r="DM66">
            <v>414.12853346514817</v>
          </cell>
          <cell r="DN66">
            <v>414.12853346514817</v>
          </cell>
          <cell r="DO66">
            <v>414.12853346514817</v>
          </cell>
          <cell r="DP66">
            <v>414.12853346514817</v>
          </cell>
          <cell r="DQ66">
            <v>414.12853346514817</v>
          </cell>
          <cell r="DR66">
            <v>414.12853346514817</v>
          </cell>
          <cell r="DS66">
            <v>414.12853346514817</v>
          </cell>
          <cell r="DT66">
            <v>414.12853346514817</v>
          </cell>
          <cell r="DU66">
            <v>414.12853346514817</v>
          </cell>
          <cell r="DV66">
            <v>414.12853346514817</v>
          </cell>
          <cell r="DW66">
            <v>414.12853346514817</v>
          </cell>
          <cell r="DX66">
            <v>414.12853346514817</v>
          </cell>
          <cell r="DY66">
            <v>414.12853346514817</v>
          </cell>
          <cell r="DZ66">
            <v>414.12853346514817</v>
          </cell>
          <cell r="EA66">
            <v>414.12853346514817</v>
          </cell>
          <cell r="EB66">
            <v>414.12853346514817</v>
          </cell>
          <cell r="EC66">
            <v>414.12853346514817</v>
          </cell>
          <cell r="ED66">
            <v>414.12853346514817</v>
          </cell>
          <cell r="EE66">
            <v>414.12853346514817</v>
          </cell>
          <cell r="EF66">
            <v>414.12853346514817</v>
          </cell>
          <cell r="EG66">
            <v>414.12853346514817</v>
          </cell>
          <cell r="EH66">
            <v>414.12853346514817</v>
          </cell>
          <cell r="EI66">
            <v>414.12853346514817</v>
          </cell>
          <cell r="EJ66">
            <v>414.12853346514817</v>
          </cell>
          <cell r="EK66">
            <v>414.12853346514817</v>
          </cell>
          <cell r="EL66">
            <v>414.12853346514817</v>
          </cell>
          <cell r="EM66">
            <v>414.12853346514817</v>
          </cell>
          <cell r="EN66">
            <v>414.12853346514817</v>
          </cell>
          <cell r="EO66">
            <v>414.12853346514817</v>
          </cell>
          <cell r="EP66">
            <v>414.12853346514817</v>
          </cell>
          <cell r="EQ66">
            <v>414.12853346514817</v>
          </cell>
          <cell r="ER66">
            <v>414.12853346514817</v>
          </cell>
          <cell r="ES66">
            <v>414.12853346514817</v>
          </cell>
          <cell r="ET66">
            <v>414.12853346514817</v>
          </cell>
          <cell r="EU66">
            <v>414.12853346514817</v>
          </cell>
          <cell r="EV66">
            <v>414.12853346514817</v>
          </cell>
          <cell r="EW66">
            <v>414.12853346514817</v>
          </cell>
          <cell r="EX66">
            <v>414.12853346514817</v>
          </cell>
          <cell r="EY66">
            <v>414.12853346514817</v>
          </cell>
          <cell r="EZ66">
            <v>414.12853346514817</v>
          </cell>
          <cell r="FA66">
            <v>414.12853346514817</v>
          </cell>
          <cell r="FB66">
            <v>414.12853346514817</v>
          </cell>
          <cell r="FC66">
            <v>414.12853346514817</v>
          </cell>
          <cell r="FD66">
            <v>414.12853346514817</v>
          </cell>
          <cell r="FE66">
            <v>414.12853346514817</v>
          </cell>
          <cell r="FF66">
            <v>414.12853346514817</v>
          </cell>
          <cell r="FG66">
            <v>414.12853346514817</v>
          </cell>
          <cell r="FH66">
            <v>414.12853346514817</v>
          </cell>
          <cell r="FI66">
            <v>414.12853346514817</v>
          </cell>
          <cell r="FJ66">
            <v>414.12853346514817</v>
          </cell>
          <cell r="FK66">
            <v>414.12853346514817</v>
          </cell>
          <cell r="FL66">
            <v>414.12853346514817</v>
          </cell>
          <cell r="FM66">
            <v>414.12853346514817</v>
          </cell>
          <cell r="FN66">
            <v>414.12853346514817</v>
          </cell>
          <cell r="FO66">
            <v>414.12853346514817</v>
          </cell>
          <cell r="FP66">
            <v>414.12853346514817</v>
          </cell>
          <cell r="FQ66">
            <v>414.12853346514817</v>
          </cell>
          <cell r="FR66">
            <v>414.12853346514817</v>
          </cell>
          <cell r="FS66">
            <v>414.12853346514817</v>
          </cell>
          <cell r="FT66">
            <v>414.12853346514817</v>
          </cell>
          <cell r="FU66">
            <v>414.12853346514817</v>
          </cell>
          <cell r="FV66">
            <v>414.12853346514817</v>
          </cell>
          <cell r="FW66">
            <v>414.12853346514817</v>
          </cell>
          <cell r="FX66">
            <v>655.89866852398336</v>
          </cell>
          <cell r="FY66">
            <v>655.89866852398336</v>
          </cell>
          <cell r="FZ66">
            <v>655.89866852398336</v>
          </cell>
          <cell r="GA66">
            <v>655.89866852398336</v>
          </cell>
          <cell r="GB66">
            <v>655.89866852398336</v>
          </cell>
          <cell r="GC66">
            <v>655.89866852398336</v>
          </cell>
          <cell r="GD66">
            <v>655.89866852398336</v>
          </cell>
          <cell r="GE66">
            <v>655.89866852398336</v>
          </cell>
          <cell r="GF66">
            <v>655.89866852398336</v>
          </cell>
          <cell r="GG66">
            <v>655.89866852398336</v>
          </cell>
          <cell r="GH66">
            <v>655.89866852398336</v>
          </cell>
          <cell r="GI66">
            <v>655.89866852398336</v>
          </cell>
          <cell r="GJ66">
            <v>655.89866852398336</v>
          </cell>
          <cell r="GK66">
            <v>655.89866852398336</v>
          </cell>
          <cell r="GL66">
            <v>655.89866852398336</v>
          </cell>
          <cell r="GM66">
            <v>655.89866852398336</v>
          </cell>
          <cell r="GN66">
            <v>655.89866852398336</v>
          </cell>
          <cell r="GO66">
            <v>655.89866852398336</v>
          </cell>
          <cell r="GP66">
            <v>655.89866852398336</v>
          </cell>
          <cell r="GQ66">
            <v>655.89866852398336</v>
          </cell>
          <cell r="GR66">
            <v>655.89866852398336</v>
          </cell>
          <cell r="GS66">
            <v>655.89866852398336</v>
          </cell>
          <cell r="GT66">
            <v>655.89866852398336</v>
          </cell>
          <cell r="GU66">
            <v>655.89866852398336</v>
          </cell>
          <cell r="GV66">
            <v>655.89866852398336</v>
          </cell>
          <cell r="GW66">
            <v>655.89866852398336</v>
          </cell>
          <cell r="GX66">
            <v>655.89866852398336</v>
          </cell>
        </row>
        <row r="67">
          <cell r="A67" t="str">
            <v>Gross Cash Costs</v>
          </cell>
          <cell r="B67" t="str">
            <v>A$M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515.71504800000002</v>
          </cell>
          <cell r="O67">
            <v>537.13066501702428</v>
          </cell>
          <cell r="P67">
            <v>536.90763698552394</v>
          </cell>
          <cell r="Q67">
            <v>538.3280780416934</v>
          </cell>
          <cell r="R67">
            <v>538.77014239967866</v>
          </cell>
          <cell r="S67">
            <v>539.27802086451561</v>
          </cell>
          <cell r="T67">
            <v>545.21298220333699</v>
          </cell>
          <cell r="U67">
            <v>550.51063579586832</v>
          </cell>
          <cell r="V67">
            <v>550.51063579586832</v>
          </cell>
          <cell r="W67">
            <v>530.51063579586821</v>
          </cell>
          <cell r="X67">
            <v>530.51063579586821</v>
          </cell>
          <cell r="Y67">
            <v>530.51063579586821</v>
          </cell>
          <cell r="Z67">
            <v>530.51063579586821</v>
          </cell>
          <cell r="AA67">
            <v>530.51063579586821</v>
          </cell>
          <cell r="AB67">
            <v>530.51063579586821</v>
          </cell>
          <cell r="AC67">
            <v>530.51063579586821</v>
          </cell>
          <cell r="AD67">
            <v>530.51063579586821</v>
          </cell>
          <cell r="AE67">
            <v>530.51063579586821</v>
          </cell>
          <cell r="AF67">
            <v>530.51063579586821</v>
          </cell>
          <cell r="AG67">
            <v>530.51063579586821</v>
          </cell>
          <cell r="AH67">
            <v>530.51063579586821</v>
          </cell>
          <cell r="AI67">
            <v>530.51063579586821</v>
          </cell>
          <cell r="AJ67">
            <v>530.51063579586821</v>
          </cell>
          <cell r="AK67">
            <v>530.51063579586821</v>
          </cell>
          <cell r="AL67">
            <v>530.51063579586821</v>
          </cell>
          <cell r="AM67">
            <v>530.51063579586821</v>
          </cell>
          <cell r="AN67">
            <v>530.51063579586821</v>
          </cell>
          <cell r="AO67">
            <v>530.51063579586821</v>
          </cell>
          <cell r="AP67">
            <v>530.51063579586821</v>
          </cell>
          <cell r="AQ67">
            <v>530.51063579586821</v>
          </cell>
          <cell r="AR67">
            <v>530.51063579586821</v>
          </cell>
          <cell r="AS67">
            <v>420.11258768481503</v>
          </cell>
          <cell r="AT67">
            <v>420.11258768481503</v>
          </cell>
          <cell r="AU67">
            <v>420.11258768481503</v>
          </cell>
          <cell r="AV67">
            <v>420.11258768481503</v>
          </cell>
          <cell r="AW67">
            <v>420.11258768481503</v>
          </cell>
          <cell r="AX67">
            <v>420.11258768481503</v>
          </cell>
          <cell r="AY67">
            <v>420.11258768481503</v>
          </cell>
          <cell r="AZ67">
            <v>420.11258768481503</v>
          </cell>
          <cell r="BA67">
            <v>420.11258768481503</v>
          </cell>
          <cell r="CI67">
            <v>259.526116</v>
          </cell>
          <cell r="CJ67">
            <v>256.18893200000002</v>
          </cell>
          <cell r="CK67">
            <v>515.71504800000002</v>
          </cell>
          <cell r="CL67">
            <v>269.60205691869595</v>
          </cell>
          <cell r="CM67">
            <v>267.52860809832828</v>
          </cell>
          <cell r="CN67">
            <v>537.13066501702428</v>
          </cell>
          <cell r="CO67">
            <v>268.12878962210874</v>
          </cell>
          <cell r="CP67">
            <v>268.77884736341514</v>
          </cell>
          <cell r="CQ67">
            <v>536.90763698552394</v>
          </cell>
          <cell r="CR67">
            <v>268.81346925640776</v>
          </cell>
          <cell r="CS67">
            <v>269.51460878528565</v>
          </cell>
          <cell r="CT67">
            <v>538.3280780416934</v>
          </cell>
          <cell r="CU67">
            <v>269.44978584056594</v>
          </cell>
          <cell r="CV67">
            <v>269.32035655911284</v>
          </cell>
          <cell r="CW67">
            <v>538.77014239967866</v>
          </cell>
          <cell r="CX67">
            <v>269.32035655911284</v>
          </cell>
          <cell r="CY67">
            <v>269.95766430540283</v>
          </cell>
          <cell r="CZ67">
            <v>539.27802086451561</v>
          </cell>
          <cell r="DA67">
            <v>269.95766430540283</v>
          </cell>
          <cell r="DB67">
            <v>275.25531789793416</v>
          </cell>
          <cell r="DC67">
            <v>545.21298220333699</v>
          </cell>
          <cell r="DD67">
            <v>275.25531789793416</v>
          </cell>
          <cell r="DE67">
            <v>275.25531789793416</v>
          </cell>
          <cell r="DF67">
            <v>550.51063579586832</v>
          </cell>
          <cell r="DG67">
            <v>275.25531789793416</v>
          </cell>
          <cell r="DH67">
            <v>275.25531789793416</v>
          </cell>
          <cell r="DI67">
            <v>550.51063579586832</v>
          </cell>
          <cell r="DJ67">
            <v>265.25531789793411</v>
          </cell>
          <cell r="DK67">
            <v>265.25531789793411</v>
          </cell>
          <cell r="DL67">
            <v>530.51063579586821</v>
          </cell>
          <cell r="DM67">
            <v>265.25531789793411</v>
          </cell>
          <cell r="DN67">
            <v>265.25531789793411</v>
          </cell>
          <cell r="DO67">
            <v>530.51063579586821</v>
          </cell>
          <cell r="DP67">
            <v>265.25531789793411</v>
          </cell>
          <cell r="DQ67">
            <v>265.25531789793411</v>
          </cell>
          <cell r="DR67">
            <v>530.51063579586821</v>
          </cell>
          <cell r="DS67">
            <v>265.25531789793411</v>
          </cell>
          <cell r="DT67">
            <v>265.25531789793411</v>
          </cell>
          <cell r="DU67">
            <v>530.51063579586821</v>
          </cell>
          <cell r="DV67">
            <v>265.25531789793411</v>
          </cell>
          <cell r="DW67">
            <v>265.25531789793411</v>
          </cell>
          <cell r="DX67">
            <v>530.51063579586821</v>
          </cell>
          <cell r="DY67">
            <v>265.25531789793411</v>
          </cell>
          <cell r="DZ67">
            <v>265.25531789793411</v>
          </cell>
          <cell r="EA67">
            <v>530.51063579586821</v>
          </cell>
          <cell r="EB67">
            <v>265.25531789793411</v>
          </cell>
          <cell r="EC67">
            <v>265.25531789793411</v>
          </cell>
          <cell r="ED67">
            <v>530.51063579586821</v>
          </cell>
          <cell r="EE67">
            <v>265.25531789793411</v>
          </cell>
          <cell r="EF67">
            <v>265.25531789793411</v>
          </cell>
          <cell r="EG67">
            <v>530.51063579586821</v>
          </cell>
          <cell r="EH67">
            <v>265.25531789793411</v>
          </cell>
          <cell r="EI67">
            <v>265.25531789793411</v>
          </cell>
          <cell r="EJ67">
            <v>530.51063579586821</v>
          </cell>
          <cell r="EK67">
            <v>265.25531789793411</v>
          </cell>
          <cell r="EL67">
            <v>265.25531789793411</v>
          </cell>
          <cell r="EM67">
            <v>530.51063579586821</v>
          </cell>
          <cell r="EN67">
            <v>265.25531789793411</v>
          </cell>
          <cell r="EO67">
            <v>265.25531789793411</v>
          </cell>
          <cell r="EP67">
            <v>530.51063579586821</v>
          </cell>
          <cell r="EQ67">
            <v>265.25531789793411</v>
          </cell>
          <cell r="ER67">
            <v>265.25531789793411</v>
          </cell>
          <cell r="ES67">
            <v>530.51063579586821</v>
          </cell>
          <cell r="ET67">
            <v>265.25531789793411</v>
          </cell>
          <cell r="EU67">
            <v>265.25531789793411</v>
          </cell>
          <cell r="EV67">
            <v>530.51063579586821</v>
          </cell>
          <cell r="EW67">
            <v>265.25531789793411</v>
          </cell>
          <cell r="EX67">
            <v>265.25531789793411</v>
          </cell>
          <cell r="EY67">
            <v>530.51063579586821</v>
          </cell>
          <cell r="EZ67">
            <v>265.25531789793411</v>
          </cell>
          <cell r="FA67">
            <v>265.25531789793411</v>
          </cell>
          <cell r="FB67">
            <v>530.51063579586821</v>
          </cell>
          <cell r="FC67">
            <v>265.25531789793411</v>
          </cell>
          <cell r="FD67">
            <v>265.25531789793411</v>
          </cell>
          <cell r="FE67">
            <v>530.51063579586821</v>
          </cell>
          <cell r="FF67">
            <v>265.25531789793411</v>
          </cell>
          <cell r="FG67">
            <v>265.25531789793411</v>
          </cell>
          <cell r="FH67">
            <v>530.51063579586821</v>
          </cell>
          <cell r="FI67">
            <v>265.25531789793411</v>
          </cell>
          <cell r="FJ67">
            <v>265.25531789793411</v>
          </cell>
          <cell r="FK67">
            <v>530.51063579586821</v>
          </cell>
          <cell r="FL67">
            <v>265.25531789793411</v>
          </cell>
          <cell r="FM67">
            <v>265.25531789793411</v>
          </cell>
          <cell r="FN67">
            <v>530.51063579586821</v>
          </cell>
          <cell r="FO67">
            <v>265.25531789793411</v>
          </cell>
          <cell r="FP67">
            <v>265.25531789793411</v>
          </cell>
          <cell r="FQ67">
            <v>530.51063579586821</v>
          </cell>
          <cell r="FR67">
            <v>265.25531789793411</v>
          </cell>
          <cell r="FS67">
            <v>265.25531789793411</v>
          </cell>
          <cell r="FT67">
            <v>530.51063579586821</v>
          </cell>
          <cell r="FU67">
            <v>265.25531789793411</v>
          </cell>
          <cell r="FV67">
            <v>265.25531789793411</v>
          </cell>
          <cell r="FW67">
            <v>530.51063579586821</v>
          </cell>
          <cell r="FX67">
            <v>210.05629384240751</v>
          </cell>
          <cell r="FY67">
            <v>210.05629384240751</v>
          </cell>
          <cell r="FZ67">
            <v>420.11258768481503</v>
          </cell>
          <cell r="GA67">
            <v>210.05629384240751</v>
          </cell>
          <cell r="GB67">
            <v>210.05629384240751</v>
          </cell>
          <cell r="GC67">
            <v>420.11258768481503</v>
          </cell>
          <cell r="GD67">
            <v>210.05629384240751</v>
          </cell>
          <cell r="GE67">
            <v>210.05629384240751</v>
          </cell>
          <cell r="GF67">
            <v>420.11258768481503</v>
          </cell>
          <cell r="GG67">
            <v>210.05629384240751</v>
          </cell>
          <cell r="GH67">
            <v>210.05629384240751</v>
          </cell>
          <cell r="GI67">
            <v>420.11258768481503</v>
          </cell>
          <cell r="GJ67">
            <v>210.05629384240751</v>
          </cell>
          <cell r="GK67">
            <v>210.05629384240751</v>
          </cell>
          <cell r="GL67">
            <v>420.11258768481503</v>
          </cell>
          <cell r="GM67">
            <v>210.05629384240751</v>
          </cell>
          <cell r="GN67">
            <v>210.05629384240751</v>
          </cell>
          <cell r="GO67">
            <v>420.11258768481503</v>
          </cell>
          <cell r="GP67">
            <v>210.05629384240751</v>
          </cell>
          <cell r="GQ67">
            <v>210.05629384240751</v>
          </cell>
          <cell r="GR67">
            <v>420.11258768481503</v>
          </cell>
          <cell r="GS67">
            <v>210.05629384240751</v>
          </cell>
          <cell r="GT67">
            <v>210.05629384240751</v>
          </cell>
          <cell r="GU67">
            <v>420.11258768481503</v>
          </cell>
          <cell r="GV67">
            <v>210.05629384240751</v>
          </cell>
          <cell r="GW67">
            <v>210.05629384240751</v>
          </cell>
          <cell r="GX67">
            <v>420.11258768481503</v>
          </cell>
        </row>
        <row r="69">
          <cell r="A69" t="str">
            <v>Deferred Mining Costs</v>
          </cell>
          <cell r="B69" t="str">
            <v>A$/oz</v>
          </cell>
          <cell r="D69">
            <v>-4.3799767571788832</v>
          </cell>
          <cell r="E69">
            <v>-6.488720985385231</v>
          </cell>
          <cell r="F69">
            <v>-1.8597901854124761</v>
          </cell>
          <cell r="G69">
            <v>-53.236900561574686</v>
          </cell>
          <cell r="H69">
            <v>-36.855233352238216</v>
          </cell>
          <cell r="I69">
            <v>-76.394890559624827</v>
          </cell>
          <cell r="J69">
            <v>-45</v>
          </cell>
          <cell r="K69">
            <v>-139.22450852545978</v>
          </cell>
          <cell r="L69">
            <v>-91.063376455132129</v>
          </cell>
          <cell r="M69">
            <v>-120.43000060174613</v>
          </cell>
          <cell r="N69">
            <v>-233</v>
          </cell>
          <cell r="O69">
            <v>0</v>
          </cell>
          <cell r="P69">
            <v>0</v>
          </cell>
          <cell r="Q69">
            <v>0</v>
          </cell>
          <cell r="R69">
            <v>-60</v>
          </cell>
          <cell r="S69">
            <v>-60</v>
          </cell>
          <cell r="T69">
            <v>-60</v>
          </cell>
          <cell r="U69">
            <v>-60</v>
          </cell>
          <cell r="V69">
            <v>-60</v>
          </cell>
          <cell r="W69">
            <v>-30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F69">
            <v>1.69</v>
          </cell>
          <cell r="BG69">
            <v>-11.37</v>
          </cell>
          <cell r="BH69">
            <v>-4.3799767571788832</v>
          </cell>
          <cell r="BI69">
            <v>-2</v>
          </cell>
          <cell r="BJ69">
            <v>-10.91</v>
          </cell>
          <cell r="BK69">
            <v>-6.488720985385231</v>
          </cell>
          <cell r="BL69">
            <v>17.399999999999999</v>
          </cell>
          <cell r="BM69">
            <v>-18.98</v>
          </cell>
          <cell r="BN69">
            <v>-1.8597901854124761</v>
          </cell>
          <cell r="BO69">
            <v>-73.510000000000005</v>
          </cell>
          <cell r="BP69">
            <v>-35.770000000000003</v>
          </cell>
          <cell r="BQ69">
            <v>-53.236900561574686</v>
          </cell>
          <cell r="BR69">
            <v>17</v>
          </cell>
          <cell r="BS69">
            <v>-71</v>
          </cell>
          <cell r="BT69">
            <v>-36.855233352238216</v>
          </cell>
          <cell r="BU69">
            <v>-113.74</v>
          </cell>
          <cell r="BV69">
            <v>-45</v>
          </cell>
          <cell r="BW69">
            <v>-76.394890559624827</v>
          </cell>
          <cell r="BX69">
            <v>-45</v>
          </cell>
          <cell r="BY69">
            <v>-45</v>
          </cell>
          <cell r="BZ69">
            <v>-45</v>
          </cell>
          <cell r="CA69">
            <v>-210</v>
          </cell>
          <cell r="CB69">
            <v>-92.133435225241669</v>
          </cell>
          <cell r="CC69">
            <v>-139.22450852545978</v>
          </cell>
          <cell r="CD69">
            <v>-90</v>
          </cell>
          <cell r="CE69">
            <v>-91.063376455132129</v>
          </cell>
          <cell r="CF69">
            <v>-140.33000000000004</v>
          </cell>
          <cell r="CG69">
            <v>-100</v>
          </cell>
          <cell r="CH69">
            <v>-120.43000060174613</v>
          </cell>
          <cell r="CI69">
            <v>-188</v>
          </cell>
          <cell r="CJ69">
            <v>-286.51736115916356</v>
          </cell>
          <cell r="CK69">
            <v>-233</v>
          </cell>
          <cell r="CL69">
            <v>0</v>
          </cell>
          <cell r="CM69">
            <v>0</v>
          </cell>
          <cell r="CN69">
            <v>0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0</v>
          </cell>
          <cell r="CT69">
            <v>0</v>
          </cell>
          <cell r="CU69">
            <v>-60</v>
          </cell>
          <cell r="CV69">
            <v>-60</v>
          </cell>
          <cell r="CW69">
            <v>-60</v>
          </cell>
          <cell r="CX69">
            <v>-60</v>
          </cell>
          <cell r="CY69">
            <v>-60</v>
          </cell>
          <cell r="CZ69">
            <v>-60</v>
          </cell>
          <cell r="DA69">
            <v>-60</v>
          </cell>
          <cell r="DB69">
            <v>-60</v>
          </cell>
          <cell r="DC69">
            <v>-60</v>
          </cell>
          <cell r="DD69">
            <v>-60</v>
          </cell>
          <cell r="DE69">
            <v>-60</v>
          </cell>
          <cell r="DF69">
            <v>-60</v>
          </cell>
          <cell r="DG69">
            <v>-60</v>
          </cell>
          <cell r="DH69">
            <v>-60</v>
          </cell>
          <cell r="DI69">
            <v>-60</v>
          </cell>
          <cell r="DJ69">
            <v>-60</v>
          </cell>
          <cell r="DK69">
            <v>0</v>
          </cell>
          <cell r="DL69">
            <v>-30</v>
          </cell>
          <cell r="DM69">
            <v>0</v>
          </cell>
          <cell r="DN69">
            <v>0</v>
          </cell>
          <cell r="DO69">
            <v>0</v>
          </cell>
          <cell r="DP69">
            <v>0</v>
          </cell>
          <cell r="DQ69">
            <v>0</v>
          </cell>
          <cell r="DR69">
            <v>0</v>
          </cell>
          <cell r="DS69">
            <v>0</v>
          </cell>
          <cell r="DT69">
            <v>0</v>
          </cell>
          <cell r="DU69">
            <v>0</v>
          </cell>
          <cell r="DV69">
            <v>0</v>
          </cell>
          <cell r="DW69">
            <v>0</v>
          </cell>
          <cell r="DX69">
            <v>0</v>
          </cell>
          <cell r="DY69">
            <v>0</v>
          </cell>
          <cell r="DZ69">
            <v>0</v>
          </cell>
          <cell r="EA69">
            <v>0</v>
          </cell>
          <cell r="EB69">
            <v>0</v>
          </cell>
          <cell r="EC69">
            <v>0</v>
          </cell>
          <cell r="ED69">
            <v>0</v>
          </cell>
          <cell r="EE69">
            <v>0</v>
          </cell>
          <cell r="EF69">
            <v>0</v>
          </cell>
          <cell r="EG69">
            <v>0</v>
          </cell>
          <cell r="EH69">
            <v>0</v>
          </cell>
          <cell r="EI69">
            <v>0</v>
          </cell>
          <cell r="EJ69">
            <v>0</v>
          </cell>
          <cell r="EK69">
            <v>0</v>
          </cell>
          <cell r="EL69">
            <v>0</v>
          </cell>
          <cell r="EM69">
            <v>0</v>
          </cell>
          <cell r="EN69">
            <v>0</v>
          </cell>
          <cell r="EO69">
            <v>0</v>
          </cell>
          <cell r="EP69">
            <v>0</v>
          </cell>
          <cell r="EQ69">
            <v>0</v>
          </cell>
          <cell r="ER69">
            <v>0</v>
          </cell>
          <cell r="ES69">
            <v>0</v>
          </cell>
          <cell r="ET69">
            <v>0</v>
          </cell>
          <cell r="EU69">
            <v>0</v>
          </cell>
          <cell r="EV69">
            <v>0</v>
          </cell>
          <cell r="EW69">
            <v>0</v>
          </cell>
          <cell r="EX69">
            <v>0</v>
          </cell>
          <cell r="EY69">
            <v>0</v>
          </cell>
          <cell r="EZ69">
            <v>0</v>
          </cell>
          <cell r="FA69">
            <v>0</v>
          </cell>
          <cell r="FB69">
            <v>0</v>
          </cell>
          <cell r="FC69">
            <v>0</v>
          </cell>
          <cell r="FD69">
            <v>0</v>
          </cell>
          <cell r="FE69">
            <v>0</v>
          </cell>
          <cell r="FF69">
            <v>0</v>
          </cell>
          <cell r="FG69">
            <v>0</v>
          </cell>
          <cell r="FH69">
            <v>0</v>
          </cell>
          <cell r="FI69">
            <v>0</v>
          </cell>
          <cell r="FJ69">
            <v>0</v>
          </cell>
          <cell r="FK69">
            <v>0</v>
          </cell>
          <cell r="FL69">
            <v>0</v>
          </cell>
          <cell r="FM69">
            <v>0</v>
          </cell>
          <cell r="FN69">
            <v>0</v>
          </cell>
          <cell r="FO69">
            <v>0</v>
          </cell>
          <cell r="FP69">
            <v>0</v>
          </cell>
          <cell r="FQ69">
            <v>0</v>
          </cell>
          <cell r="FR69">
            <v>0</v>
          </cell>
          <cell r="FS69">
            <v>0</v>
          </cell>
          <cell r="FT69">
            <v>0</v>
          </cell>
          <cell r="FU69">
            <v>0</v>
          </cell>
          <cell r="FV69">
            <v>0</v>
          </cell>
          <cell r="FW69">
            <v>0</v>
          </cell>
          <cell r="FX69">
            <v>0</v>
          </cell>
          <cell r="FY69">
            <v>0</v>
          </cell>
          <cell r="FZ69">
            <v>0</v>
          </cell>
          <cell r="GA69">
            <v>0</v>
          </cell>
          <cell r="GB69">
            <v>0</v>
          </cell>
          <cell r="GC69">
            <v>0</v>
          </cell>
          <cell r="GD69">
            <v>0</v>
          </cell>
          <cell r="GE69">
            <v>0</v>
          </cell>
          <cell r="GF69">
            <v>0</v>
          </cell>
          <cell r="GG69">
            <v>0</v>
          </cell>
          <cell r="GH69">
            <v>0</v>
          </cell>
          <cell r="GI69">
            <v>0</v>
          </cell>
          <cell r="GJ69">
            <v>0</v>
          </cell>
          <cell r="GK69">
            <v>0</v>
          </cell>
          <cell r="GL69">
            <v>0</v>
          </cell>
          <cell r="GM69">
            <v>0</v>
          </cell>
          <cell r="GN69">
            <v>0</v>
          </cell>
          <cell r="GO69">
            <v>0</v>
          </cell>
          <cell r="GP69">
            <v>0</v>
          </cell>
          <cell r="GQ69">
            <v>0</v>
          </cell>
          <cell r="GR69">
            <v>0</v>
          </cell>
          <cell r="GS69">
            <v>0</v>
          </cell>
          <cell r="GT69">
            <v>0</v>
          </cell>
          <cell r="GU69">
            <v>0</v>
          </cell>
          <cell r="GV69">
            <v>0</v>
          </cell>
          <cell r="GW69">
            <v>0</v>
          </cell>
          <cell r="GX69">
            <v>0</v>
          </cell>
        </row>
        <row r="70">
          <cell r="A70" t="str">
            <v>Net Cash Costs</v>
          </cell>
          <cell r="B70" t="str">
            <v>A$/oz</v>
          </cell>
          <cell r="D70">
            <v>211.39405548644785</v>
          </cell>
          <cell r="E70">
            <v>238.56426372790244</v>
          </cell>
          <cell r="F70">
            <v>317.43446587698725</v>
          </cell>
          <cell r="G70">
            <v>303.55671657329333</v>
          </cell>
          <cell r="H70">
            <v>335.2985438766641</v>
          </cell>
          <cell r="I70">
            <v>320.10900894422502</v>
          </cell>
          <cell r="J70">
            <v>305.17023011635064</v>
          </cell>
          <cell r="K70">
            <v>405.77549147454027</v>
          </cell>
          <cell r="L70">
            <v>353.90290224805057</v>
          </cell>
          <cell r="M70">
            <v>475.91784784195528</v>
          </cell>
          <cell r="N70">
            <v>419</v>
          </cell>
          <cell r="O70">
            <v>705.74984846672908</v>
          </cell>
          <cell r="P70">
            <v>545.01495347593573</v>
          </cell>
          <cell r="Q70">
            <v>480.26400536708741</v>
          </cell>
          <cell r="R70">
            <v>360.57609007605453</v>
          </cell>
          <cell r="S70">
            <v>360.97255142787242</v>
          </cell>
          <cell r="T70">
            <v>365.60551572599854</v>
          </cell>
          <cell r="U70">
            <v>369.740983264345</v>
          </cell>
          <cell r="V70">
            <v>369.740983264345</v>
          </cell>
          <cell r="W70">
            <v>384.12853346514822</v>
          </cell>
          <cell r="X70">
            <v>414.12853346514817</v>
          </cell>
          <cell r="Y70">
            <v>414.12853346514817</v>
          </cell>
          <cell r="Z70">
            <v>414.12853346514817</v>
          </cell>
          <cell r="AA70">
            <v>414.12853346514817</v>
          </cell>
          <cell r="AB70">
            <v>414.12853346514817</v>
          </cell>
          <cell r="AC70">
            <v>414.12853346514817</v>
          </cell>
          <cell r="AD70">
            <v>414.12853346514817</v>
          </cell>
          <cell r="AE70">
            <v>414.12853346514817</v>
          </cell>
          <cell r="AF70">
            <v>414.12853346514817</v>
          </cell>
          <cell r="AG70">
            <v>414.12853346514817</v>
          </cell>
          <cell r="AH70">
            <v>414.12853346514817</v>
          </cell>
          <cell r="AI70">
            <v>414.12853346514817</v>
          </cell>
          <cell r="AJ70">
            <v>414.12853346514817</v>
          </cell>
          <cell r="AK70">
            <v>414.12853346514817</v>
          </cell>
          <cell r="AL70">
            <v>414.12853346514817</v>
          </cell>
          <cell r="AM70">
            <v>414.12853346514817</v>
          </cell>
          <cell r="AN70">
            <v>414.12853346514817</v>
          </cell>
          <cell r="AO70">
            <v>414.12853346514817</v>
          </cell>
          <cell r="AP70">
            <v>414.12853346514817</v>
          </cell>
          <cell r="AQ70">
            <v>414.12853346514817</v>
          </cell>
          <cell r="AR70">
            <v>414.12853346514817</v>
          </cell>
          <cell r="AS70">
            <v>655.89866852398336</v>
          </cell>
          <cell r="AT70">
            <v>655.89866852398336</v>
          </cell>
          <cell r="AU70">
            <v>655.89866852398336</v>
          </cell>
          <cell r="AV70">
            <v>655.89866852398336</v>
          </cell>
          <cell r="AW70">
            <v>655.89866852398336</v>
          </cell>
          <cell r="AX70">
            <v>655.89866852398336</v>
          </cell>
          <cell r="AY70">
            <v>655.89866852398336</v>
          </cell>
          <cell r="AZ70">
            <v>655.89866852398336</v>
          </cell>
          <cell r="BA70">
            <v>655.89866852398336</v>
          </cell>
          <cell r="BF70">
            <v>194.69</v>
          </cell>
          <cell r="BG70">
            <v>230.63</v>
          </cell>
          <cell r="BH70">
            <v>211.39405548644785</v>
          </cell>
          <cell r="BI70">
            <v>236</v>
          </cell>
          <cell r="BJ70">
            <v>241.09</v>
          </cell>
          <cell r="BK70">
            <v>238.56426372790244</v>
          </cell>
          <cell r="BL70">
            <v>349.4</v>
          </cell>
          <cell r="BM70">
            <v>289.02</v>
          </cell>
          <cell r="BN70">
            <v>317.43446587698725</v>
          </cell>
          <cell r="BO70">
            <v>293.49</v>
          </cell>
          <cell r="BP70">
            <v>312.23</v>
          </cell>
          <cell r="BQ70">
            <v>303.55671657329333</v>
          </cell>
          <cell r="BR70">
            <v>514</v>
          </cell>
          <cell r="BS70">
            <v>222</v>
          </cell>
          <cell r="BT70">
            <v>335.2985438766641</v>
          </cell>
          <cell r="BU70">
            <v>291.69</v>
          </cell>
          <cell r="BV70">
            <v>344</v>
          </cell>
          <cell r="BW70">
            <v>320.10900894422502</v>
          </cell>
          <cell r="BX70">
            <v>282</v>
          </cell>
          <cell r="BY70">
            <v>332</v>
          </cell>
          <cell r="BZ70">
            <v>305.17023011635064</v>
          </cell>
          <cell r="CA70">
            <v>437</v>
          </cell>
          <cell r="CB70">
            <v>385</v>
          </cell>
          <cell r="CC70">
            <v>405.77549147454027</v>
          </cell>
          <cell r="CD70">
            <v>323</v>
          </cell>
          <cell r="CE70">
            <v>353.90290224805057</v>
          </cell>
          <cell r="CF70">
            <v>478.76</v>
          </cell>
          <cell r="CG70">
            <v>473</v>
          </cell>
          <cell r="CH70">
            <v>475.91784784195528</v>
          </cell>
          <cell r="CI70">
            <v>416</v>
          </cell>
          <cell r="CJ70">
            <v>422.56782407727758</v>
          </cell>
          <cell r="CK70">
            <v>419</v>
          </cell>
          <cell r="CL70">
            <v>720.0254162913759</v>
          </cell>
          <cell r="CM70">
            <v>691.92508804707097</v>
          </cell>
          <cell r="CN70">
            <v>705.74984846672908</v>
          </cell>
          <cell r="CO70">
            <v>558.15296902594264</v>
          </cell>
          <cell r="CP70">
            <v>532.51082763851991</v>
          </cell>
          <cell r="CQ70">
            <v>545.01495347593573</v>
          </cell>
          <cell r="CR70">
            <v>479.63849075583937</v>
          </cell>
          <cell r="CS70">
            <v>480.88951997833527</v>
          </cell>
          <cell r="CT70">
            <v>480.26400536708741</v>
          </cell>
          <cell r="CU70">
            <v>360.67712548401613</v>
          </cell>
          <cell r="CV70">
            <v>360.47505466809287</v>
          </cell>
          <cell r="CW70">
            <v>360.57609007605453</v>
          </cell>
          <cell r="CX70">
            <v>360.47505466809287</v>
          </cell>
          <cell r="CY70">
            <v>361.47004818765203</v>
          </cell>
          <cell r="CZ70">
            <v>360.97255142787242</v>
          </cell>
          <cell r="DA70">
            <v>361.47004818765203</v>
          </cell>
          <cell r="DB70">
            <v>369.740983264345</v>
          </cell>
          <cell r="DC70">
            <v>365.60551572599854</v>
          </cell>
          <cell r="DD70">
            <v>369.740983264345</v>
          </cell>
          <cell r="DE70">
            <v>369.740983264345</v>
          </cell>
          <cell r="DF70">
            <v>369.740983264345</v>
          </cell>
          <cell r="DG70">
            <v>369.740983264345</v>
          </cell>
          <cell r="DH70">
            <v>369.740983264345</v>
          </cell>
          <cell r="DI70">
            <v>369.740983264345</v>
          </cell>
          <cell r="DJ70">
            <v>354.12853346514817</v>
          </cell>
          <cell r="DK70">
            <v>414.12853346514817</v>
          </cell>
          <cell r="DL70">
            <v>384.12853346514822</v>
          </cell>
          <cell r="DM70">
            <v>414.12853346514817</v>
          </cell>
          <cell r="DN70">
            <v>414.12853346514817</v>
          </cell>
          <cell r="DO70">
            <v>414.12853346514817</v>
          </cell>
          <cell r="DP70">
            <v>414.12853346514817</v>
          </cell>
          <cell r="DQ70">
            <v>414.12853346514817</v>
          </cell>
          <cell r="DR70">
            <v>414.12853346514817</v>
          </cell>
          <cell r="DS70">
            <v>414.12853346514817</v>
          </cell>
          <cell r="DT70">
            <v>414.12853346514817</v>
          </cell>
          <cell r="DU70">
            <v>414.12853346514817</v>
          </cell>
          <cell r="DV70">
            <v>414.12853346514817</v>
          </cell>
          <cell r="DW70">
            <v>414.12853346514817</v>
          </cell>
          <cell r="DX70">
            <v>414.12853346514817</v>
          </cell>
          <cell r="DY70">
            <v>414.12853346514817</v>
          </cell>
          <cell r="DZ70">
            <v>414.12853346514817</v>
          </cell>
          <cell r="EA70">
            <v>414.12853346514817</v>
          </cell>
          <cell r="EB70">
            <v>414.12853346514817</v>
          </cell>
          <cell r="EC70">
            <v>414.12853346514817</v>
          </cell>
          <cell r="ED70">
            <v>414.12853346514817</v>
          </cell>
          <cell r="EE70">
            <v>414.12853346514817</v>
          </cell>
          <cell r="EF70">
            <v>414.12853346514817</v>
          </cell>
          <cell r="EG70">
            <v>414.12853346514817</v>
          </cell>
          <cell r="EH70">
            <v>414.12853346514817</v>
          </cell>
          <cell r="EI70">
            <v>414.12853346514817</v>
          </cell>
          <cell r="EJ70">
            <v>414.12853346514817</v>
          </cell>
          <cell r="EK70">
            <v>414.12853346514817</v>
          </cell>
          <cell r="EL70">
            <v>414.12853346514817</v>
          </cell>
          <cell r="EM70">
            <v>414.12853346514817</v>
          </cell>
          <cell r="EN70">
            <v>414.12853346514817</v>
          </cell>
          <cell r="EO70">
            <v>414.12853346514817</v>
          </cell>
          <cell r="EP70">
            <v>414.12853346514817</v>
          </cell>
          <cell r="EQ70">
            <v>414.12853346514817</v>
          </cell>
          <cell r="ER70">
            <v>414.12853346514817</v>
          </cell>
          <cell r="ES70">
            <v>414.12853346514817</v>
          </cell>
          <cell r="ET70">
            <v>414.12853346514817</v>
          </cell>
          <cell r="EU70">
            <v>414.12853346514817</v>
          </cell>
          <cell r="EV70">
            <v>414.12853346514817</v>
          </cell>
          <cell r="EW70">
            <v>414.12853346514817</v>
          </cell>
          <cell r="EX70">
            <v>414.12853346514817</v>
          </cell>
          <cell r="EY70">
            <v>414.12853346514817</v>
          </cell>
          <cell r="EZ70">
            <v>414.12853346514817</v>
          </cell>
          <cell r="FA70">
            <v>414.12853346514817</v>
          </cell>
          <cell r="FB70">
            <v>414.12853346514817</v>
          </cell>
          <cell r="FC70">
            <v>414.12853346514817</v>
          </cell>
          <cell r="FD70">
            <v>414.12853346514817</v>
          </cell>
          <cell r="FE70">
            <v>414.12853346514817</v>
          </cell>
          <cell r="FF70">
            <v>414.12853346514817</v>
          </cell>
          <cell r="FG70">
            <v>414.12853346514817</v>
          </cell>
          <cell r="FH70">
            <v>414.12853346514817</v>
          </cell>
          <cell r="FI70">
            <v>414.12853346514817</v>
          </cell>
          <cell r="FJ70">
            <v>414.12853346514817</v>
          </cell>
          <cell r="FK70">
            <v>414.12853346514817</v>
          </cell>
          <cell r="FL70">
            <v>414.12853346514817</v>
          </cell>
          <cell r="FM70">
            <v>414.12853346514817</v>
          </cell>
          <cell r="FN70">
            <v>414.12853346514817</v>
          </cell>
          <cell r="FO70">
            <v>414.12853346514817</v>
          </cell>
          <cell r="FP70">
            <v>414.12853346514817</v>
          </cell>
          <cell r="FQ70">
            <v>414.12853346514817</v>
          </cell>
          <cell r="FR70">
            <v>414.12853346514817</v>
          </cell>
          <cell r="FS70">
            <v>414.12853346514817</v>
          </cell>
          <cell r="FT70">
            <v>414.12853346514817</v>
          </cell>
          <cell r="FU70">
            <v>414.12853346514817</v>
          </cell>
          <cell r="FV70">
            <v>414.12853346514817</v>
          </cell>
          <cell r="FW70">
            <v>414.12853346514817</v>
          </cell>
          <cell r="FX70">
            <v>655.89866852398336</v>
          </cell>
          <cell r="FY70">
            <v>655.89866852398336</v>
          </cell>
          <cell r="FZ70">
            <v>655.89866852398336</v>
          </cell>
          <cell r="GA70">
            <v>655.89866852398336</v>
          </cell>
          <cell r="GB70">
            <v>655.89866852398336</v>
          </cell>
          <cell r="GC70">
            <v>655.89866852398336</v>
          </cell>
          <cell r="GD70">
            <v>655.89866852398336</v>
          </cell>
          <cell r="GE70">
            <v>655.89866852398336</v>
          </cell>
          <cell r="GF70">
            <v>655.89866852398336</v>
          </cell>
          <cell r="GG70">
            <v>655.89866852398336</v>
          </cell>
          <cell r="GH70">
            <v>655.89866852398336</v>
          </cell>
          <cell r="GI70">
            <v>655.89866852398336</v>
          </cell>
          <cell r="GJ70">
            <v>655.89866852398336</v>
          </cell>
          <cell r="GK70">
            <v>655.89866852398336</v>
          </cell>
          <cell r="GL70">
            <v>655.89866852398336</v>
          </cell>
          <cell r="GM70">
            <v>655.89866852398336</v>
          </cell>
          <cell r="GN70">
            <v>655.89866852398336</v>
          </cell>
          <cell r="GO70">
            <v>655.89866852398336</v>
          </cell>
          <cell r="GP70">
            <v>655.89866852398336</v>
          </cell>
          <cell r="GQ70">
            <v>655.89866852398336</v>
          </cell>
          <cell r="GR70">
            <v>655.89866852398336</v>
          </cell>
          <cell r="GS70">
            <v>655.89866852398336</v>
          </cell>
          <cell r="GT70">
            <v>655.89866852398336</v>
          </cell>
          <cell r="GU70">
            <v>655.89866852398336</v>
          </cell>
          <cell r="GV70">
            <v>655.89866852398336</v>
          </cell>
          <cell r="GW70">
            <v>655.89866852398336</v>
          </cell>
          <cell r="GX70">
            <v>655.89866852398336</v>
          </cell>
        </row>
        <row r="71">
          <cell r="A71" t="str">
            <v>Net Cash Costs</v>
          </cell>
          <cell r="B71" t="str">
            <v>A$M</v>
          </cell>
          <cell r="D71">
            <v>136.97108710000001</v>
          </cell>
          <cell r="E71">
            <v>144.85478954999999</v>
          </cell>
          <cell r="F71">
            <v>174.83401564000002</v>
          </cell>
          <cell r="G71">
            <v>181.94764612</v>
          </cell>
          <cell r="H71">
            <v>199.82653199999999</v>
          </cell>
          <cell r="I71">
            <v>208.33046422000004</v>
          </cell>
          <cell r="J71">
            <v>213.68355199999999</v>
          </cell>
          <cell r="K71">
            <v>313.037126</v>
          </cell>
          <cell r="L71">
            <v>328.91134099999999</v>
          </cell>
          <cell r="M71">
            <v>363.81159143999997</v>
          </cell>
          <cell r="N71">
            <v>331.41810600000002</v>
          </cell>
          <cell r="O71">
            <v>537.13066501702428</v>
          </cell>
          <cell r="P71">
            <v>536.90763698552394</v>
          </cell>
          <cell r="Q71">
            <v>538.3280780416934</v>
          </cell>
          <cell r="R71">
            <v>461.90840606527365</v>
          </cell>
          <cell r="S71">
            <v>462.41628453011049</v>
          </cell>
          <cell r="T71">
            <v>468.35124586893181</v>
          </cell>
          <cell r="U71">
            <v>473.64889946146315</v>
          </cell>
          <cell r="V71">
            <v>473.64889946146315</v>
          </cell>
          <cell r="W71">
            <v>492.07976762866571</v>
          </cell>
          <cell r="X71">
            <v>530.51063579586821</v>
          </cell>
          <cell r="Y71">
            <v>530.51063579586821</v>
          </cell>
          <cell r="Z71">
            <v>530.51063579586821</v>
          </cell>
          <cell r="AA71">
            <v>530.51063579586821</v>
          </cell>
          <cell r="AB71">
            <v>530.51063579586821</v>
          </cell>
          <cell r="AC71">
            <v>530.51063579586821</v>
          </cell>
          <cell r="AD71">
            <v>530.51063579586821</v>
          </cell>
          <cell r="AE71">
            <v>530.51063579586821</v>
          </cell>
          <cell r="AF71">
            <v>530.51063579586821</v>
          </cell>
          <cell r="AG71">
            <v>530.51063579586821</v>
          </cell>
          <cell r="AH71">
            <v>530.51063579586821</v>
          </cell>
          <cell r="AI71">
            <v>530.51063579586821</v>
          </cell>
          <cell r="AJ71">
            <v>530.51063579586821</v>
          </cell>
          <cell r="AK71">
            <v>530.51063579586821</v>
          </cell>
          <cell r="AL71">
            <v>530.51063579586821</v>
          </cell>
          <cell r="AM71">
            <v>530.51063579586821</v>
          </cell>
          <cell r="AN71">
            <v>530.51063579586821</v>
          </cell>
          <cell r="AO71">
            <v>530.51063579586821</v>
          </cell>
          <cell r="AP71">
            <v>530.51063579586821</v>
          </cell>
          <cell r="AQ71">
            <v>530.51063579586821</v>
          </cell>
          <cell r="AR71">
            <v>530.51063579586821</v>
          </cell>
          <cell r="AS71">
            <v>420.11258768481503</v>
          </cell>
          <cell r="AT71">
            <v>420.11258768481503</v>
          </cell>
          <cell r="AU71">
            <v>420.11258768481503</v>
          </cell>
          <cell r="AV71">
            <v>420.11258768481503</v>
          </cell>
          <cell r="AW71">
            <v>420.11258768481503</v>
          </cell>
          <cell r="AX71">
            <v>420.11258768481503</v>
          </cell>
          <cell r="AY71">
            <v>420.11258768481503</v>
          </cell>
          <cell r="AZ71">
            <v>420.11258768481503</v>
          </cell>
          <cell r="BA71">
            <v>420.11258768481503</v>
          </cell>
          <cell r="BF71">
            <v>67.517323860000005</v>
          </cell>
          <cell r="BG71">
            <v>69.453763240000001</v>
          </cell>
          <cell r="BH71">
            <v>136.97108710000001</v>
          </cell>
          <cell r="BI71">
            <v>71.106564000000006</v>
          </cell>
          <cell r="BJ71">
            <v>73.748225550000001</v>
          </cell>
          <cell r="BK71">
            <v>144.85478954999999</v>
          </cell>
          <cell r="BL71">
            <v>90.560986</v>
          </cell>
          <cell r="BM71">
            <v>84.273029640000004</v>
          </cell>
          <cell r="BN71">
            <v>174.83401564000002</v>
          </cell>
          <cell r="BO71">
            <v>81.416767409999991</v>
          </cell>
          <cell r="BP71">
            <v>100.53087871000001</v>
          </cell>
          <cell r="BQ71">
            <v>181.94764612</v>
          </cell>
          <cell r="BR71">
            <v>118.85736</v>
          </cell>
          <cell r="BS71">
            <v>80.969172</v>
          </cell>
          <cell r="BT71">
            <v>199.82653199999999</v>
          </cell>
          <cell r="BU71">
            <v>86.701352220000004</v>
          </cell>
          <cell r="BV71">
            <v>121.62911200000001</v>
          </cell>
          <cell r="BW71">
            <v>208.33046422000004</v>
          </cell>
          <cell r="BX71">
            <v>105.95586</v>
          </cell>
          <cell r="BY71">
            <v>107.727692</v>
          </cell>
          <cell r="BZ71">
            <v>213.68355199999999</v>
          </cell>
          <cell r="CA71">
            <v>134.69126600000001</v>
          </cell>
          <cell r="CB71">
            <v>178.34585999999999</v>
          </cell>
          <cell r="CC71">
            <v>313.037126</v>
          </cell>
          <cell r="CD71">
            <v>150.56548100000001</v>
          </cell>
          <cell r="CE71">
            <v>328.91134099999999</v>
          </cell>
          <cell r="CF71">
            <v>185.39693743999999</v>
          </cell>
          <cell r="CG71">
            <v>178.41465400000001</v>
          </cell>
          <cell r="CH71">
            <v>363.81159143999997</v>
          </cell>
          <cell r="CI71">
            <v>178.746464</v>
          </cell>
          <cell r="CJ71">
            <v>152.67164199999999</v>
          </cell>
          <cell r="CK71">
            <v>331.41810600000002</v>
          </cell>
          <cell r="CL71">
            <v>269.60205691869595</v>
          </cell>
          <cell r="CM71">
            <v>267.52860809832828</v>
          </cell>
          <cell r="CN71">
            <v>537.13066501702428</v>
          </cell>
          <cell r="CO71">
            <v>268.12878962210874</v>
          </cell>
          <cell r="CP71">
            <v>268.77884736341514</v>
          </cell>
          <cell r="CQ71">
            <v>536.90763698552394</v>
          </cell>
          <cell r="CR71">
            <v>268.81346925640776</v>
          </cell>
          <cell r="CS71">
            <v>269.51460878528565</v>
          </cell>
          <cell r="CT71">
            <v>538.3280780416934</v>
          </cell>
          <cell r="CU71">
            <v>231.01891767336335</v>
          </cell>
          <cell r="CV71">
            <v>230.88948839191025</v>
          </cell>
          <cell r="CW71">
            <v>461.90840606527365</v>
          </cell>
          <cell r="CX71">
            <v>230.88948839191025</v>
          </cell>
          <cell r="CY71">
            <v>231.52679613820024</v>
          </cell>
          <cell r="CZ71">
            <v>462.41628453011049</v>
          </cell>
          <cell r="DA71">
            <v>231.52679613820024</v>
          </cell>
          <cell r="DB71">
            <v>236.82444973073157</v>
          </cell>
          <cell r="DC71">
            <v>468.35124586893181</v>
          </cell>
          <cell r="DD71">
            <v>236.82444973073157</v>
          </cell>
          <cell r="DE71">
            <v>236.82444973073157</v>
          </cell>
          <cell r="DF71">
            <v>473.64889946146315</v>
          </cell>
          <cell r="DG71">
            <v>236.82444973073157</v>
          </cell>
          <cell r="DH71">
            <v>236.82444973073157</v>
          </cell>
          <cell r="DI71">
            <v>473.64889946146315</v>
          </cell>
          <cell r="DJ71">
            <v>226.82444973073154</v>
          </cell>
          <cell r="DK71">
            <v>265.25531789793411</v>
          </cell>
          <cell r="DL71">
            <v>492.07976762866571</v>
          </cell>
          <cell r="DM71">
            <v>265.25531789793411</v>
          </cell>
          <cell r="DN71">
            <v>265.25531789793411</v>
          </cell>
          <cell r="DO71">
            <v>530.51063579586821</v>
          </cell>
          <cell r="DP71">
            <v>265.25531789793411</v>
          </cell>
          <cell r="DQ71">
            <v>265.25531789793411</v>
          </cell>
          <cell r="DR71">
            <v>530.51063579586821</v>
          </cell>
          <cell r="DS71">
            <v>265.25531789793411</v>
          </cell>
          <cell r="DT71">
            <v>265.25531789793411</v>
          </cell>
          <cell r="DU71">
            <v>530.51063579586821</v>
          </cell>
          <cell r="DV71">
            <v>265.25531789793411</v>
          </cell>
          <cell r="DW71">
            <v>265.25531789793411</v>
          </cell>
          <cell r="DX71">
            <v>530.51063579586821</v>
          </cell>
          <cell r="DY71">
            <v>265.25531789793411</v>
          </cell>
          <cell r="DZ71">
            <v>265.25531789793411</v>
          </cell>
          <cell r="EA71">
            <v>530.51063579586821</v>
          </cell>
          <cell r="EB71">
            <v>265.25531789793411</v>
          </cell>
          <cell r="EC71">
            <v>265.25531789793411</v>
          </cell>
          <cell r="ED71">
            <v>530.51063579586821</v>
          </cell>
          <cell r="EE71">
            <v>265.25531789793411</v>
          </cell>
          <cell r="EF71">
            <v>265.25531789793411</v>
          </cell>
          <cell r="EG71">
            <v>530.51063579586821</v>
          </cell>
          <cell r="EH71">
            <v>265.25531789793411</v>
          </cell>
          <cell r="EI71">
            <v>265.25531789793411</v>
          </cell>
          <cell r="EJ71">
            <v>530.51063579586821</v>
          </cell>
          <cell r="EK71">
            <v>265.25531789793411</v>
          </cell>
          <cell r="EL71">
            <v>265.25531789793411</v>
          </cell>
          <cell r="EM71">
            <v>530.51063579586821</v>
          </cell>
          <cell r="EN71">
            <v>265.25531789793411</v>
          </cell>
          <cell r="EO71">
            <v>265.25531789793411</v>
          </cell>
          <cell r="EP71">
            <v>530.51063579586821</v>
          </cell>
          <cell r="EQ71">
            <v>265.25531789793411</v>
          </cell>
          <cell r="ER71">
            <v>265.25531789793411</v>
          </cell>
          <cell r="ES71">
            <v>530.51063579586821</v>
          </cell>
          <cell r="ET71">
            <v>265.25531789793411</v>
          </cell>
          <cell r="EU71">
            <v>265.25531789793411</v>
          </cell>
          <cell r="EV71">
            <v>530.51063579586821</v>
          </cell>
          <cell r="EW71">
            <v>265.25531789793411</v>
          </cell>
          <cell r="EX71">
            <v>265.25531789793411</v>
          </cell>
          <cell r="EY71">
            <v>530.51063579586821</v>
          </cell>
          <cell r="EZ71">
            <v>265.25531789793411</v>
          </cell>
          <cell r="FA71">
            <v>265.25531789793411</v>
          </cell>
          <cell r="FB71">
            <v>530.51063579586821</v>
          </cell>
          <cell r="FC71">
            <v>265.25531789793411</v>
          </cell>
          <cell r="FD71">
            <v>265.25531789793411</v>
          </cell>
          <cell r="FE71">
            <v>530.51063579586821</v>
          </cell>
          <cell r="FF71">
            <v>265.25531789793411</v>
          </cell>
          <cell r="FG71">
            <v>265.25531789793411</v>
          </cell>
          <cell r="FH71">
            <v>530.51063579586821</v>
          </cell>
          <cell r="FI71">
            <v>265.25531789793411</v>
          </cell>
          <cell r="FJ71">
            <v>265.25531789793411</v>
          </cell>
          <cell r="FK71">
            <v>530.51063579586821</v>
          </cell>
          <cell r="FL71">
            <v>265.25531789793411</v>
          </cell>
          <cell r="FM71">
            <v>265.25531789793411</v>
          </cell>
          <cell r="FN71">
            <v>530.51063579586821</v>
          </cell>
          <cell r="FO71">
            <v>265.25531789793411</v>
          </cell>
          <cell r="FP71">
            <v>265.25531789793411</v>
          </cell>
          <cell r="FQ71">
            <v>530.51063579586821</v>
          </cell>
          <cell r="FR71">
            <v>265.25531789793411</v>
          </cell>
          <cell r="FS71">
            <v>265.25531789793411</v>
          </cell>
          <cell r="FT71">
            <v>530.51063579586821</v>
          </cell>
          <cell r="FU71">
            <v>265.25531789793411</v>
          </cell>
          <cell r="FV71">
            <v>265.25531789793411</v>
          </cell>
          <cell r="FW71">
            <v>530.51063579586821</v>
          </cell>
          <cell r="FX71">
            <v>210.05629384240751</v>
          </cell>
          <cell r="FY71">
            <v>210.05629384240751</v>
          </cell>
          <cell r="FZ71">
            <v>420.11258768481503</v>
          </cell>
          <cell r="GA71">
            <v>210.05629384240751</v>
          </cell>
          <cell r="GB71">
            <v>210.05629384240751</v>
          </cell>
          <cell r="GC71">
            <v>420.11258768481503</v>
          </cell>
          <cell r="GD71">
            <v>210.05629384240751</v>
          </cell>
          <cell r="GE71">
            <v>210.05629384240751</v>
          </cell>
          <cell r="GF71">
            <v>420.11258768481503</v>
          </cell>
          <cell r="GG71">
            <v>210.05629384240751</v>
          </cell>
          <cell r="GH71">
            <v>210.05629384240751</v>
          </cell>
          <cell r="GI71">
            <v>420.11258768481503</v>
          </cell>
          <cell r="GJ71">
            <v>210.05629384240751</v>
          </cell>
          <cell r="GK71">
            <v>210.05629384240751</v>
          </cell>
          <cell r="GL71">
            <v>420.11258768481503</v>
          </cell>
          <cell r="GM71">
            <v>210.05629384240751</v>
          </cell>
          <cell r="GN71">
            <v>210.05629384240751</v>
          </cell>
          <cell r="GO71">
            <v>420.11258768481503</v>
          </cell>
          <cell r="GP71">
            <v>210.05629384240751</v>
          </cell>
          <cell r="GQ71">
            <v>210.05629384240751</v>
          </cell>
          <cell r="GR71">
            <v>420.11258768481503</v>
          </cell>
          <cell r="GS71">
            <v>210.05629384240751</v>
          </cell>
          <cell r="GT71">
            <v>210.05629384240751</v>
          </cell>
          <cell r="GU71">
            <v>420.11258768481503</v>
          </cell>
          <cell r="GV71">
            <v>210.05629384240751</v>
          </cell>
          <cell r="GW71">
            <v>210.05629384240751</v>
          </cell>
          <cell r="GX71">
            <v>420.11258768481503</v>
          </cell>
        </row>
        <row r="73">
          <cell r="A73" t="str">
            <v>Depreciation &amp; Amortisation</v>
          </cell>
          <cell r="B73" t="str">
            <v>A$/oz</v>
          </cell>
          <cell r="D73">
            <v>52.366982322491822</v>
          </cell>
          <cell r="E73">
            <v>44.893481852587477</v>
          </cell>
          <cell r="F73">
            <v>53.998229757504014</v>
          </cell>
          <cell r="G73">
            <v>54.32531020077213</v>
          </cell>
          <cell r="H73">
            <v>59.988490417238566</v>
          </cell>
          <cell r="I73">
            <v>57.168770718380614</v>
          </cell>
          <cell r="J73">
            <v>52.146381590691952</v>
          </cell>
          <cell r="K73">
            <v>86.317170691540099</v>
          </cell>
          <cell r="L73">
            <v>85.004603683892725</v>
          </cell>
          <cell r="M73">
            <v>139.08642314999463</v>
          </cell>
          <cell r="N73">
            <v>162</v>
          </cell>
          <cell r="O73">
            <v>180</v>
          </cell>
          <cell r="P73">
            <v>179.99999999999997</v>
          </cell>
          <cell r="Q73">
            <v>180</v>
          </cell>
          <cell r="R73">
            <v>180</v>
          </cell>
          <cell r="S73">
            <v>180</v>
          </cell>
          <cell r="T73">
            <v>180</v>
          </cell>
          <cell r="U73">
            <v>180</v>
          </cell>
          <cell r="V73">
            <v>180</v>
          </cell>
          <cell r="W73">
            <v>180</v>
          </cell>
          <cell r="X73">
            <v>180</v>
          </cell>
          <cell r="Y73">
            <v>180</v>
          </cell>
          <cell r="Z73">
            <v>180</v>
          </cell>
          <cell r="AA73">
            <v>180</v>
          </cell>
          <cell r="AB73">
            <v>180</v>
          </cell>
          <cell r="AC73">
            <v>180</v>
          </cell>
          <cell r="AD73">
            <v>180</v>
          </cell>
          <cell r="AE73">
            <v>180</v>
          </cell>
          <cell r="AF73">
            <v>180</v>
          </cell>
          <cell r="AG73">
            <v>180</v>
          </cell>
          <cell r="AH73">
            <v>180</v>
          </cell>
          <cell r="AI73">
            <v>180</v>
          </cell>
          <cell r="AJ73">
            <v>180</v>
          </cell>
          <cell r="AK73">
            <v>180</v>
          </cell>
          <cell r="AL73">
            <v>180</v>
          </cell>
          <cell r="AM73">
            <v>180</v>
          </cell>
          <cell r="AN73">
            <v>180</v>
          </cell>
          <cell r="AO73">
            <v>180</v>
          </cell>
          <cell r="AP73">
            <v>180</v>
          </cell>
          <cell r="AQ73">
            <v>180</v>
          </cell>
          <cell r="AR73">
            <v>180</v>
          </cell>
          <cell r="AS73">
            <v>180</v>
          </cell>
          <cell r="AT73">
            <v>180</v>
          </cell>
          <cell r="AU73">
            <v>180</v>
          </cell>
          <cell r="AV73">
            <v>180</v>
          </cell>
          <cell r="AW73">
            <v>180</v>
          </cell>
          <cell r="AX73">
            <v>180</v>
          </cell>
          <cell r="AY73">
            <v>180</v>
          </cell>
          <cell r="AZ73">
            <v>180</v>
          </cell>
          <cell r="BA73">
            <v>180</v>
          </cell>
          <cell r="BF73">
            <v>50.15</v>
          </cell>
          <cell r="BG73">
            <v>54.92</v>
          </cell>
          <cell r="BH73">
            <v>52.366982322491822</v>
          </cell>
          <cell r="BI73">
            <v>44.43</v>
          </cell>
          <cell r="BJ73">
            <v>45.35</v>
          </cell>
          <cell r="BK73">
            <v>44.893481852587477</v>
          </cell>
          <cell r="BL73">
            <v>53.49</v>
          </cell>
          <cell r="BM73">
            <v>54.45</v>
          </cell>
          <cell r="BN73">
            <v>53.998229757504014</v>
          </cell>
          <cell r="BO73">
            <v>55.26</v>
          </cell>
          <cell r="BP73">
            <v>53.52</v>
          </cell>
          <cell r="BQ73">
            <v>54.32531020077213</v>
          </cell>
          <cell r="BR73">
            <v>69.150000000000006</v>
          </cell>
          <cell r="BS73">
            <v>54.18</v>
          </cell>
          <cell r="BT73">
            <v>59.988490417238566</v>
          </cell>
          <cell r="BU73">
            <v>56.18</v>
          </cell>
          <cell r="BV73">
            <v>58</v>
          </cell>
          <cell r="BW73">
            <v>57.168770718380614</v>
          </cell>
          <cell r="BX73">
            <v>54</v>
          </cell>
          <cell r="BY73">
            <v>50</v>
          </cell>
          <cell r="BZ73">
            <v>52.146381590691952</v>
          </cell>
          <cell r="CA73">
            <v>94.266718185815364</v>
          </cell>
          <cell r="CB73">
            <v>81.027871868498423</v>
          </cell>
          <cell r="CC73">
            <v>86.317170691540099</v>
          </cell>
          <cell r="CD73">
            <v>88.956501559961836</v>
          </cell>
          <cell r="CE73">
            <v>85.004603683892725</v>
          </cell>
          <cell r="CF73">
            <v>128.45596958410763</v>
          </cell>
          <cell r="CG73">
            <v>150</v>
          </cell>
          <cell r="CH73">
            <v>139.08642314999463</v>
          </cell>
          <cell r="CI73">
            <v>150</v>
          </cell>
          <cell r="CJ73">
            <v>176.27129630911028</v>
          </cell>
          <cell r="CK73">
            <v>162</v>
          </cell>
          <cell r="CL73">
            <v>180</v>
          </cell>
          <cell r="CM73">
            <v>180</v>
          </cell>
          <cell r="CN73">
            <v>180</v>
          </cell>
          <cell r="CO73">
            <v>180</v>
          </cell>
          <cell r="CP73">
            <v>180</v>
          </cell>
          <cell r="CQ73">
            <v>179.99999999999997</v>
          </cell>
          <cell r="CR73">
            <v>180</v>
          </cell>
          <cell r="CS73">
            <v>180</v>
          </cell>
          <cell r="CT73">
            <v>180</v>
          </cell>
          <cell r="CU73">
            <v>180</v>
          </cell>
          <cell r="CV73">
            <v>180</v>
          </cell>
          <cell r="CW73">
            <v>180</v>
          </cell>
          <cell r="CX73">
            <v>180</v>
          </cell>
          <cell r="CY73">
            <v>180</v>
          </cell>
          <cell r="CZ73">
            <v>180</v>
          </cell>
          <cell r="DA73">
            <v>180</v>
          </cell>
          <cell r="DB73">
            <v>180</v>
          </cell>
          <cell r="DC73">
            <v>180</v>
          </cell>
          <cell r="DD73">
            <v>180</v>
          </cell>
          <cell r="DE73">
            <v>180</v>
          </cell>
          <cell r="DF73">
            <v>180</v>
          </cell>
          <cell r="DG73">
            <v>180</v>
          </cell>
          <cell r="DH73">
            <v>180</v>
          </cell>
          <cell r="DI73">
            <v>180</v>
          </cell>
          <cell r="DJ73">
            <v>180</v>
          </cell>
          <cell r="DK73">
            <v>180</v>
          </cell>
          <cell r="DL73">
            <v>180</v>
          </cell>
          <cell r="DM73">
            <v>180</v>
          </cell>
          <cell r="DN73">
            <v>180</v>
          </cell>
          <cell r="DO73">
            <v>180</v>
          </cell>
          <cell r="DP73">
            <v>180</v>
          </cell>
          <cell r="DQ73">
            <v>180</v>
          </cell>
          <cell r="DR73">
            <v>180</v>
          </cell>
          <cell r="DS73">
            <v>180</v>
          </cell>
          <cell r="DT73">
            <v>180</v>
          </cell>
          <cell r="DU73">
            <v>180</v>
          </cell>
          <cell r="DV73">
            <v>180</v>
          </cell>
          <cell r="DW73">
            <v>180</v>
          </cell>
          <cell r="DX73">
            <v>180</v>
          </cell>
          <cell r="DY73">
            <v>180</v>
          </cell>
          <cell r="DZ73">
            <v>180</v>
          </cell>
          <cell r="EA73">
            <v>180</v>
          </cell>
          <cell r="EB73">
            <v>180</v>
          </cell>
          <cell r="EC73">
            <v>180</v>
          </cell>
          <cell r="ED73">
            <v>180</v>
          </cell>
          <cell r="EE73">
            <v>180</v>
          </cell>
          <cell r="EF73">
            <v>180</v>
          </cell>
          <cell r="EG73">
            <v>180</v>
          </cell>
          <cell r="EH73">
            <v>180</v>
          </cell>
          <cell r="EI73">
            <v>180</v>
          </cell>
          <cell r="EJ73">
            <v>180</v>
          </cell>
          <cell r="EK73">
            <v>180</v>
          </cell>
          <cell r="EL73">
            <v>180</v>
          </cell>
          <cell r="EM73">
            <v>180</v>
          </cell>
          <cell r="EN73">
            <v>180</v>
          </cell>
          <cell r="EO73">
            <v>180</v>
          </cell>
          <cell r="EP73">
            <v>180</v>
          </cell>
          <cell r="EQ73">
            <v>180</v>
          </cell>
          <cell r="ER73">
            <v>180</v>
          </cell>
          <cell r="ES73">
            <v>180</v>
          </cell>
          <cell r="ET73">
            <v>180</v>
          </cell>
          <cell r="EU73">
            <v>180</v>
          </cell>
          <cell r="EV73">
            <v>180</v>
          </cell>
          <cell r="EW73">
            <v>180</v>
          </cell>
          <cell r="EX73">
            <v>180</v>
          </cell>
          <cell r="EY73">
            <v>180</v>
          </cell>
          <cell r="EZ73">
            <v>180</v>
          </cell>
          <cell r="FA73">
            <v>180</v>
          </cell>
          <cell r="FB73">
            <v>180</v>
          </cell>
          <cell r="FC73">
            <v>180</v>
          </cell>
          <cell r="FD73">
            <v>180</v>
          </cell>
          <cell r="FE73">
            <v>180</v>
          </cell>
          <cell r="FF73">
            <v>180</v>
          </cell>
          <cell r="FG73">
            <v>180</v>
          </cell>
          <cell r="FH73">
            <v>180</v>
          </cell>
          <cell r="FI73">
            <v>180</v>
          </cell>
          <cell r="FJ73">
            <v>180</v>
          </cell>
          <cell r="FK73">
            <v>180</v>
          </cell>
          <cell r="FL73">
            <v>180</v>
          </cell>
          <cell r="FM73">
            <v>180</v>
          </cell>
          <cell r="FN73">
            <v>180</v>
          </cell>
          <cell r="FO73">
            <v>180</v>
          </cell>
          <cell r="FP73">
            <v>180</v>
          </cell>
          <cell r="FQ73">
            <v>180</v>
          </cell>
          <cell r="FR73">
            <v>180</v>
          </cell>
          <cell r="FS73">
            <v>180</v>
          </cell>
          <cell r="FT73">
            <v>180</v>
          </cell>
          <cell r="FU73">
            <v>180</v>
          </cell>
          <cell r="FV73">
            <v>180</v>
          </cell>
          <cell r="FW73">
            <v>180</v>
          </cell>
          <cell r="FX73">
            <v>180</v>
          </cell>
          <cell r="FY73">
            <v>180</v>
          </cell>
          <cell r="FZ73">
            <v>180</v>
          </cell>
          <cell r="GA73">
            <v>180</v>
          </cell>
          <cell r="GB73">
            <v>180</v>
          </cell>
          <cell r="GC73">
            <v>180</v>
          </cell>
          <cell r="GD73">
            <v>180</v>
          </cell>
          <cell r="GE73">
            <v>180</v>
          </cell>
          <cell r="GF73">
            <v>180</v>
          </cell>
          <cell r="GG73">
            <v>180</v>
          </cell>
          <cell r="GH73">
            <v>180</v>
          </cell>
          <cell r="GI73">
            <v>180</v>
          </cell>
          <cell r="GJ73">
            <v>180</v>
          </cell>
          <cell r="GK73">
            <v>180</v>
          </cell>
          <cell r="GL73">
            <v>180</v>
          </cell>
          <cell r="GM73">
            <v>180</v>
          </cell>
          <cell r="GN73">
            <v>180</v>
          </cell>
          <cell r="GO73">
            <v>180</v>
          </cell>
          <cell r="GP73">
            <v>180</v>
          </cell>
          <cell r="GQ73">
            <v>180</v>
          </cell>
          <cell r="GR73">
            <v>180</v>
          </cell>
          <cell r="GS73">
            <v>180</v>
          </cell>
          <cell r="GT73">
            <v>180</v>
          </cell>
          <cell r="GU73">
            <v>180</v>
          </cell>
          <cell r="GV73">
            <v>180</v>
          </cell>
          <cell r="GW73">
            <v>180</v>
          </cell>
          <cell r="GX73">
            <v>180</v>
          </cell>
        </row>
        <row r="74">
          <cell r="A74" t="str">
            <v>Total Costs</v>
          </cell>
          <cell r="B74" t="str">
            <v>A$/oz</v>
          </cell>
          <cell r="D74">
            <v>263.7610378089397</v>
          </cell>
          <cell r="E74">
            <v>283.45774558048993</v>
          </cell>
          <cell r="F74">
            <v>371.43269563449127</v>
          </cell>
          <cell r="G74">
            <v>357.88202677406548</v>
          </cell>
          <cell r="H74">
            <v>395.28703429390265</v>
          </cell>
          <cell r="I74">
            <v>377.27777966260567</v>
          </cell>
          <cell r="J74">
            <v>357.31661170704257</v>
          </cell>
          <cell r="K74">
            <v>492.09266216608034</v>
          </cell>
          <cell r="L74">
            <v>438.90750593194332</v>
          </cell>
          <cell r="M74">
            <v>615.00427099194985</v>
          </cell>
          <cell r="N74">
            <v>581</v>
          </cell>
          <cell r="O74">
            <v>885.74984846672908</v>
          </cell>
          <cell r="P74">
            <v>725.01495347593573</v>
          </cell>
          <cell r="Q74">
            <v>660.26400536708741</v>
          </cell>
          <cell r="R74">
            <v>540.57609007605447</v>
          </cell>
          <cell r="S74">
            <v>540.97255142787242</v>
          </cell>
          <cell r="T74">
            <v>545.60551572599854</v>
          </cell>
          <cell r="U74">
            <v>549.740983264345</v>
          </cell>
          <cell r="V74">
            <v>549.740983264345</v>
          </cell>
          <cell r="W74">
            <v>564.12853346514817</v>
          </cell>
          <cell r="X74">
            <v>594.12853346514817</v>
          </cell>
          <cell r="Y74">
            <v>594.12853346514817</v>
          </cell>
          <cell r="Z74">
            <v>594.12853346514817</v>
          </cell>
          <cell r="AA74">
            <v>594.12853346514817</v>
          </cell>
          <cell r="AB74">
            <v>594.12853346514817</v>
          </cell>
          <cell r="AC74">
            <v>594.12853346514817</v>
          </cell>
          <cell r="AD74">
            <v>594.12853346514817</v>
          </cell>
          <cell r="AE74">
            <v>594.12853346514817</v>
          </cell>
          <cell r="AF74">
            <v>594.12853346514817</v>
          </cell>
          <cell r="AG74">
            <v>594.12853346514817</v>
          </cell>
          <cell r="AH74">
            <v>594.12853346514817</v>
          </cell>
          <cell r="AI74">
            <v>594.12853346514817</v>
          </cell>
          <cell r="AJ74">
            <v>594.12853346514817</v>
          </cell>
          <cell r="AK74">
            <v>594.12853346514817</v>
          </cell>
          <cell r="AL74">
            <v>594.12853346514817</v>
          </cell>
          <cell r="AM74">
            <v>594.12853346514817</v>
          </cell>
          <cell r="AN74">
            <v>594.12853346514817</v>
          </cell>
          <cell r="AO74">
            <v>594.12853346514817</v>
          </cell>
          <cell r="AP74">
            <v>594.12853346514817</v>
          </cell>
          <cell r="AQ74">
            <v>594.12853346514817</v>
          </cell>
          <cell r="AR74">
            <v>594.12853346514817</v>
          </cell>
          <cell r="AS74">
            <v>835.89866852398336</v>
          </cell>
          <cell r="AT74">
            <v>835.89866852398336</v>
          </cell>
          <cell r="AU74">
            <v>835.89866852398336</v>
          </cell>
          <cell r="AV74">
            <v>835.89866852398336</v>
          </cell>
          <cell r="AW74">
            <v>835.89866852398336</v>
          </cell>
          <cell r="AX74">
            <v>835.89866852398336</v>
          </cell>
          <cell r="AY74">
            <v>835.89866852398336</v>
          </cell>
          <cell r="AZ74">
            <v>835.89866852398336</v>
          </cell>
          <cell r="BA74">
            <v>835.89866852398336</v>
          </cell>
          <cell r="BF74">
            <v>244.84</v>
          </cell>
          <cell r="BG74">
            <v>285.55</v>
          </cell>
          <cell r="BH74">
            <v>263.7610378089397</v>
          </cell>
          <cell r="BI74">
            <v>280.43</v>
          </cell>
          <cell r="BJ74">
            <v>286.44</v>
          </cell>
          <cell r="BK74">
            <v>283.45774558048993</v>
          </cell>
          <cell r="BL74">
            <v>402.89</v>
          </cell>
          <cell r="BM74">
            <v>343.46999999999997</v>
          </cell>
          <cell r="BN74">
            <v>371.43269563449127</v>
          </cell>
          <cell r="BO74">
            <v>348.75</v>
          </cell>
          <cell r="BP74">
            <v>365.75</v>
          </cell>
          <cell r="BQ74">
            <v>357.88202677406548</v>
          </cell>
          <cell r="BR74">
            <v>583.15</v>
          </cell>
          <cell r="BS74">
            <v>276.18</v>
          </cell>
          <cell r="BT74">
            <v>395.28703429390265</v>
          </cell>
          <cell r="BU74">
            <v>347.87</v>
          </cell>
          <cell r="BV74">
            <v>402</v>
          </cell>
          <cell r="BW74">
            <v>377.27777966260567</v>
          </cell>
          <cell r="BX74">
            <v>336</v>
          </cell>
          <cell r="BY74">
            <v>382</v>
          </cell>
          <cell r="BZ74">
            <v>357.31661170704257</v>
          </cell>
          <cell r="CA74">
            <v>531.26671818581531</v>
          </cell>
          <cell r="CB74">
            <v>466.02787186849844</v>
          </cell>
          <cell r="CC74">
            <v>492.09266216608034</v>
          </cell>
          <cell r="CD74">
            <v>411.95650155996185</v>
          </cell>
          <cell r="CE74">
            <v>438.90750593194332</v>
          </cell>
          <cell r="CF74">
            <v>607.2159695841076</v>
          </cell>
          <cell r="CG74">
            <v>623</v>
          </cell>
          <cell r="CH74">
            <v>615.00427099194985</v>
          </cell>
          <cell r="CI74">
            <v>566</v>
          </cell>
          <cell r="CJ74">
            <v>598.83912038638789</v>
          </cell>
          <cell r="CK74">
            <v>581</v>
          </cell>
          <cell r="CL74">
            <v>900.0254162913759</v>
          </cell>
          <cell r="CM74">
            <v>871.92508804707097</v>
          </cell>
          <cell r="CN74">
            <v>885.74984846672908</v>
          </cell>
          <cell r="CO74">
            <v>738.15296902594264</v>
          </cell>
          <cell r="CP74">
            <v>712.51082763851991</v>
          </cell>
          <cell r="CQ74">
            <v>725.01495347593573</v>
          </cell>
          <cell r="CR74">
            <v>659.63849075583937</v>
          </cell>
          <cell r="CS74">
            <v>660.88951997833533</v>
          </cell>
          <cell r="CT74">
            <v>660.26400536708741</v>
          </cell>
          <cell r="CU74">
            <v>540.67712548401619</v>
          </cell>
          <cell r="CV74">
            <v>540.47505466809287</v>
          </cell>
          <cell r="CW74">
            <v>540.57609007605447</v>
          </cell>
          <cell r="CX74">
            <v>540.47505466809287</v>
          </cell>
          <cell r="CY74">
            <v>541.47004818765208</v>
          </cell>
          <cell r="CZ74">
            <v>540.97255142787242</v>
          </cell>
          <cell r="DA74">
            <v>541.47004818765208</v>
          </cell>
          <cell r="DB74">
            <v>549.740983264345</v>
          </cell>
          <cell r="DC74">
            <v>545.60551572599854</v>
          </cell>
          <cell r="DD74">
            <v>549.740983264345</v>
          </cell>
          <cell r="DE74">
            <v>549.740983264345</v>
          </cell>
          <cell r="DF74">
            <v>549.740983264345</v>
          </cell>
          <cell r="DG74">
            <v>549.740983264345</v>
          </cell>
          <cell r="DH74">
            <v>549.740983264345</v>
          </cell>
          <cell r="DI74">
            <v>549.740983264345</v>
          </cell>
          <cell r="DJ74">
            <v>534.12853346514817</v>
          </cell>
          <cell r="DK74">
            <v>594.12853346514817</v>
          </cell>
          <cell r="DL74">
            <v>564.12853346514817</v>
          </cell>
          <cell r="DM74">
            <v>594.12853346514817</v>
          </cell>
          <cell r="DN74">
            <v>594.12853346514817</v>
          </cell>
          <cell r="DO74">
            <v>594.12853346514817</v>
          </cell>
          <cell r="DP74">
            <v>594.12853346514817</v>
          </cell>
          <cell r="DQ74">
            <v>594.12853346514817</v>
          </cell>
          <cell r="DR74">
            <v>594.12853346514817</v>
          </cell>
          <cell r="DS74">
            <v>594.12853346514817</v>
          </cell>
          <cell r="DT74">
            <v>594.12853346514817</v>
          </cell>
          <cell r="DU74">
            <v>594.12853346514817</v>
          </cell>
          <cell r="DV74">
            <v>594.12853346514817</v>
          </cell>
          <cell r="DW74">
            <v>594.12853346514817</v>
          </cell>
          <cell r="DX74">
            <v>594.12853346514817</v>
          </cell>
          <cell r="DY74">
            <v>594.12853346514817</v>
          </cell>
          <cell r="DZ74">
            <v>594.12853346514817</v>
          </cell>
          <cell r="EA74">
            <v>594.12853346514817</v>
          </cell>
          <cell r="EB74">
            <v>594.12853346514817</v>
          </cell>
          <cell r="EC74">
            <v>594.12853346514817</v>
          </cell>
          <cell r="ED74">
            <v>594.12853346514817</v>
          </cell>
          <cell r="EE74">
            <v>594.12853346514817</v>
          </cell>
          <cell r="EF74">
            <v>594.12853346514817</v>
          </cell>
          <cell r="EG74">
            <v>594.12853346514817</v>
          </cell>
          <cell r="EH74">
            <v>594.12853346514817</v>
          </cell>
          <cell r="EI74">
            <v>594.12853346514817</v>
          </cell>
          <cell r="EJ74">
            <v>594.12853346514817</v>
          </cell>
          <cell r="EK74">
            <v>594.12853346514817</v>
          </cell>
          <cell r="EL74">
            <v>594.12853346514817</v>
          </cell>
          <cell r="EM74">
            <v>594.12853346514817</v>
          </cell>
          <cell r="EN74">
            <v>594.12853346514817</v>
          </cell>
          <cell r="EO74">
            <v>594.12853346514817</v>
          </cell>
          <cell r="EP74">
            <v>594.12853346514817</v>
          </cell>
          <cell r="EQ74">
            <v>594.12853346514817</v>
          </cell>
          <cell r="ER74">
            <v>594.12853346514817</v>
          </cell>
          <cell r="ES74">
            <v>594.12853346514817</v>
          </cell>
          <cell r="ET74">
            <v>594.12853346514817</v>
          </cell>
          <cell r="EU74">
            <v>594.12853346514817</v>
          </cell>
          <cell r="EV74">
            <v>594.12853346514817</v>
          </cell>
          <cell r="EW74">
            <v>594.12853346514817</v>
          </cell>
          <cell r="EX74">
            <v>594.12853346514817</v>
          </cell>
          <cell r="EY74">
            <v>594.12853346514817</v>
          </cell>
          <cell r="EZ74">
            <v>594.12853346514817</v>
          </cell>
          <cell r="FA74">
            <v>594.12853346514817</v>
          </cell>
          <cell r="FB74">
            <v>594.12853346514817</v>
          </cell>
          <cell r="FC74">
            <v>594.12853346514817</v>
          </cell>
          <cell r="FD74">
            <v>594.12853346514817</v>
          </cell>
          <cell r="FE74">
            <v>594.12853346514817</v>
          </cell>
          <cell r="FF74">
            <v>594.12853346514817</v>
          </cell>
          <cell r="FG74">
            <v>594.12853346514817</v>
          </cell>
          <cell r="FH74">
            <v>594.12853346514817</v>
          </cell>
          <cell r="FI74">
            <v>594.12853346514817</v>
          </cell>
          <cell r="FJ74">
            <v>594.12853346514817</v>
          </cell>
          <cell r="FK74">
            <v>594.12853346514817</v>
          </cell>
          <cell r="FL74">
            <v>594.12853346514817</v>
          </cell>
          <cell r="FM74">
            <v>594.12853346514817</v>
          </cell>
          <cell r="FN74">
            <v>594.12853346514817</v>
          </cell>
          <cell r="FO74">
            <v>594.12853346514817</v>
          </cell>
          <cell r="FP74">
            <v>594.12853346514817</v>
          </cell>
          <cell r="FQ74">
            <v>594.12853346514817</v>
          </cell>
          <cell r="FR74">
            <v>594.12853346514817</v>
          </cell>
          <cell r="FS74">
            <v>594.12853346514817</v>
          </cell>
          <cell r="FT74">
            <v>594.12853346514817</v>
          </cell>
          <cell r="FU74">
            <v>594.12853346514817</v>
          </cell>
          <cell r="FV74">
            <v>594.12853346514817</v>
          </cell>
          <cell r="FW74">
            <v>594.12853346514817</v>
          </cell>
          <cell r="FX74">
            <v>835.89866852398336</v>
          </cell>
          <cell r="FY74">
            <v>835.89866852398336</v>
          </cell>
          <cell r="FZ74">
            <v>835.89866852398336</v>
          </cell>
          <cell r="GA74">
            <v>835.89866852398336</v>
          </cell>
          <cell r="GB74">
            <v>835.89866852398336</v>
          </cell>
          <cell r="GC74">
            <v>835.89866852398336</v>
          </cell>
          <cell r="GD74">
            <v>835.89866852398336</v>
          </cell>
          <cell r="GE74">
            <v>835.89866852398336</v>
          </cell>
          <cell r="GF74">
            <v>835.89866852398336</v>
          </cell>
          <cell r="GG74">
            <v>835.89866852398336</v>
          </cell>
          <cell r="GH74">
            <v>835.89866852398336</v>
          </cell>
          <cell r="GI74">
            <v>835.89866852398336</v>
          </cell>
          <cell r="GJ74">
            <v>835.89866852398336</v>
          </cell>
          <cell r="GK74">
            <v>835.89866852398336</v>
          </cell>
          <cell r="GL74">
            <v>835.89866852398336</v>
          </cell>
          <cell r="GM74">
            <v>835.89866852398336</v>
          </cell>
          <cell r="GN74">
            <v>835.89866852398336</v>
          </cell>
          <cell r="GO74">
            <v>835.89866852398336</v>
          </cell>
          <cell r="GP74">
            <v>835.89866852398336</v>
          </cell>
          <cell r="GQ74">
            <v>835.89866852398336</v>
          </cell>
          <cell r="GR74">
            <v>835.89866852398336</v>
          </cell>
          <cell r="GS74">
            <v>835.89866852398336</v>
          </cell>
          <cell r="GT74">
            <v>835.89866852398336</v>
          </cell>
          <cell r="GU74">
            <v>835.89866852398336</v>
          </cell>
          <cell r="GV74">
            <v>835.89866852398336</v>
          </cell>
          <cell r="GW74">
            <v>835.89866852398336</v>
          </cell>
          <cell r="GX74">
            <v>835.89866852398336</v>
          </cell>
        </row>
        <row r="75">
          <cell r="A75" t="str">
            <v>Total Costs</v>
          </cell>
          <cell r="B75" t="str">
            <v>A$M</v>
          </cell>
          <cell r="D75">
            <v>170.90185436000002</v>
          </cell>
          <cell r="E75">
            <v>172.11384237000001</v>
          </cell>
          <cell r="F75">
            <v>204.57472864000002</v>
          </cell>
          <cell r="G75">
            <v>214.50947650000001</v>
          </cell>
          <cell r="H75">
            <v>235.57763267999997</v>
          </cell>
          <cell r="I75">
            <v>245.53652906000005</v>
          </cell>
          <cell r="J75">
            <v>250.19702199999998</v>
          </cell>
          <cell r="K75">
            <v>379.62685259867129</v>
          </cell>
          <cell r="L75">
            <v>407.91317458554727</v>
          </cell>
          <cell r="M75">
            <v>470.13509492562815</v>
          </cell>
          <cell r="N75">
            <v>459.55589400000002</v>
          </cell>
          <cell r="O75">
            <v>674.12470038679919</v>
          </cell>
          <cell r="P75">
            <v>714.23006463825709</v>
          </cell>
          <cell r="Q75">
            <v>740.09013591950691</v>
          </cell>
          <cell r="R75">
            <v>692.49361506848891</v>
          </cell>
          <cell r="S75">
            <v>693.00149353332586</v>
          </cell>
          <cell r="T75">
            <v>698.93645487214724</v>
          </cell>
          <cell r="U75">
            <v>704.23410846467857</v>
          </cell>
          <cell r="V75">
            <v>704.23410846467857</v>
          </cell>
          <cell r="W75">
            <v>722.66497663188102</v>
          </cell>
          <cell r="X75">
            <v>761.09584479908358</v>
          </cell>
          <cell r="Y75">
            <v>761.09584479908358</v>
          </cell>
          <cell r="Z75">
            <v>761.09584479908358</v>
          </cell>
          <cell r="AA75">
            <v>761.09584479908358</v>
          </cell>
          <cell r="AB75">
            <v>761.09584479908358</v>
          </cell>
          <cell r="AC75">
            <v>761.09584479908358</v>
          </cell>
          <cell r="AD75">
            <v>761.09584479908358</v>
          </cell>
          <cell r="AE75">
            <v>761.09584479908358</v>
          </cell>
          <cell r="AF75">
            <v>761.09584479908358</v>
          </cell>
          <cell r="AG75">
            <v>761.09584479908358</v>
          </cell>
          <cell r="AH75">
            <v>761.09584479908358</v>
          </cell>
          <cell r="AI75">
            <v>761.09584479908358</v>
          </cell>
          <cell r="AJ75">
            <v>761.09584479908358</v>
          </cell>
          <cell r="AK75">
            <v>761.09584479908358</v>
          </cell>
          <cell r="AL75">
            <v>761.09584479908358</v>
          </cell>
          <cell r="AM75">
            <v>761.09584479908358</v>
          </cell>
          <cell r="AN75">
            <v>761.09584479908358</v>
          </cell>
          <cell r="AO75">
            <v>761.09584479908358</v>
          </cell>
          <cell r="AP75">
            <v>761.09584479908358</v>
          </cell>
          <cell r="AQ75">
            <v>761.09584479908358</v>
          </cell>
          <cell r="AR75">
            <v>761.09584479908358</v>
          </cell>
          <cell r="AS75">
            <v>535.40519218642271</v>
          </cell>
          <cell r="AT75">
            <v>535.40519218642271</v>
          </cell>
          <cell r="AU75">
            <v>535.40519218642271</v>
          </cell>
          <cell r="AV75">
            <v>535.40519218642271</v>
          </cell>
          <cell r="AW75">
            <v>535.40519218642271</v>
          </cell>
          <cell r="AX75">
            <v>535.40519218642271</v>
          </cell>
          <cell r="AY75">
            <v>535.40519218642271</v>
          </cell>
          <cell r="AZ75">
            <v>535.40519218642271</v>
          </cell>
          <cell r="BA75">
            <v>535.40519218642271</v>
          </cell>
          <cell r="BF75">
            <v>84.909042960000008</v>
          </cell>
          <cell r="BG75">
            <v>85.992811400000008</v>
          </cell>
          <cell r="BH75">
            <v>170.90185436000002</v>
          </cell>
          <cell r="BI75">
            <v>84.493278570000001</v>
          </cell>
          <cell r="BJ75">
            <v>87.620563799999999</v>
          </cell>
          <cell r="BK75">
            <v>172.11384237000001</v>
          </cell>
          <cell r="BL75">
            <v>104.4250591</v>
          </cell>
          <cell r="BM75">
            <v>100.14966953999999</v>
          </cell>
          <cell r="BN75">
            <v>204.57472864000002</v>
          </cell>
          <cell r="BO75">
            <v>96.746388749999994</v>
          </cell>
          <cell r="BP75">
            <v>117.76308775</v>
          </cell>
          <cell r="BQ75">
            <v>214.50947650000001</v>
          </cell>
          <cell r="BR75">
            <v>134.84760600000001</v>
          </cell>
          <cell r="BS75">
            <v>100.73002668000001</v>
          </cell>
          <cell r="BT75">
            <v>235.57763267999997</v>
          </cell>
          <cell r="BU75">
            <v>103.40018306</v>
          </cell>
          <cell r="BV75">
            <v>142.136346</v>
          </cell>
          <cell r="BW75">
            <v>245.53652906000005</v>
          </cell>
          <cell r="BX75">
            <v>126.24527999999999</v>
          </cell>
          <cell r="BY75">
            <v>123.951742</v>
          </cell>
          <cell r="BZ75">
            <v>250.19702199999998</v>
          </cell>
          <cell r="CA75">
            <v>163.74596534579564</v>
          </cell>
          <cell r="CB75">
            <v>215.88088725287574</v>
          </cell>
          <cell r="CC75">
            <v>379.62685259867129</v>
          </cell>
          <cell r="CD75">
            <v>192.03228733267153</v>
          </cell>
          <cell r="CE75">
            <v>407.91317458554727</v>
          </cell>
          <cell r="CF75">
            <v>235.14074092562817</v>
          </cell>
          <cell r="CG75">
            <v>234.99435399999999</v>
          </cell>
          <cell r="CH75">
            <v>470.13509492562815</v>
          </cell>
          <cell r="CI75">
            <v>243.19831400000001</v>
          </cell>
          <cell r="CJ75">
            <v>216.35758000000001</v>
          </cell>
          <cell r="CK75">
            <v>459.55589400000002</v>
          </cell>
          <cell r="CL75">
            <v>337.00019196692739</v>
          </cell>
          <cell r="CM75">
            <v>337.12450841987169</v>
          </cell>
          <cell r="CN75">
            <v>674.12470038679919</v>
          </cell>
          <cell r="CO75">
            <v>354.59824299831456</v>
          </cell>
          <cell r="CP75">
            <v>359.63182163994247</v>
          </cell>
          <cell r="CQ75">
            <v>714.23006463825709</v>
          </cell>
          <cell r="CR75">
            <v>369.69449819531445</v>
          </cell>
          <cell r="CS75">
            <v>370.39563772419245</v>
          </cell>
          <cell r="CT75">
            <v>740.09013591950691</v>
          </cell>
          <cell r="CU75">
            <v>346.31152217497112</v>
          </cell>
          <cell r="CV75">
            <v>346.18209289351796</v>
          </cell>
          <cell r="CW75">
            <v>692.49361506848891</v>
          </cell>
          <cell r="CX75">
            <v>346.18209289351796</v>
          </cell>
          <cell r="CY75">
            <v>346.81940063980801</v>
          </cell>
          <cell r="CZ75">
            <v>693.00149353332586</v>
          </cell>
          <cell r="DA75">
            <v>346.81940063980801</v>
          </cell>
          <cell r="DB75">
            <v>352.11705423233929</v>
          </cell>
          <cell r="DC75">
            <v>698.93645487214724</v>
          </cell>
          <cell r="DD75">
            <v>352.11705423233929</v>
          </cell>
          <cell r="DE75">
            <v>352.11705423233929</v>
          </cell>
          <cell r="DF75">
            <v>704.23410846467857</v>
          </cell>
          <cell r="DG75">
            <v>352.11705423233929</v>
          </cell>
          <cell r="DH75">
            <v>352.11705423233929</v>
          </cell>
          <cell r="DI75">
            <v>704.23410846467857</v>
          </cell>
          <cell r="DJ75">
            <v>342.11705423233929</v>
          </cell>
          <cell r="DK75">
            <v>380.54792239954179</v>
          </cell>
          <cell r="DL75">
            <v>722.66497663188102</v>
          </cell>
          <cell r="DM75">
            <v>380.54792239954179</v>
          </cell>
          <cell r="DN75">
            <v>380.54792239954179</v>
          </cell>
          <cell r="DO75">
            <v>761.09584479908358</v>
          </cell>
          <cell r="DP75">
            <v>380.54792239954179</v>
          </cell>
          <cell r="DQ75">
            <v>380.54792239954179</v>
          </cell>
          <cell r="DR75">
            <v>761.09584479908358</v>
          </cell>
          <cell r="DS75">
            <v>380.54792239954179</v>
          </cell>
          <cell r="DT75">
            <v>380.54792239954179</v>
          </cell>
          <cell r="DU75">
            <v>761.09584479908358</v>
          </cell>
          <cell r="DV75">
            <v>380.54792239954179</v>
          </cell>
          <cell r="DW75">
            <v>380.54792239954179</v>
          </cell>
          <cell r="DX75">
            <v>761.09584479908358</v>
          </cell>
          <cell r="DY75">
            <v>380.54792239954179</v>
          </cell>
          <cell r="DZ75">
            <v>380.54792239954179</v>
          </cell>
          <cell r="EA75">
            <v>761.09584479908358</v>
          </cell>
          <cell r="EB75">
            <v>380.54792239954179</v>
          </cell>
          <cell r="EC75">
            <v>380.54792239954179</v>
          </cell>
          <cell r="ED75">
            <v>761.09584479908358</v>
          </cell>
          <cell r="EE75">
            <v>380.54792239954179</v>
          </cell>
          <cell r="EF75">
            <v>380.54792239954179</v>
          </cell>
          <cell r="EG75">
            <v>761.09584479908358</v>
          </cell>
          <cell r="EH75">
            <v>380.54792239954179</v>
          </cell>
          <cell r="EI75">
            <v>380.54792239954179</v>
          </cell>
          <cell r="EJ75">
            <v>761.09584479908358</v>
          </cell>
          <cell r="EK75">
            <v>380.54792239954179</v>
          </cell>
          <cell r="EL75">
            <v>380.54792239954179</v>
          </cell>
          <cell r="EM75">
            <v>761.09584479908358</v>
          </cell>
          <cell r="EN75">
            <v>380.54792239954179</v>
          </cell>
          <cell r="EO75">
            <v>380.54792239954179</v>
          </cell>
          <cell r="EP75">
            <v>761.09584479908358</v>
          </cell>
          <cell r="EQ75">
            <v>380.54792239954179</v>
          </cell>
          <cell r="ER75">
            <v>380.54792239954179</v>
          </cell>
          <cell r="ES75">
            <v>761.09584479908358</v>
          </cell>
          <cell r="ET75">
            <v>380.54792239954179</v>
          </cell>
          <cell r="EU75">
            <v>380.54792239954179</v>
          </cell>
          <cell r="EV75">
            <v>761.09584479908358</v>
          </cell>
          <cell r="EW75">
            <v>380.54792239954179</v>
          </cell>
          <cell r="EX75">
            <v>380.54792239954179</v>
          </cell>
          <cell r="EY75">
            <v>761.09584479908358</v>
          </cell>
          <cell r="EZ75">
            <v>380.54792239954179</v>
          </cell>
          <cell r="FA75">
            <v>380.54792239954179</v>
          </cell>
          <cell r="FB75">
            <v>761.09584479908358</v>
          </cell>
          <cell r="FC75">
            <v>380.54792239954179</v>
          </cell>
          <cell r="FD75">
            <v>380.54792239954179</v>
          </cell>
          <cell r="FE75">
            <v>761.09584479908358</v>
          </cell>
          <cell r="FF75">
            <v>380.54792239954179</v>
          </cell>
          <cell r="FG75">
            <v>380.54792239954179</v>
          </cell>
          <cell r="FH75">
            <v>761.09584479908358</v>
          </cell>
          <cell r="FI75">
            <v>380.54792239954179</v>
          </cell>
          <cell r="FJ75">
            <v>380.54792239954179</v>
          </cell>
          <cell r="FK75">
            <v>761.09584479908358</v>
          </cell>
          <cell r="FL75">
            <v>380.54792239954179</v>
          </cell>
          <cell r="FM75">
            <v>380.54792239954179</v>
          </cell>
          <cell r="FN75">
            <v>761.09584479908358</v>
          </cell>
          <cell r="FO75">
            <v>380.54792239954179</v>
          </cell>
          <cell r="FP75">
            <v>380.54792239954179</v>
          </cell>
          <cell r="FQ75">
            <v>761.09584479908358</v>
          </cell>
          <cell r="FR75">
            <v>380.54792239954179</v>
          </cell>
          <cell r="FS75">
            <v>380.54792239954179</v>
          </cell>
          <cell r="FT75">
            <v>761.09584479908358</v>
          </cell>
          <cell r="FU75">
            <v>380.54792239954179</v>
          </cell>
          <cell r="FV75">
            <v>380.54792239954179</v>
          </cell>
          <cell r="FW75">
            <v>761.09584479908358</v>
          </cell>
          <cell r="FX75">
            <v>267.70259609321135</v>
          </cell>
          <cell r="FY75">
            <v>267.70259609321135</v>
          </cell>
          <cell r="FZ75">
            <v>535.40519218642271</v>
          </cell>
          <cell r="GA75">
            <v>267.70259609321135</v>
          </cell>
          <cell r="GB75">
            <v>267.70259609321135</v>
          </cell>
          <cell r="GC75">
            <v>535.40519218642271</v>
          </cell>
          <cell r="GD75">
            <v>267.70259609321135</v>
          </cell>
          <cell r="GE75">
            <v>267.70259609321135</v>
          </cell>
          <cell r="GF75">
            <v>535.40519218642271</v>
          </cell>
          <cell r="GG75">
            <v>267.70259609321135</v>
          </cell>
          <cell r="GH75">
            <v>267.70259609321135</v>
          </cell>
          <cell r="GI75">
            <v>535.40519218642271</v>
          </cell>
          <cell r="GJ75">
            <v>267.70259609321135</v>
          </cell>
          <cell r="GK75">
            <v>267.70259609321135</v>
          </cell>
          <cell r="GL75">
            <v>535.40519218642271</v>
          </cell>
          <cell r="GM75">
            <v>267.70259609321135</v>
          </cell>
          <cell r="GN75">
            <v>267.70259609321135</v>
          </cell>
          <cell r="GO75">
            <v>535.40519218642271</v>
          </cell>
          <cell r="GP75">
            <v>267.70259609321135</v>
          </cell>
          <cell r="GQ75">
            <v>267.70259609321135</v>
          </cell>
          <cell r="GR75">
            <v>535.40519218642271</v>
          </cell>
          <cell r="GS75">
            <v>267.70259609321135</v>
          </cell>
          <cell r="GT75">
            <v>267.70259609321135</v>
          </cell>
          <cell r="GU75">
            <v>535.40519218642271</v>
          </cell>
          <cell r="GV75">
            <v>267.70259609321135</v>
          </cell>
          <cell r="GW75">
            <v>267.70259609321135</v>
          </cell>
          <cell r="GX75">
            <v>535.40519218642271</v>
          </cell>
        </row>
        <row r="77">
          <cell r="A77" t="str">
            <v>CAPITAL EXPENDITURE</v>
          </cell>
          <cell r="B77" t="str">
            <v>.</v>
          </cell>
          <cell r="C77" t="str">
            <v>.</v>
          </cell>
          <cell r="D77" t="str">
            <v>.</v>
          </cell>
          <cell r="E77" t="str">
            <v>.</v>
          </cell>
          <cell r="F77" t="str">
            <v>.</v>
          </cell>
          <cell r="G77" t="str">
            <v>.</v>
          </cell>
          <cell r="H77" t="str">
            <v>.</v>
          </cell>
          <cell r="I77" t="str">
            <v>.</v>
          </cell>
          <cell r="J77" t="str">
            <v>.</v>
          </cell>
          <cell r="K77" t="str">
            <v>.</v>
          </cell>
          <cell r="L77" t="str">
            <v>.</v>
          </cell>
          <cell r="M77" t="str">
            <v>.</v>
          </cell>
          <cell r="N77" t="str">
            <v>.</v>
          </cell>
          <cell r="O77" t="str">
            <v>.</v>
          </cell>
          <cell r="P77" t="str">
            <v>.</v>
          </cell>
          <cell r="Q77" t="str">
            <v>.</v>
          </cell>
          <cell r="R77" t="str">
            <v>.</v>
          </cell>
          <cell r="S77" t="str">
            <v>.</v>
          </cell>
          <cell r="T77" t="str">
            <v>.</v>
          </cell>
          <cell r="U77" t="str">
            <v>.</v>
          </cell>
          <cell r="V77" t="str">
            <v>.</v>
          </cell>
          <cell r="W77" t="str">
            <v>.</v>
          </cell>
          <cell r="X77" t="str">
            <v>.</v>
          </cell>
          <cell r="Y77" t="str">
            <v>.</v>
          </cell>
          <cell r="Z77" t="str">
            <v>.</v>
          </cell>
          <cell r="AA77" t="str">
            <v>.</v>
          </cell>
          <cell r="AB77" t="str">
            <v>.</v>
          </cell>
          <cell r="AC77" t="str">
            <v>.</v>
          </cell>
          <cell r="AD77" t="str">
            <v>.</v>
          </cell>
          <cell r="AE77" t="str">
            <v>.</v>
          </cell>
          <cell r="AF77" t="str">
            <v>.</v>
          </cell>
          <cell r="AG77" t="str">
            <v>.</v>
          </cell>
          <cell r="AH77" t="str">
            <v>.</v>
          </cell>
          <cell r="AI77" t="str">
            <v>.</v>
          </cell>
          <cell r="AJ77" t="str">
            <v>.</v>
          </cell>
          <cell r="AK77" t="str">
            <v>.</v>
          </cell>
          <cell r="AL77" t="str">
            <v>.</v>
          </cell>
          <cell r="AM77" t="str">
            <v>.</v>
          </cell>
          <cell r="AN77" t="str">
            <v>.</v>
          </cell>
          <cell r="AO77" t="str">
            <v>.</v>
          </cell>
          <cell r="AP77" t="str">
            <v>.</v>
          </cell>
          <cell r="AQ77" t="str">
            <v>.</v>
          </cell>
          <cell r="AR77" t="str">
            <v>.</v>
          </cell>
          <cell r="AS77" t="str">
            <v>.</v>
          </cell>
          <cell r="AT77" t="str">
            <v>.</v>
          </cell>
          <cell r="AU77" t="str">
            <v>.</v>
          </cell>
          <cell r="AV77" t="str">
            <v>.</v>
          </cell>
          <cell r="AW77" t="str">
            <v>.</v>
          </cell>
          <cell r="AX77" t="str">
            <v>.</v>
          </cell>
          <cell r="AY77" t="str">
            <v>.</v>
          </cell>
          <cell r="AZ77" t="str">
            <v>.</v>
          </cell>
          <cell r="BA77" t="str">
            <v>.</v>
          </cell>
          <cell r="BB77" t="str">
            <v>.</v>
          </cell>
          <cell r="BC77" t="str">
            <v>.</v>
          </cell>
          <cell r="BD77" t="str">
            <v>.</v>
          </cell>
          <cell r="BE77" t="str">
            <v>.</v>
          </cell>
          <cell r="BF77" t="str">
            <v>.</v>
          </cell>
          <cell r="BG77" t="str">
            <v>.</v>
          </cell>
          <cell r="BH77" t="str">
            <v>.</v>
          </cell>
          <cell r="BI77" t="str">
            <v>.</v>
          </cell>
          <cell r="BJ77" t="str">
            <v>.</v>
          </cell>
          <cell r="BK77" t="str">
            <v>.</v>
          </cell>
          <cell r="BL77" t="str">
            <v>.</v>
          </cell>
          <cell r="BM77" t="str">
            <v>.</v>
          </cell>
          <cell r="BN77" t="str">
            <v>.</v>
          </cell>
          <cell r="BO77" t="str">
            <v>.</v>
          </cell>
          <cell r="BP77" t="str">
            <v>.</v>
          </cell>
          <cell r="BQ77" t="str">
            <v>.</v>
          </cell>
          <cell r="BR77" t="str">
            <v>.</v>
          </cell>
          <cell r="BS77" t="str">
            <v>.</v>
          </cell>
          <cell r="BT77" t="str">
            <v>.</v>
          </cell>
          <cell r="BU77" t="str">
            <v>.</v>
          </cell>
          <cell r="BV77" t="str">
            <v>.</v>
          </cell>
          <cell r="BW77" t="str">
            <v>.</v>
          </cell>
          <cell r="BX77" t="str">
            <v>.</v>
          </cell>
          <cell r="BY77" t="str">
            <v>.</v>
          </cell>
          <cell r="BZ77" t="str">
            <v>.</v>
          </cell>
          <cell r="CA77" t="str">
            <v>.</v>
          </cell>
          <cell r="CB77" t="str">
            <v>.</v>
          </cell>
          <cell r="CC77" t="str">
            <v>.</v>
          </cell>
          <cell r="CD77" t="str">
            <v>.</v>
          </cell>
          <cell r="CE77" t="str">
            <v>.</v>
          </cell>
          <cell r="CF77" t="str">
            <v>.</v>
          </cell>
          <cell r="CG77" t="str">
            <v>.</v>
          </cell>
          <cell r="CH77" t="str">
            <v>.</v>
          </cell>
          <cell r="CI77" t="str">
            <v>.</v>
          </cell>
          <cell r="CJ77" t="str">
            <v>.</v>
          </cell>
          <cell r="CK77" t="str">
            <v>.</v>
          </cell>
          <cell r="CL77" t="str">
            <v>.</v>
          </cell>
          <cell r="CM77" t="str">
            <v>.</v>
          </cell>
          <cell r="CN77" t="str">
            <v>.</v>
          </cell>
          <cell r="CO77" t="str">
            <v>.</v>
          </cell>
          <cell r="CP77" t="str">
            <v>.</v>
          </cell>
          <cell r="CQ77" t="str">
            <v>.</v>
          </cell>
          <cell r="CR77" t="str">
            <v>.</v>
          </cell>
          <cell r="CS77" t="str">
            <v>.</v>
          </cell>
          <cell r="CT77" t="str">
            <v>.</v>
          </cell>
          <cell r="CU77" t="str">
            <v>.</v>
          </cell>
          <cell r="CV77" t="str">
            <v>.</v>
          </cell>
          <cell r="CW77" t="str">
            <v>.</v>
          </cell>
          <cell r="CX77" t="str">
            <v>.</v>
          </cell>
          <cell r="CY77" t="str">
            <v>.</v>
          </cell>
          <cell r="CZ77" t="str">
            <v>.</v>
          </cell>
          <cell r="DA77" t="str">
            <v>.</v>
          </cell>
          <cell r="DB77" t="str">
            <v>.</v>
          </cell>
          <cell r="DC77" t="str">
            <v>.</v>
          </cell>
          <cell r="DD77" t="str">
            <v>.</v>
          </cell>
          <cell r="DE77" t="str">
            <v>.</v>
          </cell>
          <cell r="DF77" t="str">
            <v>.</v>
          </cell>
          <cell r="DG77" t="str">
            <v>.</v>
          </cell>
          <cell r="DH77" t="str">
            <v>.</v>
          </cell>
          <cell r="DI77" t="str">
            <v>.</v>
          </cell>
          <cell r="DJ77" t="str">
            <v>.</v>
          </cell>
          <cell r="DK77" t="str">
            <v>.</v>
          </cell>
          <cell r="DL77" t="str">
            <v>.</v>
          </cell>
          <cell r="DM77" t="str">
            <v>.</v>
          </cell>
          <cell r="DN77" t="str">
            <v>.</v>
          </cell>
          <cell r="DO77" t="str">
            <v>.</v>
          </cell>
          <cell r="DP77" t="str">
            <v>.</v>
          </cell>
          <cell r="DQ77" t="str">
            <v>.</v>
          </cell>
          <cell r="DR77" t="str">
            <v>.</v>
          </cell>
          <cell r="DS77" t="str">
            <v>.</v>
          </cell>
          <cell r="DT77" t="str">
            <v>.</v>
          </cell>
          <cell r="DU77" t="str">
            <v>.</v>
          </cell>
          <cell r="DV77" t="str">
            <v>.</v>
          </cell>
          <cell r="DW77" t="str">
            <v>.</v>
          </cell>
          <cell r="DX77" t="str">
            <v>.</v>
          </cell>
          <cell r="DY77" t="str">
            <v>.</v>
          </cell>
          <cell r="DZ77" t="str">
            <v>.</v>
          </cell>
          <cell r="EA77" t="str">
            <v>.</v>
          </cell>
          <cell r="EB77" t="str">
            <v>.</v>
          </cell>
          <cell r="EC77" t="str">
            <v>.</v>
          </cell>
          <cell r="ED77" t="str">
            <v>.</v>
          </cell>
          <cell r="EE77" t="str">
            <v>.</v>
          </cell>
          <cell r="EF77" t="str">
            <v>.</v>
          </cell>
          <cell r="EG77" t="str">
            <v>.</v>
          </cell>
          <cell r="EH77" t="str">
            <v>.</v>
          </cell>
          <cell r="EI77" t="str">
            <v>.</v>
          </cell>
          <cell r="EJ77" t="str">
            <v>.</v>
          </cell>
          <cell r="EK77" t="str">
            <v>.</v>
          </cell>
          <cell r="EL77" t="str">
            <v>.</v>
          </cell>
          <cell r="EM77" t="str">
            <v>.</v>
          </cell>
          <cell r="EN77" t="str">
            <v>.</v>
          </cell>
          <cell r="EO77" t="str">
            <v>.</v>
          </cell>
          <cell r="EP77" t="str">
            <v>.</v>
          </cell>
          <cell r="EQ77" t="str">
            <v>.</v>
          </cell>
          <cell r="ER77" t="str">
            <v>.</v>
          </cell>
          <cell r="ES77" t="str">
            <v>.</v>
          </cell>
          <cell r="ET77" t="str">
            <v>.</v>
          </cell>
          <cell r="EU77" t="str">
            <v>.</v>
          </cell>
          <cell r="EV77" t="str">
            <v>.</v>
          </cell>
          <cell r="EW77" t="str">
            <v>.</v>
          </cell>
          <cell r="EX77" t="str">
            <v>.</v>
          </cell>
          <cell r="EY77" t="str">
            <v>.</v>
          </cell>
          <cell r="EZ77" t="str">
            <v>.</v>
          </cell>
          <cell r="FA77" t="str">
            <v>.</v>
          </cell>
          <cell r="FB77" t="str">
            <v>.</v>
          </cell>
          <cell r="FC77" t="str">
            <v>.</v>
          </cell>
          <cell r="FD77" t="str">
            <v>.</v>
          </cell>
          <cell r="FE77" t="str">
            <v>.</v>
          </cell>
          <cell r="FF77" t="str">
            <v>.</v>
          </cell>
          <cell r="FG77" t="str">
            <v>.</v>
          </cell>
          <cell r="FH77" t="str">
            <v>.</v>
          </cell>
          <cell r="FI77" t="str">
            <v>.</v>
          </cell>
          <cell r="FJ77" t="str">
            <v>.</v>
          </cell>
          <cell r="FK77" t="str">
            <v>.</v>
          </cell>
          <cell r="FL77" t="str">
            <v>.</v>
          </cell>
          <cell r="FM77" t="str">
            <v>.</v>
          </cell>
          <cell r="FN77" t="str">
            <v>.</v>
          </cell>
          <cell r="FO77" t="str">
            <v>.</v>
          </cell>
          <cell r="FP77" t="str">
            <v>.</v>
          </cell>
          <cell r="FQ77" t="str">
            <v>.</v>
          </cell>
          <cell r="FR77" t="str">
            <v>.</v>
          </cell>
          <cell r="FS77" t="str">
            <v>.</v>
          </cell>
          <cell r="FT77" t="str">
            <v>.</v>
          </cell>
          <cell r="FU77" t="str">
            <v>.</v>
          </cell>
          <cell r="FV77" t="str">
            <v>.</v>
          </cell>
          <cell r="FW77" t="str">
            <v>.</v>
          </cell>
          <cell r="FX77" t="str">
            <v>.</v>
          </cell>
          <cell r="FY77" t="str">
            <v>.</v>
          </cell>
          <cell r="FZ77" t="str">
            <v>.</v>
          </cell>
          <cell r="GA77" t="str">
            <v>.</v>
          </cell>
          <cell r="GB77" t="str">
            <v>.</v>
          </cell>
          <cell r="GC77" t="str">
            <v>.</v>
          </cell>
          <cell r="GD77" t="str">
            <v>.</v>
          </cell>
          <cell r="GE77" t="str">
            <v>.</v>
          </cell>
          <cell r="GF77" t="str">
            <v>.</v>
          </cell>
          <cell r="GG77" t="str">
            <v>.</v>
          </cell>
          <cell r="GH77" t="str">
            <v>.</v>
          </cell>
          <cell r="GI77" t="str">
            <v>.</v>
          </cell>
          <cell r="GJ77" t="str">
            <v>.</v>
          </cell>
          <cell r="GK77" t="str">
            <v>.</v>
          </cell>
          <cell r="GL77" t="str">
            <v>.</v>
          </cell>
          <cell r="GM77" t="str">
            <v>.</v>
          </cell>
          <cell r="GN77" t="str">
            <v>.</v>
          </cell>
          <cell r="GO77" t="str">
            <v>.</v>
          </cell>
          <cell r="GP77" t="str">
            <v>.</v>
          </cell>
          <cell r="GQ77" t="str">
            <v>.</v>
          </cell>
          <cell r="GR77" t="str">
            <v>.</v>
          </cell>
          <cell r="GS77" t="str">
            <v>.</v>
          </cell>
          <cell r="GT77" t="str">
            <v>.</v>
          </cell>
          <cell r="GU77" t="str">
            <v>.</v>
          </cell>
          <cell r="GV77" t="str">
            <v>.</v>
          </cell>
          <cell r="GW77" t="str">
            <v>.</v>
          </cell>
          <cell r="GX77" t="str">
            <v>.</v>
          </cell>
        </row>
        <row r="78">
          <cell r="A78" t="str">
            <v>Sustaining</v>
          </cell>
          <cell r="B78" t="str">
            <v>A$m</v>
          </cell>
          <cell r="H78">
            <v>0</v>
          </cell>
          <cell r="I78">
            <v>0</v>
          </cell>
          <cell r="J78">
            <v>0</v>
          </cell>
          <cell r="K78">
            <v>5</v>
          </cell>
          <cell r="L78">
            <v>2.5</v>
          </cell>
          <cell r="M78">
            <v>40</v>
          </cell>
          <cell r="N78">
            <v>60</v>
          </cell>
          <cell r="O78">
            <v>60</v>
          </cell>
          <cell r="P78">
            <v>60</v>
          </cell>
          <cell r="Q78">
            <v>60</v>
          </cell>
          <cell r="R78">
            <v>60</v>
          </cell>
          <cell r="S78">
            <v>60</v>
          </cell>
          <cell r="T78">
            <v>60</v>
          </cell>
          <cell r="U78">
            <v>60</v>
          </cell>
          <cell r="V78">
            <v>60</v>
          </cell>
          <cell r="W78">
            <v>60</v>
          </cell>
          <cell r="X78">
            <v>60</v>
          </cell>
          <cell r="Y78">
            <v>60</v>
          </cell>
          <cell r="Z78">
            <v>60</v>
          </cell>
          <cell r="AA78">
            <v>60</v>
          </cell>
          <cell r="AB78">
            <v>60</v>
          </cell>
          <cell r="AC78">
            <v>60</v>
          </cell>
          <cell r="AD78">
            <v>20</v>
          </cell>
          <cell r="AE78">
            <v>20</v>
          </cell>
          <cell r="AF78">
            <v>20</v>
          </cell>
          <cell r="AG78">
            <v>20</v>
          </cell>
          <cell r="AH78">
            <v>20</v>
          </cell>
          <cell r="AI78">
            <v>20</v>
          </cell>
          <cell r="AJ78">
            <v>20</v>
          </cell>
          <cell r="AK78">
            <v>20</v>
          </cell>
          <cell r="AL78">
            <v>20</v>
          </cell>
          <cell r="AM78">
            <v>20</v>
          </cell>
          <cell r="AN78">
            <v>20</v>
          </cell>
          <cell r="AO78">
            <v>20</v>
          </cell>
          <cell r="AP78">
            <v>20</v>
          </cell>
          <cell r="AQ78">
            <v>20</v>
          </cell>
          <cell r="AR78">
            <v>20</v>
          </cell>
          <cell r="AS78">
            <v>20</v>
          </cell>
          <cell r="AT78">
            <v>20</v>
          </cell>
          <cell r="AU78">
            <v>20</v>
          </cell>
          <cell r="AV78">
            <v>20</v>
          </cell>
          <cell r="AW78">
            <v>20</v>
          </cell>
          <cell r="AX78">
            <v>20</v>
          </cell>
          <cell r="AY78">
            <v>20</v>
          </cell>
          <cell r="AZ78">
            <v>20</v>
          </cell>
          <cell r="BA78">
            <v>20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  <cell r="BK78">
            <v>0</v>
          </cell>
          <cell r="BL78">
            <v>0</v>
          </cell>
          <cell r="BM78">
            <v>0</v>
          </cell>
          <cell r="BN78">
            <v>0</v>
          </cell>
          <cell r="BO78">
            <v>0</v>
          </cell>
          <cell r="BP78">
            <v>0</v>
          </cell>
          <cell r="BQ78">
            <v>0</v>
          </cell>
          <cell r="BR78">
            <v>0</v>
          </cell>
          <cell r="BS78">
            <v>0</v>
          </cell>
          <cell r="BT78">
            <v>0</v>
          </cell>
          <cell r="BU78">
            <v>0</v>
          </cell>
          <cell r="BV78">
            <v>0</v>
          </cell>
          <cell r="BW78">
            <v>0</v>
          </cell>
          <cell r="BX78">
            <v>0</v>
          </cell>
          <cell r="BY78">
            <v>0</v>
          </cell>
          <cell r="BZ78">
            <v>0</v>
          </cell>
          <cell r="CA78">
            <v>2.5</v>
          </cell>
          <cell r="CB78">
            <v>2.5</v>
          </cell>
          <cell r="CC78">
            <v>5</v>
          </cell>
          <cell r="CD78">
            <v>0</v>
          </cell>
          <cell r="CE78">
            <v>2.5</v>
          </cell>
          <cell r="CF78">
            <v>0</v>
          </cell>
          <cell r="CG78">
            <v>40</v>
          </cell>
          <cell r="CH78">
            <v>40</v>
          </cell>
          <cell r="CI78">
            <v>30</v>
          </cell>
          <cell r="CJ78">
            <v>30</v>
          </cell>
          <cell r="CK78">
            <v>60</v>
          </cell>
          <cell r="CL78">
            <v>30</v>
          </cell>
          <cell r="CM78">
            <v>30</v>
          </cell>
          <cell r="CN78">
            <v>60</v>
          </cell>
          <cell r="CO78">
            <v>30</v>
          </cell>
          <cell r="CP78">
            <v>30</v>
          </cell>
          <cell r="CQ78">
            <v>60</v>
          </cell>
          <cell r="CR78">
            <v>30</v>
          </cell>
          <cell r="CS78">
            <v>30</v>
          </cell>
          <cell r="CT78">
            <v>60</v>
          </cell>
          <cell r="CU78">
            <v>30</v>
          </cell>
          <cell r="CV78">
            <v>30</v>
          </cell>
          <cell r="CW78">
            <v>60</v>
          </cell>
          <cell r="CX78">
            <v>30</v>
          </cell>
          <cell r="CY78">
            <v>30</v>
          </cell>
          <cell r="CZ78">
            <v>60</v>
          </cell>
          <cell r="DA78">
            <v>30</v>
          </cell>
          <cell r="DB78">
            <v>30</v>
          </cell>
          <cell r="DC78">
            <v>60</v>
          </cell>
          <cell r="DD78">
            <v>30</v>
          </cell>
          <cell r="DE78">
            <v>30</v>
          </cell>
          <cell r="DF78">
            <v>60</v>
          </cell>
          <cell r="DG78">
            <v>30</v>
          </cell>
          <cell r="DH78">
            <v>30</v>
          </cell>
          <cell r="DI78">
            <v>60</v>
          </cell>
          <cell r="DJ78">
            <v>30</v>
          </cell>
          <cell r="DK78">
            <v>30</v>
          </cell>
          <cell r="DL78">
            <v>60</v>
          </cell>
          <cell r="DM78">
            <v>30</v>
          </cell>
          <cell r="DN78">
            <v>30</v>
          </cell>
          <cell r="DO78">
            <v>60</v>
          </cell>
          <cell r="DP78">
            <v>30</v>
          </cell>
          <cell r="DQ78">
            <v>30</v>
          </cell>
          <cell r="DR78">
            <v>60</v>
          </cell>
          <cell r="DS78">
            <v>30</v>
          </cell>
          <cell r="DT78">
            <v>30</v>
          </cell>
          <cell r="DU78">
            <v>60</v>
          </cell>
          <cell r="DV78">
            <v>30</v>
          </cell>
          <cell r="DW78">
            <v>30</v>
          </cell>
          <cell r="DX78">
            <v>60</v>
          </cell>
          <cell r="DY78">
            <v>30</v>
          </cell>
          <cell r="DZ78">
            <v>30</v>
          </cell>
          <cell r="EA78">
            <v>60</v>
          </cell>
          <cell r="EB78">
            <v>30</v>
          </cell>
          <cell r="EC78">
            <v>30</v>
          </cell>
          <cell r="ED78">
            <v>60</v>
          </cell>
          <cell r="EE78">
            <v>10</v>
          </cell>
          <cell r="EF78">
            <v>10</v>
          </cell>
          <cell r="EG78">
            <v>20</v>
          </cell>
          <cell r="EH78">
            <v>10</v>
          </cell>
          <cell r="EI78">
            <v>10</v>
          </cell>
          <cell r="EJ78">
            <v>20</v>
          </cell>
          <cell r="EK78">
            <v>10</v>
          </cell>
          <cell r="EL78">
            <v>10</v>
          </cell>
          <cell r="EM78">
            <v>20</v>
          </cell>
          <cell r="EN78">
            <v>10</v>
          </cell>
          <cell r="EO78">
            <v>10</v>
          </cell>
          <cell r="EP78">
            <v>20</v>
          </cell>
          <cell r="EQ78">
            <v>10</v>
          </cell>
          <cell r="ER78">
            <v>10</v>
          </cell>
          <cell r="ES78">
            <v>20</v>
          </cell>
          <cell r="ET78">
            <v>10</v>
          </cell>
          <cell r="EU78">
            <v>10</v>
          </cell>
          <cell r="EV78">
            <v>20</v>
          </cell>
          <cell r="EW78">
            <v>10</v>
          </cell>
          <cell r="EX78">
            <v>10</v>
          </cell>
          <cell r="EY78">
            <v>20</v>
          </cell>
          <cell r="EZ78">
            <v>10</v>
          </cell>
          <cell r="FA78">
            <v>10</v>
          </cell>
          <cell r="FB78">
            <v>20</v>
          </cell>
          <cell r="FC78">
            <v>10</v>
          </cell>
          <cell r="FD78">
            <v>10</v>
          </cell>
          <cell r="FE78">
            <v>20</v>
          </cell>
          <cell r="FF78">
            <v>10</v>
          </cell>
          <cell r="FG78">
            <v>10</v>
          </cell>
          <cell r="FH78">
            <v>20</v>
          </cell>
          <cell r="FI78">
            <v>10</v>
          </cell>
          <cell r="FJ78">
            <v>10</v>
          </cell>
          <cell r="FK78">
            <v>20</v>
          </cell>
          <cell r="FL78">
            <v>10</v>
          </cell>
          <cell r="FM78">
            <v>10</v>
          </cell>
          <cell r="FN78">
            <v>20</v>
          </cell>
          <cell r="FO78">
            <v>10</v>
          </cell>
          <cell r="FP78">
            <v>10</v>
          </cell>
          <cell r="FQ78">
            <v>20</v>
          </cell>
          <cell r="FR78">
            <v>10</v>
          </cell>
          <cell r="FS78">
            <v>10</v>
          </cell>
          <cell r="FT78">
            <v>20</v>
          </cell>
          <cell r="FU78">
            <v>10</v>
          </cell>
          <cell r="FV78">
            <v>10</v>
          </cell>
          <cell r="FW78">
            <v>20</v>
          </cell>
          <cell r="FX78">
            <v>10</v>
          </cell>
          <cell r="FY78">
            <v>10</v>
          </cell>
          <cell r="FZ78">
            <v>20</v>
          </cell>
          <cell r="GA78">
            <v>10</v>
          </cell>
          <cell r="GB78">
            <v>10</v>
          </cell>
          <cell r="GC78">
            <v>20</v>
          </cell>
          <cell r="GD78">
            <v>10</v>
          </cell>
          <cell r="GE78">
            <v>10</v>
          </cell>
          <cell r="GF78">
            <v>20</v>
          </cell>
          <cell r="GG78">
            <v>10</v>
          </cell>
          <cell r="GH78">
            <v>10</v>
          </cell>
          <cell r="GI78">
            <v>20</v>
          </cell>
          <cell r="GJ78">
            <v>10</v>
          </cell>
          <cell r="GK78">
            <v>10</v>
          </cell>
          <cell r="GL78">
            <v>20</v>
          </cell>
          <cell r="GM78">
            <v>10</v>
          </cell>
          <cell r="GN78">
            <v>10</v>
          </cell>
          <cell r="GO78">
            <v>20</v>
          </cell>
          <cell r="GP78">
            <v>10</v>
          </cell>
          <cell r="GQ78">
            <v>10</v>
          </cell>
          <cell r="GR78">
            <v>20</v>
          </cell>
          <cell r="GS78">
            <v>10</v>
          </cell>
          <cell r="GT78">
            <v>10</v>
          </cell>
          <cell r="GU78">
            <v>20</v>
          </cell>
          <cell r="GV78">
            <v>10</v>
          </cell>
          <cell r="GW78">
            <v>10</v>
          </cell>
          <cell r="GX78">
            <v>20</v>
          </cell>
        </row>
        <row r="79">
          <cell r="A79" t="str">
            <v>Development &amp; Expansion</v>
          </cell>
          <cell r="B79" t="str">
            <v>A$m</v>
          </cell>
          <cell r="D79">
            <v>36.898000000000003</v>
          </cell>
          <cell r="E79">
            <v>25.981000000000002</v>
          </cell>
          <cell r="F79">
            <v>27.065000000000001</v>
          </cell>
          <cell r="G79">
            <v>87.662999999999997</v>
          </cell>
          <cell r="H79">
            <v>99.492000000000004</v>
          </cell>
          <cell r="I79">
            <v>170.8</v>
          </cell>
          <cell r="J79">
            <v>150</v>
          </cell>
          <cell r="K79">
            <v>130</v>
          </cell>
          <cell r="L79">
            <v>158</v>
          </cell>
          <cell r="M79">
            <v>622</v>
          </cell>
          <cell r="N79">
            <v>555</v>
          </cell>
          <cell r="O79">
            <v>690</v>
          </cell>
          <cell r="P79">
            <v>100</v>
          </cell>
          <cell r="Q79">
            <v>45</v>
          </cell>
          <cell r="R79">
            <v>235</v>
          </cell>
          <cell r="S79">
            <v>190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F79">
            <v>12.709</v>
          </cell>
          <cell r="BG79">
            <v>24.189000000000004</v>
          </cell>
          <cell r="BH79">
            <v>36.898000000000003</v>
          </cell>
          <cell r="BI79">
            <v>10.77</v>
          </cell>
          <cell r="BJ79">
            <v>15.211000000000002</v>
          </cell>
          <cell r="BK79">
            <v>25.981000000000002</v>
          </cell>
          <cell r="BL79">
            <v>16.079999999999998</v>
          </cell>
          <cell r="BM79">
            <v>10.985000000000003</v>
          </cell>
          <cell r="BN79">
            <v>27.065000000000001</v>
          </cell>
          <cell r="BO79">
            <v>32.799999999999997</v>
          </cell>
          <cell r="BP79">
            <v>54.863</v>
          </cell>
          <cell r="BQ79">
            <v>87.662999999999997</v>
          </cell>
          <cell r="BR79">
            <v>37.5</v>
          </cell>
          <cell r="BS79">
            <v>61.992000000000004</v>
          </cell>
          <cell r="BT79">
            <v>99.492000000000004</v>
          </cell>
          <cell r="BU79">
            <v>89.5</v>
          </cell>
          <cell r="BV79">
            <v>81.300000000000011</v>
          </cell>
          <cell r="BW79">
            <v>170.8</v>
          </cell>
          <cell r="BX79">
            <v>75</v>
          </cell>
          <cell r="BY79">
            <v>75</v>
          </cell>
          <cell r="BZ79">
            <v>150</v>
          </cell>
          <cell r="CA79">
            <v>50</v>
          </cell>
          <cell r="CB79">
            <v>80</v>
          </cell>
          <cell r="CC79">
            <v>130</v>
          </cell>
          <cell r="CD79">
            <v>78</v>
          </cell>
          <cell r="CE79">
            <v>158</v>
          </cell>
          <cell r="CF79">
            <v>252</v>
          </cell>
          <cell r="CG79">
            <v>370</v>
          </cell>
          <cell r="CH79">
            <v>622</v>
          </cell>
          <cell r="CI79">
            <v>370</v>
          </cell>
          <cell r="CJ79">
            <v>185</v>
          </cell>
          <cell r="CK79">
            <v>555</v>
          </cell>
          <cell r="CL79">
            <v>345</v>
          </cell>
          <cell r="CM79">
            <v>345</v>
          </cell>
          <cell r="CN79">
            <v>690</v>
          </cell>
          <cell r="CO79">
            <v>100</v>
          </cell>
          <cell r="CP79">
            <v>0</v>
          </cell>
          <cell r="CQ79">
            <v>100</v>
          </cell>
          <cell r="CR79">
            <v>0</v>
          </cell>
          <cell r="CS79">
            <v>45</v>
          </cell>
          <cell r="CT79">
            <v>45</v>
          </cell>
          <cell r="CU79">
            <v>45</v>
          </cell>
          <cell r="CV79">
            <v>190</v>
          </cell>
          <cell r="CW79">
            <v>235</v>
          </cell>
          <cell r="CX79">
            <v>190</v>
          </cell>
          <cell r="CY79">
            <v>0</v>
          </cell>
          <cell r="CZ79">
            <v>190</v>
          </cell>
          <cell r="DA79">
            <v>0</v>
          </cell>
          <cell r="DB79">
            <v>0</v>
          </cell>
          <cell r="DC79">
            <v>0</v>
          </cell>
          <cell r="DD79">
            <v>0</v>
          </cell>
          <cell r="DE79">
            <v>0</v>
          </cell>
          <cell r="DF79">
            <v>0</v>
          </cell>
          <cell r="DG79">
            <v>0</v>
          </cell>
          <cell r="DH79">
            <v>0</v>
          </cell>
          <cell r="DI79">
            <v>0</v>
          </cell>
          <cell r="DJ79">
            <v>0</v>
          </cell>
          <cell r="DK79">
            <v>0</v>
          </cell>
          <cell r="DL79">
            <v>0</v>
          </cell>
          <cell r="DM79">
            <v>0</v>
          </cell>
          <cell r="DN79">
            <v>0</v>
          </cell>
          <cell r="DO79">
            <v>0</v>
          </cell>
          <cell r="DP79">
            <v>0</v>
          </cell>
          <cell r="DQ79">
            <v>0</v>
          </cell>
          <cell r="DR79">
            <v>0</v>
          </cell>
          <cell r="DS79">
            <v>0</v>
          </cell>
          <cell r="DT79">
            <v>0</v>
          </cell>
          <cell r="DU79">
            <v>0</v>
          </cell>
          <cell r="DV79">
            <v>0</v>
          </cell>
          <cell r="DW79">
            <v>0</v>
          </cell>
          <cell r="DX79">
            <v>0</v>
          </cell>
          <cell r="DY79">
            <v>0</v>
          </cell>
          <cell r="DZ79">
            <v>0</v>
          </cell>
          <cell r="EA79">
            <v>0</v>
          </cell>
          <cell r="EB79">
            <v>0</v>
          </cell>
          <cell r="EC79">
            <v>0</v>
          </cell>
          <cell r="ED79">
            <v>0</v>
          </cell>
          <cell r="EE79">
            <v>0</v>
          </cell>
          <cell r="EF79">
            <v>0</v>
          </cell>
          <cell r="EG79">
            <v>0</v>
          </cell>
          <cell r="EH79">
            <v>0</v>
          </cell>
          <cell r="EI79">
            <v>0</v>
          </cell>
          <cell r="EJ79">
            <v>0</v>
          </cell>
          <cell r="EK79">
            <v>0</v>
          </cell>
          <cell r="EL79">
            <v>0</v>
          </cell>
          <cell r="EM79">
            <v>0</v>
          </cell>
          <cell r="EN79">
            <v>0</v>
          </cell>
          <cell r="EO79">
            <v>0</v>
          </cell>
          <cell r="EP79">
            <v>0</v>
          </cell>
          <cell r="EQ79">
            <v>0</v>
          </cell>
          <cell r="ER79">
            <v>0</v>
          </cell>
          <cell r="ES79">
            <v>0</v>
          </cell>
          <cell r="ET79">
            <v>0</v>
          </cell>
          <cell r="EU79">
            <v>0</v>
          </cell>
          <cell r="EV79">
            <v>0</v>
          </cell>
          <cell r="EW79">
            <v>0</v>
          </cell>
          <cell r="EX79">
            <v>0</v>
          </cell>
          <cell r="EY79">
            <v>0</v>
          </cell>
          <cell r="EZ79">
            <v>0</v>
          </cell>
          <cell r="FA79">
            <v>0</v>
          </cell>
          <cell r="FB79">
            <v>0</v>
          </cell>
          <cell r="FC79">
            <v>0</v>
          </cell>
          <cell r="FD79">
            <v>0</v>
          </cell>
          <cell r="FE79">
            <v>0</v>
          </cell>
          <cell r="FF79">
            <v>0</v>
          </cell>
          <cell r="FG79">
            <v>0</v>
          </cell>
          <cell r="FH79">
            <v>0</v>
          </cell>
          <cell r="FI79">
            <v>0</v>
          </cell>
          <cell r="FJ79">
            <v>0</v>
          </cell>
          <cell r="FK79">
            <v>0</v>
          </cell>
          <cell r="FL79">
            <v>0</v>
          </cell>
          <cell r="FM79">
            <v>0</v>
          </cell>
          <cell r="FN79">
            <v>0</v>
          </cell>
          <cell r="FO79">
            <v>0</v>
          </cell>
          <cell r="FP79">
            <v>0</v>
          </cell>
          <cell r="FQ79">
            <v>0</v>
          </cell>
          <cell r="FR79">
            <v>0</v>
          </cell>
          <cell r="FS79">
            <v>0</v>
          </cell>
          <cell r="FT79">
            <v>0</v>
          </cell>
          <cell r="FU79">
            <v>0</v>
          </cell>
          <cell r="FV79">
            <v>0</v>
          </cell>
          <cell r="FW79">
            <v>0</v>
          </cell>
          <cell r="FX79">
            <v>0</v>
          </cell>
          <cell r="FY79">
            <v>0</v>
          </cell>
          <cell r="FZ79">
            <v>0</v>
          </cell>
          <cell r="GA79">
            <v>0</v>
          </cell>
          <cell r="GB79">
            <v>0</v>
          </cell>
          <cell r="GC79">
            <v>0</v>
          </cell>
          <cell r="GD79">
            <v>0</v>
          </cell>
          <cell r="GE79">
            <v>0</v>
          </cell>
          <cell r="GF79">
            <v>0</v>
          </cell>
          <cell r="GG79">
            <v>0</v>
          </cell>
          <cell r="GH79">
            <v>0</v>
          </cell>
          <cell r="GI79">
            <v>0</v>
          </cell>
          <cell r="GJ79">
            <v>0</v>
          </cell>
          <cell r="GK79">
            <v>0</v>
          </cell>
          <cell r="GL79">
            <v>0</v>
          </cell>
          <cell r="GM79">
            <v>0</v>
          </cell>
          <cell r="GN79">
            <v>0</v>
          </cell>
          <cell r="GO79">
            <v>0</v>
          </cell>
          <cell r="GP79">
            <v>0</v>
          </cell>
          <cell r="GQ79">
            <v>0</v>
          </cell>
          <cell r="GR79">
            <v>0</v>
          </cell>
          <cell r="GS79">
            <v>0</v>
          </cell>
          <cell r="GT79">
            <v>0</v>
          </cell>
          <cell r="GU79">
            <v>0</v>
          </cell>
          <cell r="GV79">
            <v>0</v>
          </cell>
          <cell r="GW79">
            <v>0</v>
          </cell>
          <cell r="GX79">
            <v>0</v>
          </cell>
        </row>
        <row r="80">
          <cell r="A80" t="str">
            <v>Total Capex</v>
          </cell>
          <cell r="B80" t="str">
            <v>A$m</v>
          </cell>
          <cell r="D80">
            <v>36.898000000000003</v>
          </cell>
          <cell r="E80">
            <v>25.981000000000002</v>
          </cell>
          <cell r="F80">
            <v>27.065000000000001</v>
          </cell>
          <cell r="G80">
            <v>87.662999999999997</v>
          </cell>
          <cell r="H80">
            <v>99.492000000000004</v>
          </cell>
          <cell r="I80">
            <v>170.8</v>
          </cell>
          <cell r="J80">
            <v>150</v>
          </cell>
          <cell r="K80">
            <v>141</v>
          </cell>
          <cell r="L80">
            <v>279.10000000000002</v>
          </cell>
          <cell r="M80">
            <v>662</v>
          </cell>
          <cell r="N80">
            <v>615</v>
          </cell>
          <cell r="O80">
            <v>750</v>
          </cell>
          <cell r="P80">
            <v>160</v>
          </cell>
          <cell r="Q80">
            <v>105</v>
          </cell>
          <cell r="R80">
            <v>295</v>
          </cell>
          <cell r="S80">
            <v>250</v>
          </cell>
          <cell r="T80">
            <v>60</v>
          </cell>
          <cell r="U80">
            <v>60</v>
          </cell>
          <cell r="V80">
            <v>60</v>
          </cell>
          <cell r="W80">
            <v>60</v>
          </cell>
          <cell r="X80">
            <v>60</v>
          </cell>
          <cell r="Y80">
            <v>60</v>
          </cell>
          <cell r="Z80">
            <v>60</v>
          </cell>
          <cell r="AA80">
            <v>60</v>
          </cell>
          <cell r="AB80">
            <v>60</v>
          </cell>
          <cell r="AC80">
            <v>60</v>
          </cell>
          <cell r="AD80">
            <v>20</v>
          </cell>
          <cell r="AE80">
            <v>20</v>
          </cell>
          <cell r="AF80">
            <v>20</v>
          </cell>
          <cell r="AG80">
            <v>20</v>
          </cell>
          <cell r="AH80">
            <v>20</v>
          </cell>
          <cell r="AI80">
            <v>20</v>
          </cell>
          <cell r="AJ80">
            <v>20</v>
          </cell>
          <cell r="AK80">
            <v>20</v>
          </cell>
          <cell r="AL80">
            <v>20</v>
          </cell>
          <cell r="AM80">
            <v>20</v>
          </cell>
          <cell r="AN80">
            <v>20</v>
          </cell>
          <cell r="AO80">
            <v>20</v>
          </cell>
          <cell r="AP80">
            <v>20</v>
          </cell>
          <cell r="AQ80">
            <v>20</v>
          </cell>
          <cell r="AR80">
            <v>20</v>
          </cell>
          <cell r="AS80">
            <v>20</v>
          </cell>
          <cell r="AT80">
            <v>20</v>
          </cell>
          <cell r="AU80">
            <v>20</v>
          </cell>
          <cell r="AV80">
            <v>20</v>
          </cell>
          <cell r="AW80">
            <v>20</v>
          </cell>
          <cell r="AX80">
            <v>20</v>
          </cell>
          <cell r="AY80">
            <v>20</v>
          </cell>
          <cell r="AZ80">
            <v>20</v>
          </cell>
          <cell r="BA80">
            <v>20</v>
          </cell>
          <cell r="BF80">
            <v>12.709</v>
          </cell>
          <cell r="BG80">
            <v>24.189000000000004</v>
          </cell>
          <cell r="BH80">
            <v>36.898000000000003</v>
          </cell>
          <cell r="BI80">
            <v>10.77</v>
          </cell>
          <cell r="BJ80">
            <v>15.211000000000002</v>
          </cell>
          <cell r="BK80">
            <v>25.981000000000002</v>
          </cell>
          <cell r="BL80">
            <v>16.079999999999998</v>
          </cell>
          <cell r="BM80">
            <v>10.985000000000003</v>
          </cell>
          <cell r="BN80">
            <v>27.065000000000001</v>
          </cell>
          <cell r="BO80">
            <v>32.799999999999997</v>
          </cell>
          <cell r="BP80">
            <v>54.863</v>
          </cell>
          <cell r="BQ80">
            <v>87.662999999999997</v>
          </cell>
          <cell r="BR80">
            <v>37.5</v>
          </cell>
          <cell r="BS80">
            <v>61.992000000000004</v>
          </cell>
          <cell r="BT80">
            <v>99.492000000000004</v>
          </cell>
          <cell r="BU80">
            <v>89.5</v>
          </cell>
          <cell r="BV80">
            <v>81.300000000000011</v>
          </cell>
          <cell r="BW80">
            <v>170.8</v>
          </cell>
          <cell r="BX80">
            <v>75</v>
          </cell>
          <cell r="BY80">
            <v>75</v>
          </cell>
          <cell r="BZ80">
            <v>150</v>
          </cell>
          <cell r="CA80">
            <v>52.5</v>
          </cell>
          <cell r="CB80">
            <v>88.5</v>
          </cell>
          <cell r="CC80">
            <v>141</v>
          </cell>
          <cell r="CD80">
            <v>78</v>
          </cell>
          <cell r="CE80">
            <v>279.10000000000002</v>
          </cell>
          <cell r="CF80">
            <v>201.10000000000002</v>
          </cell>
          <cell r="CG80">
            <v>410</v>
          </cell>
          <cell r="CH80">
            <v>662</v>
          </cell>
          <cell r="CI80">
            <v>400</v>
          </cell>
          <cell r="CJ80">
            <v>215</v>
          </cell>
          <cell r="CK80">
            <v>615</v>
          </cell>
          <cell r="CL80">
            <v>375</v>
          </cell>
          <cell r="CM80">
            <v>375</v>
          </cell>
          <cell r="CN80">
            <v>750</v>
          </cell>
          <cell r="CO80">
            <v>130</v>
          </cell>
          <cell r="CP80">
            <v>30</v>
          </cell>
          <cell r="CQ80">
            <v>160</v>
          </cell>
          <cell r="CR80">
            <v>30</v>
          </cell>
          <cell r="CS80">
            <v>75</v>
          </cell>
          <cell r="CT80">
            <v>105</v>
          </cell>
          <cell r="CU80">
            <v>75</v>
          </cell>
          <cell r="CV80">
            <v>220</v>
          </cell>
          <cell r="CW80">
            <v>295</v>
          </cell>
          <cell r="CX80">
            <v>220</v>
          </cell>
          <cell r="CY80">
            <v>30</v>
          </cell>
          <cell r="CZ80">
            <v>250</v>
          </cell>
          <cell r="DA80">
            <v>30</v>
          </cell>
          <cell r="DB80">
            <v>30</v>
          </cell>
          <cell r="DC80">
            <v>60</v>
          </cell>
          <cell r="DD80">
            <v>30</v>
          </cell>
          <cell r="DE80">
            <v>30</v>
          </cell>
          <cell r="DF80">
            <v>60</v>
          </cell>
          <cell r="DG80">
            <v>30</v>
          </cell>
          <cell r="DH80">
            <v>30</v>
          </cell>
          <cell r="DI80">
            <v>60</v>
          </cell>
          <cell r="DJ80">
            <v>30</v>
          </cell>
          <cell r="DK80">
            <v>30</v>
          </cell>
          <cell r="DL80">
            <v>60</v>
          </cell>
          <cell r="DM80">
            <v>30</v>
          </cell>
          <cell r="DN80">
            <v>30</v>
          </cell>
          <cell r="DO80">
            <v>60</v>
          </cell>
          <cell r="DP80">
            <v>30</v>
          </cell>
          <cell r="DQ80">
            <v>30</v>
          </cell>
          <cell r="DR80">
            <v>60</v>
          </cell>
          <cell r="DS80">
            <v>30</v>
          </cell>
          <cell r="DT80">
            <v>30</v>
          </cell>
          <cell r="DU80">
            <v>60</v>
          </cell>
          <cell r="DV80">
            <v>30</v>
          </cell>
          <cell r="DW80">
            <v>30</v>
          </cell>
          <cell r="DX80">
            <v>60</v>
          </cell>
          <cell r="DY80">
            <v>30</v>
          </cell>
          <cell r="DZ80">
            <v>30</v>
          </cell>
          <cell r="EA80">
            <v>60</v>
          </cell>
          <cell r="EB80">
            <v>30</v>
          </cell>
          <cell r="EC80">
            <v>30</v>
          </cell>
          <cell r="ED80">
            <v>60</v>
          </cell>
          <cell r="EE80">
            <v>10</v>
          </cell>
          <cell r="EF80">
            <v>10</v>
          </cell>
          <cell r="EG80">
            <v>20</v>
          </cell>
          <cell r="EH80">
            <v>10</v>
          </cell>
          <cell r="EI80">
            <v>10</v>
          </cell>
          <cell r="EJ80">
            <v>20</v>
          </cell>
          <cell r="EK80">
            <v>10</v>
          </cell>
          <cell r="EL80">
            <v>10</v>
          </cell>
          <cell r="EM80">
            <v>20</v>
          </cell>
          <cell r="EN80">
            <v>10</v>
          </cell>
          <cell r="EO80">
            <v>10</v>
          </cell>
          <cell r="EP80">
            <v>20</v>
          </cell>
          <cell r="EQ80">
            <v>10</v>
          </cell>
          <cell r="ER80">
            <v>10</v>
          </cell>
          <cell r="ES80">
            <v>20</v>
          </cell>
          <cell r="ET80">
            <v>10</v>
          </cell>
          <cell r="EU80">
            <v>10</v>
          </cell>
          <cell r="EV80">
            <v>20</v>
          </cell>
          <cell r="EW80">
            <v>10</v>
          </cell>
          <cell r="EX80">
            <v>10</v>
          </cell>
          <cell r="EY80">
            <v>20</v>
          </cell>
          <cell r="EZ80">
            <v>10</v>
          </cell>
          <cell r="FA80">
            <v>10</v>
          </cell>
          <cell r="FB80">
            <v>20</v>
          </cell>
          <cell r="FC80">
            <v>10</v>
          </cell>
          <cell r="FD80">
            <v>10</v>
          </cell>
          <cell r="FE80">
            <v>20</v>
          </cell>
          <cell r="FF80">
            <v>10</v>
          </cell>
          <cell r="FG80">
            <v>10</v>
          </cell>
          <cell r="FH80">
            <v>20</v>
          </cell>
          <cell r="FI80">
            <v>10</v>
          </cell>
          <cell r="FJ80">
            <v>10</v>
          </cell>
          <cell r="FK80">
            <v>20</v>
          </cell>
          <cell r="FL80">
            <v>10</v>
          </cell>
          <cell r="FM80">
            <v>10</v>
          </cell>
          <cell r="FN80">
            <v>20</v>
          </cell>
          <cell r="FO80">
            <v>10</v>
          </cell>
          <cell r="FP80">
            <v>10</v>
          </cell>
          <cell r="FQ80">
            <v>20</v>
          </cell>
          <cell r="FR80">
            <v>10</v>
          </cell>
          <cell r="FS80">
            <v>10</v>
          </cell>
          <cell r="FT80">
            <v>20</v>
          </cell>
          <cell r="FU80">
            <v>10</v>
          </cell>
          <cell r="FV80">
            <v>10</v>
          </cell>
          <cell r="FW80">
            <v>20</v>
          </cell>
          <cell r="FX80">
            <v>10</v>
          </cell>
          <cell r="FY80">
            <v>10</v>
          </cell>
          <cell r="FZ80">
            <v>20</v>
          </cell>
          <cell r="GA80">
            <v>10</v>
          </cell>
          <cell r="GB80">
            <v>10</v>
          </cell>
          <cell r="GC80">
            <v>20</v>
          </cell>
          <cell r="GD80">
            <v>10</v>
          </cell>
          <cell r="GE80">
            <v>10</v>
          </cell>
          <cell r="GF80">
            <v>20</v>
          </cell>
          <cell r="GG80">
            <v>10</v>
          </cell>
          <cell r="GH80">
            <v>10</v>
          </cell>
          <cell r="GI80">
            <v>20</v>
          </cell>
          <cell r="GJ80">
            <v>10</v>
          </cell>
          <cell r="GK80">
            <v>10</v>
          </cell>
          <cell r="GL80">
            <v>20</v>
          </cell>
          <cell r="GM80">
            <v>10</v>
          </cell>
          <cell r="GN80">
            <v>10</v>
          </cell>
          <cell r="GO80">
            <v>20</v>
          </cell>
          <cell r="GP80">
            <v>10</v>
          </cell>
          <cell r="GQ80">
            <v>10</v>
          </cell>
          <cell r="GR80">
            <v>20</v>
          </cell>
          <cell r="GS80">
            <v>10</v>
          </cell>
          <cell r="GT80">
            <v>10</v>
          </cell>
          <cell r="GU80">
            <v>20</v>
          </cell>
          <cell r="GV80">
            <v>10</v>
          </cell>
          <cell r="GW80">
            <v>10</v>
          </cell>
          <cell r="GX80">
            <v>20</v>
          </cell>
        </row>
        <row r="82">
          <cell r="A82" t="str">
            <v>FINANCIALS</v>
          </cell>
          <cell r="B82" t="str">
            <v>.</v>
          </cell>
          <cell r="C82" t="str">
            <v>.</v>
          </cell>
          <cell r="D82" t="str">
            <v>.</v>
          </cell>
          <cell r="E82" t="str">
            <v>.</v>
          </cell>
          <cell r="F82" t="str">
            <v>.</v>
          </cell>
          <cell r="G82" t="str">
            <v>.</v>
          </cell>
          <cell r="H82" t="str">
            <v>.</v>
          </cell>
          <cell r="I82" t="str">
            <v>.</v>
          </cell>
          <cell r="J82" t="str">
            <v>.</v>
          </cell>
          <cell r="K82" t="str">
            <v>.</v>
          </cell>
          <cell r="L82" t="str">
            <v>.</v>
          </cell>
          <cell r="M82" t="str">
            <v>.</v>
          </cell>
          <cell r="N82" t="str">
            <v>.</v>
          </cell>
          <cell r="O82" t="str">
            <v>.</v>
          </cell>
          <cell r="P82" t="str">
            <v>.</v>
          </cell>
          <cell r="Q82" t="str">
            <v>.</v>
          </cell>
          <cell r="R82" t="str">
            <v>.</v>
          </cell>
          <cell r="S82" t="str">
            <v>.</v>
          </cell>
          <cell r="T82" t="str">
            <v>.</v>
          </cell>
          <cell r="U82" t="str">
            <v>.</v>
          </cell>
          <cell r="V82" t="str">
            <v>.</v>
          </cell>
          <cell r="W82" t="str">
            <v>.</v>
          </cell>
          <cell r="X82" t="str">
            <v>.</v>
          </cell>
          <cell r="Y82" t="str">
            <v>.</v>
          </cell>
          <cell r="Z82" t="str">
            <v>.</v>
          </cell>
          <cell r="AA82" t="str">
            <v>.</v>
          </cell>
          <cell r="AB82" t="str">
            <v>.</v>
          </cell>
          <cell r="AC82" t="str">
            <v>.</v>
          </cell>
          <cell r="AD82" t="str">
            <v>.</v>
          </cell>
          <cell r="AE82" t="str">
            <v>.</v>
          </cell>
          <cell r="AF82" t="str">
            <v>.</v>
          </cell>
          <cell r="AG82" t="str">
            <v>.</v>
          </cell>
          <cell r="AH82" t="str">
            <v>.</v>
          </cell>
          <cell r="AI82" t="str">
            <v>.</v>
          </cell>
          <cell r="AJ82" t="str">
            <v>.</v>
          </cell>
          <cell r="AK82" t="str">
            <v>.</v>
          </cell>
          <cell r="AL82" t="str">
            <v>.</v>
          </cell>
          <cell r="AM82" t="str">
            <v>.</v>
          </cell>
          <cell r="AN82" t="str">
            <v>.</v>
          </cell>
          <cell r="AO82" t="str">
            <v>.</v>
          </cell>
          <cell r="AP82" t="str">
            <v>.</v>
          </cell>
          <cell r="AQ82" t="str">
            <v>.</v>
          </cell>
          <cell r="AR82" t="str">
            <v>.</v>
          </cell>
          <cell r="AS82" t="str">
            <v>.</v>
          </cell>
          <cell r="AT82" t="str">
            <v>.</v>
          </cell>
          <cell r="AU82" t="str">
            <v>.</v>
          </cell>
          <cell r="AV82" t="str">
            <v>.</v>
          </cell>
          <cell r="AW82" t="str">
            <v>.</v>
          </cell>
          <cell r="AX82" t="str">
            <v>.</v>
          </cell>
          <cell r="AY82" t="str">
            <v>.</v>
          </cell>
          <cell r="AZ82" t="str">
            <v>.</v>
          </cell>
          <cell r="BA82" t="str">
            <v>.</v>
          </cell>
          <cell r="BB82" t="str">
            <v>.</v>
          </cell>
          <cell r="BC82" t="str">
            <v>.</v>
          </cell>
          <cell r="BD82" t="str">
            <v>.</v>
          </cell>
          <cell r="BE82" t="str">
            <v>.</v>
          </cell>
          <cell r="BF82" t="str">
            <v>.</v>
          </cell>
          <cell r="BG82" t="str">
            <v>.</v>
          </cell>
          <cell r="BH82" t="str">
            <v>.</v>
          </cell>
          <cell r="BI82" t="str">
            <v>.</v>
          </cell>
          <cell r="BJ82" t="str">
            <v>.</v>
          </cell>
          <cell r="BK82" t="str">
            <v>.</v>
          </cell>
          <cell r="BL82" t="str">
            <v>.</v>
          </cell>
          <cell r="BM82" t="str">
            <v>.</v>
          </cell>
          <cell r="BN82" t="str">
            <v>.</v>
          </cell>
          <cell r="BO82" t="str">
            <v>.</v>
          </cell>
          <cell r="BP82" t="str">
            <v>.</v>
          </cell>
          <cell r="BQ82" t="str">
            <v>.</v>
          </cell>
          <cell r="BR82" t="str">
            <v>.</v>
          </cell>
          <cell r="BS82" t="str">
            <v>.</v>
          </cell>
          <cell r="BT82" t="str">
            <v>.</v>
          </cell>
          <cell r="BU82" t="str">
            <v>.</v>
          </cell>
          <cell r="BV82" t="str">
            <v>.</v>
          </cell>
          <cell r="BW82" t="str">
            <v>.</v>
          </cell>
          <cell r="BX82" t="str">
            <v>.</v>
          </cell>
          <cell r="BY82" t="str">
            <v>.</v>
          </cell>
          <cell r="BZ82" t="str">
            <v>.</v>
          </cell>
          <cell r="CA82" t="str">
            <v>.</v>
          </cell>
          <cell r="CB82" t="str">
            <v>.</v>
          </cell>
          <cell r="CC82" t="str">
            <v>.</v>
          </cell>
          <cell r="CD82" t="str">
            <v>.</v>
          </cell>
          <cell r="CE82" t="str">
            <v>.</v>
          </cell>
          <cell r="CF82" t="str">
            <v>.</v>
          </cell>
          <cell r="CG82" t="str">
            <v>.</v>
          </cell>
          <cell r="CH82" t="str">
            <v>.</v>
          </cell>
          <cell r="CI82" t="str">
            <v>.</v>
          </cell>
          <cell r="CJ82" t="str">
            <v>.</v>
          </cell>
          <cell r="CK82" t="str">
            <v>.</v>
          </cell>
          <cell r="CL82" t="str">
            <v>.</v>
          </cell>
          <cell r="CM82" t="str">
            <v>.</v>
          </cell>
          <cell r="CN82" t="str">
            <v>.</v>
          </cell>
          <cell r="CO82" t="str">
            <v>.</v>
          </cell>
          <cell r="CP82" t="str">
            <v>.</v>
          </cell>
          <cell r="CQ82" t="str">
            <v>.</v>
          </cell>
          <cell r="CR82" t="str">
            <v>.</v>
          </cell>
          <cell r="CS82" t="str">
            <v>.</v>
          </cell>
          <cell r="CT82" t="str">
            <v>.</v>
          </cell>
          <cell r="CU82" t="str">
            <v>.</v>
          </cell>
          <cell r="CV82" t="str">
            <v>.</v>
          </cell>
          <cell r="CW82" t="str">
            <v>.</v>
          </cell>
          <cell r="CX82" t="str">
            <v>.</v>
          </cell>
          <cell r="CY82" t="str">
            <v>.</v>
          </cell>
          <cell r="CZ82" t="str">
            <v>.</v>
          </cell>
          <cell r="DA82" t="str">
            <v>.</v>
          </cell>
          <cell r="DB82" t="str">
            <v>.</v>
          </cell>
          <cell r="DC82" t="str">
            <v>.</v>
          </cell>
          <cell r="DD82" t="str">
            <v>.</v>
          </cell>
          <cell r="DE82" t="str">
            <v>.</v>
          </cell>
          <cell r="DF82" t="str">
            <v>.</v>
          </cell>
          <cell r="DG82" t="str">
            <v>.</v>
          </cell>
          <cell r="DH82" t="str">
            <v>.</v>
          </cell>
          <cell r="DI82" t="str">
            <v>.</v>
          </cell>
          <cell r="DJ82" t="str">
            <v>.</v>
          </cell>
          <cell r="DK82" t="str">
            <v>.</v>
          </cell>
          <cell r="DL82" t="str">
            <v>.</v>
          </cell>
          <cell r="DM82" t="str">
            <v>.</v>
          </cell>
          <cell r="DN82" t="str">
            <v>.</v>
          </cell>
          <cell r="DO82" t="str">
            <v>.</v>
          </cell>
          <cell r="DP82" t="str">
            <v>.</v>
          </cell>
          <cell r="DQ82" t="str">
            <v>.</v>
          </cell>
          <cell r="DR82" t="str">
            <v>.</v>
          </cell>
          <cell r="DS82" t="str">
            <v>.</v>
          </cell>
          <cell r="DT82" t="str">
            <v>.</v>
          </cell>
          <cell r="DU82" t="str">
            <v>.</v>
          </cell>
          <cell r="DV82" t="str">
            <v>.</v>
          </cell>
          <cell r="DW82" t="str">
            <v>.</v>
          </cell>
          <cell r="DX82" t="str">
            <v>.</v>
          </cell>
          <cell r="DY82" t="str">
            <v>.</v>
          </cell>
          <cell r="DZ82" t="str">
            <v>.</v>
          </cell>
          <cell r="EA82" t="str">
            <v>.</v>
          </cell>
          <cell r="EB82" t="str">
            <v>.</v>
          </cell>
          <cell r="EC82" t="str">
            <v>.</v>
          </cell>
          <cell r="ED82" t="str">
            <v>.</v>
          </cell>
          <cell r="EE82" t="str">
            <v>.</v>
          </cell>
          <cell r="EF82" t="str">
            <v>.</v>
          </cell>
          <cell r="EG82" t="str">
            <v>.</v>
          </cell>
          <cell r="EH82" t="str">
            <v>.</v>
          </cell>
          <cell r="EI82" t="str">
            <v>.</v>
          </cell>
          <cell r="EJ82" t="str">
            <v>.</v>
          </cell>
          <cell r="EK82" t="str">
            <v>.</v>
          </cell>
          <cell r="EL82" t="str">
            <v>.</v>
          </cell>
          <cell r="EM82" t="str">
            <v>.</v>
          </cell>
          <cell r="EN82" t="str">
            <v>.</v>
          </cell>
          <cell r="EO82" t="str">
            <v>.</v>
          </cell>
          <cell r="EP82" t="str">
            <v>.</v>
          </cell>
          <cell r="EQ82" t="str">
            <v>.</v>
          </cell>
          <cell r="ER82" t="str">
            <v>.</v>
          </cell>
          <cell r="ES82" t="str">
            <v>.</v>
          </cell>
          <cell r="ET82" t="str">
            <v>.</v>
          </cell>
          <cell r="EU82" t="str">
            <v>.</v>
          </cell>
          <cell r="EV82" t="str">
            <v>.</v>
          </cell>
          <cell r="EW82" t="str">
            <v>.</v>
          </cell>
          <cell r="EX82" t="str">
            <v>.</v>
          </cell>
          <cell r="EY82" t="str">
            <v>.</v>
          </cell>
          <cell r="EZ82" t="str">
            <v>.</v>
          </cell>
          <cell r="FA82" t="str">
            <v>.</v>
          </cell>
          <cell r="FB82" t="str">
            <v>.</v>
          </cell>
          <cell r="FC82" t="str">
            <v>.</v>
          </cell>
          <cell r="FD82" t="str">
            <v>.</v>
          </cell>
          <cell r="FE82" t="str">
            <v>.</v>
          </cell>
          <cell r="FF82" t="str">
            <v>.</v>
          </cell>
          <cell r="FG82" t="str">
            <v>.</v>
          </cell>
          <cell r="FH82" t="str">
            <v>.</v>
          </cell>
          <cell r="FI82" t="str">
            <v>.</v>
          </cell>
          <cell r="FJ82" t="str">
            <v>.</v>
          </cell>
          <cell r="FK82" t="str">
            <v>.</v>
          </cell>
          <cell r="FL82" t="str">
            <v>.</v>
          </cell>
          <cell r="FM82" t="str">
            <v>.</v>
          </cell>
          <cell r="FN82" t="str">
            <v>.</v>
          </cell>
          <cell r="FO82" t="str">
            <v>.</v>
          </cell>
          <cell r="FP82" t="str">
            <v>.</v>
          </cell>
          <cell r="FQ82" t="str">
            <v>.</v>
          </cell>
          <cell r="FR82" t="str">
            <v>.</v>
          </cell>
          <cell r="FS82" t="str">
            <v>.</v>
          </cell>
          <cell r="FT82" t="str">
            <v>.</v>
          </cell>
          <cell r="FU82" t="str">
            <v>.</v>
          </cell>
          <cell r="FV82" t="str">
            <v>.</v>
          </cell>
          <cell r="FW82" t="str">
            <v>.</v>
          </cell>
          <cell r="FX82" t="str">
            <v>.</v>
          </cell>
          <cell r="FY82" t="str">
            <v>.</v>
          </cell>
          <cell r="FZ82" t="str">
            <v>.</v>
          </cell>
          <cell r="GA82" t="str">
            <v>.</v>
          </cell>
          <cell r="GB82" t="str">
            <v>.</v>
          </cell>
          <cell r="GC82" t="str">
            <v>.</v>
          </cell>
          <cell r="GD82" t="str">
            <v>.</v>
          </cell>
          <cell r="GE82" t="str">
            <v>.</v>
          </cell>
          <cell r="GF82" t="str">
            <v>.</v>
          </cell>
          <cell r="GG82" t="str">
            <v>.</v>
          </cell>
          <cell r="GH82" t="str">
            <v>.</v>
          </cell>
          <cell r="GI82" t="str">
            <v>.</v>
          </cell>
          <cell r="GJ82" t="str">
            <v>.</v>
          </cell>
          <cell r="GK82" t="str">
            <v>.</v>
          </cell>
          <cell r="GL82" t="str">
            <v>.</v>
          </cell>
          <cell r="GM82" t="str">
            <v>.</v>
          </cell>
          <cell r="GN82" t="str">
            <v>.</v>
          </cell>
          <cell r="GO82" t="str">
            <v>.</v>
          </cell>
          <cell r="GP82" t="str">
            <v>.</v>
          </cell>
          <cell r="GQ82" t="str">
            <v>.</v>
          </cell>
          <cell r="GR82" t="str">
            <v>.</v>
          </cell>
          <cell r="GS82" t="str">
            <v>.</v>
          </cell>
          <cell r="GT82" t="str">
            <v>.</v>
          </cell>
          <cell r="GU82" t="str">
            <v>.</v>
          </cell>
          <cell r="GV82" t="str">
            <v>.</v>
          </cell>
          <cell r="GW82" t="str">
            <v>.</v>
          </cell>
          <cell r="GX82" t="str">
            <v>.</v>
          </cell>
        </row>
        <row r="83">
          <cell r="A83" t="str">
            <v>Sales Revenue</v>
          </cell>
          <cell r="B83" t="str">
            <v>A$m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1092.318149808274</v>
          </cell>
          <cell r="O83">
            <v>1471.3438001448326</v>
          </cell>
          <cell r="P83">
            <v>1913.6622321861098</v>
          </cell>
          <cell r="Q83">
            <v>2014.484183793365</v>
          </cell>
          <cell r="R83">
            <v>2254.9362400275645</v>
          </cell>
          <cell r="S83">
            <v>2195.4680133631655</v>
          </cell>
          <cell r="T83">
            <v>1741.8406332586419</v>
          </cell>
          <cell r="U83">
            <v>1363.9190467183655</v>
          </cell>
          <cell r="V83">
            <v>1363.9190467183655</v>
          </cell>
          <cell r="W83">
            <v>1363.9190467183655</v>
          </cell>
          <cell r="X83">
            <v>1363.9190467183655</v>
          </cell>
          <cell r="Y83">
            <v>1363.9190467183655</v>
          </cell>
          <cell r="Z83">
            <v>1363.9190467183655</v>
          </cell>
          <cell r="AA83">
            <v>1363.9190467183655</v>
          </cell>
          <cell r="AB83">
            <v>1363.9190467183655</v>
          </cell>
          <cell r="AC83">
            <v>1363.9190467183655</v>
          </cell>
          <cell r="AD83">
            <v>1363.9190467183655</v>
          </cell>
          <cell r="AE83">
            <v>1363.9190467183655</v>
          </cell>
          <cell r="AF83">
            <v>1363.9190467183655</v>
          </cell>
          <cell r="AG83">
            <v>1363.9190467183655</v>
          </cell>
          <cell r="AH83">
            <v>1363.9190467183655</v>
          </cell>
          <cell r="AI83">
            <v>1363.9190467183655</v>
          </cell>
          <cell r="AJ83">
            <v>1363.9190467183655</v>
          </cell>
          <cell r="AK83">
            <v>1363.9190467183655</v>
          </cell>
          <cell r="AL83">
            <v>1363.9190467183655</v>
          </cell>
          <cell r="AM83">
            <v>1363.9190467183655</v>
          </cell>
          <cell r="AN83">
            <v>1363.9190467183655</v>
          </cell>
          <cell r="AO83">
            <v>1363.9190467183655</v>
          </cell>
          <cell r="AP83">
            <v>1363.9190467183655</v>
          </cell>
          <cell r="AQ83">
            <v>1363.9190467183655</v>
          </cell>
          <cell r="AR83">
            <v>1363.9190467183655</v>
          </cell>
          <cell r="AS83">
            <v>681.95952335918275</v>
          </cell>
          <cell r="AT83">
            <v>681.95952335918275</v>
          </cell>
          <cell r="AU83">
            <v>681.95952335918275</v>
          </cell>
          <cell r="AV83">
            <v>681.95952335918275</v>
          </cell>
          <cell r="AW83">
            <v>681.95952335918275</v>
          </cell>
          <cell r="AX83">
            <v>681.95952335918275</v>
          </cell>
          <cell r="AY83">
            <v>681.95952335918275</v>
          </cell>
          <cell r="AZ83">
            <v>681.95952335918275</v>
          </cell>
          <cell r="BA83">
            <v>681.95952335918275</v>
          </cell>
          <cell r="CI83">
            <v>585.13666855253325</v>
          </cell>
          <cell r="CJ83">
            <v>507.18148125574083</v>
          </cell>
          <cell r="CK83">
            <v>1092.318149808274</v>
          </cell>
          <cell r="CL83">
            <v>632.1700210745156</v>
          </cell>
          <cell r="CM83">
            <v>839.17377907031687</v>
          </cell>
          <cell r="CN83">
            <v>1471.3438001448326</v>
          </cell>
          <cell r="CO83">
            <v>970.47208357142108</v>
          </cell>
          <cell r="CP83">
            <v>943.19014861468872</v>
          </cell>
          <cell r="CQ83">
            <v>1913.6622321861098</v>
          </cell>
          <cell r="CR83">
            <v>1047.2963976686565</v>
          </cell>
          <cell r="CS83">
            <v>967.18778612470851</v>
          </cell>
          <cell r="CT83">
            <v>2014.484183793365</v>
          </cell>
          <cell r="CU83">
            <v>1119.3493365638581</v>
          </cell>
          <cell r="CV83">
            <v>1135.5869034637064</v>
          </cell>
          <cell r="CW83">
            <v>2254.9362400275645</v>
          </cell>
          <cell r="CX83">
            <v>1135.5869034637064</v>
          </cell>
          <cell r="CY83">
            <v>1059.8811098994593</v>
          </cell>
          <cell r="CZ83">
            <v>2195.4680133631655</v>
          </cell>
          <cell r="DA83">
            <v>1059.8811098994593</v>
          </cell>
          <cell r="DB83">
            <v>681.95952335918275</v>
          </cell>
          <cell r="DC83">
            <v>1741.8406332586419</v>
          </cell>
          <cell r="DD83">
            <v>681.95952335918275</v>
          </cell>
          <cell r="DE83">
            <v>681.95952335918275</v>
          </cell>
          <cell r="DF83">
            <v>1363.9190467183655</v>
          </cell>
          <cell r="DG83">
            <v>681.95952335918275</v>
          </cell>
          <cell r="DH83">
            <v>681.95952335918275</v>
          </cell>
          <cell r="DI83">
            <v>1363.9190467183655</v>
          </cell>
          <cell r="DJ83">
            <v>681.95952335918275</v>
          </cell>
          <cell r="DK83">
            <v>681.95952335918275</v>
          </cell>
          <cell r="DL83">
            <v>1363.9190467183655</v>
          </cell>
          <cell r="DM83">
            <v>681.95952335918275</v>
          </cell>
          <cell r="DN83">
            <v>681.95952335918275</v>
          </cell>
          <cell r="DO83">
            <v>1363.9190467183655</v>
          </cell>
          <cell r="DP83">
            <v>681.95952335918275</v>
          </cell>
          <cell r="DQ83">
            <v>681.95952335918275</v>
          </cell>
          <cell r="DR83">
            <v>1363.9190467183655</v>
          </cell>
          <cell r="DS83">
            <v>681.95952335918275</v>
          </cell>
          <cell r="DT83">
            <v>681.95952335918275</v>
          </cell>
          <cell r="DU83">
            <v>1363.9190467183655</v>
          </cell>
          <cell r="DV83">
            <v>681.95952335918275</v>
          </cell>
          <cell r="DW83">
            <v>681.95952335918275</v>
          </cell>
          <cell r="DX83">
            <v>1363.9190467183655</v>
          </cell>
          <cell r="DY83">
            <v>681.95952335918275</v>
          </cell>
          <cell r="DZ83">
            <v>681.95952335918275</v>
          </cell>
          <cell r="EA83">
            <v>1363.9190467183655</v>
          </cell>
          <cell r="EB83">
            <v>681.95952335918275</v>
          </cell>
          <cell r="EC83">
            <v>681.95952335918275</v>
          </cell>
          <cell r="ED83">
            <v>1363.9190467183655</v>
          </cell>
          <cell r="EE83">
            <v>681.95952335918275</v>
          </cell>
          <cell r="EF83">
            <v>681.95952335918275</v>
          </cell>
          <cell r="EG83">
            <v>1363.9190467183655</v>
          </cell>
          <cell r="EH83">
            <v>681.95952335918275</v>
          </cell>
          <cell r="EI83">
            <v>681.95952335918275</v>
          </cell>
          <cell r="EJ83">
            <v>1363.9190467183655</v>
          </cell>
          <cell r="EK83">
            <v>681.95952335918275</v>
          </cell>
          <cell r="EL83">
            <v>681.95952335918275</v>
          </cell>
          <cell r="EM83">
            <v>1363.9190467183655</v>
          </cell>
          <cell r="EN83">
            <v>681.95952335918275</v>
          </cell>
          <cell r="EO83">
            <v>681.95952335918275</v>
          </cell>
          <cell r="EP83">
            <v>1363.9190467183655</v>
          </cell>
          <cell r="EQ83">
            <v>681.95952335918275</v>
          </cell>
          <cell r="ER83">
            <v>681.95952335918275</v>
          </cell>
          <cell r="ES83">
            <v>1363.9190467183655</v>
          </cell>
          <cell r="ET83">
            <v>681.95952335918275</v>
          </cell>
          <cell r="EU83">
            <v>681.95952335918275</v>
          </cell>
          <cell r="EV83">
            <v>1363.9190467183655</v>
          </cell>
          <cell r="EW83">
            <v>681.95952335918275</v>
          </cell>
          <cell r="EX83">
            <v>681.95952335918275</v>
          </cell>
          <cell r="EY83">
            <v>1363.9190467183655</v>
          </cell>
          <cell r="EZ83">
            <v>681.95952335918275</v>
          </cell>
          <cell r="FA83">
            <v>681.95952335918275</v>
          </cell>
          <cell r="FB83">
            <v>1363.9190467183655</v>
          </cell>
          <cell r="FC83">
            <v>681.95952335918275</v>
          </cell>
          <cell r="FD83">
            <v>681.95952335918275</v>
          </cell>
          <cell r="FE83">
            <v>1363.9190467183655</v>
          </cell>
          <cell r="FF83">
            <v>681.95952335918275</v>
          </cell>
          <cell r="FG83">
            <v>681.95952335918275</v>
          </cell>
          <cell r="FH83">
            <v>1363.9190467183655</v>
          </cell>
          <cell r="FI83">
            <v>681.95952335918275</v>
          </cell>
          <cell r="FJ83">
            <v>681.95952335918275</v>
          </cell>
          <cell r="FK83">
            <v>1363.9190467183655</v>
          </cell>
          <cell r="FL83">
            <v>681.95952335918275</v>
          </cell>
          <cell r="FM83">
            <v>681.95952335918275</v>
          </cell>
          <cell r="FN83">
            <v>1363.9190467183655</v>
          </cell>
          <cell r="FO83">
            <v>681.95952335918275</v>
          </cell>
          <cell r="FP83">
            <v>681.95952335918275</v>
          </cell>
          <cell r="FQ83">
            <v>1363.9190467183655</v>
          </cell>
          <cell r="FR83">
            <v>681.95952335918275</v>
          </cell>
          <cell r="FS83">
            <v>681.95952335918275</v>
          </cell>
          <cell r="FT83">
            <v>1363.9190467183655</v>
          </cell>
          <cell r="FU83">
            <v>681.95952335918275</v>
          </cell>
          <cell r="FV83">
            <v>681.95952335918275</v>
          </cell>
          <cell r="FW83">
            <v>1363.9190467183655</v>
          </cell>
          <cell r="FX83">
            <v>340.97976167959138</v>
          </cell>
          <cell r="FY83">
            <v>340.97976167959138</v>
          </cell>
          <cell r="FZ83">
            <v>681.95952335918275</v>
          </cell>
          <cell r="GA83">
            <v>340.97976167959138</v>
          </cell>
          <cell r="GB83">
            <v>340.97976167959138</v>
          </cell>
          <cell r="GC83">
            <v>681.95952335918275</v>
          </cell>
          <cell r="GD83">
            <v>340.97976167959138</v>
          </cell>
          <cell r="GE83">
            <v>340.97976167959138</v>
          </cell>
          <cell r="GF83">
            <v>681.95952335918275</v>
          </cell>
          <cell r="GG83">
            <v>340.97976167959138</v>
          </cell>
          <cell r="GH83">
            <v>340.97976167959138</v>
          </cell>
          <cell r="GI83">
            <v>681.95952335918275</v>
          </cell>
          <cell r="GJ83">
            <v>340.97976167959138</v>
          </cell>
          <cell r="GK83">
            <v>340.97976167959138</v>
          </cell>
          <cell r="GL83">
            <v>681.95952335918275</v>
          </cell>
          <cell r="GM83">
            <v>340.97976167959138</v>
          </cell>
          <cell r="GN83">
            <v>340.97976167959138</v>
          </cell>
          <cell r="GO83">
            <v>681.95952335918275</v>
          </cell>
          <cell r="GP83">
            <v>340.97976167959138</v>
          </cell>
          <cell r="GQ83">
            <v>340.97976167959138</v>
          </cell>
          <cell r="GR83">
            <v>681.95952335918275</v>
          </cell>
          <cell r="GS83">
            <v>340.97976167959138</v>
          </cell>
          <cell r="GT83">
            <v>340.97976167959138</v>
          </cell>
          <cell r="GU83">
            <v>681.95952335918275</v>
          </cell>
          <cell r="GV83">
            <v>340.97976167959138</v>
          </cell>
          <cell r="GW83">
            <v>340.97976167959138</v>
          </cell>
          <cell r="GX83">
            <v>681.95952335918275</v>
          </cell>
        </row>
        <row r="84">
          <cell r="A84" t="str">
            <v>Cost of operations</v>
          </cell>
          <cell r="B84" t="str">
            <v>A$m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332.20907999999997</v>
          </cell>
          <cell r="O84">
            <v>538.79687376507059</v>
          </cell>
          <cell r="P84">
            <v>539.06434533696643</v>
          </cell>
          <cell r="Q84">
            <v>540.78203674838039</v>
          </cell>
          <cell r="R84">
            <v>464.71293030148729</v>
          </cell>
          <cell r="S84">
            <v>465.22080876632413</v>
          </cell>
          <cell r="T84">
            <v>471.15577010514539</v>
          </cell>
          <cell r="U84">
            <v>476.45342369767673</v>
          </cell>
          <cell r="V84">
            <v>476.45342369767673</v>
          </cell>
          <cell r="W84">
            <v>494.88429186487929</v>
          </cell>
          <cell r="X84">
            <v>533.31516003208185</v>
          </cell>
          <cell r="Y84">
            <v>533.31516003208185</v>
          </cell>
          <cell r="Z84">
            <v>533.31516003208185</v>
          </cell>
          <cell r="AA84">
            <v>533.31516003208185</v>
          </cell>
          <cell r="AB84">
            <v>533.31516003208185</v>
          </cell>
          <cell r="AC84">
            <v>533.31516003208185</v>
          </cell>
          <cell r="AD84">
            <v>533.31516003208185</v>
          </cell>
          <cell r="AE84">
            <v>533.31516003208185</v>
          </cell>
          <cell r="AF84">
            <v>533.31516003208185</v>
          </cell>
          <cell r="AG84">
            <v>533.31516003208185</v>
          </cell>
          <cell r="AH84">
            <v>533.31516003208185</v>
          </cell>
          <cell r="AI84">
            <v>533.31516003208185</v>
          </cell>
          <cell r="AJ84">
            <v>533.31516003208185</v>
          </cell>
          <cell r="AK84">
            <v>533.31516003208185</v>
          </cell>
          <cell r="AL84">
            <v>533.31516003208185</v>
          </cell>
          <cell r="AM84">
            <v>533.31516003208185</v>
          </cell>
          <cell r="AN84">
            <v>533.31516003208185</v>
          </cell>
          <cell r="AO84">
            <v>533.31516003208185</v>
          </cell>
          <cell r="AP84">
            <v>533.31516003208185</v>
          </cell>
          <cell r="AQ84">
            <v>533.31516003208185</v>
          </cell>
          <cell r="AR84">
            <v>533.31516003208185</v>
          </cell>
          <cell r="AS84">
            <v>421.51484980292184</v>
          </cell>
          <cell r="AT84">
            <v>421.51484980292184</v>
          </cell>
          <cell r="AU84">
            <v>421.51484980292184</v>
          </cell>
          <cell r="AV84">
            <v>421.51484980292184</v>
          </cell>
          <cell r="AW84">
            <v>421.51484980292184</v>
          </cell>
          <cell r="AX84">
            <v>421.51484980292184</v>
          </cell>
          <cell r="AY84">
            <v>421.51484980292184</v>
          </cell>
          <cell r="AZ84">
            <v>421.51484980292184</v>
          </cell>
          <cell r="BA84">
            <v>421.51484980292184</v>
          </cell>
          <cell r="CI84">
            <v>178.746464</v>
          </cell>
          <cell r="CJ84">
            <v>153.462616</v>
          </cell>
          <cell r="CK84">
            <v>332.20907999999997</v>
          </cell>
          <cell r="CL84">
            <v>270.42179598190586</v>
          </cell>
          <cell r="CM84">
            <v>268.37507778316467</v>
          </cell>
          <cell r="CN84">
            <v>538.79687376507059</v>
          </cell>
          <cell r="CO84">
            <v>269.18048621068891</v>
          </cell>
          <cell r="CP84">
            <v>269.88385912627746</v>
          </cell>
          <cell r="CQ84">
            <v>539.06434533696643</v>
          </cell>
          <cell r="CR84">
            <v>270.04044860975125</v>
          </cell>
          <cell r="CS84">
            <v>270.74158813862914</v>
          </cell>
          <cell r="CT84">
            <v>540.78203674838039</v>
          </cell>
          <cell r="CU84">
            <v>232.42117979147017</v>
          </cell>
          <cell r="CV84">
            <v>232.2917505100171</v>
          </cell>
          <cell r="CW84">
            <v>464.71293030148729</v>
          </cell>
          <cell r="CX84">
            <v>232.2917505100171</v>
          </cell>
          <cell r="CY84">
            <v>232.92905825630706</v>
          </cell>
          <cell r="CZ84">
            <v>465.22080876632413</v>
          </cell>
          <cell r="DA84">
            <v>232.92905825630706</v>
          </cell>
          <cell r="DB84">
            <v>238.22671184883836</v>
          </cell>
          <cell r="DC84">
            <v>471.15577010514539</v>
          </cell>
          <cell r="DD84">
            <v>238.22671184883836</v>
          </cell>
          <cell r="DE84">
            <v>238.22671184883836</v>
          </cell>
          <cell r="DF84">
            <v>476.45342369767673</v>
          </cell>
          <cell r="DG84">
            <v>238.22671184883836</v>
          </cell>
          <cell r="DH84">
            <v>238.22671184883836</v>
          </cell>
          <cell r="DI84">
            <v>476.45342369767673</v>
          </cell>
          <cell r="DJ84">
            <v>228.22671184883836</v>
          </cell>
          <cell r="DK84">
            <v>266.65758001604092</v>
          </cell>
          <cell r="DL84">
            <v>494.88429186487929</v>
          </cell>
          <cell r="DM84">
            <v>266.65758001604092</v>
          </cell>
          <cell r="DN84">
            <v>266.65758001604092</v>
          </cell>
          <cell r="DO84">
            <v>533.31516003208185</v>
          </cell>
          <cell r="DP84">
            <v>266.65758001604092</v>
          </cell>
          <cell r="DQ84">
            <v>266.65758001604092</v>
          </cell>
          <cell r="DR84">
            <v>533.31516003208185</v>
          </cell>
          <cell r="DS84">
            <v>266.65758001604092</v>
          </cell>
          <cell r="DT84">
            <v>266.65758001604092</v>
          </cell>
          <cell r="DU84">
            <v>533.31516003208185</v>
          </cell>
          <cell r="DV84">
            <v>266.65758001604092</v>
          </cell>
          <cell r="DW84">
            <v>266.65758001604092</v>
          </cell>
          <cell r="DX84">
            <v>533.31516003208185</v>
          </cell>
          <cell r="DY84">
            <v>266.65758001604092</v>
          </cell>
          <cell r="DZ84">
            <v>266.65758001604092</v>
          </cell>
          <cell r="EA84">
            <v>533.31516003208185</v>
          </cell>
          <cell r="EB84">
            <v>266.65758001604092</v>
          </cell>
          <cell r="EC84">
            <v>266.65758001604092</v>
          </cell>
          <cell r="ED84">
            <v>533.31516003208185</v>
          </cell>
          <cell r="EE84">
            <v>266.65758001604092</v>
          </cell>
          <cell r="EF84">
            <v>266.65758001604092</v>
          </cell>
          <cell r="EG84">
            <v>533.31516003208185</v>
          </cell>
          <cell r="EH84">
            <v>266.65758001604092</v>
          </cell>
          <cell r="EI84">
            <v>266.65758001604092</v>
          </cell>
          <cell r="EJ84">
            <v>533.31516003208185</v>
          </cell>
          <cell r="EK84">
            <v>266.65758001604092</v>
          </cell>
          <cell r="EL84">
            <v>266.65758001604092</v>
          </cell>
          <cell r="EM84">
            <v>533.31516003208185</v>
          </cell>
          <cell r="EN84">
            <v>266.65758001604092</v>
          </cell>
          <cell r="EO84">
            <v>266.65758001604092</v>
          </cell>
          <cell r="EP84">
            <v>533.31516003208185</v>
          </cell>
          <cell r="EQ84">
            <v>266.65758001604092</v>
          </cell>
          <cell r="ER84">
            <v>266.65758001604092</v>
          </cell>
          <cell r="ES84">
            <v>533.31516003208185</v>
          </cell>
          <cell r="ET84">
            <v>266.65758001604092</v>
          </cell>
          <cell r="EU84">
            <v>266.65758001604092</v>
          </cell>
          <cell r="EV84">
            <v>533.31516003208185</v>
          </cell>
          <cell r="EW84">
            <v>266.65758001604092</v>
          </cell>
          <cell r="EX84">
            <v>266.65758001604092</v>
          </cell>
          <cell r="EY84">
            <v>533.31516003208185</v>
          </cell>
          <cell r="EZ84">
            <v>266.65758001604092</v>
          </cell>
          <cell r="FA84">
            <v>266.65758001604092</v>
          </cell>
          <cell r="FB84">
            <v>533.31516003208185</v>
          </cell>
          <cell r="FC84">
            <v>266.65758001604092</v>
          </cell>
          <cell r="FD84">
            <v>266.65758001604092</v>
          </cell>
          <cell r="FE84">
            <v>533.31516003208185</v>
          </cell>
          <cell r="FF84">
            <v>266.65758001604092</v>
          </cell>
          <cell r="FG84">
            <v>266.65758001604092</v>
          </cell>
          <cell r="FH84">
            <v>533.31516003208185</v>
          </cell>
          <cell r="FI84">
            <v>266.65758001604092</v>
          </cell>
          <cell r="FJ84">
            <v>266.65758001604092</v>
          </cell>
          <cell r="FK84">
            <v>533.31516003208185</v>
          </cell>
          <cell r="FL84">
            <v>266.65758001604092</v>
          </cell>
          <cell r="FM84">
            <v>266.65758001604092</v>
          </cell>
          <cell r="FN84">
            <v>533.31516003208185</v>
          </cell>
          <cell r="FO84">
            <v>266.65758001604092</v>
          </cell>
          <cell r="FP84">
            <v>266.65758001604092</v>
          </cell>
          <cell r="FQ84">
            <v>533.31516003208185</v>
          </cell>
          <cell r="FR84">
            <v>266.65758001604092</v>
          </cell>
          <cell r="FS84">
            <v>266.65758001604092</v>
          </cell>
          <cell r="FT84">
            <v>533.31516003208185</v>
          </cell>
          <cell r="FU84">
            <v>266.65758001604092</v>
          </cell>
          <cell r="FV84">
            <v>266.65758001604092</v>
          </cell>
          <cell r="FW84">
            <v>533.31516003208185</v>
          </cell>
          <cell r="FX84">
            <v>210.75742490146092</v>
          </cell>
          <cell r="FY84">
            <v>210.75742490146092</v>
          </cell>
          <cell r="FZ84">
            <v>421.51484980292184</v>
          </cell>
          <cell r="GA84">
            <v>210.75742490146092</v>
          </cell>
          <cell r="GB84">
            <v>210.75742490146092</v>
          </cell>
          <cell r="GC84">
            <v>421.51484980292184</v>
          </cell>
          <cell r="GD84">
            <v>210.75742490146092</v>
          </cell>
          <cell r="GE84">
            <v>210.75742490146092</v>
          </cell>
          <cell r="GF84">
            <v>421.51484980292184</v>
          </cell>
          <cell r="GG84">
            <v>210.75742490146092</v>
          </cell>
          <cell r="GH84">
            <v>210.75742490146092</v>
          </cell>
          <cell r="GI84">
            <v>421.51484980292184</v>
          </cell>
          <cell r="GJ84">
            <v>210.75742490146092</v>
          </cell>
          <cell r="GK84">
            <v>210.75742490146092</v>
          </cell>
          <cell r="GL84">
            <v>421.51484980292184</v>
          </cell>
          <cell r="GM84">
            <v>210.75742490146092</v>
          </cell>
          <cell r="GN84">
            <v>210.75742490146092</v>
          </cell>
          <cell r="GO84">
            <v>421.51484980292184</v>
          </cell>
          <cell r="GP84">
            <v>210.75742490146092</v>
          </cell>
          <cell r="GQ84">
            <v>210.75742490146092</v>
          </cell>
          <cell r="GR84">
            <v>421.51484980292184</v>
          </cell>
          <cell r="GS84">
            <v>210.75742490146092</v>
          </cell>
          <cell r="GT84">
            <v>210.75742490146092</v>
          </cell>
          <cell r="GU84">
            <v>421.51484980292184</v>
          </cell>
          <cell r="GV84">
            <v>210.75742490146092</v>
          </cell>
          <cell r="GW84">
            <v>210.75742490146092</v>
          </cell>
          <cell r="GX84">
            <v>421.51484980292184</v>
          </cell>
        </row>
        <row r="86">
          <cell r="A86" t="str">
            <v>Gold Revenue</v>
          </cell>
          <cell r="B86" t="str">
            <v>A$m</v>
          </cell>
          <cell r="D86">
            <v>174.71899999999999</v>
          </cell>
          <cell r="E86">
            <v>183.20699999999999</v>
          </cell>
          <cell r="F86">
            <v>199.84299999999999</v>
          </cell>
          <cell r="G86">
            <v>245.39999999999998</v>
          </cell>
          <cell r="H86">
            <v>263.89999999999998</v>
          </cell>
          <cell r="I86">
            <v>384.4</v>
          </cell>
          <cell r="J86">
            <v>497.6</v>
          </cell>
          <cell r="K86">
            <v>667.1</v>
          </cell>
          <cell r="L86">
            <v>828.9</v>
          </cell>
          <cell r="M86">
            <v>887.522873415601</v>
          </cell>
          <cell r="N86">
            <v>881.2814812557408</v>
          </cell>
          <cell r="O86">
            <v>1471.3438001448326</v>
          </cell>
          <cell r="P86">
            <v>1913.6622321861098</v>
          </cell>
          <cell r="Q86">
            <v>2014.484183793365</v>
          </cell>
          <cell r="R86">
            <v>2254.9362400275645</v>
          </cell>
          <cell r="S86">
            <v>2195.4680133631655</v>
          </cell>
          <cell r="T86">
            <v>1741.8406332586419</v>
          </cell>
          <cell r="U86">
            <v>1363.9190467183655</v>
          </cell>
          <cell r="V86">
            <v>1363.9190467183655</v>
          </cell>
          <cell r="W86">
            <v>1363.9190467183655</v>
          </cell>
          <cell r="X86">
            <v>1363.9190467183655</v>
          </cell>
          <cell r="Y86">
            <v>1363.9190467183655</v>
          </cell>
          <cell r="Z86">
            <v>1363.9190467183655</v>
          </cell>
          <cell r="AA86">
            <v>1363.9190467183655</v>
          </cell>
          <cell r="AB86">
            <v>1363.9190467183655</v>
          </cell>
          <cell r="AC86">
            <v>1363.9190467183655</v>
          </cell>
          <cell r="AD86">
            <v>1363.9190467183655</v>
          </cell>
          <cell r="AE86">
            <v>1363.9190467183655</v>
          </cell>
          <cell r="AF86">
            <v>1363.9190467183655</v>
          </cell>
          <cell r="AG86">
            <v>1363.9190467183655</v>
          </cell>
          <cell r="AH86">
            <v>1363.9190467183655</v>
          </cell>
          <cell r="AI86">
            <v>1363.9190467183655</v>
          </cell>
          <cell r="AJ86">
            <v>1363.9190467183655</v>
          </cell>
          <cell r="AK86">
            <v>1363.9190467183655</v>
          </cell>
          <cell r="AL86">
            <v>1363.9190467183655</v>
          </cell>
          <cell r="AM86">
            <v>1363.9190467183655</v>
          </cell>
          <cell r="AN86">
            <v>1363.9190467183655</v>
          </cell>
          <cell r="AO86">
            <v>1363.9190467183655</v>
          </cell>
          <cell r="AP86">
            <v>1363.9190467183655</v>
          </cell>
          <cell r="AQ86">
            <v>1363.9190467183655</v>
          </cell>
          <cell r="AR86">
            <v>1363.9190467183655</v>
          </cell>
          <cell r="AS86">
            <v>681.95952335918275</v>
          </cell>
          <cell r="AT86">
            <v>681.95952335918275</v>
          </cell>
          <cell r="AU86">
            <v>681.95952335918275</v>
          </cell>
          <cell r="AV86">
            <v>681.95952335918275</v>
          </cell>
          <cell r="AW86">
            <v>681.95952335918275</v>
          </cell>
          <cell r="AX86">
            <v>681.95952335918275</v>
          </cell>
          <cell r="AY86">
            <v>681.95952335918275</v>
          </cell>
          <cell r="AZ86">
            <v>681.95952335918275</v>
          </cell>
          <cell r="BA86">
            <v>681.95952335918275</v>
          </cell>
          <cell r="BF86">
            <v>90.221999999999994</v>
          </cell>
          <cell r="BG86">
            <v>84.497</v>
          </cell>
          <cell r="BH86">
            <v>174.71899999999999</v>
          </cell>
          <cell r="BI86">
            <v>90.32</v>
          </cell>
          <cell r="BJ86">
            <v>92.887</v>
          </cell>
          <cell r="BK86">
            <v>183.20699999999999</v>
          </cell>
          <cell r="BL86">
            <v>94.7</v>
          </cell>
          <cell r="BM86">
            <v>105.14299999999999</v>
          </cell>
          <cell r="BN86">
            <v>199.84299999999999</v>
          </cell>
          <cell r="BO86">
            <v>100.2</v>
          </cell>
          <cell r="BP86">
            <v>145.19999999999999</v>
          </cell>
          <cell r="BQ86">
            <v>245.39999999999998</v>
          </cell>
          <cell r="BR86">
            <v>98.7</v>
          </cell>
          <cell r="BS86">
            <v>165.2</v>
          </cell>
          <cell r="BT86">
            <v>263.89999999999998</v>
          </cell>
          <cell r="BU86">
            <v>177.5</v>
          </cell>
          <cell r="BV86">
            <v>206.9</v>
          </cell>
          <cell r="BW86">
            <v>384.4</v>
          </cell>
          <cell r="BX86">
            <v>235.3</v>
          </cell>
          <cell r="BY86">
            <v>262.3</v>
          </cell>
          <cell r="BZ86">
            <v>497.6</v>
          </cell>
          <cell r="CA86">
            <v>278.39999999999998</v>
          </cell>
          <cell r="CB86">
            <v>388.70000000000005</v>
          </cell>
          <cell r="CC86">
            <v>667.1</v>
          </cell>
          <cell r="CD86">
            <v>427</v>
          </cell>
          <cell r="CE86">
            <v>828.9</v>
          </cell>
          <cell r="CF86">
            <v>401.9</v>
          </cell>
          <cell r="CG86">
            <v>485.62287341560102</v>
          </cell>
          <cell r="CH86">
            <v>887.522873415601</v>
          </cell>
          <cell r="CI86">
            <v>374.1</v>
          </cell>
          <cell r="CJ86">
            <v>507.18148125574083</v>
          </cell>
          <cell r="CK86">
            <v>881.2814812557408</v>
          </cell>
          <cell r="CL86">
            <v>632.1700210745156</v>
          </cell>
          <cell r="CM86">
            <v>839.17377907031687</v>
          </cell>
          <cell r="CN86">
            <v>1471.3438001448326</v>
          </cell>
          <cell r="CO86">
            <v>970.47208357142108</v>
          </cell>
          <cell r="CP86">
            <v>943.19014861468872</v>
          </cell>
          <cell r="CQ86">
            <v>1913.6622321861098</v>
          </cell>
          <cell r="CR86">
            <v>1047.2963976686565</v>
          </cell>
          <cell r="CS86">
            <v>967.18778612470862</v>
          </cell>
          <cell r="CT86">
            <v>2014.484183793365</v>
          </cell>
          <cell r="CU86">
            <v>1119.3493365638581</v>
          </cell>
          <cell r="CV86">
            <v>1135.5869034637064</v>
          </cell>
          <cell r="CW86">
            <v>2254.9362400275645</v>
          </cell>
          <cell r="CX86">
            <v>1135.5869034637064</v>
          </cell>
          <cell r="CY86">
            <v>1059.8811098994593</v>
          </cell>
          <cell r="CZ86">
            <v>2195.4680133631655</v>
          </cell>
          <cell r="DA86">
            <v>1059.8811098994593</v>
          </cell>
          <cell r="DB86">
            <v>681.95952335918275</v>
          </cell>
          <cell r="DC86">
            <v>1741.8406332586419</v>
          </cell>
          <cell r="DD86">
            <v>681.95952335918275</v>
          </cell>
          <cell r="DE86">
            <v>681.95952335918275</v>
          </cell>
          <cell r="DF86">
            <v>1363.9190467183655</v>
          </cell>
          <cell r="DG86">
            <v>681.95952335918275</v>
          </cell>
          <cell r="DH86">
            <v>681.95952335918275</v>
          </cell>
          <cell r="DI86">
            <v>1363.9190467183655</v>
          </cell>
          <cell r="DJ86">
            <v>681.95952335918275</v>
          </cell>
          <cell r="DK86">
            <v>681.95952335918275</v>
          </cell>
          <cell r="DL86">
            <v>1363.9190467183655</v>
          </cell>
          <cell r="DM86">
            <v>681.95952335918275</v>
          </cell>
          <cell r="DN86">
            <v>681.95952335918275</v>
          </cell>
          <cell r="DO86">
            <v>1363.9190467183655</v>
          </cell>
          <cell r="DP86">
            <v>681.95952335918275</v>
          </cell>
          <cell r="DQ86">
            <v>681.95952335918275</v>
          </cell>
          <cell r="DR86">
            <v>1363.9190467183655</v>
          </cell>
          <cell r="DS86">
            <v>681.95952335918275</v>
          </cell>
          <cell r="DT86">
            <v>681.95952335918275</v>
          </cell>
          <cell r="DU86">
            <v>1363.9190467183655</v>
          </cell>
          <cell r="DV86">
            <v>681.95952335918275</v>
          </cell>
          <cell r="DW86">
            <v>681.95952335918275</v>
          </cell>
          <cell r="DX86">
            <v>1363.9190467183655</v>
          </cell>
          <cell r="DY86">
            <v>681.95952335918275</v>
          </cell>
          <cell r="DZ86">
            <v>681.95952335918275</v>
          </cell>
          <cell r="EA86">
            <v>1363.9190467183655</v>
          </cell>
          <cell r="EB86">
            <v>681.95952335918275</v>
          </cell>
          <cell r="EC86">
            <v>681.95952335918275</v>
          </cell>
          <cell r="ED86">
            <v>1363.9190467183655</v>
          </cell>
          <cell r="EE86">
            <v>681.95952335918275</v>
          </cell>
          <cell r="EF86">
            <v>681.95952335918275</v>
          </cell>
          <cell r="EG86">
            <v>1363.9190467183655</v>
          </cell>
          <cell r="EH86">
            <v>681.95952335918275</v>
          </cell>
          <cell r="EI86">
            <v>681.95952335918275</v>
          </cell>
          <cell r="EJ86">
            <v>1363.9190467183655</v>
          </cell>
          <cell r="EK86">
            <v>681.95952335918275</v>
          </cell>
          <cell r="EL86">
            <v>681.95952335918275</v>
          </cell>
          <cell r="EM86">
            <v>1363.9190467183655</v>
          </cell>
          <cell r="EN86">
            <v>681.95952335918275</v>
          </cell>
          <cell r="EO86">
            <v>681.95952335918275</v>
          </cell>
          <cell r="EP86">
            <v>1363.9190467183655</v>
          </cell>
          <cell r="EQ86">
            <v>681.95952335918275</v>
          </cell>
          <cell r="ER86">
            <v>681.95952335918275</v>
          </cell>
          <cell r="ES86">
            <v>1363.9190467183655</v>
          </cell>
          <cell r="ET86">
            <v>681.95952335918275</v>
          </cell>
          <cell r="EU86">
            <v>681.95952335918275</v>
          </cell>
          <cell r="EV86">
            <v>1363.9190467183655</v>
          </cell>
          <cell r="EW86">
            <v>681.95952335918275</v>
          </cell>
          <cell r="EX86">
            <v>681.95952335918275</v>
          </cell>
          <cell r="EY86">
            <v>1363.9190467183655</v>
          </cell>
          <cell r="EZ86">
            <v>681.95952335918275</v>
          </cell>
          <cell r="FA86">
            <v>681.95952335918275</v>
          </cell>
          <cell r="FB86">
            <v>1363.9190467183655</v>
          </cell>
          <cell r="FC86">
            <v>681.95952335918275</v>
          </cell>
          <cell r="FD86">
            <v>681.95952335918275</v>
          </cell>
          <cell r="FE86">
            <v>1363.9190467183655</v>
          </cell>
          <cell r="FF86">
            <v>681.95952335918275</v>
          </cell>
          <cell r="FG86">
            <v>681.95952335918275</v>
          </cell>
          <cell r="FH86">
            <v>1363.9190467183655</v>
          </cell>
          <cell r="FI86">
            <v>681.95952335918275</v>
          </cell>
          <cell r="FJ86">
            <v>681.95952335918275</v>
          </cell>
          <cell r="FK86">
            <v>1363.9190467183655</v>
          </cell>
          <cell r="FL86">
            <v>681.95952335918275</v>
          </cell>
          <cell r="FM86">
            <v>681.95952335918275</v>
          </cell>
          <cell r="FN86">
            <v>1363.9190467183655</v>
          </cell>
          <cell r="FO86">
            <v>681.95952335918275</v>
          </cell>
          <cell r="FP86">
            <v>681.95952335918275</v>
          </cell>
          <cell r="FQ86">
            <v>1363.9190467183655</v>
          </cell>
          <cell r="FR86">
            <v>681.95952335918275</v>
          </cell>
          <cell r="FS86">
            <v>681.95952335918275</v>
          </cell>
          <cell r="FT86">
            <v>1363.9190467183655</v>
          </cell>
          <cell r="FU86">
            <v>681.95952335918275</v>
          </cell>
          <cell r="FV86">
            <v>681.95952335918275</v>
          </cell>
          <cell r="FW86">
            <v>1363.9190467183655</v>
          </cell>
          <cell r="FX86">
            <v>340.97976167959138</v>
          </cell>
          <cell r="FY86">
            <v>340.97976167959138</v>
          </cell>
          <cell r="FZ86">
            <v>681.95952335918275</v>
          </cell>
          <cell r="GA86">
            <v>340.97976167959138</v>
          </cell>
          <cell r="GB86">
            <v>340.97976167959138</v>
          </cell>
          <cell r="GC86">
            <v>681.95952335918275</v>
          </cell>
          <cell r="GD86">
            <v>340.97976167959138</v>
          </cell>
          <cell r="GE86">
            <v>340.97976167959138</v>
          </cell>
          <cell r="GF86">
            <v>681.95952335918275</v>
          </cell>
          <cell r="GG86">
            <v>340.97976167959138</v>
          </cell>
          <cell r="GH86">
            <v>340.97976167959138</v>
          </cell>
          <cell r="GI86">
            <v>681.95952335918275</v>
          </cell>
          <cell r="GJ86">
            <v>340.97976167959138</v>
          </cell>
          <cell r="GK86">
            <v>340.97976167959138</v>
          </cell>
          <cell r="GL86">
            <v>681.95952335918275</v>
          </cell>
          <cell r="GM86">
            <v>340.97976167959138</v>
          </cell>
          <cell r="GN86">
            <v>340.97976167959138</v>
          </cell>
          <cell r="GO86">
            <v>681.95952335918275</v>
          </cell>
          <cell r="GP86">
            <v>340.97976167959138</v>
          </cell>
          <cell r="GQ86">
            <v>340.97976167959138</v>
          </cell>
          <cell r="GR86">
            <v>681.95952335918275</v>
          </cell>
          <cell r="GS86">
            <v>340.97976167959138</v>
          </cell>
          <cell r="GT86">
            <v>340.97976167959138</v>
          </cell>
          <cell r="GU86">
            <v>681.95952335918275</v>
          </cell>
          <cell r="GV86">
            <v>340.97976167959138</v>
          </cell>
          <cell r="GW86">
            <v>340.97976167959138</v>
          </cell>
          <cell r="GX86">
            <v>681.95952335918275</v>
          </cell>
        </row>
        <row r="87">
          <cell r="A87" t="str">
            <v>Total Cash Cost</v>
          </cell>
          <cell r="B87" t="str">
            <v>A$m</v>
          </cell>
          <cell r="D87">
            <v>136.25463245999998</v>
          </cell>
          <cell r="E87">
            <v>141.48038338999999</v>
          </cell>
          <cell r="F87">
            <v>184.45722511999998</v>
          </cell>
          <cell r="G87">
            <v>185.24339017</v>
          </cell>
          <cell r="H87">
            <v>200.07088199999998</v>
          </cell>
          <cell r="I87">
            <v>205.02453634</v>
          </cell>
          <cell r="J87">
            <v>210.1</v>
          </cell>
          <cell r="K87">
            <v>322.3</v>
          </cell>
          <cell r="L87">
            <v>342.1</v>
          </cell>
          <cell r="M87">
            <v>362.85023738735919</v>
          </cell>
          <cell r="N87">
            <v>515.71504800000002</v>
          </cell>
          <cell r="O87">
            <v>537.13066501702428</v>
          </cell>
          <cell r="P87">
            <v>536.90763698552394</v>
          </cell>
          <cell r="Q87">
            <v>538.3280780416934</v>
          </cell>
          <cell r="R87">
            <v>538.77014239967866</v>
          </cell>
          <cell r="S87">
            <v>539.27802086451561</v>
          </cell>
          <cell r="T87">
            <v>545.21298220333699</v>
          </cell>
          <cell r="U87">
            <v>550.51063579586832</v>
          </cell>
          <cell r="V87">
            <v>550.51063579586832</v>
          </cell>
          <cell r="W87">
            <v>530.51063579586821</v>
          </cell>
          <cell r="X87">
            <v>530.51063579586821</v>
          </cell>
          <cell r="Y87">
            <v>530.51063579586821</v>
          </cell>
          <cell r="Z87">
            <v>530.51063579586821</v>
          </cell>
          <cell r="AA87">
            <v>530.51063579586821</v>
          </cell>
          <cell r="AB87">
            <v>530.51063579586821</v>
          </cell>
          <cell r="AC87">
            <v>530.51063579586821</v>
          </cell>
          <cell r="AD87">
            <v>530.51063579586821</v>
          </cell>
          <cell r="AE87">
            <v>530.51063579586821</v>
          </cell>
          <cell r="AF87">
            <v>530.51063579586821</v>
          </cell>
          <cell r="AG87">
            <v>530.51063579586821</v>
          </cell>
          <cell r="AH87">
            <v>530.51063579586821</v>
          </cell>
          <cell r="AI87">
            <v>530.51063579586821</v>
          </cell>
          <cell r="AJ87">
            <v>530.51063579586821</v>
          </cell>
          <cell r="AK87">
            <v>530.51063579586821</v>
          </cell>
          <cell r="AL87">
            <v>530.51063579586821</v>
          </cell>
          <cell r="AM87">
            <v>530.51063579586821</v>
          </cell>
          <cell r="AN87">
            <v>530.51063579586821</v>
          </cell>
          <cell r="AO87">
            <v>530.51063579586821</v>
          </cell>
          <cell r="AP87">
            <v>530.51063579586821</v>
          </cell>
          <cell r="AQ87">
            <v>530.51063579586821</v>
          </cell>
          <cell r="AR87">
            <v>530.51063579586821</v>
          </cell>
          <cell r="AS87">
            <v>420.11258768481503</v>
          </cell>
          <cell r="AT87">
            <v>420.11258768481503</v>
          </cell>
          <cell r="AU87">
            <v>420.11258768481503</v>
          </cell>
          <cell r="AV87">
            <v>420.11258768481503</v>
          </cell>
          <cell r="AW87">
            <v>420.11258768481503</v>
          </cell>
          <cell r="AX87">
            <v>420.11258768481503</v>
          </cell>
          <cell r="AY87">
            <v>420.11258768481503</v>
          </cell>
          <cell r="AZ87">
            <v>420.11258768481503</v>
          </cell>
          <cell r="BA87">
            <v>420.11258768481503</v>
          </cell>
          <cell r="BF87">
            <v>65.683928129999998</v>
          </cell>
          <cell r="BG87">
            <v>70.570704329999998</v>
          </cell>
          <cell r="BH87">
            <v>136.25463245999998</v>
          </cell>
          <cell r="BI87">
            <v>70.631023999999996</v>
          </cell>
          <cell r="BJ87">
            <v>70.849359390000004</v>
          </cell>
          <cell r="BK87">
            <v>141.48038338999999</v>
          </cell>
          <cell r="BL87">
            <v>98.824645399999994</v>
          </cell>
          <cell r="BM87">
            <v>85.632579719999995</v>
          </cell>
          <cell r="BN87">
            <v>184.45722511999998</v>
          </cell>
          <cell r="BO87">
            <v>82.881282510000005</v>
          </cell>
          <cell r="BP87">
            <v>102.36210766000001</v>
          </cell>
          <cell r="BQ87">
            <v>185.24339017</v>
          </cell>
          <cell r="BR87">
            <v>120.749394</v>
          </cell>
          <cell r="BS87">
            <v>79.321488000000002</v>
          </cell>
          <cell r="BT87">
            <v>200.07088199999998</v>
          </cell>
          <cell r="BU87">
            <v>89.253056340000001</v>
          </cell>
          <cell r="BV87">
            <v>115.77148</v>
          </cell>
          <cell r="BW87">
            <v>205.02453634</v>
          </cell>
          <cell r="BX87">
            <v>105.95586</v>
          </cell>
          <cell r="BY87">
            <v>104.14413999999999</v>
          </cell>
          <cell r="BZ87">
            <v>210.1</v>
          </cell>
          <cell r="CA87">
            <v>141.6</v>
          </cell>
          <cell r="CB87">
            <v>180.70000000000002</v>
          </cell>
          <cell r="CC87">
            <v>322.3</v>
          </cell>
          <cell r="CD87">
            <v>153.5</v>
          </cell>
          <cell r="CE87">
            <v>342.1</v>
          </cell>
          <cell r="CF87">
            <v>185.23368027999999</v>
          </cell>
          <cell r="CG87">
            <v>177.620487</v>
          </cell>
          <cell r="CH87">
            <v>362.85023738735919</v>
          </cell>
          <cell r="CI87">
            <v>259.526116</v>
          </cell>
          <cell r="CJ87">
            <v>256.18893200000002</v>
          </cell>
          <cell r="CK87">
            <v>515.71504800000002</v>
          </cell>
          <cell r="CL87">
            <v>269.60205691869595</v>
          </cell>
          <cell r="CM87">
            <v>267.52860809832828</v>
          </cell>
          <cell r="CN87">
            <v>537.13066501702428</v>
          </cell>
          <cell r="CO87">
            <v>268.12878962210874</v>
          </cell>
          <cell r="CP87">
            <v>268.77884736341514</v>
          </cell>
          <cell r="CQ87">
            <v>536.90763698552394</v>
          </cell>
          <cell r="CR87">
            <v>268.81346925640776</v>
          </cell>
          <cell r="CS87">
            <v>269.51460878528565</v>
          </cell>
          <cell r="CT87">
            <v>538.3280780416934</v>
          </cell>
          <cell r="CU87">
            <v>269.44978584056594</v>
          </cell>
          <cell r="CV87">
            <v>269.32035655911284</v>
          </cell>
          <cell r="CW87">
            <v>538.77014239967866</v>
          </cell>
          <cell r="CX87">
            <v>269.32035655911284</v>
          </cell>
          <cell r="CY87">
            <v>269.95766430540283</v>
          </cell>
          <cell r="CZ87">
            <v>539.27802086451561</v>
          </cell>
          <cell r="DA87">
            <v>269.95766430540283</v>
          </cell>
          <cell r="DB87">
            <v>275.25531789793416</v>
          </cell>
          <cell r="DC87">
            <v>545.21298220333699</v>
          </cell>
          <cell r="DD87">
            <v>275.25531789793416</v>
          </cell>
          <cell r="DE87">
            <v>275.25531789793416</v>
          </cell>
          <cell r="DF87">
            <v>550.51063579586832</v>
          </cell>
          <cell r="DG87">
            <v>275.25531789793416</v>
          </cell>
          <cell r="DH87">
            <v>275.25531789793416</v>
          </cell>
          <cell r="DI87">
            <v>550.51063579586832</v>
          </cell>
          <cell r="DJ87">
            <v>265.25531789793411</v>
          </cell>
          <cell r="DK87">
            <v>265.25531789793411</v>
          </cell>
          <cell r="DL87">
            <v>530.51063579586821</v>
          </cell>
          <cell r="DM87">
            <v>265.25531789793411</v>
          </cell>
          <cell r="DN87">
            <v>265.25531789793411</v>
          </cell>
          <cell r="DO87">
            <v>530.51063579586821</v>
          </cell>
          <cell r="DP87">
            <v>265.25531789793411</v>
          </cell>
          <cell r="DQ87">
            <v>265.25531789793411</v>
          </cell>
          <cell r="DR87">
            <v>530.51063579586821</v>
          </cell>
          <cell r="DS87">
            <v>265.25531789793411</v>
          </cell>
          <cell r="DT87">
            <v>265.25531789793411</v>
          </cell>
          <cell r="DU87">
            <v>530.51063579586821</v>
          </cell>
          <cell r="DV87">
            <v>265.25531789793411</v>
          </cell>
          <cell r="DW87">
            <v>265.25531789793411</v>
          </cell>
          <cell r="DX87">
            <v>530.51063579586821</v>
          </cell>
          <cell r="DY87">
            <v>265.25531789793411</v>
          </cell>
          <cell r="DZ87">
            <v>265.25531789793411</v>
          </cell>
          <cell r="EA87">
            <v>530.51063579586821</v>
          </cell>
          <cell r="EB87">
            <v>265.25531789793411</v>
          </cell>
          <cell r="EC87">
            <v>265.25531789793411</v>
          </cell>
          <cell r="ED87">
            <v>530.51063579586821</v>
          </cell>
          <cell r="EE87">
            <v>265.25531789793411</v>
          </cell>
          <cell r="EF87">
            <v>265.25531789793411</v>
          </cell>
          <cell r="EG87">
            <v>530.51063579586821</v>
          </cell>
          <cell r="EH87">
            <v>265.25531789793411</v>
          </cell>
          <cell r="EI87">
            <v>265.25531789793411</v>
          </cell>
          <cell r="EJ87">
            <v>530.51063579586821</v>
          </cell>
          <cell r="EK87">
            <v>265.25531789793411</v>
          </cell>
          <cell r="EL87">
            <v>265.25531789793411</v>
          </cell>
          <cell r="EM87">
            <v>530.51063579586821</v>
          </cell>
          <cell r="EN87">
            <v>265.25531789793411</v>
          </cell>
          <cell r="EO87">
            <v>265.25531789793411</v>
          </cell>
          <cell r="EP87">
            <v>530.51063579586821</v>
          </cell>
          <cell r="EQ87">
            <v>265.25531789793411</v>
          </cell>
          <cell r="ER87">
            <v>265.25531789793411</v>
          </cell>
          <cell r="ES87">
            <v>530.51063579586821</v>
          </cell>
          <cell r="ET87">
            <v>265.25531789793411</v>
          </cell>
          <cell r="EU87">
            <v>265.25531789793411</v>
          </cell>
          <cell r="EV87">
            <v>530.51063579586821</v>
          </cell>
          <cell r="EW87">
            <v>265.25531789793411</v>
          </cell>
          <cell r="EX87">
            <v>265.25531789793411</v>
          </cell>
          <cell r="EY87">
            <v>530.51063579586821</v>
          </cell>
          <cell r="EZ87">
            <v>265.25531789793411</v>
          </cell>
          <cell r="FA87">
            <v>265.25531789793411</v>
          </cell>
          <cell r="FB87">
            <v>530.51063579586821</v>
          </cell>
          <cell r="FC87">
            <v>265.25531789793411</v>
          </cell>
          <cell r="FD87">
            <v>265.25531789793411</v>
          </cell>
          <cell r="FE87">
            <v>530.51063579586821</v>
          </cell>
          <cell r="FF87">
            <v>265.25531789793411</v>
          </cell>
          <cell r="FG87">
            <v>265.25531789793411</v>
          </cell>
          <cell r="FH87">
            <v>530.51063579586821</v>
          </cell>
          <cell r="FI87">
            <v>265.25531789793411</v>
          </cell>
          <cell r="FJ87">
            <v>265.25531789793411</v>
          </cell>
          <cell r="FK87">
            <v>530.51063579586821</v>
          </cell>
          <cell r="FL87">
            <v>265.25531789793411</v>
          </cell>
          <cell r="FM87">
            <v>265.25531789793411</v>
          </cell>
          <cell r="FN87">
            <v>530.51063579586821</v>
          </cell>
          <cell r="FO87">
            <v>265.25531789793411</v>
          </cell>
          <cell r="FP87">
            <v>265.25531789793411</v>
          </cell>
          <cell r="FQ87">
            <v>530.51063579586821</v>
          </cell>
          <cell r="FR87">
            <v>265.25531789793411</v>
          </cell>
          <cell r="FS87">
            <v>265.25531789793411</v>
          </cell>
          <cell r="FT87">
            <v>530.51063579586821</v>
          </cell>
          <cell r="FU87">
            <v>265.25531789793411</v>
          </cell>
          <cell r="FV87">
            <v>265.25531789793411</v>
          </cell>
          <cell r="FW87">
            <v>530.51063579586821</v>
          </cell>
          <cell r="FX87">
            <v>210.05629384240751</v>
          </cell>
          <cell r="FY87">
            <v>210.05629384240751</v>
          </cell>
          <cell r="FZ87">
            <v>420.11258768481503</v>
          </cell>
          <cell r="GA87">
            <v>210.05629384240751</v>
          </cell>
          <cell r="GB87">
            <v>210.05629384240751</v>
          </cell>
          <cell r="GC87">
            <v>420.11258768481503</v>
          </cell>
          <cell r="GD87">
            <v>210.05629384240751</v>
          </cell>
          <cell r="GE87">
            <v>210.05629384240751</v>
          </cell>
          <cell r="GF87">
            <v>420.11258768481503</v>
          </cell>
          <cell r="GG87">
            <v>210.05629384240751</v>
          </cell>
          <cell r="GH87">
            <v>210.05629384240751</v>
          </cell>
          <cell r="GI87">
            <v>420.11258768481503</v>
          </cell>
          <cell r="GJ87">
            <v>210.05629384240751</v>
          </cell>
          <cell r="GK87">
            <v>210.05629384240751</v>
          </cell>
          <cell r="GL87">
            <v>420.11258768481503</v>
          </cell>
          <cell r="GM87">
            <v>210.05629384240751</v>
          </cell>
          <cell r="GN87">
            <v>210.05629384240751</v>
          </cell>
          <cell r="GO87">
            <v>420.11258768481503</v>
          </cell>
          <cell r="GP87">
            <v>210.05629384240751</v>
          </cell>
          <cell r="GQ87">
            <v>210.05629384240751</v>
          </cell>
          <cell r="GR87">
            <v>420.11258768481503</v>
          </cell>
          <cell r="GS87">
            <v>210.05629384240751</v>
          </cell>
          <cell r="GT87">
            <v>210.05629384240751</v>
          </cell>
          <cell r="GU87">
            <v>420.11258768481503</v>
          </cell>
          <cell r="GV87">
            <v>210.05629384240751</v>
          </cell>
          <cell r="GW87">
            <v>210.05629384240751</v>
          </cell>
          <cell r="GX87">
            <v>420.11258768481503</v>
          </cell>
        </row>
        <row r="88">
          <cell r="A88" t="str">
            <v xml:space="preserve">EBITDA </v>
          </cell>
          <cell r="B88" t="str">
            <v>A$m</v>
          </cell>
          <cell r="BF88">
            <v>24.538071869999996</v>
          </cell>
          <cell r="BG88">
            <v>13.926295670000002</v>
          </cell>
          <cell r="BH88">
            <v>38.464367539999998</v>
          </cell>
          <cell r="BI88">
            <v>19.688975999999997</v>
          </cell>
          <cell r="BJ88">
            <v>22.037640609999997</v>
          </cell>
          <cell r="BK88">
            <v>41.726616609999994</v>
          </cell>
          <cell r="BL88">
            <v>-4.1246453999999915</v>
          </cell>
          <cell r="BM88">
            <v>19.510420279999991</v>
          </cell>
          <cell r="BN88">
            <v>15.38577488</v>
          </cell>
          <cell r="BO88">
            <v>17.318717489999997</v>
          </cell>
          <cell r="BP88">
            <v>42.837892339999982</v>
          </cell>
          <cell r="BQ88">
            <v>60.156609829999979</v>
          </cell>
          <cell r="BR88">
            <v>-22.049393999999992</v>
          </cell>
          <cell r="BS88">
            <v>85.878511999999986</v>
          </cell>
          <cell r="BT88">
            <v>63.829117999999994</v>
          </cell>
          <cell r="BU88">
            <v>88.246943659999999</v>
          </cell>
          <cell r="BV88">
            <v>91.128520000000009</v>
          </cell>
          <cell r="BW88">
            <v>179.37546366000001</v>
          </cell>
          <cell r="BX88">
            <v>129.34414000000001</v>
          </cell>
          <cell r="BY88">
            <v>158.15586000000002</v>
          </cell>
          <cell r="BZ88">
            <v>287.5</v>
          </cell>
          <cell r="CA88">
            <v>136.79999999999998</v>
          </cell>
          <cell r="CB88">
            <v>208.00000000000003</v>
          </cell>
          <cell r="CC88">
            <v>344.8</v>
          </cell>
          <cell r="CD88">
            <v>273.5</v>
          </cell>
          <cell r="CE88">
            <v>486.79999999999995</v>
          </cell>
          <cell r="CF88">
            <v>216.66631971999999</v>
          </cell>
          <cell r="CG88">
            <v>308.00238641560099</v>
          </cell>
          <cell r="CH88">
            <v>524.66870613560104</v>
          </cell>
          <cell r="CI88">
            <v>257.2</v>
          </cell>
          <cell r="CJ88">
            <v>250.99254925574081</v>
          </cell>
          <cell r="CK88">
            <v>508.1925492557408</v>
          </cell>
          <cell r="CL88">
            <v>362.56796415581965</v>
          </cell>
          <cell r="CM88">
            <v>571.64517097198859</v>
          </cell>
          <cell r="CN88">
            <v>934.2131351278083</v>
          </cell>
          <cell r="CO88">
            <v>702.34329394931228</v>
          </cell>
          <cell r="CP88">
            <v>674.41130125127358</v>
          </cell>
          <cell r="CQ88">
            <v>1376.7545952005858</v>
          </cell>
          <cell r="CR88">
            <v>778.48292841224873</v>
          </cell>
          <cell r="CS88">
            <v>697.67317733942298</v>
          </cell>
          <cell r="CT88">
            <v>1476.1561057516717</v>
          </cell>
          <cell r="CU88">
            <v>849.89955072329212</v>
          </cell>
          <cell r="CV88">
            <v>866.26654690459361</v>
          </cell>
          <cell r="CW88">
            <v>1716.1660976278858</v>
          </cell>
          <cell r="CX88">
            <v>866.26654690459361</v>
          </cell>
          <cell r="CY88">
            <v>789.92344559405637</v>
          </cell>
          <cell r="CZ88">
            <v>1656.1899924986501</v>
          </cell>
          <cell r="DA88">
            <v>789.92344559405637</v>
          </cell>
          <cell r="DB88">
            <v>406.70420546124859</v>
          </cell>
          <cell r="DC88">
            <v>1196.627651055305</v>
          </cell>
          <cell r="DD88">
            <v>406.70420546124859</v>
          </cell>
          <cell r="DE88">
            <v>406.70420546124859</v>
          </cell>
          <cell r="DF88">
            <v>813.40841092249718</v>
          </cell>
          <cell r="DG88">
            <v>406.70420546124859</v>
          </cell>
          <cell r="DH88">
            <v>406.70420546124859</v>
          </cell>
          <cell r="DI88">
            <v>813.40841092249718</v>
          </cell>
          <cell r="DJ88">
            <v>416.70420546124865</v>
          </cell>
          <cell r="DK88">
            <v>416.70420546124865</v>
          </cell>
          <cell r="DL88">
            <v>833.4084109224973</v>
          </cell>
          <cell r="DM88">
            <v>416.70420546124865</v>
          </cell>
          <cell r="DN88">
            <v>416.70420546124865</v>
          </cell>
          <cell r="DO88">
            <v>833.4084109224973</v>
          </cell>
          <cell r="DP88">
            <v>416.70420546124865</v>
          </cell>
          <cell r="DQ88">
            <v>416.70420546124865</v>
          </cell>
          <cell r="DR88">
            <v>833.4084109224973</v>
          </cell>
          <cell r="DS88">
            <v>416.70420546124865</v>
          </cell>
          <cell r="DT88">
            <v>416.70420546124865</v>
          </cell>
          <cell r="DU88">
            <v>833.4084109224973</v>
          </cell>
          <cell r="DV88">
            <v>416.70420546124865</v>
          </cell>
          <cell r="DW88">
            <v>416.70420546124865</v>
          </cell>
          <cell r="DX88">
            <v>833.4084109224973</v>
          </cell>
          <cell r="DY88">
            <v>416.70420546124865</v>
          </cell>
          <cell r="DZ88">
            <v>416.70420546124865</v>
          </cell>
          <cell r="EA88">
            <v>833.4084109224973</v>
          </cell>
          <cell r="EB88">
            <v>416.70420546124865</v>
          </cell>
          <cell r="EC88">
            <v>416.70420546124865</v>
          </cell>
          <cell r="ED88">
            <v>833.4084109224973</v>
          </cell>
          <cell r="EE88">
            <v>416.70420546124865</v>
          </cell>
          <cell r="EF88">
            <v>416.70420546124865</v>
          </cell>
          <cell r="EG88">
            <v>833.4084109224973</v>
          </cell>
          <cell r="EH88">
            <v>416.70420546124865</v>
          </cell>
          <cell r="EI88">
            <v>416.70420546124865</v>
          </cell>
          <cell r="EJ88">
            <v>833.4084109224973</v>
          </cell>
          <cell r="EK88">
            <v>416.70420546124865</v>
          </cell>
          <cell r="EL88">
            <v>416.70420546124865</v>
          </cell>
          <cell r="EM88">
            <v>833.4084109224973</v>
          </cell>
          <cell r="EN88">
            <v>416.70420546124865</v>
          </cell>
          <cell r="EO88">
            <v>416.70420546124865</v>
          </cell>
          <cell r="EP88">
            <v>833.4084109224973</v>
          </cell>
          <cell r="EQ88">
            <v>416.70420546124865</v>
          </cell>
          <cell r="ER88">
            <v>416.70420546124865</v>
          </cell>
          <cell r="ES88">
            <v>833.4084109224973</v>
          </cell>
          <cell r="ET88">
            <v>416.70420546124865</v>
          </cell>
          <cell r="EU88">
            <v>416.70420546124865</v>
          </cell>
          <cell r="EV88">
            <v>833.4084109224973</v>
          </cell>
          <cell r="EW88">
            <v>416.70420546124865</v>
          </cell>
          <cell r="EX88">
            <v>416.70420546124865</v>
          </cell>
          <cell r="EY88">
            <v>833.4084109224973</v>
          </cell>
          <cell r="EZ88">
            <v>416.70420546124865</v>
          </cell>
          <cell r="FA88">
            <v>416.70420546124865</v>
          </cell>
          <cell r="FB88">
            <v>833.4084109224973</v>
          </cell>
          <cell r="FC88">
            <v>416.70420546124865</v>
          </cell>
          <cell r="FD88">
            <v>416.70420546124865</v>
          </cell>
          <cell r="FE88">
            <v>833.4084109224973</v>
          </cell>
          <cell r="FF88">
            <v>416.70420546124865</v>
          </cell>
          <cell r="FG88">
            <v>416.70420546124865</v>
          </cell>
          <cell r="FH88">
            <v>833.4084109224973</v>
          </cell>
          <cell r="FI88">
            <v>416.70420546124865</v>
          </cell>
          <cell r="FJ88">
            <v>416.70420546124865</v>
          </cell>
          <cell r="FK88">
            <v>833.4084109224973</v>
          </cell>
          <cell r="FL88">
            <v>416.70420546124865</v>
          </cell>
          <cell r="FM88">
            <v>416.70420546124865</v>
          </cell>
          <cell r="FN88">
            <v>833.4084109224973</v>
          </cell>
          <cell r="FO88">
            <v>416.70420546124865</v>
          </cell>
          <cell r="FP88">
            <v>416.70420546124865</v>
          </cell>
          <cell r="FQ88">
            <v>833.4084109224973</v>
          </cell>
          <cell r="FR88">
            <v>416.70420546124865</v>
          </cell>
          <cell r="FS88">
            <v>416.70420546124865</v>
          </cell>
          <cell r="FT88">
            <v>833.4084109224973</v>
          </cell>
          <cell r="FU88">
            <v>416.70420546124865</v>
          </cell>
          <cell r="FV88">
            <v>416.70420546124865</v>
          </cell>
          <cell r="FW88">
            <v>833.4084109224973</v>
          </cell>
          <cell r="FX88">
            <v>130.92346783718386</v>
          </cell>
          <cell r="FY88">
            <v>130.92346783718386</v>
          </cell>
          <cell r="FZ88">
            <v>261.84693567436773</v>
          </cell>
          <cell r="GA88">
            <v>130.92346783718386</v>
          </cell>
          <cell r="GB88">
            <v>130.92346783718386</v>
          </cell>
          <cell r="GC88">
            <v>261.84693567436773</v>
          </cell>
          <cell r="GD88">
            <v>130.92346783718386</v>
          </cell>
          <cell r="GE88">
            <v>130.92346783718386</v>
          </cell>
          <cell r="GF88">
            <v>261.84693567436773</v>
          </cell>
          <cell r="GG88">
            <v>130.92346783718386</v>
          </cell>
          <cell r="GH88">
            <v>130.92346783718386</v>
          </cell>
          <cell r="GI88">
            <v>261.84693567436773</v>
          </cell>
          <cell r="GJ88">
            <v>130.92346783718386</v>
          </cell>
          <cell r="GK88">
            <v>130.92346783718386</v>
          </cell>
          <cell r="GL88">
            <v>261.84693567436773</v>
          </cell>
          <cell r="GM88">
            <v>130.92346783718386</v>
          </cell>
          <cell r="GN88">
            <v>130.92346783718386</v>
          </cell>
          <cell r="GO88">
            <v>261.84693567436773</v>
          </cell>
          <cell r="GP88">
            <v>130.92346783718386</v>
          </cell>
          <cell r="GQ88">
            <v>130.92346783718386</v>
          </cell>
          <cell r="GR88">
            <v>261.84693567436773</v>
          </cell>
          <cell r="GS88">
            <v>130.92346783718386</v>
          </cell>
          <cell r="GT88">
            <v>130.92346783718386</v>
          </cell>
          <cell r="GU88">
            <v>261.84693567436773</v>
          </cell>
          <cell r="GV88">
            <v>130.92346783718386</v>
          </cell>
          <cell r="GW88">
            <v>130.92346783718386</v>
          </cell>
          <cell r="GX88">
            <v>261.84693567436773</v>
          </cell>
        </row>
        <row r="89">
          <cell r="A89" t="str">
            <v>Depreciation &amp; Amortisation</v>
          </cell>
          <cell r="B89" t="str">
            <v>A$m</v>
          </cell>
          <cell r="D89">
            <v>33.930767259999996</v>
          </cell>
          <cell r="E89">
            <v>27.259052820000001</v>
          </cell>
          <cell r="F89">
            <v>29.740713</v>
          </cell>
          <cell r="G89">
            <v>32.561830380000004</v>
          </cell>
          <cell r="H89">
            <v>35.751100680000008</v>
          </cell>
          <cell r="I89">
            <v>37.206064839999996</v>
          </cell>
          <cell r="J89">
            <v>50.3</v>
          </cell>
          <cell r="K89">
            <v>66</v>
          </cell>
          <cell r="L89">
            <v>91.1</v>
          </cell>
          <cell r="M89">
            <v>106.27969999999999</v>
          </cell>
          <cell r="N89">
            <v>128.137788</v>
          </cell>
          <cell r="O89">
            <v>136.99403536977491</v>
          </cell>
          <cell r="P89">
            <v>177.3224276527331</v>
          </cell>
          <cell r="Q89">
            <v>201.76205787781348</v>
          </cell>
          <cell r="R89">
            <v>230.5852090032154</v>
          </cell>
          <cell r="S89">
            <v>230.5852090032154</v>
          </cell>
          <cell r="T89">
            <v>230.5852090032154</v>
          </cell>
          <cell r="U89">
            <v>230.5852090032154</v>
          </cell>
          <cell r="V89">
            <v>230.5852090032154</v>
          </cell>
          <cell r="W89">
            <v>230.5852090032154</v>
          </cell>
          <cell r="X89">
            <v>230.5852090032154</v>
          </cell>
          <cell r="Y89">
            <v>230.5852090032154</v>
          </cell>
          <cell r="Z89">
            <v>230.5852090032154</v>
          </cell>
          <cell r="AA89">
            <v>230.5852090032154</v>
          </cell>
          <cell r="AB89">
            <v>230.5852090032154</v>
          </cell>
          <cell r="AC89">
            <v>230.5852090032154</v>
          </cell>
          <cell r="AD89">
            <v>230.5852090032154</v>
          </cell>
          <cell r="AE89">
            <v>230.5852090032154</v>
          </cell>
          <cell r="AF89">
            <v>230.5852090032154</v>
          </cell>
          <cell r="AG89">
            <v>230.5852090032154</v>
          </cell>
          <cell r="AH89">
            <v>230.5852090032154</v>
          </cell>
          <cell r="AI89">
            <v>230.5852090032154</v>
          </cell>
          <cell r="AJ89">
            <v>230.5852090032154</v>
          </cell>
          <cell r="AK89">
            <v>230.5852090032154</v>
          </cell>
          <cell r="AL89">
            <v>230.5852090032154</v>
          </cell>
          <cell r="AM89">
            <v>230.5852090032154</v>
          </cell>
          <cell r="AN89">
            <v>230.5852090032154</v>
          </cell>
          <cell r="AO89">
            <v>230.5852090032154</v>
          </cell>
          <cell r="AP89">
            <v>230.5852090032154</v>
          </cell>
          <cell r="AQ89">
            <v>230.5852090032154</v>
          </cell>
          <cell r="AR89">
            <v>230.5852090032154</v>
          </cell>
          <cell r="AS89">
            <v>115.2926045016077</v>
          </cell>
          <cell r="AT89">
            <v>115.2926045016077</v>
          </cell>
          <cell r="AU89">
            <v>115.2926045016077</v>
          </cell>
          <cell r="AV89">
            <v>115.2926045016077</v>
          </cell>
          <cell r="AW89">
            <v>115.2926045016077</v>
          </cell>
          <cell r="AX89">
            <v>115.2926045016077</v>
          </cell>
          <cell r="AY89">
            <v>115.2926045016077</v>
          </cell>
          <cell r="AZ89">
            <v>115.2926045016077</v>
          </cell>
          <cell r="BA89">
            <v>115.2926045016077</v>
          </cell>
          <cell r="BF89">
            <v>17.391719099999996</v>
          </cell>
          <cell r="BG89">
            <v>16.53904816</v>
          </cell>
          <cell r="BH89">
            <v>33.930767259999996</v>
          </cell>
          <cell r="BI89">
            <v>13.386714570000001</v>
          </cell>
          <cell r="BJ89">
            <v>13.87233825</v>
          </cell>
          <cell r="BK89">
            <v>27.259052820000001</v>
          </cell>
          <cell r="BL89">
            <v>13.864073099999999</v>
          </cell>
          <cell r="BM89">
            <v>15.876639900000001</v>
          </cell>
          <cell r="BN89">
            <v>29.740713</v>
          </cell>
          <cell r="BO89">
            <v>15.329621339999999</v>
          </cell>
          <cell r="BP89">
            <v>17.232209040000004</v>
          </cell>
          <cell r="BQ89">
            <v>32.561830380000004</v>
          </cell>
          <cell r="BR89">
            <v>15.990246000000003</v>
          </cell>
          <cell r="BS89">
            <v>19.760854680000001</v>
          </cell>
          <cell r="BT89">
            <v>35.751100680000008</v>
          </cell>
          <cell r="BU89">
            <v>16.698830839999999</v>
          </cell>
          <cell r="BV89">
            <v>20.507234</v>
          </cell>
          <cell r="BW89">
            <v>37.206064839999996</v>
          </cell>
          <cell r="BX89">
            <v>20.28942</v>
          </cell>
          <cell r="BY89">
            <v>30.010579999999997</v>
          </cell>
          <cell r="BZ89">
            <v>50.3</v>
          </cell>
          <cell r="CA89">
            <v>28.3</v>
          </cell>
          <cell r="CB89">
            <v>37.700000000000003</v>
          </cell>
          <cell r="CC89">
            <v>66</v>
          </cell>
          <cell r="CD89">
            <v>41.4</v>
          </cell>
          <cell r="CE89">
            <v>91.1</v>
          </cell>
          <cell r="CF89">
            <v>49.699999999999996</v>
          </cell>
          <cell r="CG89">
            <v>56.579700000000003</v>
          </cell>
          <cell r="CH89">
            <v>106.27969999999999</v>
          </cell>
          <cell r="CI89">
            <v>64.451849999999993</v>
          </cell>
          <cell r="CJ89">
            <v>63.685938</v>
          </cell>
          <cell r="CK89">
            <v>128.137788</v>
          </cell>
          <cell r="CL89">
            <v>67.398135048231509</v>
          </cell>
          <cell r="CM89">
            <v>69.595900321543397</v>
          </cell>
          <cell r="CN89">
            <v>136.99403536977491</v>
          </cell>
          <cell r="CO89">
            <v>86.469453376205792</v>
          </cell>
          <cell r="CP89">
            <v>90.85297427652732</v>
          </cell>
          <cell r="CQ89">
            <v>177.3224276527331</v>
          </cell>
          <cell r="CR89">
            <v>100.88102893890674</v>
          </cell>
          <cell r="CS89">
            <v>100.88102893890674</v>
          </cell>
          <cell r="CT89">
            <v>201.76205787781348</v>
          </cell>
          <cell r="CU89">
            <v>115.2926045016077</v>
          </cell>
          <cell r="CV89">
            <v>115.2926045016077</v>
          </cell>
          <cell r="CW89">
            <v>230.5852090032154</v>
          </cell>
          <cell r="CX89">
            <v>115.2926045016077</v>
          </cell>
          <cell r="CY89">
            <v>115.2926045016077</v>
          </cell>
          <cell r="CZ89">
            <v>230.5852090032154</v>
          </cell>
          <cell r="DA89">
            <v>115.2926045016077</v>
          </cell>
          <cell r="DB89">
            <v>115.2926045016077</v>
          </cell>
          <cell r="DC89">
            <v>230.5852090032154</v>
          </cell>
          <cell r="DD89">
            <v>115.2926045016077</v>
          </cell>
          <cell r="DE89">
            <v>115.2926045016077</v>
          </cell>
          <cell r="DF89">
            <v>230.5852090032154</v>
          </cell>
          <cell r="DG89">
            <v>115.2926045016077</v>
          </cell>
          <cell r="DH89">
            <v>115.2926045016077</v>
          </cell>
          <cell r="DI89">
            <v>230.5852090032154</v>
          </cell>
          <cell r="DJ89">
            <v>115.2926045016077</v>
          </cell>
          <cell r="DK89">
            <v>115.2926045016077</v>
          </cell>
          <cell r="DL89">
            <v>230.5852090032154</v>
          </cell>
          <cell r="DM89">
            <v>115.2926045016077</v>
          </cell>
          <cell r="DN89">
            <v>115.2926045016077</v>
          </cell>
          <cell r="DO89">
            <v>230.5852090032154</v>
          </cell>
          <cell r="DP89">
            <v>115.2926045016077</v>
          </cell>
          <cell r="DQ89">
            <v>115.2926045016077</v>
          </cell>
          <cell r="DR89">
            <v>230.5852090032154</v>
          </cell>
          <cell r="DS89">
            <v>115.2926045016077</v>
          </cell>
          <cell r="DT89">
            <v>115.2926045016077</v>
          </cell>
          <cell r="DU89">
            <v>230.5852090032154</v>
          </cell>
          <cell r="DV89">
            <v>115.2926045016077</v>
          </cell>
          <cell r="DW89">
            <v>115.2926045016077</v>
          </cell>
          <cell r="DX89">
            <v>230.5852090032154</v>
          </cell>
          <cell r="DY89">
            <v>115.2926045016077</v>
          </cell>
          <cell r="DZ89">
            <v>115.2926045016077</v>
          </cell>
          <cell r="EA89">
            <v>230.5852090032154</v>
          </cell>
          <cell r="EB89">
            <v>115.2926045016077</v>
          </cell>
          <cell r="EC89">
            <v>115.2926045016077</v>
          </cell>
          <cell r="ED89">
            <v>230.5852090032154</v>
          </cell>
          <cell r="EE89">
            <v>115.2926045016077</v>
          </cell>
          <cell r="EF89">
            <v>115.2926045016077</v>
          </cell>
          <cell r="EG89">
            <v>230.5852090032154</v>
          </cell>
          <cell r="EH89">
            <v>115.2926045016077</v>
          </cell>
          <cell r="EI89">
            <v>115.2926045016077</v>
          </cell>
          <cell r="EJ89">
            <v>230.5852090032154</v>
          </cell>
          <cell r="EK89">
            <v>115.2926045016077</v>
          </cell>
          <cell r="EL89">
            <v>115.2926045016077</v>
          </cell>
          <cell r="EM89">
            <v>230.5852090032154</v>
          </cell>
          <cell r="EN89">
            <v>115.2926045016077</v>
          </cell>
          <cell r="EO89">
            <v>115.2926045016077</v>
          </cell>
          <cell r="EP89">
            <v>230.5852090032154</v>
          </cell>
          <cell r="EQ89">
            <v>115.2926045016077</v>
          </cell>
          <cell r="ER89">
            <v>115.2926045016077</v>
          </cell>
          <cell r="ES89">
            <v>230.5852090032154</v>
          </cell>
          <cell r="ET89">
            <v>115.2926045016077</v>
          </cell>
          <cell r="EU89">
            <v>115.2926045016077</v>
          </cell>
          <cell r="EV89">
            <v>230.5852090032154</v>
          </cell>
          <cell r="EW89">
            <v>115.2926045016077</v>
          </cell>
          <cell r="EX89">
            <v>115.2926045016077</v>
          </cell>
          <cell r="EY89">
            <v>230.5852090032154</v>
          </cell>
          <cell r="EZ89">
            <v>115.2926045016077</v>
          </cell>
          <cell r="FA89">
            <v>115.2926045016077</v>
          </cell>
          <cell r="FB89">
            <v>230.5852090032154</v>
          </cell>
          <cell r="FC89">
            <v>115.2926045016077</v>
          </cell>
          <cell r="FD89">
            <v>115.2926045016077</v>
          </cell>
          <cell r="FE89">
            <v>230.5852090032154</v>
          </cell>
          <cell r="FF89">
            <v>115.2926045016077</v>
          </cell>
          <cell r="FG89">
            <v>115.2926045016077</v>
          </cell>
          <cell r="FH89">
            <v>230.5852090032154</v>
          </cell>
          <cell r="FI89">
            <v>115.2926045016077</v>
          </cell>
          <cell r="FJ89">
            <v>115.2926045016077</v>
          </cell>
          <cell r="FK89">
            <v>230.5852090032154</v>
          </cell>
          <cell r="FL89">
            <v>115.2926045016077</v>
          </cell>
          <cell r="FM89">
            <v>115.2926045016077</v>
          </cell>
          <cell r="FN89">
            <v>230.5852090032154</v>
          </cell>
          <cell r="FO89">
            <v>115.2926045016077</v>
          </cell>
          <cell r="FP89">
            <v>115.2926045016077</v>
          </cell>
          <cell r="FQ89">
            <v>230.5852090032154</v>
          </cell>
          <cell r="FR89">
            <v>115.2926045016077</v>
          </cell>
          <cell r="FS89">
            <v>115.2926045016077</v>
          </cell>
          <cell r="FT89">
            <v>230.5852090032154</v>
          </cell>
          <cell r="FU89">
            <v>115.2926045016077</v>
          </cell>
          <cell r="FV89">
            <v>115.2926045016077</v>
          </cell>
          <cell r="FW89">
            <v>230.5852090032154</v>
          </cell>
          <cell r="FX89">
            <v>57.646302250803849</v>
          </cell>
          <cell r="FY89">
            <v>57.646302250803849</v>
          </cell>
          <cell r="FZ89">
            <v>115.2926045016077</v>
          </cell>
          <cell r="GA89">
            <v>57.646302250803849</v>
          </cell>
          <cell r="GB89">
            <v>57.646302250803849</v>
          </cell>
          <cell r="GC89">
            <v>115.2926045016077</v>
          </cell>
          <cell r="GD89">
            <v>57.646302250803849</v>
          </cell>
          <cell r="GE89">
            <v>57.646302250803849</v>
          </cell>
          <cell r="GF89">
            <v>115.2926045016077</v>
          </cell>
          <cell r="GG89">
            <v>57.646302250803849</v>
          </cell>
          <cell r="GH89">
            <v>57.646302250803849</v>
          </cell>
          <cell r="GI89">
            <v>115.2926045016077</v>
          </cell>
          <cell r="GJ89">
            <v>57.646302250803849</v>
          </cell>
          <cell r="GK89">
            <v>57.646302250803849</v>
          </cell>
          <cell r="GL89">
            <v>115.2926045016077</v>
          </cell>
          <cell r="GM89">
            <v>57.646302250803849</v>
          </cell>
          <cell r="GN89">
            <v>57.646302250803849</v>
          </cell>
          <cell r="GO89">
            <v>115.2926045016077</v>
          </cell>
          <cell r="GP89">
            <v>57.646302250803849</v>
          </cell>
          <cell r="GQ89">
            <v>57.646302250803849</v>
          </cell>
          <cell r="GR89">
            <v>115.2926045016077</v>
          </cell>
          <cell r="GS89">
            <v>57.646302250803849</v>
          </cell>
          <cell r="GT89">
            <v>57.646302250803849</v>
          </cell>
          <cell r="GU89">
            <v>115.2926045016077</v>
          </cell>
          <cell r="GV89">
            <v>57.646302250803849</v>
          </cell>
          <cell r="GW89">
            <v>57.646302250803849</v>
          </cell>
          <cell r="GX89">
            <v>115.2926045016077</v>
          </cell>
        </row>
        <row r="90">
          <cell r="A90" t="str">
            <v>Other</v>
          </cell>
          <cell r="B90" t="str">
            <v>A$m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-184.296942</v>
          </cell>
          <cell r="O90">
            <v>0</v>
          </cell>
          <cell r="P90">
            <v>0</v>
          </cell>
          <cell r="Q90">
            <v>0</v>
          </cell>
          <cell r="R90">
            <v>-76.861736334405137</v>
          </cell>
          <cell r="S90">
            <v>-76.861736334405137</v>
          </cell>
          <cell r="T90">
            <v>-76.861736334405137</v>
          </cell>
          <cell r="U90">
            <v>-76.861736334405137</v>
          </cell>
          <cell r="V90">
            <v>-76.861736334405137</v>
          </cell>
          <cell r="W90">
            <v>-38.430868167202568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CI90">
            <v>-14.451849999999979</v>
          </cell>
          <cell r="CJ90">
            <v>-103.51729</v>
          </cell>
          <cell r="CK90">
            <v>-184.296942</v>
          </cell>
          <cell r="CL90">
            <v>0</v>
          </cell>
          <cell r="CM90">
            <v>0</v>
          </cell>
          <cell r="CN90">
            <v>0</v>
          </cell>
          <cell r="CO90">
            <v>0</v>
          </cell>
          <cell r="CP90">
            <v>0</v>
          </cell>
          <cell r="CQ90">
            <v>0</v>
          </cell>
          <cell r="CR90">
            <v>0</v>
          </cell>
          <cell r="CS90">
            <v>0</v>
          </cell>
          <cell r="CT90">
            <v>0</v>
          </cell>
          <cell r="CU90">
            <v>-38.430868167202568</v>
          </cell>
          <cell r="CV90">
            <v>-38.430868167202568</v>
          </cell>
          <cell r="CW90">
            <v>-76.861736334405137</v>
          </cell>
          <cell r="CX90">
            <v>-38.430868167202568</v>
          </cell>
          <cell r="CY90">
            <v>-38.430868167202568</v>
          </cell>
          <cell r="CZ90">
            <v>-76.861736334405137</v>
          </cell>
          <cell r="DA90">
            <v>-38.430868167202568</v>
          </cell>
          <cell r="DB90">
            <v>-38.430868167202568</v>
          </cell>
          <cell r="DC90">
            <v>-76.861736334405137</v>
          </cell>
          <cell r="DD90">
            <v>-38.430868167202568</v>
          </cell>
          <cell r="DE90">
            <v>-38.430868167202568</v>
          </cell>
          <cell r="DF90">
            <v>-76.861736334405137</v>
          </cell>
          <cell r="DG90">
            <v>-38.430868167202568</v>
          </cell>
          <cell r="DH90">
            <v>-38.430868167202568</v>
          </cell>
          <cell r="DI90">
            <v>-76.861736334405137</v>
          </cell>
          <cell r="DJ90">
            <v>-38.430868167202568</v>
          </cell>
          <cell r="DK90">
            <v>0</v>
          </cell>
          <cell r="DL90">
            <v>-38.430868167202568</v>
          </cell>
          <cell r="DM90">
            <v>0</v>
          </cell>
          <cell r="DN90">
            <v>0</v>
          </cell>
          <cell r="DO90">
            <v>0</v>
          </cell>
          <cell r="DP90">
            <v>0</v>
          </cell>
          <cell r="DQ90">
            <v>0</v>
          </cell>
          <cell r="DR90">
            <v>0</v>
          </cell>
          <cell r="DS90">
            <v>0</v>
          </cell>
          <cell r="DT90">
            <v>0</v>
          </cell>
          <cell r="DU90">
            <v>0</v>
          </cell>
          <cell r="DV90">
            <v>0</v>
          </cell>
          <cell r="DW90">
            <v>0</v>
          </cell>
          <cell r="DX90">
            <v>0</v>
          </cell>
          <cell r="DY90">
            <v>0</v>
          </cell>
          <cell r="DZ90">
            <v>0</v>
          </cell>
          <cell r="EA90">
            <v>0</v>
          </cell>
          <cell r="EB90">
            <v>0</v>
          </cell>
          <cell r="EC90">
            <v>0</v>
          </cell>
          <cell r="ED90">
            <v>0</v>
          </cell>
          <cell r="EE90">
            <v>0</v>
          </cell>
          <cell r="EF90">
            <v>0</v>
          </cell>
          <cell r="EG90">
            <v>0</v>
          </cell>
          <cell r="EH90">
            <v>0</v>
          </cell>
          <cell r="EI90">
            <v>0</v>
          </cell>
          <cell r="EJ90">
            <v>0</v>
          </cell>
          <cell r="EK90">
            <v>0</v>
          </cell>
          <cell r="EL90">
            <v>0</v>
          </cell>
          <cell r="EM90">
            <v>0</v>
          </cell>
          <cell r="EN90">
            <v>0</v>
          </cell>
          <cell r="EO90">
            <v>0</v>
          </cell>
          <cell r="EP90">
            <v>0</v>
          </cell>
          <cell r="EQ90">
            <v>0</v>
          </cell>
          <cell r="ER90">
            <v>0</v>
          </cell>
          <cell r="ES90">
            <v>0</v>
          </cell>
          <cell r="ET90">
            <v>0</v>
          </cell>
          <cell r="EU90">
            <v>0</v>
          </cell>
          <cell r="EV90">
            <v>0</v>
          </cell>
          <cell r="EW90">
            <v>0</v>
          </cell>
          <cell r="EX90">
            <v>0</v>
          </cell>
          <cell r="EY90">
            <v>0</v>
          </cell>
          <cell r="EZ90">
            <v>0</v>
          </cell>
          <cell r="FA90">
            <v>0</v>
          </cell>
          <cell r="FB90">
            <v>0</v>
          </cell>
          <cell r="FC90">
            <v>0</v>
          </cell>
          <cell r="FD90">
            <v>0</v>
          </cell>
          <cell r="FE90">
            <v>0</v>
          </cell>
          <cell r="FF90">
            <v>0</v>
          </cell>
          <cell r="FG90">
            <v>0</v>
          </cell>
          <cell r="FH90">
            <v>0</v>
          </cell>
          <cell r="FI90">
            <v>0</v>
          </cell>
          <cell r="FJ90">
            <v>0</v>
          </cell>
          <cell r="FK90">
            <v>0</v>
          </cell>
          <cell r="FL90">
            <v>0</v>
          </cell>
          <cell r="FM90">
            <v>0</v>
          </cell>
          <cell r="FN90">
            <v>0</v>
          </cell>
          <cell r="FO90">
            <v>0</v>
          </cell>
          <cell r="FP90">
            <v>0</v>
          </cell>
          <cell r="FQ90">
            <v>0</v>
          </cell>
          <cell r="FR90">
            <v>0</v>
          </cell>
          <cell r="FS90">
            <v>0</v>
          </cell>
          <cell r="FT90">
            <v>0</v>
          </cell>
          <cell r="FU90">
            <v>0</v>
          </cell>
          <cell r="FV90">
            <v>0</v>
          </cell>
          <cell r="FW90">
            <v>0</v>
          </cell>
          <cell r="FX90">
            <v>0</v>
          </cell>
          <cell r="FY90">
            <v>0</v>
          </cell>
          <cell r="FZ90">
            <v>0</v>
          </cell>
          <cell r="GA90">
            <v>0</v>
          </cell>
          <cell r="GB90">
            <v>0</v>
          </cell>
          <cell r="GC90">
            <v>0</v>
          </cell>
          <cell r="GD90">
            <v>0</v>
          </cell>
          <cell r="GE90">
            <v>0</v>
          </cell>
          <cell r="GF90">
            <v>0</v>
          </cell>
          <cell r="GG90">
            <v>0</v>
          </cell>
          <cell r="GH90">
            <v>0</v>
          </cell>
          <cell r="GI90">
            <v>0</v>
          </cell>
          <cell r="GJ90">
            <v>0</v>
          </cell>
          <cell r="GK90">
            <v>0</v>
          </cell>
          <cell r="GL90">
            <v>0</v>
          </cell>
          <cell r="GM90">
            <v>0</v>
          </cell>
          <cell r="GN90">
            <v>0</v>
          </cell>
          <cell r="GO90">
            <v>0</v>
          </cell>
          <cell r="GP90">
            <v>0</v>
          </cell>
          <cell r="GQ90">
            <v>0</v>
          </cell>
          <cell r="GR90">
            <v>0</v>
          </cell>
          <cell r="GS90">
            <v>0</v>
          </cell>
          <cell r="GT90">
            <v>0</v>
          </cell>
          <cell r="GU90">
            <v>0</v>
          </cell>
          <cell r="GV90">
            <v>0</v>
          </cell>
          <cell r="GW90">
            <v>0</v>
          </cell>
          <cell r="GX90">
            <v>0</v>
          </cell>
        </row>
        <row r="91">
          <cell r="A91" t="str">
            <v>EBIT</v>
          </cell>
          <cell r="B91" t="str">
            <v>A$m</v>
          </cell>
          <cell r="D91">
            <v>4.5336002800000017</v>
          </cell>
          <cell r="E91">
            <v>14.467563789999993</v>
          </cell>
          <cell r="F91">
            <v>-14.35493812</v>
          </cell>
          <cell r="G91">
            <v>27.594779449999976</v>
          </cell>
          <cell r="H91">
            <v>28.078017319999987</v>
          </cell>
          <cell r="I91">
            <v>142.16939882000003</v>
          </cell>
          <cell r="J91">
            <v>237.20000000000002</v>
          </cell>
          <cell r="K91">
            <v>294</v>
          </cell>
          <cell r="L91">
            <v>412.3</v>
          </cell>
          <cell r="M91">
            <v>418.38900613560099</v>
          </cell>
          <cell r="N91">
            <v>498.02390125574078</v>
          </cell>
          <cell r="O91">
            <v>797.21909975803328</v>
          </cell>
          <cell r="P91">
            <v>1199.4321675478527</v>
          </cell>
          <cell r="Q91">
            <v>1274.3940478738582</v>
          </cell>
          <cell r="R91">
            <v>1562.4426249590756</v>
          </cell>
          <cell r="S91">
            <v>1502.4665198298399</v>
          </cell>
          <cell r="T91">
            <v>1042.9041783864948</v>
          </cell>
          <cell r="U91">
            <v>659.68493825368694</v>
          </cell>
          <cell r="V91">
            <v>659.68493825368694</v>
          </cell>
          <cell r="W91">
            <v>641.25407008648449</v>
          </cell>
          <cell r="X91">
            <v>602.82320191928193</v>
          </cell>
          <cell r="Y91">
            <v>602.82320191928193</v>
          </cell>
          <cell r="Z91">
            <v>602.82320191928193</v>
          </cell>
          <cell r="AA91">
            <v>602.82320191928193</v>
          </cell>
          <cell r="AB91">
            <v>602.82320191928193</v>
          </cell>
          <cell r="AC91">
            <v>602.82320191928193</v>
          </cell>
          <cell r="AD91">
            <v>602.82320191928193</v>
          </cell>
          <cell r="AE91">
            <v>602.82320191928193</v>
          </cell>
          <cell r="AF91">
            <v>602.82320191928193</v>
          </cell>
          <cell r="AG91">
            <v>602.82320191928193</v>
          </cell>
          <cell r="AH91">
            <v>602.82320191928193</v>
          </cell>
          <cell r="AI91">
            <v>602.82320191928193</v>
          </cell>
          <cell r="AJ91">
            <v>602.82320191928193</v>
          </cell>
          <cell r="AK91">
            <v>602.82320191928193</v>
          </cell>
          <cell r="AL91">
            <v>602.82320191928193</v>
          </cell>
          <cell r="AM91">
            <v>602.82320191928193</v>
          </cell>
          <cell r="AN91">
            <v>602.82320191928193</v>
          </cell>
          <cell r="AO91">
            <v>602.82320191928193</v>
          </cell>
          <cell r="AP91">
            <v>602.82320191928193</v>
          </cell>
          <cell r="AQ91">
            <v>602.82320191928193</v>
          </cell>
          <cell r="AR91">
            <v>602.82320191928193</v>
          </cell>
          <cell r="AS91">
            <v>146.55433117276004</v>
          </cell>
          <cell r="AT91">
            <v>146.55433117276004</v>
          </cell>
          <cell r="AU91">
            <v>146.55433117276004</v>
          </cell>
          <cell r="AV91">
            <v>146.55433117276004</v>
          </cell>
          <cell r="AW91">
            <v>146.55433117276004</v>
          </cell>
          <cell r="AX91">
            <v>146.55433117276004</v>
          </cell>
          <cell r="AY91">
            <v>146.55433117276004</v>
          </cell>
          <cell r="AZ91">
            <v>146.55433117276004</v>
          </cell>
          <cell r="BA91">
            <v>146.55433117276004</v>
          </cell>
          <cell r="BF91">
            <v>7.14635277</v>
          </cell>
          <cell r="BG91">
            <v>-2.6127524899999983</v>
          </cell>
          <cell r="BH91">
            <v>4.5336002800000017</v>
          </cell>
          <cell r="BI91">
            <v>6.3022614299999962</v>
          </cell>
          <cell r="BJ91">
            <v>8.1653023599999965</v>
          </cell>
          <cell r="BK91">
            <v>14.467563789999993</v>
          </cell>
          <cell r="BL91">
            <v>-17.98871849999999</v>
          </cell>
          <cell r="BM91">
            <v>3.6337803799999904</v>
          </cell>
          <cell r="BN91">
            <v>-14.35493812</v>
          </cell>
          <cell r="BO91">
            <v>1.9890961499999982</v>
          </cell>
          <cell r="BP91">
            <v>25.605683299999978</v>
          </cell>
          <cell r="BQ91">
            <v>27.594779449999976</v>
          </cell>
          <cell r="BR91">
            <v>-38.039639999999991</v>
          </cell>
          <cell r="BS91">
            <v>66.117657319999978</v>
          </cell>
          <cell r="BT91">
            <v>28.078017319999987</v>
          </cell>
          <cell r="BU91">
            <v>71.54811282</v>
          </cell>
          <cell r="BV91">
            <v>70.621286000000012</v>
          </cell>
          <cell r="BW91">
            <v>142.16939882000003</v>
          </cell>
          <cell r="BX91">
            <v>109.05472</v>
          </cell>
          <cell r="BY91">
            <v>128.14528000000001</v>
          </cell>
          <cell r="BZ91">
            <v>237.20000000000002</v>
          </cell>
          <cell r="CA91">
            <v>117.3</v>
          </cell>
          <cell r="CB91">
            <v>176.7</v>
          </cell>
          <cell r="CC91">
            <v>294</v>
          </cell>
          <cell r="CD91">
            <v>242.1</v>
          </cell>
          <cell r="CE91">
            <v>412.3</v>
          </cell>
          <cell r="CF91">
            <v>166.96631972</v>
          </cell>
          <cell r="CG91">
            <v>251.42268641560099</v>
          </cell>
          <cell r="CH91">
            <v>418.38900613560099</v>
          </cell>
          <cell r="CI91">
            <v>207.2</v>
          </cell>
          <cell r="CJ91">
            <v>290.82390125574079</v>
          </cell>
          <cell r="CK91">
            <v>498.02390125574078</v>
          </cell>
          <cell r="CL91">
            <v>295.16982910758816</v>
          </cell>
          <cell r="CM91">
            <v>502.04927065044518</v>
          </cell>
          <cell r="CN91">
            <v>797.21909975803328</v>
          </cell>
          <cell r="CO91">
            <v>615.87384057310646</v>
          </cell>
          <cell r="CP91">
            <v>583.55832697474625</v>
          </cell>
          <cell r="CQ91">
            <v>1199.4321675478527</v>
          </cell>
          <cell r="CR91">
            <v>677.60189947334197</v>
          </cell>
          <cell r="CS91">
            <v>596.79214840051623</v>
          </cell>
          <cell r="CT91">
            <v>1274.3940478738582</v>
          </cell>
          <cell r="CU91">
            <v>773.037814388887</v>
          </cell>
          <cell r="CV91">
            <v>789.40481057018849</v>
          </cell>
          <cell r="CW91">
            <v>1562.4426249590756</v>
          </cell>
          <cell r="CX91">
            <v>789.40481057018849</v>
          </cell>
          <cell r="CY91">
            <v>713.06170925965125</v>
          </cell>
          <cell r="CZ91">
            <v>1502.4665198298399</v>
          </cell>
          <cell r="DA91">
            <v>713.06170925965125</v>
          </cell>
          <cell r="DB91">
            <v>329.84246912684347</v>
          </cell>
          <cell r="DC91">
            <v>1042.9041783864948</v>
          </cell>
          <cell r="DD91">
            <v>329.84246912684347</v>
          </cell>
          <cell r="DE91">
            <v>329.84246912684347</v>
          </cell>
          <cell r="DF91">
            <v>659.68493825368694</v>
          </cell>
          <cell r="DG91">
            <v>329.84246912684347</v>
          </cell>
          <cell r="DH91">
            <v>329.84246912684347</v>
          </cell>
          <cell r="DI91">
            <v>659.68493825368694</v>
          </cell>
          <cell r="DJ91">
            <v>339.84246912684353</v>
          </cell>
          <cell r="DK91">
            <v>301.41160095964096</v>
          </cell>
          <cell r="DL91">
            <v>641.25407008648449</v>
          </cell>
          <cell r="DM91">
            <v>301.41160095964096</v>
          </cell>
          <cell r="DN91">
            <v>301.41160095964096</v>
          </cell>
          <cell r="DO91">
            <v>602.82320191928193</v>
          </cell>
          <cell r="DP91">
            <v>301.41160095964096</v>
          </cell>
          <cell r="DQ91">
            <v>301.41160095964096</v>
          </cell>
          <cell r="DR91">
            <v>602.82320191928193</v>
          </cell>
          <cell r="DS91">
            <v>301.41160095964096</v>
          </cell>
          <cell r="DT91">
            <v>301.41160095964096</v>
          </cell>
          <cell r="DU91">
            <v>602.82320191928193</v>
          </cell>
          <cell r="DV91">
            <v>301.41160095964096</v>
          </cell>
          <cell r="DW91">
            <v>301.41160095964096</v>
          </cell>
          <cell r="DX91">
            <v>602.82320191928193</v>
          </cell>
          <cell r="DY91">
            <v>301.41160095964096</v>
          </cell>
          <cell r="DZ91">
            <v>301.41160095964096</v>
          </cell>
          <cell r="EA91">
            <v>602.82320191928193</v>
          </cell>
          <cell r="EB91">
            <v>301.41160095964096</v>
          </cell>
          <cell r="EC91">
            <v>301.41160095964096</v>
          </cell>
          <cell r="ED91">
            <v>602.82320191928193</v>
          </cell>
          <cell r="EE91">
            <v>301.41160095964096</v>
          </cell>
          <cell r="EF91">
            <v>301.41160095964096</v>
          </cell>
          <cell r="EG91">
            <v>602.82320191928193</v>
          </cell>
          <cell r="EH91">
            <v>301.41160095964096</v>
          </cell>
          <cell r="EI91">
            <v>301.41160095964096</v>
          </cell>
          <cell r="EJ91">
            <v>602.82320191928193</v>
          </cell>
          <cell r="EK91">
            <v>301.41160095964096</v>
          </cell>
          <cell r="EL91">
            <v>301.41160095964096</v>
          </cell>
          <cell r="EM91">
            <v>602.82320191928193</v>
          </cell>
          <cell r="EN91">
            <v>301.41160095964096</v>
          </cell>
          <cell r="EO91">
            <v>301.41160095964096</v>
          </cell>
          <cell r="EP91">
            <v>602.82320191928193</v>
          </cell>
          <cell r="EQ91">
            <v>301.41160095964096</v>
          </cell>
          <cell r="ER91">
            <v>301.41160095964096</v>
          </cell>
          <cell r="ES91">
            <v>602.82320191928193</v>
          </cell>
          <cell r="ET91">
            <v>301.41160095964096</v>
          </cell>
          <cell r="EU91">
            <v>301.41160095964096</v>
          </cell>
          <cell r="EV91">
            <v>602.82320191928193</v>
          </cell>
          <cell r="EW91">
            <v>301.41160095964096</v>
          </cell>
          <cell r="EX91">
            <v>301.41160095964096</v>
          </cell>
          <cell r="EY91">
            <v>602.82320191928193</v>
          </cell>
          <cell r="EZ91">
            <v>301.41160095964096</v>
          </cell>
          <cell r="FA91">
            <v>301.41160095964096</v>
          </cell>
          <cell r="FB91">
            <v>602.82320191928193</v>
          </cell>
          <cell r="FC91">
            <v>301.41160095964096</v>
          </cell>
          <cell r="FD91">
            <v>301.41160095964096</v>
          </cell>
          <cell r="FE91">
            <v>602.82320191928193</v>
          </cell>
          <cell r="FF91">
            <v>301.41160095964096</v>
          </cell>
          <cell r="FG91">
            <v>301.41160095964096</v>
          </cell>
          <cell r="FH91">
            <v>602.82320191928193</v>
          </cell>
          <cell r="FI91">
            <v>301.41160095964096</v>
          </cell>
          <cell r="FJ91">
            <v>301.41160095964096</v>
          </cell>
          <cell r="FK91">
            <v>602.82320191928193</v>
          </cell>
          <cell r="FL91">
            <v>301.41160095964096</v>
          </cell>
          <cell r="FM91">
            <v>301.41160095964096</v>
          </cell>
          <cell r="FN91">
            <v>602.82320191928193</v>
          </cell>
          <cell r="FO91">
            <v>301.41160095964096</v>
          </cell>
          <cell r="FP91">
            <v>301.41160095964096</v>
          </cell>
          <cell r="FQ91">
            <v>602.82320191928193</v>
          </cell>
          <cell r="FR91">
            <v>301.41160095964096</v>
          </cell>
          <cell r="FS91">
            <v>301.41160095964096</v>
          </cell>
          <cell r="FT91">
            <v>602.82320191928193</v>
          </cell>
          <cell r="FU91">
            <v>301.41160095964096</v>
          </cell>
          <cell r="FV91">
            <v>301.41160095964096</v>
          </cell>
          <cell r="FW91">
            <v>602.82320191928193</v>
          </cell>
          <cell r="FX91">
            <v>73.277165586380022</v>
          </cell>
          <cell r="FY91">
            <v>73.277165586380022</v>
          </cell>
          <cell r="FZ91">
            <v>146.55433117276004</v>
          </cell>
          <cell r="GA91">
            <v>73.277165586380022</v>
          </cell>
          <cell r="GB91">
            <v>73.277165586380022</v>
          </cell>
          <cell r="GC91">
            <v>146.55433117276004</v>
          </cell>
          <cell r="GD91">
            <v>73.277165586380022</v>
          </cell>
          <cell r="GE91">
            <v>73.277165586380022</v>
          </cell>
          <cell r="GF91">
            <v>146.55433117276004</v>
          </cell>
          <cell r="GG91">
            <v>73.277165586380022</v>
          </cell>
          <cell r="GH91">
            <v>73.277165586380022</v>
          </cell>
          <cell r="GI91">
            <v>146.55433117276004</v>
          </cell>
          <cell r="GJ91">
            <v>73.277165586380022</v>
          </cell>
          <cell r="GK91">
            <v>73.277165586380022</v>
          </cell>
          <cell r="GL91">
            <v>146.55433117276004</v>
          </cell>
          <cell r="GM91">
            <v>73.277165586380022</v>
          </cell>
          <cell r="GN91">
            <v>73.277165586380022</v>
          </cell>
          <cell r="GO91">
            <v>146.55433117276004</v>
          </cell>
          <cell r="GP91">
            <v>73.277165586380022</v>
          </cell>
          <cell r="GQ91">
            <v>73.277165586380022</v>
          </cell>
          <cell r="GR91">
            <v>146.55433117276004</v>
          </cell>
          <cell r="GS91">
            <v>73.277165586380022</v>
          </cell>
          <cell r="GT91">
            <v>73.277165586380022</v>
          </cell>
          <cell r="GU91">
            <v>146.55433117276004</v>
          </cell>
          <cell r="GV91">
            <v>73.277165586380022</v>
          </cell>
          <cell r="GW91">
            <v>73.277165586380022</v>
          </cell>
          <cell r="GX91">
            <v>146.55433117276004</v>
          </cell>
        </row>
        <row r="93">
          <cell r="A93" t="str">
            <v>Tax Rate</v>
          </cell>
          <cell r="D93">
            <v>0.3</v>
          </cell>
          <cell r="E93">
            <v>0.3</v>
          </cell>
          <cell r="F93">
            <v>0.3</v>
          </cell>
          <cell r="G93">
            <v>0.3</v>
          </cell>
          <cell r="H93">
            <v>0.3</v>
          </cell>
          <cell r="I93">
            <v>0.3</v>
          </cell>
          <cell r="J93">
            <v>0.3</v>
          </cell>
          <cell r="K93">
            <v>0.3</v>
          </cell>
          <cell r="L93">
            <v>0.3</v>
          </cell>
          <cell r="M93">
            <v>0.25</v>
          </cell>
          <cell r="N93">
            <v>0.25</v>
          </cell>
          <cell r="O93">
            <v>0.25</v>
          </cell>
          <cell r="P93">
            <v>0.25</v>
          </cell>
          <cell r="Q93">
            <v>0.25</v>
          </cell>
          <cell r="R93">
            <v>0.25</v>
          </cell>
          <cell r="S93">
            <v>0.25</v>
          </cell>
          <cell r="T93">
            <v>0.25</v>
          </cell>
          <cell r="U93">
            <v>0.25</v>
          </cell>
          <cell r="V93">
            <v>0.25</v>
          </cell>
          <cell r="W93">
            <v>0.25</v>
          </cell>
          <cell r="X93">
            <v>0.25</v>
          </cell>
          <cell r="Y93">
            <v>0.25</v>
          </cell>
          <cell r="Z93">
            <v>0.25</v>
          </cell>
          <cell r="AA93">
            <v>0.25</v>
          </cell>
          <cell r="AB93">
            <v>0.25</v>
          </cell>
          <cell r="AC93">
            <v>0.25</v>
          </cell>
          <cell r="AD93">
            <v>0.25</v>
          </cell>
          <cell r="AE93">
            <v>0.25</v>
          </cell>
          <cell r="AF93">
            <v>0.25</v>
          </cell>
          <cell r="AG93">
            <v>0.25</v>
          </cell>
          <cell r="AH93">
            <v>0.25</v>
          </cell>
          <cell r="AI93">
            <v>0.25</v>
          </cell>
          <cell r="AJ93">
            <v>0.25</v>
          </cell>
          <cell r="AK93">
            <v>0.25</v>
          </cell>
          <cell r="AL93">
            <v>0.25</v>
          </cell>
          <cell r="AM93">
            <v>0.25</v>
          </cell>
          <cell r="AN93">
            <v>0.25</v>
          </cell>
          <cell r="AO93">
            <v>0.25</v>
          </cell>
          <cell r="AP93">
            <v>0.25</v>
          </cell>
          <cell r="AQ93">
            <v>0.25</v>
          </cell>
          <cell r="AR93">
            <v>0.25</v>
          </cell>
          <cell r="AS93">
            <v>0.25</v>
          </cell>
          <cell r="AT93">
            <v>0.25</v>
          </cell>
          <cell r="AU93">
            <v>0.25</v>
          </cell>
          <cell r="AV93">
            <v>0.25</v>
          </cell>
          <cell r="AW93">
            <v>0.25</v>
          </cell>
          <cell r="AX93">
            <v>0.25</v>
          </cell>
          <cell r="AY93">
            <v>0.25</v>
          </cell>
          <cell r="AZ93">
            <v>0.25</v>
          </cell>
          <cell r="BA93">
            <v>0.25</v>
          </cell>
          <cell r="BF93">
            <v>0.3</v>
          </cell>
          <cell r="BG93">
            <v>0.3</v>
          </cell>
          <cell r="BH93">
            <v>0.3</v>
          </cell>
          <cell r="BI93">
            <v>0.3</v>
          </cell>
          <cell r="BJ93">
            <v>0.3</v>
          </cell>
          <cell r="BK93">
            <v>0.3</v>
          </cell>
          <cell r="BL93">
            <v>0.3</v>
          </cell>
          <cell r="BM93">
            <v>0.3</v>
          </cell>
          <cell r="BN93">
            <v>0.3</v>
          </cell>
          <cell r="BO93">
            <v>0.3</v>
          </cell>
          <cell r="BP93">
            <v>0.3</v>
          </cell>
          <cell r="BQ93">
            <v>0.3</v>
          </cell>
          <cell r="BR93">
            <v>0.3</v>
          </cell>
          <cell r="BS93">
            <v>0.3</v>
          </cell>
          <cell r="BT93">
            <v>0.3</v>
          </cell>
          <cell r="BU93">
            <v>0.3</v>
          </cell>
          <cell r="BV93">
            <v>0.3</v>
          </cell>
          <cell r="BW93">
            <v>0.3</v>
          </cell>
          <cell r="BX93">
            <v>0.3</v>
          </cell>
          <cell r="BY93">
            <v>0.3</v>
          </cell>
          <cell r="BZ93">
            <v>0.3</v>
          </cell>
          <cell r="CA93">
            <v>0.3</v>
          </cell>
          <cell r="CB93">
            <v>0.3</v>
          </cell>
          <cell r="CC93">
            <v>0.3</v>
          </cell>
          <cell r="CD93">
            <v>0.3</v>
          </cell>
          <cell r="CE93">
            <v>0.3</v>
          </cell>
          <cell r="CF93">
            <v>0.25</v>
          </cell>
          <cell r="CG93">
            <v>0.25</v>
          </cell>
          <cell r="CH93">
            <v>0.25</v>
          </cell>
          <cell r="CI93">
            <v>0.25</v>
          </cell>
          <cell r="CJ93">
            <v>0.25</v>
          </cell>
          <cell r="CK93">
            <v>0.25</v>
          </cell>
          <cell r="CL93">
            <v>0.25</v>
          </cell>
          <cell r="CM93">
            <v>0.25</v>
          </cell>
          <cell r="CN93">
            <v>0.25</v>
          </cell>
          <cell r="CO93">
            <v>0.25</v>
          </cell>
          <cell r="CP93">
            <v>0.25</v>
          </cell>
          <cell r="CQ93">
            <v>0.25</v>
          </cell>
          <cell r="CR93">
            <v>0.25</v>
          </cell>
          <cell r="CS93">
            <v>0.25</v>
          </cell>
          <cell r="CT93">
            <v>0.25</v>
          </cell>
          <cell r="CU93">
            <v>0.25</v>
          </cell>
          <cell r="CV93">
            <v>0.25</v>
          </cell>
          <cell r="CW93">
            <v>0.25</v>
          </cell>
          <cell r="CX93">
            <v>0.25</v>
          </cell>
          <cell r="CY93">
            <v>0.25</v>
          </cell>
          <cell r="CZ93">
            <v>0.25</v>
          </cell>
          <cell r="DA93">
            <v>0.25</v>
          </cell>
          <cell r="DB93">
            <v>0.25</v>
          </cell>
          <cell r="DC93">
            <v>0.25</v>
          </cell>
          <cell r="DD93">
            <v>0.25</v>
          </cell>
          <cell r="DE93">
            <v>0.25</v>
          </cell>
          <cell r="DF93">
            <v>0.25</v>
          </cell>
          <cell r="DG93">
            <v>0.25</v>
          </cell>
          <cell r="DH93">
            <v>0.25</v>
          </cell>
          <cell r="DI93">
            <v>0.25</v>
          </cell>
          <cell r="DJ93">
            <v>0.25</v>
          </cell>
          <cell r="DK93">
            <v>0.25</v>
          </cell>
          <cell r="DL93">
            <v>0.25</v>
          </cell>
          <cell r="DM93">
            <v>0.25</v>
          </cell>
          <cell r="DN93">
            <v>0.25</v>
          </cell>
          <cell r="DO93">
            <v>0.25</v>
          </cell>
          <cell r="DP93">
            <v>0.25</v>
          </cell>
          <cell r="DQ93">
            <v>0.25</v>
          </cell>
          <cell r="DR93">
            <v>0.25</v>
          </cell>
          <cell r="DS93">
            <v>0.25</v>
          </cell>
          <cell r="DT93">
            <v>0.25</v>
          </cell>
          <cell r="DU93">
            <v>0.25</v>
          </cell>
          <cell r="DV93">
            <v>0.25</v>
          </cell>
          <cell r="DW93">
            <v>0.25</v>
          </cell>
          <cell r="DX93">
            <v>0.25</v>
          </cell>
          <cell r="DY93">
            <v>0.25</v>
          </cell>
          <cell r="DZ93">
            <v>0.25</v>
          </cell>
          <cell r="EA93">
            <v>0.25</v>
          </cell>
          <cell r="EB93">
            <v>0.25</v>
          </cell>
          <cell r="EC93">
            <v>0.25</v>
          </cell>
          <cell r="ED93">
            <v>0.25</v>
          </cell>
          <cell r="EE93">
            <v>0.25</v>
          </cell>
          <cell r="EF93">
            <v>0.25</v>
          </cell>
          <cell r="EG93">
            <v>0.25</v>
          </cell>
          <cell r="EH93">
            <v>0.25</v>
          </cell>
          <cell r="EI93">
            <v>0.25</v>
          </cell>
          <cell r="EJ93">
            <v>0.25</v>
          </cell>
          <cell r="EK93">
            <v>0.25</v>
          </cell>
          <cell r="EL93">
            <v>0.25</v>
          </cell>
          <cell r="EM93">
            <v>0.25</v>
          </cell>
          <cell r="EN93">
            <v>0.25</v>
          </cell>
          <cell r="EO93">
            <v>0.25</v>
          </cell>
          <cell r="EP93">
            <v>0.25</v>
          </cell>
          <cell r="EQ93">
            <v>0.25</v>
          </cell>
          <cell r="ER93">
            <v>0.25</v>
          </cell>
          <cell r="ES93">
            <v>0.25</v>
          </cell>
          <cell r="ET93">
            <v>0.25</v>
          </cell>
          <cell r="EU93">
            <v>0.25</v>
          </cell>
          <cell r="EV93">
            <v>0.25</v>
          </cell>
          <cell r="EW93">
            <v>0.25</v>
          </cell>
          <cell r="EX93">
            <v>0.25</v>
          </cell>
          <cell r="EY93">
            <v>0.25</v>
          </cell>
          <cell r="EZ93">
            <v>0.25</v>
          </cell>
          <cell r="FA93">
            <v>0.25</v>
          </cell>
          <cell r="FB93">
            <v>0.25</v>
          </cell>
          <cell r="FC93">
            <v>0.25</v>
          </cell>
          <cell r="FD93">
            <v>0.25</v>
          </cell>
          <cell r="FE93">
            <v>0.25</v>
          </cell>
          <cell r="FF93">
            <v>0.25</v>
          </cell>
          <cell r="FG93">
            <v>0.25</v>
          </cell>
          <cell r="FH93">
            <v>0.25</v>
          </cell>
          <cell r="FI93">
            <v>0.25</v>
          </cell>
          <cell r="FJ93">
            <v>0.25</v>
          </cell>
          <cell r="FK93">
            <v>0.25</v>
          </cell>
          <cell r="FL93">
            <v>0.25</v>
          </cell>
          <cell r="FM93">
            <v>0.25</v>
          </cell>
          <cell r="FN93">
            <v>0.25</v>
          </cell>
          <cell r="FO93">
            <v>0.25</v>
          </cell>
          <cell r="FP93">
            <v>0.25</v>
          </cell>
          <cell r="FQ93">
            <v>0.25</v>
          </cell>
          <cell r="FR93">
            <v>0.25</v>
          </cell>
          <cell r="FS93">
            <v>0.25</v>
          </cell>
          <cell r="FT93">
            <v>0.25</v>
          </cell>
          <cell r="FU93">
            <v>0.25</v>
          </cell>
          <cell r="FV93">
            <v>0.25</v>
          </cell>
          <cell r="FW93">
            <v>0.25</v>
          </cell>
          <cell r="FX93">
            <v>0.25</v>
          </cell>
          <cell r="FY93">
            <v>0.25</v>
          </cell>
          <cell r="FZ93">
            <v>0.25</v>
          </cell>
          <cell r="GA93">
            <v>0.25</v>
          </cell>
          <cell r="GB93">
            <v>0.25</v>
          </cell>
          <cell r="GC93">
            <v>0.25</v>
          </cell>
          <cell r="GD93">
            <v>0.25</v>
          </cell>
          <cell r="GE93">
            <v>0.25</v>
          </cell>
          <cell r="GF93">
            <v>0.25</v>
          </cell>
          <cell r="GG93">
            <v>0.25</v>
          </cell>
          <cell r="GH93">
            <v>0.25</v>
          </cell>
          <cell r="GI93">
            <v>0.25</v>
          </cell>
          <cell r="GJ93">
            <v>0.25</v>
          </cell>
          <cell r="GK93">
            <v>0.25</v>
          </cell>
          <cell r="GL93">
            <v>0.25</v>
          </cell>
          <cell r="GM93">
            <v>0.25</v>
          </cell>
          <cell r="GN93">
            <v>0.25</v>
          </cell>
          <cell r="GO93">
            <v>0.25</v>
          </cell>
          <cell r="GP93">
            <v>0.25</v>
          </cell>
          <cell r="GQ93">
            <v>0.25</v>
          </cell>
          <cell r="GR93">
            <v>0.25</v>
          </cell>
          <cell r="GS93">
            <v>0.25</v>
          </cell>
          <cell r="GT93">
            <v>0.25</v>
          </cell>
          <cell r="GU93">
            <v>0.25</v>
          </cell>
          <cell r="GV93">
            <v>0.25</v>
          </cell>
          <cell r="GW93">
            <v>0.25</v>
          </cell>
          <cell r="GX93">
            <v>0.25</v>
          </cell>
        </row>
        <row r="94">
          <cell r="A94" t="str">
            <v>Nominal Tax</v>
          </cell>
          <cell r="D94">
            <v>1.3600800840000005</v>
          </cell>
          <cell r="E94">
            <v>4.3402691369999973</v>
          </cell>
          <cell r="F94">
            <v>-4.3064814359999994</v>
          </cell>
          <cell r="G94">
            <v>8.2784338349999924</v>
          </cell>
          <cell r="H94">
            <v>8.4234051959999956</v>
          </cell>
          <cell r="I94">
            <v>42.650819646000009</v>
          </cell>
          <cell r="J94">
            <v>71.16</v>
          </cell>
          <cell r="K94">
            <v>88.2</v>
          </cell>
          <cell r="L94">
            <v>123.69</v>
          </cell>
          <cell r="M94">
            <v>104.59725153390025</v>
          </cell>
          <cell r="N94">
            <v>124.5059753139352</v>
          </cell>
          <cell r="O94">
            <v>199.30477493950832</v>
          </cell>
          <cell r="P94">
            <v>299.85804188696318</v>
          </cell>
          <cell r="Q94">
            <v>318.59851196846455</v>
          </cell>
          <cell r="R94">
            <v>390.6106562397689</v>
          </cell>
          <cell r="S94">
            <v>375.61662995745996</v>
          </cell>
          <cell r="T94">
            <v>260.72604459662369</v>
          </cell>
          <cell r="U94">
            <v>164.92123456342173</v>
          </cell>
          <cell r="V94">
            <v>164.92123456342173</v>
          </cell>
          <cell r="W94">
            <v>160.31351752162112</v>
          </cell>
          <cell r="X94">
            <v>150.70580047982048</v>
          </cell>
          <cell r="Y94">
            <v>150.70580047982048</v>
          </cell>
          <cell r="Z94">
            <v>150.70580047982048</v>
          </cell>
          <cell r="AA94">
            <v>150.70580047982048</v>
          </cell>
          <cell r="AB94">
            <v>150.70580047982048</v>
          </cell>
          <cell r="AC94">
            <v>150.70580047982048</v>
          </cell>
          <cell r="AD94">
            <v>150.70580047982048</v>
          </cell>
          <cell r="AE94">
            <v>150.70580047982048</v>
          </cell>
          <cell r="AF94">
            <v>150.70580047982048</v>
          </cell>
          <cell r="AG94">
            <v>150.70580047982048</v>
          </cell>
          <cell r="AH94">
            <v>150.70580047982048</v>
          </cell>
          <cell r="AI94">
            <v>150.70580047982048</v>
          </cell>
          <cell r="AJ94">
            <v>150.70580047982048</v>
          </cell>
          <cell r="AK94">
            <v>150.70580047982048</v>
          </cell>
          <cell r="AL94">
            <v>150.70580047982048</v>
          </cell>
          <cell r="AM94">
            <v>150.70580047982048</v>
          </cell>
          <cell r="AN94">
            <v>150.70580047982048</v>
          </cell>
          <cell r="AO94">
            <v>150.70580047982048</v>
          </cell>
          <cell r="AP94">
            <v>150.70580047982048</v>
          </cell>
          <cell r="AQ94">
            <v>150.70580047982048</v>
          </cell>
          <cell r="AR94">
            <v>150.70580047982048</v>
          </cell>
          <cell r="AS94">
            <v>36.638582793190011</v>
          </cell>
          <cell r="AT94">
            <v>36.638582793190011</v>
          </cell>
          <cell r="AU94">
            <v>36.638582793190011</v>
          </cell>
          <cell r="AV94">
            <v>36.638582793190011</v>
          </cell>
          <cell r="AW94">
            <v>36.638582793190011</v>
          </cell>
          <cell r="AX94">
            <v>36.638582793190011</v>
          </cell>
          <cell r="AY94">
            <v>36.638582793190011</v>
          </cell>
          <cell r="AZ94">
            <v>36.638582793190011</v>
          </cell>
          <cell r="BA94">
            <v>36.638582793190011</v>
          </cell>
          <cell r="BF94">
            <v>2.1439058310000001</v>
          </cell>
          <cell r="BG94">
            <v>-0.78382574699999952</v>
          </cell>
          <cell r="BH94">
            <v>1.3600800840000005</v>
          </cell>
          <cell r="BI94">
            <v>1.8906784289999987</v>
          </cell>
          <cell r="BJ94">
            <v>2.4495907079999988</v>
          </cell>
          <cell r="BK94">
            <v>4.3402691369999973</v>
          </cell>
          <cell r="BL94">
            <v>-5.3966155499999973</v>
          </cell>
          <cell r="BM94">
            <v>1.0901341139999972</v>
          </cell>
          <cell r="BN94">
            <v>-4.3064814359999994</v>
          </cell>
          <cell r="BO94">
            <v>0.59672884499999945</v>
          </cell>
          <cell r="BP94">
            <v>7.681704989999993</v>
          </cell>
          <cell r="BQ94">
            <v>8.2784338349999924</v>
          </cell>
          <cell r="BR94">
            <v>-11.411891999999996</v>
          </cell>
          <cell r="BS94">
            <v>19.835297195999992</v>
          </cell>
          <cell r="BT94">
            <v>8.4234051959999956</v>
          </cell>
          <cell r="BU94">
            <v>21.464433845999999</v>
          </cell>
          <cell r="BV94">
            <v>21.186385800000004</v>
          </cell>
          <cell r="BW94">
            <v>42.650819646000009</v>
          </cell>
          <cell r="BX94">
            <v>32.716416000000002</v>
          </cell>
          <cell r="BY94">
            <v>38.443584000000001</v>
          </cell>
          <cell r="BZ94">
            <v>71.16</v>
          </cell>
          <cell r="CA94">
            <v>35.19</v>
          </cell>
          <cell r="CB94">
            <v>53.01</v>
          </cell>
          <cell r="CC94">
            <v>88.2</v>
          </cell>
          <cell r="CD94">
            <v>72.63</v>
          </cell>
          <cell r="CE94">
            <v>123.69</v>
          </cell>
          <cell r="CF94">
            <v>41.74157993</v>
          </cell>
          <cell r="CG94">
            <v>62.855671603900248</v>
          </cell>
          <cell r="CH94">
            <v>104.59725153390025</v>
          </cell>
          <cell r="CI94">
            <v>51.8</v>
          </cell>
          <cell r="CJ94">
            <v>72.705975313935198</v>
          </cell>
          <cell r="CK94">
            <v>124.5059753139352</v>
          </cell>
          <cell r="CL94">
            <v>73.792457276897039</v>
          </cell>
          <cell r="CM94">
            <v>125.5123176626113</v>
          </cell>
          <cell r="CN94">
            <v>199.30477493950832</v>
          </cell>
          <cell r="CO94">
            <v>153.96846014327662</v>
          </cell>
          <cell r="CP94">
            <v>145.88958174368656</v>
          </cell>
          <cell r="CQ94">
            <v>299.85804188696318</v>
          </cell>
          <cell r="CR94">
            <v>169.40047486833549</v>
          </cell>
          <cell r="CS94">
            <v>149.19803710012906</v>
          </cell>
          <cell r="CT94">
            <v>318.59851196846455</v>
          </cell>
          <cell r="CU94">
            <v>193.25945359722175</v>
          </cell>
          <cell r="CV94">
            <v>197.35120264254712</v>
          </cell>
          <cell r="CW94">
            <v>390.6106562397689</v>
          </cell>
          <cell r="CX94">
            <v>197.35120264254712</v>
          </cell>
          <cell r="CY94">
            <v>178.26542731491281</v>
          </cell>
          <cell r="CZ94">
            <v>375.61662995745996</v>
          </cell>
          <cell r="DA94">
            <v>178.26542731491281</v>
          </cell>
          <cell r="DB94">
            <v>82.460617281710867</v>
          </cell>
          <cell r="DC94">
            <v>260.72604459662369</v>
          </cell>
          <cell r="DD94">
            <v>82.460617281710867</v>
          </cell>
          <cell r="DE94">
            <v>82.460617281710867</v>
          </cell>
          <cell r="DF94">
            <v>164.92123456342173</v>
          </cell>
          <cell r="DG94">
            <v>82.460617281710867</v>
          </cell>
          <cell r="DH94">
            <v>82.460617281710867</v>
          </cell>
          <cell r="DI94">
            <v>164.92123456342173</v>
          </cell>
          <cell r="DJ94">
            <v>84.960617281710881</v>
          </cell>
          <cell r="DK94">
            <v>75.352900239910241</v>
          </cell>
          <cell r="DL94">
            <v>160.31351752162112</v>
          </cell>
          <cell r="DM94">
            <v>75.352900239910241</v>
          </cell>
          <cell r="DN94">
            <v>75.352900239910241</v>
          </cell>
          <cell r="DO94">
            <v>150.70580047982048</v>
          </cell>
          <cell r="DP94">
            <v>75.352900239910241</v>
          </cell>
          <cell r="DQ94">
            <v>75.352900239910241</v>
          </cell>
          <cell r="DR94">
            <v>150.70580047982048</v>
          </cell>
          <cell r="DS94">
            <v>75.352900239910241</v>
          </cell>
          <cell r="DT94">
            <v>75.352900239910241</v>
          </cell>
          <cell r="DU94">
            <v>150.70580047982048</v>
          </cell>
          <cell r="DV94">
            <v>75.352900239910241</v>
          </cell>
          <cell r="DW94">
            <v>75.352900239910241</v>
          </cell>
          <cell r="DX94">
            <v>150.70580047982048</v>
          </cell>
          <cell r="DY94">
            <v>75.352900239910241</v>
          </cell>
          <cell r="DZ94">
            <v>75.352900239910241</v>
          </cell>
          <cell r="EA94">
            <v>150.70580047982048</v>
          </cell>
          <cell r="EB94">
            <v>75.352900239910241</v>
          </cell>
          <cell r="EC94">
            <v>75.352900239910241</v>
          </cell>
          <cell r="ED94">
            <v>150.70580047982048</v>
          </cell>
          <cell r="EE94">
            <v>75.352900239910241</v>
          </cell>
          <cell r="EF94">
            <v>75.352900239910241</v>
          </cell>
          <cell r="EG94">
            <v>150.70580047982048</v>
          </cell>
          <cell r="EH94">
            <v>75.352900239910241</v>
          </cell>
          <cell r="EI94">
            <v>75.352900239910241</v>
          </cell>
          <cell r="EJ94">
            <v>150.70580047982048</v>
          </cell>
          <cell r="EK94">
            <v>75.352900239910241</v>
          </cell>
          <cell r="EL94">
            <v>75.352900239910241</v>
          </cell>
          <cell r="EM94">
            <v>150.70580047982048</v>
          </cell>
          <cell r="EN94">
            <v>75.352900239910241</v>
          </cell>
          <cell r="EO94">
            <v>75.352900239910241</v>
          </cell>
          <cell r="EP94">
            <v>150.70580047982048</v>
          </cell>
          <cell r="EQ94">
            <v>75.352900239910241</v>
          </cell>
          <cell r="ER94">
            <v>75.352900239910241</v>
          </cell>
          <cell r="ES94">
            <v>150.70580047982048</v>
          </cell>
          <cell r="ET94">
            <v>75.352900239910241</v>
          </cell>
          <cell r="EU94">
            <v>75.352900239910241</v>
          </cell>
          <cell r="EV94">
            <v>150.70580047982048</v>
          </cell>
          <cell r="EW94">
            <v>75.352900239910241</v>
          </cell>
          <cell r="EX94">
            <v>75.352900239910241</v>
          </cell>
          <cell r="EY94">
            <v>150.70580047982048</v>
          </cell>
          <cell r="EZ94">
            <v>75.352900239910241</v>
          </cell>
          <cell r="FA94">
            <v>75.352900239910241</v>
          </cell>
          <cell r="FB94">
            <v>150.70580047982048</v>
          </cell>
          <cell r="FC94">
            <v>75.352900239910241</v>
          </cell>
          <cell r="FD94">
            <v>75.352900239910241</v>
          </cell>
          <cell r="FE94">
            <v>150.70580047982048</v>
          </cell>
          <cell r="FF94">
            <v>75.352900239910241</v>
          </cell>
          <cell r="FG94">
            <v>75.352900239910241</v>
          </cell>
          <cell r="FH94">
            <v>150.70580047982048</v>
          </cell>
          <cell r="FI94">
            <v>75.352900239910241</v>
          </cell>
          <cell r="FJ94">
            <v>75.352900239910241</v>
          </cell>
          <cell r="FK94">
            <v>150.70580047982048</v>
          </cell>
          <cell r="FL94">
            <v>75.352900239910241</v>
          </cell>
          <cell r="FM94">
            <v>75.352900239910241</v>
          </cell>
          <cell r="FN94">
            <v>150.70580047982048</v>
          </cell>
          <cell r="FO94">
            <v>75.352900239910241</v>
          </cell>
          <cell r="FP94">
            <v>75.352900239910241</v>
          </cell>
          <cell r="FQ94">
            <v>150.70580047982048</v>
          </cell>
          <cell r="FR94">
            <v>75.352900239910241</v>
          </cell>
          <cell r="FS94">
            <v>75.352900239910241</v>
          </cell>
          <cell r="FT94">
            <v>150.70580047982048</v>
          </cell>
          <cell r="FU94">
            <v>75.352900239910241</v>
          </cell>
          <cell r="FV94">
            <v>75.352900239910241</v>
          </cell>
          <cell r="FW94">
            <v>150.70580047982048</v>
          </cell>
          <cell r="FX94">
            <v>18.319291396595005</v>
          </cell>
          <cell r="FY94">
            <v>18.319291396595005</v>
          </cell>
          <cell r="FZ94">
            <v>36.638582793190011</v>
          </cell>
          <cell r="GA94">
            <v>18.319291396595005</v>
          </cell>
          <cell r="GB94">
            <v>18.319291396595005</v>
          </cell>
          <cell r="GC94">
            <v>36.638582793190011</v>
          </cell>
          <cell r="GD94">
            <v>18.319291396595005</v>
          </cell>
          <cell r="GE94">
            <v>18.319291396595005</v>
          </cell>
          <cell r="GF94">
            <v>36.638582793190011</v>
          </cell>
          <cell r="GG94">
            <v>18.319291396595005</v>
          </cell>
          <cell r="GH94">
            <v>18.319291396595005</v>
          </cell>
          <cell r="GI94">
            <v>36.638582793190011</v>
          </cell>
          <cell r="GJ94">
            <v>18.319291396595005</v>
          </cell>
          <cell r="GK94">
            <v>18.319291396595005</v>
          </cell>
          <cell r="GL94">
            <v>36.638582793190011</v>
          </cell>
          <cell r="GM94">
            <v>18.319291396595005</v>
          </cell>
          <cell r="GN94">
            <v>18.319291396595005</v>
          </cell>
          <cell r="GO94">
            <v>36.638582793190011</v>
          </cell>
          <cell r="GP94">
            <v>18.319291396595005</v>
          </cell>
          <cell r="GQ94">
            <v>18.319291396595005</v>
          </cell>
          <cell r="GR94">
            <v>36.638582793190011</v>
          </cell>
          <cell r="GS94">
            <v>18.319291396595005</v>
          </cell>
          <cell r="GT94">
            <v>18.319291396595005</v>
          </cell>
          <cell r="GU94">
            <v>36.638582793190011</v>
          </cell>
          <cell r="GV94">
            <v>18.319291396595005</v>
          </cell>
          <cell r="GW94">
            <v>18.319291396595005</v>
          </cell>
          <cell r="GX94">
            <v>36.638582793190011</v>
          </cell>
        </row>
        <row r="95">
          <cell r="A95" t="str">
            <v>NOPAT</v>
          </cell>
          <cell r="B95" t="str">
            <v>A$m</v>
          </cell>
          <cell r="D95">
            <v>3.173520196000001</v>
          </cell>
          <cell r="E95">
            <v>10.127294652999996</v>
          </cell>
          <cell r="F95">
            <v>-10.048456684000001</v>
          </cell>
          <cell r="G95">
            <v>19.316345614999982</v>
          </cell>
          <cell r="H95">
            <v>19.654612123999989</v>
          </cell>
          <cell r="I95">
            <v>99.518579174000024</v>
          </cell>
          <cell r="J95">
            <v>166.04000000000002</v>
          </cell>
          <cell r="K95">
            <v>205.8</v>
          </cell>
          <cell r="L95">
            <v>288.61</v>
          </cell>
          <cell r="M95">
            <v>313.79175460170075</v>
          </cell>
          <cell r="N95">
            <v>373.51792594180557</v>
          </cell>
          <cell r="O95">
            <v>597.91432481852496</v>
          </cell>
          <cell r="P95">
            <v>899.57412566088954</v>
          </cell>
          <cell r="Q95">
            <v>955.79553590539365</v>
          </cell>
          <cell r="R95">
            <v>1171.8319687193066</v>
          </cell>
          <cell r="S95">
            <v>1126.8498898723799</v>
          </cell>
          <cell r="T95">
            <v>782.17813378987103</v>
          </cell>
          <cell r="U95">
            <v>494.76370369026517</v>
          </cell>
          <cell r="V95">
            <v>494.76370369026517</v>
          </cell>
          <cell r="W95">
            <v>480.94055256486337</v>
          </cell>
          <cell r="X95">
            <v>452.11740143946145</v>
          </cell>
          <cell r="Y95">
            <v>452.11740143946145</v>
          </cell>
          <cell r="Z95">
            <v>452.11740143946145</v>
          </cell>
          <cell r="AA95">
            <v>452.11740143946145</v>
          </cell>
          <cell r="AB95">
            <v>452.11740143946145</v>
          </cell>
          <cell r="AC95">
            <v>452.11740143946145</v>
          </cell>
          <cell r="AD95">
            <v>452.11740143946145</v>
          </cell>
          <cell r="AE95">
            <v>452.11740143946145</v>
          </cell>
          <cell r="AF95">
            <v>452.11740143946145</v>
          </cell>
          <cell r="AG95">
            <v>452.11740143946145</v>
          </cell>
          <cell r="AH95">
            <v>452.11740143946145</v>
          </cell>
          <cell r="AI95">
            <v>452.11740143946145</v>
          </cell>
          <cell r="AJ95">
            <v>452.11740143946145</v>
          </cell>
          <cell r="AK95">
            <v>452.11740143946145</v>
          </cell>
          <cell r="AL95">
            <v>452.11740143946145</v>
          </cell>
          <cell r="AM95">
            <v>452.11740143946145</v>
          </cell>
          <cell r="AN95">
            <v>452.11740143946145</v>
          </cell>
          <cell r="AO95">
            <v>452.11740143946145</v>
          </cell>
          <cell r="AP95">
            <v>452.11740143946145</v>
          </cell>
          <cell r="AQ95">
            <v>452.11740143946145</v>
          </cell>
          <cell r="AR95">
            <v>452.11740143946145</v>
          </cell>
          <cell r="AS95">
            <v>109.91574837957003</v>
          </cell>
          <cell r="AT95">
            <v>109.91574837957003</v>
          </cell>
          <cell r="AU95">
            <v>109.91574837957003</v>
          </cell>
          <cell r="AV95">
            <v>109.91574837957003</v>
          </cell>
          <cell r="AW95">
            <v>109.91574837957003</v>
          </cell>
          <cell r="AX95">
            <v>109.91574837957003</v>
          </cell>
          <cell r="AY95">
            <v>109.91574837957003</v>
          </cell>
          <cell r="AZ95">
            <v>109.91574837957003</v>
          </cell>
          <cell r="BA95">
            <v>109.91574837957003</v>
          </cell>
          <cell r="BF95">
            <v>5.0024469390000004</v>
          </cell>
          <cell r="BG95">
            <v>-1.8289267429999989</v>
          </cell>
          <cell r="BH95">
            <v>3.173520196000001</v>
          </cell>
          <cell r="BI95">
            <v>4.4115830009999977</v>
          </cell>
          <cell r="BJ95">
            <v>5.7157116519999978</v>
          </cell>
          <cell r="BK95">
            <v>10.127294652999996</v>
          </cell>
          <cell r="BL95">
            <v>-12.592102949999994</v>
          </cell>
          <cell r="BM95">
            <v>2.5436462659999934</v>
          </cell>
          <cell r="BN95">
            <v>-10.048456684000001</v>
          </cell>
          <cell r="BO95">
            <v>1.3923673049999987</v>
          </cell>
          <cell r="BP95">
            <v>17.923978309999985</v>
          </cell>
          <cell r="BQ95">
            <v>19.316345614999982</v>
          </cell>
          <cell r="BR95">
            <v>-26.627747999999997</v>
          </cell>
          <cell r="BS95">
            <v>46.282360123999986</v>
          </cell>
          <cell r="BT95">
            <v>19.654612123999989</v>
          </cell>
          <cell r="BU95">
            <v>50.083678974000001</v>
          </cell>
          <cell r="BV95">
            <v>49.434900200000008</v>
          </cell>
          <cell r="BW95">
            <v>99.518579174000024</v>
          </cell>
          <cell r="BX95">
            <v>76.338303999999994</v>
          </cell>
          <cell r="BY95">
            <v>89.701696000000013</v>
          </cell>
          <cell r="BZ95">
            <v>166.04000000000002</v>
          </cell>
          <cell r="CA95">
            <v>82.11</v>
          </cell>
          <cell r="CB95">
            <v>123.69</v>
          </cell>
          <cell r="CC95">
            <v>205.8</v>
          </cell>
          <cell r="CD95">
            <v>169.47</v>
          </cell>
          <cell r="CE95">
            <v>288.61</v>
          </cell>
          <cell r="CF95">
            <v>125.22473979</v>
          </cell>
          <cell r="CG95">
            <v>188.56701481170074</v>
          </cell>
          <cell r="CH95">
            <v>313.79175460170075</v>
          </cell>
          <cell r="CI95">
            <v>155.39999999999998</v>
          </cell>
          <cell r="CJ95">
            <v>218.11792594180559</v>
          </cell>
          <cell r="CK95">
            <v>373.51792594180557</v>
          </cell>
          <cell r="CL95">
            <v>221.37737183069112</v>
          </cell>
          <cell r="CM95">
            <v>376.5369529878339</v>
          </cell>
          <cell r="CN95">
            <v>597.91432481852496</v>
          </cell>
          <cell r="CO95">
            <v>461.90538042982985</v>
          </cell>
          <cell r="CP95">
            <v>437.66874523105969</v>
          </cell>
          <cell r="CQ95">
            <v>899.57412566088954</v>
          </cell>
          <cell r="CR95">
            <v>508.20142460500648</v>
          </cell>
          <cell r="CS95">
            <v>447.59411130038717</v>
          </cell>
          <cell r="CT95">
            <v>955.79553590539365</v>
          </cell>
          <cell r="CU95">
            <v>579.77836079166525</v>
          </cell>
          <cell r="CV95">
            <v>592.05360792764134</v>
          </cell>
          <cell r="CW95">
            <v>1171.8319687193066</v>
          </cell>
          <cell r="CX95">
            <v>592.05360792764134</v>
          </cell>
          <cell r="CY95">
            <v>534.79628194473844</v>
          </cell>
          <cell r="CZ95">
            <v>1126.8498898723799</v>
          </cell>
          <cell r="DA95">
            <v>534.79628194473844</v>
          </cell>
          <cell r="DB95">
            <v>247.38185184513259</v>
          </cell>
          <cell r="DC95">
            <v>782.17813378987103</v>
          </cell>
          <cell r="DD95">
            <v>247.38185184513259</v>
          </cell>
          <cell r="DE95">
            <v>247.38185184513259</v>
          </cell>
          <cell r="DF95">
            <v>494.76370369026517</v>
          </cell>
          <cell r="DG95">
            <v>247.38185184513259</v>
          </cell>
          <cell r="DH95">
            <v>247.38185184513259</v>
          </cell>
          <cell r="DI95">
            <v>494.76370369026517</v>
          </cell>
          <cell r="DJ95">
            <v>254.88185184513264</v>
          </cell>
          <cell r="DK95">
            <v>226.05870071973072</v>
          </cell>
          <cell r="DL95">
            <v>480.94055256486337</v>
          </cell>
          <cell r="DM95">
            <v>226.05870071973072</v>
          </cell>
          <cell r="DN95">
            <v>226.05870071973072</v>
          </cell>
          <cell r="DO95">
            <v>452.11740143946145</v>
          </cell>
          <cell r="DP95">
            <v>226.05870071973072</v>
          </cell>
          <cell r="DQ95">
            <v>226.05870071973072</v>
          </cell>
          <cell r="DR95">
            <v>452.11740143946145</v>
          </cell>
          <cell r="DS95">
            <v>226.05870071973072</v>
          </cell>
          <cell r="DT95">
            <v>226.05870071973072</v>
          </cell>
          <cell r="DU95">
            <v>452.11740143946145</v>
          </cell>
          <cell r="DV95">
            <v>226.05870071973072</v>
          </cell>
          <cell r="DW95">
            <v>226.05870071973072</v>
          </cell>
          <cell r="DX95">
            <v>452.11740143946145</v>
          </cell>
          <cell r="DY95">
            <v>226.05870071973072</v>
          </cell>
          <cell r="DZ95">
            <v>226.05870071973072</v>
          </cell>
          <cell r="EA95">
            <v>452.11740143946145</v>
          </cell>
          <cell r="EB95">
            <v>226.05870071973072</v>
          </cell>
          <cell r="EC95">
            <v>226.05870071973072</v>
          </cell>
          <cell r="ED95">
            <v>452.11740143946145</v>
          </cell>
          <cell r="EE95">
            <v>226.05870071973072</v>
          </cell>
          <cell r="EF95">
            <v>226.05870071973072</v>
          </cell>
          <cell r="EG95">
            <v>452.11740143946145</v>
          </cell>
          <cell r="EH95">
            <v>226.05870071973072</v>
          </cell>
          <cell r="EI95">
            <v>226.05870071973072</v>
          </cell>
          <cell r="EJ95">
            <v>452.11740143946145</v>
          </cell>
          <cell r="EK95">
            <v>226.05870071973072</v>
          </cell>
          <cell r="EL95">
            <v>226.05870071973072</v>
          </cell>
          <cell r="EM95">
            <v>452.11740143946145</v>
          </cell>
          <cell r="EN95">
            <v>226.05870071973072</v>
          </cell>
          <cell r="EO95">
            <v>226.05870071973072</v>
          </cell>
          <cell r="EP95">
            <v>452.11740143946145</v>
          </cell>
          <cell r="EQ95">
            <v>226.05870071973072</v>
          </cell>
          <cell r="ER95">
            <v>226.05870071973072</v>
          </cell>
          <cell r="ES95">
            <v>452.11740143946145</v>
          </cell>
          <cell r="ET95">
            <v>226.05870071973072</v>
          </cell>
          <cell r="EU95">
            <v>226.05870071973072</v>
          </cell>
          <cell r="EV95">
            <v>452.11740143946145</v>
          </cell>
          <cell r="EW95">
            <v>226.05870071973072</v>
          </cell>
          <cell r="EX95">
            <v>226.05870071973072</v>
          </cell>
          <cell r="EY95">
            <v>452.11740143946145</v>
          </cell>
          <cell r="EZ95">
            <v>226.05870071973072</v>
          </cell>
          <cell r="FA95">
            <v>226.05870071973072</v>
          </cell>
          <cell r="FB95">
            <v>452.11740143946145</v>
          </cell>
          <cell r="FC95">
            <v>226.05870071973072</v>
          </cell>
          <cell r="FD95">
            <v>226.05870071973072</v>
          </cell>
          <cell r="FE95">
            <v>452.11740143946145</v>
          </cell>
          <cell r="FF95">
            <v>226.05870071973072</v>
          </cell>
          <cell r="FG95">
            <v>226.05870071973072</v>
          </cell>
          <cell r="FH95">
            <v>452.11740143946145</v>
          </cell>
          <cell r="FI95">
            <v>226.05870071973072</v>
          </cell>
          <cell r="FJ95">
            <v>226.05870071973072</v>
          </cell>
          <cell r="FK95">
            <v>452.11740143946145</v>
          </cell>
          <cell r="FL95">
            <v>226.05870071973072</v>
          </cell>
          <cell r="FM95">
            <v>226.05870071973072</v>
          </cell>
          <cell r="FN95">
            <v>452.11740143946145</v>
          </cell>
          <cell r="FO95">
            <v>226.05870071973072</v>
          </cell>
          <cell r="FP95">
            <v>226.05870071973072</v>
          </cell>
          <cell r="FQ95">
            <v>452.11740143946145</v>
          </cell>
          <cell r="FR95">
            <v>226.05870071973072</v>
          </cell>
          <cell r="FS95">
            <v>226.05870071973072</v>
          </cell>
          <cell r="FT95">
            <v>452.11740143946145</v>
          </cell>
          <cell r="FU95">
            <v>226.05870071973072</v>
          </cell>
          <cell r="FV95">
            <v>226.05870071973072</v>
          </cell>
          <cell r="FW95">
            <v>452.11740143946145</v>
          </cell>
          <cell r="FX95">
            <v>54.957874189785016</v>
          </cell>
          <cell r="FY95">
            <v>54.957874189785016</v>
          </cell>
          <cell r="FZ95">
            <v>109.91574837957003</v>
          </cell>
          <cell r="GA95">
            <v>54.957874189785016</v>
          </cell>
          <cell r="GB95">
            <v>54.957874189785016</v>
          </cell>
          <cell r="GC95">
            <v>109.91574837957003</v>
          </cell>
          <cell r="GD95">
            <v>54.957874189785016</v>
          </cell>
          <cell r="GE95">
            <v>54.957874189785016</v>
          </cell>
          <cell r="GF95">
            <v>109.91574837957003</v>
          </cell>
          <cell r="GG95">
            <v>54.957874189785016</v>
          </cell>
          <cell r="GH95">
            <v>54.957874189785016</v>
          </cell>
          <cell r="GI95">
            <v>109.91574837957003</v>
          </cell>
          <cell r="GJ95">
            <v>54.957874189785016</v>
          </cell>
          <cell r="GK95">
            <v>54.957874189785016</v>
          </cell>
          <cell r="GL95">
            <v>109.91574837957003</v>
          </cell>
          <cell r="GM95">
            <v>54.957874189785016</v>
          </cell>
          <cell r="GN95">
            <v>54.957874189785016</v>
          </cell>
          <cell r="GO95">
            <v>109.91574837957003</v>
          </cell>
          <cell r="GP95">
            <v>54.957874189785016</v>
          </cell>
          <cell r="GQ95">
            <v>54.957874189785016</v>
          </cell>
          <cell r="GR95">
            <v>109.91574837957003</v>
          </cell>
          <cell r="GS95">
            <v>54.957874189785016</v>
          </cell>
          <cell r="GT95">
            <v>54.957874189785016</v>
          </cell>
          <cell r="GU95">
            <v>109.91574837957003</v>
          </cell>
          <cell r="GV95">
            <v>54.957874189785016</v>
          </cell>
          <cell r="GW95">
            <v>54.957874189785016</v>
          </cell>
          <cell r="GX95">
            <v>109.91574837957003</v>
          </cell>
        </row>
        <row r="97">
          <cell r="A97" t="str">
            <v>DCF ANLAYSIS</v>
          </cell>
          <cell r="B97" t="str">
            <v>.</v>
          </cell>
          <cell r="C97" t="str">
            <v>.</v>
          </cell>
          <cell r="D97" t="str">
            <v>.</v>
          </cell>
          <cell r="E97" t="str">
            <v>.</v>
          </cell>
          <cell r="F97" t="str">
            <v>.</v>
          </cell>
          <cell r="G97" t="str">
            <v>.</v>
          </cell>
          <cell r="H97" t="str">
            <v>.</v>
          </cell>
          <cell r="I97" t="str">
            <v>.</v>
          </cell>
          <cell r="J97" t="str">
            <v>.</v>
          </cell>
          <cell r="K97" t="str">
            <v>.</v>
          </cell>
          <cell r="L97" t="str">
            <v>.</v>
          </cell>
          <cell r="M97" t="str">
            <v>.</v>
          </cell>
          <cell r="N97" t="str">
            <v>.</v>
          </cell>
          <cell r="O97" t="str">
            <v>.</v>
          </cell>
          <cell r="P97" t="str">
            <v>.</v>
          </cell>
          <cell r="Q97" t="str">
            <v>.</v>
          </cell>
          <cell r="R97" t="str">
            <v>.</v>
          </cell>
          <cell r="S97" t="str">
            <v>.</v>
          </cell>
          <cell r="T97" t="str">
            <v>.</v>
          </cell>
          <cell r="U97" t="str">
            <v>.</v>
          </cell>
          <cell r="V97" t="str">
            <v>.</v>
          </cell>
          <cell r="W97" t="str">
            <v>.</v>
          </cell>
          <cell r="X97" t="str">
            <v>.</v>
          </cell>
          <cell r="Y97" t="str">
            <v>.</v>
          </cell>
          <cell r="Z97" t="str">
            <v>.</v>
          </cell>
          <cell r="AA97" t="str">
            <v>.</v>
          </cell>
          <cell r="AB97" t="str">
            <v>.</v>
          </cell>
          <cell r="AC97" t="str">
            <v>.</v>
          </cell>
          <cell r="AD97" t="str">
            <v>.</v>
          </cell>
          <cell r="AE97" t="str">
            <v>.</v>
          </cell>
          <cell r="AF97" t="str">
            <v>.</v>
          </cell>
          <cell r="AG97" t="str">
            <v>.</v>
          </cell>
          <cell r="AH97" t="str">
            <v>.</v>
          </cell>
          <cell r="AI97" t="str">
            <v>.</v>
          </cell>
          <cell r="AJ97" t="str">
            <v>.</v>
          </cell>
          <cell r="AK97" t="str">
            <v>.</v>
          </cell>
          <cell r="AL97" t="str">
            <v>.</v>
          </cell>
          <cell r="AM97" t="str">
            <v>.</v>
          </cell>
          <cell r="AN97" t="str">
            <v>.</v>
          </cell>
          <cell r="AO97" t="str">
            <v>.</v>
          </cell>
          <cell r="AP97" t="str">
            <v>.</v>
          </cell>
          <cell r="AQ97" t="str">
            <v>.</v>
          </cell>
          <cell r="AR97" t="str">
            <v>.</v>
          </cell>
          <cell r="AS97" t="str">
            <v>.</v>
          </cell>
          <cell r="AT97" t="str">
            <v>.</v>
          </cell>
          <cell r="AU97" t="str">
            <v>.</v>
          </cell>
          <cell r="AV97" t="str">
            <v>.</v>
          </cell>
          <cell r="AW97" t="str">
            <v>.</v>
          </cell>
          <cell r="AX97" t="str">
            <v>.</v>
          </cell>
          <cell r="AY97" t="str">
            <v>.</v>
          </cell>
          <cell r="AZ97" t="str">
            <v>.</v>
          </cell>
          <cell r="BA97" t="str">
            <v>.</v>
          </cell>
          <cell r="BB97" t="str">
            <v>.</v>
          </cell>
          <cell r="BC97" t="str">
            <v>.</v>
          </cell>
          <cell r="BD97" t="str">
            <v>.</v>
          </cell>
          <cell r="BE97" t="str">
            <v>.</v>
          </cell>
          <cell r="BF97" t="str">
            <v>.</v>
          </cell>
          <cell r="BG97" t="str">
            <v>.</v>
          </cell>
          <cell r="BH97" t="str">
            <v>.</v>
          </cell>
          <cell r="BI97" t="str">
            <v>.</v>
          </cell>
          <cell r="BJ97" t="str">
            <v>.</v>
          </cell>
          <cell r="BK97" t="str">
            <v>.</v>
          </cell>
          <cell r="BL97" t="str">
            <v>.</v>
          </cell>
          <cell r="BM97" t="str">
            <v>.</v>
          </cell>
          <cell r="BN97" t="str">
            <v>.</v>
          </cell>
          <cell r="BO97" t="str">
            <v>.</v>
          </cell>
          <cell r="BP97" t="str">
            <v>.</v>
          </cell>
          <cell r="BQ97" t="str">
            <v>.</v>
          </cell>
          <cell r="BR97" t="str">
            <v>.</v>
          </cell>
          <cell r="BS97" t="str">
            <v>.</v>
          </cell>
          <cell r="BT97" t="str">
            <v>.</v>
          </cell>
          <cell r="BU97" t="str">
            <v>.</v>
          </cell>
          <cell r="BV97" t="str">
            <v>.</v>
          </cell>
          <cell r="BW97" t="str">
            <v>.</v>
          </cell>
          <cell r="BX97" t="str">
            <v>.</v>
          </cell>
          <cell r="BY97" t="str">
            <v>.</v>
          </cell>
          <cell r="BZ97" t="str">
            <v>.</v>
          </cell>
          <cell r="CA97" t="str">
            <v>.</v>
          </cell>
          <cell r="CB97" t="str">
            <v>.</v>
          </cell>
          <cell r="CC97" t="str">
            <v>.</v>
          </cell>
          <cell r="CD97" t="str">
            <v>.</v>
          </cell>
          <cell r="CE97" t="str">
            <v>.</v>
          </cell>
          <cell r="CF97" t="str">
            <v>.</v>
          </cell>
          <cell r="CG97" t="str">
            <v>.</v>
          </cell>
          <cell r="CH97" t="str">
            <v>.</v>
          </cell>
          <cell r="CI97" t="str">
            <v>.</v>
          </cell>
          <cell r="CJ97" t="str">
            <v>.</v>
          </cell>
          <cell r="CK97" t="str">
            <v>.</v>
          </cell>
          <cell r="CL97" t="str">
            <v>.</v>
          </cell>
          <cell r="CM97" t="str">
            <v>.</v>
          </cell>
          <cell r="CN97" t="str">
            <v>.</v>
          </cell>
          <cell r="CO97" t="str">
            <v>.</v>
          </cell>
          <cell r="CP97" t="str">
            <v>.</v>
          </cell>
          <cell r="CQ97" t="str">
            <v>.</v>
          </cell>
          <cell r="CR97" t="str">
            <v>.</v>
          </cell>
          <cell r="CS97" t="str">
            <v>.</v>
          </cell>
          <cell r="CT97" t="str">
            <v>.</v>
          </cell>
          <cell r="CU97" t="str">
            <v>.</v>
          </cell>
          <cell r="CV97" t="str">
            <v>.</v>
          </cell>
          <cell r="CW97" t="str">
            <v>.</v>
          </cell>
          <cell r="CX97" t="str">
            <v>.</v>
          </cell>
          <cell r="CY97" t="str">
            <v>.</v>
          </cell>
          <cell r="CZ97" t="str">
            <v>.</v>
          </cell>
          <cell r="DA97" t="str">
            <v>.</v>
          </cell>
          <cell r="DB97" t="str">
            <v>.</v>
          </cell>
          <cell r="DC97" t="str">
            <v>.</v>
          </cell>
          <cell r="DD97" t="str">
            <v>.</v>
          </cell>
          <cell r="DE97" t="str">
            <v>.</v>
          </cell>
          <cell r="DF97" t="str">
            <v>.</v>
          </cell>
          <cell r="DG97" t="str">
            <v>.</v>
          </cell>
          <cell r="DH97" t="str">
            <v>.</v>
          </cell>
          <cell r="DI97" t="str">
            <v>.</v>
          </cell>
          <cell r="DJ97" t="str">
            <v>.</v>
          </cell>
          <cell r="DK97" t="str">
            <v>.</v>
          </cell>
          <cell r="DL97" t="str">
            <v>.</v>
          </cell>
          <cell r="DM97" t="str">
            <v>.</v>
          </cell>
          <cell r="DN97" t="str">
            <v>.</v>
          </cell>
          <cell r="DO97" t="str">
            <v>.</v>
          </cell>
          <cell r="DP97" t="str">
            <v>.</v>
          </cell>
          <cell r="DQ97" t="str">
            <v>.</v>
          </cell>
          <cell r="DR97" t="str">
            <v>.</v>
          </cell>
          <cell r="DS97" t="str">
            <v>.</v>
          </cell>
          <cell r="DT97" t="str">
            <v>.</v>
          </cell>
          <cell r="DU97" t="str">
            <v>.</v>
          </cell>
          <cell r="DV97" t="str">
            <v>.</v>
          </cell>
          <cell r="DW97" t="str">
            <v>.</v>
          </cell>
          <cell r="DX97" t="str">
            <v>.</v>
          </cell>
          <cell r="DY97" t="str">
            <v>.</v>
          </cell>
          <cell r="DZ97" t="str">
            <v>.</v>
          </cell>
          <cell r="EA97" t="str">
            <v>.</v>
          </cell>
          <cell r="EB97" t="str">
            <v>.</v>
          </cell>
          <cell r="EC97" t="str">
            <v>.</v>
          </cell>
          <cell r="ED97" t="str">
            <v>.</v>
          </cell>
          <cell r="EE97" t="str">
            <v>.</v>
          </cell>
          <cell r="EF97" t="str">
            <v>.</v>
          </cell>
          <cell r="EG97" t="str">
            <v>.</v>
          </cell>
          <cell r="EH97" t="str">
            <v>.</v>
          </cell>
          <cell r="EI97" t="str">
            <v>.</v>
          </cell>
          <cell r="EJ97" t="str">
            <v>.</v>
          </cell>
          <cell r="EK97" t="str">
            <v>.</v>
          </cell>
          <cell r="EL97" t="str">
            <v>.</v>
          </cell>
          <cell r="EM97" t="str">
            <v>.</v>
          </cell>
          <cell r="EN97" t="str">
            <v>.</v>
          </cell>
          <cell r="EO97" t="str">
            <v>.</v>
          </cell>
          <cell r="EP97" t="str">
            <v>.</v>
          </cell>
          <cell r="EQ97" t="str">
            <v>.</v>
          </cell>
          <cell r="ER97" t="str">
            <v>.</v>
          </cell>
          <cell r="ES97" t="str">
            <v>.</v>
          </cell>
          <cell r="ET97" t="str">
            <v>.</v>
          </cell>
          <cell r="EU97" t="str">
            <v>.</v>
          </cell>
          <cell r="EV97" t="str">
            <v>.</v>
          </cell>
          <cell r="EW97" t="str">
            <v>.</v>
          </cell>
          <cell r="EX97" t="str">
            <v>.</v>
          </cell>
          <cell r="EY97" t="str">
            <v>.</v>
          </cell>
          <cell r="EZ97" t="str">
            <v>.</v>
          </cell>
          <cell r="FA97" t="str">
            <v>.</v>
          </cell>
          <cell r="FB97" t="str">
            <v>.</v>
          </cell>
          <cell r="FC97" t="str">
            <v>.</v>
          </cell>
          <cell r="FD97" t="str">
            <v>.</v>
          </cell>
          <cell r="FE97" t="str">
            <v>.</v>
          </cell>
          <cell r="FF97" t="str">
            <v>.</v>
          </cell>
          <cell r="FG97" t="str">
            <v>.</v>
          </cell>
          <cell r="FH97" t="str">
            <v>.</v>
          </cell>
          <cell r="FI97" t="str">
            <v>.</v>
          </cell>
          <cell r="FJ97" t="str">
            <v>.</v>
          </cell>
          <cell r="FK97" t="str">
            <v>.</v>
          </cell>
          <cell r="FL97" t="str">
            <v>.</v>
          </cell>
          <cell r="FM97" t="str">
            <v>.</v>
          </cell>
          <cell r="FN97" t="str">
            <v>.</v>
          </cell>
          <cell r="FO97" t="str">
            <v>.</v>
          </cell>
          <cell r="FP97" t="str">
            <v>.</v>
          </cell>
          <cell r="FQ97" t="str">
            <v>.</v>
          </cell>
          <cell r="FR97" t="str">
            <v>.</v>
          </cell>
          <cell r="FS97" t="str">
            <v>.</v>
          </cell>
          <cell r="FT97" t="str">
            <v>.</v>
          </cell>
          <cell r="FU97" t="str">
            <v>.</v>
          </cell>
          <cell r="FV97" t="str">
            <v>.</v>
          </cell>
          <cell r="FW97" t="str">
            <v>.</v>
          </cell>
          <cell r="FX97" t="str">
            <v>.</v>
          </cell>
          <cell r="FY97" t="str">
            <v>.</v>
          </cell>
          <cell r="FZ97" t="str">
            <v>.</v>
          </cell>
          <cell r="GA97" t="str">
            <v>.</v>
          </cell>
          <cell r="GB97" t="str">
            <v>.</v>
          </cell>
          <cell r="GC97" t="str">
            <v>.</v>
          </cell>
          <cell r="GD97" t="str">
            <v>.</v>
          </cell>
          <cell r="GE97" t="str">
            <v>.</v>
          </cell>
          <cell r="GF97" t="str">
            <v>.</v>
          </cell>
          <cell r="GG97" t="str">
            <v>.</v>
          </cell>
          <cell r="GH97" t="str">
            <v>.</v>
          </cell>
          <cell r="GI97" t="str">
            <v>.</v>
          </cell>
          <cell r="GJ97" t="str">
            <v>.</v>
          </cell>
          <cell r="GK97" t="str">
            <v>.</v>
          </cell>
          <cell r="GL97" t="str">
            <v>.</v>
          </cell>
          <cell r="GM97" t="str">
            <v>.</v>
          </cell>
          <cell r="GN97" t="str">
            <v>.</v>
          </cell>
          <cell r="GO97" t="str">
            <v>.</v>
          </cell>
          <cell r="GP97" t="str">
            <v>.</v>
          </cell>
          <cell r="GQ97" t="str">
            <v>.</v>
          </cell>
          <cell r="GR97" t="str">
            <v>.</v>
          </cell>
          <cell r="GS97" t="str">
            <v>.</v>
          </cell>
          <cell r="GT97" t="str">
            <v>.</v>
          </cell>
          <cell r="GU97" t="str">
            <v>.</v>
          </cell>
          <cell r="GV97" t="str">
            <v>.</v>
          </cell>
          <cell r="GW97" t="str">
            <v>.</v>
          </cell>
          <cell r="GX97" t="str">
            <v>.</v>
          </cell>
        </row>
        <row r="98">
          <cell r="A98" t="str">
            <v>WACC</v>
          </cell>
          <cell r="B98">
            <v>7.8575000000000006E-2</v>
          </cell>
        </row>
        <row r="99">
          <cell r="A99" t="str">
            <v>Yr end date</v>
          </cell>
          <cell r="B99">
            <v>40872</v>
          </cell>
          <cell r="H99">
            <v>38533</v>
          </cell>
          <cell r="I99">
            <v>38898</v>
          </cell>
          <cell r="J99">
            <v>39263</v>
          </cell>
          <cell r="K99">
            <v>39629</v>
          </cell>
          <cell r="L99">
            <v>39994</v>
          </cell>
          <cell r="M99">
            <v>40359</v>
          </cell>
          <cell r="N99">
            <v>40724</v>
          </cell>
          <cell r="O99">
            <v>41090</v>
          </cell>
          <cell r="P99">
            <v>41455</v>
          </cell>
          <cell r="Q99">
            <v>41820</v>
          </cell>
          <cell r="R99">
            <v>42185</v>
          </cell>
          <cell r="S99">
            <v>42551</v>
          </cell>
          <cell r="T99">
            <v>42916</v>
          </cell>
          <cell r="U99">
            <v>43281</v>
          </cell>
          <cell r="V99">
            <v>43646</v>
          </cell>
          <cell r="W99">
            <v>44012</v>
          </cell>
          <cell r="X99">
            <v>44377</v>
          </cell>
          <cell r="Y99">
            <v>44742</v>
          </cell>
          <cell r="Z99">
            <v>45107</v>
          </cell>
          <cell r="AA99">
            <v>45473</v>
          </cell>
          <cell r="AB99">
            <v>45838</v>
          </cell>
          <cell r="AC99">
            <v>46203</v>
          </cell>
          <cell r="AD99">
            <v>46568</v>
          </cell>
          <cell r="AE99">
            <v>46934</v>
          </cell>
          <cell r="AF99">
            <v>47299</v>
          </cell>
          <cell r="AG99">
            <v>47664</v>
          </cell>
          <cell r="AH99">
            <v>48029</v>
          </cell>
          <cell r="AI99">
            <v>48395</v>
          </cell>
          <cell r="AJ99">
            <v>48760</v>
          </cell>
          <cell r="AK99">
            <v>49125</v>
          </cell>
          <cell r="AL99">
            <v>49490</v>
          </cell>
          <cell r="AM99">
            <v>49856</v>
          </cell>
          <cell r="AN99">
            <v>50221</v>
          </cell>
          <cell r="AO99">
            <v>50586</v>
          </cell>
          <cell r="AP99">
            <v>50951</v>
          </cell>
          <cell r="AQ99">
            <v>51317</v>
          </cell>
          <cell r="AR99">
            <v>51682</v>
          </cell>
          <cell r="AS99">
            <v>52047</v>
          </cell>
          <cell r="AT99">
            <v>52412</v>
          </cell>
          <cell r="AU99">
            <v>52778</v>
          </cell>
          <cell r="AV99">
            <v>53143</v>
          </cell>
          <cell r="AW99">
            <v>53508</v>
          </cell>
          <cell r="AX99">
            <v>53873</v>
          </cell>
          <cell r="AY99">
            <v>54239</v>
          </cell>
          <cell r="AZ99">
            <v>54604</v>
          </cell>
          <cell r="BA99">
            <v>54969</v>
          </cell>
        </row>
        <row r="100">
          <cell r="A100" t="str">
            <v>Contribution to 12mth rolling NPV</v>
          </cell>
          <cell r="B100" t="str">
            <v>%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0.59726027397260273</v>
          </cell>
          <cell r="P100">
            <v>0.40273972602739727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</row>
        <row r="101">
          <cell r="A101" t="str">
            <v>EBITDA</v>
          </cell>
          <cell r="B101" t="str">
            <v>A$m</v>
          </cell>
          <cell r="H101">
            <v>63.829117999999994</v>
          </cell>
          <cell r="I101">
            <v>179.37546366000001</v>
          </cell>
          <cell r="J101">
            <v>287.5</v>
          </cell>
          <cell r="K101">
            <v>344.8</v>
          </cell>
          <cell r="L101">
            <v>486.79999999999995</v>
          </cell>
          <cell r="M101">
            <v>524.66870613560104</v>
          </cell>
          <cell r="N101">
            <v>508.1925492557408</v>
          </cell>
          <cell r="O101">
            <v>934.2131351278083</v>
          </cell>
          <cell r="P101">
            <v>1376.7545952005858</v>
          </cell>
          <cell r="Q101">
            <v>1476.1561057516717</v>
          </cell>
          <cell r="R101">
            <v>1716.1660976278858</v>
          </cell>
          <cell r="S101">
            <v>1656.1899924986501</v>
          </cell>
          <cell r="T101">
            <v>1196.627651055305</v>
          </cell>
          <cell r="U101">
            <v>813.40841092249718</v>
          </cell>
          <cell r="V101">
            <v>813.40841092249718</v>
          </cell>
          <cell r="W101">
            <v>833.4084109224973</v>
          </cell>
          <cell r="X101">
            <v>833.4084109224973</v>
          </cell>
          <cell r="Y101">
            <v>833.4084109224973</v>
          </cell>
          <cell r="Z101">
            <v>833.4084109224973</v>
          </cell>
          <cell r="AA101">
            <v>833.4084109224973</v>
          </cell>
          <cell r="AB101">
            <v>833.4084109224973</v>
          </cell>
          <cell r="AC101">
            <v>833.4084109224973</v>
          </cell>
          <cell r="AD101">
            <v>833.4084109224973</v>
          </cell>
          <cell r="AE101">
            <v>833.4084109224973</v>
          </cell>
          <cell r="AF101">
            <v>833.4084109224973</v>
          </cell>
          <cell r="AG101">
            <v>833.4084109224973</v>
          </cell>
          <cell r="AH101">
            <v>833.4084109224973</v>
          </cell>
          <cell r="AI101">
            <v>833.4084109224973</v>
          </cell>
          <cell r="AJ101">
            <v>833.4084109224973</v>
          </cell>
          <cell r="AK101">
            <v>833.4084109224973</v>
          </cell>
          <cell r="AL101">
            <v>833.4084109224973</v>
          </cell>
          <cell r="AM101">
            <v>833.4084109224973</v>
          </cell>
          <cell r="AN101">
            <v>833.4084109224973</v>
          </cell>
          <cell r="AO101">
            <v>833.4084109224973</v>
          </cell>
          <cell r="AP101">
            <v>833.4084109224973</v>
          </cell>
          <cell r="AQ101">
            <v>833.4084109224973</v>
          </cell>
          <cell r="AR101">
            <v>833.4084109224973</v>
          </cell>
          <cell r="AS101">
            <v>261.84693567436773</v>
          </cell>
          <cell r="AT101">
            <v>261.84693567436773</v>
          </cell>
          <cell r="AU101">
            <v>261.84693567436773</v>
          </cell>
          <cell r="AV101">
            <v>261.84693567436773</v>
          </cell>
          <cell r="AW101">
            <v>261.84693567436773</v>
          </cell>
          <cell r="AX101">
            <v>261.84693567436773</v>
          </cell>
          <cell r="AY101">
            <v>261.84693567436773</v>
          </cell>
          <cell r="AZ101">
            <v>261.84693567436773</v>
          </cell>
          <cell r="BA101">
            <v>261.84693567436773</v>
          </cell>
          <cell r="BF101">
            <v>24.538071869999996</v>
          </cell>
          <cell r="BG101">
            <v>13.926295670000002</v>
          </cell>
          <cell r="BH101">
            <v>38.464367539999998</v>
          </cell>
          <cell r="BI101">
            <v>19.688975999999997</v>
          </cell>
          <cell r="BJ101">
            <v>22.037640609999997</v>
          </cell>
          <cell r="BK101">
            <v>41.726616609999994</v>
          </cell>
          <cell r="BL101">
            <v>-4.1246453999999915</v>
          </cell>
          <cell r="BM101">
            <v>19.510420279999991</v>
          </cell>
          <cell r="BN101">
            <v>15.38577488</v>
          </cell>
          <cell r="BO101">
            <v>17.318717489999997</v>
          </cell>
          <cell r="BP101">
            <v>42.837892339999982</v>
          </cell>
          <cell r="BQ101">
            <v>60.156609829999979</v>
          </cell>
          <cell r="BR101">
            <v>-22.049393999999992</v>
          </cell>
          <cell r="BS101">
            <v>85.878511999999986</v>
          </cell>
          <cell r="BT101">
            <v>63.829117999999994</v>
          </cell>
          <cell r="BU101">
            <v>88.246943659999999</v>
          </cell>
          <cell r="BV101">
            <v>91.128520000000009</v>
          </cell>
          <cell r="BW101">
            <v>179.37546366000001</v>
          </cell>
          <cell r="BX101">
            <v>129.34414000000001</v>
          </cell>
          <cell r="BY101">
            <v>158.15586000000002</v>
          </cell>
          <cell r="BZ101">
            <v>287.5</v>
          </cell>
          <cell r="CA101">
            <v>136.79999999999998</v>
          </cell>
          <cell r="CB101">
            <v>208.00000000000003</v>
          </cell>
          <cell r="CC101">
            <v>344.8</v>
          </cell>
          <cell r="CD101">
            <v>273.5</v>
          </cell>
          <cell r="CE101">
            <v>486.79999999999995</v>
          </cell>
          <cell r="CF101">
            <v>216.66631971999999</v>
          </cell>
          <cell r="CG101">
            <v>308.00238641560099</v>
          </cell>
          <cell r="CH101">
            <v>524.66870613560104</v>
          </cell>
          <cell r="CI101">
            <v>257.2</v>
          </cell>
          <cell r="CJ101">
            <v>250.99254925574081</v>
          </cell>
          <cell r="CK101">
            <v>508.1925492557408</v>
          </cell>
          <cell r="CL101">
            <v>362.56796415581965</v>
          </cell>
          <cell r="CM101">
            <v>571.64517097198859</v>
          </cell>
          <cell r="CN101">
            <v>934.2131351278083</v>
          </cell>
          <cell r="CO101">
            <v>702.34329394931228</v>
          </cell>
          <cell r="CP101">
            <v>674.41130125127358</v>
          </cell>
          <cell r="CQ101">
            <v>1376.7545952005858</v>
          </cell>
          <cell r="CR101">
            <v>778.48292841224873</v>
          </cell>
          <cell r="CS101">
            <v>697.67317733942298</v>
          </cell>
          <cell r="CT101">
            <v>1476.1561057516717</v>
          </cell>
          <cell r="CU101">
            <v>849.89955072329212</v>
          </cell>
          <cell r="CV101">
            <v>866.26654690459361</v>
          </cell>
          <cell r="CW101">
            <v>1716.1660976278858</v>
          </cell>
          <cell r="CX101">
            <v>866.26654690459361</v>
          </cell>
          <cell r="CY101">
            <v>789.92344559405637</v>
          </cell>
          <cell r="CZ101">
            <v>1656.1899924986501</v>
          </cell>
          <cell r="DA101">
            <v>789.92344559405637</v>
          </cell>
          <cell r="DB101">
            <v>406.70420546124859</v>
          </cell>
          <cell r="DC101">
            <v>1196.627651055305</v>
          </cell>
          <cell r="DD101">
            <v>406.70420546124859</v>
          </cell>
          <cell r="DE101">
            <v>406.70420546124859</v>
          </cell>
          <cell r="DF101">
            <v>813.40841092249718</v>
          </cell>
          <cell r="DG101">
            <v>406.70420546124859</v>
          </cell>
          <cell r="DH101">
            <v>406.70420546124859</v>
          </cell>
          <cell r="DI101">
            <v>813.40841092249718</v>
          </cell>
          <cell r="DJ101">
            <v>416.70420546124865</v>
          </cell>
          <cell r="DK101">
            <v>416.70420546124865</v>
          </cell>
          <cell r="DL101">
            <v>833.4084109224973</v>
          </cell>
          <cell r="DM101">
            <v>416.70420546124865</v>
          </cell>
          <cell r="DN101">
            <v>416.70420546124865</v>
          </cell>
          <cell r="DO101">
            <v>833.4084109224973</v>
          </cell>
          <cell r="DP101">
            <v>416.70420546124865</v>
          </cell>
          <cell r="DQ101">
            <v>416.70420546124865</v>
          </cell>
          <cell r="DR101">
            <v>833.4084109224973</v>
          </cell>
          <cell r="DS101">
            <v>416.70420546124865</v>
          </cell>
          <cell r="DT101">
            <v>416.70420546124865</v>
          </cell>
          <cell r="DU101">
            <v>833.4084109224973</v>
          </cell>
          <cell r="DV101">
            <v>416.70420546124865</v>
          </cell>
          <cell r="DW101">
            <v>416.70420546124865</v>
          </cell>
          <cell r="DX101">
            <v>833.4084109224973</v>
          </cell>
          <cell r="DY101">
            <v>416.70420546124865</v>
          </cell>
          <cell r="DZ101">
            <v>416.70420546124865</v>
          </cell>
          <cell r="EA101">
            <v>833.4084109224973</v>
          </cell>
          <cell r="EB101">
            <v>416.70420546124865</v>
          </cell>
          <cell r="EC101">
            <v>416.70420546124865</v>
          </cell>
          <cell r="ED101">
            <v>833.4084109224973</v>
          </cell>
          <cell r="EE101">
            <v>416.70420546124865</v>
          </cell>
          <cell r="EF101">
            <v>416.70420546124865</v>
          </cell>
          <cell r="EG101">
            <v>833.4084109224973</v>
          </cell>
          <cell r="EH101">
            <v>416.70420546124865</v>
          </cell>
          <cell r="EI101">
            <v>416.70420546124865</v>
          </cell>
          <cell r="EJ101">
            <v>833.4084109224973</v>
          </cell>
          <cell r="EK101">
            <v>416.70420546124865</v>
          </cell>
          <cell r="EL101">
            <v>416.70420546124865</v>
          </cell>
          <cell r="EM101">
            <v>833.4084109224973</v>
          </cell>
          <cell r="EN101">
            <v>416.70420546124865</v>
          </cell>
          <cell r="EO101">
            <v>416.70420546124865</v>
          </cell>
          <cell r="EP101">
            <v>833.4084109224973</v>
          </cell>
          <cell r="EQ101">
            <v>416.70420546124865</v>
          </cell>
          <cell r="ER101">
            <v>416.70420546124865</v>
          </cell>
          <cell r="ES101">
            <v>833.4084109224973</v>
          </cell>
          <cell r="ET101">
            <v>416.70420546124865</v>
          </cell>
          <cell r="EU101">
            <v>416.70420546124865</v>
          </cell>
          <cell r="EV101">
            <v>833.4084109224973</v>
          </cell>
          <cell r="EW101">
            <v>416.70420546124865</v>
          </cell>
          <cell r="EX101">
            <v>416.70420546124865</v>
          </cell>
          <cell r="EY101">
            <v>833.4084109224973</v>
          </cell>
          <cell r="EZ101">
            <v>416.70420546124865</v>
          </cell>
          <cell r="FA101">
            <v>416.70420546124865</v>
          </cell>
          <cell r="FB101">
            <v>833.4084109224973</v>
          </cell>
          <cell r="FC101">
            <v>416.70420546124865</v>
          </cell>
          <cell r="FD101">
            <v>416.70420546124865</v>
          </cell>
          <cell r="FE101">
            <v>833.4084109224973</v>
          </cell>
          <cell r="FF101">
            <v>416.70420546124865</v>
          </cell>
          <cell r="FG101">
            <v>416.70420546124865</v>
          </cell>
          <cell r="FH101">
            <v>833.4084109224973</v>
          </cell>
          <cell r="FI101">
            <v>416.70420546124865</v>
          </cell>
          <cell r="FJ101">
            <v>416.70420546124865</v>
          </cell>
          <cell r="FK101">
            <v>833.4084109224973</v>
          </cell>
          <cell r="FL101">
            <v>416.70420546124865</v>
          </cell>
          <cell r="FM101">
            <v>416.70420546124865</v>
          </cell>
          <cell r="FN101">
            <v>833.4084109224973</v>
          </cell>
          <cell r="FO101">
            <v>416.70420546124865</v>
          </cell>
          <cell r="FP101">
            <v>416.70420546124865</v>
          </cell>
          <cell r="FQ101">
            <v>833.4084109224973</v>
          </cell>
          <cell r="FR101">
            <v>416.70420546124865</v>
          </cell>
          <cell r="FS101">
            <v>416.70420546124865</v>
          </cell>
          <cell r="FT101">
            <v>833.4084109224973</v>
          </cell>
          <cell r="FU101">
            <v>416.70420546124865</v>
          </cell>
          <cell r="FV101">
            <v>416.70420546124865</v>
          </cell>
          <cell r="FW101">
            <v>833.4084109224973</v>
          </cell>
          <cell r="FX101">
            <v>130.92346783718386</v>
          </cell>
          <cell r="FY101">
            <v>130.92346783718386</v>
          </cell>
          <cell r="FZ101">
            <v>261.84693567436773</v>
          </cell>
          <cell r="GA101">
            <v>130.92346783718386</v>
          </cell>
          <cell r="GB101">
            <v>130.92346783718386</v>
          </cell>
          <cell r="GC101">
            <v>261.84693567436773</v>
          </cell>
          <cell r="GD101">
            <v>130.92346783718386</v>
          </cell>
          <cell r="GE101">
            <v>130.92346783718386</v>
          </cell>
          <cell r="GF101">
            <v>261.84693567436773</v>
          </cell>
          <cell r="GG101">
            <v>130.92346783718386</v>
          </cell>
          <cell r="GH101">
            <v>130.92346783718386</v>
          </cell>
          <cell r="GI101">
            <v>261.84693567436773</v>
          </cell>
          <cell r="GJ101">
            <v>130.92346783718386</v>
          </cell>
          <cell r="GK101">
            <v>130.92346783718386</v>
          </cell>
          <cell r="GL101">
            <v>261.84693567436773</v>
          </cell>
          <cell r="GM101">
            <v>130.92346783718386</v>
          </cell>
          <cell r="GN101">
            <v>130.92346783718386</v>
          </cell>
          <cell r="GO101">
            <v>261.84693567436773</v>
          </cell>
          <cell r="GP101">
            <v>130.92346783718386</v>
          </cell>
          <cell r="GQ101">
            <v>130.92346783718386</v>
          </cell>
          <cell r="GR101">
            <v>261.84693567436773</v>
          </cell>
          <cell r="GS101">
            <v>130.92346783718386</v>
          </cell>
          <cell r="GT101">
            <v>130.92346783718386</v>
          </cell>
          <cell r="GU101">
            <v>261.84693567436773</v>
          </cell>
          <cell r="GV101">
            <v>130.92346783718386</v>
          </cell>
          <cell r="GW101">
            <v>130.92346783718386</v>
          </cell>
          <cell r="GX101">
            <v>261.84693567436773</v>
          </cell>
        </row>
        <row r="102">
          <cell r="A102" t="str">
            <v>Tax</v>
          </cell>
          <cell r="B102" t="str">
            <v>A$m</v>
          </cell>
          <cell r="H102">
            <v>8.4234051959999956</v>
          </cell>
          <cell r="I102">
            <v>42.650819646000009</v>
          </cell>
          <cell r="J102">
            <v>71.16</v>
          </cell>
          <cell r="K102">
            <v>88.2</v>
          </cell>
          <cell r="L102">
            <v>123.69</v>
          </cell>
          <cell r="M102">
            <v>104.59725153390025</v>
          </cell>
          <cell r="N102">
            <v>124.5059753139352</v>
          </cell>
          <cell r="O102">
            <v>199.30477493950832</v>
          </cell>
          <cell r="P102">
            <v>299.85804188696318</v>
          </cell>
          <cell r="Q102">
            <v>318.59851196846455</v>
          </cell>
          <cell r="R102">
            <v>390.6106562397689</v>
          </cell>
          <cell r="S102">
            <v>375.61662995745996</v>
          </cell>
          <cell r="T102">
            <v>260.72604459662369</v>
          </cell>
          <cell r="U102">
            <v>164.92123456342173</v>
          </cell>
          <cell r="V102">
            <v>164.92123456342173</v>
          </cell>
          <cell r="W102">
            <v>160.31351752162112</v>
          </cell>
          <cell r="X102">
            <v>150.70580047982048</v>
          </cell>
          <cell r="Y102">
            <v>150.70580047982048</v>
          </cell>
          <cell r="Z102">
            <v>150.70580047982048</v>
          </cell>
          <cell r="AA102">
            <v>150.70580047982048</v>
          </cell>
          <cell r="AB102">
            <v>150.70580047982048</v>
          </cell>
          <cell r="AC102">
            <v>150.70580047982048</v>
          </cell>
          <cell r="AD102">
            <v>150.70580047982048</v>
          </cell>
          <cell r="AE102">
            <v>150.70580047982048</v>
          </cell>
          <cell r="AF102">
            <v>150.70580047982048</v>
          </cell>
          <cell r="AG102">
            <v>150.70580047982048</v>
          </cell>
          <cell r="AH102">
            <v>150.70580047982048</v>
          </cell>
          <cell r="AI102">
            <v>150.70580047982048</v>
          </cell>
          <cell r="AJ102">
            <v>150.70580047982048</v>
          </cell>
          <cell r="AK102">
            <v>150.70580047982048</v>
          </cell>
          <cell r="AL102">
            <v>150.70580047982048</v>
          </cell>
          <cell r="AM102">
            <v>150.70580047982048</v>
          </cell>
          <cell r="AN102">
            <v>150.70580047982048</v>
          </cell>
          <cell r="AO102">
            <v>150.70580047982048</v>
          </cell>
          <cell r="AP102">
            <v>150.70580047982048</v>
          </cell>
          <cell r="AQ102">
            <v>150.70580047982048</v>
          </cell>
          <cell r="AR102">
            <v>150.70580047982048</v>
          </cell>
          <cell r="AS102">
            <v>36.638582793190011</v>
          </cell>
          <cell r="AT102">
            <v>36.638582793190011</v>
          </cell>
          <cell r="AU102">
            <v>36.638582793190011</v>
          </cell>
          <cell r="AV102">
            <v>36.638582793190011</v>
          </cell>
          <cell r="AW102">
            <v>36.638582793190011</v>
          </cell>
          <cell r="AX102">
            <v>36.638582793190011</v>
          </cell>
          <cell r="AY102">
            <v>36.638582793190011</v>
          </cell>
          <cell r="AZ102">
            <v>36.638582793190011</v>
          </cell>
          <cell r="BA102">
            <v>36.638582793190011</v>
          </cell>
          <cell r="BF102">
            <v>2.1439058310000001</v>
          </cell>
          <cell r="BG102">
            <v>-0.78382574699999952</v>
          </cell>
          <cell r="BH102">
            <v>1.3600800840000005</v>
          </cell>
          <cell r="BI102">
            <v>1.8906784289999987</v>
          </cell>
          <cell r="BJ102">
            <v>2.4495907079999988</v>
          </cell>
          <cell r="BK102">
            <v>4.3402691369999973</v>
          </cell>
          <cell r="BL102">
            <v>-5.3966155499999973</v>
          </cell>
          <cell r="BM102">
            <v>1.0901341139999972</v>
          </cell>
          <cell r="BN102">
            <v>-4.3064814359999994</v>
          </cell>
          <cell r="BO102">
            <v>0.59672884499999945</v>
          </cell>
          <cell r="BP102">
            <v>7.681704989999993</v>
          </cell>
          <cell r="BQ102">
            <v>8.2784338349999924</v>
          </cell>
          <cell r="BR102">
            <v>-11.411891999999996</v>
          </cell>
          <cell r="BS102">
            <v>19.835297195999992</v>
          </cell>
          <cell r="BT102">
            <v>8.4234051959999956</v>
          </cell>
          <cell r="BU102">
            <v>21.464433845999999</v>
          </cell>
          <cell r="BV102">
            <v>21.186385800000004</v>
          </cell>
          <cell r="BW102">
            <v>42.650819646000009</v>
          </cell>
          <cell r="BX102">
            <v>32.716416000000002</v>
          </cell>
          <cell r="BY102">
            <v>38.443584000000001</v>
          </cell>
          <cell r="BZ102">
            <v>71.16</v>
          </cell>
          <cell r="CA102">
            <v>35.19</v>
          </cell>
          <cell r="CB102">
            <v>53.01</v>
          </cell>
          <cell r="CC102">
            <v>88.2</v>
          </cell>
          <cell r="CD102">
            <v>72.63</v>
          </cell>
          <cell r="CE102">
            <v>123.69</v>
          </cell>
          <cell r="CF102">
            <v>41.74157993</v>
          </cell>
          <cell r="CG102">
            <v>62.855671603900248</v>
          </cell>
          <cell r="CH102">
            <v>104.59725153390025</v>
          </cell>
          <cell r="CI102">
            <v>51.8</v>
          </cell>
          <cell r="CJ102">
            <v>72.705975313935198</v>
          </cell>
          <cell r="CK102">
            <v>124.5059753139352</v>
          </cell>
          <cell r="CL102">
            <v>73.792457276897039</v>
          </cell>
          <cell r="CM102">
            <v>125.5123176626113</v>
          </cell>
          <cell r="CN102">
            <v>199.30477493950832</v>
          </cell>
          <cell r="CO102">
            <v>153.96846014327662</v>
          </cell>
          <cell r="CP102">
            <v>145.88958174368656</v>
          </cell>
          <cell r="CQ102">
            <v>299.85804188696318</v>
          </cell>
          <cell r="CR102">
            <v>169.40047486833549</v>
          </cell>
          <cell r="CS102">
            <v>149.19803710012906</v>
          </cell>
          <cell r="CT102">
            <v>318.59851196846455</v>
          </cell>
          <cell r="CU102">
            <v>193.25945359722175</v>
          </cell>
          <cell r="CV102">
            <v>197.35120264254712</v>
          </cell>
          <cell r="CW102">
            <v>390.6106562397689</v>
          </cell>
          <cell r="CX102">
            <v>197.35120264254712</v>
          </cell>
          <cell r="CY102">
            <v>178.26542731491281</v>
          </cell>
          <cell r="CZ102">
            <v>375.61662995745996</v>
          </cell>
          <cell r="DA102">
            <v>178.26542731491281</v>
          </cell>
          <cell r="DB102">
            <v>82.460617281710867</v>
          </cell>
          <cell r="DC102">
            <v>260.72604459662369</v>
          </cell>
          <cell r="DD102">
            <v>82.460617281710867</v>
          </cell>
          <cell r="DE102">
            <v>82.460617281710867</v>
          </cell>
          <cell r="DF102">
            <v>164.92123456342173</v>
          </cell>
          <cell r="DG102">
            <v>82.460617281710867</v>
          </cell>
          <cell r="DH102">
            <v>82.460617281710867</v>
          </cell>
          <cell r="DI102">
            <v>164.92123456342173</v>
          </cell>
          <cell r="DJ102">
            <v>84.960617281710881</v>
          </cell>
          <cell r="DK102">
            <v>75.352900239910241</v>
          </cell>
          <cell r="DL102">
            <v>160.31351752162112</v>
          </cell>
          <cell r="DM102">
            <v>75.352900239910241</v>
          </cell>
          <cell r="DN102">
            <v>75.352900239910241</v>
          </cell>
          <cell r="DO102">
            <v>150.70580047982048</v>
          </cell>
          <cell r="DP102">
            <v>75.352900239910241</v>
          </cell>
          <cell r="DQ102">
            <v>75.352900239910241</v>
          </cell>
          <cell r="DR102">
            <v>150.70580047982048</v>
          </cell>
          <cell r="DS102">
            <v>75.352900239910241</v>
          </cell>
          <cell r="DT102">
            <v>75.352900239910241</v>
          </cell>
          <cell r="DU102">
            <v>150.70580047982048</v>
          </cell>
          <cell r="DV102">
            <v>75.352900239910241</v>
          </cell>
          <cell r="DW102">
            <v>75.352900239910241</v>
          </cell>
          <cell r="DX102">
            <v>150.70580047982048</v>
          </cell>
          <cell r="DY102">
            <v>75.352900239910241</v>
          </cell>
          <cell r="DZ102">
            <v>75.352900239910241</v>
          </cell>
          <cell r="EA102">
            <v>150.70580047982048</v>
          </cell>
          <cell r="EB102">
            <v>75.352900239910241</v>
          </cell>
          <cell r="EC102">
            <v>75.352900239910241</v>
          </cell>
          <cell r="ED102">
            <v>150.70580047982048</v>
          </cell>
          <cell r="EE102">
            <v>75.352900239910241</v>
          </cell>
          <cell r="EF102">
            <v>75.352900239910241</v>
          </cell>
          <cell r="EG102">
            <v>150.70580047982048</v>
          </cell>
          <cell r="EH102">
            <v>75.352900239910241</v>
          </cell>
          <cell r="EI102">
            <v>75.352900239910241</v>
          </cell>
          <cell r="EJ102">
            <v>150.70580047982048</v>
          </cell>
          <cell r="EK102">
            <v>75.352900239910241</v>
          </cell>
          <cell r="EL102">
            <v>75.352900239910241</v>
          </cell>
          <cell r="EM102">
            <v>150.70580047982048</v>
          </cell>
          <cell r="EN102">
            <v>75.352900239910241</v>
          </cell>
          <cell r="EO102">
            <v>75.352900239910241</v>
          </cell>
          <cell r="EP102">
            <v>150.70580047982048</v>
          </cell>
          <cell r="EQ102">
            <v>75.352900239910241</v>
          </cell>
          <cell r="ER102">
            <v>75.352900239910241</v>
          </cell>
          <cell r="ES102">
            <v>150.70580047982048</v>
          </cell>
          <cell r="ET102">
            <v>75.352900239910241</v>
          </cell>
          <cell r="EU102">
            <v>75.352900239910241</v>
          </cell>
          <cell r="EV102">
            <v>150.70580047982048</v>
          </cell>
          <cell r="EW102">
            <v>75.352900239910241</v>
          </cell>
          <cell r="EX102">
            <v>75.352900239910241</v>
          </cell>
          <cell r="EY102">
            <v>150.70580047982048</v>
          </cell>
          <cell r="EZ102">
            <v>75.352900239910241</v>
          </cell>
          <cell r="FA102">
            <v>75.352900239910241</v>
          </cell>
          <cell r="FB102">
            <v>150.70580047982048</v>
          </cell>
          <cell r="FC102">
            <v>75.352900239910241</v>
          </cell>
          <cell r="FD102">
            <v>75.352900239910241</v>
          </cell>
          <cell r="FE102">
            <v>150.70580047982048</v>
          </cell>
          <cell r="FF102">
            <v>75.352900239910241</v>
          </cell>
          <cell r="FG102">
            <v>75.352900239910241</v>
          </cell>
          <cell r="FH102">
            <v>150.70580047982048</v>
          </cell>
          <cell r="FI102">
            <v>75.352900239910241</v>
          </cell>
          <cell r="FJ102">
            <v>75.352900239910241</v>
          </cell>
          <cell r="FK102">
            <v>150.70580047982048</v>
          </cell>
          <cell r="FL102">
            <v>75.352900239910241</v>
          </cell>
          <cell r="FM102">
            <v>75.352900239910241</v>
          </cell>
          <cell r="FN102">
            <v>150.70580047982048</v>
          </cell>
          <cell r="FO102">
            <v>75.352900239910241</v>
          </cell>
          <cell r="FP102">
            <v>75.352900239910241</v>
          </cell>
          <cell r="FQ102">
            <v>150.70580047982048</v>
          </cell>
          <cell r="FR102">
            <v>75.352900239910241</v>
          </cell>
          <cell r="FS102">
            <v>75.352900239910241</v>
          </cell>
          <cell r="FT102">
            <v>150.70580047982048</v>
          </cell>
          <cell r="FU102">
            <v>75.352900239910241</v>
          </cell>
          <cell r="FV102">
            <v>75.352900239910241</v>
          </cell>
          <cell r="FW102">
            <v>150.70580047982048</v>
          </cell>
          <cell r="FX102">
            <v>18.319291396595005</v>
          </cell>
          <cell r="FY102">
            <v>18.319291396595005</v>
          </cell>
          <cell r="FZ102">
            <v>36.638582793190011</v>
          </cell>
          <cell r="GA102">
            <v>18.319291396595005</v>
          </cell>
          <cell r="GB102">
            <v>18.319291396595005</v>
          </cell>
          <cell r="GC102">
            <v>36.638582793190011</v>
          </cell>
          <cell r="GD102">
            <v>18.319291396595005</v>
          </cell>
          <cell r="GE102">
            <v>18.319291396595005</v>
          </cell>
          <cell r="GF102">
            <v>36.638582793190011</v>
          </cell>
          <cell r="GG102">
            <v>18.319291396595005</v>
          </cell>
          <cell r="GH102">
            <v>18.319291396595005</v>
          </cell>
          <cell r="GI102">
            <v>36.638582793190011</v>
          </cell>
          <cell r="GJ102">
            <v>18.319291396595005</v>
          </cell>
          <cell r="GK102">
            <v>18.319291396595005</v>
          </cell>
          <cell r="GL102">
            <v>36.638582793190011</v>
          </cell>
          <cell r="GM102">
            <v>18.319291396595005</v>
          </cell>
          <cell r="GN102">
            <v>18.319291396595005</v>
          </cell>
          <cell r="GO102">
            <v>36.638582793190011</v>
          </cell>
          <cell r="GP102">
            <v>18.319291396595005</v>
          </cell>
          <cell r="GQ102">
            <v>18.319291396595005</v>
          </cell>
          <cell r="GR102">
            <v>36.638582793190011</v>
          </cell>
          <cell r="GS102">
            <v>18.319291396595005</v>
          </cell>
          <cell r="GT102">
            <v>18.319291396595005</v>
          </cell>
          <cell r="GU102">
            <v>36.638582793190011</v>
          </cell>
          <cell r="GV102">
            <v>18.319291396595005</v>
          </cell>
          <cell r="GW102">
            <v>18.319291396595005</v>
          </cell>
          <cell r="GX102">
            <v>36.638582793190011</v>
          </cell>
        </row>
        <row r="103">
          <cell r="A103" t="str">
            <v>Capex</v>
          </cell>
          <cell r="B103" t="str">
            <v>A$m</v>
          </cell>
          <cell r="H103">
            <v>99.492000000000004</v>
          </cell>
          <cell r="I103">
            <v>170.8</v>
          </cell>
          <cell r="J103">
            <v>150</v>
          </cell>
          <cell r="K103">
            <v>141</v>
          </cell>
          <cell r="L103">
            <v>279.10000000000002</v>
          </cell>
          <cell r="M103">
            <v>662</v>
          </cell>
          <cell r="N103">
            <v>615</v>
          </cell>
          <cell r="O103">
            <v>750</v>
          </cell>
          <cell r="P103">
            <v>160</v>
          </cell>
          <cell r="Q103">
            <v>105</v>
          </cell>
          <cell r="R103">
            <v>295</v>
          </cell>
          <cell r="S103">
            <v>250</v>
          </cell>
          <cell r="T103">
            <v>60</v>
          </cell>
          <cell r="U103">
            <v>60</v>
          </cell>
          <cell r="V103">
            <v>60</v>
          </cell>
          <cell r="W103">
            <v>60</v>
          </cell>
          <cell r="X103">
            <v>60</v>
          </cell>
          <cell r="Y103">
            <v>60</v>
          </cell>
          <cell r="Z103">
            <v>60</v>
          </cell>
          <cell r="AA103">
            <v>60</v>
          </cell>
          <cell r="AB103">
            <v>60</v>
          </cell>
          <cell r="AC103">
            <v>60</v>
          </cell>
          <cell r="AD103">
            <v>20</v>
          </cell>
          <cell r="AE103">
            <v>20</v>
          </cell>
          <cell r="AF103">
            <v>20</v>
          </cell>
          <cell r="AG103">
            <v>20</v>
          </cell>
          <cell r="AH103">
            <v>20</v>
          </cell>
          <cell r="AI103">
            <v>20</v>
          </cell>
          <cell r="AJ103">
            <v>20</v>
          </cell>
          <cell r="AK103">
            <v>20</v>
          </cell>
          <cell r="AL103">
            <v>20</v>
          </cell>
          <cell r="AM103">
            <v>20</v>
          </cell>
          <cell r="AN103">
            <v>20</v>
          </cell>
          <cell r="AO103">
            <v>20</v>
          </cell>
          <cell r="AP103">
            <v>20</v>
          </cell>
          <cell r="AQ103">
            <v>20</v>
          </cell>
          <cell r="AR103">
            <v>20</v>
          </cell>
          <cell r="AS103">
            <v>20</v>
          </cell>
          <cell r="AT103">
            <v>20</v>
          </cell>
          <cell r="AU103">
            <v>20</v>
          </cell>
          <cell r="AV103">
            <v>20</v>
          </cell>
          <cell r="AW103">
            <v>20</v>
          </cell>
          <cell r="AX103">
            <v>20</v>
          </cell>
          <cell r="AY103">
            <v>20</v>
          </cell>
          <cell r="AZ103">
            <v>20</v>
          </cell>
          <cell r="BA103">
            <v>20</v>
          </cell>
          <cell r="BF103">
            <v>12.709</v>
          </cell>
          <cell r="BG103">
            <v>24.189000000000004</v>
          </cell>
          <cell r="BH103">
            <v>36.898000000000003</v>
          </cell>
          <cell r="BI103">
            <v>10.77</v>
          </cell>
          <cell r="BJ103">
            <v>15.211000000000002</v>
          </cell>
          <cell r="BK103">
            <v>25.981000000000002</v>
          </cell>
          <cell r="BL103">
            <v>16.079999999999998</v>
          </cell>
          <cell r="BM103">
            <v>10.985000000000003</v>
          </cell>
          <cell r="BN103">
            <v>27.065000000000001</v>
          </cell>
          <cell r="BO103">
            <v>32.799999999999997</v>
          </cell>
          <cell r="BP103">
            <v>54.863</v>
          </cell>
          <cell r="BQ103">
            <v>87.662999999999997</v>
          </cell>
          <cell r="BR103">
            <v>37.5</v>
          </cell>
          <cell r="BS103">
            <v>61.992000000000004</v>
          </cell>
          <cell r="BT103">
            <v>99.492000000000004</v>
          </cell>
          <cell r="BU103">
            <v>89.5</v>
          </cell>
          <cell r="BV103">
            <v>81.300000000000011</v>
          </cell>
          <cell r="BW103">
            <v>170.8</v>
          </cell>
          <cell r="BX103">
            <v>75</v>
          </cell>
          <cell r="BY103">
            <v>75</v>
          </cell>
          <cell r="BZ103">
            <v>150</v>
          </cell>
          <cell r="CA103">
            <v>52.5</v>
          </cell>
          <cell r="CB103">
            <v>88.5</v>
          </cell>
          <cell r="CC103">
            <v>141</v>
          </cell>
          <cell r="CD103">
            <v>78</v>
          </cell>
          <cell r="CE103">
            <v>279.10000000000002</v>
          </cell>
          <cell r="CF103">
            <v>201.10000000000002</v>
          </cell>
          <cell r="CG103">
            <v>410</v>
          </cell>
          <cell r="CH103">
            <v>662</v>
          </cell>
          <cell r="CI103">
            <v>400</v>
          </cell>
          <cell r="CJ103">
            <v>215</v>
          </cell>
          <cell r="CK103">
            <v>615</v>
          </cell>
          <cell r="CL103">
            <v>375</v>
          </cell>
          <cell r="CM103">
            <v>375</v>
          </cell>
          <cell r="CN103">
            <v>750</v>
          </cell>
          <cell r="CO103">
            <v>130</v>
          </cell>
          <cell r="CP103">
            <v>30</v>
          </cell>
          <cell r="CQ103">
            <v>160</v>
          </cell>
          <cell r="CR103">
            <v>30</v>
          </cell>
          <cell r="CS103">
            <v>75</v>
          </cell>
          <cell r="CT103">
            <v>105</v>
          </cell>
          <cell r="CU103">
            <v>75</v>
          </cell>
          <cell r="CV103">
            <v>220</v>
          </cell>
          <cell r="CW103">
            <v>295</v>
          </cell>
          <cell r="CX103">
            <v>220</v>
          </cell>
          <cell r="CY103">
            <v>30</v>
          </cell>
          <cell r="CZ103">
            <v>250</v>
          </cell>
          <cell r="DA103">
            <v>30</v>
          </cell>
          <cell r="DB103">
            <v>30</v>
          </cell>
          <cell r="DC103">
            <v>60</v>
          </cell>
          <cell r="DD103">
            <v>30</v>
          </cell>
          <cell r="DE103">
            <v>30</v>
          </cell>
          <cell r="DF103">
            <v>60</v>
          </cell>
          <cell r="DG103">
            <v>30</v>
          </cell>
          <cell r="DH103">
            <v>30</v>
          </cell>
          <cell r="DI103">
            <v>60</v>
          </cell>
          <cell r="DJ103">
            <v>30</v>
          </cell>
          <cell r="DK103">
            <v>30</v>
          </cell>
          <cell r="DL103">
            <v>60</v>
          </cell>
          <cell r="DM103">
            <v>30</v>
          </cell>
          <cell r="DN103">
            <v>30</v>
          </cell>
          <cell r="DO103">
            <v>60</v>
          </cell>
          <cell r="DP103">
            <v>30</v>
          </cell>
          <cell r="DQ103">
            <v>30</v>
          </cell>
          <cell r="DR103">
            <v>60</v>
          </cell>
          <cell r="DS103">
            <v>30</v>
          </cell>
          <cell r="DT103">
            <v>30</v>
          </cell>
          <cell r="DU103">
            <v>60</v>
          </cell>
          <cell r="DV103">
            <v>30</v>
          </cell>
          <cell r="DW103">
            <v>30</v>
          </cell>
          <cell r="DX103">
            <v>60</v>
          </cell>
          <cell r="DY103">
            <v>30</v>
          </cell>
          <cell r="DZ103">
            <v>30</v>
          </cell>
          <cell r="EA103">
            <v>60</v>
          </cell>
          <cell r="EB103">
            <v>30</v>
          </cell>
          <cell r="EC103">
            <v>30</v>
          </cell>
          <cell r="ED103">
            <v>60</v>
          </cell>
          <cell r="EE103">
            <v>10</v>
          </cell>
          <cell r="EF103">
            <v>10</v>
          </cell>
          <cell r="EG103">
            <v>20</v>
          </cell>
          <cell r="EH103">
            <v>10</v>
          </cell>
          <cell r="EI103">
            <v>10</v>
          </cell>
          <cell r="EJ103">
            <v>20</v>
          </cell>
          <cell r="EK103">
            <v>10</v>
          </cell>
          <cell r="EL103">
            <v>10</v>
          </cell>
          <cell r="EM103">
            <v>20</v>
          </cell>
          <cell r="EN103">
            <v>10</v>
          </cell>
          <cell r="EO103">
            <v>10</v>
          </cell>
          <cell r="EP103">
            <v>20</v>
          </cell>
          <cell r="EQ103">
            <v>10</v>
          </cell>
          <cell r="ER103">
            <v>10</v>
          </cell>
          <cell r="ES103">
            <v>20</v>
          </cell>
          <cell r="ET103">
            <v>10</v>
          </cell>
          <cell r="EU103">
            <v>10</v>
          </cell>
          <cell r="EV103">
            <v>20</v>
          </cell>
          <cell r="EW103">
            <v>10</v>
          </cell>
          <cell r="EX103">
            <v>10</v>
          </cell>
          <cell r="EY103">
            <v>20</v>
          </cell>
          <cell r="EZ103">
            <v>10</v>
          </cell>
          <cell r="FA103">
            <v>10</v>
          </cell>
          <cell r="FB103">
            <v>20</v>
          </cell>
          <cell r="FC103">
            <v>10</v>
          </cell>
          <cell r="FD103">
            <v>10</v>
          </cell>
          <cell r="FE103">
            <v>20</v>
          </cell>
          <cell r="FF103">
            <v>10</v>
          </cell>
          <cell r="FG103">
            <v>10</v>
          </cell>
          <cell r="FH103">
            <v>20</v>
          </cell>
          <cell r="FI103">
            <v>10</v>
          </cell>
          <cell r="FJ103">
            <v>10</v>
          </cell>
          <cell r="FK103">
            <v>20</v>
          </cell>
          <cell r="FL103">
            <v>10</v>
          </cell>
          <cell r="FM103">
            <v>10</v>
          </cell>
          <cell r="FN103">
            <v>20</v>
          </cell>
          <cell r="FO103">
            <v>10</v>
          </cell>
          <cell r="FP103">
            <v>10</v>
          </cell>
          <cell r="FQ103">
            <v>20</v>
          </cell>
          <cell r="FR103">
            <v>10</v>
          </cell>
          <cell r="FS103">
            <v>10</v>
          </cell>
          <cell r="FT103">
            <v>20</v>
          </cell>
          <cell r="FU103">
            <v>10</v>
          </cell>
          <cell r="FV103">
            <v>10</v>
          </cell>
          <cell r="FW103">
            <v>20</v>
          </cell>
          <cell r="FX103">
            <v>10</v>
          </cell>
          <cell r="FY103">
            <v>10</v>
          </cell>
          <cell r="FZ103">
            <v>20</v>
          </cell>
          <cell r="GA103">
            <v>10</v>
          </cell>
          <cell r="GB103">
            <v>10</v>
          </cell>
          <cell r="GC103">
            <v>20</v>
          </cell>
          <cell r="GD103">
            <v>10</v>
          </cell>
          <cell r="GE103">
            <v>10</v>
          </cell>
          <cell r="GF103">
            <v>20</v>
          </cell>
          <cell r="GG103">
            <v>10</v>
          </cell>
          <cell r="GH103">
            <v>10</v>
          </cell>
          <cell r="GI103">
            <v>20</v>
          </cell>
          <cell r="GJ103">
            <v>10</v>
          </cell>
          <cell r="GK103">
            <v>10</v>
          </cell>
          <cell r="GL103">
            <v>20</v>
          </cell>
          <cell r="GM103">
            <v>10</v>
          </cell>
          <cell r="GN103">
            <v>10</v>
          </cell>
          <cell r="GO103">
            <v>20</v>
          </cell>
          <cell r="GP103">
            <v>10</v>
          </cell>
          <cell r="GQ103">
            <v>10</v>
          </cell>
          <cell r="GR103">
            <v>20</v>
          </cell>
          <cell r="GS103">
            <v>10</v>
          </cell>
          <cell r="GT103">
            <v>10</v>
          </cell>
          <cell r="GU103">
            <v>20</v>
          </cell>
          <cell r="GV103">
            <v>10</v>
          </cell>
          <cell r="GW103">
            <v>10</v>
          </cell>
          <cell r="GX103">
            <v>20</v>
          </cell>
        </row>
        <row r="104">
          <cell r="A104" t="str">
            <v>Cash Flow</v>
          </cell>
          <cell r="B104" t="str">
            <v>A$m</v>
          </cell>
          <cell r="H104">
            <v>-44.086287196000008</v>
          </cell>
          <cell r="I104">
            <v>-34.075355986000005</v>
          </cell>
          <cell r="J104">
            <v>66.34</v>
          </cell>
          <cell r="K104">
            <v>115.60000000000002</v>
          </cell>
          <cell r="L104">
            <v>84.009999999999934</v>
          </cell>
          <cell r="M104">
            <v>-241.92854539829921</v>
          </cell>
          <cell r="N104">
            <v>-231.31342605819441</v>
          </cell>
          <cell r="O104">
            <v>-15.09163981170002</v>
          </cell>
          <cell r="P104">
            <v>916.89655331362246</v>
          </cell>
          <cell r="Q104">
            <v>1052.5575937832073</v>
          </cell>
          <cell r="R104">
            <v>1030.5554413881168</v>
          </cell>
          <cell r="S104">
            <v>1030.5733625411901</v>
          </cell>
          <cell r="T104">
            <v>875.90160645868127</v>
          </cell>
          <cell r="U104">
            <v>588.48717635907542</v>
          </cell>
          <cell r="V104">
            <v>588.48717635907542</v>
          </cell>
          <cell r="W104">
            <v>613.09489340087612</v>
          </cell>
          <cell r="X104">
            <v>622.70261044267681</v>
          </cell>
          <cell r="Y104">
            <v>622.70261044267681</v>
          </cell>
          <cell r="Z104">
            <v>622.70261044267681</v>
          </cell>
          <cell r="AA104">
            <v>622.70261044267681</v>
          </cell>
          <cell r="AB104">
            <v>622.70261044267681</v>
          </cell>
          <cell r="AC104">
            <v>622.70261044267681</v>
          </cell>
          <cell r="AD104">
            <v>662.70261044267681</v>
          </cell>
          <cell r="AE104">
            <v>662.70261044267681</v>
          </cell>
          <cell r="AF104">
            <v>662.70261044267681</v>
          </cell>
          <cell r="AG104">
            <v>662.70261044267681</v>
          </cell>
          <cell r="AH104">
            <v>662.70261044267681</v>
          </cell>
          <cell r="AI104">
            <v>662.70261044267681</v>
          </cell>
          <cell r="AJ104">
            <v>662.70261044267681</v>
          </cell>
          <cell r="AK104">
            <v>662.70261044267681</v>
          </cell>
          <cell r="AL104">
            <v>662.70261044267681</v>
          </cell>
          <cell r="AM104">
            <v>662.70261044267681</v>
          </cell>
          <cell r="AN104">
            <v>662.70261044267681</v>
          </cell>
          <cell r="AO104">
            <v>662.70261044267681</v>
          </cell>
          <cell r="AP104">
            <v>662.70261044267681</v>
          </cell>
          <cell r="AQ104">
            <v>662.70261044267681</v>
          </cell>
          <cell r="AR104">
            <v>662.70261044267681</v>
          </cell>
          <cell r="AS104">
            <v>205.20835288117772</v>
          </cell>
          <cell r="AT104">
            <v>205.20835288117772</v>
          </cell>
          <cell r="AU104">
            <v>205.20835288117772</v>
          </cell>
          <cell r="AV104">
            <v>205.20835288117772</v>
          </cell>
          <cell r="AW104">
            <v>205.20835288117772</v>
          </cell>
          <cell r="AX104">
            <v>205.20835288117772</v>
          </cell>
          <cell r="AY104">
            <v>205.20835288117772</v>
          </cell>
          <cell r="AZ104">
            <v>205.20835288117772</v>
          </cell>
          <cell r="BA104">
            <v>205.20835288117772</v>
          </cell>
          <cell r="BF104">
            <v>9.685166038999995</v>
          </cell>
          <cell r="BG104">
            <v>-9.478878583000002</v>
          </cell>
          <cell r="BH104">
            <v>0.20628745599999121</v>
          </cell>
          <cell r="BI104">
            <v>7.0282975709999995</v>
          </cell>
          <cell r="BJ104">
            <v>4.377049901999996</v>
          </cell>
          <cell r="BK104">
            <v>11.405347472999992</v>
          </cell>
          <cell r="BL104">
            <v>-14.808029849999993</v>
          </cell>
          <cell r="BM104">
            <v>7.4352861659999903</v>
          </cell>
          <cell r="BN104">
            <v>-7.3727436840000031</v>
          </cell>
          <cell r="BO104">
            <v>-16.078011355000001</v>
          </cell>
          <cell r="BP104">
            <v>-19.70681265000001</v>
          </cell>
          <cell r="BQ104">
            <v>-35.784824005000011</v>
          </cell>
          <cell r="BR104">
            <v>-48.137501999999998</v>
          </cell>
          <cell r="BS104">
            <v>4.0512148039999971</v>
          </cell>
          <cell r="BT104">
            <v>-44.086287196000008</v>
          </cell>
          <cell r="BU104">
            <v>-22.717490185999992</v>
          </cell>
          <cell r="BV104">
            <v>-11.357865800000013</v>
          </cell>
          <cell r="BW104">
            <v>-34.075355986000005</v>
          </cell>
          <cell r="BX104">
            <v>21.627724000000001</v>
          </cell>
          <cell r="BY104">
            <v>44.712276000000017</v>
          </cell>
          <cell r="BZ104">
            <v>66.34</v>
          </cell>
          <cell r="CA104">
            <v>49.109999999999985</v>
          </cell>
          <cell r="CB104">
            <v>66.490000000000038</v>
          </cell>
          <cell r="CC104">
            <v>115.60000000000002</v>
          </cell>
          <cell r="CD104">
            <v>122.87</v>
          </cell>
          <cell r="CE104">
            <v>84.009999999999934</v>
          </cell>
          <cell r="CF104">
            <v>-26.175260210000033</v>
          </cell>
          <cell r="CG104">
            <v>-164.85328518829925</v>
          </cell>
          <cell r="CH104">
            <v>-241.92854539829921</v>
          </cell>
          <cell r="CI104">
            <v>-194.60000000000002</v>
          </cell>
          <cell r="CJ104">
            <v>-36.713426058194386</v>
          </cell>
          <cell r="CK104">
            <v>-231.31342605819441</v>
          </cell>
          <cell r="CL104">
            <v>-86.224493121077387</v>
          </cell>
          <cell r="CM104">
            <v>71.13285330937731</v>
          </cell>
          <cell r="CN104">
            <v>-15.09163981170002</v>
          </cell>
          <cell r="CO104">
            <v>418.37483380603567</v>
          </cell>
          <cell r="CP104">
            <v>498.52171950758702</v>
          </cell>
          <cell r="CQ104">
            <v>916.89655331362246</v>
          </cell>
          <cell r="CR104">
            <v>579.08245354391329</v>
          </cell>
          <cell r="CS104">
            <v>473.47514023929398</v>
          </cell>
          <cell r="CT104">
            <v>1052.5575937832073</v>
          </cell>
          <cell r="CU104">
            <v>581.64009712607037</v>
          </cell>
          <cell r="CV104">
            <v>448.91534426204646</v>
          </cell>
          <cell r="CW104">
            <v>1030.5554413881168</v>
          </cell>
          <cell r="CX104">
            <v>448.91534426204646</v>
          </cell>
          <cell r="CY104">
            <v>581.65801827914356</v>
          </cell>
          <cell r="CZ104">
            <v>1030.5733625411901</v>
          </cell>
          <cell r="DA104">
            <v>581.65801827914356</v>
          </cell>
          <cell r="DB104">
            <v>294.24358817953771</v>
          </cell>
          <cell r="DC104">
            <v>875.90160645868127</v>
          </cell>
          <cell r="DD104">
            <v>294.24358817953771</v>
          </cell>
          <cell r="DE104">
            <v>294.24358817953771</v>
          </cell>
          <cell r="DF104">
            <v>588.48717635907542</v>
          </cell>
          <cell r="DG104">
            <v>294.24358817953771</v>
          </cell>
          <cell r="DH104">
            <v>294.24358817953771</v>
          </cell>
          <cell r="DI104">
            <v>588.48717635907542</v>
          </cell>
          <cell r="DJ104">
            <v>301.74358817953777</v>
          </cell>
          <cell r="DK104">
            <v>311.35130522133841</v>
          </cell>
          <cell r="DL104">
            <v>613.09489340087612</v>
          </cell>
          <cell r="DM104">
            <v>311.35130522133841</v>
          </cell>
          <cell r="DN104">
            <v>311.35130522133841</v>
          </cell>
          <cell r="DO104">
            <v>622.70261044267681</v>
          </cell>
          <cell r="DP104">
            <v>311.35130522133841</v>
          </cell>
          <cell r="DQ104">
            <v>311.35130522133841</v>
          </cell>
          <cell r="DR104">
            <v>622.70261044267681</v>
          </cell>
          <cell r="DS104">
            <v>311.35130522133841</v>
          </cell>
          <cell r="DT104">
            <v>311.35130522133841</v>
          </cell>
          <cell r="DU104">
            <v>622.70261044267681</v>
          </cell>
          <cell r="DV104">
            <v>311.35130522133841</v>
          </cell>
          <cell r="DW104">
            <v>311.35130522133841</v>
          </cell>
          <cell r="DX104">
            <v>622.70261044267681</v>
          </cell>
          <cell r="DY104">
            <v>311.35130522133841</v>
          </cell>
          <cell r="DZ104">
            <v>311.35130522133841</v>
          </cell>
          <cell r="EA104">
            <v>622.70261044267681</v>
          </cell>
          <cell r="EB104">
            <v>311.35130522133841</v>
          </cell>
          <cell r="EC104">
            <v>311.35130522133841</v>
          </cell>
          <cell r="ED104">
            <v>622.70261044267681</v>
          </cell>
          <cell r="EE104">
            <v>331.35130522133841</v>
          </cell>
          <cell r="EF104">
            <v>331.35130522133841</v>
          </cell>
          <cell r="EG104">
            <v>662.70261044267681</v>
          </cell>
          <cell r="EH104">
            <v>331.35130522133841</v>
          </cell>
          <cell r="EI104">
            <v>331.35130522133841</v>
          </cell>
          <cell r="EJ104">
            <v>662.70261044267681</v>
          </cell>
          <cell r="EK104">
            <v>331.35130522133841</v>
          </cell>
          <cell r="EL104">
            <v>331.35130522133841</v>
          </cell>
          <cell r="EM104">
            <v>662.70261044267681</v>
          </cell>
          <cell r="EN104">
            <v>331.35130522133841</v>
          </cell>
          <cell r="EO104">
            <v>331.35130522133841</v>
          </cell>
          <cell r="EP104">
            <v>662.70261044267681</v>
          </cell>
          <cell r="EQ104">
            <v>331.35130522133841</v>
          </cell>
          <cell r="ER104">
            <v>331.35130522133841</v>
          </cell>
          <cell r="ES104">
            <v>662.70261044267681</v>
          </cell>
          <cell r="ET104">
            <v>331.35130522133841</v>
          </cell>
          <cell r="EU104">
            <v>331.35130522133841</v>
          </cell>
          <cell r="EV104">
            <v>662.70261044267681</v>
          </cell>
          <cell r="EW104">
            <v>331.35130522133841</v>
          </cell>
          <cell r="EX104">
            <v>331.35130522133841</v>
          </cell>
          <cell r="EY104">
            <v>662.70261044267681</v>
          </cell>
          <cell r="EZ104">
            <v>331.35130522133841</v>
          </cell>
          <cell r="FA104">
            <v>331.35130522133841</v>
          </cell>
          <cell r="FB104">
            <v>662.70261044267681</v>
          </cell>
          <cell r="FC104">
            <v>331.35130522133841</v>
          </cell>
          <cell r="FD104">
            <v>331.35130522133841</v>
          </cell>
          <cell r="FE104">
            <v>662.70261044267681</v>
          </cell>
          <cell r="FF104">
            <v>331.35130522133841</v>
          </cell>
          <cell r="FG104">
            <v>331.35130522133841</v>
          </cell>
          <cell r="FH104">
            <v>662.70261044267681</v>
          </cell>
          <cell r="FI104">
            <v>331.35130522133841</v>
          </cell>
          <cell r="FJ104">
            <v>331.35130522133841</v>
          </cell>
          <cell r="FK104">
            <v>662.70261044267681</v>
          </cell>
          <cell r="FL104">
            <v>331.35130522133841</v>
          </cell>
          <cell r="FM104">
            <v>331.35130522133841</v>
          </cell>
          <cell r="FN104">
            <v>662.70261044267681</v>
          </cell>
          <cell r="FO104">
            <v>331.35130522133841</v>
          </cell>
          <cell r="FP104">
            <v>331.35130522133841</v>
          </cell>
          <cell r="FQ104">
            <v>662.70261044267681</v>
          </cell>
          <cell r="FR104">
            <v>331.35130522133841</v>
          </cell>
          <cell r="FS104">
            <v>331.35130522133841</v>
          </cell>
          <cell r="FT104">
            <v>662.70261044267681</v>
          </cell>
          <cell r="FU104">
            <v>331.35130522133841</v>
          </cell>
          <cell r="FV104">
            <v>331.35130522133841</v>
          </cell>
          <cell r="FW104">
            <v>662.70261044267681</v>
          </cell>
          <cell r="FX104">
            <v>102.60417644058886</v>
          </cell>
          <cell r="FY104">
            <v>102.60417644058886</v>
          </cell>
          <cell r="FZ104">
            <v>205.20835288117772</v>
          </cell>
          <cell r="GA104">
            <v>102.60417644058886</v>
          </cell>
          <cell r="GB104">
            <v>102.60417644058886</v>
          </cell>
          <cell r="GC104">
            <v>205.20835288117772</v>
          </cell>
          <cell r="GD104">
            <v>102.60417644058886</v>
          </cell>
          <cell r="GE104">
            <v>102.60417644058886</v>
          </cell>
          <cell r="GF104">
            <v>205.20835288117772</v>
          </cell>
          <cell r="GG104">
            <v>102.60417644058886</v>
          </cell>
          <cell r="GH104">
            <v>102.60417644058886</v>
          </cell>
          <cell r="GI104">
            <v>205.20835288117772</v>
          </cell>
          <cell r="GJ104">
            <v>102.60417644058886</v>
          </cell>
          <cell r="GK104">
            <v>102.60417644058886</v>
          </cell>
          <cell r="GL104">
            <v>205.20835288117772</v>
          </cell>
          <cell r="GM104">
            <v>102.60417644058886</v>
          </cell>
          <cell r="GN104">
            <v>102.60417644058886</v>
          </cell>
          <cell r="GO104">
            <v>205.20835288117772</v>
          </cell>
          <cell r="GP104">
            <v>102.60417644058886</v>
          </cell>
          <cell r="GQ104">
            <v>102.60417644058886</v>
          </cell>
          <cell r="GR104">
            <v>205.20835288117772</v>
          </cell>
          <cell r="GS104">
            <v>102.60417644058886</v>
          </cell>
          <cell r="GT104">
            <v>102.60417644058886</v>
          </cell>
          <cell r="GU104">
            <v>205.20835288117772</v>
          </cell>
          <cell r="GV104">
            <v>102.60417644058886</v>
          </cell>
          <cell r="GW104">
            <v>102.60417644058886</v>
          </cell>
          <cell r="GX104">
            <v>205.20835288117772</v>
          </cell>
        </row>
        <row r="105">
          <cell r="A105" t="str">
            <v>NPV</v>
          </cell>
          <cell r="B105" t="str">
            <v>A$m</v>
          </cell>
          <cell r="H105">
            <v>4577.6943451856196</v>
          </cell>
          <cell r="I105">
            <v>4981.4729655545789</v>
          </cell>
          <cell r="J105">
            <v>5406.9675598090298</v>
          </cell>
          <cell r="K105">
            <v>5765.4800358210232</v>
          </cell>
          <cell r="L105">
            <v>6102.9026296356624</v>
          </cell>
          <cell r="M105">
            <v>6498.4282037592848</v>
          </cell>
          <cell r="N105">
            <v>7250.9707452679713</v>
          </cell>
          <cell r="O105">
            <v>8052.0291976355975</v>
          </cell>
          <cell r="P105">
            <v>8699.8090316515136</v>
          </cell>
          <cell r="Q105">
            <v>8466.4999729999108</v>
          </cell>
          <cell r="R105">
            <v>8079.197614595173</v>
          </cell>
          <cell r="S105">
            <v>7683.4651257738724</v>
          </cell>
          <cell r="T105">
            <v>7256.6200354903622</v>
          </cell>
          <cell r="U105">
            <v>6950.9073483203374</v>
          </cell>
          <cell r="V105">
            <v>6908.5877168555335</v>
          </cell>
          <cell r="W105">
            <v>6862.9428203483831</v>
          </cell>
          <cell r="X105">
            <v>6789.1036590563826</v>
          </cell>
          <cell r="Y105">
            <v>6699.8548686240611</v>
          </cell>
          <cell r="Z105">
            <v>6603.5933544835216</v>
          </cell>
          <cell r="AA105">
            <v>6499.7680918693877</v>
          </cell>
          <cell r="AB105">
            <v>6387.7847592453491</v>
          </cell>
          <cell r="AC105">
            <v>6267.0023362603752</v>
          </cell>
          <cell r="AD105">
            <v>6136.7294343893573</v>
          </cell>
          <cell r="AE105">
            <v>5956.220339253824</v>
          </cell>
          <cell r="AF105">
            <v>5761.5277419680169</v>
          </cell>
          <cell r="AG105">
            <v>5551.5371738504782</v>
          </cell>
          <cell r="AH105">
            <v>5325.0465968431017</v>
          </cell>
          <cell r="AI105">
            <v>5080.7595227473721</v>
          </cell>
          <cell r="AJ105">
            <v>4817.27759180457</v>
          </cell>
          <cell r="AK105">
            <v>4533.0925681379367</v>
          </cell>
          <cell r="AL105">
            <v>4226.5777062366988</v>
          </cell>
          <cell r="AM105">
            <v>3895.9784390615719</v>
          </cell>
          <cell r="AN105">
            <v>3539.4023344681586</v>
          </cell>
          <cell r="AO105">
            <v>3154.8082624563176</v>
          </cell>
          <cell r="AP105">
            <v>2739.994711236146</v>
          </cell>
          <cell r="AQ105">
            <v>2292.5871852288496</v>
          </cell>
          <cell r="AR105">
            <v>1810.0246128655301</v>
          </cell>
          <cell r="AS105">
            <v>1289.5446863787622</v>
          </cell>
          <cell r="AT105">
            <v>1185.6623072297959</v>
          </cell>
          <cell r="AU105">
            <v>1073.6173701391995</v>
          </cell>
          <cell r="AV105">
            <v>952.76850211670944</v>
          </cell>
          <cell r="AW105">
            <v>822.42393428935225</v>
          </cell>
          <cell r="AX105">
            <v>681.83754204496029</v>
          </cell>
          <cell r="AY105">
            <v>530.20457402996544</v>
          </cell>
          <cell r="AZ105">
            <v>366.65704555319229</v>
          </cell>
          <cell r="BA105">
            <v>190.25877002635673</v>
          </cell>
        </row>
        <row r="106">
          <cell r="A106" t="str">
            <v>Residual</v>
          </cell>
          <cell r="B106" t="str">
            <v>A$m</v>
          </cell>
        </row>
        <row r="107">
          <cell r="A107" t="str">
            <v>12mth rolling NPV, A$M</v>
          </cell>
          <cell r="B107">
            <v>8312.9158705132395</v>
          </cell>
        </row>
        <row r="108">
          <cell r="A108" t="str">
            <v>12mth rolling NPV, A$/sh</v>
          </cell>
          <cell r="B108">
            <v>10.861752235202797</v>
          </cell>
        </row>
        <row r="110">
          <cell r="A110" t="str">
            <v>Synergy benefit</v>
          </cell>
        </row>
        <row r="111">
          <cell r="A111" t="str">
            <v>Cash Flow</v>
          </cell>
          <cell r="B111" t="str">
            <v>A$m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24.137864766706194</v>
          </cell>
          <cell r="O111">
            <v>23.225538664994691</v>
          </cell>
          <cell r="P111">
            <v>30.062687682006363</v>
          </cell>
          <cell r="Q111">
            <v>34.206105862357397</v>
          </cell>
          <cell r="R111">
            <v>39.092692414122737</v>
          </cell>
          <cell r="S111">
            <v>39.092692414122737</v>
          </cell>
          <cell r="T111">
            <v>39.092692414122737</v>
          </cell>
          <cell r="U111">
            <v>39.092692414122737</v>
          </cell>
          <cell r="V111">
            <v>39.092692414122737</v>
          </cell>
          <cell r="W111">
            <v>39.092692414122737</v>
          </cell>
          <cell r="X111">
            <v>39.092692414122737</v>
          </cell>
          <cell r="Y111">
            <v>39.092692414122737</v>
          </cell>
          <cell r="Z111">
            <v>39.092692414122737</v>
          </cell>
          <cell r="AA111">
            <v>39.092692414122737</v>
          </cell>
          <cell r="AB111">
            <v>39.092692414122737</v>
          </cell>
          <cell r="AC111">
            <v>39.092692414122737</v>
          </cell>
          <cell r="AD111">
            <v>39.092692414122737</v>
          </cell>
          <cell r="AE111">
            <v>39.092692414122737</v>
          </cell>
          <cell r="AF111">
            <v>39.092692414122737</v>
          </cell>
          <cell r="AG111">
            <v>39.092692414122737</v>
          </cell>
          <cell r="AH111">
            <v>39.092692414122737</v>
          </cell>
          <cell r="AI111">
            <v>39.092692414122737</v>
          </cell>
          <cell r="AJ111">
            <v>39.092692414122737</v>
          </cell>
          <cell r="AK111">
            <v>39.092692414122737</v>
          </cell>
          <cell r="AL111">
            <v>39.092692414122737</v>
          </cell>
          <cell r="AM111">
            <v>39.092692414122737</v>
          </cell>
          <cell r="AN111">
            <v>39.092692414122737</v>
          </cell>
          <cell r="AO111">
            <v>39.092692414122737</v>
          </cell>
          <cell r="AP111">
            <v>39.092692414122737</v>
          </cell>
          <cell r="AQ111">
            <v>39.092692414122737</v>
          </cell>
          <cell r="AR111">
            <v>39.092692414122737</v>
          </cell>
          <cell r="AS111">
            <v>19.546346207061369</v>
          </cell>
          <cell r="AT111">
            <v>19.546346207061369</v>
          </cell>
          <cell r="AU111">
            <v>19.546346207061369</v>
          </cell>
          <cell r="AV111">
            <v>19.546346207061369</v>
          </cell>
          <cell r="AW111">
            <v>19.546346207061369</v>
          </cell>
          <cell r="AX111">
            <v>19.546346207061369</v>
          </cell>
          <cell r="AY111">
            <v>19.546346207061369</v>
          </cell>
          <cell r="AZ111">
            <v>19.546346207061369</v>
          </cell>
          <cell r="BA111">
            <v>19.546346207061369</v>
          </cell>
        </row>
        <row r="112">
          <cell r="A112" t="str">
            <v>NPV</v>
          </cell>
          <cell r="B112" t="str">
            <v>A$m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423.2903946294316</v>
          </cell>
          <cell r="O112">
            <v>432.41257262073304</v>
          </cell>
          <cell r="P112">
            <v>443.16385184941248</v>
          </cell>
          <cell r="Q112">
            <v>447.92276382647373</v>
          </cell>
          <cell r="R112">
            <v>448.91218913178153</v>
          </cell>
          <cell r="S112">
            <v>445.09277197868852</v>
          </cell>
          <cell r="T112">
            <v>440.9732441227913</v>
          </cell>
          <cell r="U112">
            <v>436.53002436561695</v>
          </cell>
          <cell r="V112">
            <v>431.73767861602261</v>
          </cell>
          <cell r="W112">
            <v>426.56877429915397</v>
          </cell>
          <cell r="X112">
            <v>420.99372332558721</v>
          </cell>
          <cell r="Y112">
            <v>414.98061272177256</v>
          </cell>
          <cell r="Z112">
            <v>408.49502195226319</v>
          </cell>
          <cell r="AA112">
            <v>401.49982588803954</v>
          </cell>
          <cell r="AB112">
            <v>393.95498229306958</v>
          </cell>
          <cell r="AC112">
            <v>385.81730261262481</v>
          </cell>
          <cell r="AD112">
            <v>377.04020475128914</v>
          </cell>
          <cell r="AE112">
            <v>367.57344642549896</v>
          </cell>
          <cell r="AF112">
            <v>357.36283756425979</v>
          </cell>
          <cell r="AG112">
            <v>346.34993011174879</v>
          </cell>
          <cell r="AH112">
            <v>334.47168345615677</v>
          </cell>
          <cell r="AI112">
            <v>321.66010356960163</v>
          </cell>
          <cell r="AJ112">
            <v>307.84185379346042</v>
          </cell>
          <cell r="AK112">
            <v>292.93783504115885</v>
          </cell>
          <cell r="AL112">
            <v>276.86273301539518</v>
          </cell>
          <cell r="AM112">
            <v>259.52452984795707</v>
          </cell>
          <cell r="AN112">
            <v>240.82397736663759</v>
          </cell>
          <cell r="AO112">
            <v>220.65402897409842</v>
          </cell>
          <cell r="AP112">
            <v>198.89922688661551</v>
          </cell>
          <cell r="AQ112">
            <v>175.43504122510859</v>
          </cell>
          <cell r="AR112">
            <v>150.12715717524875</v>
          </cell>
          <cell r="AS112">
            <v>122.83070613617119</v>
          </cell>
          <cell r="AT112">
            <v>112.93578266375948</v>
          </cell>
          <cell r="AU112">
            <v>102.26336557950303</v>
          </cell>
          <cell r="AV112">
            <v>90.752363322851124</v>
          </cell>
          <cell r="AW112">
            <v>78.336884063882792</v>
          </cell>
          <cell r="AX112">
            <v>64.945858522141023</v>
          </cell>
          <cell r="AY112">
            <v>50.502633148456887</v>
          </cell>
          <cell r="AZ112">
            <v>34.924531341035525</v>
          </cell>
          <cell r="BA112">
            <v>18.122380184096023</v>
          </cell>
        </row>
        <row r="113">
          <cell r="A113" t="str">
            <v>12mth rolling NPV, A$M</v>
          </cell>
          <cell r="B113">
            <v>436.74253987173546</v>
          </cell>
        </row>
        <row r="114">
          <cell r="A114" t="str">
            <v>12mth rolling NPV, A$/sh</v>
          </cell>
          <cell r="B114">
            <v>0.90277793799775918</v>
          </cell>
        </row>
        <row r="116">
          <cell r="A116" t="str">
            <v>Carbon - n/a mines is offshore</v>
          </cell>
          <cell r="B116" t="str">
            <v>.</v>
          </cell>
          <cell r="C116" t="str">
            <v>.</v>
          </cell>
          <cell r="D116" t="str">
            <v>.</v>
          </cell>
          <cell r="E116" t="str">
            <v>.</v>
          </cell>
          <cell r="F116" t="str">
            <v>.</v>
          </cell>
          <cell r="G116" t="str">
            <v>.</v>
          </cell>
          <cell r="H116" t="str">
            <v>.</v>
          </cell>
          <cell r="I116" t="str">
            <v>.</v>
          </cell>
          <cell r="J116" t="str">
            <v>.</v>
          </cell>
          <cell r="K116" t="str">
            <v>.</v>
          </cell>
          <cell r="L116" t="str">
            <v>.</v>
          </cell>
          <cell r="M116" t="str">
            <v>.</v>
          </cell>
          <cell r="N116" t="str">
            <v>.</v>
          </cell>
          <cell r="O116" t="str">
            <v>.</v>
          </cell>
          <cell r="P116" t="str">
            <v>.</v>
          </cell>
          <cell r="Q116" t="str">
            <v>.</v>
          </cell>
          <cell r="R116" t="str">
            <v>.</v>
          </cell>
          <cell r="S116" t="str">
            <v>.</v>
          </cell>
          <cell r="T116" t="str">
            <v>.</v>
          </cell>
          <cell r="U116" t="str">
            <v>.</v>
          </cell>
          <cell r="V116" t="str">
            <v>.</v>
          </cell>
          <cell r="W116" t="str">
            <v>.</v>
          </cell>
          <cell r="X116" t="str">
            <v>.</v>
          </cell>
          <cell r="Y116" t="str">
            <v>.</v>
          </cell>
          <cell r="Z116" t="str">
            <v>.</v>
          </cell>
          <cell r="AA116" t="str">
            <v>.</v>
          </cell>
          <cell r="AB116" t="str">
            <v>.</v>
          </cell>
          <cell r="AC116" t="str">
            <v>.</v>
          </cell>
          <cell r="AD116" t="str">
            <v>.</v>
          </cell>
          <cell r="AE116" t="str">
            <v>.</v>
          </cell>
          <cell r="AF116" t="str">
            <v>.</v>
          </cell>
          <cell r="AG116" t="str">
            <v>.</v>
          </cell>
          <cell r="AH116" t="str">
            <v>.</v>
          </cell>
          <cell r="AI116" t="str">
            <v>.</v>
          </cell>
          <cell r="AJ116" t="str">
            <v>.</v>
          </cell>
          <cell r="AK116" t="str">
            <v>.</v>
          </cell>
          <cell r="AL116" t="str">
            <v>.</v>
          </cell>
          <cell r="AM116" t="str">
            <v>.</v>
          </cell>
          <cell r="AN116" t="str">
            <v>.</v>
          </cell>
          <cell r="AO116" t="str">
            <v>.</v>
          </cell>
          <cell r="AP116" t="str">
            <v>.</v>
          </cell>
          <cell r="AQ116" t="str">
            <v>.</v>
          </cell>
          <cell r="AR116" t="str">
            <v>.</v>
          </cell>
          <cell r="AS116" t="str">
            <v>.</v>
          </cell>
          <cell r="AT116" t="str">
            <v>.</v>
          </cell>
          <cell r="AU116" t="str">
            <v>.</v>
          </cell>
          <cell r="AV116" t="str">
            <v>.</v>
          </cell>
          <cell r="AW116" t="str">
            <v>.</v>
          </cell>
          <cell r="AX116" t="str">
            <v>.</v>
          </cell>
          <cell r="AY116" t="str">
            <v>.</v>
          </cell>
          <cell r="AZ116" t="str">
            <v>.</v>
          </cell>
          <cell r="BA116" t="str">
            <v>.</v>
          </cell>
          <cell r="BB116" t="str">
            <v>.</v>
          </cell>
          <cell r="BC116" t="str">
            <v>.</v>
          </cell>
          <cell r="BD116" t="str">
            <v>.</v>
          </cell>
          <cell r="BE116" t="str">
            <v>.</v>
          </cell>
          <cell r="BF116" t="str">
            <v>.</v>
          </cell>
          <cell r="BG116" t="str">
            <v>.</v>
          </cell>
          <cell r="BH116" t="str">
            <v>.</v>
          </cell>
          <cell r="BI116" t="str">
            <v>.</v>
          </cell>
          <cell r="BJ116" t="str">
            <v>.</v>
          </cell>
          <cell r="BK116" t="str">
            <v>.</v>
          </cell>
          <cell r="BL116" t="str">
            <v>.</v>
          </cell>
          <cell r="BM116" t="str">
            <v>.</v>
          </cell>
          <cell r="BN116" t="str">
            <v>.</v>
          </cell>
          <cell r="BO116" t="str">
            <v>.</v>
          </cell>
          <cell r="BP116" t="str">
            <v>.</v>
          </cell>
          <cell r="BQ116" t="str">
            <v>.</v>
          </cell>
          <cell r="BR116" t="str">
            <v>.</v>
          </cell>
          <cell r="BS116" t="str">
            <v>.</v>
          </cell>
          <cell r="BT116" t="str">
            <v>.</v>
          </cell>
          <cell r="BU116" t="str">
            <v>.</v>
          </cell>
          <cell r="BV116" t="str">
            <v>.</v>
          </cell>
          <cell r="BW116" t="str">
            <v>.</v>
          </cell>
          <cell r="BX116" t="str">
            <v>.</v>
          </cell>
          <cell r="BY116" t="str">
            <v>.</v>
          </cell>
          <cell r="BZ116" t="str">
            <v>.</v>
          </cell>
          <cell r="CA116" t="str">
            <v>.</v>
          </cell>
          <cell r="CB116" t="str">
            <v>.</v>
          </cell>
          <cell r="CC116" t="str">
            <v>.</v>
          </cell>
          <cell r="CD116" t="str">
            <v>.</v>
          </cell>
          <cell r="CE116" t="str">
            <v>.</v>
          </cell>
          <cell r="CF116" t="str">
            <v>.</v>
          </cell>
          <cell r="CG116" t="str">
            <v>.</v>
          </cell>
          <cell r="CH116" t="str">
            <v>.</v>
          </cell>
          <cell r="CI116" t="str">
            <v>.</v>
          </cell>
          <cell r="CJ116" t="str">
            <v>.</v>
          </cell>
          <cell r="CK116" t="str">
            <v>.</v>
          </cell>
          <cell r="CL116" t="str">
            <v>.</v>
          </cell>
          <cell r="CM116" t="str">
            <v>.</v>
          </cell>
          <cell r="CN116" t="str">
            <v>.</v>
          </cell>
          <cell r="CO116" t="str">
            <v>.</v>
          </cell>
          <cell r="CP116" t="str">
            <v>.</v>
          </cell>
          <cell r="CQ116" t="str">
            <v>.</v>
          </cell>
          <cell r="CR116" t="str">
            <v>.</v>
          </cell>
          <cell r="CS116" t="str">
            <v>.</v>
          </cell>
          <cell r="CT116" t="str">
            <v>.</v>
          </cell>
          <cell r="CU116" t="str">
            <v>.</v>
          </cell>
          <cell r="CV116" t="str">
            <v>.</v>
          </cell>
          <cell r="CW116" t="str">
            <v>.</v>
          </cell>
          <cell r="CX116" t="str">
            <v>.</v>
          </cell>
          <cell r="CY116" t="str">
            <v>.</v>
          </cell>
          <cell r="CZ116" t="str">
            <v>.</v>
          </cell>
          <cell r="DA116" t="str">
            <v>.</v>
          </cell>
          <cell r="DB116" t="str">
            <v>.</v>
          </cell>
          <cell r="DC116" t="str">
            <v>.</v>
          </cell>
          <cell r="DD116" t="str">
            <v>.</v>
          </cell>
          <cell r="DE116" t="str">
            <v>.</v>
          </cell>
          <cell r="DF116" t="str">
            <v>.</v>
          </cell>
          <cell r="DG116" t="str">
            <v>.</v>
          </cell>
          <cell r="DH116" t="str">
            <v>.</v>
          </cell>
          <cell r="DI116" t="str">
            <v>.</v>
          </cell>
          <cell r="DJ116" t="str">
            <v>.</v>
          </cell>
          <cell r="DK116" t="str">
            <v>.</v>
          </cell>
          <cell r="DL116" t="str">
            <v>.</v>
          </cell>
          <cell r="DM116" t="str">
            <v>.</v>
          </cell>
          <cell r="DN116" t="str">
            <v>.</v>
          </cell>
          <cell r="DO116" t="str">
            <v>.</v>
          </cell>
          <cell r="DP116" t="str">
            <v>.</v>
          </cell>
          <cell r="DQ116" t="str">
            <v>.</v>
          </cell>
          <cell r="DR116" t="str">
            <v>.</v>
          </cell>
          <cell r="DS116" t="str">
            <v>.</v>
          </cell>
          <cell r="DT116" t="str">
            <v>.</v>
          </cell>
          <cell r="DU116" t="str">
            <v>.</v>
          </cell>
          <cell r="DV116" t="str">
            <v>.</v>
          </cell>
          <cell r="DW116" t="str">
            <v>.</v>
          </cell>
          <cell r="DX116" t="str">
            <v>.</v>
          </cell>
          <cell r="DY116" t="str">
            <v>.</v>
          </cell>
          <cell r="DZ116" t="str">
            <v>.</v>
          </cell>
          <cell r="EA116" t="str">
            <v>.</v>
          </cell>
          <cell r="EB116" t="str">
            <v>.</v>
          </cell>
          <cell r="EC116" t="str">
            <v>.</v>
          </cell>
          <cell r="ED116" t="str">
            <v>.</v>
          </cell>
          <cell r="EE116" t="str">
            <v>.</v>
          </cell>
          <cell r="EF116" t="str">
            <v>.</v>
          </cell>
          <cell r="EG116" t="str">
            <v>.</v>
          </cell>
          <cell r="EH116" t="str">
            <v>.</v>
          </cell>
          <cell r="EI116" t="str">
            <v>.</v>
          </cell>
          <cell r="EJ116" t="str">
            <v>.</v>
          </cell>
          <cell r="EK116" t="str">
            <v>.</v>
          </cell>
          <cell r="EL116" t="str">
            <v>.</v>
          </cell>
          <cell r="EM116" t="str">
            <v>.</v>
          </cell>
          <cell r="EN116" t="str">
            <v>.</v>
          </cell>
          <cell r="EO116" t="str">
            <v>.</v>
          </cell>
          <cell r="EP116" t="str">
            <v>.</v>
          </cell>
          <cell r="EQ116" t="str">
            <v>.</v>
          </cell>
          <cell r="ER116" t="str">
            <v>.</v>
          </cell>
          <cell r="ES116" t="str">
            <v>.</v>
          </cell>
          <cell r="ET116" t="str">
            <v>.</v>
          </cell>
          <cell r="EU116" t="str">
            <v>.</v>
          </cell>
          <cell r="EV116" t="str">
            <v>.</v>
          </cell>
          <cell r="EW116" t="str">
            <v>.</v>
          </cell>
          <cell r="EX116" t="str">
            <v>.</v>
          </cell>
          <cell r="EY116" t="str">
            <v>.</v>
          </cell>
          <cell r="EZ116" t="str">
            <v>.</v>
          </cell>
          <cell r="FA116" t="str">
            <v>.</v>
          </cell>
          <cell r="FB116" t="str">
            <v>.</v>
          </cell>
          <cell r="FC116" t="str">
            <v>.</v>
          </cell>
          <cell r="FD116" t="str">
            <v>.</v>
          </cell>
          <cell r="FE116" t="str">
            <v>.</v>
          </cell>
          <cell r="FF116" t="str">
            <v>.</v>
          </cell>
          <cell r="FG116" t="str">
            <v>.</v>
          </cell>
          <cell r="FH116" t="str">
            <v>.</v>
          </cell>
          <cell r="FI116" t="str">
            <v>.</v>
          </cell>
          <cell r="FJ116" t="str">
            <v>.</v>
          </cell>
          <cell r="FK116" t="str">
            <v>.</v>
          </cell>
          <cell r="FL116" t="str">
            <v>.</v>
          </cell>
          <cell r="FM116" t="str">
            <v>.</v>
          </cell>
          <cell r="FN116" t="str">
            <v>.</v>
          </cell>
          <cell r="FO116" t="str">
            <v>.</v>
          </cell>
          <cell r="FP116" t="str">
            <v>.</v>
          </cell>
          <cell r="FQ116" t="str">
            <v>.</v>
          </cell>
          <cell r="FR116" t="str">
            <v>.</v>
          </cell>
          <cell r="FS116" t="str">
            <v>.</v>
          </cell>
          <cell r="FT116" t="str">
            <v>.</v>
          </cell>
          <cell r="FU116" t="str">
            <v>.</v>
          </cell>
          <cell r="FV116" t="str">
            <v>.</v>
          </cell>
          <cell r="FW116" t="str">
            <v>.</v>
          </cell>
          <cell r="FX116" t="str">
            <v>.</v>
          </cell>
          <cell r="FY116" t="str">
            <v>.</v>
          </cell>
          <cell r="FZ116" t="str">
            <v>.</v>
          </cell>
          <cell r="GA116" t="str">
            <v>.</v>
          </cell>
          <cell r="GB116" t="str">
            <v>.</v>
          </cell>
          <cell r="GC116" t="str">
            <v>.</v>
          </cell>
          <cell r="GD116" t="str">
            <v>.</v>
          </cell>
          <cell r="GE116" t="str">
            <v>.</v>
          </cell>
          <cell r="GF116" t="str">
            <v>.</v>
          </cell>
          <cell r="GG116" t="str">
            <v>.</v>
          </cell>
          <cell r="GH116" t="str">
            <v>.</v>
          </cell>
          <cell r="GI116" t="str">
            <v>.</v>
          </cell>
          <cell r="GJ116" t="str">
            <v>.</v>
          </cell>
          <cell r="GK116" t="str">
            <v>.</v>
          </cell>
          <cell r="GL116" t="str">
            <v>.</v>
          </cell>
          <cell r="GM116" t="str">
            <v>.</v>
          </cell>
          <cell r="GN116" t="str">
            <v>.</v>
          </cell>
          <cell r="GO116" t="str">
            <v>.</v>
          </cell>
          <cell r="GP116" t="str">
            <v>.</v>
          </cell>
          <cell r="GQ116" t="str">
            <v>.</v>
          </cell>
          <cell r="GR116" t="str">
            <v>.</v>
          </cell>
          <cell r="GS116" t="str">
            <v>.</v>
          </cell>
          <cell r="GT116" t="str">
            <v>.</v>
          </cell>
          <cell r="GU116" t="str">
            <v>.</v>
          </cell>
          <cell r="GV116" t="str">
            <v>.</v>
          </cell>
          <cell r="GW116" t="str">
            <v>.</v>
          </cell>
          <cell r="GX116" t="str">
            <v>.</v>
          </cell>
        </row>
      </sheetData>
      <sheetData sheetId="13"/>
      <sheetData sheetId="14"/>
      <sheetData sheetId="15"/>
      <sheetData sheetId="16" refreshError="1">
        <row r="1">
          <cell r="A1" t="str">
            <v>BONIKRO</v>
          </cell>
          <cell r="CH1" t="str">
            <v>LGL Ownership (US$)</v>
          </cell>
          <cell r="CI1" t="str">
            <v>NCM Ownership (A$)</v>
          </cell>
        </row>
        <row r="2">
          <cell r="A2" t="str">
            <v>Year Ending Dec</v>
          </cell>
          <cell r="C2">
            <v>2000</v>
          </cell>
          <cell r="D2">
            <v>2001</v>
          </cell>
          <cell r="E2" t="str">
            <v>2002E</v>
          </cell>
          <cell r="F2">
            <v>2003</v>
          </cell>
          <cell r="G2">
            <v>2004</v>
          </cell>
          <cell r="H2">
            <v>2005</v>
          </cell>
          <cell r="I2">
            <v>2006</v>
          </cell>
          <cell r="J2">
            <v>2007</v>
          </cell>
          <cell r="K2">
            <v>2008</v>
          </cell>
          <cell r="L2">
            <v>2009</v>
          </cell>
          <cell r="M2">
            <v>2010</v>
          </cell>
          <cell r="N2" t="str">
            <v>2011E</v>
          </cell>
          <cell r="O2" t="str">
            <v>2012E</v>
          </cell>
          <cell r="P2" t="str">
            <v>2013E</v>
          </cell>
          <cell r="Q2" t="str">
            <v>2014E</v>
          </cell>
          <cell r="R2" t="str">
            <v>2015E</v>
          </cell>
          <cell r="S2" t="str">
            <v>2016E</v>
          </cell>
          <cell r="T2" t="str">
            <v>2017E</v>
          </cell>
          <cell r="U2" t="str">
            <v>2018E</v>
          </cell>
          <cell r="V2" t="str">
            <v>2019E</v>
          </cell>
          <cell r="W2" t="str">
            <v>2020E</v>
          </cell>
          <cell r="X2" t="str">
            <v>2021E</v>
          </cell>
          <cell r="Y2" t="str">
            <v>2022E</v>
          </cell>
          <cell r="Z2" t="str">
            <v>2023E</v>
          </cell>
          <cell r="AA2" t="str">
            <v>2024E</v>
          </cell>
          <cell r="AB2" t="str">
            <v>2025E</v>
          </cell>
          <cell r="AC2" t="str">
            <v>2026E</v>
          </cell>
          <cell r="AD2" t="str">
            <v>2027E</v>
          </cell>
          <cell r="AE2" t="str">
            <v>2028E</v>
          </cell>
          <cell r="AF2" t="str">
            <v>2029E</v>
          </cell>
          <cell r="AG2" t="str">
            <v>2030E</v>
          </cell>
          <cell r="AH2" t="str">
            <v>2031E</v>
          </cell>
          <cell r="AI2" t="str">
            <v>2032E</v>
          </cell>
          <cell r="AJ2" t="str">
            <v>2033E</v>
          </cell>
          <cell r="AK2" t="str">
            <v>2034E</v>
          </cell>
          <cell r="AL2" t="str">
            <v>2035E</v>
          </cell>
          <cell r="AM2" t="str">
            <v>2036E</v>
          </cell>
          <cell r="AN2" t="str">
            <v>2037E</v>
          </cell>
          <cell r="AO2" t="str">
            <v>2038E</v>
          </cell>
          <cell r="AP2" t="str">
            <v>2039E</v>
          </cell>
          <cell r="AQ2" t="str">
            <v>2040E</v>
          </cell>
          <cell r="AR2" t="str">
            <v>2041E</v>
          </cell>
          <cell r="AS2" t="str">
            <v>2042E</v>
          </cell>
          <cell r="AT2" t="str">
            <v>2043E</v>
          </cell>
          <cell r="AU2" t="str">
            <v>2044E</v>
          </cell>
          <cell r="AV2" t="str">
            <v>2045E</v>
          </cell>
          <cell r="AW2" t="str">
            <v>2046E</v>
          </cell>
          <cell r="AX2" t="str">
            <v>2047E</v>
          </cell>
          <cell r="AY2" t="str">
            <v>2048E</v>
          </cell>
          <cell r="AZ2" t="str">
            <v>2049E</v>
          </cell>
          <cell r="BA2" t="str">
            <v>2050E</v>
          </cell>
          <cell r="BB2" t="str">
            <v>SUM/AVG</v>
          </cell>
          <cell r="CA2">
            <v>39600</v>
          </cell>
          <cell r="CB2">
            <v>39783</v>
          </cell>
          <cell r="CC2" t="str">
            <v>FY-08</v>
          </cell>
          <cell r="CD2">
            <v>39965</v>
          </cell>
          <cell r="CE2">
            <v>40148</v>
          </cell>
          <cell r="CF2" t="str">
            <v>FY-09</v>
          </cell>
          <cell r="CG2">
            <v>40330</v>
          </cell>
          <cell r="CH2" t="str">
            <v>FY-10</v>
          </cell>
          <cell r="CI2">
            <v>40513</v>
          </cell>
          <cell r="CJ2">
            <v>40695</v>
          </cell>
          <cell r="CK2" t="str">
            <v>FY-11</v>
          </cell>
          <cell r="CL2">
            <v>40878</v>
          </cell>
          <cell r="CM2">
            <v>41061</v>
          </cell>
          <cell r="CN2" t="str">
            <v>FY-12</v>
          </cell>
          <cell r="CO2">
            <v>41244</v>
          </cell>
          <cell r="CP2">
            <v>41426</v>
          </cell>
          <cell r="CQ2" t="str">
            <v>FY-13</v>
          </cell>
          <cell r="CR2">
            <v>41609</v>
          </cell>
          <cell r="CS2">
            <v>41791</v>
          </cell>
          <cell r="CT2" t="str">
            <v>FY-14</v>
          </cell>
          <cell r="CU2">
            <v>41974</v>
          </cell>
          <cell r="CV2">
            <v>42156</v>
          </cell>
          <cell r="CW2" t="str">
            <v>FY-15</v>
          </cell>
          <cell r="CX2">
            <v>42339</v>
          </cell>
          <cell r="CY2">
            <v>42522</v>
          </cell>
          <cell r="CZ2" t="str">
            <v>FY-16</v>
          </cell>
          <cell r="DA2">
            <v>42705</v>
          </cell>
          <cell r="DB2">
            <v>42887</v>
          </cell>
          <cell r="DC2" t="str">
            <v>FY-17</v>
          </cell>
          <cell r="DD2">
            <v>43070</v>
          </cell>
          <cell r="DE2">
            <v>43252</v>
          </cell>
          <cell r="DF2" t="str">
            <v>FY-18</v>
          </cell>
          <cell r="DG2">
            <v>43435</v>
          </cell>
          <cell r="DH2">
            <v>43617</v>
          </cell>
          <cell r="DI2" t="str">
            <v>FY-19</v>
          </cell>
          <cell r="DJ2">
            <v>43800</v>
          </cell>
          <cell r="DK2">
            <v>43983</v>
          </cell>
          <cell r="DL2" t="str">
            <v>FY-20</v>
          </cell>
          <cell r="DM2">
            <v>44166</v>
          </cell>
          <cell r="DN2">
            <v>44348</v>
          </cell>
          <cell r="DO2" t="str">
            <v>FY21</v>
          </cell>
          <cell r="DP2">
            <v>44531</v>
          </cell>
          <cell r="DQ2">
            <v>44713</v>
          </cell>
          <cell r="DR2" t="str">
            <v>FY22</v>
          </cell>
          <cell r="DS2">
            <v>44896</v>
          </cell>
          <cell r="DT2">
            <v>45078</v>
          </cell>
          <cell r="DU2" t="str">
            <v>FY23</v>
          </cell>
          <cell r="DV2">
            <v>45261</v>
          </cell>
          <cell r="DW2">
            <v>45443</v>
          </cell>
          <cell r="DX2" t="str">
            <v>FY24</v>
          </cell>
          <cell r="DY2">
            <v>45626</v>
          </cell>
          <cell r="DZ2">
            <v>45808</v>
          </cell>
          <cell r="EA2" t="str">
            <v>FY25</v>
          </cell>
          <cell r="EB2">
            <v>45991</v>
          </cell>
          <cell r="EC2">
            <v>46173</v>
          </cell>
          <cell r="ED2" t="str">
            <v>FY26</v>
          </cell>
          <cell r="EE2">
            <v>46356</v>
          </cell>
          <cell r="EF2">
            <v>46538</v>
          </cell>
          <cell r="EG2" t="str">
            <v>FY27</v>
          </cell>
          <cell r="EH2">
            <v>46721</v>
          </cell>
          <cell r="EI2">
            <v>46903</v>
          </cell>
          <cell r="EJ2" t="str">
            <v>FY28</v>
          </cell>
          <cell r="EK2">
            <v>47086</v>
          </cell>
          <cell r="EL2">
            <v>47268</v>
          </cell>
          <cell r="EM2" t="str">
            <v>FY29</v>
          </cell>
          <cell r="EN2">
            <v>47451</v>
          </cell>
          <cell r="EO2">
            <v>47633</v>
          </cell>
          <cell r="EP2" t="str">
            <v>FY30</v>
          </cell>
          <cell r="EQ2">
            <v>47816</v>
          </cell>
          <cell r="ER2">
            <v>47998</v>
          </cell>
          <cell r="ES2" t="str">
            <v>FY31</v>
          </cell>
          <cell r="ET2">
            <v>48181</v>
          </cell>
          <cell r="EU2">
            <v>48363</v>
          </cell>
          <cell r="EV2" t="str">
            <v>FY32</v>
          </cell>
          <cell r="EW2">
            <v>48546</v>
          </cell>
          <cell r="EX2">
            <v>48728</v>
          </cell>
          <cell r="EY2" t="str">
            <v>FY33</v>
          </cell>
          <cell r="EZ2">
            <v>48911</v>
          </cell>
          <cell r="FA2">
            <v>49093</v>
          </cell>
          <cell r="FB2" t="str">
            <v>FY34</v>
          </cell>
          <cell r="FC2">
            <v>49276</v>
          </cell>
          <cell r="FD2">
            <v>49458</v>
          </cell>
          <cell r="FE2" t="str">
            <v>FY35</v>
          </cell>
          <cell r="FF2">
            <v>49641</v>
          </cell>
          <cell r="FG2">
            <v>49823</v>
          </cell>
          <cell r="FH2" t="str">
            <v>FY36</v>
          </cell>
          <cell r="FI2">
            <v>50006</v>
          </cell>
          <cell r="FJ2">
            <v>50188</v>
          </cell>
          <cell r="FK2" t="str">
            <v>FY37</v>
          </cell>
          <cell r="FL2">
            <v>50371</v>
          </cell>
          <cell r="FM2">
            <v>50553</v>
          </cell>
          <cell r="FN2" t="str">
            <v>FY38</v>
          </cell>
          <cell r="FO2">
            <v>50736</v>
          </cell>
          <cell r="FP2">
            <v>50918</v>
          </cell>
          <cell r="FQ2" t="str">
            <v>FY39</v>
          </cell>
          <cell r="FR2">
            <v>51101</v>
          </cell>
          <cell r="FS2">
            <v>51283</v>
          </cell>
          <cell r="FT2" t="str">
            <v>FY40</v>
          </cell>
          <cell r="FU2">
            <v>51466</v>
          </cell>
          <cell r="FV2">
            <v>51648</v>
          </cell>
          <cell r="FW2" t="str">
            <v>FY41</v>
          </cell>
          <cell r="FX2">
            <v>51831</v>
          </cell>
          <cell r="FY2">
            <v>52013</v>
          </cell>
          <cell r="FZ2" t="str">
            <v>FY42</v>
          </cell>
          <cell r="GA2">
            <v>52196</v>
          </cell>
          <cell r="GB2">
            <v>52378</v>
          </cell>
          <cell r="GC2" t="str">
            <v>FY43</v>
          </cell>
          <cell r="GD2">
            <v>52561</v>
          </cell>
          <cell r="GE2">
            <v>52743</v>
          </cell>
          <cell r="GF2" t="str">
            <v>FY44</v>
          </cell>
          <cell r="GG2">
            <v>52926</v>
          </cell>
          <cell r="GH2">
            <v>53108</v>
          </cell>
          <cell r="GI2" t="str">
            <v>FY45</v>
          </cell>
          <cell r="GJ2">
            <v>53291</v>
          </cell>
          <cell r="GK2">
            <v>53473</v>
          </cell>
          <cell r="GL2" t="str">
            <v>FY46</v>
          </cell>
          <cell r="GM2">
            <v>53656</v>
          </cell>
          <cell r="GN2">
            <v>53838</v>
          </cell>
          <cell r="GO2" t="str">
            <v>FY47</v>
          </cell>
          <cell r="GP2">
            <v>54021</v>
          </cell>
          <cell r="GQ2">
            <v>54203</v>
          </cell>
          <cell r="GR2" t="str">
            <v>FY48</v>
          </cell>
          <cell r="GS2">
            <v>54386</v>
          </cell>
          <cell r="GT2">
            <v>54568</v>
          </cell>
          <cell r="GU2" t="str">
            <v>FY49</v>
          </cell>
          <cell r="GV2">
            <v>54751</v>
          </cell>
          <cell r="GW2">
            <v>54933</v>
          </cell>
          <cell r="GX2" t="str">
            <v>FY50</v>
          </cell>
        </row>
        <row r="3">
          <cell r="CJ3" t="str">
            <v>2H-11</v>
          </cell>
          <cell r="CL3" t="str">
            <v>1H-12</v>
          </cell>
          <cell r="CM3" t="str">
            <v>2H-12</v>
          </cell>
          <cell r="CO3" t="str">
            <v>1H-13</v>
          </cell>
          <cell r="CP3" t="str">
            <v>2H-13</v>
          </cell>
          <cell r="CR3" t="str">
            <v>1H-14</v>
          </cell>
          <cell r="CS3" t="str">
            <v>2H-14</v>
          </cell>
          <cell r="CU3" t="str">
            <v>1H-15</v>
          </cell>
          <cell r="CV3" t="str">
            <v>2H-15</v>
          </cell>
          <cell r="CX3" t="str">
            <v>1H-16</v>
          </cell>
          <cell r="CY3" t="str">
            <v>2H-16</v>
          </cell>
          <cell r="DA3" t="str">
            <v>1H-17</v>
          </cell>
          <cell r="DB3" t="str">
            <v>2H-17</v>
          </cell>
          <cell r="DD3" t="str">
            <v>1H-18</v>
          </cell>
          <cell r="DE3" t="str">
            <v>2H-18</v>
          </cell>
          <cell r="DG3" t="str">
            <v>1H-19</v>
          </cell>
          <cell r="DH3" t="str">
            <v>2H-19</v>
          </cell>
          <cell r="DJ3" t="str">
            <v>1H-20</v>
          </cell>
          <cell r="DK3" t="str">
            <v>2H-20</v>
          </cell>
          <cell r="DM3" t="str">
            <v>1H-21</v>
          </cell>
          <cell r="DN3" t="str">
            <v>1H-21</v>
          </cell>
          <cell r="DP3" t="str">
            <v>1H-22</v>
          </cell>
          <cell r="DQ3" t="str">
            <v>1H-22</v>
          </cell>
          <cell r="DS3" t="str">
            <v>1H-23</v>
          </cell>
          <cell r="DT3" t="str">
            <v>1H-23</v>
          </cell>
          <cell r="DV3" t="str">
            <v>1H-24</v>
          </cell>
          <cell r="DW3" t="str">
            <v>1H-24</v>
          </cell>
          <cell r="DY3" t="str">
            <v>1H-25</v>
          </cell>
          <cell r="DZ3" t="str">
            <v>1H-25</v>
          </cell>
          <cell r="EB3" t="str">
            <v>1H-26</v>
          </cell>
          <cell r="EC3" t="str">
            <v>1H-26</v>
          </cell>
          <cell r="EE3" t="str">
            <v>1H-27</v>
          </cell>
          <cell r="EF3" t="str">
            <v>1H-27</v>
          </cell>
          <cell r="EH3" t="str">
            <v>1H-28</v>
          </cell>
          <cell r="EI3" t="str">
            <v>1H-28</v>
          </cell>
          <cell r="EK3" t="str">
            <v>1H-29</v>
          </cell>
          <cell r="EL3" t="str">
            <v>1H-29</v>
          </cell>
          <cell r="EN3" t="str">
            <v>1H-30</v>
          </cell>
          <cell r="EO3" t="str">
            <v>1H-30</v>
          </cell>
          <cell r="EQ3" t="str">
            <v>1H-31</v>
          </cell>
          <cell r="ER3" t="str">
            <v>1H-31</v>
          </cell>
          <cell r="ET3" t="str">
            <v>1H-32</v>
          </cell>
          <cell r="EU3" t="str">
            <v>1H-32</v>
          </cell>
          <cell r="EW3" t="str">
            <v>1H-33</v>
          </cell>
          <cell r="EX3" t="str">
            <v>1H-33</v>
          </cell>
          <cell r="EZ3" t="str">
            <v>1H-34</v>
          </cell>
          <cell r="FA3" t="str">
            <v>1H-34</v>
          </cell>
          <cell r="FC3" t="str">
            <v>1H-35</v>
          </cell>
          <cell r="FD3" t="str">
            <v>1H-35</v>
          </cell>
          <cell r="FF3" t="str">
            <v>1H-36</v>
          </cell>
          <cell r="FG3" t="str">
            <v>1H-36</v>
          </cell>
          <cell r="FI3" t="str">
            <v>1H-37</v>
          </cell>
          <cell r="FJ3" t="str">
            <v>1H-37</v>
          </cell>
          <cell r="FL3" t="str">
            <v>1H-38</v>
          </cell>
          <cell r="FM3" t="str">
            <v>1H-38</v>
          </cell>
          <cell r="FO3" t="str">
            <v>1H-39</v>
          </cell>
          <cell r="FP3" t="str">
            <v>1H-39</v>
          </cell>
          <cell r="FR3" t="str">
            <v>1H-40</v>
          </cell>
          <cell r="FS3" t="str">
            <v>1H-40</v>
          </cell>
          <cell r="FU3" t="str">
            <v>1H-41</v>
          </cell>
          <cell r="FV3" t="str">
            <v>1H-41</v>
          </cell>
          <cell r="FX3" t="str">
            <v>1H-42</v>
          </cell>
          <cell r="FY3" t="str">
            <v>1H-42</v>
          </cell>
          <cell r="GA3" t="str">
            <v>1H-43</v>
          </cell>
          <cell r="GB3" t="str">
            <v>1H-43</v>
          </cell>
          <cell r="GD3" t="str">
            <v>1H-44</v>
          </cell>
          <cell r="GE3" t="str">
            <v>1H-44</v>
          </cell>
          <cell r="GG3" t="str">
            <v>1H-45</v>
          </cell>
          <cell r="GH3" t="str">
            <v>1H-45</v>
          </cell>
          <cell r="GJ3" t="str">
            <v>1H-46</v>
          </cell>
          <cell r="GK3" t="str">
            <v>1H-46</v>
          </cell>
          <cell r="GM3" t="str">
            <v>1H-47</v>
          </cell>
          <cell r="GN3" t="str">
            <v>1H-47</v>
          </cell>
          <cell r="GP3" t="str">
            <v>1H-48</v>
          </cell>
          <cell r="GQ3" t="str">
            <v>1H-48</v>
          </cell>
          <cell r="GS3" t="str">
            <v>1H-49</v>
          </cell>
          <cell r="GT3" t="str">
            <v>1H-49</v>
          </cell>
          <cell r="GV3" t="str">
            <v>1H-50</v>
          </cell>
          <cell r="GW3" t="str">
            <v>1H-50</v>
          </cell>
        </row>
        <row r="4">
          <cell r="A4" t="str">
            <v>Inputs and Factors</v>
          </cell>
          <cell r="B4" t="str">
            <v>.</v>
          </cell>
          <cell r="C4" t="str">
            <v>.</v>
          </cell>
          <cell r="D4" t="str">
            <v>.</v>
          </cell>
          <cell r="E4" t="str">
            <v>.</v>
          </cell>
          <cell r="F4" t="str">
            <v>.</v>
          </cell>
          <cell r="G4" t="str">
            <v>.</v>
          </cell>
          <cell r="H4" t="str">
            <v>.</v>
          </cell>
          <cell r="I4" t="str">
            <v>.</v>
          </cell>
          <cell r="J4" t="str">
            <v>.</v>
          </cell>
          <cell r="K4" t="str">
            <v>.</v>
          </cell>
          <cell r="L4" t="str">
            <v>.</v>
          </cell>
          <cell r="M4" t="str">
            <v>.</v>
          </cell>
          <cell r="N4" t="str">
            <v>.</v>
          </cell>
          <cell r="O4" t="str">
            <v>.</v>
          </cell>
          <cell r="P4" t="str">
            <v>.</v>
          </cell>
          <cell r="Q4" t="str">
            <v>.</v>
          </cell>
          <cell r="R4" t="str">
            <v>.</v>
          </cell>
          <cell r="S4" t="str">
            <v>.</v>
          </cell>
          <cell r="T4" t="str">
            <v>.</v>
          </cell>
          <cell r="U4" t="str">
            <v>.</v>
          </cell>
          <cell r="V4" t="str">
            <v>.</v>
          </cell>
          <cell r="W4" t="str">
            <v>.</v>
          </cell>
          <cell r="X4" t="str">
            <v>.</v>
          </cell>
          <cell r="Y4" t="str">
            <v>.</v>
          </cell>
          <cell r="Z4" t="str">
            <v>.</v>
          </cell>
          <cell r="AA4" t="str">
            <v>.</v>
          </cell>
          <cell r="AB4" t="str">
            <v>.</v>
          </cell>
          <cell r="AC4" t="str">
            <v>.</v>
          </cell>
          <cell r="AD4" t="str">
            <v>.</v>
          </cell>
          <cell r="AE4" t="str">
            <v>.</v>
          </cell>
          <cell r="AF4" t="str">
            <v>.</v>
          </cell>
          <cell r="AG4" t="str">
            <v>.</v>
          </cell>
          <cell r="AH4" t="str">
            <v>.</v>
          </cell>
          <cell r="AI4" t="str">
            <v>.</v>
          </cell>
          <cell r="AJ4" t="str">
            <v>.</v>
          </cell>
          <cell r="AK4" t="str">
            <v>.</v>
          </cell>
          <cell r="AL4" t="str">
            <v>.</v>
          </cell>
          <cell r="AM4" t="str">
            <v>.</v>
          </cell>
          <cell r="AN4" t="str">
            <v>.</v>
          </cell>
          <cell r="AO4" t="str">
            <v>.</v>
          </cell>
          <cell r="AP4" t="str">
            <v>.</v>
          </cell>
          <cell r="AQ4" t="str">
            <v>.</v>
          </cell>
          <cell r="AR4" t="str">
            <v>.</v>
          </cell>
          <cell r="AS4" t="str">
            <v>.</v>
          </cell>
          <cell r="AT4" t="str">
            <v>.</v>
          </cell>
          <cell r="AU4" t="str">
            <v>.</v>
          </cell>
          <cell r="AV4" t="str">
            <v>.</v>
          </cell>
          <cell r="AW4" t="str">
            <v>.</v>
          </cell>
          <cell r="AX4" t="str">
            <v>.</v>
          </cell>
          <cell r="AY4" t="str">
            <v>.</v>
          </cell>
          <cell r="AZ4" t="str">
            <v>.</v>
          </cell>
          <cell r="BA4" t="str">
            <v>.</v>
          </cell>
          <cell r="BB4" t="str">
            <v>.</v>
          </cell>
          <cell r="BC4" t="str">
            <v>.</v>
          </cell>
          <cell r="BE4" t="str">
            <v>.</v>
          </cell>
          <cell r="BF4" t="str">
            <v>.</v>
          </cell>
          <cell r="BG4" t="str">
            <v>.</v>
          </cell>
          <cell r="BH4" t="str">
            <v>.</v>
          </cell>
          <cell r="BI4" t="str">
            <v>.</v>
          </cell>
          <cell r="BJ4" t="str">
            <v>.</v>
          </cell>
          <cell r="BK4" t="str">
            <v>.</v>
          </cell>
          <cell r="BL4" t="str">
            <v>.</v>
          </cell>
          <cell r="BM4" t="str">
            <v>.</v>
          </cell>
          <cell r="BN4" t="str">
            <v>.</v>
          </cell>
          <cell r="BO4" t="str">
            <v>.</v>
          </cell>
          <cell r="BP4" t="str">
            <v>.</v>
          </cell>
          <cell r="BQ4" t="str">
            <v>.</v>
          </cell>
          <cell r="BR4" t="str">
            <v>.</v>
          </cell>
          <cell r="BS4" t="str">
            <v>.</v>
          </cell>
          <cell r="BT4" t="str">
            <v>.</v>
          </cell>
          <cell r="BU4" t="str">
            <v>.</v>
          </cell>
          <cell r="BV4" t="str">
            <v>.</v>
          </cell>
          <cell r="BW4" t="str">
            <v>.</v>
          </cell>
          <cell r="BX4" t="str">
            <v>.</v>
          </cell>
          <cell r="BY4" t="str">
            <v>.</v>
          </cell>
          <cell r="BZ4" t="str">
            <v>.</v>
          </cell>
          <cell r="CA4" t="str">
            <v>.</v>
          </cell>
          <cell r="CB4" t="str">
            <v>.</v>
          </cell>
          <cell r="CC4" t="str">
            <v>.</v>
          </cell>
          <cell r="CD4" t="str">
            <v>.</v>
          </cell>
          <cell r="CE4" t="str">
            <v>.</v>
          </cell>
          <cell r="CF4" t="str">
            <v>.</v>
          </cell>
          <cell r="CG4" t="str">
            <v>.</v>
          </cell>
          <cell r="CH4" t="str">
            <v>.</v>
          </cell>
          <cell r="CI4" t="str">
            <v>.</v>
          </cell>
          <cell r="CJ4" t="str">
            <v>.</v>
          </cell>
          <cell r="CK4" t="str">
            <v>.</v>
          </cell>
          <cell r="CL4" t="str">
            <v>.</v>
          </cell>
          <cell r="CM4" t="str">
            <v>.</v>
          </cell>
          <cell r="CN4" t="str">
            <v>.</v>
          </cell>
          <cell r="CO4" t="str">
            <v>.</v>
          </cell>
          <cell r="CP4" t="str">
            <v>.</v>
          </cell>
          <cell r="CQ4" t="str">
            <v>.</v>
          </cell>
          <cell r="CR4" t="str">
            <v>.</v>
          </cell>
          <cell r="CS4" t="str">
            <v>.</v>
          </cell>
          <cell r="CT4" t="str">
            <v>.</v>
          </cell>
          <cell r="CU4" t="str">
            <v>.</v>
          </cell>
          <cell r="CV4" t="str">
            <v>.</v>
          </cell>
          <cell r="CW4" t="str">
            <v>.</v>
          </cell>
          <cell r="CX4" t="str">
            <v>.</v>
          </cell>
          <cell r="CY4" t="str">
            <v>.</v>
          </cell>
          <cell r="CZ4" t="str">
            <v>.</v>
          </cell>
          <cell r="DA4" t="str">
            <v>.</v>
          </cell>
          <cell r="DB4" t="str">
            <v>.</v>
          </cell>
          <cell r="DC4" t="str">
            <v>.</v>
          </cell>
          <cell r="DD4" t="str">
            <v>.</v>
          </cell>
          <cell r="DE4" t="str">
            <v>.</v>
          </cell>
          <cell r="DF4" t="str">
            <v>.</v>
          </cell>
          <cell r="DG4" t="str">
            <v>.</v>
          </cell>
          <cell r="DH4" t="str">
            <v>.</v>
          </cell>
          <cell r="DI4" t="str">
            <v>.</v>
          </cell>
          <cell r="DJ4" t="str">
            <v>.</v>
          </cell>
          <cell r="DK4" t="str">
            <v>.</v>
          </cell>
          <cell r="DL4" t="str">
            <v>.</v>
          </cell>
          <cell r="DM4" t="str">
            <v>.</v>
          </cell>
          <cell r="DN4" t="str">
            <v>.</v>
          </cell>
          <cell r="DO4" t="str">
            <v>.</v>
          </cell>
          <cell r="DP4" t="str">
            <v>.</v>
          </cell>
          <cell r="DQ4" t="str">
            <v>.</v>
          </cell>
          <cell r="DR4" t="str">
            <v>.</v>
          </cell>
          <cell r="DS4" t="str">
            <v>.</v>
          </cell>
          <cell r="DT4" t="str">
            <v>.</v>
          </cell>
          <cell r="DU4" t="str">
            <v>.</v>
          </cell>
          <cell r="DV4" t="str">
            <v>.</v>
          </cell>
          <cell r="DW4" t="str">
            <v>.</v>
          </cell>
          <cell r="DX4" t="str">
            <v>.</v>
          </cell>
          <cell r="DY4" t="str">
            <v>.</v>
          </cell>
          <cell r="DZ4" t="str">
            <v>.</v>
          </cell>
          <cell r="EA4" t="str">
            <v>.</v>
          </cell>
          <cell r="EB4" t="str">
            <v>.</v>
          </cell>
          <cell r="EC4" t="str">
            <v>.</v>
          </cell>
          <cell r="ED4" t="str">
            <v>.</v>
          </cell>
          <cell r="EE4" t="str">
            <v>.</v>
          </cell>
          <cell r="EF4" t="str">
            <v>.</v>
          </cell>
          <cell r="EG4" t="str">
            <v>.</v>
          </cell>
          <cell r="EH4" t="str">
            <v>.</v>
          </cell>
          <cell r="EI4" t="str">
            <v>.</v>
          </cell>
          <cell r="EJ4" t="str">
            <v>.</v>
          </cell>
          <cell r="EK4" t="str">
            <v>.</v>
          </cell>
          <cell r="EL4" t="str">
            <v>.</v>
          </cell>
          <cell r="EM4" t="str">
            <v>.</v>
          </cell>
          <cell r="EN4" t="str">
            <v>.</v>
          </cell>
          <cell r="EO4" t="str">
            <v>.</v>
          </cell>
          <cell r="EP4" t="str">
            <v>.</v>
          </cell>
          <cell r="EQ4" t="str">
            <v>.</v>
          </cell>
          <cell r="ER4" t="str">
            <v>.</v>
          </cell>
          <cell r="ES4" t="str">
            <v>.</v>
          </cell>
          <cell r="ET4" t="str">
            <v>.</v>
          </cell>
          <cell r="EU4" t="str">
            <v>.</v>
          </cell>
          <cell r="EV4" t="str">
            <v>.</v>
          </cell>
          <cell r="EW4" t="str">
            <v>.</v>
          </cell>
          <cell r="EX4" t="str">
            <v>.</v>
          </cell>
          <cell r="EY4" t="str">
            <v>.</v>
          </cell>
          <cell r="EZ4" t="str">
            <v>.</v>
          </cell>
          <cell r="FA4" t="str">
            <v>.</v>
          </cell>
          <cell r="FB4" t="str">
            <v>.</v>
          </cell>
          <cell r="FC4" t="str">
            <v>.</v>
          </cell>
          <cell r="FD4" t="str">
            <v>.</v>
          </cell>
          <cell r="FE4" t="str">
            <v>.</v>
          </cell>
          <cell r="FF4" t="str">
            <v>.</v>
          </cell>
          <cell r="FG4" t="str">
            <v>.</v>
          </cell>
          <cell r="FH4" t="str">
            <v>.</v>
          </cell>
          <cell r="FI4" t="str">
            <v>.</v>
          </cell>
          <cell r="FJ4" t="str">
            <v>.</v>
          </cell>
          <cell r="FK4" t="str">
            <v>.</v>
          </cell>
          <cell r="FL4" t="str">
            <v>.</v>
          </cell>
          <cell r="FM4" t="str">
            <v>.</v>
          </cell>
          <cell r="FN4" t="str">
            <v>.</v>
          </cell>
          <cell r="FO4" t="str">
            <v>.</v>
          </cell>
          <cell r="FP4" t="str">
            <v>.</v>
          </cell>
          <cell r="FQ4" t="str">
            <v>.</v>
          </cell>
          <cell r="FR4" t="str">
            <v>.</v>
          </cell>
          <cell r="FS4" t="str">
            <v>.</v>
          </cell>
          <cell r="FT4" t="str">
            <v>.</v>
          </cell>
          <cell r="FU4" t="str">
            <v>.</v>
          </cell>
          <cell r="FV4" t="str">
            <v>.</v>
          </cell>
          <cell r="FW4" t="str">
            <v>.</v>
          </cell>
          <cell r="FX4" t="str">
            <v>.</v>
          </cell>
          <cell r="FY4" t="str">
            <v>.</v>
          </cell>
          <cell r="FZ4" t="str">
            <v>.</v>
          </cell>
          <cell r="GA4" t="str">
            <v>.</v>
          </cell>
          <cell r="GB4" t="str">
            <v>.</v>
          </cell>
          <cell r="GC4" t="str">
            <v>.</v>
          </cell>
          <cell r="GD4" t="str">
            <v>.</v>
          </cell>
          <cell r="GE4" t="str">
            <v>.</v>
          </cell>
          <cell r="GF4" t="str">
            <v>.</v>
          </cell>
          <cell r="GG4" t="str">
            <v>.</v>
          </cell>
          <cell r="GH4" t="str">
            <v>.</v>
          </cell>
          <cell r="GI4" t="str">
            <v>.</v>
          </cell>
          <cell r="GJ4" t="str">
            <v>.</v>
          </cell>
          <cell r="GK4" t="str">
            <v>.</v>
          </cell>
          <cell r="GL4" t="str">
            <v>.</v>
          </cell>
          <cell r="GM4" t="str">
            <v>.</v>
          </cell>
          <cell r="GN4" t="str">
            <v>.</v>
          </cell>
          <cell r="GO4" t="str">
            <v>.</v>
          </cell>
          <cell r="GP4" t="str">
            <v>.</v>
          </cell>
          <cell r="GQ4" t="str">
            <v>.</v>
          </cell>
          <cell r="GR4" t="str">
            <v>.</v>
          </cell>
          <cell r="GS4" t="str">
            <v>.</v>
          </cell>
          <cell r="GT4" t="str">
            <v>.</v>
          </cell>
          <cell r="GU4" t="str">
            <v>.</v>
          </cell>
          <cell r="GV4" t="str">
            <v>.</v>
          </cell>
          <cell r="GW4" t="str">
            <v>.</v>
          </cell>
          <cell r="GX4" t="str">
            <v>.</v>
          </cell>
        </row>
        <row r="5">
          <cell r="A5" t="str">
            <v>AUDUSD</v>
          </cell>
          <cell r="B5" t="str">
            <v>x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0.77</v>
          </cell>
          <cell r="L5">
            <v>0.87</v>
          </cell>
          <cell r="M5">
            <v>0.88272499999999998</v>
          </cell>
          <cell r="N5">
            <v>0.98307038461538465</v>
          </cell>
          <cell r="O5">
            <v>1.036959556816754</v>
          </cell>
          <cell r="P5">
            <v>1.0646083595489366</v>
          </cell>
          <cell r="Q5">
            <v>1.0169812676489334</v>
          </cell>
          <cell r="R5">
            <v>0.90941599824874531</v>
          </cell>
          <cell r="S5">
            <v>0.84605740102282767</v>
          </cell>
          <cell r="T5">
            <v>0.90730399677394802</v>
          </cell>
          <cell r="U5">
            <v>0.96855059252506848</v>
          </cell>
          <cell r="V5">
            <v>0.96855059252506848</v>
          </cell>
          <cell r="W5">
            <v>0.96855059252506848</v>
          </cell>
          <cell r="X5">
            <v>0.96855059252506848</v>
          </cell>
          <cell r="Y5">
            <v>0.96855059252506848</v>
          </cell>
          <cell r="Z5">
            <v>0.96855059252506848</v>
          </cell>
          <cell r="AA5">
            <v>0.96855059252506848</v>
          </cell>
          <cell r="AB5">
            <v>0.96855059252506848</v>
          </cell>
          <cell r="AC5">
            <v>0.96855059252506848</v>
          </cell>
          <cell r="AD5">
            <v>0.96855059252506848</v>
          </cell>
          <cell r="AE5">
            <v>0.96855059252506848</v>
          </cell>
          <cell r="AF5">
            <v>0.96855059252506848</v>
          </cell>
          <cell r="AG5">
            <v>0.96855059252506848</v>
          </cell>
          <cell r="AH5">
            <v>0.96855059252506848</v>
          </cell>
          <cell r="AI5">
            <v>0.96855059252506848</v>
          </cell>
          <cell r="AJ5">
            <v>0.96855059252506848</v>
          </cell>
          <cell r="AK5">
            <v>0.96855059252506848</v>
          </cell>
          <cell r="AL5">
            <v>0.96855059252506848</v>
          </cell>
          <cell r="AM5">
            <v>0.96855059252506848</v>
          </cell>
          <cell r="AN5">
            <v>0.96855059252506848</v>
          </cell>
          <cell r="AO5">
            <v>0.96855059252506848</v>
          </cell>
          <cell r="AP5">
            <v>0.96855059252506848</v>
          </cell>
          <cell r="AQ5">
            <v>0.96855059252506848</v>
          </cell>
          <cell r="AR5">
            <v>0.96855059252506848</v>
          </cell>
          <cell r="AS5">
            <v>0.96855059252506848</v>
          </cell>
          <cell r="AT5">
            <v>0.96855059252506848</v>
          </cell>
          <cell r="AU5">
            <v>0.96855059252506848</v>
          </cell>
          <cell r="AV5">
            <v>0.96855059252506848</v>
          </cell>
          <cell r="AW5">
            <v>0.96855059252506848</v>
          </cell>
          <cell r="AX5">
            <v>0.96855059252506848</v>
          </cell>
          <cell r="AY5">
            <v>0.96855059252506848</v>
          </cell>
          <cell r="AZ5">
            <v>0.96855059252506848</v>
          </cell>
          <cell r="BA5">
            <v>0.96855059252506848</v>
          </cell>
          <cell r="BD5">
            <v>0</v>
          </cell>
          <cell r="CA5">
            <v>0.92549999999999999</v>
          </cell>
          <cell r="CB5">
            <v>0.77</v>
          </cell>
          <cell r="CC5">
            <v>0.84775</v>
          </cell>
          <cell r="CD5">
            <v>0.70912265625000004</v>
          </cell>
          <cell r="CE5">
            <v>0.87</v>
          </cell>
          <cell r="CF5">
            <v>0.78956132812500002</v>
          </cell>
          <cell r="CG5">
            <v>0.89545000000000008</v>
          </cell>
          <cell r="CH5">
            <v>0.88272499999999998</v>
          </cell>
          <cell r="CI5">
            <v>0.93484999999999996</v>
          </cell>
          <cell r="CJ5">
            <v>1.0312907692307693</v>
          </cell>
          <cell r="CK5">
            <v>0.98307038461538465</v>
          </cell>
          <cell r="CL5">
            <v>1.0522203320984089</v>
          </cell>
          <cell r="CM5">
            <v>1.0216987815350991</v>
          </cell>
          <cell r="CN5">
            <v>1.036959556816754</v>
          </cell>
          <cell r="CO5">
            <v>1.0803423817490325</v>
          </cell>
          <cell r="CP5">
            <v>1.0488743373488409</v>
          </cell>
          <cell r="CQ5">
            <v>1.0646083595489366</v>
          </cell>
          <cell r="CR5">
            <v>1.0488743373488409</v>
          </cell>
          <cell r="CS5">
            <v>0.98508819794902591</v>
          </cell>
          <cell r="CT5">
            <v>1.0169812676489334</v>
          </cell>
          <cell r="CU5">
            <v>0.97277459547466305</v>
          </cell>
          <cell r="CV5">
            <v>0.84605740102282767</v>
          </cell>
          <cell r="CW5">
            <v>0.90941599824874531</v>
          </cell>
          <cell r="CX5">
            <v>0.84605740102282767</v>
          </cell>
          <cell r="CY5">
            <v>0.84605740102282767</v>
          </cell>
          <cell r="CZ5">
            <v>0.84605740102282767</v>
          </cell>
          <cell r="DA5">
            <v>0.84605740102282767</v>
          </cell>
          <cell r="DB5">
            <v>0.96855059252506848</v>
          </cell>
          <cell r="DC5">
            <v>0.90730399677394802</v>
          </cell>
          <cell r="DD5">
            <v>0.96855059252506848</v>
          </cell>
          <cell r="DE5">
            <v>0.96855059252506848</v>
          </cell>
          <cell r="DF5">
            <v>0.96855059252506848</v>
          </cell>
          <cell r="DG5">
            <v>0.96855059252506848</v>
          </cell>
          <cell r="DH5">
            <v>0.96855059252506848</v>
          </cell>
          <cell r="DI5">
            <v>0.96855059252506848</v>
          </cell>
          <cell r="DJ5">
            <v>0.96855059252506848</v>
          </cell>
          <cell r="DK5">
            <v>0.96855059252506848</v>
          </cell>
          <cell r="DL5">
            <v>0.96855059252506848</v>
          </cell>
          <cell r="DM5">
            <v>0.96855059252506848</v>
          </cell>
          <cell r="DN5">
            <v>0.96855059252506848</v>
          </cell>
          <cell r="DO5">
            <v>0.96855059252506848</v>
          </cell>
          <cell r="DP5">
            <v>0.96855059252506848</v>
          </cell>
          <cell r="DQ5">
            <v>0.96855059252506848</v>
          </cell>
          <cell r="DR5">
            <v>0.96855059252506848</v>
          </cell>
          <cell r="DS5">
            <v>0.96855059252506848</v>
          </cell>
          <cell r="DT5">
            <v>0.96855059252506848</v>
          </cell>
          <cell r="DU5">
            <v>0.96855059252506848</v>
          </cell>
          <cell r="DV5">
            <v>0.96855059252506848</v>
          </cell>
          <cell r="DW5">
            <v>0.96855059252506848</v>
          </cell>
          <cell r="DX5">
            <v>0.96855059252506848</v>
          </cell>
          <cell r="DY5">
            <v>0.96855059252506848</v>
          </cell>
          <cell r="DZ5">
            <v>0.96855059252506848</v>
          </cell>
          <cell r="EA5">
            <v>0.96855059252506848</v>
          </cell>
          <cell r="EB5">
            <v>0.96855059252506848</v>
          </cell>
          <cell r="EC5">
            <v>0.96855059252506848</v>
          </cell>
          <cell r="ED5">
            <v>0.96855059252506848</v>
          </cell>
          <cell r="EE5">
            <v>0.96855059252506848</v>
          </cell>
          <cell r="EF5">
            <v>0.96855059252506848</v>
          </cell>
          <cell r="EG5">
            <v>0.96855059252506848</v>
          </cell>
          <cell r="EH5">
            <v>0.96855059252506848</v>
          </cell>
          <cell r="EI5">
            <v>0.96855059252506848</v>
          </cell>
          <cell r="EJ5">
            <v>0.96855059252506848</v>
          </cell>
          <cell r="EK5">
            <v>0.96855059252506848</v>
          </cell>
          <cell r="EL5">
            <v>0.96855059252506848</v>
          </cell>
          <cell r="EM5">
            <v>0.96855059252506848</v>
          </cell>
          <cell r="EN5">
            <v>0.96855059252506848</v>
          </cell>
          <cell r="EO5">
            <v>0.96855059252506848</v>
          </cell>
          <cell r="EP5">
            <v>0.96855059252506848</v>
          </cell>
          <cell r="EQ5">
            <v>0.96855059252506848</v>
          </cell>
          <cell r="ER5">
            <v>0.96855059252506848</v>
          </cell>
          <cell r="ES5">
            <v>0.96855059252506848</v>
          </cell>
          <cell r="ET5">
            <v>0.96855059252506848</v>
          </cell>
          <cell r="EU5">
            <v>0.96855059252506848</v>
          </cell>
          <cell r="EV5">
            <v>0.96855059252506848</v>
          </cell>
          <cell r="EW5">
            <v>0.96855059252506848</v>
          </cell>
          <cell r="EX5">
            <v>0.96855059252506848</v>
          </cell>
          <cell r="EY5">
            <v>0.96855059252506848</v>
          </cell>
          <cell r="EZ5">
            <v>0.96855059252506848</v>
          </cell>
          <cell r="FA5">
            <v>0.96855059252506848</v>
          </cell>
          <cell r="FB5">
            <v>0.96855059252506848</v>
          </cell>
          <cell r="FC5">
            <v>0.96855059252506848</v>
          </cell>
          <cell r="FD5">
            <v>0.96855059252506848</v>
          </cell>
          <cell r="FE5">
            <v>0.96855059252506848</v>
          </cell>
          <cell r="FF5">
            <v>0.96855059252506848</v>
          </cell>
          <cell r="FG5">
            <v>0.96855059252506848</v>
          </cell>
          <cell r="FH5">
            <v>0.96855059252506848</v>
          </cell>
          <cell r="FI5">
            <v>0.96855059252506848</v>
          </cell>
          <cell r="FJ5">
            <v>0.96855059252506848</v>
          </cell>
          <cell r="FK5">
            <v>0.96855059252506848</v>
          </cell>
          <cell r="FL5">
            <v>0.96855059252506848</v>
          </cell>
          <cell r="FM5">
            <v>0.96855059252506848</v>
          </cell>
          <cell r="FN5">
            <v>0.96855059252506848</v>
          </cell>
          <cell r="FO5">
            <v>0.96855059252506848</v>
          </cell>
          <cell r="FP5">
            <v>0.96855059252506848</v>
          </cell>
          <cell r="FQ5">
            <v>0.96855059252506848</v>
          </cell>
          <cell r="FR5">
            <v>0.96855059252506848</v>
          </cell>
          <cell r="FS5">
            <v>0.96855059252506848</v>
          </cell>
          <cell r="FT5">
            <v>0.96855059252506848</v>
          </cell>
          <cell r="FU5">
            <v>0.96855059252506848</v>
          </cell>
          <cell r="FV5">
            <v>0.96855059252506848</v>
          </cell>
          <cell r="FW5">
            <v>0.96855059252506848</v>
          </cell>
          <cell r="FX5">
            <v>0.96855059252506848</v>
          </cell>
          <cell r="FY5">
            <v>0.96855059252506848</v>
          </cell>
          <cell r="FZ5">
            <v>0.96855059252506848</v>
          </cell>
          <cell r="GA5">
            <v>0.96855059252506848</v>
          </cell>
          <cell r="GB5">
            <v>0.96855059252506848</v>
          </cell>
          <cell r="GC5">
            <v>0.96855059252506848</v>
          </cell>
          <cell r="GD5">
            <v>0.96855059252506848</v>
          </cell>
          <cell r="GE5">
            <v>0.96855059252506848</v>
          </cell>
          <cell r="GF5">
            <v>0.96855059252506848</v>
          </cell>
          <cell r="GG5">
            <v>0.96855059252506848</v>
          </cell>
          <cell r="GH5">
            <v>0.96855059252506848</v>
          </cell>
          <cell r="GI5">
            <v>0.96855059252506848</v>
          </cell>
          <cell r="GJ5">
            <v>0.96855059252506848</v>
          </cell>
          <cell r="GK5">
            <v>0.96855059252506848</v>
          </cell>
          <cell r="GL5">
            <v>0.96855059252506848</v>
          </cell>
          <cell r="GM5">
            <v>0.96855059252506848</v>
          </cell>
          <cell r="GN5">
            <v>0.96855059252506848</v>
          </cell>
          <cell r="GO5">
            <v>0.96855059252506848</v>
          </cell>
          <cell r="GP5">
            <v>0.96855059252506848</v>
          </cell>
          <cell r="GQ5">
            <v>0.96855059252506848</v>
          </cell>
          <cell r="GR5">
            <v>0.96855059252506848</v>
          </cell>
          <cell r="GS5">
            <v>0.96855059252506848</v>
          </cell>
          <cell r="GT5">
            <v>0.96855059252506848</v>
          </cell>
          <cell r="GU5">
            <v>0.96855059252506848</v>
          </cell>
          <cell r="GV5">
            <v>0.96855059252506848</v>
          </cell>
          <cell r="GW5">
            <v>0.96855059252506848</v>
          </cell>
          <cell r="GX5">
            <v>0.96855059252506848</v>
          </cell>
        </row>
        <row r="6">
          <cell r="A6" t="str">
            <v>Gold price</v>
          </cell>
          <cell r="B6" t="str">
            <v>US$/oz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833.85</v>
          </cell>
          <cell r="L6">
            <v>1027</v>
          </cell>
          <cell r="M6">
            <v>1090</v>
          </cell>
          <cell r="N6">
            <v>1360.3958087978435</v>
          </cell>
          <cell r="O6">
            <v>1997</v>
          </cell>
          <cell r="P6">
            <v>2071.25</v>
          </cell>
          <cell r="Q6">
            <v>1830</v>
          </cell>
          <cell r="R6">
            <v>1600</v>
          </cell>
          <cell r="S6">
            <v>1450</v>
          </cell>
          <cell r="T6">
            <v>1215.6107566089336</v>
          </cell>
          <cell r="U6">
            <v>1031.2215132178669</v>
          </cell>
          <cell r="V6">
            <v>1031.2215132178669</v>
          </cell>
          <cell r="W6">
            <v>1031.2215132178669</v>
          </cell>
          <cell r="X6">
            <v>1031.2215132178669</v>
          </cell>
          <cell r="Y6">
            <v>1031.2215132178669</v>
          </cell>
          <cell r="Z6">
            <v>1031.2215132178669</v>
          </cell>
          <cell r="AA6">
            <v>1031.2215132178669</v>
          </cell>
          <cell r="AB6">
            <v>1031.2215132178669</v>
          </cell>
          <cell r="AC6">
            <v>1031.2215132178669</v>
          </cell>
          <cell r="AD6">
            <v>1031.2215132178669</v>
          </cell>
          <cell r="AE6">
            <v>1031.2215132178669</v>
          </cell>
          <cell r="AF6">
            <v>1031.2215132178669</v>
          </cell>
          <cell r="AG6">
            <v>1031.2215132178669</v>
          </cell>
          <cell r="AH6">
            <v>1031.2215132178669</v>
          </cell>
          <cell r="AI6">
            <v>1031.2215132178669</v>
          </cell>
          <cell r="AJ6">
            <v>1031.2215132178669</v>
          </cell>
          <cell r="AK6">
            <v>1031.2215132178669</v>
          </cell>
          <cell r="AL6">
            <v>1031.2215132178669</v>
          </cell>
          <cell r="AM6">
            <v>1031.2215132178669</v>
          </cell>
          <cell r="AN6">
            <v>1031.2215132178669</v>
          </cell>
          <cell r="AO6">
            <v>1031.2215132178669</v>
          </cell>
          <cell r="AP6">
            <v>1031.2215132178669</v>
          </cell>
          <cell r="AQ6">
            <v>1031.2215132178669</v>
          </cell>
          <cell r="AR6">
            <v>1031.2215132178669</v>
          </cell>
          <cell r="AS6">
            <v>1031.2215132178669</v>
          </cell>
          <cell r="AT6">
            <v>1031.2215132178669</v>
          </cell>
          <cell r="AU6">
            <v>1031.2215132178669</v>
          </cell>
          <cell r="AV6">
            <v>1031.2215132178669</v>
          </cell>
          <cell r="AW6">
            <v>1031.2215132178669</v>
          </cell>
          <cell r="AX6">
            <v>1031.2215132178669</v>
          </cell>
          <cell r="AY6">
            <v>1031.2215132178669</v>
          </cell>
          <cell r="AZ6">
            <v>1031.2215132178669</v>
          </cell>
          <cell r="BA6">
            <v>1031.2215132178669</v>
          </cell>
          <cell r="CA6">
            <v>910.5</v>
          </cell>
          <cell r="CB6">
            <v>833.85</v>
          </cell>
          <cell r="CC6">
            <v>872.17499999999995</v>
          </cell>
          <cell r="CD6">
            <v>919</v>
          </cell>
          <cell r="CE6">
            <v>1027</v>
          </cell>
          <cell r="CF6">
            <v>973</v>
          </cell>
          <cell r="CG6">
            <v>1153</v>
          </cell>
          <cell r="CH6">
            <v>1090</v>
          </cell>
          <cell r="CI6">
            <v>1273.0783086823783</v>
          </cell>
          <cell r="CJ6">
            <v>1447.713308913309</v>
          </cell>
          <cell r="CK6">
            <v>1360.3958087978435</v>
          </cell>
          <cell r="CL6">
            <v>1776.5</v>
          </cell>
          <cell r="CM6">
            <v>2217.5</v>
          </cell>
          <cell r="CN6">
            <v>1997</v>
          </cell>
          <cell r="CO6">
            <v>2182.5</v>
          </cell>
          <cell r="CP6">
            <v>1960</v>
          </cell>
          <cell r="CQ6">
            <v>2071.25</v>
          </cell>
          <cell r="CR6">
            <v>1960</v>
          </cell>
          <cell r="CS6">
            <v>1700</v>
          </cell>
          <cell r="CT6">
            <v>1830</v>
          </cell>
          <cell r="CU6">
            <v>1700</v>
          </cell>
          <cell r="CV6">
            <v>1500</v>
          </cell>
          <cell r="CW6">
            <v>1600</v>
          </cell>
          <cell r="CX6">
            <v>1500</v>
          </cell>
          <cell r="CY6">
            <v>1400</v>
          </cell>
          <cell r="CZ6">
            <v>1450</v>
          </cell>
          <cell r="DA6">
            <v>1400</v>
          </cell>
          <cell r="DB6">
            <v>1031.2215132178669</v>
          </cell>
          <cell r="DC6">
            <v>1215.6107566089336</v>
          </cell>
          <cell r="DD6">
            <v>1031.2215132178669</v>
          </cell>
          <cell r="DE6">
            <v>1031.2215132178669</v>
          </cell>
          <cell r="DF6">
            <v>1031.2215132178669</v>
          </cell>
          <cell r="DG6">
            <v>1031.2215132178669</v>
          </cell>
          <cell r="DH6">
            <v>1031.2215132178669</v>
          </cell>
          <cell r="DI6">
            <v>1031.2215132178669</v>
          </cell>
          <cell r="DJ6">
            <v>1031.2215132178669</v>
          </cell>
          <cell r="DK6">
            <v>1031.2215132178669</v>
          </cell>
          <cell r="DL6">
            <v>1031.2215132178669</v>
          </cell>
          <cell r="DM6">
            <v>1031.2215132178669</v>
          </cell>
          <cell r="DN6">
            <v>1031.2215132178669</v>
          </cell>
          <cell r="DO6">
            <v>1031.2215132178669</v>
          </cell>
          <cell r="DP6">
            <v>1031.2215132178669</v>
          </cell>
          <cell r="DQ6">
            <v>1031.2215132178669</v>
          </cell>
          <cell r="DR6">
            <v>1031.2215132178669</v>
          </cell>
          <cell r="DS6">
            <v>1031.2215132178669</v>
          </cell>
          <cell r="DT6">
            <v>1031.2215132178669</v>
          </cell>
          <cell r="DU6">
            <v>1031.2215132178669</v>
          </cell>
          <cell r="DV6">
            <v>1031.2215132178669</v>
          </cell>
          <cell r="DW6">
            <v>1031.2215132178669</v>
          </cell>
          <cell r="DX6">
            <v>1031.2215132178669</v>
          </cell>
          <cell r="DY6">
            <v>1031.2215132178669</v>
          </cell>
          <cell r="DZ6">
            <v>1031.2215132178669</v>
          </cell>
          <cell r="EA6">
            <v>1031.2215132178669</v>
          </cell>
          <cell r="EB6">
            <v>1031.2215132178669</v>
          </cell>
          <cell r="EC6">
            <v>1031.2215132178669</v>
          </cell>
          <cell r="ED6">
            <v>1031.2215132178669</v>
          </cell>
          <cell r="EE6">
            <v>1031.2215132178669</v>
          </cell>
          <cell r="EF6">
            <v>1031.2215132178669</v>
          </cell>
          <cell r="EG6">
            <v>1031.2215132178669</v>
          </cell>
          <cell r="EH6">
            <v>1031.2215132178669</v>
          </cell>
          <cell r="EI6">
            <v>1031.2215132178669</v>
          </cell>
          <cell r="EJ6">
            <v>1031.2215132178669</v>
          </cell>
          <cell r="EK6">
            <v>1031.2215132178669</v>
          </cell>
          <cell r="EL6">
            <v>1031.2215132178669</v>
          </cell>
          <cell r="EM6">
            <v>1031.2215132178669</v>
          </cell>
          <cell r="EN6">
            <v>1031.2215132178669</v>
          </cell>
          <cell r="EO6">
            <v>1031.2215132178669</v>
          </cell>
          <cell r="EP6">
            <v>1031.2215132178669</v>
          </cell>
          <cell r="EQ6">
            <v>1031.2215132178669</v>
          </cell>
          <cell r="ER6">
            <v>1031.2215132178669</v>
          </cell>
          <cell r="ES6">
            <v>1031.2215132178669</v>
          </cell>
          <cell r="ET6">
            <v>1031.2215132178669</v>
          </cell>
          <cell r="EU6">
            <v>1031.2215132178669</v>
          </cell>
          <cell r="EV6">
            <v>1031.2215132178669</v>
          </cell>
          <cell r="EW6">
            <v>1031.2215132178669</v>
          </cell>
          <cell r="EX6">
            <v>1031.2215132178669</v>
          </cell>
          <cell r="EY6">
            <v>1031.2215132178669</v>
          </cell>
          <cell r="EZ6">
            <v>1031.2215132178669</v>
          </cell>
          <cell r="FA6">
            <v>1031.2215132178669</v>
          </cell>
          <cell r="FB6">
            <v>1031.2215132178669</v>
          </cell>
          <cell r="FC6">
            <v>1031.2215132178669</v>
          </cell>
          <cell r="FD6">
            <v>1031.2215132178669</v>
          </cell>
          <cell r="FE6">
            <v>1031.2215132178669</v>
          </cell>
          <cell r="FF6">
            <v>1031.2215132178669</v>
          </cell>
          <cell r="FG6">
            <v>1031.2215132178669</v>
          </cell>
          <cell r="FH6">
            <v>1031.2215132178669</v>
          </cell>
          <cell r="FI6">
            <v>1031.2215132178669</v>
          </cell>
          <cell r="FJ6">
            <v>1031.2215132178669</v>
          </cell>
          <cell r="FK6">
            <v>1031.2215132178669</v>
          </cell>
          <cell r="FL6">
            <v>1031.2215132178669</v>
          </cell>
          <cell r="FM6">
            <v>1031.2215132178669</v>
          </cell>
          <cell r="FN6">
            <v>1031.2215132178669</v>
          </cell>
          <cell r="FO6">
            <v>1031.2215132178669</v>
          </cell>
          <cell r="FP6">
            <v>1031.2215132178669</v>
          </cell>
          <cell r="FQ6">
            <v>1031.2215132178669</v>
          </cell>
          <cell r="FR6">
            <v>1031.2215132178669</v>
          </cell>
          <cell r="FS6">
            <v>1031.2215132178669</v>
          </cell>
          <cell r="FT6">
            <v>1031.2215132178669</v>
          </cell>
          <cell r="FU6">
            <v>1031.2215132178669</v>
          </cell>
          <cell r="FV6">
            <v>1031.2215132178669</v>
          </cell>
          <cell r="FW6">
            <v>1031.2215132178669</v>
          </cell>
          <cell r="FX6">
            <v>1031.2215132178669</v>
          </cell>
          <cell r="FY6">
            <v>1031.2215132178669</v>
          </cell>
          <cell r="FZ6">
            <v>1031.2215132178669</v>
          </cell>
          <cell r="GA6">
            <v>1031.2215132178669</v>
          </cell>
          <cell r="GB6">
            <v>1031.2215132178669</v>
          </cell>
          <cell r="GC6">
            <v>1031.2215132178669</v>
          </cell>
          <cell r="GD6">
            <v>1031.2215132178669</v>
          </cell>
          <cell r="GE6">
            <v>1031.2215132178669</v>
          </cell>
          <cell r="GF6">
            <v>1031.2215132178669</v>
          </cell>
          <cell r="GG6">
            <v>1031.2215132178669</v>
          </cell>
          <cell r="GH6">
            <v>1031.2215132178669</v>
          </cell>
          <cell r="GI6">
            <v>1031.2215132178669</v>
          </cell>
          <cell r="GJ6">
            <v>1031.2215132178669</v>
          </cell>
          <cell r="GK6">
            <v>1031.2215132178669</v>
          </cell>
          <cell r="GL6">
            <v>1031.2215132178669</v>
          </cell>
          <cell r="GM6">
            <v>1031.2215132178669</v>
          </cell>
          <cell r="GN6">
            <v>1031.2215132178669</v>
          </cell>
          <cell r="GO6">
            <v>1031.2215132178669</v>
          </cell>
          <cell r="GP6">
            <v>1031.2215132178669</v>
          </cell>
          <cell r="GQ6">
            <v>1031.2215132178669</v>
          </cell>
          <cell r="GR6">
            <v>1031.2215132178669</v>
          </cell>
          <cell r="GS6">
            <v>1031.2215132178669</v>
          </cell>
          <cell r="GT6">
            <v>1031.2215132178669</v>
          </cell>
          <cell r="GU6">
            <v>1031.2215132178669</v>
          </cell>
          <cell r="GV6">
            <v>1031.2215132178669</v>
          </cell>
          <cell r="GW6">
            <v>1031.2215132178669</v>
          </cell>
          <cell r="GX6">
            <v>1031.2215132178669</v>
          </cell>
        </row>
        <row r="7">
          <cell r="A7" t="str">
            <v>Asset ownership</v>
          </cell>
          <cell r="B7" t="str">
            <v>%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0.875</v>
          </cell>
          <cell r="L7">
            <v>0.9</v>
          </cell>
          <cell r="M7">
            <v>0.9</v>
          </cell>
          <cell r="N7">
            <v>0.9</v>
          </cell>
          <cell r="O7">
            <v>0.9</v>
          </cell>
          <cell r="P7">
            <v>0.9</v>
          </cell>
          <cell r="Q7">
            <v>0.9</v>
          </cell>
          <cell r="R7">
            <v>0.9</v>
          </cell>
          <cell r="S7">
            <v>0.9</v>
          </cell>
          <cell r="T7">
            <v>0.9</v>
          </cell>
          <cell r="U7">
            <v>0.9</v>
          </cell>
          <cell r="V7">
            <v>0.9</v>
          </cell>
          <cell r="W7">
            <v>0.9</v>
          </cell>
          <cell r="X7">
            <v>0.9</v>
          </cell>
          <cell r="Y7">
            <v>0.9</v>
          </cell>
          <cell r="Z7">
            <v>0.9</v>
          </cell>
          <cell r="AA7">
            <v>0.9</v>
          </cell>
          <cell r="AB7">
            <v>0.9</v>
          </cell>
          <cell r="AC7">
            <v>0.9</v>
          </cell>
          <cell r="AD7">
            <v>0.9</v>
          </cell>
          <cell r="AE7">
            <v>0.9</v>
          </cell>
          <cell r="AF7">
            <v>0.9</v>
          </cell>
          <cell r="AG7">
            <v>0.9</v>
          </cell>
          <cell r="AH7">
            <v>0.9</v>
          </cell>
          <cell r="AI7">
            <v>0.9</v>
          </cell>
          <cell r="AJ7">
            <v>0.9</v>
          </cell>
          <cell r="AK7">
            <v>0.9</v>
          </cell>
          <cell r="AL7">
            <v>0.9</v>
          </cell>
          <cell r="AM7">
            <v>0.9</v>
          </cell>
          <cell r="AN7">
            <v>0.9</v>
          </cell>
          <cell r="AO7">
            <v>0.9</v>
          </cell>
          <cell r="AP7">
            <v>0.9</v>
          </cell>
          <cell r="AQ7">
            <v>0.9</v>
          </cell>
          <cell r="AR7">
            <v>0.9</v>
          </cell>
          <cell r="AS7">
            <v>0.9</v>
          </cell>
          <cell r="AT7">
            <v>0.9</v>
          </cell>
          <cell r="AU7">
            <v>0.9</v>
          </cell>
          <cell r="AV7">
            <v>0.9</v>
          </cell>
          <cell r="AW7">
            <v>0.9</v>
          </cell>
          <cell r="AX7">
            <v>0.9</v>
          </cell>
          <cell r="AY7">
            <v>0.9</v>
          </cell>
          <cell r="AZ7">
            <v>0.9</v>
          </cell>
          <cell r="BA7">
            <v>0</v>
          </cell>
          <cell r="CA7">
            <v>0.85</v>
          </cell>
          <cell r="CB7">
            <v>0.875</v>
          </cell>
          <cell r="CC7">
            <v>0.875</v>
          </cell>
          <cell r="CD7">
            <v>0.9</v>
          </cell>
          <cell r="CE7">
            <v>0.9</v>
          </cell>
          <cell r="CF7">
            <v>0.9</v>
          </cell>
          <cell r="CG7">
            <v>0.9</v>
          </cell>
          <cell r="CH7">
            <v>0.9</v>
          </cell>
          <cell r="CI7">
            <v>0.9</v>
          </cell>
          <cell r="CJ7">
            <v>0.9</v>
          </cell>
          <cell r="CK7">
            <v>0.9</v>
          </cell>
          <cell r="CL7">
            <v>0.9</v>
          </cell>
          <cell r="CM7">
            <v>0.9</v>
          </cell>
          <cell r="CN7">
            <v>0.9</v>
          </cell>
          <cell r="CO7">
            <v>0.9</v>
          </cell>
          <cell r="CP7">
            <v>0.9</v>
          </cell>
          <cell r="CQ7">
            <v>0.9</v>
          </cell>
          <cell r="CR7">
            <v>0.9</v>
          </cell>
          <cell r="CS7">
            <v>0.9</v>
          </cell>
          <cell r="CT7">
            <v>0.9</v>
          </cell>
          <cell r="CU7">
            <v>0.9</v>
          </cell>
          <cell r="CV7">
            <v>0.9</v>
          </cell>
          <cell r="CW7">
            <v>0.9</v>
          </cell>
          <cell r="CX7">
            <v>0.9</v>
          </cell>
          <cell r="CY7">
            <v>0.9</v>
          </cell>
          <cell r="CZ7">
            <v>0.9</v>
          </cell>
          <cell r="DA7">
            <v>0.9</v>
          </cell>
          <cell r="DB7">
            <v>0.9</v>
          </cell>
          <cell r="DC7">
            <v>0.9</v>
          </cell>
          <cell r="DD7">
            <v>0.9</v>
          </cell>
          <cell r="DE7">
            <v>0.9</v>
          </cell>
          <cell r="DF7">
            <v>0.9</v>
          </cell>
          <cell r="DG7">
            <v>0.9</v>
          </cell>
          <cell r="DH7">
            <v>0.9</v>
          </cell>
          <cell r="DI7">
            <v>0.9</v>
          </cell>
          <cell r="DJ7">
            <v>0.9</v>
          </cell>
          <cell r="DK7">
            <v>0.9</v>
          </cell>
          <cell r="DL7">
            <v>0.9</v>
          </cell>
          <cell r="DM7">
            <v>0.9</v>
          </cell>
          <cell r="DN7">
            <v>0.9</v>
          </cell>
          <cell r="DO7">
            <v>0.9</v>
          </cell>
          <cell r="DP7">
            <v>0.9</v>
          </cell>
          <cell r="DQ7">
            <v>0.9</v>
          </cell>
          <cell r="DR7">
            <v>0.9</v>
          </cell>
          <cell r="DS7">
            <v>0.9</v>
          </cell>
          <cell r="DT7">
            <v>0.9</v>
          </cell>
          <cell r="DU7">
            <v>0.9</v>
          </cell>
          <cell r="DV7">
            <v>0.9</v>
          </cell>
          <cell r="DW7">
            <v>0.9</v>
          </cell>
          <cell r="DX7">
            <v>0.9</v>
          </cell>
          <cell r="DY7">
            <v>0.9</v>
          </cell>
          <cell r="DZ7">
            <v>0.9</v>
          </cell>
          <cell r="EA7">
            <v>0.9</v>
          </cell>
          <cell r="EB7">
            <v>0.9</v>
          </cell>
          <cell r="EC7">
            <v>0.9</v>
          </cell>
          <cell r="ED7">
            <v>0.9</v>
          </cell>
          <cell r="EE7">
            <v>0.9</v>
          </cell>
          <cell r="EF7">
            <v>0.9</v>
          </cell>
          <cell r="EG7">
            <v>0.9</v>
          </cell>
          <cell r="EH7">
            <v>0.9</v>
          </cell>
          <cell r="EI7">
            <v>0.9</v>
          </cell>
          <cell r="EJ7">
            <v>0.9</v>
          </cell>
          <cell r="EK7">
            <v>0.9</v>
          </cell>
          <cell r="EL7">
            <v>0.9</v>
          </cell>
          <cell r="EM7">
            <v>0.9</v>
          </cell>
          <cell r="EN7">
            <v>0.9</v>
          </cell>
          <cell r="EO7">
            <v>0.9</v>
          </cell>
          <cell r="EP7">
            <v>0.9</v>
          </cell>
          <cell r="EQ7">
            <v>0.9</v>
          </cell>
          <cell r="ER7">
            <v>0.9</v>
          </cell>
          <cell r="ES7">
            <v>0.9</v>
          </cell>
          <cell r="ET7">
            <v>0.9</v>
          </cell>
          <cell r="EU7">
            <v>0.9</v>
          </cell>
          <cell r="EV7">
            <v>0.9</v>
          </cell>
          <cell r="EW7">
            <v>0.9</v>
          </cell>
          <cell r="EX7">
            <v>0.9</v>
          </cell>
          <cell r="EY7">
            <v>0.9</v>
          </cell>
          <cell r="EZ7">
            <v>0.9</v>
          </cell>
          <cell r="FA7">
            <v>0.9</v>
          </cell>
          <cell r="FB7">
            <v>0.9</v>
          </cell>
          <cell r="FC7">
            <v>0.9</v>
          </cell>
          <cell r="FD7">
            <v>0.9</v>
          </cell>
          <cell r="FE7">
            <v>0.9</v>
          </cell>
          <cell r="FF7">
            <v>0.9</v>
          </cell>
          <cell r="FG7">
            <v>0.9</v>
          </cell>
          <cell r="FH7">
            <v>0.9</v>
          </cell>
          <cell r="FI7">
            <v>0.9</v>
          </cell>
          <cell r="FJ7">
            <v>0.9</v>
          </cell>
          <cell r="FK7">
            <v>0.9</v>
          </cell>
          <cell r="FL7">
            <v>0.9</v>
          </cell>
          <cell r="FM7">
            <v>0.9</v>
          </cell>
          <cell r="FN7">
            <v>0.9</v>
          </cell>
          <cell r="FO7">
            <v>0.9</v>
          </cell>
          <cell r="FP7">
            <v>0.9</v>
          </cell>
          <cell r="FQ7">
            <v>0.9</v>
          </cell>
          <cell r="FR7">
            <v>0.9</v>
          </cell>
          <cell r="FS7">
            <v>0.9</v>
          </cell>
          <cell r="FT7">
            <v>0.9</v>
          </cell>
          <cell r="FU7">
            <v>0.9</v>
          </cell>
          <cell r="FV7">
            <v>0.9</v>
          </cell>
          <cell r="FW7">
            <v>0.9</v>
          </cell>
          <cell r="FX7">
            <v>0.9</v>
          </cell>
          <cell r="FY7">
            <v>0.9</v>
          </cell>
          <cell r="FZ7">
            <v>0.9</v>
          </cell>
          <cell r="GA7">
            <v>0.9</v>
          </cell>
          <cell r="GB7">
            <v>0.9</v>
          </cell>
          <cell r="GC7">
            <v>0.9</v>
          </cell>
          <cell r="GD7">
            <v>0.9</v>
          </cell>
          <cell r="GE7">
            <v>0.9</v>
          </cell>
          <cell r="GF7">
            <v>0.9</v>
          </cell>
          <cell r="GG7">
            <v>0.9</v>
          </cell>
          <cell r="GH7">
            <v>0.9</v>
          </cell>
          <cell r="GI7">
            <v>0.9</v>
          </cell>
          <cell r="GJ7">
            <v>0.9</v>
          </cell>
          <cell r="GK7">
            <v>0.9</v>
          </cell>
          <cell r="GL7">
            <v>0.9</v>
          </cell>
          <cell r="GM7">
            <v>0.9</v>
          </cell>
          <cell r="GN7">
            <v>0.9</v>
          </cell>
          <cell r="GO7">
            <v>0.9</v>
          </cell>
          <cell r="GP7">
            <v>0.9</v>
          </cell>
          <cell r="GQ7">
            <v>0.9</v>
          </cell>
          <cell r="GR7">
            <v>0.9</v>
          </cell>
          <cell r="GS7">
            <v>0.9</v>
          </cell>
          <cell r="GT7">
            <v>0.9</v>
          </cell>
          <cell r="GU7">
            <v>0.9</v>
          </cell>
          <cell r="GV7">
            <v>0.9</v>
          </cell>
          <cell r="GW7">
            <v>0.9</v>
          </cell>
          <cell r="GX7">
            <v>0</v>
          </cell>
        </row>
        <row r="8">
          <cell r="A8" t="str">
            <v>Yr end date</v>
          </cell>
          <cell r="B8">
            <v>40872</v>
          </cell>
          <cell r="D8">
            <v>37072</v>
          </cell>
          <cell r="E8">
            <v>37437</v>
          </cell>
          <cell r="F8">
            <v>37802</v>
          </cell>
          <cell r="G8">
            <v>38168</v>
          </cell>
          <cell r="H8">
            <v>38533</v>
          </cell>
          <cell r="I8">
            <v>38898</v>
          </cell>
          <cell r="J8">
            <v>39263</v>
          </cell>
          <cell r="K8">
            <v>39629</v>
          </cell>
          <cell r="L8">
            <v>39994</v>
          </cell>
          <cell r="M8">
            <v>40359</v>
          </cell>
          <cell r="N8">
            <v>40724</v>
          </cell>
          <cell r="O8">
            <v>41090</v>
          </cell>
          <cell r="P8">
            <v>41455</v>
          </cell>
          <cell r="Q8">
            <v>41820</v>
          </cell>
          <cell r="R8">
            <v>42185</v>
          </cell>
          <cell r="S8">
            <v>42551</v>
          </cell>
          <cell r="T8">
            <v>42916</v>
          </cell>
          <cell r="U8">
            <v>43281</v>
          </cell>
          <cell r="V8">
            <v>43646</v>
          </cell>
          <cell r="W8">
            <v>44012</v>
          </cell>
          <cell r="X8">
            <v>44377</v>
          </cell>
          <cell r="Y8">
            <v>44742</v>
          </cell>
          <cell r="Z8">
            <v>45107</v>
          </cell>
          <cell r="AA8">
            <v>45473</v>
          </cell>
          <cell r="AB8">
            <v>45838</v>
          </cell>
          <cell r="AC8">
            <v>46203</v>
          </cell>
          <cell r="AD8">
            <v>46568</v>
          </cell>
          <cell r="AE8">
            <v>46934</v>
          </cell>
          <cell r="AF8">
            <v>47299</v>
          </cell>
          <cell r="AG8">
            <v>47664</v>
          </cell>
          <cell r="AH8">
            <v>48029</v>
          </cell>
          <cell r="AI8">
            <v>48395</v>
          </cell>
          <cell r="AJ8">
            <v>48760</v>
          </cell>
          <cell r="AK8">
            <v>49125</v>
          </cell>
          <cell r="AL8">
            <v>49490</v>
          </cell>
          <cell r="AM8">
            <v>49856</v>
          </cell>
          <cell r="AN8">
            <v>50221</v>
          </cell>
          <cell r="AO8">
            <v>50586</v>
          </cell>
          <cell r="AP8">
            <v>50951</v>
          </cell>
          <cell r="AQ8">
            <v>51317</v>
          </cell>
          <cell r="AR8">
            <v>51682</v>
          </cell>
          <cell r="AS8">
            <v>52047</v>
          </cell>
          <cell r="AT8">
            <v>52412</v>
          </cell>
          <cell r="AU8">
            <v>52778</v>
          </cell>
          <cell r="AV8">
            <v>53143</v>
          </cell>
          <cell r="AW8">
            <v>53508</v>
          </cell>
          <cell r="AX8">
            <v>53873</v>
          </cell>
          <cell r="AY8">
            <v>54239</v>
          </cell>
          <cell r="AZ8">
            <v>54604</v>
          </cell>
          <cell r="BA8">
            <v>54969</v>
          </cell>
          <cell r="BE8">
            <v>36891</v>
          </cell>
          <cell r="BF8">
            <v>37072</v>
          </cell>
          <cell r="BG8">
            <v>37072</v>
          </cell>
          <cell r="BH8">
            <v>37256</v>
          </cell>
          <cell r="BI8">
            <v>37437</v>
          </cell>
          <cell r="BJ8">
            <v>37437</v>
          </cell>
          <cell r="BK8">
            <v>37621</v>
          </cell>
          <cell r="BL8">
            <v>37802</v>
          </cell>
          <cell r="BM8">
            <v>37802</v>
          </cell>
          <cell r="BN8">
            <v>37986</v>
          </cell>
          <cell r="BO8">
            <v>38168</v>
          </cell>
          <cell r="BP8">
            <v>38168</v>
          </cell>
          <cell r="BQ8">
            <v>38352</v>
          </cell>
          <cell r="BR8">
            <v>38533</v>
          </cell>
          <cell r="BS8">
            <v>38533</v>
          </cell>
          <cell r="BT8">
            <v>38717</v>
          </cell>
          <cell r="BU8">
            <v>38898</v>
          </cell>
          <cell r="BV8">
            <v>38898</v>
          </cell>
          <cell r="BW8">
            <v>39082</v>
          </cell>
          <cell r="BX8">
            <v>39263</v>
          </cell>
          <cell r="BY8">
            <v>39263</v>
          </cell>
          <cell r="BZ8">
            <v>39447</v>
          </cell>
          <cell r="CA8">
            <v>39629</v>
          </cell>
          <cell r="CB8">
            <v>39629</v>
          </cell>
          <cell r="CC8">
            <v>39813</v>
          </cell>
          <cell r="CD8">
            <v>39994</v>
          </cell>
          <cell r="CE8">
            <v>39994</v>
          </cell>
          <cell r="CF8">
            <v>40178</v>
          </cell>
          <cell r="CG8">
            <v>40359</v>
          </cell>
          <cell r="CH8">
            <v>40359</v>
          </cell>
          <cell r="CI8">
            <v>40543</v>
          </cell>
          <cell r="CJ8">
            <v>40724</v>
          </cell>
          <cell r="CK8">
            <v>40724</v>
          </cell>
          <cell r="CL8">
            <v>40908</v>
          </cell>
          <cell r="CM8">
            <v>41090</v>
          </cell>
          <cell r="CN8">
            <v>41090</v>
          </cell>
          <cell r="CO8">
            <v>41274</v>
          </cell>
          <cell r="CP8">
            <v>41455</v>
          </cell>
          <cell r="CQ8">
            <v>41455</v>
          </cell>
          <cell r="CR8">
            <v>41639</v>
          </cell>
          <cell r="CS8">
            <v>41820</v>
          </cell>
          <cell r="CT8">
            <v>41820</v>
          </cell>
          <cell r="CU8">
            <v>42004</v>
          </cell>
          <cell r="CV8">
            <v>42185</v>
          </cell>
          <cell r="CW8">
            <v>42185</v>
          </cell>
          <cell r="CX8">
            <v>42369</v>
          </cell>
          <cell r="CY8">
            <v>42551</v>
          </cell>
          <cell r="CZ8">
            <v>42551</v>
          </cell>
          <cell r="DA8">
            <v>42735</v>
          </cell>
          <cell r="DB8">
            <v>42916</v>
          </cell>
          <cell r="DC8">
            <v>42916</v>
          </cell>
          <cell r="DD8">
            <v>43100</v>
          </cell>
          <cell r="DE8">
            <v>43281</v>
          </cell>
          <cell r="DF8">
            <v>43281</v>
          </cell>
          <cell r="DG8">
            <v>43465</v>
          </cell>
          <cell r="DH8">
            <v>43646</v>
          </cell>
          <cell r="DI8">
            <v>43646</v>
          </cell>
          <cell r="DJ8">
            <v>43830</v>
          </cell>
          <cell r="DK8">
            <v>44012</v>
          </cell>
          <cell r="DL8">
            <v>44012</v>
          </cell>
          <cell r="DM8">
            <v>44196</v>
          </cell>
          <cell r="DN8">
            <v>44377</v>
          </cell>
          <cell r="DO8">
            <v>44377</v>
          </cell>
          <cell r="DP8">
            <v>44561</v>
          </cell>
          <cell r="DQ8">
            <v>44742</v>
          </cell>
          <cell r="DR8">
            <v>44742</v>
          </cell>
          <cell r="DS8">
            <v>44926</v>
          </cell>
          <cell r="DT8">
            <v>45107</v>
          </cell>
          <cell r="DU8">
            <v>45107</v>
          </cell>
          <cell r="DV8">
            <v>45291</v>
          </cell>
          <cell r="DW8">
            <v>45473</v>
          </cell>
          <cell r="DX8">
            <v>45473</v>
          </cell>
          <cell r="DY8">
            <v>45657</v>
          </cell>
          <cell r="DZ8">
            <v>45838</v>
          </cell>
          <cell r="EA8">
            <v>45838</v>
          </cell>
          <cell r="EB8">
            <v>46022</v>
          </cell>
          <cell r="EC8">
            <v>46203</v>
          </cell>
          <cell r="ED8">
            <v>46203</v>
          </cell>
          <cell r="EE8">
            <v>46387</v>
          </cell>
          <cell r="EF8">
            <v>46568</v>
          </cell>
          <cell r="EG8">
            <v>46568</v>
          </cell>
          <cell r="EH8">
            <v>46752</v>
          </cell>
          <cell r="EI8">
            <v>46934</v>
          </cell>
          <cell r="EJ8">
            <v>46934</v>
          </cell>
          <cell r="EK8">
            <v>47118</v>
          </cell>
          <cell r="EL8">
            <v>47299</v>
          </cell>
          <cell r="EM8">
            <v>47299</v>
          </cell>
          <cell r="EN8">
            <v>47483</v>
          </cell>
          <cell r="EO8">
            <v>47664</v>
          </cell>
          <cell r="EP8">
            <v>47664</v>
          </cell>
          <cell r="EQ8">
            <v>47848</v>
          </cell>
          <cell r="ER8">
            <v>48029</v>
          </cell>
          <cell r="ES8">
            <v>48029</v>
          </cell>
          <cell r="ET8">
            <v>48213</v>
          </cell>
          <cell r="EU8">
            <v>48395</v>
          </cell>
          <cell r="EV8">
            <v>48395</v>
          </cell>
          <cell r="EW8">
            <v>48579</v>
          </cell>
          <cell r="EX8">
            <v>48760</v>
          </cell>
          <cell r="EY8">
            <v>48760</v>
          </cell>
          <cell r="EZ8">
            <v>48944</v>
          </cell>
          <cell r="FA8">
            <v>49125</v>
          </cell>
          <cell r="FB8">
            <v>49125</v>
          </cell>
          <cell r="FC8">
            <v>49309</v>
          </cell>
          <cell r="FD8">
            <v>49490</v>
          </cell>
          <cell r="FE8">
            <v>49490</v>
          </cell>
          <cell r="FF8">
            <v>49674</v>
          </cell>
          <cell r="FG8">
            <v>49856</v>
          </cell>
          <cell r="FH8">
            <v>49856</v>
          </cell>
          <cell r="FI8">
            <v>50040</v>
          </cell>
          <cell r="FJ8">
            <v>50221</v>
          </cell>
          <cell r="FK8">
            <v>50221</v>
          </cell>
          <cell r="FL8">
            <v>50405</v>
          </cell>
          <cell r="FM8">
            <v>50586</v>
          </cell>
          <cell r="FN8">
            <v>50586</v>
          </cell>
          <cell r="FO8">
            <v>50770</v>
          </cell>
          <cell r="FP8">
            <v>50951</v>
          </cell>
          <cell r="FQ8">
            <v>50951</v>
          </cell>
          <cell r="FR8">
            <v>51135</v>
          </cell>
          <cell r="FS8">
            <v>51317</v>
          </cell>
          <cell r="FT8">
            <v>51317</v>
          </cell>
          <cell r="FU8">
            <v>51501</v>
          </cell>
          <cell r="FV8">
            <v>51682</v>
          </cell>
          <cell r="FW8">
            <v>51682</v>
          </cell>
          <cell r="FX8">
            <v>51866</v>
          </cell>
          <cell r="FY8">
            <v>52047</v>
          </cell>
          <cell r="FZ8">
            <v>52047</v>
          </cell>
          <cell r="GA8">
            <v>52231</v>
          </cell>
          <cell r="GB8">
            <v>52412</v>
          </cell>
          <cell r="GC8">
            <v>52412</v>
          </cell>
          <cell r="GD8">
            <v>52596</v>
          </cell>
          <cell r="GE8">
            <v>52778</v>
          </cell>
          <cell r="GF8">
            <v>52778</v>
          </cell>
          <cell r="GG8">
            <v>52962</v>
          </cell>
          <cell r="GH8">
            <v>53143</v>
          </cell>
          <cell r="GI8">
            <v>53143</v>
          </cell>
          <cell r="GJ8">
            <v>53327</v>
          </cell>
          <cell r="GK8">
            <v>53508</v>
          </cell>
          <cell r="GL8">
            <v>53508</v>
          </cell>
          <cell r="GM8">
            <v>53692</v>
          </cell>
          <cell r="GN8">
            <v>53873</v>
          </cell>
          <cell r="GO8">
            <v>53873</v>
          </cell>
          <cell r="GP8">
            <v>54057</v>
          </cell>
          <cell r="GQ8">
            <v>54239</v>
          </cell>
          <cell r="GR8">
            <v>54239</v>
          </cell>
          <cell r="GS8">
            <v>54423</v>
          </cell>
          <cell r="GT8">
            <v>54604</v>
          </cell>
          <cell r="GU8">
            <v>54604</v>
          </cell>
          <cell r="GV8">
            <v>54788</v>
          </cell>
          <cell r="GW8">
            <v>54969</v>
          </cell>
          <cell r="GX8">
            <v>54969</v>
          </cell>
        </row>
        <row r="9">
          <cell r="A9" t="str">
            <v>Gold Production inflator</v>
          </cell>
          <cell r="B9" t="str">
            <v>%</v>
          </cell>
          <cell r="D9">
            <v>0</v>
          </cell>
          <cell r="E9">
            <v>0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  <cell r="J9">
            <v>1</v>
          </cell>
          <cell r="K9">
            <v>1</v>
          </cell>
          <cell r="L9">
            <v>1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1</v>
          </cell>
          <cell r="S9">
            <v>1</v>
          </cell>
          <cell r="T9">
            <v>1</v>
          </cell>
          <cell r="U9">
            <v>1</v>
          </cell>
          <cell r="V9">
            <v>1</v>
          </cell>
          <cell r="W9">
            <v>1</v>
          </cell>
          <cell r="X9">
            <v>1</v>
          </cell>
          <cell r="Y9">
            <v>1</v>
          </cell>
          <cell r="Z9">
            <v>1</v>
          </cell>
          <cell r="AA9">
            <v>1</v>
          </cell>
          <cell r="AB9">
            <v>1</v>
          </cell>
          <cell r="AC9">
            <v>1</v>
          </cell>
          <cell r="AD9">
            <v>1</v>
          </cell>
          <cell r="AE9">
            <v>1</v>
          </cell>
          <cell r="AF9">
            <v>1</v>
          </cell>
          <cell r="AG9">
            <v>1</v>
          </cell>
          <cell r="AH9">
            <v>1</v>
          </cell>
          <cell r="AI9">
            <v>1</v>
          </cell>
          <cell r="AJ9">
            <v>1</v>
          </cell>
          <cell r="AK9">
            <v>1</v>
          </cell>
          <cell r="AL9">
            <v>1</v>
          </cell>
          <cell r="AM9">
            <v>1</v>
          </cell>
          <cell r="AN9">
            <v>1</v>
          </cell>
          <cell r="AO9">
            <v>1</v>
          </cell>
          <cell r="AP9">
            <v>1</v>
          </cell>
          <cell r="AQ9">
            <v>1</v>
          </cell>
          <cell r="AR9">
            <v>1</v>
          </cell>
          <cell r="AS9">
            <v>1</v>
          </cell>
          <cell r="AT9">
            <v>1</v>
          </cell>
          <cell r="AU9">
            <v>1</v>
          </cell>
          <cell r="AV9">
            <v>1</v>
          </cell>
          <cell r="AW9">
            <v>1</v>
          </cell>
          <cell r="AX9">
            <v>1</v>
          </cell>
          <cell r="AY9">
            <v>1</v>
          </cell>
          <cell r="AZ9">
            <v>1</v>
          </cell>
          <cell r="BA9">
            <v>1</v>
          </cell>
          <cell r="BK9">
            <v>1</v>
          </cell>
          <cell r="BL9">
            <v>1</v>
          </cell>
          <cell r="BM9">
            <v>1</v>
          </cell>
          <cell r="BN9">
            <v>1</v>
          </cell>
          <cell r="BO9">
            <v>1</v>
          </cell>
          <cell r="BP9">
            <v>1</v>
          </cell>
          <cell r="BQ9">
            <v>1</v>
          </cell>
          <cell r="BR9">
            <v>1</v>
          </cell>
          <cell r="BS9">
            <v>1</v>
          </cell>
          <cell r="BT9">
            <v>1</v>
          </cell>
          <cell r="BU9">
            <v>1</v>
          </cell>
          <cell r="BV9">
            <v>1</v>
          </cell>
          <cell r="BW9">
            <v>1</v>
          </cell>
          <cell r="BX9">
            <v>1</v>
          </cell>
          <cell r="BY9">
            <v>1</v>
          </cell>
          <cell r="BZ9">
            <v>1</v>
          </cell>
          <cell r="CA9">
            <v>1</v>
          </cell>
          <cell r="CB9">
            <v>1</v>
          </cell>
          <cell r="CC9">
            <v>1</v>
          </cell>
          <cell r="CD9">
            <v>1</v>
          </cell>
          <cell r="CE9">
            <v>1</v>
          </cell>
          <cell r="CF9">
            <v>1</v>
          </cell>
          <cell r="CG9">
            <v>1</v>
          </cell>
          <cell r="CH9">
            <v>1</v>
          </cell>
          <cell r="CI9">
            <v>1</v>
          </cell>
          <cell r="CJ9">
            <v>1</v>
          </cell>
          <cell r="CK9">
            <v>1</v>
          </cell>
          <cell r="CL9">
            <v>1</v>
          </cell>
          <cell r="CM9">
            <v>1</v>
          </cell>
          <cell r="CN9">
            <v>1</v>
          </cell>
          <cell r="CO9">
            <v>1</v>
          </cell>
          <cell r="CP9">
            <v>1</v>
          </cell>
          <cell r="CQ9">
            <v>1</v>
          </cell>
          <cell r="CR9">
            <v>1</v>
          </cell>
          <cell r="CS9">
            <v>1</v>
          </cell>
          <cell r="CT9">
            <v>1</v>
          </cell>
          <cell r="CU9">
            <v>1</v>
          </cell>
          <cell r="CV9">
            <v>1</v>
          </cell>
          <cell r="CW9">
            <v>1</v>
          </cell>
          <cell r="CX9">
            <v>1</v>
          </cell>
          <cell r="CY9">
            <v>1</v>
          </cell>
          <cell r="CZ9">
            <v>1</v>
          </cell>
          <cell r="DA9">
            <v>1</v>
          </cell>
          <cell r="DB9">
            <v>1</v>
          </cell>
          <cell r="DC9">
            <v>1</v>
          </cell>
          <cell r="DD9">
            <v>1</v>
          </cell>
          <cell r="DE9">
            <v>1</v>
          </cell>
          <cell r="DF9">
            <v>1</v>
          </cell>
          <cell r="DG9">
            <v>1</v>
          </cell>
          <cell r="DH9">
            <v>1</v>
          </cell>
          <cell r="DI9">
            <v>1</v>
          </cell>
          <cell r="DJ9">
            <v>1</v>
          </cell>
          <cell r="DK9">
            <v>1</v>
          </cell>
          <cell r="DL9">
            <v>1</v>
          </cell>
          <cell r="DM9">
            <v>1</v>
          </cell>
          <cell r="DN9">
            <v>1</v>
          </cell>
          <cell r="DO9">
            <v>1</v>
          </cell>
          <cell r="DP9">
            <v>1</v>
          </cell>
          <cell r="DQ9">
            <v>1</v>
          </cell>
          <cell r="DR9">
            <v>1</v>
          </cell>
          <cell r="DS9">
            <v>1</v>
          </cell>
          <cell r="DT9">
            <v>1</v>
          </cell>
          <cell r="DU9">
            <v>1</v>
          </cell>
          <cell r="DV9">
            <v>1</v>
          </cell>
          <cell r="DW9">
            <v>1</v>
          </cell>
          <cell r="DX9">
            <v>1</v>
          </cell>
          <cell r="DY9">
            <v>1</v>
          </cell>
          <cell r="DZ9">
            <v>1</v>
          </cell>
          <cell r="EA9">
            <v>1</v>
          </cell>
          <cell r="EB9">
            <v>1</v>
          </cell>
          <cell r="EC9">
            <v>1</v>
          </cell>
          <cell r="ED9">
            <v>1</v>
          </cell>
          <cell r="EE9">
            <v>1</v>
          </cell>
          <cell r="EF9">
            <v>1</v>
          </cell>
          <cell r="EG9">
            <v>1</v>
          </cell>
          <cell r="EH9">
            <v>1</v>
          </cell>
          <cell r="EI9">
            <v>1</v>
          </cell>
          <cell r="EJ9">
            <v>1</v>
          </cell>
          <cell r="EK9">
            <v>1</v>
          </cell>
          <cell r="EL9">
            <v>1</v>
          </cell>
          <cell r="EM9">
            <v>1</v>
          </cell>
          <cell r="EN9">
            <v>1</v>
          </cell>
          <cell r="EO9">
            <v>1</v>
          </cell>
          <cell r="EP9">
            <v>1</v>
          </cell>
          <cell r="EQ9">
            <v>1</v>
          </cell>
          <cell r="ER9">
            <v>1</v>
          </cell>
          <cell r="ES9">
            <v>1</v>
          </cell>
          <cell r="ET9">
            <v>1</v>
          </cell>
          <cell r="EU9">
            <v>1</v>
          </cell>
          <cell r="EV9">
            <v>1</v>
          </cell>
          <cell r="EW9">
            <v>1</v>
          </cell>
          <cell r="EX9">
            <v>1</v>
          </cell>
          <cell r="EY9">
            <v>1</v>
          </cell>
          <cell r="EZ9">
            <v>1</v>
          </cell>
          <cell r="FA9">
            <v>1</v>
          </cell>
          <cell r="FB9">
            <v>1</v>
          </cell>
          <cell r="FC9">
            <v>1</v>
          </cell>
          <cell r="FD9">
            <v>1</v>
          </cell>
          <cell r="FE9">
            <v>1</v>
          </cell>
          <cell r="FF9">
            <v>1</v>
          </cell>
          <cell r="FG9">
            <v>1</v>
          </cell>
          <cell r="FH9">
            <v>1</v>
          </cell>
          <cell r="FI9">
            <v>1</v>
          </cell>
          <cell r="FJ9">
            <v>1</v>
          </cell>
          <cell r="FK9">
            <v>1</v>
          </cell>
          <cell r="FL9">
            <v>1</v>
          </cell>
          <cell r="FM9">
            <v>1</v>
          </cell>
          <cell r="FN9">
            <v>1</v>
          </cell>
          <cell r="FO9">
            <v>1</v>
          </cell>
          <cell r="FP9">
            <v>1</v>
          </cell>
          <cell r="FQ9">
            <v>1</v>
          </cell>
          <cell r="FR9">
            <v>1</v>
          </cell>
          <cell r="FS9">
            <v>1</v>
          </cell>
          <cell r="FT9">
            <v>1</v>
          </cell>
          <cell r="FU9">
            <v>1</v>
          </cell>
          <cell r="FV9">
            <v>1</v>
          </cell>
          <cell r="FW9">
            <v>1</v>
          </cell>
          <cell r="FX9">
            <v>1</v>
          </cell>
          <cell r="FY9">
            <v>1</v>
          </cell>
          <cell r="FZ9">
            <v>1</v>
          </cell>
          <cell r="GA9">
            <v>1</v>
          </cell>
          <cell r="GB9">
            <v>1</v>
          </cell>
          <cell r="GC9">
            <v>1</v>
          </cell>
          <cell r="GD9">
            <v>1</v>
          </cell>
          <cell r="GE9">
            <v>1</v>
          </cell>
          <cell r="GF9">
            <v>1</v>
          </cell>
          <cell r="GG9">
            <v>1</v>
          </cell>
          <cell r="GH9">
            <v>1</v>
          </cell>
          <cell r="GI9">
            <v>1</v>
          </cell>
          <cell r="GJ9">
            <v>1</v>
          </cell>
          <cell r="GK9">
            <v>1</v>
          </cell>
          <cell r="GL9">
            <v>1</v>
          </cell>
          <cell r="GM9">
            <v>1</v>
          </cell>
          <cell r="GN9">
            <v>1</v>
          </cell>
          <cell r="GO9">
            <v>1</v>
          </cell>
          <cell r="GP9">
            <v>1</v>
          </cell>
          <cell r="GQ9">
            <v>1</v>
          </cell>
          <cell r="GR9">
            <v>1</v>
          </cell>
          <cell r="GS9">
            <v>1</v>
          </cell>
          <cell r="GT9">
            <v>1</v>
          </cell>
          <cell r="GU9">
            <v>1</v>
          </cell>
          <cell r="GV9">
            <v>1</v>
          </cell>
          <cell r="GW9">
            <v>1</v>
          </cell>
          <cell r="GX9">
            <v>1</v>
          </cell>
        </row>
        <row r="10">
          <cell r="A10" t="str">
            <v>Cost inflator</v>
          </cell>
          <cell r="B10" t="str">
            <v>%</v>
          </cell>
          <cell r="D10">
            <v>0</v>
          </cell>
          <cell r="E10">
            <v>0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  <cell r="K10">
            <v>1</v>
          </cell>
          <cell r="L10">
            <v>1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1</v>
          </cell>
          <cell r="S10">
            <v>1</v>
          </cell>
          <cell r="T10">
            <v>1</v>
          </cell>
          <cell r="U10">
            <v>1</v>
          </cell>
          <cell r="V10">
            <v>1</v>
          </cell>
          <cell r="W10">
            <v>1</v>
          </cell>
          <cell r="X10">
            <v>1</v>
          </cell>
          <cell r="Y10">
            <v>1</v>
          </cell>
          <cell r="Z10">
            <v>1</v>
          </cell>
          <cell r="AA10">
            <v>1</v>
          </cell>
          <cell r="AB10">
            <v>1</v>
          </cell>
          <cell r="AC10">
            <v>1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1</v>
          </cell>
          <cell r="AJ10">
            <v>1</v>
          </cell>
          <cell r="AK10">
            <v>1</v>
          </cell>
          <cell r="AL10">
            <v>1</v>
          </cell>
          <cell r="AM10">
            <v>1</v>
          </cell>
          <cell r="AN10">
            <v>1</v>
          </cell>
          <cell r="AO10">
            <v>1</v>
          </cell>
          <cell r="AP10">
            <v>1</v>
          </cell>
          <cell r="AQ10">
            <v>1</v>
          </cell>
          <cell r="AR10">
            <v>1</v>
          </cell>
          <cell r="AS10">
            <v>1</v>
          </cell>
          <cell r="AT10">
            <v>1</v>
          </cell>
          <cell r="AU10">
            <v>1</v>
          </cell>
          <cell r="AV10">
            <v>1</v>
          </cell>
          <cell r="AW10">
            <v>1</v>
          </cell>
          <cell r="AX10">
            <v>1</v>
          </cell>
          <cell r="AY10">
            <v>1</v>
          </cell>
          <cell r="AZ10">
            <v>1</v>
          </cell>
          <cell r="BA10">
            <v>1</v>
          </cell>
          <cell r="BK10">
            <v>1</v>
          </cell>
          <cell r="BL10">
            <v>1</v>
          </cell>
          <cell r="BM10">
            <v>1</v>
          </cell>
          <cell r="BN10">
            <v>1</v>
          </cell>
          <cell r="BO10">
            <v>1</v>
          </cell>
          <cell r="BP10">
            <v>1</v>
          </cell>
          <cell r="BQ10">
            <v>1</v>
          </cell>
          <cell r="BR10">
            <v>1</v>
          </cell>
          <cell r="BS10">
            <v>1</v>
          </cell>
          <cell r="BT10">
            <v>1</v>
          </cell>
          <cell r="BU10">
            <v>1</v>
          </cell>
          <cell r="BV10">
            <v>1</v>
          </cell>
          <cell r="BW10">
            <v>1</v>
          </cell>
          <cell r="BX10">
            <v>1</v>
          </cell>
          <cell r="BY10">
            <v>1</v>
          </cell>
          <cell r="BZ10">
            <v>1</v>
          </cell>
          <cell r="CA10">
            <v>1</v>
          </cell>
          <cell r="CB10">
            <v>1</v>
          </cell>
          <cell r="CC10">
            <v>1</v>
          </cell>
          <cell r="CD10">
            <v>1</v>
          </cell>
          <cell r="CE10">
            <v>1</v>
          </cell>
          <cell r="CF10">
            <v>1</v>
          </cell>
          <cell r="CG10">
            <v>1</v>
          </cell>
          <cell r="CH10">
            <v>1</v>
          </cell>
          <cell r="CI10">
            <v>1</v>
          </cell>
          <cell r="CJ10">
            <v>1</v>
          </cell>
          <cell r="CK10">
            <v>1</v>
          </cell>
          <cell r="CL10">
            <v>1</v>
          </cell>
          <cell r="CM10">
            <v>1</v>
          </cell>
          <cell r="CN10">
            <v>1</v>
          </cell>
          <cell r="CO10">
            <v>1</v>
          </cell>
          <cell r="CP10">
            <v>1</v>
          </cell>
          <cell r="CQ10">
            <v>1</v>
          </cell>
          <cell r="CR10">
            <v>1</v>
          </cell>
          <cell r="CS10">
            <v>1</v>
          </cell>
          <cell r="CT10">
            <v>1</v>
          </cell>
          <cell r="CU10">
            <v>1</v>
          </cell>
          <cell r="CV10">
            <v>1</v>
          </cell>
          <cell r="CW10">
            <v>1</v>
          </cell>
          <cell r="CX10">
            <v>1</v>
          </cell>
          <cell r="CY10">
            <v>1</v>
          </cell>
          <cell r="CZ10">
            <v>1</v>
          </cell>
          <cell r="DA10">
            <v>1</v>
          </cell>
          <cell r="DB10">
            <v>1</v>
          </cell>
          <cell r="DC10">
            <v>1</v>
          </cell>
          <cell r="DD10">
            <v>1</v>
          </cell>
          <cell r="DE10">
            <v>1</v>
          </cell>
          <cell r="DF10">
            <v>1</v>
          </cell>
          <cell r="DG10">
            <v>1</v>
          </cell>
          <cell r="DH10">
            <v>1</v>
          </cell>
          <cell r="DI10">
            <v>1</v>
          </cell>
          <cell r="DJ10">
            <v>1</v>
          </cell>
          <cell r="DK10">
            <v>1</v>
          </cell>
          <cell r="DL10">
            <v>1</v>
          </cell>
          <cell r="DM10">
            <v>1</v>
          </cell>
          <cell r="DN10">
            <v>1</v>
          </cell>
          <cell r="DO10">
            <v>1</v>
          </cell>
          <cell r="DP10">
            <v>1</v>
          </cell>
          <cell r="DQ10">
            <v>1</v>
          </cell>
          <cell r="DR10">
            <v>1</v>
          </cell>
          <cell r="DS10">
            <v>1</v>
          </cell>
          <cell r="DT10">
            <v>1</v>
          </cell>
          <cell r="DU10">
            <v>1</v>
          </cell>
          <cell r="DV10">
            <v>1</v>
          </cell>
          <cell r="DW10">
            <v>1</v>
          </cell>
          <cell r="DX10">
            <v>1</v>
          </cell>
          <cell r="DY10">
            <v>1</v>
          </cell>
          <cell r="DZ10">
            <v>1</v>
          </cell>
          <cell r="EA10">
            <v>1</v>
          </cell>
          <cell r="EB10">
            <v>1</v>
          </cell>
          <cell r="EC10">
            <v>1</v>
          </cell>
          <cell r="ED10">
            <v>1</v>
          </cell>
          <cell r="EE10">
            <v>1</v>
          </cell>
          <cell r="EF10">
            <v>1</v>
          </cell>
          <cell r="EG10">
            <v>1</v>
          </cell>
          <cell r="EH10">
            <v>1</v>
          </cell>
          <cell r="EI10">
            <v>1</v>
          </cell>
          <cell r="EJ10">
            <v>1</v>
          </cell>
          <cell r="EK10">
            <v>1</v>
          </cell>
          <cell r="EL10">
            <v>1</v>
          </cell>
          <cell r="EM10">
            <v>1</v>
          </cell>
          <cell r="EN10">
            <v>1</v>
          </cell>
          <cell r="EO10">
            <v>1</v>
          </cell>
          <cell r="EP10">
            <v>1</v>
          </cell>
          <cell r="EQ10">
            <v>1</v>
          </cell>
          <cell r="ER10">
            <v>1</v>
          </cell>
          <cell r="ES10">
            <v>1</v>
          </cell>
          <cell r="ET10">
            <v>1</v>
          </cell>
          <cell r="EU10">
            <v>1</v>
          </cell>
          <cell r="EV10">
            <v>1</v>
          </cell>
          <cell r="EW10">
            <v>1</v>
          </cell>
          <cell r="EX10">
            <v>1</v>
          </cell>
          <cell r="EY10">
            <v>1</v>
          </cell>
          <cell r="EZ10">
            <v>1</v>
          </cell>
          <cell r="FA10">
            <v>1</v>
          </cell>
          <cell r="FB10">
            <v>1</v>
          </cell>
          <cell r="FC10">
            <v>1</v>
          </cell>
          <cell r="FD10">
            <v>1</v>
          </cell>
          <cell r="FE10">
            <v>1</v>
          </cell>
          <cell r="FF10">
            <v>1</v>
          </cell>
          <cell r="FG10">
            <v>1</v>
          </cell>
          <cell r="FH10">
            <v>1</v>
          </cell>
          <cell r="FI10">
            <v>1</v>
          </cell>
          <cell r="FJ10">
            <v>1</v>
          </cell>
          <cell r="FK10">
            <v>1</v>
          </cell>
          <cell r="FL10">
            <v>1</v>
          </cell>
          <cell r="FM10">
            <v>1</v>
          </cell>
          <cell r="FN10">
            <v>1</v>
          </cell>
          <cell r="FO10">
            <v>1</v>
          </cell>
          <cell r="FP10">
            <v>1</v>
          </cell>
          <cell r="FQ10">
            <v>1</v>
          </cell>
          <cell r="FR10">
            <v>1</v>
          </cell>
          <cell r="FS10">
            <v>1</v>
          </cell>
          <cell r="FT10">
            <v>1</v>
          </cell>
          <cell r="FU10">
            <v>1</v>
          </cell>
          <cell r="FV10">
            <v>1</v>
          </cell>
          <cell r="FW10">
            <v>1</v>
          </cell>
          <cell r="FX10">
            <v>1</v>
          </cell>
          <cell r="FY10">
            <v>1</v>
          </cell>
          <cell r="FZ10">
            <v>1</v>
          </cell>
          <cell r="GA10">
            <v>1</v>
          </cell>
          <cell r="GB10">
            <v>1</v>
          </cell>
          <cell r="GC10">
            <v>1</v>
          </cell>
          <cell r="GD10">
            <v>1</v>
          </cell>
          <cell r="GE10">
            <v>1</v>
          </cell>
          <cell r="GF10">
            <v>1</v>
          </cell>
          <cell r="GG10">
            <v>1</v>
          </cell>
          <cell r="GH10">
            <v>1</v>
          </cell>
          <cell r="GI10">
            <v>1</v>
          </cell>
          <cell r="GJ10">
            <v>1</v>
          </cell>
          <cell r="GK10">
            <v>1</v>
          </cell>
          <cell r="GL10">
            <v>1</v>
          </cell>
          <cell r="GM10">
            <v>1</v>
          </cell>
          <cell r="GN10">
            <v>1</v>
          </cell>
          <cell r="GO10">
            <v>1</v>
          </cell>
          <cell r="GP10">
            <v>1</v>
          </cell>
          <cell r="GQ10">
            <v>1</v>
          </cell>
          <cell r="GR10">
            <v>1</v>
          </cell>
          <cell r="GS10">
            <v>1</v>
          </cell>
          <cell r="GT10">
            <v>1</v>
          </cell>
          <cell r="GU10">
            <v>1</v>
          </cell>
          <cell r="GV10">
            <v>1</v>
          </cell>
          <cell r="GW10">
            <v>1</v>
          </cell>
          <cell r="GX10">
            <v>1</v>
          </cell>
        </row>
        <row r="11">
          <cell r="A11" t="str">
            <v>Capex inflator</v>
          </cell>
          <cell r="B11" t="str">
            <v>%</v>
          </cell>
          <cell r="D11">
            <v>0</v>
          </cell>
          <cell r="E11">
            <v>0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  <cell r="J11">
            <v>1</v>
          </cell>
          <cell r="K11">
            <v>1</v>
          </cell>
          <cell r="L11">
            <v>1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1</v>
          </cell>
          <cell r="S11">
            <v>1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  <cell r="X11">
            <v>1</v>
          </cell>
          <cell r="Y11">
            <v>1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</v>
          </cell>
          <cell r="AI11">
            <v>1</v>
          </cell>
          <cell r="AJ11">
            <v>1</v>
          </cell>
          <cell r="AK11">
            <v>1</v>
          </cell>
          <cell r="AL11">
            <v>1</v>
          </cell>
          <cell r="AM11">
            <v>1</v>
          </cell>
          <cell r="AN11">
            <v>1</v>
          </cell>
          <cell r="AO11">
            <v>1</v>
          </cell>
          <cell r="AP11">
            <v>1</v>
          </cell>
          <cell r="AQ11">
            <v>1</v>
          </cell>
          <cell r="AR11">
            <v>1</v>
          </cell>
          <cell r="AS11">
            <v>1</v>
          </cell>
          <cell r="AT11">
            <v>1</v>
          </cell>
          <cell r="AU11">
            <v>1</v>
          </cell>
          <cell r="AV11">
            <v>1</v>
          </cell>
          <cell r="AW11">
            <v>1</v>
          </cell>
          <cell r="AX11">
            <v>1</v>
          </cell>
          <cell r="AY11">
            <v>1</v>
          </cell>
          <cell r="AZ11">
            <v>1</v>
          </cell>
          <cell r="BA11">
            <v>1</v>
          </cell>
          <cell r="BK11">
            <v>1</v>
          </cell>
          <cell r="BL11">
            <v>1</v>
          </cell>
          <cell r="BM11">
            <v>1</v>
          </cell>
          <cell r="BN11">
            <v>1</v>
          </cell>
          <cell r="BO11">
            <v>1</v>
          </cell>
          <cell r="BP11">
            <v>1</v>
          </cell>
          <cell r="BQ11">
            <v>1</v>
          </cell>
          <cell r="BR11">
            <v>1</v>
          </cell>
          <cell r="BS11">
            <v>1</v>
          </cell>
          <cell r="BT11">
            <v>1</v>
          </cell>
          <cell r="BU11">
            <v>1</v>
          </cell>
          <cell r="BV11">
            <v>1</v>
          </cell>
          <cell r="BW11">
            <v>1</v>
          </cell>
          <cell r="BX11">
            <v>1</v>
          </cell>
          <cell r="BY11">
            <v>1</v>
          </cell>
          <cell r="BZ11">
            <v>1</v>
          </cell>
          <cell r="CA11">
            <v>1</v>
          </cell>
          <cell r="CB11">
            <v>1</v>
          </cell>
          <cell r="CC11">
            <v>1</v>
          </cell>
          <cell r="CD11">
            <v>1</v>
          </cell>
          <cell r="CE11">
            <v>1</v>
          </cell>
          <cell r="CF11">
            <v>1</v>
          </cell>
          <cell r="CG11">
            <v>1</v>
          </cell>
          <cell r="CH11">
            <v>1</v>
          </cell>
          <cell r="CI11">
            <v>1</v>
          </cell>
          <cell r="CJ11">
            <v>1</v>
          </cell>
          <cell r="CK11">
            <v>1</v>
          </cell>
          <cell r="CL11">
            <v>1</v>
          </cell>
          <cell r="CM11">
            <v>1</v>
          </cell>
          <cell r="CN11">
            <v>1</v>
          </cell>
          <cell r="CO11">
            <v>1</v>
          </cell>
          <cell r="CP11">
            <v>1</v>
          </cell>
          <cell r="CQ11">
            <v>1</v>
          </cell>
          <cell r="CR11">
            <v>1</v>
          </cell>
          <cell r="CS11">
            <v>1</v>
          </cell>
          <cell r="CT11">
            <v>1</v>
          </cell>
          <cell r="CU11">
            <v>1</v>
          </cell>
          <cell r="CV11">
            <v>1</v>
          </cell>
          <cell r="CW11">
            <v>1</v>
          </cell>
          <cell r="CX11">
            <v>1</v>
          </cell>
          <cell r="CY11">
            <v>1</v>
          </cell>
          <cell r="CZ11">
            <v>1</v>
          </cell>
          <cell r="DA11">
            <v>1</v>
          </cell>
          <cell r="DB11">
            <v>1</v>
          </cell>
          <cell r="DC11">
            <v>1</v>
          </cell>
          <cell r="DD11">
            <v>1</v>
          </cell>
          <cell r="DE11">
            <v>1</v>
          </cell>
          <cell r="DF11">
            <v>1</v>
          </cell>
          <cell r="DG11">
            <v>1</v>
          </cell>
          <cell r="DH11">
            <v>1</v>
          </cell>
          <cell r="DI11">
            <v>1</v>
          </cell>
          <cell r="DJ11">
            <v>1</v>
          </cell>
          <cell r="DK11">
            <v>1</v>
          </cell>
          <cell r="DL11">
            <v>1</v>
          </cell>
          <cell r="DM11">
            <v>1</v>
          </cell>
          <cell r="DN11">
            <v>1</v>
          </cell>
          <cell r="DO11">
            <v>1</v>
          </cell>
          <cell r="DP11">
            <v>1</v>
          </cell>
          <cell r="DQ11">
            <v>1</v>
          </cell>
          <cell r="DR11">
            <v>1</v>
          </cell>
          <cell r="DS11">
            <v>1</v>
          </cell>
          <cell r="DT11">
            <v>1</v>
          </cell>
          <cell r="DU11">
            <v>1</v>
          </cell>
          <cell r="DV11">
            <v>1</v>
          </cell>
          <cell r="DW11">
            <v>1</v>
          </cell>
          <cell r="DX11">
            <v>1</v>
          </cell>
          <cell r="DY11">
            <v>1</v>
          </cell>
          <cell r="DZ11">
            <v>1</v>
          </cell>
          <cell r="EA11">
            <v>1</v>
          </cell>
          <cell r="EB11">
            <v>1</v>
          </cell>
          <cell r="EC11">
            <v>1</v>
          </cell>
          <cell r="ED11">
            <v>1</v>
          </cell>
          <cell r="EE11">
            <v>1</v>
          </cell>
          <cell r="EF11">
            <v>1</v>
          </cell>
          <cell r="EG11">
            <v>1</v>
          </cell>
          <cell r="EH11">
            <v>1</v>
          </cell>
          <cell r="EI11">
            <v>1</v>
          </cell>
          <cell r="EJ11">
            <v>1</v>
          </cell>
          <cell r="EK11">
            <v>1</v>
          </cell>
          <cell r="EL11">
            <v>1</v>
          </cell>
          <cell r="EM11">
            <v>1</v>
          </cell>
          <cell r="EN11">
            <v>1</v>
          </cell>
          <cell r="EO11">
            <v>1</v>
          </cell>
          <cell r="EP11">
            <v>1</v>
          </cell>
          <cell r="EQ11">
            <v>1</v>
          </cell>
          <cell r="ER11">
            <v>1</v>
          </cell>
          <cell r="ES11">
            <v>1</v>
          </cell>
          <cell r="ET11">
            <v>1</v>
          </cell>
          <cell r="EU11">
            <v>1</v>
          </cell>
          <cell r="EV11">
            <v>1</v>
          </cell>
          <cell r="EW11">
            <v>1</v>
          </cell>
          <cell r="EX11">
            <v>1</v>
          </cell>
          <cell r="EY11">
            <v>1</v>
          </cell>
          <cell r="EZ11">
            <v>1</v>
          </cell>
          <cell r="FA11">
            <v>1</v>
          </cell>
          <cell r="FB11">
            <v>1</v>
          </cell>
          <cell r="FC11">
            <v>1</v>
          </cell>
          <cell r="FD11">
            <v>1</v>
          </cell>
          <cell r="FE11">
            <v>1</v>
          </cell>
          <cell r="FF11">
            <v>1</v>
          </cell>
          <cell r="FG11">
            <v>1</v>
          </cell>
          <cell r="FH11">
            <v>1</v>
          </cell>
          <cell r="FI11">
            <v>1</v>
          </cell>
          <cell r="FJ11">
            <v>1</v>
          </cell>
          <cell r="FK11">
            <v>1</v>
          </cell>
          <cell r="FL11">
            <v>1</v>
          </cell>
          <cell r="FM11">
            <v>1</v>
          </cell>
          <cell r="FN11">
            <v>1</v>
          </cell>
          <cell r="FO11">
            <v>1</v>
          </cell>
          <cell r="FP11">
            <v>1</v>
          </cell>
          <cell r="FQ11">
            <v>1</v>
          </cell>
          <cell r="FR11">
            <v>1</v>
          </cell>
          <cell r="FS11">
            <v>1</v>
          </cell>
          <cell r="FT11">
            <v>1</v>
          </cell>
          <cell r="FU11">
            <v>1</v>
          </cell>
          <cell r="FV11">
            <v>1</v>
          </cell>
          <cell r="FW11">
            <v>1</v>
          </cell>
          <cell r="FX11">
            <v>1</v>
          </cell>
          <cell r="FY11">
            <v>1</v>
          </cell>
          <cell r="FZ11">
            <v>1</v>
          </cell>
          <cell r="GA11">
            <v>1</v>
          </cell>
          <cell r="GB11">
            <v>1</v>
          </cell>
          <cell r="GC11">
            <v>1</v>
          </cell>
          <cell r="GD11">
            <v>1</v>
          </cell>
          <cell r="GE11">
            <v>1</v>
          </cell>
          <cell r="GF11">
            <v>1</v>
          </cell>
          <cell r="GG11">
            <v>1</v>
          </cell>
          <cell r="GH11">
            <v>1</v>
          </cell>
          <cell r="GI11">
            <v>1</v>
          </cell>
          <cell r="GJ11">
            <v>1</v>
          </cell>
          <cell r="GK11">
            <v>1</v>
          </cell>
          <cell r="GL11">
            <v>1</v>
          </cell>
          <cell r="GM11">
            <v>1</v>
          </cell>
          <cell r="GN11">
            <v>1</v>
          </cell>
          <cell r="GO11">
            <v>1</v>
          </cell>
          <cell r="GP11">
            <v>1</v>
          </cell>
          <cell r="GQ11">
            <v>1</v>
          </cell>
          <cell r="GR11">
            <v>1</v>
          </cell>
          <cell r="GS11">
            <v>1</v>
          </cell>
          <cell r="GT11">
            <v>1</v>
          </cell>
          <cell r="GU11">
            <v>1</v>
          </cell>
          <cell r="GV11">
            <v>1</v>
          </cell>
          <cell r="GW11">
            <v>1</v>
          </cell>
          <cell r="GX11">
            <v>1</v>
          </cell>
        </row>
        <row r="13">
          <cell r="A13" t="str">
            <v>Reserves &amp; Resources</v>
          </cell>
          <cell r="B13" t="str">
            <v>.</v>
          </cell>
          <cell r="C13" t="str">
            <v>.</v>
          </cell>
          <cell r="D13" t="str">
            <v>.</v>
          </cell>
          <cell r="E13" t="str">
            <v>.</v>
          </cell>
          <cell r="F13" t="str">
            <v>.</v>
          </cell>
          <cell r="G13" t="str">
            <v>.</v>
          </cell>
          <cell r="H13" t="str">
            <v>.</v>
          </cell>
          <cell r="I13" t="str">
            <v>.</v>
          </cell>
          <cell r="J13" t="str">
            <v>.</v>
          </cell>
          <cell r="K13" t="str">
            <v>.</v>
          </cell>
          <cell r="L13" t="str">
            <v>.</v>
          </cell>
          <cell r="M13" t="str">
            <v>.</v>
          </cell>
          <cell r="N13" t="str">
            <v>.</v>
          </cell>
          <cell r="O13" t="str">
            <v>.</v>
          </cell>
          <cell r="P13" t="str">
            <v>.</v>
          </cell>
          <cell r="Q13" t="str">
            <v>.</v>
          </cell>
          <cell r="R13" t="str">
            <v>.</v>
          </cell>
          <cell r="S13" t="str">
            <v>.</v>
          </cell>
          <cell r="T13" t="str">
            <v>.</v>
          </cell>
          <cell r="U13" t="str">
            <v>.</v>
          </cell>
          <cell r="V13" t="str">
            <v>.</v>
          </cell>
          <cell r="W13" t="str">
            <v>.</v>
          </cell>
          <cell r="X13" t="str">
            <v>.</v>
          </cell>
          <cell r="Y13" t="str">
            <v>.</v>
          </cell>
          <cell r="Z13" t="str">
            <v>.</v>
          </cell>
          <cell r="AA13" t="str">
            <v>.</v>
          </cell>
          <cell r="AB13" t="str">
            <v>.</v>
          </cell>
          <cell r="AC13" t="str">
            <v>.</v>
          </cell>
          <cell r="AD13" t="str">
            <v>.</v>
          </cell>
          <cell r="AE13" t="str">
            <v>.</v>
          </cell>
          <cell r="AF13" t="str">
            <v>.</v>
          </cell>
          <cell r="AG13" t="str">
            <v>.</v>
          </cell>
          <cell r="AH13" t="str">
            <v>.</v>
          </cell>
          <cell r="AI13" t="str">
            <v>.</v>
          </cell>
          <cell r="AJ13" t="str">
            <v>.</v>
          </cell>
          <cell r="AK13" t="str">
            <v>.</v>
          </cell>
          <cell r="AL13" t="str">
            <v>.</v>
          </cell>
          <cell r="AM13" t="str">
            <v>.</v>
          </cell>
          <cell r="AN13" t="str">
            <v>.</v>
          </cell>
          <cell r="AO13" t="str">
            <v>.</v>
          </cell>
          <cell r="AP13" t="str">
            <v>.</v>
          </cell>
          <cell r="AQ13" t="str">
            <v>.</v>
          </cell>
          <cell r="AR13" t="str">
            <v>.</v>
          </cell>
          <cell r="AS13" t="str">
            <v>.</v>
          </cell>
          <cell r="AT13" t="str">
            <v>.</v>
          </cell>
          <cell r="AU13" t="str">
            <v>.</v>
          </cell>
          <cell r="AV13" t="str">
            <v>.</v>
          </cell>
          <cell r="AW13" t="str">
            <v>.</v>
          </cell>
          <cell r="AX13" t="str">
            <v>.</v>
          </cell>
          <cell r="AY13" t="str">
            <v>.</v>
          </cell>
          <cell r="AZ13" t="str">
            <v>.</v>
          </cell>
          <cell r="BA13" t="str">
            <v>.</v>
          </cell>
          <cell r="BB13" t="str">
            <v>.</v>
          </cell>
          <cell r="BC13" t="str">
            <v>.</v>
          </cell>
          <cell r="BE13" t="str">
            <v>.</v>
          </cell>
          <cell r="BF13" t="str">
            <v>.</v>
          </cell>
          <cell r="BG13" t="str">
            <v>.</v>
          </cell>
          <cell r="BH13" t="str">
            <v>.</v>
          </cell>
          <cell r="BI13" t="str">
            <v>.</v>
          </cell>
          <cell r="BJ13" t="str">
            <v>.</v>
          </cell>
          <cell r="BK13" t="str">
            <v>.</v>
          </cell>
          <cell r="BL13" t="str">
            <v>.</v>
          </cell>
          <cell r="BM13" t="str">
            <v>.</v>
          </cell>
          <cell r="BN13" t="str">
            <v>.</v>
          </cell>
          <cell r="BO13" t="str">
            <v>.</v>
          </cell>
          <cell r="BP13" t="str">
            <v>.</v>
          </cell>
          <cell r="BQ13" t="str">
            <v>.</v>
          </cell>
          <cell r="BR13" t="str">
            <v>.</v>
          </cell>
          <cell r="BS13" t="str">
            <v>.</v>
          </cell>
          <cell r="BT13" t="str">
            <v>.</v>
          </cell>
          <cell r="BU13" t="str">
            <v>.</v>
          </cell>
          <cell r="BV13" t="str">
            <v>.</v>
          </cell>
          <cell r="BW13" t="str">
            <v>.</v>
          </cell>
          <cell r="BX13" t="str">
            <v>.</v>
          </cell>
          <cell r="BY13" t="str">
            <v>.</v>
          </cell>
          <cell r="BZ13" t="str">
            <v>.</v>
          </cell>
          <cell r="CA13" t="str">
            <v>.</v>
          </cell>
          <cell r="CB13" t="str">
            <v>.</v>
          </cell>
          <cell r="CC13" t="str">
            <v>.</v>
          </cell>
          <cell r="CD13" t="str">
            <v>.</v>
          </cell>
          <cell r="CE13" t="str">
            <v>.</v>
          </cell>
          <cell r="CF13" t="str">
            <v>.</v>
          </cell>
          <cell r="CG13" t="str">
            <v>.</v>
          </cell>
          <cell r="CH13" t="str">
            <v>.</v>
          </cell>
          <cell r="CI13" t="str">
            <v>.</v>
          </cell>
          <cell r="CJ13" t="str">
            <v>.</v>
          </cell>
          <cell r="CK13" t="str">
            <v>.</v>
          </cell>
          <cell r="CL13" t="str">
            <v>.</v>
          </cell>
          <cell r="CM13" t="str">
            <v>.</v>
          </cell>
          <cell r="CN13" t="str">
            <v>.</v>
          </cell>
          <cell r="CO13" t="str">
            <v>.</v>
          </cell>
          <cell r="CP13" t="str">
            <v>.</v>
          </cell>
          <cell r="CQ13" t="str">
            <v>.</v>
          </cell>
          <cell r="CR13" t="str">
            <v>.</v>
          </cell>
          <cell r="CS13" t="str">
            <v>.</v>
          </cell>
          <cell r="CT13" t="str">
            <v>.</v>
          </cell>
          <cell r="CU13" t="str">
            <v>.</v>
          </cell>
          <cell r="CV13" t="str">
            <v>.</v>
          </cell>
          <cell r="CW13" t="str">
            <v>.</v>
          </cell>
          <cell r="CX13" t="str">
            <v>.</v>
          </cell>
          <cell r="CY13" t="str">
            <v>.</v>
          </cell>
          <cell r="CZ13" t="str">
            <v>.</v>
          </cell>
          <cell r="DA13" t="str">
            <v>.</v>
          </cell>
          <cell r="DB13" t="str">
            <v>.</v>
          </cell>
          <cell r="DC13" t="str">
            <v>.</v>
          </cell>
          <cell r="DD13" t="str">
            <v>.</v>
          </cell>
          <cell r="DE13" t="str">
            <v>.</v>
          </cell>
          <cell r="DF13" t="str">
            <v>.</v>
          </cell>
          <cell r="DG13" t="str">
            <v>.</v>
          </cell>
          <cell r="DH13" t="str">
            <v>.</v>
          </cell>
          <cell r="DI13" t="str">
            <v>.</v>
          </cell>
          <cell r="DJ13" t="str">
            <v>.</v>
          </cell>
          <cell r="DK13" t="str">
            <v>.</v>
          </cell>
          <cell r="DL13" t="str">
            <v>.</v>
          </cell>
          <cell r="DM13" t="str">
            <v>.</v>
          </cell>
          <cell r="DN13" t="str">
            <v>.</v>
          </cell>
          <cell r="DO13" t="str">
            <v>.</v>
          </cell>
          <cell r="DP13" t="str">
            <v>.</v>
          </cell>
          <cell r="DQ13" t="str">
            <v>.</v>
          </cell>
          <cell r="DR13" t="str">
            <v>.</v>
          </cell>
          <cell r="DS13" t="str">
            <v>.</v>
          </cell>
          <cell r="DT13" t="str">
            <v>.</v>
          </cell>
          <cell r="DU13" t="str">
            <v>.</v>
          </cell>
          <cell r="DV13" t="str">
            <v>.</v>
          </cell>
          <cell r="DW13" t="str">
            <v>.</v>
          </cell>
          <cell r="DX13" t="str">
            <v>.</v>
          </cell>
          <cell r="DY13" t="str">
            <v>.</v>
          </cell>
          <cell r="DZ13" t="str">
            <v>.</v>
          </cell>
          <cell r="EA13" t="str">
            <v>.</v>
          </cell>
          <cell r="EB13" t="str">
            <v>.</v>
          </cell>
          <cell r="EC13" t="str">
            <v>.</v>
          </cell>
          <cell r="ED13" t="str">
            <v>.</v>
          </cell>
          <cell r="EE13" t="str">
            <v>.</v>
          </cell>
          <cell r="EF13" t="str">
            <v>.</v>
          </cell>
          <cell r="EG13" t="str">
            <v>.</v>
          </cell>
          <cell r="EH13" t="str">
            <v>.</v>
          </cell>
          <cell r="EI13" t="str">
            <v>.</v>
          </cell>
          <cell r="EJ13" t="str">
            <v>.</v>
          </cell>
          <cell r="EK13" t="str">
            <v>.</v>
          </cell>
          <cell r="EL13" t="str">
            <v>.</v>
          </cell>
          <cell r="EM13" t="str">
            <v>.</v>
          </cell>
          <cell r="EN13" t="str">
            <v>.</v>
          </cell>
          <cell r="EO13" t="str">
            <v>.</v>
          </cell>
          <cell r="EP13" t="str">
            <v>.</v>
          </cell>
          <cell r="EQ13" t="str">
            <v>.</v>
          </cell>
          <cell r="ER13" t="str">
            <v>.</v>
          </cell>
          <cell r="ES13" t="str">
            <v>.</v>
          </cell>
          <cell r="ET13" t="str">
            <v>.</v>
          </cell>
          <cell r="EU13" t="str">
            <v>.</v>
          </cell>
          <cell r="EV13" t="str">
            <v>.</v>
          </cell>
          <cell r="EW13" t="str">
            <v>.</v>
          </cell>
          <cell r="EX13" t="str">
            <v>.</v>
          </cell>
          <cell r="EY13" t="str">
            <v>.</v>
          </cell>
          <cell r="EZ13" t="str">
            <v>.</v>
          </cell>
          <cell r="FA13" t="str">
            <v>.</v>
          </cell>
          <cell r="FB13" t="str">
            <v>.</v>
          </cell>
          <cell r="FC13" t="str">
            <v>.</v>
          </cell>
          <cell r="FD13" t="str">
            <v>.</v>
          </cell>
          <cell r="FE13" t="str">
            <v>.</v>
          </cell>
          <cell r="FF13" t="str">
            <v>.</v>
          </cell>
          <cell r="FG13" t="str">
            <v>.</v>
          </cell>
          <cell r="FH13" t="str">
            <v>.</v>
          </cell>
          <cell r="FI13" t="str">
            <v>.</v>
          </cell>
          <cell r="FJ13" t="str">
            <v>.</v>
          </cell>
          <cell r="FK13" t="str">
            <v>.</v>
          </cell>
          <cell r="FL13" t="str">
            <v>.</v>
          </cell>
          <cell r="FM13" t="str">
            <v>.</v>
          </cell>
          <cell r="FN13" t="str">
            <v>.</v>
          </cell>
          <cell r="FO13" t="str">
            <v>.</v>
          </cell>
          <cell r="FP13" t="str">
            <v>.</v>
          </cell>
          <cell r="FQ13" t="str">
            <v>.</v>
          </cell>
          <cell r="FR13" t="str">
            <v>.</v>
          </cell>
          <cell r="FS13" t="str">
            <v>.</v>
          </cell>
          <cell r="FT13" t="str">
            <v>.</v>
          </cell>
          <cell r="FU13" t="str">
            <v>.</v>
          </cell>
          <cell r="FV13" t="str">
            <v>.</v>
          </cell>
          <cell r="FW13" t="str">
            <v>.</v>
          </cell>
          <cell r="FX13" t="str">
            <v>.</v>
          </cell>
          <cell r="FY13" t="str">
            <v>.</v>
          </cell>
          <cell r="FZ13" t="str">
            <v>.</v>
          </cell>
          <cell r="GA13" t="str">
            <v>.</v>
          </cell>
          <cell r="GB13" t="str">
            <v>.</v>
          </cell>
          <cell r="GC13" t="str">
            <v>.</v>
          </cell>
          <cell r="GD13" t="str">
            <v>.</v>
          </cell>
          <cell r="GE13" t="str">
            <v>.</v>
          </cell>
          <cell r="GF13" t="str">
            <v>.</v>
          </cell>
          <cell r="GG13" t="str">
            <v>.</v>
          </cell>
          <cell r="GH13" t="str">
            <v>.</v>
          </cell>
          <cell r="GI13" t="str">
            <v>.</v>
          </cell>
          <cell r="GJ13" t="str">
            <v>.</v>
          </cell>
          <cell r="GK13" t="str">
            <v>.</v>
          </cell>
          <cell r="GL13" t="str">
            <v>.</v>
          </cell>
          <cell r="GM13" t="str">
            <v>.</v>
          </cell>
          <cell r="GN13" t="str">
            <v>.</v>
          </cell>
          <cell r="GO13" t="str">
            <v>.</v>
          </cell>
          <cell r="GP13" t="str">
            <v>.</v>
          </cell>
          <cell r="GQ13" t="str">
            <v>.</v>
          </cell>
          <cell r="GR13" t="str">
            <v>.</v>
          </cell>
          <cell r="GS13" t="str">
            <v>.</v>
          </cell>
          <cell r="GT13" t="str">
            <v>.</v>
          </cell>
          <cell r="GU13" t="str">
            <v>.</v>
          </cell>
          <cell r="GV13" t="str">
            <v>.</v>
          </cell>
          <cell r="GW13" t="str">
            <v>.</v>
          </cell>
          <cell r="GX13" t="str">
            <v>.</v>
          </cell>
        </row>
        <row r="14">
          <cell r="A14" t="str">
            <v>Proved and Provable</v>
          </cell>
          <cell r="B14" t="str">
            <v>Mt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CI14">
            <v>0</v>
          </cell>
          <cell r="CJ14">
            <v>0</v>
          </cell>
          <cell r="CK14">
            <v>0</v>
          </cell>
          <cell r="CL14">
            <v>0</v>
          </cell>
          <cell r="CM14">
            <v>0</v>
          </cell>
          <cell r="CN14">
            <v>0</v>
          </cell>
          <cell r="CO14">
            <v>0</v>
          </cell>
          <cell r="CP14">
            <v>0</v>
          </cell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0</v>
          </cell>
          <cell r="CZ14">
            <v>0</v>
          </cell>
          <cell r="DA14">
            <v>0</v>
          </cell>
          <cell r="DB14">
            <v>0</v>
          </cell>
          <cell r="DC14">
            <v>0</v>
          </cell>
          <cell r="DD14">
            <v>0</v>
          </cell>
          <cell r="DE14">
            <v>0</v>
          </cell>
          <cell r="DF14">
            <v>0</v>
          </cell>
          <cell r="DG14">
            <v>0</v>
          </cell>
          <cell r="DH14">
            <v>0</v>
          </cell>
          <cell r="DI14">
            <v>0</v>
          </cell>
          <cell r="DJ14">
            <v>0</v>
          </cell>
          <cell r="DK14">
            <v>0</v>
          </cell>
          <cell r="DL14">
            <v>0</v>
          </cell>
          <cell r="DM14">
            <v>0</v>
          </cell>
          <cell r="DN14">
            <v>0</v>
          </cell>
          <cell r="DO14">
            <v>0</v>
          </cell>
        </row>
        <row r="15">
          <cell r="A15" t="str">
            <v>Gold grade</v>
          </cell>
          <cell r="B15" t="str">
            <v>g/t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</row>
        <row r="16">
          <cell r="A16" t="str">
            <v>Gold contained</v>
          </cell>
          <cell r="B16" t="str">
            <v>Moz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</row>
        <row r="18">
          <cell r="A18" t="str">
            <v>Measured &amp; Indicated</v>
          </cell>
          <cell r="B18" t="str">
            <v>Mt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18.313000000000002</v>
          </cell>
          <cell r="O18">
            <v>16.813000000000002</v>
          </cell>
          <cell r="P18">
            <v>14.063000000000002</v>
          </cell>
          <cell r="Q18">
            <v>11.063000000000002</v>
          </cell>
          <cell r="R18">
            <v>7.8630000000000031</v>
          </cell>
          <cell r="S18">
            <v>4.6630000000000038</v>
          </cell>
          <cell r="T18">
            <v>1.4630000000000036</v>
          </cell>
          <cell r="U18">
            <v>-1.7369999999999965</v>
          </cell>
          <cell r="V18">
            <v>-4.9369999999999967</v>
          </cell>
          <cell r="W18">
            <v>-8.1369999999999969</v>
          </cell>
          <cell r="X18">
            <v>-10.636999999999997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CI18">
            <v>18.579000000000001</v>
          </cell>
          <cell r="CJ18">
            <v>18.313000000000002</v>
          </cell>
          <cell r="CK18">
            <v>18.313000000000002</v>
          </cell>
          <cell r="CL18">
            <v>17.613000000000003</v>
          </cell>
          <cell r="CM18">
            <v>16.813000000000002</v>
          </cell>
          <cell r="CN18">
            <v>16.813000000000002</v>
          </cell>
          <cell r="CO18">
            <v>15.563000000000002</v>
          </cell>
          <cell r="CP18">
            <v>14.063000000000002</v>
          </cell>
          <cell r="CQ18">
            <v>14.063000000000002</v>
          </cell>
          <cell r="CR18">
            <v>12.563000000000002</v>
          </cell>
          <cell r="CS18">
            <v>11.063000000000002</v>
          </cell>
          <cell r="CT18">
            <v>11.063000000000002</v>
          </cell>
          <cell r="CU18">
            <v>9.4630000000000027</v>
          </cell>
          <cell r="CV18">
            <v>7.8630000000000031</v>
          </cell>
          <cell r="CW18">
            <v>7.8630000000000031</v>
          </cell>
          <cell r="CX18">
            <v>6.2630000000000035</v>
          </cell>
          <cell r="CY18">
            <v>4.6630000000000038</v>
          </cell>
          <cell r="CZ18">
            <v>4.6630000000000038</v>
          </cell>
          <cell r="DA18">
            <v>3.0630000000000037</v>
          </cell>
          <cell r="DB18">
            <v>1.4630000000000036</v>
          </cell>
          <cell r="DC18">
            <v>1.4630000000000036</v>
          </cell>
          <cell r="DD18">
            <v>-0.13699999999999646</v>
          </cell>
          <cell r="DE18">
            <v>-1.7369999999999965</v>
          </cell>
          <cell r="DF18">
            <v>-1.7369999999999965</v>
          </cell>
          <cell r="DG18">
            <v>-3.3369999999999966</v>
          </cell>
          <cell r="DH18">
            <v>-4.9369999999999967</v>
          </cell>
          <cell r="DI18">
            <v>-4.9369999999999967</v>
          </cell>
          <cell r="DJ18">
            <v>-6.5369999999999973</v>
          </cell>
          <cell r="DK18">
            <v>-8.1369999999999969</v>
          </cell>
          <cell r="DL18">
            <v>-8.1369999999999969</v>
          </cell>
          <cell r="DM18">
            <v>-9.6369999999999969</v>
          </cell>
          <cell r="DN18">
            <v>-10.636999999999997</v>
          </cell>
          <cell r="DO18">
            <v>-10.636999999999997</v>
          </cell>
        </row>
        <row r="19">
          <cell r="A19" t="str">
            <v>Gold grade</v>
          </cell>
          <cell r="B19" t="str">
            <v>g/t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1.7400561159926777</v>
          </cell>
          <cell r="O19">
            <v>1.6930476627097208</v>
          </cell>
          <cell r="P19">
            <v>1.5938585094283086</v>
          </cell>
          <cell r="Q19">
            <v>1.4565327604357983</v>
          </cell>
          <cell r="R19">
            <v>1.2352535644888509</v>
          </cell>
          <cell r="S19">
            <v>0.71026712984139728</v>
          </cell>
          <cell r="T19">
            <v>-2.1113106798871879</v>
          </cell>
          <cell r="U19">
            <v>5.4632531236617066</v>
          </cell>
          <cell r="V19">
            <v>3.2186538033068213</v>
          </cell>
          <cell r="W19">
            <v>2.7395006732273783</v>
          </cell>
          <cell r="X19">
            <v>2.5657572684843375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CI19">
            <v>1.7431185747349156</v>
          </cell>
          <cell r="CJ19">
            <v>1.7400561159926777</v>
          </cell>
          <cell r="CK19">
            <v>1.7400561159926777</v>
          </cell>
          <cell r="CL19">
            <v>1.7297148462990533</v>
          </cell>
          <cell r="CM19">
            <v>1.6930476627097208</v>
          </cell>
          <cell r="CN19">
            <v>1.6930476627097208</v>
          </cell>
          <cell r="CO19">
            <v>1.652307180838485</v>
          </cell>
          <cell r="CP19">
            <v>1.5938585094283086</v>
          </cell>
          <cell r="CQ19">
            <v>1.5938585094283086</v>
          </cell>
          <cell r="CR19">
            <v>1.5214525018539575</v>
          </cell>
          <cell r="CS19">
            <v>1.4565327604357983</v>
          </cell>
          <cell r="CT19">
            <v>1.4565327604357983</v>
          </cell>
          <cell r="CU19">
            <v>1.3646000584527673</v>
          </cell>
          <cell r="CV19">
            <v>1.2352535644888509</v>
          </cell>
          <cell r="CW19">
            <v>1.2352535644888509</v>
          </cell>
          <cell r="CX19">
            <v>1.0398191285347493</v>
          </cell>
          <cell r="CY19">
            <v>0.71026712984139728</v>
          </cell>
          <cell r="CZ19">
            <v>0.71026712984139728</v>
          </cell>
          <cell r="DA19">
            <v>3.6423131207227309E-2</v>
          </cell>
          <cell r="DB19">
            <v>-2.1113106798871879</v>
          </cell>
          <cell r="DC19">
            <v>-2.1113106798871879</v>
          </cell>
          <cell r="DD19">
            <v>45.907000731662968</v>
          </cell>
          <cell r="DE19">
            <v>5.4632531236617066</v>
          </cell>
          <cell r="DF19">
            <v>5.4632531236617066</v>
          </cell>
          <cell r="DG19">
            <v>3.8028415497042496</v>
          </cell>
          <cell r="DH19">
            <v>3.2186538033068213</v>
          </cell>
          <cell r="DI19">
            <v>3.2186538033068213</v>
          </cell>
          <cell r="DJ19">
            <v>2.9204383360086394</v>
          </cell>
          <cell r="DK19">
            <v>2.7395006732273783</v>
          </cell>
          <cell r="DL19">
            <v>2.7395006732273783</v>
          </cell>
          <cell r="DM19">
            <v>2.6244373591513135</v>
          </cell>
          <cell r="DN19">
            <v>2.5657572684843375</v>
          </cell>
          <cell r="DO19">
            <v>2.5657572684843375</v>
          </cell>
        </row>
        <row r="20">
          <cell r="A20" t="str">
            <v>Gold contained</v>
          </cell>
          <cell r="B20" t="str">
            <v>Moz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1.0244871287350152</v>
          </cell>
          <cell r="O20">
            <v>0.91516236989257149</v>
          </cell>
          <cell r="P20">
            <v>0.72062860783469362</v>
          </cell>
          <cell r="Q20">
            <v>0.51805626056781251</v>
          </cell>
          <cell r="R20">
            <v>0.31226847921733025</v>
          </cell>
          <cell r="S20">
            <v>0.10648069786684794</v>
          </cell>
          <cell r="T20">
            <v>-9.9307083483634373E-2</v>
          </cell>
          <cell r="U20">
            <v>-0.30509486483411669</v>
          </cell>
          <cell r="V20">
            <v>-0.510882646184599</v>
          </cell>
          <cell r="W20">
            <v>-0.71667042753508126</v>
          </cell>
          <cell r="X20">
            <v>-0.87744213171514562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CI20">
            <v>1.0411972736625514</v>
          </cell>
          <cell r="CJ20">
            <v>1.0244871287350152</v>
          </cell>
          <cell r="CK20">
            <v>1.0244871287350152</v>
          </cell>
          <cell r="CL20">
            <v>0.97947105156459724</v>
          </cell>
          <cell r="CM20">
            <v>0.91516236989257149</v>
          </cell>
          <cell r="CN20">
            <v>0.91516236989257149</v>
          </cell>
          <cell r="CO20">
            <v>0.82673793259353612</v>
          </cell>
          <cell r="CP20">
            <v>0.72062860783469362</v>
          </cell>
          <cell r="CQ20">
            <v>0.72062860783469362</v>
          </cell>
          <cell r="CR20">
            <v>0.61451928307585113</v>
          </cell>
          <cell r="CS20">
            <v>0.51805626056781251</v>
          </cell>
          <cell r="CT20">
            <v>0.51805626056781251</v>
          </cell>
          <cell r="CU20">
            <v>0.41516236989257138</v>
          </cell>
          <cell r="CV20">
            <v>0.31226847921733025</v>
          </cell>
          <cell r="CW20">
            <v>0.31226847921733025</v>
          </cell>
          <cell r="CX20">
            <v>0.2093745885420891</v>
          </cell>
          <cell r="CY20">
            <v>0.10648069786684794</v>
          </cell>
          <cell r="CZ20">
            <v>0.10648069786684794</v>
          </cell>
          <cell r="DA20">
            <v>3.5868071916067834E-3</v>
          </cell>
          <cell r="DB20">
            <v>-9.9307083483634373E-2</v>
          </cell>
          <cell r="DC20">
            <v>-9.9307083483634373E-2</v>
          </cell>
          <cell r="DD20">
            <v>-0.20220097415887553</v>
          </cell>
          <cell r="DE20">
            <v>-0.30509486483411669</v>
          </cell>
          <cell r="DF20">
            <v>-0.30509486483411669</v>
          </cell>
          <cell r="DG20">
            <v>-0.40798875550935787</v>
          </cell>
          <cell r="DH20">
            <v>-0.510882646184599</v>
          </cell>
          <cell r="DI20">
            <v>-0.510882646184599</v>
          </cell>
          <cell r="DJ20">
            <v>-0.61377653685984013</v>
          </cell>
          <cell r="DK20">
            <v>-0.71667042753508126</v>
          </cell>
          <cell r="DL20">
            <v>-0.71667042753508126</v>
          </cell>
          <cell r="DM20">
            <v>-0.81313345004311988</v>
          </cell>
          <cell r="DN20">
            <v>-0.87744213171514562</v>
          </cell>
          <cell r="DO20">
            <v>-0.87744213171514562</v>
          </cell>
        </row>
        <row r="22">
          <cell r="A22" t="str">
            <v>Inferred Resources</v>
          </cell>
          <cell r="B22" t="str">
            <v>Mt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6</v>
          </cell>
          <cell r="O22">
            <v>6</v>
          </cell>
          <cell r="P22">
            <v>6</v>
          </cell>
          <cell r="Q22">
            <v>6</v>
          </cell>
          <cell r="R22">
            <v>6</v>
          </cell>
          <cell r="S22">
            <v>6</v>
          </cell>
          <cell r="T22">
            <v>6</v>
          </cell>
          <cell r="U22">
            <v>6</v>
          </cell>
          <cell r="V22">
            <v>6</v>
          </cell>
          <cell r="W22">
            <v>6</v>
          </cell>
          <cell r="X22">
            <v>6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CI22">
            <v>6</v>
          </cell>
          <cell r="CJ22">
            <v>6</v>
          </cell>
          <cell r="CK22">
            <v>6</v>
          </cell>
          <cell r="CL22">
            <v>6</v>
          </cell>
          <cell r="CM22">
            <v>6</v>
          </cell>
          <cell r="CN22">
            <v>6</v>
          </cell>
          <cell r="CO22">
            <v>6</v>
          </cell>
          <cell r="CP22">
            <v>6</v>
          </cell>
          <cell r="CQ22">
            <v>6</v>
          </cell>
          <cell r="CR22">
            <v>6</v>
          </cell>
          <cell r="CS22">
            <v>6</v>
          </cell>
          <cell r="CT22">
            <v>6</v>
          </cell>
          <cell r="CU22">
            <v>6</v>
          </cell>
          <cell r="CV22">
            <v>6</v>
          </cell>
          <cell r="CW22">
            <v>6</v>
          </cell>
          <cell r="CX22">
            <v>6</v>
          </cell>
          <cell r="CY22">
            <v>6</v>
          </cell>
          <cell r="CZ22">
            <v>6</v>
          </cell>
          <cell r="DA22">
            <v>6</v>
          </cell>
          <cell r="DB22">
            <v>6</v>
          </cell>
          <cell r="DC22">
            <v>6</v>
          </cell>
          <cell r="DD22">
            <v>6</v>
          </cell>
          <cell r="DE22">
            <v>6</v>
          </cell>
          <cell r="DF22">
            <v>6</v>
          </cell>
          <cell r="DG22">
            <v>6</v>
          </cell>
          <cell r="DH22">
            <v>6</v>
          </cell>
          <cell r="DI22">
            <v>6</v>
          </cell>
          <cell r="DJ22">
            <v>6</v>
          </cell>
          <cell r="DK22">
            <v>6</v>
          </cell>
          <cell r="DL22">
            <v>6</v>
          </cell>
          <cell r="DM22">
            <v>6</v>
          </cell>
          <cell r="DN22">
            <v>6</v>
          </cell>
          <cell r="DO22">
            <v>6</v>
          </cell>
        </row>
        <row r="23">
          <cell r="A23" t="str">
            <v>Gold grade</v>
          </cell>
          <cell r="B23" t="str">
            <v>g/t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1.6</v>
          </cell>
          <cell r="O23">
            <v>1.6</v>
          </cell>
          <cell r="P23">
            <v>1.6</v>
          </cell>
          <cell r="Q23">
            <v>1.6</v>
          </cell>
          <cell r="R23">
            <v>1.6</v>
          </cell>
          <cell r="S23">
            <v>1.6</v>
          </cell>
          <cell r="T23">
            <v>1.6</v>
          </cell>
          <cell r="U23">
            <v>1.6</v>
          </cell>
          <cell r="V23">
            <v>1.6</v>
          </cell>
          <cell r="W23">
            <v>1.6</v>
          </cell>
          <cell r="X23">
            <v>1.6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CI23">
            <v>1.6</v>
          </cell>
          <cell r="CJ23">
            <v>1.6</v>
          </cell>
          <cell r="CK23">
            <v>1.6</v>
          </cell>
          <cell r="CL23">
            <v>1.6</v>
          </cell>
          <cell r="CM23">
            <v>1.6</v>
          </cell>
          <cell r="CN23">
            <v>1.6</v>
          </cell>
          <cell r="CO23">
            <v>1.6</v>
          </cell>
          <cell r="CP23">
            <v>1.6</v>
          </cell>
          <cell r="CQ23">
            <v>1.6</v>
          </cell>
          <cell r="CR23">
            <v>1.6</v>
          </cell>
          <cell r="CS23">
            <v>1.6</v>
          </cell>
          <cell r="CT23">
            <v>1.6</v>
          </cell>
          <cell r="CU23">
            <v>1.6</v>
          </cell>
          <cell r="CV23">
            <v>1.6</v>
          </cell>
          <cell r="CW23">
            <v>1.6</v>
          </cell>
          <cell r="CX23">
            <v>1.6</v>
          </cell>
          <cell r="CY23">
            <v>1.6</v>
          </cell>
          <cell r="CZ23">
            <v>1.6</v>
          </cell>
          <cell r="DA23">
            <v>1.6</v>
          </cell>
          <cell r="DB23">
            <v>1.6</v>
          </cell>
          <cell r="DC23">
            <v>1.6</v>
          </cell>
          <cell r="DD23">
            <v>1.6</v>
          </cell>
          <cell r="DE23">
            <v>1.6</v>
          </cell>
          <cell r="DF23">
            <v>1.6</v>
          </cell>
          <cell r="DG23">
            <v>1.6</v>
          </cell>
          <cell r="DH23">
            <v>1.6</v>
          </cell>
          <cell r="DI23">
            <v>1.6</v>
          </cell>
          <cell r="DJ23">
            <v>1.6</v>
          </cell>
          <cell r="DK23">
            <v>1.6</v>
          </cell>
          <cell r="DL23">
            <v>1.6</v>
          </cell>
          <cell r="DM23">
            <v>1.6</v>
          </cell>
          <cell r="DN23">
            <v>1.6</v>
          </cell>
          <cell r="DO23">
            <v>1.6</v>
          </cell>
        </row>
        <row r="24">
          <cell r="A24" t="str">
            <v>Gold contained</v>
          </cell>
          <cell r="B24" t="str">
            <v>Moz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0.318</v>
          </cell>
          <cell r="O24">
            <v>0.318</v>
          </cell>
          <cell r="P24">
            <v>0.318</v>
          </cell>
          <cell r="Q24">
            <v>0.318</v>
          </cell>
          <cell r="R24">
            <v>0.318</v>
          </cell>
          <cell r="S24">
            <v>0.318</v>
          </cell>
          <cell r="T24">
            <v>0.318</v>
          </cell>
          <cell r="U24">
            <v>0.318</v>
          </cell>
          <cell r="V24">
            <v>0.318</v>
          </cell>
          <cell r="W24">
            <v>0.318</v>
          </cell>
          <cell r="X24">
            <v>0.318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CI24">
            <v>0.318</v>
          </cell>
          <cell r="CJ24">
            <v>0.318</v>
          </cell>
          <cell r="CK24">
            <v>0.318</v>
          </cell>
          <cell r="CL24">
            <v>0.318</v>
          </cell>
          <cell r="CM24">
            <v>0.318</v>
          </cell>
          <cell r="CN24">
            <v>0.318</v>
          </cell>
          <cell r="CO24">
            <v>0.318</v>
          </cell>
          <cell r="CP24">
            <v>0.318</v>
          </cell>
          <cell r="CQ24">
            <v>0.318</v>
          </cell>
          <cell r="CR24">
            <v>0.318</v>
          </cell>
          <cell r="CS24">
            <v>0.318</v>
          </cell>
          <cell r="CT24">
            <v>0.318</v>
          </cell>
          <cell r="CU24">
            <v>0.318</v>
          </cell>
          <cell r="CV24">
            <v>0.318</v>
          </cell>
          <cell r="CW24">
            <v>0.318</v>
          </cell>
          <cell r="CX24">
            <v>0.318</v>
          </cell>
          <cell r="CY24">
            <v>0.318</v>
          </cell>
          <cell r="CZ24">
            <v>0.318</v>
          </cell>
          <cell r="DA24">
            <v>0.318</v>
          </cell>
          <cell r="DB24">
            <v>0.318</v>
          </cell>
          <cell r="DC24">
            <v>0.318</v>
          </cell>
          <cell r="DD24">
            <v>0.318</v>
          </cell>
          <cell r="DE24">
            <v>0.318</v>
          </cell>
          <cell r="DF24">
            <v>0.318</v>
          </cell>
          <cell r="DG24">
            <v>0.318</v>
          </cell>
          <cell r="DH24">
            <v>0.318</v>
          </cell>
          <cell r="DI24">
            <v>0.318</v>
          </cell>
          <cell r="DJ24">
            <v>0.318</v>
          </cell>
          <cell r="DK24">
            <v>0.318</v>
          </cell>
          <cell r="DL24">
            <v>0.318</v>
          </cell>
          <cell r="DM24">
            <v>0.318</v>
          </cell>
          <cell r="DN24">
            <v>0.318</v>
          </cell>
          <cell r="DO24">
            <v>0.318</v>
          </cell>
        </row>
        <row r="26">
          <cell r="A26" t="str">
            <v>Operations (100% basis)</v>
          </cell>
          <cell r="B26" t="str">
            <v>.</v>
          </cell>
          <cell r="C26" t="str">
            <v>.</v>
          </cell>
          <cell r="D26" t="str">
            <v>.</v>
          </cell>
          <cell r="E26" t="str">
            <v>.</v>
          </cell>
          <cell r="F26" t="str">
            <v>.</v>
          </cell>
          <cell r="G26" t="str">
            <v>.</v>
          </cell>
          <cell r="H26" t="str">
            <v>.</v>
          </cell>
          <cell r="I26" t="str">
            <v>.</v>
          </cell>
          <cell r="J26" t="str">
            <v>.</v>
          </cell>
          <cell r="K26" t="str">
            <v>.</v>
          </cell>
          <cell r="L26" t="str">
            <v>.</v>
          </cell>
          <cell r="M26" t="str">
            <v>.</v>
          </cell>
          <cell r="N26" t="str">
            <v>.</v>
          </cell>
          <cell r="O26" t="str">
            <v>.</v>
          </cell>
          <cell r="P26" t="str">
            <v>.</v>
          </cell>
          <cell r="Q26" t="str">
            <v>.</v>
          </cell>
          <cell r="R26" t="str">
            <v>.</v>
          </cell>
          <cell r="S26" t="str">
            <v>.</v>
          </cell>
          <cell r="T26" t="str">
            <v>.</v>
          </cell>
          <cell r="U26" t="str">
            <v>.</v>
          </cell>
          <cell r="V26" t="str">
            <v>.</v>
          </cell>
          <cell r="W26" t="str">
            <v>.</v>
          </cell>
          <cell r="X26" t="str">
            <v>.</v>
          </cell>
          <cell r="Y26" t="str">
            <v>.</v>
          </cell>
          <cell r="Z26" t="str">
            <v>.</v>
          </cell>
          <cell r="AA26" t="str">
            <v>.</v>
          </cell>
          <cell r="AB26" t="str">
            <v>.</v>
          </cell>
          <cell r="AC26" t="str">
            <v>.</v>
          </cell>
          <cell r="AD26" t="str">
            <v>.</v>
          </cell>
          <cell r="AE26" t="str">
            <v>.</v>
          </cell>
          <cell r="AF26" t="str">
            <v>.</v>
          </cell>
          <cell r="AG26" t="str">
            <v>.</v>
          </cell>
          <cell r="AH26" t="str">
            <v>.</v>
          </cell>
          <cell r="AI26" t="str">
            <v>.</v>
          </cell>
          <cell r="AJ26" t="str">
            <v>.</v>
          </cell>
          <cell r="AK26" t="str">
            <v>.</v>
          </cell>
          <cell r="AL26" t="str">
            <v>.</v>
          </cell>
          <cell r="AM26" t="str">
            <v>.</v>
          </cell>
          <cell r="AN26" t="str">
            <v>.</v>
          </cell>
          <cell r="AO26" t="str">
            <v>.</v>
          </cell>
          <cell r="AP26" t="str">
            <v>.</v>
          </cell>
          <cell r="AQ26" t="str">
            <v>.</v>
          </cell>
          <cell r="AR26" t="str">
            <v>.</v>
          </cell>
          <cell r="AS26" t="str">
            <v>.</v>
          </cell>
          <cell r="AT26" t="str">
            <v>.</v>
          </cell>
          <cell r="AU26" t="str">
            <v>.</v>
          </cell>
          <cell r="AV26" t="str">
            <v>.</v>
          </cell>
          <cell r="AW26" t="str">
            <v>.</v>
          </cell>
          <cell r="AX26" t="str">
            <v>.</v>
          </cell>
          <cell r="AY26" t="str">
            <v>.</v>
          </cell>
          <cell r="AZ26" t="str">
            <v>.</v>
          </cell>
          <cell r="BA26" t="str">
            <v>.</v>
          </cell>
          <cell r="BB26" t="str">
            <v>.</v>
          </cell>
          <cell r="BC26" t="str">
            <v>.</v>
          </cell>
          <cell r="BE26" t="str">
            <v>.</v>
          </cell>
          <cell r="BF26" t="str">
            <v>.</v>
          </cell>
          <cell r="BG26" t="str">
            <v>.</v>
          </cell>
          <cell r="BH26" t="str">
            <v>.</v>
          </cell>
          <cell r="BI26" t="str">
            <v>.</v>
          </cell>
          <cell r="BJ26" t="str">
            <v>.</v>
          </cell>
          <cell r="BK26" t="str">
            <v>.</v>
          </cell>
          <cell r="BL26" t="str">
            <v>.</v>
          </cell>
          <cell r="BM26" t="str">
            <v>.</v>
          </cell>
          <cell r="BN26" t="str">
            <v>.</v>
          </cell>
          <cell r="BO26" t="str">
            <v>.</v>
          </cell>
          <cell r="BP26" t="str">
            <v>.</v>
          </cell>
          <cell r="BQ26" t="str">
            <v>.</v>
          </cell>
          <cell r="BR26" t="str">
            <v>.</v>
          </cell>
          <cell r="BS26" t="str">
            <v>.</v>
          </cell>
          <cell r="BT26" t="str">
            <v>.</v>
          </cell>
          <cell r="BU26" t="str">
            <v>.</v>
          </cell>
          <cell r="BV26" t="str">
            <v>.</v>
          </cell>
          <cell r="BW26" t="str">
            <v>.</v>
          </cell>
          <cell r="BX26" t="str">
            <v>.</v>
          </cell>
          <cell r="BY26" t="str">
            <v>.</v>
          </cell>
          <cell r="BZ26" t="str">
            <v>.</v>
          </cell>
          <cell r="CA26" t="str">
            <v>.</v>
          </cell>
          <cell r="CB26" t="str">
            <v>.</v>
          </cell>
          <cell r="CC26" t="str">
            <v>.</v>
          </cell>
          <cell r="CD26" t="str">
            <v>.</v>
          </cell>
          <cell r="CE26" t="str">
            <v>.</v>
          </cell>
          <cell r="CF26" t="str">
            <v>.</v>
          </cell>
          <cell r="CG26" t="str">
            <v>.</v>
          </cell>
          <cell r="CH26" t="str">
            <v>.</v>
          </cell>
          <cell r="CI26" t="str">
            <v>.</v>
          </cell>
          <cell r="CJ26" t="str">
            <v>.</v>
          </cell>
          <cell r="CK26" t="str">
            <v>.</v>
          </cell>
          <cell r="CL26" t="str">
            <v>.</v>
          </cell>
          <cell r="CM26" t="str">
            <v>.</v>
          </cell>
          <cell r="CN26" t="str">
            <v>.</v>
          </cell>
          <cell r="CO26" t="str">
            <v>.</v>
          </cell>
          <cell r="CP26" t="str">
            <v>.</v>
          </cell>
          <cell r="CQ26" t="str">
            <v>.</v>
          </cell>
          <cell r="CR26" t="str">
            <v>.</v>
          </cell>
          <cell r="CS26" t="str">
            <v>.</v>
          </cell>
          <cell r="CT26" t="str">
            <v>.</v>
          </cell>
          <cell r="CU26" t="str">
            <v>.</v>
          </cell>
          <cell r="CV26" t="str">
            <v>.</v>
          </cell>
          <cell r="CW26" t="str">
            <v>.</v>
          </cell>
          <cell r="CX26" t="str">
            <v>.</v>
          </cell>
          <cell r="CY26" t="str">
            <v>.</v>
          </cell>
          <cell r="CZ26" t="str">
            <v>.</v>
          </cell>
          <cell r="DA26" t="str">
            <v>.</v>
          </cell>
          <cell r="DB26" t="str">
            <v>.</v>
          </cell>
          <cell r="DC26" t="str">
            <v>.</v>
          </cell>
          <cell r="DD26" t="str">
            <v>.</v>
          </cell>
          <cell r="DE26" t="str">
            <v>.</v>
          </cell>
          <cell r="DF26" t="str">
            <v>.</v>
          </cell>
          <cell r="DG26" t="str">
            <v>.</v>
          </cell>
          <cell r="DH26" t="str">
            <v>.</v>
          </cell>
          <cell r="DI26" t="str">
            <v>.</v>
          </cell>
          <cell r="DJ26" t="str">
            <v>.</v>
          </cell>
          <cell r="DK26" t="str">
            <v>.</v>
          </cell>
          <cell r="DL26" t="str">
            <v>.</v>
          </cell>
          <cell r="DM26" t="str">
            <v>.</v>
          </cell>
          <cell r="DN26" t="str">
            <v>.</v>
          </cell>
          <cell r="DO26" t="str">
            <v>.</v>
          </cell>
          <cell r="DP26" t="str">
            <v>.</v>
          </cell>
          <cell r="DQ26" t="str">
            <v>.</v>
          </cell>
          <cell r="DR26" t="str">
            <v>.</v>
          </cell>
          <cell r="DS26" t="str">
            <v>.</v>
          </cell>
          <cell r="DT26" t="str">
            <v>.</v>
          </cell>
          <cell r="DU26" t="str">
            <v>.</v>
          </cell>
          <cell r="DV26" t="str">
            <v>.</v>
          </cell>
          <cell r="DW26" t="str">
            <v>.</v>
          </cell>
          <cell r="DX26" t="str">
            <v>.</v>
          </cell>
          <cell r="DY26" t="str">
            <v>.</v>
          </cell>
          <cell r="DZ26" t="str">
            <v>.</v>
          </cell>
          <cell r="EA26" t="str">
            <v>.</v>
          </cell>
          <cell r="EB26" t="str">
            <v>.</v>
          </cell>
          <cell r="EC26" t="str">
            <v>.</v>
          </cell>
          <cell r="ED26" t="str">
            <v>.</v>
          </cell>
          <cell r="EE26" t="str">
            <v>.</v>
          </cell>
          <cell r="EF26" t="str">
            <v>.</v>
          </cell>
          <cell r="EG26" t="str">
            <v>.</v>
          </cell>
          <cell r="EH26" t="str">
            <v>.</v>
          </cell>
          <cell r="EI26" t="str">
            <v>.</v>
          </cell>
          <cell r="EJ26" t="str">
            <v>.</v>
          </cell>
          <cell r="EK26" t="str">
            <v>.</v>
          </cell>
          <cell r="EL26" t="str">
            <v>.</v>
          </cell>
          <cell r="EM26" t="str">
            <v>.</v>
          </cell>
          <cell r="EN26" t="str">
            <v>.</v>
          </cell>
          <cell r="EO26" t="str">
            <v>.</v>
          </cell>
          <cell r="EP26" t="str">
            <v>.</v>
          </cell>
          <cell r="EQ26" t="str">
            <v>.</v>
          </cell>
          <cell r="ER26" t="str">
            <v>.</v>
          </cell>
          <cell r="ES26" t="str">
            <v>.</v>
          </cell>
          <cell r="ET26" t="str">
            <v>.</v>
          </cell>
          <cell r="EU26" t="str">
            <v>.</v>
          </cell>
          <cell r="EV26" t="str">
            <v>.</v>
          </cell>
          <cell r="EW26" t="str">
            <v>.</v>
          </cell>
          <cell r="EX26" t="str">
            <v>.</v>
          </cell>
          <cell r="EY26" t="str">
            <v>.</v>
          </cell>
          <cell r="EZ26" t="str">
            <v>.</v>
          </cell>
          <cell r="FA26" t="str">
            <v>.</v>
          </cell>
          <cell r="FB26" t="str">
            <v>.</v>
          </cell>
          <cell r="FC26" t="str">
            <v>.</v>
          </cell>
          <cell r="FD26" t="str">
            <v>.</v>
          </cell>
          <cell r="FE26" t="str">
            <v>.</v>
          </cell>
          <cell r="FF26" t="str">
            <v>.</v>
          </cell>
          <cell r="FG26" t="str">
            <v>.</v>
          </cell>
          <cell r="FH26" t="str">
            <v>.</v>
          </cell>
          <cell r="FI26" t="str">
            <v>.</v>
          </cell>
          <cell r="FJ26" t="str">
            <v>.</v>
          </cell>
          <cell r="FK26" t="str">
            <v>.</v>
          </cell>
          <cell r="FL26" t="str">
            <v>.</v>
          </cell>
          <cell r="FM26" t="str">
            <v>.</v>
          </cell>
          <cell r="FN26" t="str">
            <v>.</v>
          </cell>
          <cell r="FO26" t="str">
            <v>.</v>
          </cell>
          <cell r="FP26" t="str">
            <v>.</v>
          </cell>
          <cell r="FQ26" t="str">
            <v>.</v>
          </cell>
          <cell r="FR26" t="str">
            <v>.</v>
          </cell>
          <cell r="FS26" t="str">
            <v>.</v>
          </cell>
          <cell r="FT26" t="str">
            <v>.</v>
          </cell>
          <cell r="FU26" t="str">
            <v>.</v>
          </cell>
          <cell r="FV26" t="str">
            <v>.</v>
          </cell>
          <cell r="FW26" t="str">
            <v>.</v>
          </cell>
          <cell r="FX26" t="str">
            <v>.</v>
          </cell>
          <cell r="FY26" t="str">
            <v>.</v>
          </cell>
          <cell r="FZ26" t="str">
            <v>.</v>
          </cell>
          <cell r="GA26" t="str">
            <v>.</v>
          </cell>
          <cell r="GB26" t="str">
            <v>.</v>
          </cell>
          <cell r="GC26" t="str">
            <v>.</v>
          </cell>
          <cell r="GD26" t="str">
            <v>.</v>
          </cell>
          <cell r="GE26" t="str">
            <v>.</v>
          </cell>
          <cell r="GF26" t="str">
            <v>.</v>
          </cell>
          <cell r="GG26" t="str">
            <v>.</v>
          </cell>
          <cell r="GH26" t="str">
            <v>.</v>
          </cell>
          <cell r="GI26" t="str">
            <v>.</v>
          </cell>
          <cell r="GJ26" t="str">
            <v>.</v>
          </cell>
          <cell r="GK26" t="str">
            <v>.</v>
          </cell>
          <cell r="GL26" t="str">
            <v>.</v>
          </cell>
          <cell r="GM26" t="str">
            <v>.</v>
          </cell>
          <cell r="GN26" t="str">
            <v>.</v>
          </cell>
          <cell r="GO26" t="str">
            <v>.</v>
          </cell>
          <cell r="GP26" t="str">
            <v>.</v>
          </cell>
          <cell r="GQ26" t="str">
            <v>.</v>
          </cell>
          <cell r="GR26" t="str">
            <v>.</v>
          </cell>
          <cell r="GS26" t="str">
            <v>.</v>
          </cell>
          <cell r="GT26" t="str">
            <v>.</v>
          </cell>
          <cell r="GU26" t="str">
            <v>.</v>
          </cell>
          <cell r="GV26" t="str">
            <v>.</v>
          </cell>
          <cell r="GW26" t="str">
            <v>.</v>
          </cell>
          <cell r="GX26" t="str">
            <v>.</v>
          </cell>
        </row>
        <row r="27">
          <cell r="A27" t="str">
            <v>Ore Mined</v>
          </cell>
          <cell r="B27" t="str">
            <v>kt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3200</v>
          </cell>
          <cell r="L27">
            <v>1279</v>
          </cell>
          <cell r="M27">
            <v>1930</v>
          </cell>
          <cell r="N27">
            <v>3200</v>
          </cell>
          <cell r="O27">
            <v>3200</v>
          </cell>
          <cell r="P27">
            <v>3200</v>
          </cell>
          <cell r="Q27">
            <v>3200</v>
          </cell>
          <cell r="R27">
            <v>3200</v>
          </cell>
          <cell r="S27">
            <v>3200</v>
          </cell>
          <cell r="T27">
            <v>3200</v>
          </cell>
          <cell r="U27">
            <v>3200</v>
          </cell>
          <cell r="V27">
            <v>3200</v>
          </cell>
          <cell r="W27">
            <v>3200</v>
          </cell>
          <cell r="X27">
            <v>3200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CA27">
            <v>3000</v>
          </cell>
          <cell r="CB27">
            <v>3200</v>
          </cell>
          <cell r="CC27">
            <v>6200</v>
          </cell>
          <cell r="CD27">
            <v>3200</v>
          </cell>
          <cell r="CE27">
            <v>1279</v>
          </cell>
          <cell r="CF27">
            <v>4479</v>
          </cell>
          <cell r="CG27">
            <v>651</v>
          </cell>
          <cell r="CH27">
            <v>1930</v>
          </cell>
          <cell r="CI27">
            <v>1600</v>
          </cell>
          <cell r="CJ27">
            <v>1600</v>
          </cell>
          <cell r="CK27">
            <v>3200</v>
          </cell>
          <cell r="CL27">
            <v>1600</v>
          </cell>
          <cell r="CM27">
            <v>1600</v>
          </cell>
          <cell r="CN27">
            <v>3200</v>
          </cell>
          <cell r="CO27">
            <v>1600</v>
          </cell>
          <cell r="CP27">
            <v>1600</v>
          </cell>
          <cell r="CQ27">
            <v>3200</v>
          </cell>
          <cell r="CR27">
            <v>1600</v>
          </cell>
          <cell r="CS27">
            <v>1600</v>
          </cell>
          <cell r="CT27">
            <v>3200</v>
          </cell>
          <cell r="CU27">
            <v>1600</v>
          </cell>
          <cell r="CV27">
            <v>1600</v>
          </cell>
          <cell r="CW27">
            <v>3200</v>
          </cell>
          <cell r="CX27">
            <v>1600</v>
          </cell>
          <cell r="CY27">
            <v>1600</v>
          </cell>
          <cell r="CZ27">
            <v>3200</v>
          </cell>
          <cell r="DA27">
            <v>1600</v>
          </cell>
          <cell r="DB27">
            <v>1600</v>
          </cell>
          <cell r="DC27">
            <v>3200</v>
          </cell>
          <cell r="DD27">
            <v>1600</v>
          </cell>
          <cell r="DE27">
            <v>1600</v>
          </cell>
          <cell r="DF27">
            <v>3200</v>
          </cell>
          <cell r="DG27">
            <v>1600</v>
          </cell>
          <cell r="DH27">
            <v>1600</v>
          </cell>
          <cell r="DI27">
            <v>3200</v>
          </cell>
          <cell r="DJ27">
            <v>1600</v>
          </cell>
          <cell r="DK27">
            <v>1600</v>
          </cell>
          <cell r="DL27">
            <v>3200</v>
          </cell>
          <cell r="DM27">
            <v>1600</v>
          </cell>
          <cell r="DN27">
            <v>1600</v>
          </cell>
          <cell r="DO27">
            <v>3200</v>
          </cell>
        </row>
        <row r="28">
          <cell r="A28" t="str">
            <v>Waste Removed</v>
          </cell>
          <cell r="B28" t="str">
            <v>kt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-1837</v>
          </cell>
          <cell r="L28">
            <v>6351</v>
          </cell>
          <cell r="M28">
            <v>11680</v>
          </cell>
          <cell r="N28">
            <v>3632</v>
          </cell>
          <cell r="O28">
            <v>1800</v>
          </cell>
          <cell r="P28">
            <v>1800</v>
          </cell>
          <cell r="Q28">
            <v>1800</v>
          </cell>
          <cell r="R28">
            <v>1800</v>
          </cell>
          <cell r="S28">
            <v>1800</v>
          </cell>
          <cell r="T28">
            <v>1800</v>
          </cell>
          <cell r="U28">
            <v>1800</v>
          </cell>
          <cell r="V28">
            <v>1800</v>
          </cell>
          <cell r="W28">
            <v>1800</v>
          </cell>
          <cell r="X28">
            <v>1800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CA28">
            <v>25000</v>
          </cell>
          <cell r="CB28">
            <v>-1837</v>
          </cell>
          <cell r="CC28">
            <v>23163</v>
          </cell>
          <cell r="CD28">
            <v>-814</v>
          </cell>
          <cell r="CE28">
            <v>6351</v>
          </cell>
          <cell r="CF28">
            <v>5537</v>
          </cell>
          <cell r="CG28">
            <v>5329</v>
          </cell>
          <cell r="CH28">
            <v>11680</v>
          </cell>
          <cell r="CI28">
            <v>3783</v>
          </cell>
          <cell r="CJ28">
            <v>-151</v>
          </cell>
          <cell r="CK28">
            <v>3632</v>
          </cell>
          <cell r="CL28">
            <v>900</v>
          </cell>
          <cell r="CM28">
            <v>900</v>
          </cell>
          <cell r="CN28">
            <v>1800</v>
          </cell>
          <cell r="CO28">
            <v>900</v>
          </cell>
          <cell r="CP28">
            <v>900</v>
          </cell>
          <cell r="CQ28">
            <v>1800</v>
          </cell>
          <cell r="CR28">
            <v>900</v>
          </cell>
          <cell r="CS28">
            <v>900</v>
          </cell>
          <cell r="CT28">
            <v>1800</v>
          </cell>
          <cell r="CU28">
            <v>900</v>
          </cell>
          <cell r="CV28">
            <v>900</v>
          </cell>
          <cell r="CW28">
            <v>1800</v>
          </cell>
          <cell r="CX28">
            <v>900</v>
          </cell>
          <cell r="CY28">
            <v>900</v>
          </cell>
          <cell r="CZ28">
            <v>1800</v>
          </cell>
          <cell r="DA28">
            <v>900</v>
          </cell>
          <cell r="DB28">
            <v>900</v>
          </cell>
          <cell r="DC28">
            <v>1800</v>
          </cell>
          <cell r="DD28">
            <v>900</v>
          </cell>
          <cell r="DE28">
            <v>900</v>
          </cell>
          <cell r="DF28">
            <v>1800</v>
          </cell>
          <cell r="DG28">
            <v>900</v>
          </cell>
          <cell r="DH28">
            <v>900</v>
          </cell>
          <cell r="DI28">
            <v>1800</v>
          </cell>
          <cell r="DJ28">
            <v>900</v>
          </cell>
          <cell r="DK28">
            <v>900</v>
          </cell>
          <cell r="DL28">
            <v>1800</v>
          </cell>
          <cell r="DM28">
            <v>900</v>
          </cell>
          <cell r="DN28">
            <v>900</v>
          </cell>
          <cell r="DO28">
            <v>1800</v>
          </cell>
        </row>
        <row r="29">
          <cell r="A29" t="str">
            <v>Total Material Moved</v>
          </cell>
          <cell r="B29" t="str">
            <v>kt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1363</v>
          </cell>
          <cell r="L29">
            <v>7630</v>
          </cell>
          <cell r="M29">
            <v>13610</v>
          </cell>
          <cell r="N29">
            <v>6832</v>
          </cell>
          <cell r="O29">
            <v>5000</v>
          </cell>
          <cell r="P29">
            <v>5000</v>
          </cell>
          <cell r="Q29">
            <v>5000</v>
          </cell>
          <cell r="R29">
            <v>5000</v>
          </cell>
          <cell r="S29">
            <v>5000</v>
          </cell>
          <cell r="T29">
            <v>5000</v>
          </cell>
          <cell r="U29">
            <v>5000</v>
          </cell>
          <cell r="V29">
            <v>5000</v>
          </cell>
          <cell r="W29">
            <v>5000</v>
          </cell>
          <cell r="X29">
            <v>5000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CA29">
            <v>28000</v>
          </cell>
          <cell r="CB29">
            <v>1363</v>
          </cell>
          <cell r="CC29">
            <v>29363</v>
          </cell>
          <cell r="CD29">
            <v>2386</v>
          </cell>
          <cell r="CE29">
            <v>7630</v>
          </cell>
          <cell r="CF29">
            <v>10016</v>
          </cell>
          <cell r="CG29">
            <v>5980</v>
          </cell>
          <cell r="CH29">
            <v>13610</v>
          </cell>
          <cell r="CI29">
            <v>5383</v>
          </cell>
          <cell r="CJ29">
            <v>1449</v>
          </cell>
          <cell r="CK29">
            <v>6832</v>
          </cell>
          <cell r="CL29">
            <v>2500</v>
          </cell>
          <cell r="CM29">
            <v>2500</v>
          </cell>
          <cell r="CN29">
            <v>5000</v>
          </cell>
          <cell r="CO29">
            <v>2500</v>
          </cell>
          <cell r="CP29">
            <v>2500</v>
          </cell>
          <cell r="CQ29">
            <v>5000</v>
          </cell>
          <cell r="CR29">
            <v>2500</v>
          </cell>
          <cell r="CS29">
            <v>2500</v>
          </cell>
          <cell r="CT29">
            <v>5000</v>
          </cell>
          <cell r="CU29">
            <v>2500</v>
          </cell>
          <cell r="CV29">
            <v>2500</v>
          </cell>
          <cell r="CW29">
            <v>5000</v>
          </cell>
          <cell r="CX29">
            <v>2500</v>
          </cell>
          <cell r="CY29">
            <v>2500</v>
          </cell>
          <cell r="CZ29">
            <v>5000</v>
          </cell>
          <cell r="DA29">
            <v>2500</v>
          </cell>
          <cell r="DB29">
            <v>2500</v>
          </cell>
          <cell r="DC29">
            <v>5000</v>
          </cell>
          <cell r="DD29">
            <v>2500</v>
          </cell>
          <cell r="DE29">
            <v>2500</v>
          </cell>
          <cell r="DF29">
            <v>5000</v>
          </cell>
          <cell r="DG29">
            <v>2500</v>
          </cell>
          <cell r="DH29">
            <v>2500</v>
          </cell>
          <cell r="DI29">
            <v>5000</v>
          </cell>
          <cell r="DJ29">
            <v>2500</v>
          </cell>
          <cell r="DK29">
            <v>2500</v>
          </cell>
          <cell r="DL29">
            <v>5000</v>
          </cell>
          <cell r="DM29">
            <v>2500</v>
          </cell>
          <cell r="DN29">
            <v>2500</v>
          </cell>
          <cell r="DO29">
            <v>5000</v>
          </cell>
        </row>
        <row r="30">
          <cell r="A30" t="str">
            <v>Mill Feed</v>
          </cell>
          <cell r="B30" t="str">
            <v>kt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550</v>
          </cell>
          <cell r="L30">
            <v>944</v>
          </cell>
          <cell r="M30">
            <v>1871</v>
          </cell>
          <cell r="N30">
            <v>1047</v>
          </cell>
          <cell r="O30">
            <v>1500</v>
          </cell>
          <cell r="P30">
            <v>2750</v>
          </cell>
          <cell r="Q30">
            <v>3000</v>
          </cell>
          <cell r="R30">
            <v>3200</v>
          </cell>
          <cell r="S30">
            <v>3200</v>
          </cell>
          <cell r="T30">
            <v>3200</v>
          </cell>
          <cell r="U30">
            <v>3200</v>
          </cell>
          <cell r="V30">
            <v>3200</v>
          </cell>
          <cell r="W30">
            <v>3200</v>
          </cell>
          <cell r="X30">
            <v>2500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CA30">
            <v>0</v>
          </cell>
          <cell r="CB30">
            <v>550</v>
          </cell>
          <cell r="CC30">
            <v>550</v>
          </cell>
          <cell r="CD30">
            <v>1104</v>
          </cell>
          <cell r="CE30">
            <v>944</v>
          </cell>
          <cell r="CF30">
            <v>2048</v>
          </cell>
          <cell r="CG30">
            <v>927</v>
          </cell>
          <cell r="CH30">
            <v>1871</v>
          </cell>
          <cell r="CI30">
            <v>781</v>
          </cell>
          <cell r="CJ30">
            <v>266</v>
          </cell>
          <cell r="CK30">
            <v>1047</v>
          </cell>
          <cell r="CL30">
            <v>700</v>
          </cell>
          <cell r="CM30">
            <v>800</v>
          </cell>
          <cell r="CN30">
            <v>1500</v>
          </cell>
          <cell r="CO30">
            <v>1250</v>
          </cell>
          <cell r="CP30">
            <v>1500</v>
          </cell>
          <cell r="CQ30">
            <v>2750</v>
          </cell>
          <cell r="CR30">
            <v>1500</v>
          </cell>
          <cell r="CS30">
            <v>1500</v>
          </cell>
          <cell r="CT30">
            <v>3000</v>
          </cell>
          <cell r="CU30">
            <v>1600</v>
          </cell>
          <cell r="CV30">
            <v>1600</v>
          </cell>
          <cell r="CW30">
            <v>3200</v>
          </cell>
          <cell r="CX30">
            <v>1600</v>
          </cell>
          <cell r="CY30">
            <v>1600</v>
          </cell>
          <cell r="CZ30">
            <v>3200</v>
          </cell>
          <cell r="DA30">
            <v>1600</v>
          </cell>
          <cell r="DB30">
            <v>1600</v>
          </cell>
          <cell r="DC30">
            <v>3200</v>
          </cell>
          <cell r="DD30">
            <v>1600</v>
          </cell>
          <cell r="DE30">
            <v>1600</v>
          </cell>
          <cell r="DF30">
            <v>3200</v>
          </cell>
          <cell r="DG30">
            <v>1600</v>
          </cell>
          <cell r="DH30">
            <v>1600</v>
          </cell>
          <cell r="DI30">
            <v>3200</v>
          </cell>
          <cell r="DJ30">
            <v>1600</v>
          </cell>
          <cell r="DK30">
            <v>1600</v>
          </cell>
          <cell r="DL30">
            <v>3200</v>
          </cell>
          <cell r="DM30">
            <v>1500</v>
          </cell>
          <cell r="DN30">
            <v>1000</v>
          </cell>
          <cell r="DO30">
            <v>2500</v>
          </cell>
        </row>
        <row r="31">
          <cell r="A31" t="str">
            <v>Head Grade - Gold</v>
          </cell>
          <cell r="B31" t="str">
            <v>g/t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2.2799999999999998</v>
          </cell>
          <cell r="L31">
            <v>2.41</v>
          </cell>
          <cell r="M31">
            <v>2.0730892570817745</v>
          </cell>
          <cell r="N31">
            <v>1.5935148042024834</v>
          </cell>
          <cell r="O31">
            <v>2.2666666666666666</v>
          </cell>
          <cell r="P31">
            <v>2.2000000000000002</v>
          </cell>
          <cell r="Q31">
            <v>2.1</v>
          </cell>
          <cell r="R31">
            <v>2</v>
          </cell>
          <cell r="S31">
            <v>2</v>
          </cell>
          <cell r="T31">
            <v>2</v>
          </cell>
          <cell r="U31">
            <v>2</v>
          </cell>
          <cell r="V31">
            <v>2</v>
          </cell>
          <cell r="W31">
            <v>2</v>
          </cell>
          <cell r="X31">
            <v>2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CA31">
            <v>1</v>
          </cell>
          <cell r="CB31">
            <v>2.2799999999999998</v>
          </cell>
          <cell r="CC31">
            <v>2.2799999999999998</v>
          </cell>
          <cell r="CD31">
            <v>2.37</v>
          </cell>
          <cell r="CE31">
            <v>2.41</v>
          </cell>
          <cell r="CF31">
            <v>2.3884375000000002</v>
          </cell>
          <cell r="CG31">
            <v>1.73</v>
          </cell>
          <cell r="CH31">
            <v>2.0730892570817745</v>
          </cell>
          <cell r="CI31">
            <v>1.53</v>
          </cell>
          <cell r="CJ31">
            <v>1.78</v>
          </cell>
          <cell r="CK31">
            <v>1.5935148042024834</v>
          </cell>
          <cell r="CL31">
            <v>2</v>
          </cell>
          <cell r="CM31">
            <v>2.5</v>
          </cell>
          <cell r="CN31">
            <v>2.2666666666666666</v>
          </cell>
          <cell r="CO31">
            <v>2.2000000000000002</v>
          </cell>
          <cell r="CP31">
            <v>2.2000000000000002</v>
          </cell>
          <cell r="CQ31">
            <v>2.2000000000000002</v>
          </cell>
          <cell r="CR31">
            <v>2.2000000000000002</v>
          </cell>
          <cell r="CS31">
            <v>2</v>
          </cell>
          <cell r="CT31">
            <v>2.1</v>
          </cell>
          <cell r="CU31">
            <v>2</v>
          </cell>
          <cell r="CV31">
            <v>2</v>
          </cell>
          <cell r="CW31">
            <v>2</v>
          </cell>
          <cell r="CX31">
            <v>2</v>
          </cell>
          <cell r="CY31">
            <v>2</v>
          </cell>
          <cell r="CZ31">
            <v>2</v>
          </cell>
          <cell r="DA31">
            <v>2</v>
          </cell>
          <cell r="DB31">
            <v>2</v>
          </cell>
          <cell r="DC31">
            <v>2</v>
          </cell>
          <cell r="DD31">
            <v>2</v>
          </cell>
          <cell r="DE31">
            <v>2</v>
          </cell>
          <cell r="DF31">
            <v>2</v>
          </cell>
          <cell r="DG31">
            <v>2</v>
          </cell>
          <cell r="DH31">
            <v>2</v>
          </cell>
          <cell r="DI31">
            <v>2</v>
          </cell>
          <cell r="DJ31">
            <v>2</v>
          </cell>
          <cell r="DK31">
            <v>2</v>
          </cell>
          <cell r="DL31">
            <v>2</v>
          </cell>
          <cell r="DM31">
            <v>2</v>
          </cell>
          <cell r="DN31">
            <v>2</v>
          </cell>
          <cell r="DO31">
            <v>2</v>
          </cell>
        </row>
        <row r="32">
          <cell r="A32" t="str">
            <v>Gold recovery</v>
          </cell>
          <cell r="B32" t="str">
            <v>%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0.9</v>
          </cell>
          <cell r="L32">
            <v>0.94920000000000004</v>
          </cell>
          <cell r="M32">
            <v>0.94</v>
          </cell>
          <cell r="N32">
            <v>0.92072294753704442</v>
          </cell>
          <cell r="O32">
            <v>0.8999999999999998</v>
          </cell>
          <cell r="P32">
            <v>0.9091999999999999</v>
          </cell>
          <cell r="Q32">
            <v>0.91058577405857744</v>
          </cell>
          <cell r="R32">
            <v>0.91010989010989007</v>
          </cell>
          <cell r="S32">
            <v>0.91010989010989007</v>
          </cell>
          <cell r="T32">
            <v>0.91010989010989007</v>
          </cell>
          <cell r="U32">
            <v>0.91010989010989007</v>
          </cell>
          <cell r="V32">
            <v>0.91010989010989007</v>
          </cell>
          <cell r="W32">
            <v>0.91010989010989007</v>
          </cell>
          <cell r="X32">
            <v>0.9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CA32">
            <v>0.9</v>
          </cell>
          <cell r="CB32">
            <v>0.9</v>
          </cell>
          <cell r="CC32">
            <v>0.9</v>
          </cell>
          <cell r="CD32">
            <v>0.94799999999999995</v>
          </cell>
          <cell r="CE32">
            <v>0.94920000000000004</v>
          </cell>
          <cell r="CF32">
            <v>0.94853044666484465</v>
          </cell>
          <cell r="CG32">
            <v>0.94</v>
          </cell>
          <cell r="CH32">
            <v>0.94</v>
          </cell>
          <cell r="CI32">
            <v>0.92100000000000004</v>
          </cell>
          <cell r="CJ32">
            <v>0.92</v>
          </cell>
          <cell r="CK32">
            <v>0.92072294753704442</v>
          </cell>
          <cell r="CL32">
            <v>0.9</v>
          </cell>
          <cell r="CM32">
            <v>0.9</v>
          </cell>
          <cell r="CN32">
            <v>0.8999999999999998</v>
          </cell>
          <cell r="CO32">
            <v>0.92</v>
          </cell>
          <cell r="CP32">
            <v>0.9</v>
          </cell>
          <cell r="CQ32">
            <v>0.9091999999999999</v>
          </cell>
          <cell r="CR32">
            <v>0.92</v>
          </cell>
          <cell r="CS32">
            <v>0.9</v>
          </cell>
          <cell r="CT32">
            <v>0.91058577405857744</v>
          </cell>
          <cell r="CU32">
            <v>0.92</v>
          </cell>
          <cell r="CV32">
            <v>0.9</v>
          </cell>
          <cell r="CW32">
            <v>0.91010989010989007</v>
          </cell>
          <cell r="CX32">
            <v>0.92</v>
          </cell>
          <cell r="CY32">
            <v>0.9</v>
          </cell>
          <cell r="CZ32">
            <v>0.91010989010989007</v>
          </cell>
          <cell r="DA32">
            <v>0.92</v>
          </cell>
          <cell r="DB32">
            <v>0.9</v>
          </cell>
          <cell r="DC32">
            <v>0.91010989010989007</v>
          </cell>
          <cell r="DD32">
            <v>0.92</v>
          </cell>
          <cell r="DE32">
            <v>0.9</v>
          </cell>
          <cell r="DF32">
            <v>0.91010989010989007</v>
          </cell>
          <cell r="DG32">
            <v>0.92</v>
          </cell>
          <cell r="DH32">
            <v>0.9</v>
          </cell>
          <cell r="DI32">
            <v>0.91010989010989007</v>
          </cell>
          <cell r="DJ32">
            <v>0.92</v>
          </cell>
          <cell r="DK32">
            <v>0.9</v>
          </cell>
          <cell r="DL32">
            <v>0.91010989010989007</v>
          </cell>
          <cell r="DM32">
            <v>0.9</v>
          </cell>
          <cell r="DN32">
            <v>0.9</v>
          </cell>
          <cell r="DO32">
            <v>0.9</v>
          </cell>
        </row>
        <row r="33">
          <cell r="A33" t="str">
            <v>Gold Production</v>
          </cell>
          <cell r="B33" t="str">
            <v>oz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36735</v>
          </cell>
          <cell r="L33">
            <v>66316</v>
          </cell>
          <cell r="M33">
            <v>115454</v>
          </cell>
          <cell r="N33">
            <v>55488.888888888891</v>
          </cell>
          <cell r="O33">
            <v>98392.282958199357</v>
          </cell>
          <cell r="P33">
            <v>176848.87459807075</v>
          </cell>
          <cell r="Q33">
            <v>184437.29903536977</v>
          </cell>
          <cell r="R33">
            <v>187266.88102893892</v>
          </cell>
          <cell r="S33">
            <v>187266.88102893892</v>
          </cell>
          <cell r="T33">
            <v>187266.88102893892</v>
          </cell>
          <cell r="U33">
            <v>187266.88102893892</v>
          </cell>
          <cell r="V33">
            <v>187266.88102893892</v>
          </cell>
          <cell r="W33">
            <v>187266.88102893892</v>
          </cell>
          <cell r="X33">
            <v>144694.53376205786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1.7542226316541625</v>
          </cell>
          <cell r="BC33">
            <v>2.4900000000000002</v>
          </cell>
          <cell r="CA33">
            <v>0</v>
          </cell>
          <cell r="CB33">
            <v>36735</v>
          </cell>
          <cell r="CC33">
            <v>36735</v>
          </cell>
          <cell r="CD33">
            <v>83707</v>
          </cell>
          <cell r="CE33">
            <v>66316</v>
          </cell>
          <cell r="CF33">
            <v>150023</v>
          </cell>
          <cell r="CG33">
            <v>49138</v>
          </cell>
          <cell r="CH33">
            <v>115454</v>
          </cell>
          <cell r="CI33">
            <v>40115.555555555555</v>
          </cell>
          <cell r="CJ33">
            <v>15373.333333333332</v>
          </cell>
          <cell r="CK33">
            <v>55488.888888888891</v>
          </cell>
          <cell r="CL33">
            <v>40514.469453376201</v>
          </cell>
          <cell r="CM33">
            <v>57877.813504823149</v>
          </cell>
          <cell r="CN33">
            <v>98392.282958199357</v>
          </cell>
          <cell r="CO33">
            <v>81350.482315112531</v>
          </cell>
          <cell r="CP33">
            <v>95498.392282958215</v>
          </cell>
          <cell r="CQ33">
            <v>176848.87459807075</v>
          </cell>
          <cell r="CR33">
            <v>97620.578778135052</v>
          </cell>
          <cell r="CS33">
            <v>86816.720257234716</v>
          </cell>
          <cell r="CT33">
            <v>184437.29903536977</v>
          </cell>
          <cell r="CU33">
            <v>94662.379421221864</v>
          </cell>
          <cell r="CV33">
            <v>92604.501607717044</v>
          </cell>
          <cell r="CW33">
            <v>187266.88102893892</v>
          </cell>
          <cell r="CX33">
            <v>94662.379421221864</v>
          </cell>
          <cell r="CY33">
            <v>92604.501607717044</v>
          </cell>
          <cell r="CZ33">
            <v>187266.88102893892</v>
          </cell>
          <cell r="DA33">
            <v>94662.379421221864</v>
          </cell>
          <cell r="DB33">
            <v>92604.501607717044</v>
          </cell>
          <cell r="DC33">
            <v>187266.88102893892</v>
          </cell>
          <cell r="DD33">
            <v>94662.379421221864</v>
          </cell>
          <cell r="DE33">
            <v>92604.501607717044</v>
          </cell>
          <cell r="DF33">
            <v>187266.88102893892</v>
          </cell>
          <cell r="DG33">
            <v>94662.379421221864</v>
          </cell>
          <cell r="DH33">
            <v>92604.501607717044</v>
          </cell>
          <cell r="DI33">
            <v>187266.88102893892</v>
          </cell>
          <cell r="DJ33">
            <v>94662.379421221864</v>
          </cell>
          <cell r="DK33">
            <v>92604.501607717044</v>
          </cell>
          <cell r="DL33">
            <v>187266.88102893892</v>
          </cell>
          <cell r="DM33">
            <v>86816.720257234716</v>
          </cell>
          <cell r="DN33">
            <v>57877.813504823149</v>
          </cell>
          <cell r="DO33">
            <v>144694.53376205786</v>
          </cell>
        </row>
        <row r="34">
          <cell r="A34" t="str">
            <v>Gold production (NCM Share)</v>
          </cell>
          <cell r="B34" t="str">
            <v>oz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32143.125</v>
          </cell>
          <cell r="L34">
            <v>59684.4</v>
          </cell>
          <cell r="M34">
            <v>103908.6</v>
          </cell>
          <cell r="N34">
            <v>49940</v>
          </cell>
          <cell r="O34">
            <v>88553.054662379407</v>
          </cell>
          <cell r="P34">
            <v>159163.98713826368</v>
          </cell>
          <cell r="Q34">
            <v>165993.5691318328</v>
          </cell>
          <cell r="R34">
            <v>168540.19292604504</v>
          </cell>
          <cell r="S34">
            <v>168540.19292604504</v>
          </cell>
          <cell r="T34">
            <v>168540.19292604504</v>
          </cell>
          <cell r="U34">
            <v>168540.19292604504</v>
          </cell>
          <cell r="V34">
            <v>168540.19292604504</v>
          </cell>
          <cell r="W34">
            <v>168540.19292604504</v>
          </cell>
          <cell r="X34">
            <v>130225.08038585208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CA34">
            <v>0</v>
          </cell>
          <cell r="CB34">
            <v>32143.125</v>
          </cell>
          <cell r="CC34">
            <v>32143.125</v>
          </cell>
          <cell r="CD34">
            <v>75918.600000000006</v>
          </cell>
          <cell r="CE34">
            <v>59684.4</v>
          </cell>
          <cell r="CF34">
            <v>135603</v>
          </cell>
          <cell r="CG34">
            <v>44224.200000000004</v>
          </cell>
          <cell r="CH34">
            <v>103908.6</v>
          </cell>
          <cell r="CI34">
            <v>36104</v>
          </cell>
          <cell r="CJ34">
            <v>13836</v>
          </cell>
          <cell r="CK34">
            <v>49940</v>
          </cell>
          <cell r="CL34">
            <v>36463.022508038579</v>
          </cell>
          <cell r="CM34">
            <v>52090.032154340835</v>
          </cell>
          <cell r="CN34">
            <v>88553.054662379407</v>
          </cell>
          <cell r="CO34">
            <v>73215.434083601285</v>
          </cell>
          <cell r="CP34">
            <v>85948.553054662392</v>
          </cell>
          <cell r="CQ34">
            <v>159163.98713826368</v>
          </cell>
          <cell r="CR34">
            <v>87858.520900321542</v>
          </cell>
          <cell r="CS34">
            <v>78135.048231511246</v>
          </cell>
          <cell r="CT34">
            <v>165993.5691318328</v>
          </cell>
          <cell r="CU34">
            <v>85196.141479099679</v>
          </cell>
          <cell r="CV34">
            <v>83344.051446945348</v>
          </cell>
          <cell r="CW34">
            <v>168540.19292604504</v>
          </cell>
          <cell r="CX34">
            <v>85196.141479099679</v>
          </cell>
          <cell r="CY34">
            <v>83344.051446945348</v>
          </cell>
          <cell r="CZ34">
            <v>168540.19292604504</v>
          </cell>
          <cell r="DA34">
            <v>85196.141479099679</v>
          </cell>
          <cell r="DB34">
            <v>83344.051446945348</v>
          </cell>
          <cell r="DC34">
            <v>168540.19292604504</v>
          </cell>
          <cell r="DD34">
            <v>85196.141479099679</v>
          </cell>
          <cell r="DE34">
            <v>83344.051446945348</v>
          </cell>
          <cell r="DF34">
            <v>168540.19292604504</v>
          </cell>
          <cell r="DG34">
            <v>85196.141479099679</v>
          </cell>
          <cell r="DH34">
            <v>83344.051446945348</v>
          </cell>
          <cell r="DI34">
            <v>168540.19292604504</v>
          </cell>
          <cell r="DJ34">
            <v>85196.141479099679</v>
          </cell>
          <cell r="DK34">
            <v>83344.051446945348</v>
          </cell>
          <cell r="DL34">
            <v>168540.19292604504</v>
          </cell>
          <cell r="DM34">
            <v>78135.048231511246</v>
          </cell>
          <cell r="DN34">
            <v>52090.032154340835</v>
          </cell>
          <cell r="DO34">
            <v>130225.08038585208</v>
          </cell>
        </row>
        <row r="35">
          <cell r="A35" t="str">
            <v>Gold Sold (100%)</v>
          </cell>
          <cell r="B35" t="str">
            <v>oz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26863</v>
          </cell>
          <cell r="L35">
            <v>69240</v>
          </cell>
          <cell r="M35">
            <v>115443</v>
          </cell>
          <cell r="N35">
            <v>49940</v>
          </cell>
          <cell r="O35">
            <v>88553.054662379407</v>
          </cell>
          <cell r="P35">
            <v>159163.98713826368</v>
          </cell>
          <cell r="Q35">
            <v>165993.5691318328</v>
          </cell>
          <cell r="R35">
            <v>168540.19292604504</v>
          </cell>
          <cell r="S35">
            <v>168540.19292604504</v>
          </cell>
          <cell r="T35">
            <v>168540.19292604504</v>
          </cell>
          <cell r="U35">
            <v>168540.19292604504</v>
          </cell>
          <cell r="V35">
            <v>168540.19292604504</v>
          </cell>
          <cell r="W35">
            <v>168540.19292604504</v>
          </cell>
          <cell r="X35">
            <v>130225.08038585208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CA35">
            <v>0</v>
          </cell>
          <cell r="CB35">
            <v>26863</v>
          </cell>
          <cell r="CC35">
            <v>26863</v>
          </cell>
          <cell r="CD35">
            <v>84354</v>
          </cell>
          <cell r="CE35">
            <v>69240</v>
          </cell>
          <cell r="CF35">
            <v>153594</v>
          </cell>
          <cell r="CG35">
            <v>46203</v>
          </cell>
          <cell r="CH35">
            <v>115443</v>
          </cell>
          <cell r="CI35">
            <v>36104</v>
          </cell>
          <cell r="CJ35">
            <v>13836</v>
          </cell>
          <cell r="CK35">
            <v>49940</v>
          </cell>
          <cell r="CL35">
            <v>36463.022508038579</v>
          </cell>
          <cell r="CM35">
            <v>52090.032154340835</v>
          </cell>
          <cell r="CN35">
            <v>88553.054662379407</v>
          </cell>
          <cell r="CO35">
            <v>73215.434083601285</v>
          </cell>
          <cell r="CP35">
            <v>85948.553054662392</v>
          </cell>
          <cell r="CQ35">
            <v>159163.98713826368</v>
          </cell>
          <cell r="CR35">
            <v>87858.520900321542</v>
          </cell>
          <cell r="CS35">
            <v>78135.048231511246</v>
          </cell>
          <cell r="CT35">
            <v>165993.5691318328</v>
          </cell>
          <cell r="CU35">
            <v>85196.141479099679</v>
          </cell>
          <cell r="CV35">
            <v>83344.051446945348</v>
          </cell>
          <cell r="CW35">
            <v>168540.19292604504</v>
          </cell>
          <cell r="CX35">
            <v>85196.141479099679</v>
          </cell>
          <cell r="CY35">
            <v>83344.051446945348</v>
          </cell>
          <cell r="CZ35">
            <v>168540.19292604504</v>
          </cell>
          <cell r="DA35">
            <v>85196.141479099679</v>
          </cell>
          <cell r="DB35">
            <v>83344.051446945348</v>
          </cell>
          <cell r="DC35">
            <v>168540.19292604504</v>
          </cell>
          <cell r="DD35">
            <v>85196.141479099679</v>
          </cell>
          <cell r="DE35">
            <v>83344.051446945348</v>
          </cell>
          <cell r="DF35">
            <v>168540.19292604504</v>
          </cell>
          <cell r="DG35">
            <v>85196.141479099679</v>
          </cell>
          <cell r="DH35">
            <v>83344.051446945348</v>
          </cell>
          <cell r="DI35">
            <v>168540.19292604504</v>
          </cell>
          <cell r="DJ35">
            <v>85196.141479099679</v>
          </cell>
          <cell r="DK35">
            <v>83344.051446945348</v>
          </cell>
          <cell r="DL35">
            <v>168540.19292604504</v>
          </cell>
          <cell r="DM35">
            <v>78135.048231511246</v>
          </cell>
          <cell r="DN35">
            <v>52090.032154340835</v>
          </cell>
          <cell r="DO35">
            <v>130225.08038585208</v>
          </cell>
        </row>
        <row r="37">
          <cell r="A37" t="str">
            <v>Costs</v>
          </cell>
          <cell r="B37" t="str">
            <v>.</v>
          </cell>
          <cell r="C37" t="str">
            <v>.</v>
          </cell>
          <cell r="D37" t="str">
            <v>.</v>
          </cell>
          <cell r="E37" t="str">
            <v>.</v>
          </cell>
          <cell r="F37" t="str">
            <v>.</v>
          </cell>
          <cell r="G37" t="str">
            <v>.</v>
          </cell>
          <cell r="H37" t="str">
            <v>.</v>
          </cell>
          <cell r="I37" t="str">
            <v>.</v>
          </cell>
          <cell r="J37" t="str">
            <v>.</v>
          </cell>
          <cell r="K37" t="str">
            <v>.</v>
          </cell>
          <cell r="L37" t="str">
            <v>.</v>
          </cell>
          <cell r="M37" t="str">
            <v>.</v>
          </cell>
          <cell r="N37" t="str">
            <v>.</v>
          </cell>
          <cell r="O37" t="str">
            <v>.</v>
          </cell>
          <cell r="P37" t="str">
            <v>.</v>
          </cell>
          <cell r="Q37" t="str">
            <v>.</v>
          </cell>
          <cell r="R37" t="str">
            <v>.</v>
          </cell>
          <cell r="S37" t="str">
            <v>.</v>
          </cell>
          <cell r="T37" t="str">
            <v>.</v>
          </cell>
          <cell r="U37" t="str">
            <v>.</v>
          </cell>
          <cell r="V37" t="str">
            <v>.</v>
          </cell>
          <cell r="W37" t="str">
            <v>.</v>
          </cell>
          <cell r="X37" t="str">
            <v>.</v>
          </cell>
          <cell r="Y37" t="str">
            <v>.</v>
          </cell>
          <cell r="Z37" t="str">
            <v>.</v>
          </cell>
          <cell r="AA37" t="str">
            <v>.</v>
          </cell>
          <cell r="AB37" t="str">
            <v>.</v>
          </cell>
          <cell r="AC37" t="str">
            <v>.</v>
          </cell>
          <cell r="AD37" t="str">
            <v>.</v>
          </cell>
          <cell r="AE37" t="str">
            <v>.</v>
          </cell>
          <cell r="AF37" t="str">
            <v>.</v>
          </cell>
          <cell r="AG37" t="str">
            <v>.</v>
          </cell>
          <cell r="AH37" t="str">
            <v>.</v>
          </cell>
          <cell r="AI37" t="str">
            <v>.</v>
          </cell>
          <cell r="AJ37" t="str">
            <v>.</v>
          </cell>
          <cell r="AK37" t="str">
            <v>.</v>
          </cell>
          <cell r="AL37" t="str">
            <v>.</v>
          </cell>
          <cell r="AM37" t="str">
            <v>.</v>
          </cell>
          <cell r="AN37" t="str">
            <v>.</v>
          </cell>
          <cell r="AO37" t="str">
            <v>.</v>
          </cell>
          <cell r="AP37" t="str">
            <v>.</v>
          </cell>
          <cell r="AQ37" t="str">
            <v>.</v>
          </cell>
          <cell r="AR37" t="str">
            <v>.</v>
          </cell>
          <cell r="AS37" t="str">
            <v>.</v>
          </cell>
          <cell r="AT37" t="str">
            <v>.</v>
          </cell>
          <cell r="AU37" t="str">
            <v>.</v>
          </cell>
          <cell r="AV37" t="str">
            <v>.</v>
          </cell>
          <cell r="AW37" t="str">
            <v>.</v>
          </cell>
          <cell r="AX37" t="str">
            <v>.</v>
          </cell>
          <cell r="AY37" t="str">
            <v>.</v>
          </cell>
          <cell r="AZ37" t="str">
            <v>.</v>
          </cell>
          <cell r="BA37" t="str">
            <v>.</v>
          </cell>
          <cell r="BB37" t="str">
            <v>.</v>
          </cell>
          <cell r="BC37" t="str">
            <v>.</v>
          </cell>
          <cell r="BE37" t="str">
            <v>.</v>
          </cell>
          <cell r="BF37" t="str">
            <v>.</v>
          </cell>
          <cell r="BG37" t="str">
            <v>.</v>
          </cell>
          <cell r="BH37" t="str">
            <v>.</v>
          </cell>
          <cell r="BI37" t="str">
            <v>.</v>
          </cell>
          <cell r="BJ37" t="str">
            <v>.</v>
          </cell>
          <cell r="BK37" t="str">
            <v>.</v>
          </cell>
          <cell r="BL37" t="str">
            <v>.</v>
          </cell>
          <cell r="BM37" t="str">
            <v>.</v>
          </cell>
          <cell r="BN37" t="str">
            <v>.</v>
          </cell>
          <cell r="BO37" t="str">
            <v>.</v>
          </cell>
          <cell r="BP37" t="str">
            <v>.</v>
          </cell>
          <cell r="BQ37" t="str">
            <v>.</v>
          </cell>
          <cell r="BR37" t="str">
            <v>.</v>
          </cell>
          <cell r="BS37" t="str">
            <v>.</v>
          </cell>
          <cell r="BT37" t="str">
            <v>.</v>
          </cell>
          <cell r="BU37" t="str">
            <v>.</v>
          </cell>
          <cell r="BV37" t="str">
            <v>.</v>
          </cell>
          <cell r="BW37" t="str">
            <v>.</v>
          </cell>
          <cell r="BX37" t="str">
            <v>.</v>
          </cell>
          <cell r="BY37" t="str">
            <v>.</v>
          </cell>
          <cell r="BZ37" t="str">
            <v>.</v>
          </cell>
          <cell r="CA37" t="str">
            <v>.</v>
          </cell>
          <cell r="CB37" t="str">
            <v>.</v>
          </cell>
          <cell r="CC37" t="str">
            <v>.</v>
          </cell>
          <cell r="CD37" t="str">
            <v>.</v>
          </cell>
          <cell r="CE37" t="str">
            <v>.</v>
          </cell>
          <cell r="CF37" t="str">
            <v>.</v>
          </cell>
          <cell r="CG37" t="str">
            <v>.</v>
          </cell>
          <cell r="CH37" t="str">
            <v>.</v>
          </cell>
          <cell r="CI37" t="str">
            <v>.</v>
          </cell>
          <cell r="CJ37" t="str">
            <v>.</v>
          </cell>
          <cell r="CK37" t="str">
            <v>.</v>
          </cell>
          <cell r="CL37" t="str">
            <v>.</v>
          </cell>
          <cell r="CM37" t="str">
            <v>.</v>
          </cell>
          <cell r="CN37" t="str">
            <v>.</v>
          </cell>
          <cell r="CO37" t="str">
            <v>.</v>
          </cell>
          <cell r="CP37" t="str">
            <v>.</v>
          </cell>
          <cell r="CQ37" t="str">
            <v>.</v>
          </cell>
          <cell r="CR37" t="str">
            <v>.</v>
          </cell>
          <cell r="CS37" t="str">
            <v>.</v>
          </cell>
          <cell r="CT37" t="str">
            <v>.</v>
          </cell>
          <cell r="CU37" t="str">
            <v>.</v>
          </cell>
          <cell r="CV37" t="str">
            <v>.</v>
          </cell>
          <cell r="CW37" t="str">
            <v>.</v>
          </cell>
          <cell r="CX37" t="str">
            <v>.</v>
          </cell>
          <cell r="CY37" t="str">
            <v>.</v>
          </cell>
          <cell r="CZ37" t="str">
            <v>.</v>
          </cell>
          <cell r="DA37" t="str">
            <v>.</v>
          </cell>
          <cell r="DB37" t="str">
            <v>.</v>
          </cell>
          <cell r="DC37" t="str">
            <v>.</v>
          </cell>
          <cell r="DD37" t="str">
            <v>.</v>
          </cell>
          <cell r="DE37" t="str">
            <v>.</v>
          </cell>
          <cell r="DF37" t="str">
            <v>.</v>
          </cell>
          <cell r="DG37" t="str">
            <v>.</v>
          </cell>
          <cell r="DH37" t="str">
            <v>.</v>
          </cell>
          <cell r="DI37" t="str">
            <v>.</v>
          </cell>
          <cell r="DJ37" t="str">
            <v>.</v>
          </cell>
          <cell r="DK37" t="str">
            <v>.</v>
          </cell>
          <cell r="DL37" t="str">
            <v>.</v>
          </cell>
          <cell r="DM37" t="str">
            <v>.</v>
          </cell>
          <cell r="DN37" t="str">
            <v>.</v>
          </cell>
          <cell r="DO37" t="str">
            <v>.</v>
          </cell>
          <cell r="DP37" t="str">
            <v>.</v>
          </cell>
          <cell r="DQ37" t="str">
            <v>.</v>
          </cell>
          <cell r="DR37" t="str">
            <v>.</v>
          </cell>
          <cell r="DS37" t="str">
            <v>.</v>
          </cell>
          <cell r="DT37" t="str">
            <v>.</v>
          </cell>
          <cell r="DU37" t="str">
            <v>.</v>
          </cell>
          <cell r="DV37" t="str">
            <v>.</v>
          </cell>
          <cell r="DW37" t="str">
            <v>.</v>
          </cell>
          <cell r="DX37" t="str">
            <v>.</v>
          </cell>
          <cell r="DY37" t="str">
            <v>.</v>
          </cell>
          <cell r="DZ37" t="str">
            <v>.</v>
          </cell>
          <cell r="EA37" t="str">
            <v>.</v>
          </cell>
          <cell r="EB37" t="str">
            <v>.</v>
          </cell>
          <cell r="EC37" t="str">
            <v>.</v>
          </cell>
          <cell r="ED37" t="str">
            <v>.</v>
          </cell>
          <cell r="EE37" t="str">
            <v>.</v>
          </cell>
          <cell r="EF37" t="str">
            <v>.</v>
          </cell>
          <cell r="EG37" t="str">
            <v>.</v>
          </cell>
          <cell r="EH37" t="str">
            <v>.</v>
          </cell>
          <cell r="EI37" t="str">
            <v>.</v>
          </cell>
          <cell r="EJ37" t="str">
            <v>.</v>
          </cell>
          <cell r="EK37" t="str">
            <v>.</v>
          </cell>
          <cell r="EL37" t="str">
            <v>.</v>
          </cell>
          <cell r="EM37" t="str">
            <v>.</v>
          </cell>
          <cell r="EN37" t="str">
            <v>.</v>
          </cell>
          <cell r="EO37" t="str">
            <v>.</v>
          </cell>
          <cell r="EP37" t="str">
            <v>.</v>
          </cell>
          <cell r="EQ37" t="str">
            <v>.</v>
          </cell>
          <cell r="ER37" t="str">
            <v>.</v>
          </cell>
          <cell r="ES37" t="str">
            <v>.</v>
          </cell>
          <cell r="ET37" t="str">
            <v>.</v>
          </cell>
          <cell r="EU37" t="str">
            <v>.</v>
          </cell>
          <cell r="EV37" t="str">
            <v>.</v>
          </cell>
          <cell r="EW37" t="str">
            <v>.</v>
          </cell>
          <cell r="EX37" t="str">
            <v>.</v>
          </cell>
          <cell r="EY37" t="str">
            <v>.</v>
          </cell>
          <cell r="EZ37" t="str">
            <v>.</v>
          </cell>
          <cell r="FA37" t="str">
            <v>.</v>
          </cell>
          <cell r="FB37" t="str">
            <v>.</v>
          </cell>
          <cell r="FC37" t="str">
            <v>.</v>
          </cell>
          <cell r="FD37" t="str">
            <v>.</v>
          </cell>
          <cell r="FE37" t="str">
            <v>.</v>
          </cell>
          <cell r="FF37" t="str">
            <v>.</v>
          </cell>
          <cell r="FG37" t="str">
            <v>.</v>
          </cell>
          <cell r="FH37" t="str">
            <v>.</v>
          </cell>
          <cell r="FI37" t="str">
            <v>.</v>
          </cell>
          <cell r="FJ37" t="str">
            <v>.</v>
          </cell>
          <cell r="FK37" t="str">
            <v>.</v>
          </cell>
          <cell r="FL37" t="str">
            <v>.</v>
          </cell>
          <cell r="FM37" t="str">
            <v>.</v>
          </cell>
          <cell r="FN37" t="str">
            <v>.</v>
          </cell>
          <cell r="FO37" t="str">
            <v>.</v>
          </cell>
          <cell r="FP37" t="str">
            <v>.</v>
          </cell>
          <cell r="FQ37" t="str">
            <v>.</v>
          </cell>
          <cell r="FR37" t="str">
            <v>.</v>
          </cell>
          <cell r="FS37" t="str">
            <v>.</v>
          </cell>
          <cell r="FT37" t="str">
            <v>.</v>
          </cell>
          <cell r="FU37" t="str">
            <v>.</v>
          </cell>
          <cell r="FV37" t="str">
            <v>.</v>
          </cell>
          <cell r="FW37" t="str">
            <v>.</v>
          </cell>
          <cell r="FX37" t="str">
            <v>.</v>
          </cell>
          <cell r="FY37" t="str">
            <v>.</v>
          </cell>
          <cell r="FZ37" t="str">
            <v>.</v>
          </cell>
          <cell r="GA37" t="str">
            <v>.</v>
          </cell>
          <cell r="GB37" t="str">
            <v>.</v>
          </cell>
          <cell r="GC37" t="str">
            <v>.</v>
          </cell>
          <cell r="GD37" t="str">
            <v>.</v>
          </cell>
          <cell r="GE37" t="str">
            <v>.</v>
          </cell>
          <cell r="GF37" t="str">
            <v>.</v>
          </cell>
          <cell r="GG37" t="str">
            <v>.</v>
          </cell>
          <cell r="GH37" t="str">
            <v>.</v>
          </cell>
          <cell r="GI37" t="str">
            <v>.</v>
          </cell>
          <cell r="GJ37" t="str">
            <v>.</v>
          </cell>
          <cell r="GK37" t="str">
            <v>.</v>
          </cell>
          <cell r="GL37" t="str">
            <v>.</v>
          </cell>
          <cell r="GM37" t="str">
            <v>.</v>
          </cell>
          <cell r="GN37" t="str">
            <v>.</v>
          </cell>
          <cell r="GO37" t="str">
            <v>.</v>
          </cell>
          <cell r="GP37" t="str">
            <v>.</v>
          </cell>
          <cell r="GQ37" t="str">
            <v>.</v>
          </cell>
          <cell r="GR37" t="str">
            <v>.</v>
          </cell>
          <cell r="GS37" t="str">
            <v>.</v>
          </cell>
          <cell r="GT37" t="str">
            <v>.</v>
          </cell>
          <cell r="GU37" t="str">
            <v>.</v>
          </cell>
          <cell r="GV37" t="str">
            <v>.</v>
          </cell>
          <cell r="GW37" t="str">
            <v>.</v>
          </cell>
          <cell r="GX37" t="str">
            <v>.</v>
          </cell>
        </row>
        <row r="38">
          <cell r="A38" t="str">
            <v>Mining (tonne treated)</v>
          </cell>
          <cell r="B38" t="str">
            <v>A$/t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33.702319855672286</v>
          </cell>
          <cell r="O38">
            <v>30.666666666666668</v>
          </cell>
          <cell r="P38">
            <v>16.727272727272727</v>
          </cell>
          <cell r="Q38">
            <v>15.333333333333334</v>
          </cell>
          <cell r="R38">
            <v>14.375</v>
          </cell>
          <cell r="S38">
            <v>14.375</v>
          </cell>
          <cell r="T38">
            <v>13.125</v>
          </cell>
          <cell r="U38">
            <v>13.125</v>
          </cell>
          <cell r="V38">
            <v>13.125</v>
          </cell>
          <cell r="W38">
            <v>13.125</v>
          </cell>
          <cell r="X38">
            <v>16.8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CI38">
            <v>29.945414710485128</v>
          </cell>
          <cell r="CJ38">
            <v>44.732932330827062</v>
          </cell>
          <cell r="CK38">
            <v>33.702319855672286</v>
          </cell>
          <cell r="CL38">
            <v>32.857142857142854</v>
          </cell>
          <cell r="CM38">
            <v>28.75</v>
          </cell>
          <cell r="CN38">
            <v>30.666666666666668</v>
          </cell>
          <cell r="CO38">
            <v>18.399999999999999</v>
          </cell>
          <cell r="CP38">
            <v>15.333333333333332</v>
          </cell>
          <cell r="CQ38">
            <v>16.727272727272727</v>
          </cell>
          <cell r="CR38">
            <v>15.333333333333332</v>
          </cell>
          <cell r="CS38">
            <v>15.333333333333332</v>
          </cell>
          <cell r="CT38">
            <v>15.333333333333334</v>
          </cell>
          <cell r="CU38">
            <v>14.375</v>
          </cell>
          <cell r="CV38">
            <v>14.375</v>
          </cell>
          <cell r="CW38">
            <v>14.375</v>
          </cell>
          <cell r="CX38">
            <v>14.375</v>
          </cell>
          <cell r="CY38">
            <v>14.375</v>
          </cell>
          <cell r="CZ38">
            <v>14.375</v>
          </cell>
          <cell r="DA38">
            <v>13.125</v>
          </cell>
          <cell r="DB38">
            <v>13.125</v>
          </cell>
          <cell r="DC38">
            <v>13.125</v>
          </cell>
          <cell r="DD38">
            <v>13.125</v>
          </cell>
          <cell r="DE38">
            <v>13.125</v>
          </cell>
          <cell r="DF38">
            <v>13.125</v>
          </cell>
          <cell r="DG38">
            <v>13.125</v>
          </cell>
          <cell r="DH38">
            <v>13.125</v>
          </cell>
          <cell r="DI38">
            <v>13.125</v>
          </cell>
          <cell r="DJ38">
            <v>13.125</v>
          </cell>
          <cell r="DK38">
            <v>13.125</v>
          </cell>
          <cell r="DL38">
            <v>13.125</v>
          </cell>
          <cell r="DM38">
            <v>14</v>
          </cell>
          <cell r="DN38">
            <v>21</v>
          </cell>
          <cell r="DO38">
            <v>16.8</v>
          </cell>
        </row>
        <row r="39">
          <cell r="A39" t="str">
            <v>Mining</v>
          </cell>
          <cell r="B39" t="str">
            <v>A$/oz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635.91702042450936</v>
          </cell>
          <cell r="O39">
            <v>467.51633986928107</v>
          </cell>
          <cell r="P39">
            <v>260.10909090909092</v>
          </cell>
          <cell r="Q39">
            <v>249.40725244072524</v>
          </cell>
          <cell r="R39">
            <v>245.63873626373623</v>
          </cell>
          <cell r="S39">
            <v>245.63873626373623</v>
          </cell>
          <cell r="T39">
            <v>224.27884615384613</v>
          </cell>
          <cell r="U39">
            <v>224.27884615384613</v>
          </cell>
          <cell r="V39">
            <v>224.27884615384613</v>
          </cell>
          <cell r="W39">
            <v>224.27884615384613</v>
          </cell>
          <cell r="X39">
            <v>290.26666666666671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CI39">
            <v>583</v>
          </cell>
          <cell r="CJ39">
            <v>774</v>
          </cell>
          <cell r="CK39">
            <v>635.91702042450936</v>
          </cell>
          <cell r="CL39">
            <v>567.69841269841277</v>
          </cell>
          <cell r="CM39">
            <v>397.38888888888891</v>
          </cell>
          <cell r="CN39">
            <v>467.51633986928107</v>
          </cell>
          <cell r="CO39">
            <v>282.72727272727275</v>
          </cell>
          <cell r="CP39">
            <v>240.84175084175081</v>
          </cell>
          <cell r="CQ39">
            <v>260.10909090909092</v>
          </cell>
          <cell r="CR39">
            <v>235.60606060606062</v>
          </cell>
          <cell r="CS39">
            <v>264.92592592592592</v>
          </cell>
          <cell r="CT39">
            <v>249.40725244072524</v>
          </cell>
          <cell r="CU39">
            <v>242.96875</v>
          </cell>
          <cell r="CV39">
            <v>248.36805555555554</v>
          </cell>
          <cell r="CW39">
            <v>245.63873626373623</v>
          </cell>
          <cell r="CX39">
            <v>242.96875</v>
          </cell>
          <cell r="CY39">
            <v>248.36805555555554</v>
          </cell>
          <cell r="CZ39">
            <v>245.63873626373623</v>
          </cell>
          <cell r="DA39">
            <v>221.84103260869566</v>
          </cell>
          <cell r="DB39">
            <v>226.77083333333331</v>
          </cell>
          <cell r="DC39">
            <v>224.27884615384613</v>
          </cell>
          <cell r="DD39">
            <v>221.84103260869566</v>
          </cell>
          <cell r="DE39">
            <v>226.77083333333331</v>
          </cell>
          <cell r="DF39">
            <v>224.27884615384613</v>
          </cell>
          <cell r="DG39">
            <v>221.84103260869566</v>
          </cell>
          <cell r="DH39">
            <v>226.77083333333331</v>
          </cell>
          <cell r="DI39">
            <v>224.27884615384613</v>
          </cell>
          <cell r="DJ39">
            <v>221.84103260869566</v>
          </cell>
          <cell r="DK39">
            <v>226.77083333333331</v>
          </cell>
          <cell r="DL39">
            <v>224.27884615384613</v>
          </cell>
          <cell r="DM39">
            <v>241.88888888888891</v>
          </cell>
          <cell r="DN39">
            <v>362.83333333333331</v>
          </cell>
          <cell r="DO39">
            <v>290.26666666666671</v>
          </cell>
        </row>
        <row r="40">
          <cell r="A40" t="str">
            <v>Mining</v>
          </cell>
          <cell r="B40" t="str">
            <v>A$mn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35.286328888888889</v>
          </cell>
          <cell r="O40">
            <v>46</v>
          </cell>
          <cell r="P40">
            <v>46</v>
          </cell>
          <cell r="Q40">
            <v>46</v>
          </cell>
          <cell r="R40">
            <v>46</v>
          </cell>
          <cell r="S40">
            <v>46</v>
          </cell>
          <cell r="T40">
            <v>42</v>
          </cell>
          <cell r="U40">
            <v>42</v>
          </cell>
          <cell r="V40">
            <v>42</v>
          </cell>
          <cell r="W40">
            <v>42</v>
          </cell>
          <cell r="X40">
            <v>42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CI40">
            <v>23.387368888888886</v>
          </cell>
          <cell r="CJ40">
            <v>11.898959999999999</v>
          </cell>
          <cell r="CK40">
            <v>35.286328888888889</v>
          </cell>
          <cell r="CL40">
            <v>23</v>
          </cell>
          <cell r="CM40">
            <v>23</v>
          </cell>
          <cell r="CN40">
            <v>46</v>
          </cell>
          <cell r="CO40">
            <v>23</v>
          </cell>
          <cell r="CP40">
            <v>23</v>
          </cell>
          <cell r="CQ40">
            <v>46</v>
          </cell>
          <cell r="CR40">
            <v>23</v>
          </cell>
          <cell r="CS40">
            <v>23</v>
          </cell>
          <cell r="CT40">
            <v>46</v>
          </cell>
          <cell r="CU40">
            <v>23</v>
          </cell>
          <cell r="CV40">
            <v>23</v>
          </cell>
          <cell r="CW40">
            <v>46</v>
          </cell>
          <cell r="CX40">
            <v>23</v>
          </cell>
          <cell r="CY40">
            <v>23</v>
          </cell>
          <cell r="CZ40">
            <v>46</v>
          </cell>
          <cell r="DA40">
            <v>21</v>
          </cell>
          <cell r="DB40">
            <v>21</v>
          </cell>
          <cell r="DC40">
            <v>42</v>
          </cell>
          <cell r="DD40">
            <v>21</v>
          </cell>
          <cell r="DE40">
            <v>21</v>
          </cell>
          <cell r="DF40">
            <v>42</v>
          </cell>
          <cell r="DG40">
            <v>21</v>
          </cell>
          <cell r="DH40">
            <v>21</v>
          </cell>
          <cell r="DI40">
            <v>42</v>
          </cell>
          <cell r="DJ40">
            <v>21</v>
          </cell>
          <cell r="DK40">
            <v>21</v>
          </cell>
          <cell r="DL40">
            <v>42</v>
          </cell>
          <cell r="DM40">
            <v>21</v>
          </cell>
          <cell r="DN40">
            <v>21</v>
          </cell>
          <cell r="DO40">
            <v>42</v>
          </cell>
        </row>
        <row r="41">
          <cell r="A41" t="str">
            <v>Milling (tonne treated)</v>
          </cell>
          <cell r="B41" t="str">
            <v>A$/t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17.444346810994372</v>
          </cell>
          <cell r="O41">
            <v>16</v>
          </cell>
          <cell r="P41">
            <v>8.7272727272727266</v>
          </cell>
          <cell r="Q41">
            <v>8</v>
          </cell>
          <cell r="R41">
            <v>7.5</v>
          </cell>
          <cell r="S41">
            <v>7.5</v>
          </cell>
          <cell r="T41">
            <v>6.25</v>
          </cell>
          <cell r="U41">
            <v>6.25</v>
          </cell>
          <cell r="V41">
            <v>6.25</v>
          </cell>
          <cell r="W41">
            <v>6.25</v>
          </cell>
          <cell r="X41">
            <v>8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CI41">
            <v>15.512033006117512</v>
          </cell>
          <cell r="CJ41">
            <v>23.117794486215537</v>
          </cell>
          <cell r="CK41">
            <v>17.444346810994372</v>
          </cell>
          <cell r="CL41">
            <v>17.142857142857142</v>
          </cell>
          <cell r="CM41">
            <v>15</v>
          </cell>
          <cell r="CN41">
            <v>16</v>
          </cell>
          <cell r="CO41">
            <v>9.6</v>
          </cell>
          <cell r="CP41">
            <v>8</v>
          </cell>
          <cell r="CQ41">
            <v>8.7272727272727266</v>
          </cell>
          <cell r="CR41">
            <v>8</v>
          </cell>
          <cell r="CS41">
            <v>8</v>
          </cell>
          <cell r="CT41">
            <v>8</v>
          </cell>
          <cell r="CU41">
            <v>7.5</v>
          </cell>
          <cell r="CV41">
            <v>7.5</v>
          </cell>
          <cell r="CW41">
            <v>7.5</v>
          </cell>
          <cell r="CX41">
            <v>7.5</v>
          </cell>
          <cell r="CY41">
            <v>7.5</v>
          </cell>
          <cell r="CZ41">
            <v>7.5</v>
          </cell>
          <cell r="DA41">
            <v>6.25</v>
          </cell>
          <cell r="DB41">
            <v>6.25</v>
          </cell>
          <cell r="DC41">
            <v>6.25</v>
          </cell>
          <cell r="DD41">
            <v>6.25</v>
          </cell>
          <cell r="DE41">
            <v>6.25</v>
          </cell>
          <cell r="DF41">
            <v>6.25</v>
          </cell>
          <cell r="DG41">
            <v>6.25</v>
          </cell>
          <cell r="DH41">
            <v>6.25</v>
          </cell>
          <cell r="DI41">
            <v>6.25</v>
          </cell>
          <cell r="DJ41">
            <v>6.25</v>
          </cell>
          <cell r="DK41">
            <v>6.25</v>
          </cell>
          <cell r="DL41">
            <v>6.25</v>
          </cell>
          <cell r="DM41">
            <v>6.666666666666667</v>
          </cell>
          <cell r="DN41">
            <v>10</v>
          </cell>
          <cell r="DO41">
            <v>8</v>
          </cell>
        </row>
        <row r="42">
          <cell r="A42" t="str">
            <v>Milling</v>
          </cell>
          <cell r="B42" t="str">
            <v>A$/oz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329.1511413696436</v>
          </cell>
          <cell r="O42">
            <v>243.92156862745097</v>
          </cell>
          <cell r="P42">
            <v>135.70909090909092</v>
          </cell>
          <cell r="Q42">
            <v>130.12552301255232</v>
          </cell>
          <cell r="R42">
            <v>128.15934065934067</v>
          </cell>
          <cell r="S42">
            <v>128.15934065934067</v>
          </cell>
          <cell r="T42">
            <v>106.79945054945054</v>
          </cell>
          <cell r="U42">
            <v>106.79945054945054</v>
          </cell>
          <cell r="V42">
            <v>106.79945054945054</v>
          </cell>
          <cell r="W42">
            <v>106.79945054945054</v>
          </cell>
          <cell r="X42">
            <v>138.22222222222223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CI42">
            <v>302</v>
          </cell>
          <cell r="CJ42">
            <v>400</v>
          </cell>
          <cell r="CK42">
            <v>329.1511413696436</v>
          </cell>
          <cell r="CL42">
            <v>296.1904761904762</v>
          </cell>
          <cell r="CM42">
            <v>207.33333333333334</v>
          </cell>
          <cell r="CN42">
            <v>243.92156862745097</v>
          </cell>
          <cell r="CO42">
            <v>147.50988142292493</v>
          </cell>
          <cell r="CP42">
            <v>125.65656565656565</v>
          </cell>
          <cell r="CQ42">
            <v>135.70909090909092</v>
          </cell>
          <cell r="CR42">
            <v>122.92490118577076</v>
          </cell>
          <cell r="CS42">
            <v>138.22222222222226</v>
          </cell>
          <cell r="CT42">
            <v>130.12552301255232</v>
          </cell>
          <cell r="CU42">
            <v>126.76630434782611</v>
          </cell>
          <cell r="CV42">
            <v>129.58333333333334</v>
          </cell>
          <cell r="CW42">
            <v>128.15934065934067</v>
          </cell>
          <cell r="CX42">
            <v>126.76630434782611</v>
          </cell>
          <cell r="CY42">
            <v>129.58333333333334</v>
          </cell>
          <cell r="CZ42">
            <v>128.15934065934067</v>
          </cell>
          <cell r="DA42">
            <v>105.63858695652173</v>
          </cell>
          <cell r="DB42">
            <v>107.98611111111111</v>
          </cell>
          <cell r="DC42">
            <v>106.79945054945054</v>
          </cell>
          <cell r="DD42">
            <v>105.63858695652173</v>
          </cell>
          <cell r="DE42">
            <v>107.98611111111111</v>
          </cell>
          <cell r="DF42">
            <v>106.79945054945054</v>
          </cell>
          <cell r="DG42">
            <v>105.63858695652173</v>
          </cell>
          <cell r="DH42">
            <v>107.98611111111111</v>
          </cell>
          <cell r="DI42">
            <v>106.79945054945054</v>
          </cell>
          <cell r="DJ42">
            <v>105.63858695652173</v>
          </cell>
          <cell r="DK42">
            <v>107.98611111111111</v>
          </cell>
          <cell r="DL42">
            <v>106.79945054945054</v>
          </cell>
          <cell r="DM42">
            <v>115.18518518518519</v>
          </cell>
          <cell r="DN42">
            <v>172.77777777777777</v>
          </cell>
          <cell r="DO42">
            <v>138.22222222222223</v>
          </cell>
        </row>
        <row r="43">
          <cell r="A43" t="str">
            <v>Milling</v>
          </cell>
          <cell r="B43" t="str">
            <v>A$mn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18.264231111111108</v>
          </cell>
          <cell r="O43">
            <v>24</v>
          </cell>
          <cell r="P43">
            <v>24</v>
          </cell>
          <cell r="Q43">
            <v>24</v>
          </cell>
          <cell r="R43">
            <v>24</v>
          </cell>
          <cell r="S43">
            <v>24</v>
          </cell>
          <cell r="T43">
            <v>20</v>
          </cell>
          <cell r="U43">
            <v>20</v>
          </cell>
          <cell r="V43">
            <v>20</v>
          </cell>
          <cell r="W43">
            <v>20</v>
          </cell>
          <cell r="X43">
            <v>20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CI43">
            <v>12.114897777777777</v>
          </cell>
          <cell r="CJ43">
            <v>6.1493333333333329</v>
          </cell>
          <cell r="CK43">
            <v>18.264231111111108</v>
          </cell>
          <cell r="CL43">
            <v>12</v>
          </cell>
          <cell r="CM43">
            <v>12</v>
          </cell>
          <cell r="CN43">
            <v>24</v>
          </cell>
          <cell r="CO43">
            <v>12</v>
          </cell>
          <cell r="CP43">
            <v>12</v>
          </cell>
          <cell r="CQ43">
            <v>24</v>
          </cell>
          <cell r="CR43">
            <v>12</v>
          </cell>
          <cell r="CS43">
            <v>12</v>
          </cell>
          <cell r="CT43">
            <v>24</v>
          </cell>
          <cell r="CU43">
            <v>12</v>
          </cell>
          <cell r="CV43">
            <v>12</v>
          </cell>
          <cell r="CW43">
            <v>24</v>
          </cell>
          <cell r="CX43">
            <v>12</v>
          </cell>
          <cell r="CY43">
            <v>12</v>
          </cell>
          <cell r="CZ43">
            <v>24</v>
          </cell>
          <cell r="DA43">
            <v>10</v>
          </cell>
          <cell r="DB43">
            <v>10</v>
          </cell>
          <cell r="DC43">
            <v>20</v>
          </cell>
          <cell r="DD43">
            <v>10</v>
          </cell>
          <cell r="DE43">
            <v>10</v>
          </cell>
          <cell r="DF43">
            <v>20</v>
          </cell>
          <cell r="DG43">
            <v>10</v>
          </cell>
          <cell r="DH43">
            <v>10</v>
          </cell>
          <cell r="DI43">
            <v>20</v>
          </cell>
          <cell r="DJ43">
            <v>10</v>
          </cell>
          <cell r="DK43">
            <v>10</v>
          </cell>
          <cell r="DL43">
            <v>20</v>
          </cell>
          <cell r="DM43">
            <v>10</v>
          </cell>
          <cell r="DN43">
            <v>10</v>
          </cell>
          <cell r="DO43">
            <v>20</v>
          </cell>
        </row>
        <row r="44">
          <cell r="A44" t="str">
            <v>Admin (tonne treated)</v>
          </cell>
          <cell r="B44" t="str">
            <v>A$/t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23.898091902791041</v>
          </cell>
          <cell r="O44">
            <v>17.333333333333332</v>
          </cell>
          <cell r="P44">
            <v>9.454545454545455</v>
          </cell>
          <cell r="Q44">
            <v>8.6666666666666661</v>
          </cell>
          <cell r="R44">
            <v>8.125</v>
          </cell>
          <cell r="S44">
            <v>8.125</v>
          </cell>
          <cell r="T44">
            <v>8.125</v>
          </cell>
          <cell r="U44">
            <v>8.125</v>
          </cell>
          <cell r="V44">
            <v>8.125</v>
          </cell>
          <cell r="W44">
            <v>8.125</v>
          </cell>
          <cell r="X44">
            <v>10.4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CI44">
            <v>16.231133873950775</v>
          </cell>
          <cell r="CJ44">
            <v>46.408972431077693</v>
          </cell>
          <cell r="CK44">
            <v>23.898091902791041</v>
          </cell>
          <cell r="CL44">
            <v>18.571428571428573</v>
          </cell>
          <cell r="CM44">
            <v>16.25</v>
          </cell>
          <cell r="CN44">
            <v>17.333333333333332</v>
          </cell>
          <cell r="CO44">
            <v>10.4</v>
          </cell>
          <cell r="CP44">
            <v>8.6666666666666661</v>
          </cell>
          <cell r="CQ44">
            <v>9.454545454545455</v>
          </cell>
          <cell r="CR44">
            <v>8.6666666666666661</v>
          </cell>
          <cell r="CS44">
            <v>8.6666666666666661</v>
          </cell>
          <cell r="CT44">
            <v>8.6666666666666661</v>
          </cell>
          <cell r="CU44">
            <v>8.125</v>
          </cell>
          <cell r="CV44">
            <v>8.125</v>
          </cell>
          <cell r="CW44">
            <v>8.125</v>
          </cell>
          <cell r="CX44">
            <v>8.125</v>
          </cell>
          <cell r="CY44">
            <v>8.125</v>
          </cell>
          <cell r="CZ44">
            <v>8.125</v>
          </cell>
          <cell r="DA44">
            <v>8.125</v>
          </cell>
          <cell r="DB44">
            <v>8.125</v>
          </cell>
          <cell r="DC44">
            <v>8.125</v>
          </cell>
          <cell r="DD44">
            <v>8.125</v>
          </cell>
          <cell r="DE44">
            <v>8.125</v>
          </cell>
          <cell r="DF44">
            <v>8.125</v>
          </cell>
          <cell r="DG44">
            <v>8.125</v>
          </cell>
          <cell r="DH44">
            <v>8.125</v>
          </cell>
          <cell r="DI44">
            <v>8.125</v>
          </cell>
          <cell r="DJ44">
            <v>8.125</v>
          </cell>
          <cell r="DK44">
            <v>8.125</v>
          </cell>
          <cell r="DL44">
            <v>8.125</v>
          </cell>
          <cell r="DM44">
            <v>8.6666666666666661</v>
          </cell>
          <cell r="DN44">
            <v>13</v>
          </cell>
          <cell r="DO44">
            <v>10.4</v>
          </cell>
        </row>
        <row r="45">
          <cell r="A45" t="str">
            <v>Admin</v>
          </cell>
          <cell r="B45" t="str">
            <v>A$/oz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450.92454945935123</v>
          </cell>
          <cell r="O45">
            <v>264.24836601307192</v>
          </cell>
          <cell r="P45">
            <v>147.0181818181818</v>
          </cell>
          <cell r="Q45">
            <v>140.96931659693166</v>
          </cell>
          <cell r="R45">
            <v>138.83928571428569</v>
          </cell>
          <cell r="S45">
            <v>138.83928571428569</v>
          </cell>
          <cell r="T45">
            <v>138.83928571428569</v>
          </cell>
          <cell r="U45">
            <v>138.83928571428569</v>
          </cell>
          <cell r="V45">
            <v>138.83928571428569</v>
          </cell>
          <cell r="W45">
            <v>138.83928571428569</v>
          </cell>
          <cell r="X45">
            <v>179.6888888888889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CI45">
            <v>316</v>
          </cell>
          <cell r="CJ45">
            <v>803</v>
          </cell>
          <cell r="CK45">
            <v>450.92454945935123</v>
          </cell>
          <cell r="CL45">
            <v>320.8730158730159</v>
          </cell>
          <cell r="CM45">
            <v>224.61111111111111</v>
          </cell>
          <cell r="CN45">
            <v>264.24836601307192</v>
          </cell>
          <cell r="CO45">
            <v>159.802371541502</v>
          </cell>
          <cell r="CP45">
            <v>136.1279461279461</v>
          </cell>
          <cell r="CQ45">
            <v>147.0181818181818</v>
          </cell>
          <cell r="CR45">
            <v>133.16864295125166</v>
          </cell>
          <cell r="CS45">
            <v>149.74074074074076</v>
          </cell>
          <cell r="CT45">
            <v>140.96931659693166</v>
          </cell>
          <cell r="CU45">
            <v>137.33016304347825</v>
          </cell>
          <cell r="CV45">
            <v>140.38194444444443</v>
          </cell>
          <cell r="CW45">
            <v>138.83928571428569</v>
          </cell>
          <cell r="CX45">
            <v>137.33016304347825</v>
          </cell>
          <cell r="CY45">
            <v>140.38194444444443</v>
          </cell>
          <cell r="CZ45">
            <v>138.83928571428569</v>
          </cell>
          <cell r="DA45">
            <v>137.33016304347825</v>
          </cell>
          <cell r="DB45">
            <v>140.38194444444443</v>
          </cell>
          <cell r="DC45">
            <v>138.83928571428569</v>
          </cell>
          <cell r="DD45">
            <v>137.33016304347825</v>
          </cell>
          <cell r="DE45">
            <v>140.38194444444443</v>
          </cell>
          <cell r="DF45">
            <v>138.83928571428569</v>
          </cell>
          <cell r="DG45">
            <v>137.33016304347825</v>
          </cell>
          <cell r="DH45">
            <v>140.38194444444443</v>
          </cell>
          <cell r="DI45">
            <v>138.83928571428569</v>
          </cell>
          <cell r="DJ45">
            <v>137.33016304347825</v>
          </cell>
          <cell r="DK45">
            <v>140.38194444444443</v>
          </cell>
          <cell r="DL45">
            <v>138.83928571428569</v>
          </cell>
          <cell r="DM45">
            <v>149.74074074074076</v>
          </cell>
          <cell r="DN45">
            <v>224.61111111111111</v>
          </cell>
          <cell r="DO45">
            <v>179.6888888888889</v>
          </cell>
        </row>
        <row r="46">
          <cell r="A46" t="str">
            <v>Admin</v>
          </cell>
          <cell r="B46" t="str">
            <v>A$M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25.021302222222221</v>
          </cell>
          <cell r="O46">
            <v>26</v>
          </cell>
          <cell r="P46">
            <v>26</v>
          </cell>
          <cell r="Q46">
            <v>26</v>
          </cell>
          <cell r="R46">
            <v>26</v>
          </cell>
          <cell r="S46">
            <v>26</v>
          </cell>
          <cell r="T46">
            <v>26</v>
          </cell>
          <cell r="U46">
            <v>26</v>
          </cell>
          <cell r="V46">
            <v>26</v>
          </cell>
          <cell r="W46">
            <v>26</v>
          </cell>
          <cell r="X46">
            <v>26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CI46">
            <v>12.676515555555556</v>
          </cell>
          <cell r="CJ46">
            <v>12.344786666666666</v>
          </cell>
          <cell r="CK46">
            <v>25.021302222222221</v>
          </cell>
          <cell r="CL46">
            <v>13</v>
          </cell>
          <cell r="CM46">
            <v>13</v>
          </cell>
          <cell r="CN46">
            <v>26</v>
          </cell>
          <cell r="CO46">
            <v>13</v>
          </cell>
          <cell r="CP46">
            <v>13</v>
          </cell>
          <cell r="CQ46">
            <v>26</v>
          </cell>
          <cell r="CR46">
            <v>13</v>
          </cell>
          <cell r="CS46">
            <v>13</v>
          </cell>
          <cell r="CT46">
            <v>26</v>
          </cell>
          <cell r="CU46">
            <v>13</v>
          </cell>
          <cell r="CV46">
            <v>13</v>
          </cell>
          <cell r="CW46">
            <v>26</v>
          </cell>
          <cell r="CX46">
            <v>13</v>
          </cell>
          <cell r="CY46">
            <v>13</v>
          </cell>
          <cell r="CZ46">
            <v>26</v>
          </cell>
          <cell r="DA46">
            <v>13</v>
          </cell>
          <cell r="DB46">
            <v>13</v>
          </cell>
          <cell r="DC46">
            <v>26</v>
          </cell>
          <cell r="DD46">
            <v>13</v>
          </cell>
          <cell r="DE46">
            <v>13</v>
          </cell>
          <cell r="DF46">
            <v>26</v>
          </cell>
          <cell r="DG46">
            <v>13</v>
          </cell>
          <cell r="DH46">
            <v>13</v>
          </cell>
          <cell r="DI46">
            <v>26</v>
          </cell>
          <cell r="DJ46">
            <v>13</v>
          </cell>
          <cell r="DK46">
            <v>13</v>
          </cell>
          <cell r="DL46">
            <v>26</v>
          </cell>
          <cell r="DM46">
            <v>13</v>
          </cell>
          <cell r="DN46">
            <v>13</v>
          </cell>
          <cell r="DO46">
            <v>26</v>
          </cell>
        </row>
        <row r="47">
          <cell r="A47" t="str">
            <v>Operating Cash Costs (tonne treated)</v>
          </cell>
          <cell r="B47" t="str">
            <v>A$/t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75.044758569457713</v>
          </cell>
          <cell r="O47">
            <v>64</v>
          </cell>
          <cell r="P47">
            <v>34.909090909090907</v>
          </cell>
          <cell r="Q47">
            <v>32</v>
          </cell>
          <cell r="R47">
            <v>30</v>
          </cell>
          <cell r="S47">
            <v>30</v>
          </cell>
          <cell r="T47">
            <v>27.5</v>
          </cell>
          <cell r="U47">
            <v>27.5</v>
          </cell>
          <cell r="V47">
            <v>27.5</v>
          </cell>
          <cell r="W47">
            <v>27.5</v>
          </cell>
          <cell r="X47">
            <v>35.200000000000003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CI47">
            <v>61.688581590553426</v>
          </cell>
          <cell r="CJ47">
            <v>114.2596992481203</v>
          </cell>
          <cell r="CK47">
            <v>75.044758569457713</v>
          </cell>
          <cell r="CL47">
            <v>68.571428571428569</v>
          </cell>
          <cell r="CM47">
            <v>60</v>
          </cell>
          <cell r="CN47">
            <v>64</v>
          </cell>
          <cell r="CO47">
            <v>38.4</v>
          </cell>
          <cell r="CP47">
            <v>32</v>
          </cell>
          <cell r="CQ47">
            <v>34.909090909090907</v>
          </cell>
          <cell r="CR47">
            <v>32</v>
          </cell>
          <cell r="CS47">
            <v>32</v>
          </cell>
          <cell r="CT47">
            <v>32</v>
          </cell>
          <cell r="CU47">
            <v>30</v>
          </cell>
          <cell r="CV47">
            <v>30</v>
          </cell>
          <cell r="CW47">
            <v>30</v>
          </cell>
          <cell r="CX47">
            <v>30</v>
          </cell>
          <cell r="CY47">
            <v>30</v>
          </cell>
          <cell r="CZ47">
            <v>30</v>
          </cell>
          <cell r="DA47">
            <v>27.5</v>
          </cell>
          <cell r="DB47">
            <v>27.5</v>
          </cell>
          <cell r="DC47">
            <v>27.5</v>
          </cell>
          <cell r="DD47">
            <v>27.5</v>
          </cell>
          <cell r="DE47">
            <v>27.5</v>
          </cell>
          <cell r="DF47">
            <v>27.5</v>
          </cell>
          <cell r="DG47">
            <v>27.5</v>
          </cell>
          <cell r="DH47">
            <v>27.5</v>
          </cell>
          <cell r="DI47">
            <v>27.5</v>
          </cell>
          <cell r="DJ47">
            <v>27.5</v>
          </cell>
          <cell r="DK47">
            <v>27.5</v>
          </cell>
          <cell r="DL47">
            <v>27.5</v>
          </cell>
          <cell r="DM47">
            <v>29.333333333333332</v>
          </cell>
          <cell r="DN47">
            <v>44</v>
          </cell>
          <cell r="DO47">
            <v>35.200000000000003</v>
          </cell>
        </row>
        <row r="48">
          <cell r="A48" t="str">
            <v>Operating Cash Costs</v>
          </cell>
          <cell r="B48" t="str">
            <v>A$/oz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1415.9927112535042</v>
          </cell>
          <cell r="O48">
            <v>975.68627450980387</v>
          </cell>
          <cell r="P48">
            <v>542.83636363636367</v>
          </cell>
          <cell r="Q48">
            <v>520.50209205020917</v>
          </cell>
          <cell r="R48">
            <v>512.63736263736257</v>
          </cell>
          <cell r="S48">
            <v>512.63736263736257</v>
          </cell>
          <cell r="T48">
            <v>469.91758241758237</v>
          </cell>
          <cell r="U48">
            <v>469.91758241758237</v>
          </cell>
          <cell r="V48">
            <v>469.91758241758237</v>
          </cell>
          <cell r="W48">
            <v>469.91758241758237</v>
          </cell>
          <cell r="X48">
            <v>608.17777777777781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CI48">
            <v>1201</v>
          </cell>
          <cell r="CJ48">
            <v>1977</v>
          </cell>
          <cell r="CK48">
            <v>1415.9927112535042</v>
          </cell>
          <cell r="CL48">
            <v>1184.7619047619048</v>
          </cell>
          <cell r="CM48">
            <v>829.33333333333337</v>
          </cell>
          <cell r="CN48">
            <v>975.68627450980387</v>
          </cell>
          <cell r="CO48">
            <v>590.03952569169974</v>
          </cell>
          <cell r="CP48">
            <v>502.62626262626259</v>
          </cell>
          <cell r="CQ48">
            <v>542.83636363636367</v>
          </cell>
          <cell r="CR48">
            <v>491.699604743083</v>
          </cell>
          <cell r="CS48">
            <v>552.88888888888891</v>
          </cell>
          <cell r="CT48">
            <v>520.50209205020917</v>
          </cell>
          <cell r="CU48">
            <v>507.06521739130437</v>
          </cell>
          <cell r="CV48">
            <v>518.33333333333337</v>
          </cell>
          <cell r="CW48">
            <v>512.63736263736257</v>
          </cell>
          <cell r="CX48">
            <v>507.06521739130437</v>
          </cell>
          <cell r="CY48">
            <v>518.33333333333337</v>
          </cell>
          <cell r="CZ48">
            <v>512.63736263736257</v>
          </cell>
          <cell r="DA48">
            <v>464.80978260869563</v>
          </cell>
          <cell r="DB48">
            <v>475.13888888888891</v>
          </cell>
          <cell r="DC48">
            <v>469.91758241758237</v>
          </cell>
          <cell r="DD48">
            <v>464.80978260869563</v>
          </cell>
          <cell r="DE48">
            <v>475.13888888888891</v>
          </cell>
          <cell r="DF48">
            <v>469.91758241758237</v>
          </cell>
          <cell r="DG48">
            <v>464.80978260869563</v>
          </cell>
          <cell r="DH48">
            <v>475.13888888888891</v>
          </cell>
          <cell r="DI48">
            <v>469.91758241758237</v>
          </cell>
          <cell r="DJ48">
            <v>464.80978260869563</v>
          </cell>
          <cell r="DK48">
            <v>475.13888888888891</v>
          </cell>
          <cell r="DL48">
            <v>469.91758241758237</v>
          </cell>
          <cell r="DM48">
            <v>506.81481481481489</v>
          </cell>
          <cell r="DN48">
            <v>760.22222222222217</v>
          </cell>
          <cell r="DO48">
            <v>608.17777777777781</v>
          </cell>
        </row>
        <row r="49">
          <cell r="A49" t="str">
            <v>Operating Cash Costs</v>
          </cell>
          <cell r="B49" t="str">
            <v>A$M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78.571862222222222</v>
          </cell>
          <cell r="O49">
            <v>96</v>
          </cell>
          <cell r="P49">
            <v>96</v>
          </cell>
          <cell r="Q49">
            <v>96</v>
          </cell>
          <cell r="R49">
            <v>96</v>
          </cell>
          <cell r="S49">
            <v>96</v>
          </cell>
          <cell r="T49">
            <v>88</v>
          </cell>
          <cell r="U49">
            <v>88</v>
          </cell>
          <cell r="V49">
            <v>88</v>
          </cell>
          <cell r="W49">
            <v>88</v>
          </cell>
          <cell r="X49">
            <v>88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CI49">
            <v>48.178782222222225</v>
          </cell>
          <cell r="CJ49">
            <v>30.393079999999998</v>
          </cell>
          <cell r="CK49">
            <v>78.571862222222222</v>
          </cell>
          <cell r="CL49">
            <v>48</v>
          </cell>
          <cell r="CM49">
            <v>48</v>
          </cell>
          <cell r="CN49">
            <v>96</v>
          </cell>
          <cell r="CO49">
            <v>48</v>
          </cell>
          <cell r="CP49">
            <v>48</v>
          </cell>
          <cell r="CQ49">
            <v>96</v>
          </cell>
          <cell r="CR49">
            <v>48</v>
          </cell>
          <cell r="CS49">
            <v>48</v>
          </cell>
          <cell r="CT49">
            <v>96</v>
          </cell>
          <cell r="CU49">
            <v>48</v>
          </cell>
          <cell r="CV49">
            <v>48</v>
          </cell>
          <cell r="CW49">
            <v>96</v>
          </cell>
          <cell r="CX49">
            <v>48</v>
          </cell>
          <cell r="CY49">
            <v>48</v>
          </cell>
          <cell r="CZ49">
            <v>96</v>
          </cell>
          <cell r="DA49">
            <v>44</v>
          </cell>
          <cell r="DB49">
            <v>44</v>
          </cell>
          <cell r="DC49">
            <v>88</v>
          </cell>
          <cell r="DD49">
            <v>44</v>
          </cell>
          <cell r="DE49">
            <v>44</v>
          </cell>
          <cell r="DF49">
            <v>88</v>
          </cell>
          <cell r="DG49">
            <v>44</v>
          </cell>
          <cell r="DH49">
            <v>44</v>
          </cell>
          <cell r="DI49">
            <v>88</v>
          </cell>
          <cell r="DJ49">
            <v>44</v>
          </cell>
          <cell r="DK49">
            <v>44</v>
          </cell>
          <cell r="DL49">
            <v>88</v>
          </cell>
          <cell r="DM49">
            <v>44</v>
          </cell>
          <cell r="DN49">
            <v>44</v>
          </cell>
          <cell r="DO49">
            <v>88</v>
          </cell>
        </row>
        <row r="51">
          <cell r="A51" t="str">
            <v>Smelt, refine, transport</v>
          </cell>
          <cell r="B51" t="str">
            <v>A$/oz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2.9999999999999996</v>
          </cell>
          <cell r="O51">
            <v>2</v>
          </cell>
          <cell r="P51">
            <v>2</v>
          </cell>
          <cell r="Q51">
            <v>2</v>
          </cell>
          <cell r="R51">
            <v>2</v>
          </cell>
          <cell r="S51">
            <v>2</v>
          </cell>
          <cell r="T51">
            <v>2</v>
          </cell>
          <cell r="U51">
            <v>2</v>
          </cell>
          <cell r="V51">
            <v>2</v>
          </cell>
          <cell r="W51">
            <v>2</v>
          </cell>
          <cell r="X51">
            <v>2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CI51">
            <v>3</v>
          </cell>
          <cell r="CJ51">
            <v>3</v>
          </cell>
          <cell r="CK51">
            <v>2.9999999999999996</v>
          </cell>
          <cell r="CL51">
            <v>2</v>
          </cell>
          <cell r="CM51">
            <v>2</v>
          </cell>
          <cell r="CN51">
            <v>2</v>
          </cell>
          <cell r="CO51">
            <v>2</v>
          </cell>
          <cell r="CP51">
            <v>2</v>
          </cell>
          <cell r="CQ51">
            <v>2</v>
          </cell>
          <cell r="CR51">
            <v>2</v>
          </cell>
          <cell r="CS51">
            <v>2</v>
          </cell>
          <cell r="CT51">
            <v>2</v>
          </cell>
          <cell r="CU51">
            <v>2</v>
          </cell>
          <cell r="CV51">
            <v>2</v>
          </cell>
          <cell r="CW51">
            <v>2</v>
          </cell>
          <cell r="CX51">
            <v>2</v>
          </cell>
          <cell r="CY51">
            <v>2</v>
          </cell>
          <cell r="CZ51">
            <v>2</v>
          </cell>
          <cell r="DA51">
            <v>2</v>
          </cell>
          <cell r="DB51">
            <v>2</v>
          </cell>
          <cell r="DC51">
            <v>2</v>
          </cell>
          <cell r="DD51">
            <v>2</v>
          </cell>
          <cell r="DE51">
            <v>2</v>
          </cell>
          <cell r="DF51">
            <v>2</v>
          </cell>
          <cell r="DG51">
            <v>2</v>
          </cell>
          <cell r="DH51">
            <v>2</v>
          </cell>
          <cell r="DI51">
            <v>2</v>
          </cell>
          <cell r="DJ51">
            <v>2</v>
          </cell>
          <cell r="DK51">
            <v>2</v>
          </cell>
          <cell r="DL51">
            <v>2</v>
          </cell>
          <cell r="DM51">
            <v>2</v>
          </cell>
          <cell r="DN51">
            <v>2</v>
          </cell>
          <cell r="DO51">
            <v>2</v>
          </cell>
        </row>
        <row r="52">
          <cell r="A52" t="str">
            <v>Royalties</v>
          </cell>
          <cell r="B52" t="str">
            <v>A$/oz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35.857268722466962</v>
          </cell>
          <cell r="O52">
            <v>16.875538151133725</v>
          </cell>
          <cell r="P52">
            <v>17.094682937312111</v>
          </cell>
          <cell r="Q52">
            <v>15.231869885682277</v>
          </cell>
          <cell r="R52">
            <v>13.271403042919269</v>
          </cell>
          <cell r="S52">
            <v>12.023508590702425</v>
          </cell>
          <cell r="T52">
            <v>10.092912771063517</v>
          </cell>
          <cell r="U52">
            <v>8.547727013646881</v>
          </cell>
          <cell r="V52">
            <v>8.547727013646881</v>
          </cell>
          <cell r="W52">
            <v>8.547727013646881</v>
          </cell>
          <cell r="X52">
            <v>8.547727013646881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CI52">
            <v>45</v>
          </cell>
          <cell r="CJ52">
            <v>12</v>
          </cell>
          <cell r="CK52">
            <v>35.857268722466962</v>
          </cell>
          <cell r="CL52">
            <v>14.725291166938185</v>
          </cell>
          <cell r="CM52">
            <v>18.380711040070601</v>
          </cell>
          <cell r="CN52">
            <v>16.875538151133725</v>
          </cell>
          <cell r="CO52">
            <v>18.090598351726761</v>
          </cell>
          <cell r="CP52">
            <v>16.246310547255188</v>
          </cell>
          <cell r="CQ52">
            <v>17.094682937312111</v>
          </cell>
          <cell r="CR52">
            <v>16.246310547255188</v>
          </cell>
          <cell r="CS52">
            <v>14.091187719558071</v>
          </cell>
          <cell r="CT52">
            <v>15.231869885682277</v>
          </cell>
          <cell r="CU52">
            <v>14.091187719558071</v>
          </cell>
          <cell r="CV52">
            <v>12.433400929021827</v>
          </cell>
          <cell r="CW52">
            <v>13.271403042919269</v>
          </cell>
          <cell r="CX52">
            <v>12.433400929021827</v>
          </cell>
          <cell r="CY52">
            <v>11.604507533753706</v>
          </cell>
          <cell r="CZ52">
            <v>12.023508590702425</v>
          </cell>
          <cell r="DA52">
            <v>11.604507533753706</v>
          </cell>
          <cell r="DB52">
            <v>8.547727013646881</v>
          </cell>
          <cell r="DC52">
            <v>10.092912771063517</v>
          </cell>
          <cell r="DD52">
            <v>8.547727013646881</v>
          </cell>
          <cell r="DE52">
            <v>8.547727013646881</v>
          </cell>
          <cell r="DF52">
            <v>8.547727013646881</v>
          </cell>
          <cell r="DG52">
            <v>8.547727013646881</v>
          </cell>
          <cell r="DH52">
            <v>8.547727013646881</v>
          </cell>
          <cell r="DI52">
            <v>8.547727013646881</v>
          </cell>
          <cell r="DJ52">
            <v>8.547727013646881</v>
          </cell>
          <cell r="DK52">
            <v>8.547727013646881</v>
          </cell>
          <cell r="DL52">
            <v>8.547727013646881</v>
          </cell>
          <cell r="DM52">
            <v>8.547727013646881</v>
          </cell>
          <cell r="DN52">
            <v>8.547727013646881</v>
          </cell>
          <cell r="DO52">
            <v>8.547727013646881</v>
          </cell>
        </row>
        <row r="53">
          <cell r="A53" t="str">
            <v>By-product credits</v>
          </cell>
          <cell r="B53" t="str">
            <v>A$/oz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-8.4458950740889058</v>
          </cell>
          <cell r="O53">
            <v>-9</v>
          </cell>
          <cell r="P53">
            <v>-9</v>
          </cell>
          <cell r="Q53">
            <v>-9</v>
          </cell>
          <cell r="R53">
            <v>-9</v>
          </cell>
          <cell r="S53">
            <v>-9</v>
          </cell>
          <cell r="T53">
            <v>-9</v>
          </cell>
          <cell r="U53">
            <v>-9</v>
          </cell>
          <cell r="V53">
            <v>-9</v>
          </cell>
          <cell r="W53">
            <v>-9</v>
          </cell>
          <cell r="X53">
            <v>-9.0000000000000018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CI53">
            <v>-9</v>
          </cell>
          <cell r="CJ53">
            <v>-7</v>
          </cell>
          <cell r="CK53">
            <v>-8.4458950740889058</v>
          </cell>
          <cell r="CL53">
            <v>-9</v>
          </cell>
          <cell r="CM53">
            <v>-9</v>
          </cell>
          <cell r="CN53">
            <v>-9</v>
          </cell>
          <cell r="CO53">
            <v>-9</v>
          </cell>
          <cell r="CP53">
            <v>-9</v>
          </cell>
          <cell r="CQ53">
            <v>-9</v>
          </cell>
          <cell r="CR53">
            <v>-9</v>
          </cell>
          <cell r="CS53">
            <v>-9</v>
          </cell>
          <cell r="CT53">
            <v>-9</v>
          </cell>
          <cell r="CU53">
            <v>-9</v>
          </cell>
          <cell r="CV53">
            <v>-9</v>
          </cell>
          <cell r="CW53">
            <v>-9</v>
          </cell>
          <cell r="CX53">
            <v>-9</v>
          </cell>
          <cell r="CY53">
            <v>-9</v>
          </cell>
          <cell r="CZ53">
            <v>-9</v>
          </cell>
          <cell r="DA53">
            <v>-9</v>
          </cell>
          <cell r="DB53">
            <v>-9</v>
          </cell>
          <cell r="DC53">
            <v>-9</v>
          </cell>
          <cell r="DD53">
            <v>-9</v>
          </cell>
          <cell r="DE53">
            <v>-9</v>
          </cell>
          <cell r="DF53">
            <v>-9</v>
          </cell>
          <cell r="DG53">
            <v>-9</v>
          </cell>
          <cell r="DH53">
            <v>-9</v>
          </cell>
          <cell r="DI53">
            <v>-9</v>
          </cell>
          <cell r="DJ53">
            <v>-9</v>
          </cell>
          <cell r="DK53">
            <v>-9</v>
          </cell>
          <cell r="DL53">
            <v>-9</v>
          </cell>
          <cell r="DM53">
            <v>-9</v>
          </cell>
          <cell r="DN53">
            <v>-9</v>
          </cell>
          <cell r="DO53">
            <v>-9.0000000000000018</v>
          </cell>
        </row>
        <row r="54">
          <cell r="A54" t="str">
            <v>Gross Cash Costs</v>
          </cell>
          <cell r="B54" t="str">
            <v>A$/oz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300</v>
          </cell>
          <cell r="L54">
            <v>562.19000000000005</v>
          </cell>
          <cell r="M54">
            <v>629.78060560916038</v>
          </cell>
          <cell r="N54">
            <v>1446.4040849018822</v>
          </cell>
          <cell r="O54">
            <v>985.56181266093768</v>
          </cell>
          <cell r="P54">
            <v>552.93104657367576</v>
          </cell>
          <cell r="Q54">
            <v>528.73396193589156</v>
          </cell>
          <cell r="R54">
            <v>518.90876568028193</v>
          </cell>
          <cell r="S54">
            <v>517.66087122806505</v>
          </cell>
          <cell r="T54">
            <v>473.01049518864585</v>
          </cell>
          <cell r="U54">
            <v>471.46530943122923</v>
          </cell>
          <cell r="V54">
            <v>471.46530943122923</v>
          </cell>
          <cell r="W54">
            <v>471.46530943122923</v>
          </cell>
          <cell r="X54">
            <v>609.72550479142467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CA54">
            <v>0</v>
          </cell>
          <cell r="CB54">
            <v>300</v>
          </cell>
          <cell r="CC54">
            <v>300</v>
          </cell>
          <cell r="CD54">
            <v>372</v>
          </cell>
          <cell r="CE54">
            <v>562.19000000000005</v>
          </cell>
          <cell r="CF54">
            <v>455.71036065573776</v>
          </cell>
          <cell r="CG54">
            <v>721</v>
          </cell>
          <cell r="CH54">
            <v>629.78060560916038</v>
          </cell>
          <cell r="CI54">
            <v>1240</v>
          </cell>
          <cell r="CJ54">
            <v>1985</v>
          </cell>
          <cell r="CK54">
            <v>1446.4040849018822</v>
          </cell>
          <cell r="CL54">
            <v>1192.487195928843</v>
          </cell>
          <cell r="CM54">
            <v>840.71404437340402</v>
          </cell>
          <cell r="CN54">
            <v>985.56181266093768</v>
          </cell>
          <cell r="CO54">
            <v>601.13012404342646</v>
          </cell>
          <cell r="CP54">
            <v>511.87257317351782</v>
          </cell>
          <cell r="CQ54">
            <v>552.93104657367576</v>
          </cell>
          <cell r="CR54">
            <v>500.94591529033818</v>
          </cell>
          <cell r="CS54">
            <v>559.98007660844701</v>
          </cell>
          <cell r="CT54">
            <v>528.73396193589156</v>
          </cell>
          <cell r="CU54">
            <v>514.15640511086247</v>
          </cell>
          <cell r="CV54">
            <v>523.76673426235516</v>
          </cell>
          <cell r="CW54">
            <v>518.90876568028193</v>
          </cell>
          <cell r="CX54">
            <v>512.49861832032616</v>
          </cell>
          <cell r="CY54">
            <v>522.93784086708706</v>
          </cell>
          <cell r="CZ54">
            <v>517.66087122806505</v>
          </cell>
          <cell r="DA54">
            <v>469.41429014244932</v>
          </cell>
          <cell r="DB54">
            <v>476.68661590253578</v>
          </cell>
          <cell r="DC54">
            <v>473.01049518864585</v>
          </cell>
          <cell r="DD54">
            <v>466.35750962234249</v>
          </cell>
          <cell r="DE54">
            <v>476.68661590253578</v>
          </cell>
          <cell r="DF54">
            <v>471.46530943122923</v>
          </cell>
          <cell r="DG54">
            <v>466.35750962234249</v>
          </cell>
          <cell r="DH54">
            <v>476.68661590253578</v>
          </cell>
          <cell r="DI54">
            <v>471.46530943122923</v>
          </cell>
          <cell r="DJ54">
            <v>466.35750962234249</v>
          </cell>
          <cell r="DK54">
            <v>476.68661590253578</v>
          </cell>
          <cell r="DL54">
            <v>471.46530943122923</v>
          </cell>
          <cell r="DM54">
            <v>508.36254182846176</v>
          </cell>
          <cell r="DN54">
            <v>761.76994923586903</v>
          </cell>
          <cell r="DO54">
            <v>609.72550479142467</v>
          </cell>
        </row>
        <row r="55">
          <cell r="A55" t="str">
            <v>Gross Cash Costs</v>
          </cell>
          <cell r="B55" t="str">
            <v>A$M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11.0205</v>
          </cell>
          <cell r="L55">
            <v>37.282192040000005</v>
          </cell>
          <cell r="M55">
            <v>72.710690040000003</v>
          </cell>
          <cell r="N55">
            <v>80.259355555555558</v>
          </cell>
          <cell r="O55">
            <v>96.971676744130832</v>
          </cell>
          <cell r="P55">
            <v>97.785233316888011</v>
          </cell>
          <cell r="Q55">
            <v>97.518263847725848</v>
          </cell>
          <cell r="R55">
            <v>97.174426087522889</v>
          </cell>
          <cell r="S55">
            <v>96.940736785602923</v>
          </cell>
          <cell r="T55">
            <v>88.579200127931628</v>
          </cell>
          <cell r="U55">
            <v>88.289838010529877</v>
          </cell>
          <cell r="V55">
            <v>88.289838010529877</v>
          </cell>
          <cell r="W55">
            <v>88.289838010529877</v>
          </cell>
          <cell r="X55">
            <v>88.223947638630577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CA55">
            <v>0</v>
          </cell>
          <cell r="CB55">
            <v>11.0205</v>
          </cell>
          <cell r="CC55">
            <v>11.0205</v>
          </cell>
          <cell r="CD55">
            <v>31.139004</v>
          </cell>
          <cell r="CE55">
            <v>37.282192040000005</v>
          </cell>
          <cell r="CF55">
            <v>68.36703543665574</v>
          </cell>
          <cell r="CG55">
            <v>35.428497999999998</v>
          </cell>
          <cell r="CH55">
            <v>72.710690040000003</v>
          </cell>
          <cell r="CI55">
            <v>49.743288888888891</v>
          </cell>
          <cell r="CJ55">
            <v>30.516066666666664</v>
          </cell>
          <cell r="CK55">
            <v>80.259355555555558</v>
          </cell>
          <cell r="CL55">
            <v>48.312986073001348</v>
          </cell>
          <cell r="CM55">
            <v>48.658690671129492</v>
          </cell>
          <cell r="CN55">
            <v>96.971676744130832</v>
          </cell>
          <cell r="CO55">
            <v>48.902225525076169</v>
          </cell>
          <cell r="CP55">
            <v>48.883007791811842</v>
          </cell>
          <cell r="CQ55">
            <v>97.785233316888011</v>
          </cell>
          <cell r="CR55">
            <v>48.90263018718543</v>
          </cell>
          <cell r="CS55">
            <v>48.615633660540411</v>
          </cell>
          <cell r="CT55">
            <v>97.518263847725848</v>
          </cell>
          <cell r="CU55">
            <v>48.671268702455919</v>
          </cell>
          <cell r="CV55">
            <v>48.50315738506697</v>
          </cell>
          <cell r="CW55">
            <v>97.174426087522889</v>
          </cell>
          <cell r="CX55">
            <v>48.514338660290683</v>
          </cell>
          <cell r="CY55">
            <v>48.426398125312247</v>
          </cell>
          <cell r="CZ55">
            <v>96.940736785602923</v>
          </cell>
          <cell r="DA55">
            <v>44.435873639208062</v>
          </cell>
          <cell r="DB55">
            <v>44.143326488723567</v>
          </cell>
          <cell r="DC55">
            <v>88.579200127931628</v>
          </cell>
          <cell r="DD55">
            <v>44.146511521806318</v>
          </cell>
          <cell r="DE55">
            <v>44.143326488723567</v>
          </cell>
          <cell r="DF55">
            <v>88.289838010529877</v>
          </cell>
          <cell r="DG55">
            <v>44.146511521806318</v>
          </cell>
          <cell r="DH55">
            <v>44.143326488723567</v>
          </cell>
          <cell r="DI55">
            <v>88.289838010529877</v>
          </cell>
          <cell r="DJ55">
            <v>44.146511521806318</v>
          </cell>
          <cell r="DK55">
            <v>44.143326488723567</v>
          </cell>
          <cell r="DL55">
            <v>88.289838010529877</v>
          </cell>
          <cell r="DM55">
            <v>44.13436858317835</v>
          </cell>
          <cell r="DN55">
            <v>44.089579055452226</v>
          </cell>
          <cell r="DO55">
            <v>88.223947638630577</v>
          </cell>
        </row>
        <row r="57">
          <cell r="A57" t="str">
            <v>Deferred Mining Costs</v>
          </cell>
          <cell r="B57" t="str">
            <v>A$/oz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-210.59239086904282</v>
          </cell>
          <cell r="O57">
            <v>-49.999999999999993</v>
          </cell>
          <cell r="P57">
            <v>-50</v>
          </cell>
          <cell r="Q57">
            <v>-49.999999999999993</v>
          </cell>
          <cell r="R57">
            <v>-49.999999999999993</v>
          </cell>
          <cell r="S57">
            <v>-49.999999999999993</v>
          </cell>
          <cell r="T57">
            <v>-49.999999999999993</v>
          </cell>
          <cell r="U57">
            <v>-49.999999999999993</v>
          </cell>
          <cell r="V57">
            <v>-49.999999999999993</v>
          </cell>
          <cell r="W57">
            <v>-49.999999999999993</v>
          </cell>
          <cell r="X57">
            <v>-50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CI57">
            <v>-161</v>
          </cell>
          <cell r="CJ57">
            <v>-340</v>
          </cell>
          <cell r="CK57">
            <v>-210.59239086904282</v>
          </cell>
          <cell r="CL57">
            <v>-50</v>
          </cell>
          <cell r="CM57">
            <v>-50</v>
          </cell>
          <cell r="CN57">
            <v>-49.999999999999993</v>
          </cell>
          <cell r="CO57">
            <v>-50</v>
          </cell>
          <cell r="CP57">
            <v>-50</v>
          </cell>
          <cell r="CQ57">
            <v>-50</v>
          </cell>
          <cell r="CR57">
            <v>-50</v>
          </cell>
          <cell r="CS57">
            <v>-50</v>
          </cell>
          <cell r="CT57">
            <v>-49.999999999999993</v>
          </cell>
          <cell r="CU57">
            <v>-50</v>
          </cell>
          <cell r="CV57">
            <v>-50</v>
          </cell>
          <cell r="CW57">
            <v>-49.999999999999993</v>
          </cell>
          <cell r="CX57">
            <v>-50</v>
          </cell>
          <cell r="CY57">
            <v>-50</v>
          </cell>
          <cell r="CZ57">
            <v>-49.999999999999993</v>
          </cell>
          <cell r="DA57">
            <v>-50</v>
          </cell>
          <cell r="DB57">
            <v>-50</v>
          </cell>
          <cell r="DC57">
            <v>-49.999999999999993</v>
          </cell>
          <cell r="DD57">
            <v>-50</v>
          </cell>
          <cell r="DE57">
            <v>-50</v>
          </cell>
          <cell r="DF57">
            <v>-49.999999999999993</v>
          </cell>
          <cell r="DG57">
            <v>-50</v>
          </cell>
          <cell r="DH57">
            <v>-50</v>
          </cell>
          <cell r="DI57">
            <v>-49.999999999999993</v>
          </cell>
          <cell r="DJ57">
            <v>-50</v>
          </cell>
          <cell r="DK57">
            <v>-50</v>
          </cell>
          <cell r="DL57">
            <v>-49.999999999999993</v>
          </cell>
          <cell r="DM57">
            <v>-50</v>
          </cell>
          <cell r="DN57">
            <v>-50</v>
          </cell>
          <cell r="DO57">
            <v>-50</v>
          </cell>
        </row>
        <row r="58">
          <cell r="A58" t="str">
            <v>Net Cash Costs</v>
          </cell>
          <cell r="B58" t="str">
            <v>A$/oz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1235.8116940328393</v>
          </cell>
          <cell r="O58">
            <v>935.56181266093768</v>
          </cell>
          <cell r="P58">
            <v>502.93104657367581</v>
          </cell>
          <cell r="Q58">
            <v>478.7339619358915</v>
          </cell>
          <cell r="R58">
            <v>468.90876568028193</v>
          </cell>
          <cell r="S58">
            <v>467.66087122806505</v>
          </cell>
          <cell r="T58">
            <v>423.01049518864585</v>
          </cell>
          <cell r="U58">
            <v>421.46530943122923</v>
          </cell>
          <cell r="V58">
            <v>421.46530943122923</v>
          </cell>
          <cell r="W58">
            <v>421.46530943122923</v>
          </cell>
          <cell r="X58">
            <v>559.72550479142467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CI58">
            <v>1079</v>
          </cell>
          <cell r="CJ58">
            <v>1645</v>
          </cell>
          <cell r="CK58">
            <v>1235.8116940328393</v>
          </cell>
          <cell r="CL58">
            <v>1142.487195928843</v>
          </cell>
          <cell r="CM58">
            <v>790.71404437340402</v>
          </cell>
          <cell r="CN58">
            <v>935.56181266093768</v>
          </cell>
          <cell r="CO58">
            <v>551.13012404342646</v>
          </cell>
          <cell r="CP58">
            <v>461.87257317351782</v>
          </cell>
          <cell r="CQ58">
            <v>502.93104657367581</v>
          </cell>
          <cell r="CR58">
            <v>450.94591529033818</v>
          </cell>
          <cell r="CS58">
            <v>509.98007660844701</v>
          </cell>
          <cell r="CT58">
            <v>478.7339619358915</v>
          </cell>
          <cell r="CU58">
            <v>464.15640511086247</v>
          </cell>
          <cell r="CV58">
            <v>473.76673426235516</v>
          </cell>
          <cell r="CW58">
            <v>468.90876568028193</v>
          </cell>
          <cell r="CX58">
            <v>462.49861832032616</v>
          </cell>
          <cell r="CY58">
            <v>472.93784086708706</v>
          </cell>
          <cell r="CZ58">
            <v>467.66087122806505</v>
          </cell>
          <cell r="DA58">
            <v>419.41429014244932</v>
          </cell>
          <cell r="DB58">
            <v>426.68661590253578</v>
          </cell>
          <cell r="DC58">
            <v>423.01049518864585</v>
          </cell>
          <cell r="DD58">
            <v>416.35750962234249</v>
          </cell>
          <cell r="DE58">
            <v>426.68661590253578</v>
          </cell>
          <cell r="DF58">
            <v>421.46530943122923</v>
          </cell>
          <cell r="DG58">
            <v>416.35750962234249</v>
          </cell>
          <cell r="DH58">
            <v>426.68661590253578</v>
          </cell>
          <cell r="DI58">
            <v>421.46530943122923</v>
          </cell>
          <cell r="DJ58">
            <v>416.35750962234249</v>
          </cell>
          <cell r="DK58">
            <v>426.68661590253578</v>
          </cell>
          <cell r="DL58">
            <v>421.46530943122923</v>
          </cell>
          <cell r="DM58">
            <v>458.36254182846176</v>
          </cell>
          <cell r="DN58">
            <v>711.76994923586903</v>
          </cell>
          <cell r="DO58">
            <v>559.72550479142467</v>
          </cell>
        </row>
        <row r="59">
          <cell r="A59" t="str">
            <v>Net Cash Costs</v>
          </cell>
          <cell r="B59" t="str">
            <v>A$M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68.573817777777776</v>
          </cell>
          <cell r="O59">
            <v>92.052062596220878</v>
          </cell>
          <cell r="P59">
            <v>88.942789586984475</v>
          </cell>
          <cell r="Q59">
            <v>88.296398895957353</v>
          </cell>
          <cell r="R59">
            <v>87.811082036075959</v>
          </cell>
          <cell r="S59">
            <v>87.577392734155978</v>
          </cell>
          <cell r="T59">
            <v>79.215856076484684</v>
          </cell>
          <cell r="U59">
            <v>78.926493959082933</v>
          </cell>
          <cell r="V59">
            <v>78.926493959082933</v>
          </cell>
          <cell r="W59">
            <v>78.926493959082933</v>
          </cell>
          <cell r="X59">
            <v>80.989220950527681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CI59">
            <v>43.284684444444437</v>
          </cell>
          <cell r="CJ59">
            <v>25.289133333333332</v>
          </cell>
          <cell r="CK59">
            <v>68.573817777777776</v>
          </cell>
          <cell r="CL59">
            <v>46.287262600332546</v>
          </cell>
          <cell r="CM59">
            <v>45.764799995888339</v>
          </cell>
          <cell r="CN59">
            <v>92.052062596220878</v>
          </cell>
          <cell r="CO59">
            <v>44.834701409320537</v>
          </cell>
          <cell r="CP59">
            <v>44.10808817766393</v>
          </cell>
          <cell r="CQ59">
            <v>88.942789586984475</v>
          </cell>
          <cell r="CR59">
            <v>44.021601248278678</v>
          </cell>
          <cell r="CS59">
            <v>44.274797647678675</v>
          </cell>
          <cell r="CT59">
            <v>88.296398895957353</v>
          </cell>
          <cell r="CU59">
            <v>43.93814973139483</v>
          </cell>
          <cell r="CV59">
            <v>43.872932304681122</v>
          </cell>
          <cell r="CW59">
            <v>87.811082036075959</v>
          </cell>
          <cell r="CX59">
            <v>43.781219689229587</v>
          </cell>
          <cell r="CY59">
            <v>43.796173044926391</v>
          </cell>
          <cell r="CZ59">
            <v>87.577392734155978</v>
          </cell>
          <cell r="DA59">
            <v>39.702754668146966</v>
          </cell>
          <cell r="DB59">
            <v>39.513101408337718</v>
          </cell>
          <cell r="DC59">
            <v>79.215856076484684</v>
          </cell>
          <cell r="DD59">
            <v>39.413392550745222</v>
          </cell>
          <cell r="DE59">
            <v>39.513101408337718</v>
          </cell>
          <cell r="DF59">
            <v>78.926493959082933</v>
          </cell>
          <cell r="DG59">
            <v>39.413392550745222</v>
          </cell>
          <cell r="DH59">
            <v>39.513101408337718</v>
          </cell>
          <cell r="DI59">
            <v>78.926493959082933</v>
          </cell>
          <cell r="DJ59">
            <v>39.413392550745222</v>
          </cell>
          <cell r="DK59">
            <v>39.513101408337718</v>
          </cell>
          <cell r="DL59">
            <v>78.926493959082933</v>
          </cell>
          <cell r="DM59">
            <v>39.793532570316614</v>
          </cell>
          <cell r="DN59">
            <v>41.195688380211067</v>
          </cell>
          <cell r="DO59">
            <v>80.989220950527681</v>
          </cell>
        </row>
        <row r="61">
          <cell r="A61" t="str">
            <v>Depreciation &amp; Amortisation</v>
          </cell>
          <cell r="B61" t="str">
            <v>A$/oz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266.49259110933116</v>
          </cell>
          <cell r="O61">
            <v>266.4925911093311</v>
          </cell>
          <cell r="P61">
            <v>266.49259110933116</v>
          </cell>
          <cell r="Q61">
            <v>266.49259110933116</v>
          </cell>
          <cell r="R61">
            <v>266.49259110933116</v>
          </cell>
          <cell r="S61">
            <v>266.49259110933116</v>
          </cell>
          <cell r="T61">
            <v>266.49259110933116</v>
          </cell>
          <cell r="U61">
            <v>266.49259110933116</v>
          </cell>
          <cell r="V61">
            <v>266.49259110933116</v>
          </cell>
          <cell r="W61">
            <v>266.49259110933116</v>
          </cell>
          <cell r="X61">
            <v>266.49259110933116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CI61">
            <v>200</v>
          </cell>
          <cell r="CJ61">
            <v>440</v>
          </cell>
          <cell r="CK61">
            <v>266.49259110933116</v>
          </cell>
          <cell r="CL61">
            <v>266.49259110933116</v>
          </cell>
          <cell r="CM61">
            <v>266.49259110933116</v>
          </cell>
          <cell r="CN61">
            <v>266.4925911093311</v>
          </cell>
          <cell r="CO61">
            <v>266.49259110933116</v>
          </cell>
          <cell r="CP61">
            <v>266.49259110933116</v>
          </cell>
          <cell r="CQ61">
            <v>266.49259110933116</v>
          </cell>
          <cell r="CR61">
            <v>266.49259110933116</v>
          </cell>
          <cell r="CS61">
            <v>266.49259110933116</v>
          </cell>
          <cell r="CT61">
            <v>266.49259110933116</v>
          </cell>
          <cell r="CU61">
            <v>266.49259110933116</v>
          </cell>
          <cell r="CV61">
            <v>266.49259110933116</v>
          </cell>
          <cell r="CW61">
            <v>266.49259110933116</v>
          </cell>
          <cell r="CX61">
            <v>266.49259110933116</v>
          </cell>
          <cell r="CY61">
            <v>266.49259110933116</v>
          </cell>
          <cell r="CZ61">
            <v>266.49259110933116</v>
          </cell>
          <cell r="DA61">
            <v>266.49259110933116</v>
          </cell>
          <cell r="DB61">
            <v>266.49259110933116</v>
          </cell>
          <cell r="DC61">
            <v>266.49259110933116</v>
          </cell>
          <cell r="DD61">
            <v>266.49259110933116</v>
          </cell>
          <cell r="DE61">
            <v>266.49259110933116</v>
          </cell>
          <cell r="DF61">
            <v>266.49259110933116</v>
          </cell>
          <cell r="DG61">
            <v>266.49259110933116</v>
          </cell>
          <cell r="DH61">
            <v>266.49259110933116</v>
          </cell>
          <cell r="DI61">
            <v>266.49259110933116</v>
          </cell>
          <cell r="DJ61">
            <v>266.49259110933116</v>
          </cell>
          <cell r="DK61">
            <v>266.49259110933116</v>
          </cell>
          <cell r="DL61">
            <v>266.49259110933116</v>
          </cell>
          <cell r="DM61">
            <v>266.49259110933116</v>
          </cell>
          <cell r="DN61">
            <v>266.49259110933116</v>
          </cell>
          <cell r="DO61">
            <v>266.49259110933116</v>
          </cell>
        </row>
        <row r="62">
          <cell r="A62" t="str">
            <v>Total Costs</v>
          </cell>
          <cell r="B62" t="str">
            <v>A$/oz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1502.3042851421706</v>
          </cell>
          <cell r="O62">
            <v>1202.0544037702689</v>
          </cell>
          <cell r="P62">
            <v>769.42363768300697</v>
          </cell>
          <cell r="Q62">
            <v>745.22655304522266</v>
          </cell>
          <cell r="R62">
            <v>735.40135678961303</v>
          </cell>
          <cell r="S62">
            <v>734.15346233739615</v>
          </cell>
          <cell r="T62">
            <v>689.50308629797712</v>
          </cell>
          <cell r="U62">
            <v>687.95790054056033</v>
          </cell>
          <cell r="V62">
            <v>687.95790054056033</v>
          </cell>
          <cell r="W62">
            <v>687.95790054056033</v>
          </cell>
          <cell r="X62">
            <v>826.21809590075588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CI62">
            <v>1279</v>
          </cell>
          <cell r="CJ62">
            <v>2085</v>
          </cell>
          <cell r="CK62">
            <v>1502.3042851421706</v>
          </cell>
          <cell r="CL62">
            <v>1408.9797870381742</v>
          </cell>
          <cell r="CM62">
            <v>1057.2066354827352</v>
          </cell>
          <cell r="CN62">
            <v>1202.0544037702689</v>
          </cell>
          <cell r="CO62">
            <v>817.62271515275756</v>
          </cell>
          <cell r="CP62">
            <v>728.36516428284904</v>
          </cell>
          <cell r="CQ62">
            <v>769.42363768300697</v>
          </cell>
          <cell r="CR62">
            <v>717.43850639966934</v>
          </cell>
          <cell r="CS62">
            <v>776.47266771777822</v>
          </cell>
          <cell r="CT62">
            <v>745.22655304522266</v>
          </cell>
          <cell r="CU62">
            <v>730.64899622019357</v>
          </cell>
          <cell r="CV62">
            <v>740.25932537168637</v>
          </cell>
          <cell r="CW62">
            <v>735.40135678961303</v>
          </cell>
          <cell r="CX62">
            <v>728.99120942965737</v>
          </cell>
          <cell r="CY62">
            <v>739.43043197641828</v>
          </cell>
          <cell r="CZ62">
            <v>734.15346233739615</v>
          </cell>
          <cell r="DA62">
            <v>685.90688125178053</v>
          </cell>
          <cell r="DB62">
            <v>693.17920701186699</v>
          </cell>
          <cell r="DC62">
            <v>689.50308629797712</v>
          </cell>
          <cell r="DD62">
            <v>682.85010073167359</v>
          </cell>
          <cell r="DE62">
            <v>693.17920701186699</v>
          </cell>
          <cell r="DF62">
            <v>687.95790054056033</v>
          </cell>
          <cell r="DG62">
            <v>682.85010073167359</v>
          </cell>
          <cell r="DH62">
            <v>693.17920701186699</v>
          </cell>
          <cell r="DI62">
            <v>687.95790054056033</v>
          </cell>
          <cell r="DJ62">
            <v>682.85010073167359</v>
          </cell>
          <cell r="DK62">
            <v>693.17920701186699</v>
          </cell>
          <cell r="DL62">
            <v>687.95790054056033</v>
          </cell>
          <cell r="DM62">
            <v>724.85513293779286</v>
          </cell>
          <cell r="DN62">
            <v>978.26254034520025</v>
          </cell>
          <cell r="DO62">
            <v>826.21809590075588</v>
          </cell>
        </row>
        <row r="63">
          <cell r="A63" t="str">
            <v>Total Costs</v>
          </cell>
          <cell r="B63" t="str">
            <v>A$M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3.0961590000000002E-3</v>
          </cell>
          <cell r="O63">
            <v>2.2195677802688187E-3</v>
          </cell>
          <cell r="P63">
            <v>1.4077415457951011E-3</v>
          </cell>
          <cell r="Q63">
            <v>1.3588688268336962E-3</v>
          </cell>
          <cell r="R63">
            <v>1.338430469357096E-3</v>
          </cell>
          <cell r="S63">
            <v>1.3361593014540613E-3</v>
          </cell>
          <cell r="T63">
            <v>1.2548956170623186E-3</v>
          </cell>
          <cell r="U63">
            <v>1.2520833789838202E-3</v>
          </cell>
          <cell r="V63">
            <v>1.2520833789838202E-3</v>
          </cell>
          <cell r="W63">
            <v>1.2520833789838202E-3</v>
          </cell>
          <cell r="X63">
            <v>1.5328059059546938E-3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CI63">
            <v>1.1779590000000001E-3</v>
          </cell>
          <cell r="CJ63">
            <v>1.9182000000000001E-3</v>
          </cell>
          <cell r="CK63">
            <v>3.0961590000000002E-3</v>
          </cell>
          <cell r="CL63">
            <v>1.2680818083343568E-3</v>
          </cell>
          <cell r="CM63">
            <v>9.514859719344618E-4</v>
          </cell>
          <cell r="CN63">
            <v>2.2195677802688187E-3</v>
          </cell>
          <cell r="CO63">
            <v>7.5221289794053696E-4</v>
          </cell>
          <cell r="CP63">
            <v>6.5552864785456411E-4</v>
          </cell>
          <cell r="CQ63">
            <v>1.4077415457951011E-3</v>
          </cell>
          <cell r="CR63">
            <v>6.6004342588769579E-4</v>
          </cell>
          <cell r="CS63">
            <v>6.9882540094600039E-4</v>
          </cell>
          <cell r="CT63">
            <v>1.3588688268336962E-3</v>
          </cell>
          <cell r="CU63">
            <v>6.7219707652257813E-4</v>
          </cell>
          <cell r="CV63">
            <v>6.6623339283451775E-4</v>
          </cell>
          <cell r="CW63">
            <v>1.338430469357096E-3</v>
          </cell>
          <cell r="CX63">
            <v>6.7067191267528481E-4</v>
          </cell>
          <cell r="CY63">
            <v>6.654873887787764E-4</v>
          </cell>
          <cell r="CZ63">
            <v>1.3361593014540613E-3</v>
          </cell>
          <cell r="DA63">
            <v>6.3103433075163814E-4</v>
          </cell>
          <cell r="DB63">
            <v>6.2386128631068032E-4</v>
          </cell>
          <cell r="DC63">
            <v>1.2548956170623186E-3</v>
          </cell>
          <cell r="DD63">
            <v>6.2822209267313978E-4</v>
          </cell>
          <cell r="DE63">
            <v>6.2386128631068032E-4</v>
          </cell>
          <cell r="DF63">
            <v>1.2520833789838202E-3</v>
          </cell>
          <cell r="DG63">
            <v>6.2822209267313978E-4</v>
          </cell>
          <cell r="DH63">
            <v>6.2386128631068032E-4</v>
          </cell>
          <cell r="DI63">
            <v>1.2520833789838202E-3</v>
          </cell>
          <cell r="DJ63">
            <v>6.2822209267313978E-4</v>
          </cell>
          <cell r="DK63">
            <v>6.2386128631068032E-4</v>
          </cell>
          <cell r="DL63">
            <v>1.2520833789838202E-3</v>
          </cell>
          <cell r="DM63">
            <v>6.5236961964401359E-4</v>
          </cell>
          <cell r="DN63">
            <v>8.804362863106802E-4</v>
          </cell>
          <cell r="DO63">
            <v>1.5328059059546938E-3</v>
          </cell>
        </row>
        <row r="65">
          <cell r="A65" t="str">
            <v>FINANCIALS (NCM share)</v>
          </cell>
          <cell r="B65" t="str">
            <v>.</v>
          </cell>
          <cell r="C65" t="str">
            <v>.</v>
          </cell>
          <cell r="D65" t="str">
            <v>.</v>
          </cell>
          <cell r="E65" t="str">
            <v>.</v>
          </cell>
          <cell r="F65" t="str">
            <v>.</v>
          </cell>
          <cell r="G65" t="str">
            <v>.</v>
          </cell>
          <cell r="H65" t="str">
            <v>.</v>
          </cell>
          <cell r="I65" t="str">
            <v>.</v>
          </cell>
          <cell r="J65" t="str">
            <v>.</v>
          </cell>
          <cell r="K65" t="str">
            <v>.</v>
          </cell>
          <cell r="L65" t="str">
            <v>.</v>
          </cell>
          <cell r="M65" t="str">
            <v>.</v>
          </cell>
          <cell r="N65" t="str">
            <v>.</v>
          </cell>
          <cell r="O65" t="str">
            <v>.</v>
          </cell>
          <cell r="P65" t="str">
            <v>.</v>
          </cell>
          <cell r="Q65" t="str">
            <v>.</v>
          </cell>
          <cell r="R65" t="str">
            <v>.</v>
          </cell>
          <cell r="S65" t="str">
            <v>.</v>
          </cell>
          <cell r="T65" t="str">
            <v>.</v>
          </cell>
          <cell r="U65" t="str">
            <v>.</v>
          </cell>
          <cell r="V65" t="str">
            <v>.</v>
          </cell>
          <cell r="W65" t="str">
            <v>.</v>
          </cell>
          <cell r="X65" t="str">
            <v>.</v>
          </cell>
          <cell r="Y65" t="str">
            <v>.</v>
          </cell>
          <cell r="Z65" t="str">
            <v>.</v>
          </cell>
          <cell r="AA65" t="str">
            <v>.</v>
          </cell>
          <cell r="AB65" t="str">
            <v>.</v>
          </cell>
          <cell r="AC65" t="str">
            <v>.</v>
          </cell>
          <cell r="AD65" t="str">
            <v>.</v>
          </cell>
          <cell r="AE65" t="str">
            <v>.</v>
          </cell>
          <cell r="AF65" t="str">
            <v>.</v>
          </cell>
          <cell r="AG65" t="str">
            <v>.</v>
          </cell>
          <cell r="AH65" t="str">
            <v>.</v>
          </cell>
          <cell r="AI65" t="str">
            <v>.</v>
          </cell>
          <cell r="AJ65" t="str">
            <v>.</v>
          </cell>
          <cell r="AK65" t="str">
            <v>.</v>
          </cell>
          <cell r="AL65" t="str">
            <v>.</v>
          </cell>
          <cell r="AM65" t="str">
            <v>.</v>
          </cell>
          <cell r="AN65" t="str">
            <v>.</v>
          </cell>
          <cell r="AO65" t="str">
            <v>.</v>
          </cell>
          <cell r="AP65" t="str">
            <v>.</v>
          </cell>
          <cell r="AQ65" t="str">
            <v>.</v>
          </cell>
          <cell r="AR65" t="str">
            <v>.</v>
          </cell>
          <cell r="AS65" t="str">
            <v>.</v>
          </cell>
          <cell r="AT65" t="str">
            <v>.</v>
          </cell>
          <cell r="AU65" t="str">
            <v>.</v>
          </cell>
          <cell r="AV65" t="str">
            <v>.</v>
          </cell>
          <cell r="AW65" t="str">
            <v>.</v>
          </cell>
          <cell r="AX65" t="str">
            <v>.</v>
          </cell>
          <cell r="AY65" t="str">
            <v>.</v>
          </cell>
          <cell r="AZ65" t="str">
            <v>.</v>
          </cell>
          <cell r="BA65" t="str">
            <v>.</v>
          </cell>
          <cell r="BB65" t="str">
            <v>.</v>
          </cell>
          <cell r="BC65" t="str">
            <v>.</v>
          </cell>
          <cell r="BE65" t="str">
            <v>.</v>
          </cell>
          <cell r="BF65" t="str">
            <v>.</v>
          </cell>
          <cell r="BG65" t="str">
            <v>.</v>
          </cell>
          <cell r="BH65" t="str">
            <v>.</v>
          </cell>
          <cell r="BI65" t="str">
            <v>.</v>
          </cell>
          <cell r="BJ65" t="str">
            <v>.</v>
          </cell>
          <cell r="BK65" t="str">
            <v>.</v>
          </cell>
          <cell r="BL65" t="str">
            <v>.</v>
          </cell>
          <cell r="BM65" t="str">
            <v>.</v>
          </cell>
          <cell r="BN65" t="str">
            <v>.</v>
          </cell>
          <cell r="BO65" t="str">
            <v>.</v>
          </cell>
          <cell r="BP65" t="str">
            <v>.</v>
          </cell>
          <cell r="BQ65" t="str">
            <v>.</v>
          </cell>
          <cell r="BR65" t="str">
            <v>.</v>
          </cell>
          <cell r="BS65" t="str">
            <v>.</v>
          </cell>
          <cell r="BT65" t="str">
            <v>.</v>
          </cell>
          <cell r="BU65" t="str">
            <v>.</v>
          </cell>
          <cell r="BV65" t="str">
            <v>.</v>
          </cell>
          <cell r="BW65" t="str">
            <v>.</v>
          </cell>
          <cell r="BX65" t="str">
            <v>.</v>
          </cell>
          <cell r="BY65" t="str">
            <v>.</v>
          </cell>
          <cell r="BZ65" t="str">
            <v>.</v>
          </cell>
          <cell r="CA65" t="str">
            <v>.</v>
          </cell>
          <cell r="CB65" t="str">
            <v>.</v>
          </cell>
          <cell r="CC65" t="str">
            <v>.</v>
          </cell>
          <cell r="CD65" t="str">
            <v>.</v>
          </cell>
          <cell r="CE65" t="str">
            <v>.</v>
          </cell>
          <cell r="CF65" t="str">
            <v>.</v>
          </cell>
          <cell r="CG65" t="str">
            <v>.</v>
          </cell>
          <cell r="CH65" t="str">
            <v>.</v>
          </cell>
          <cell r="CI65" t="str">
            <v>.</v>
          </cell>
          <cell r="CJ65" t="str">
            <v>.</v>
          </cell>
          <cell r="CK65" t="str">
            <v>.</v>
          </cell>
          <cell r="CL65" t="str">
            <v>.</v>
          </cell>
          <cell r="CM65" t="str">
            <v>.</v>
          </cell>
          <cell r="CN65" t="str">
            <v>.</v>
          </cell>
          <cell r="CO65" t="str">
            <v>.</v>
          </cell>
          <cell r="CP65" t="str">
            <v>.</v>
          </cell>
          <cell r="CQ65" t="str">
            <v>.</v>
          </cell>
          <cell r="CR65" t="str">
            <v>.</v>
          </cell>
          <cell r="CS65" t="str">
            <v>.</v>
          </cell>
          <cell r="CT65" t="str">
            <v>.</v>
          </cell>
          <cell r="CU65" t="str">
            <v>.</v>
          </cell>
          <cell r="CV65" t="str">
            <v>.</v>
          </cell>
          <cell r="CW65" t="str">
            <v>.</v>
          </cell>
          <cell r="CX65" t="str">
            <v>.</v>
          </cell>
          <cell r="CY65" t="str">
            <v>.</v>
          </cell>
          <cell r="CZ65" t="str">
            <v>.</v>
          </cell>
          <cell r="DA65" t="str">
            <v>.</v>
          </cell>
          <cell r="DB65" t="str">
            <v>.</v>
          </cell>
          <cell r="DC65" t="str">
            <v>.</v>
          </cell>
          <cell r="DD65" t="str">
            <v>.</v>
          </cell>
          <cell r="DE65" t="str">
            <v>.</v>
          </cell>
          <cell r="DF65" t="str">
            <v>.</v>
          </cell>
          <cell r="DG65" t="str">
            <v>.</v>
          </cell>
          <cell r="DH65" t="str">
            <v>.</v>
          </cell>
          <cell r="DI65" t="str">
            <v>.</v>
          </cell>
          <cell r="DJ65" t="str">
            <v>.</v>
          </cell>
          <cell r="DK65" t="str">
            <v>.</v>
          </cell>
          <cell r="DL65" t="str">
            <v>.</v>
          </cell>
          <cell r="DM65" t="str">
            <v>.</v>
          </cell>
          <cell r="DN65" t="str">
            <v>.</v>
          </cell>
          <cell r="DO65" t="str">
            <v>.</v>
          </cell>
          <cell r="DP65" t="str">
            <v>.</v>
          </cell>
          <cell r="DQ65" t="str">
            <v>.</v>
          </cell>
          <cell r="DR65" t="str">
            <v>.</v>
          </cell>
          <cell r="DS65" t="str">
            <v>.</v>
          </cell>
          <cell r="DT65" t="str">
            <v>.</v>
          </cell>
          <cell r="DU65" t="str">
            <v>.</v>
          </cell>
          <cell r="DV65" t="str">
            <v>.</v>
          </cell>
          <cell r="DW65" t="str">
            <v>.</v>
          </cell>
          <cell r="DX65" t="str">
            <v>.</v>
          </cell>
          <cell r="DY65" t="str">
            <v>.</v>
          </cell>
          <cell r="DZ65" t="str">
            <v>.</v>
          </cell>
          <cell r="EA65" t="str">
            <v>.</v>
          </cell>
          <cell r="EB65" t="str">
            <v>.</v>
          </cell>
          <cell r="EC65" t="str">
            <v>.</v>
          </cell>
          <cell r="ED65" t="str">
            <v>.</v>
          </cell>
          <cell r="EE65" t="str">
            <v>.</v>
          </cell>
          <cell r="EF65" t="str">
            <v>.</v>
          </cell>
          <cell r="EG65" t="str">
            <v>.</v>
          </cell>
          <cell r="EH65" t="str">
            <v>.</v>
          </cell>
          <cell r="EI65" t="str">
            <v>.</v>
          </cell>
          <cell r="EJ65" t="str">
            <v>.</v>
          </cell>
          <cell r="EK65" t="str">
            <v>.</v>
          </cell>
          <cell r="EL65" t="str">
            <v>.</v>
          </cell>
          <cell r="EM65" t="str">
            <v>.</v>
          </cell>
          <cell r="EN65" t="str">
            <v>.</v>
          </cell>
          <cell r="EO65" t="str">
            <v>.</v>
          </cell>
          <cell r="EP65" t="str">
            <v>.</v>
          </cell>
          <cell r="EQ65" t="str">
            <v>.</v>
          </cell>
          <cell r="ER65" t="str">
            <v>.</v>
          </cell>
          <cell r="ES65" t="str">
            <v>.</v>
          </cell>
          <cell r="ET65" t="str">
            <v>.</v>
          </cell>
          <cell r="EU65" t="str">
            <v>.</v>
          </cell>
          <cell r="EV65" t="str">
            <v>.</v>
          </cell>
          <cell r="EW65" t="str">
            <v>.</v>
          </cell>
          <cell r="EX65" t="str">
            <v>.</v>
          </cell>
          <cell r="EY65" t="str">
            <v>.</v>
          </cell>
          <cell r="EZ65" t="str">
            <v>.</v>
          </cell>
          <cell r="FA65" t="str">
            <v>.</v>
          </cell>
          <cell r="FB65" t="str">
            <v>.</v>
          </cell>
          <cell r="FC65" t="str">
            <v>.</v>
          </cell>
          <cell r="FD65" t="str">
            <v>.</v>
          </cell>
          <cell r="FE65" t="str">
            <v>.</v>
          </cell>
          <cell r="FF65" t="str">
            <v>.</v>
          </cell>
          <cell r="FG65" t="str">
            <v>.</v>
          </cell>
          <cell r="FH65" t="str">
            <v>.</v>
          </cell>
          <cell r="FI65" t="str">
            <v>.</v>
          </cell>
          <cell r="FJ65" t="str">
            <v>.</v>
          </cell>
          <cell r="FK65" t="str">
            <v>.</v>
          </cell>
          <cell r="FL65" t="str">
            <v>.</v>
          </cell>
          <cell r="FM65" t="str">
            <v>.</v>
          </cell>
          <cell r="FN65" t="str">
            <v>.</v>
          </cell>
          <cell r="FO65" t="str">
            <v>.</v>
          </cell>
          <cell r="FP65" t="str">
            <v>.</v>
          </cell>
          <cell r="FQ65" t="str">
            <v>.</v>
          </cell>
          <cell r="FR65" t="str">
            <v>.</v>
          </cell>
          <cell r="FS65" t="str">
            <v>.</v>
          </cell>
          <cell r="FT65" t="str">
            <v>.</v>
          </cell>
          <cell r="FU65" t="str">
            <v>.</v>
          </cell>
          <cell r="FV65" t="str">
            <v>.</v>
          </cell>
          <cell r="FW65" t="str">
            <v>.</v>
          </cell>
          <cell r="FX65" t="str">
            <v>.</v>
          </cell>
          <cell r="FY65" t="str">
            <v>.</v>
          </cell>
          <cell r="FZ65" t="str">
            <v>.</v>
          </cell>
          <cell r="GA65" t="str">
            <v>.</v>
          </cell>
          <cell r="GB65" t="str">
            <v>.</v>
          </cell>
          <cell r="GC65" t="str">
            <v>.</v>
          </cell>
          <cell r="GD65" t="str">
            <v>.</v>
          </cell>
          <cell r="GE65" t="str">
            <v>.</v>
          </cell>
          <cell r="GF65" t="str">
            <v>.</v>
          </cell>
          <cell r="GG65" t="str">
            <v>.</v>
          </cell>
          <cell r="GH65" t="str">
            <v>.</v>
          </cell>
          <cell r="GI65" t="str">
            <v>.</v>
          </cell>
          <cell r="GJ65" t="str">
            <v>.</v>
          </cell>
          <cell r="GK65" t="str">
            <v>.</v>
          </cell>
          <cell r="GL65" t="str">
            <v>.</v>
          </cell>
          <cell r="GM65" t="str">
            <v>.</v>
          </cell>
          <cell r="GN65" t="str">
            <v>.</v>
          </cell>
          <cell r="GO65" t="str">
            <v>.</v>
          </cell>
          <cell r="GP65" t="str">
            <v>.</v>
          </cell>
          <cell r="GQ65" t="str">
            <v>.</v>
          </cell>
          <cell r="GR65" t="str">
            <v>.</v>
          </cell>
          <cell r="GS65" t="str">
            <v>.</v>
          </cell>
          <cell r="GT65" t="str">
            <v>.</v>
          </cell>
          <cell r="GU65" t="str">
            <v>.</v>
          </cell>
          <cell r="GV65" t="str">
            <v>.</v>
          </cell>
          <cell r="GW65" t="str">
            <v>.</v>
          </cell>
          <cell r="GX65" t="str">
            <v>.</v>
          </cell>
        </row>
        <row r="66">
          <cell r="A66" t="str">
            <v>Sales Revenue</v>
          </cell>
          <cell r="B66" t="str">
            <v>A$m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68.589217706109437</v>
          </cell>
          <cell r="O66">
            <v>174.6182416454256</v>
          </cell>
          <cell r="P66">
            <v>308.51878146734362</v>
          </cell>
          <cell r="Q66">
            <v>299.01887534554669</v>
          </cell>
          <cell r="R66">
            <v>296.65006304907263</v>
          </cell>
          <cell r="S66">
            <v>288.95898073678899</v>
          </cell>
          <cell r="T66">
            <v>229.71385910324346</v>
          </cell>
          <cell r="U66">
            <v>179.44573482125969</v>
          </cell>
          <cell r="V66">
            <v>179.44573482125969</v>
          </cell>
          <cell r="W66">
            <v>179.44573482125969</v>
          </cell>
          <cell r="X66">
            <v>138.6514091167013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CI66">
            <v>49.166410928671532</v>
          </cell>
          <cell r="CJ66">
            <v>19.422806777437909</v>
          </cell>
          <cell r="CK66">
            <v>68.589217706109437</v>
          </cell>
          <cell r="CL66">
            <v>61.561782745966084</v>
          </cell>
          <cell r="CM66">
            <v>113.05645889945953</v>
          </cell>
          <cell r="CN66">
            <v>174.6182416454256</v>
          </cell>
          <cell r="CO66">
            <v>147.90929948407805</v>
          </cell>
          <cell r="CP66">
            <v>160.60948198326557</v>
          </cell>
          <cell r="CQ66">
            <v>308.51878146734362</v>
          </cell>
          <cell r="CR66">
            <v>164.17858158289366</v>
          </cell>
          <cell r="CS66">
            <v>134.840293762653</v>
          </cell>
          <cell r="CT66">
            <v>299.01887534554669</v>
          </cell>
          <cell r="CU66">
            <v>148.88694789957822</v>
          </cell>
          <cell r="CV66">
            <v>147.76311514949438</v>
          </cell>
          <cell r="CW66">
            <v>296.65006304907263</v>
          </cell>
          <cell r="CX66">
            <v>151.04673993059424</v>
          </cell>
          <cell r="CY66">
            <v>137.91224080619475</v>
          </cell>
          <cell r="CZ66">
            <v>288.95898073678899</v>
          </cell>
          <cell r="DA66">
            <v>140.97695726855463</v>
          </cell>
          <cell r="DB66">
            <v>88.736901834688851</v>
          </cell>
          <cell r="DC66">
            <v>229.71385910324346</v>
          </cell>
          <cell r="DD66">
            <v>90.708832986570826</v>
          </cell>
          <cell r="DE66">
            <v>88.736901834688851</v>
          </cell>
          <cell r="DF66">
            <v>179.44573482125969</v>
          </cell>
          <cell r="DG66">
            <v>90.708832986570826</v>
          </cell>
          <cell r="DH66">
            <v>88.736901834688851</v>
          </cell>
          <cell r="DI66">
            <v>179.44573482125969</v>
          </cell>
          <cell r="DJ66">
            <v>90.708832986570826</v>
          </cell>
          <cell r="DK66">
            <v>88.736901834688851</v>
          </cell>
          <cell r="DL66">
            <v>179.44573482125969</v>
          </cell>
          <cell r="DM66">
            <v>83.19084547002079</v>
          </cell>
          <cell r="DN66">
            <v>55.460563646680527</v>
          </cell>
          <cell r="DO66">
            <v>138.6514091167013</v>
          </cell>
        </row>
        <row r="67">
          <cell r="A67" t="str">
            <v>Cost of operations</v>
          </cell>
          <cell r="B67" t="str">
            <v>A$m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78.193458222222219</v>
          </cell>
          <cell r="O67">
            <v>95.943395401986308</v>
          </cell>
          <cell r="P67">
            <v>95.944503218009089</v>
          </cell>
          <cell r="Q67">
            <v>95.940903748440121</v>
          </cell>
          <cell r="R67">
            <v>95.937472129783714</v>
          </cell>
          <cell r="S67">
            <v>95.935234117616503</v>
          </cell>
          <cell r="T67">
            <v>87.931737011092665</v>
          </cell>
          <cell r="U67">
            <v>87.928985908624568</v>
          </cell>
          <cell r="V67">
            <v>87.928985908624568</v>
          </cell>
          <cell r="W67">
            <v>87.928985908624568</v>
          </cell>
          <cell r="X67">
            <v>87.928985908624568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CI67">
            <v>47.751303222222226</v>
          </cell>
          <cell r="CJ67">
            <v>30.442154999999996</v>
          </cell>
          <cell r="CK67">
            <v>78.193458222222219</v>
          </cell>
          <cell r="CL67">
            <v>47.970052762050244</v>
          </cell>
          <cell r="CM67">
            <v>47.973342639936064</v>
          </cell>
          <cell r="CN67">
            <v>95.943395401986308</v>
          </cell>
          <cell r="CO67">
            <v>47.973081538516553</v>
          </cell>
          <cell r="CP67">
            <v>47.971421679492529</v>
          </cell>
          <cell r="CQ67">
            <v>95.944503218009089</v>
          </cell>
          <cell r="CR67">
            <v>47.971421679492529</v>
          </cell>
          <cell r="CS67">
            <v>47.969482068947599</v>
          </cell>
          <cell r="CT67">
            <v>95.940903748440121</v>
          </cell>
          <cell r="CU67">
            <v>47.969482068947599</v>
          </cell>
          <cell r="CV67">
            <v>47.967990060836122</v>
          </cell>
          <cell r="CW67">
            <v>95.937472129783714</v>
          </cell>
          <cell r="CX67">
            <v>47.967990060836122</v>
          </cell>
          <cell r="CY67">
            <v>47.96724405678038</v>
          </cell>
          <cell r="CZ67">
            <v>95.935234117616503</v>
          </cell>
          <cell r="DA67">
            <v>43.96724405678038</v>
          </cell>
          <cell r="DB67">
            <v>43.964492954312284</v>
          </cell>
          <cell r="DC67">
            <v>87.931737011092665</v>
          </cell>
          <cell r="DD67">
            <v>43.964492954312284</v>
          </cell>
          <cell r="DE67">
            <v>43.964492954312284</v>
          </cell>
          <cell r="DF67">
            <v>87.928985908624568</v>
          </cell>
          <cell r="DG67">
            <v>43.964492954312284</v>
          </cell>
          <cell r="DH67">
            <v>43.964492954312284</v>
          </cell>
          <cell r="DI67">
            <v>87.928985908624568</v>
          </cell>
          <cell r="DJ67">
            <v>43.964492954312284</v>
          </cell>
          <cell r="DK67">
            <v>43.964492954312284</v>
          </cell>
          <cell r="DL67">
            <v>87.928985908624568</v>
          </cell>
          <cell r="DM67">
            <v>43.964492954312284</v>
          </cell>
          <cell r="DN67">
            <v>43.964492954312284</v>
          </cell>
          <cell r="DO67">
            <v>87.928985908624568</v>
          </cell>
        </row>
        <row r="69">
          <cell r="A69" t="str">
            <v>Gold Revenue</v>
          </cell>
          <cell r="B69" t="str">
            <v>A$m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26.802544781249999</v>
          </cell>
          <cell r="L69">
            <v>72.3</v>
          </cell>
          <cell r="M69">
            <v>50.990502599999999</v>
          </cell>
          <cell r="N69">
            <v>67.938166691364302</v>
          </cell>
          <cell r="O69">
            <v>176.84045016077167</v>
          </cell>
          <cell r="P69">
            <v>329.66840836012864</v>
          </cell>
          <cell r="Q69">
            <v>303.76823151125399</v>
          </cell>
          <cell r="R69">
            <v>269.66430868167208</v>
          </cell>
          <cell r="S69">
            <v>244.3832797427653</v>
          </cell>
          <cell r="T69">
            <v>204.87927144184525</v>
          </cell>
          <cell r="U69">
            <v>173.80227278722739</v>
          </cell>
          <cell r="V69">
            <v>173.80227278722739</v>
          </cell>
          <cell r="W69">
            <v>173.80227278722739</v>
          </cell>
          <cell r="X69">
            <v>134.29090445441676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CA69">
            <v>0</v>
          </cell>
          <cell r="CB69">
            <v>26.802544781249999</v>
          </cell>
          <cell r="CC69">
            <v>21.5</v>
          </cell>
          <cell r="CD69">
            <v>77.7</v>
          </cell>
          <cell r="CE69">
            <v>72.3</v>
          </cell>
          <cell r="CF69">
            <v>150</v>
          </cell>
          <cell r="CG69">
            <v>50.990502599999999</v>
          </cell>
          <cell r="CH69">
            <v>50.990502599999999</v>
          </cell>
          <cell r="CI69">
            <v>35</v>
          </cell>
          <cell r="CJ69">
            <v>20.030561342124543</v>
          </cell>
          <cell r="CK69">
            <v>67.938166691364302</v>
          </cell>
          <cell r="CL69">
            <v>64.776559485530527</v>
          </cell>
          <cell r="CM69">
            <v>115.5096463022508</v>
          </cell>
          <cell r="CN69">
            <v>176.84045016077167</v>
          </cell>
          <cell r="CO69">
            <v>159.79268488745981</v>
          </cell>
          <cell r="CP69">
            <v>168.45916398713831</v>
          </cell>
          <cell r="CQ69">
            <v>329.66840836012864</v>
          </cell>
          <cell r="CR69">
            <v>172.20270096463022</v>
          </cell>
          <cell r="CS69">
            <v>132.82958199356912</v>
          </cell>
          <cell r="CT69">
            <v>303.76823151125399</v>
          </cell>
          <cell r="CU69">
            <v>144.83344051446946</v>
          </cell>
          <cell r="CV69">
            <v>125.01607717041803</v>
          </cell>
          <cell r="CW69">
            <v>269.66430868167208</v>
          </cell>
          <cell r="CX69">
            <v>127.79421221864952</v>
          </cell>
          <cell r="CY69">
            <v>116.68167202572349</v>
          </cell>
          <cell r="CZ69">
            <v>244.3832797427653</v>
          </cell>
          <cell r="DA69">
            <v>119.27459807073956</v>
          </cell>
          <cell r="DB69">
            <v>85.946178850826726</v>
          </cell>
          <cell r="DC69">
            <v>204.87927144184525</v>
          </cell>
          <cell r="DD69">
            <v>87.856093936400654</v>
          </cell>
          <cell r="DE69">
            <v>85.946178850826726</v>
          </cell>
          <cell r="DF69">
            <v>173.80227278722739</v>
          </cell>
          <cell r="DG69">
            <v>87.856093936400654</v>
          </cell>
          <cell r="DH69">
            <v>85.946178850826726</v>
          </cell>
          <cell r="DI69">
            <v>173.80227278722739</v>
          </cell>
          <cell r="DJ69">
            <v>87.856093936400654</v>
          </cell>
          <cell r="DK69">
            <v>85.946178850826726</v>
          </cell>
          <cell r="DL69">
            <v>173.80227278722739</v>
          </cell>
          <cell r="DM69">
            <v>80.57454267265004</v>
          </cell>
          <cell r="DN69">
            <v>53.7163617817667</v>
          </cell>
          <cell r="DO69">
            <v>134.29090445441676</v>
          </cell>
        </row>
        <row r="70">
          <cell r="A70" t="str">
            <v>Total Cash Cost</v>
          </cell>
          <cell r="B70" t="str">
            <v>A$m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5</v>
          </cell>
          <cell r="L70">
            <v>33.553972836000007</v>
          </cell>
          <cell r="M70">
            <v>31.885648199999999</v>
          </cell>
          <cell r="N70">
            <v>72.233419999999995</v>
          </cell>
          <cell r="O70">
            <v>87.274509069717766</v>
          </cell>
          <cell r="P70">
            <v>97.785233316888011</v>
          </cell>
          <cell r="Q70">
            <v>97.518263847725848</v>
          </cell>
          <cell r="R70">
            <v>97.174426087522889</v>
          </cell>
          <cell r="S70">
            <v>96.940736785602923</v>
          </cell>
          <cell r="T70">
            <v>88.579200127931628</v>
          </cell>
          <cell r="U70">
            <v>88.289838010529877</v>
          </cell>
          <cell r="V70">
            <v>88.289838010529877</v>
          </cell>
          <cell r="W70">
            <v>88.289838010529877</v>
          </cell>
          <cell r="X70">
            <v>88.223947638630577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CA70">
            <v>0</v>
          </cell>
          <cell r="CB70">
            <v>5</v>
          </cell>
          <cell r="CC70">
            <v>5</v>
          </cell>
          <cell r="CD70">
            <v>33.6</v>
          </cell>
          <cell r="CE70">
            <v>33.553972836000007</v>
          </cell>
          <cell r="CF70">
            <v>64.900000000000006</v>
          </cell>
          <cell r="CG70">
            <v>31.885648199999999</v>
          </cell>
          <cell r="CH70">
            <v>31.885648199999999</v>
          </cell>
          <cell r="CI70">
            <v>44.76896</v>
          </cell>
          <cell r="CJ70">
            <v>27.464459999999999</v>
          </cell>
          <cell r="CK70">
            <v>72.233419999999995</v>
          </cell>
          <cell r="CL70">
            <v>43.481687465701214</v>
          </cell>
          <cell r="CM70">
            <v>43.792821604016545</v>
          </cell>
          <cell r="CN70">
            <v>87.274509069717766</v>
          </cell>
          <cell r="CO70">
            <v>48.902225525076169</v>
          </cell>
          <cell r="CP70">
            <v>48.883007791811842</v>
          </cell>
          <cell r="CQ70">
            <v>97.785233316888011</v>
          </cell>
          <cell r="CR70">
            <v>48.90263018718543</v>
          </cell>
          <cell r="CS70">
            <v>48.615633660540411</v>
          </cell>
          <cell r="CT70">
            <v>97.518263847725848</v>
          </cell>
          <cell r="CU70">
            <v>48.671268702455919</v>
          </cell>
          <cell r="CV70">
            <v>48.50315738506697</v>
          </cell>
          <cell r="CW70">
            <v>97.174426087522889</v>
          </cell>
          <cell r="CX70">
            <v>48.514338660290683</v>
          </cell>
          <cell r="CY70">
            <v>48.426398125312247</v>
          </cell>
          <cell r="CZ70">
            <v>96.940736785602923</v>
          </cell>
          <cell r="DA70">
            <v>44.435873639208062</v>
          </cell>
          <cell r="DB70">
            <v>44.143326488723567</v>
          </cell>
          <cell r="DC70">
            <v>88.579200127931628</v>
          </cell>
          <cell r="DD70">
            <v>44.146511521806318</v>
          </cell>
          <cell r="DE70">
            <v>44.143326488723567</v>
          </cell>
          <cell r="DF70">
            <v>88.289838010529877</v>
          </cell>
          <cell r="DG70">
            <v>44.146511521806318</v>
          </cell>
          <cell r="DH70">
            <v>44.143326488723567</v>
          </cell>
          <cell r="DI70">
            <v>88.289838010529877</v>
          </cell>
          <cell r="DJ70">
            <v>44.146511521806318</v>
          </cell>
          <cell r="DK70">
            <v>44.143326488723567</v>
          </cell>
          <cell r="DL70">
            <v>88.289838010529877</v>
          </cell>
          <cell r="DM70">
            <v>44.13436858317835</v>
          </cell>
          <cell r="DN70">
            <v>44.089579055452226</v>
          </cell>
          <cell r="DO70">
            <v>88.223947638630577</v>
          </cell>
        </row>
        <row r="71">
          <cell r="A71" t="str">
            <v>EBITDA</v>
          </cell>
          <cell r="B71" t="str">
            <v>A$m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21.802544781249999</v>
          </cell>
          <cell r="L71">
            <v>38.74602716399999</v>
          </cell>
          <cell r="M71">
            <v>19.104854400000001</v>
          </cell>
          <cell r="N71">
            <v>-4.2952533086356937</v>
          </cell>
          <cell r="O71">
            <v>89.565941091053901</v>
          </cell>
          <cell r="P71">
            <v>231.88317504324061</v>
          </cell>
          <cell r="Q71">
            <v>206.24996766352814</v>
          </cell>
          <cell r="R71">
            <v>172.48988259414921</v>
          </cell>
          <cell r="S71">
            <v>147.44254295716237</v>
          </cell>
          <cell r="T71">
            <v>116.30007131391362</v>
          </cell>
          <cell r="U71">
            <v>85.512434776697518</v>
          </cell>
          <cell r="V71">
            <v>85.512434776697518</v>
          </cell>
          <cell r="W71">
            <v>85.512434776697518</v>
          </cell>
          <cell r="X71">
            <v>46.066956815786163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CA71">
            <v>0</v>
          </cell>
          <cell r="CB71">
            <v>21.802544781249999</v>
          </cell>
          <cell r="CC71">
            <v>16.5</v>
          </cell>
          <cell r="CD71">
            <v>44.1</v>
          </cell>
          <cell r="CE71">
            <v>38.74602716399999</v>
          </cell>
          <cell r="CF71">
            <v>85.1</v>
          </cell>
          <cell r="CG71">
            <v>19.104854400000001</v>
          </cell>
          <cell r="CH71">
            <v>19.104854400000001</v>
          </cell>
          <cell r="CI71">
            <v>6.6</v>
          </cell>
          <cell r="CJ71">
            <v>-7.4338986578754565</v>
          </cell>
          <cell r="CK71">
            <v>-4.2952533086356937</v>
          </cell>
          <cell r="CL71">
            <v>21.294872019829313</v>
          </cell>
          <cell r="CM71">
            <v>71.716824698234262</v>
          </cell>
          <cell r="CN71">
            <v>89.565941091053901</v>
          </cell>
          <cell r="CO71">
            <v>110.89045936238364</v>
          </cell>
          <cell r="CP71">
            <v>119.57615619532646</v>
          </cell>
          <cell r="CQ71">
            <v>231.88317504324061</v>
          </cell>
          <cell r="CR71">
            <v>123.3000707774448</v>
          </cell>
          <cell r="CS71">
            <v>84.213948333028711</v>
          </cell>
          <cell r="CT71">
            <v>206.24996766352814</v>
          </cell>
          <cell r="CU71">
            <v>96.16217181201354</v>
          </cell>
          <cell r="CV71">
            <v>76.512919785351059</v>
          </cell>
          <cell r="CW71">
            <v>172.48988259414921</v>
          </cell>
          <cell r="CX71">
            <v>79.279873558358844</v>
          </cell>
          <cell r="CY71">
            <v>68.25527390041124</v>
          </cell>
          <cell r="CZ71">
            <v>147.44254295716237</v>
          </cell>
          <cell r="DA71">
            <v>74.838724431531489</v>
          </cell>
          <cell r="DB71">
            <v>41.80285236210316</v>
          </cell>
          <cell r="DC71">
            <v>116.30007131391362</v>
          </cell>
          <cell r="DD71">
            <v>43.709582414594337</v>
          </cell>
          <cell r="DE71">
            <v>41.80285236210316</v>
          </cell>
          <cell r="DF71">
            <v>85.512434776697518</v>
          </cell>
          <cell r="DG71">
            <v>43.709582414594337</v>
          </cell>
          <cell r="DH71">
            <v>41.80285236210316</v>
          </cell>
          <cell r="DI71">
            <v>85.512434776697518</v>
          </cell>
          <cell r="DJ71">
            <v>43.709582414594337</v>
          </cell>
          <cell r="DK71">
            <v>41.80285236210316</v>
          </cell>
          <cell r="DL71">
            <v>85.512434776697518</v>
          </cell>
          <cell r="DM71">
            <v>36.440174089471689</v>
          </cell>
          <cell r="DN71">
            <v>9.6267827263144738</v>
          </cell>
          <cell r="DO71">
            <v>46.066956815786163</v>
          </cell>
        </row>
        <row r="72">
          <cell r="A72" t="str">
            <v>Depreciation &amp; Amortisation</v>
          </cell>
          <cell r="B72" t="str">
            <v>A$m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30.200000000000003</v>
          </cell>
          <cell r="M72">
            <v>0</v>
          </cell>
          <cell r="N72">
            <v>11.977775999999999</v>
          </cell>
          <cell r="O72">
            <v>21.238859688861353</v>
          </cell>
          <cell r="P72">
            <v>38.174421009391331</v>
          </cell>
          <cell r="Q72">
            <v>39.812450710885216</v>
          </cell>
          <cell r="R72">
            <v>40.42324144703548</v>
          </cell>
          <cell r="S72">
            <v>40.42324144703548</v>
          </cell>
          <cell r="T72">
            <v>40.42324144703548</v>
          </cell>
          <cell r="U72">
            <v>40.42324144703548</v>
          </cell>
          <cell r="V72">
            <v>40.42324144703548</v>
          </cell>
          <cell r="W72">
            <v>40.42324144703548</v>
          </cell>
          <cell r="X72">
            <v>31.233617189501999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CA72">
            <v>0</v>
          </cell>
          <cell r="CB72">
            <v>0</v>
          </cell>
          <cell r="CC72">
            <v>19.7</v>
          </cell>
          <cell r="CD72">
            <v>34.5</v>
          </cell>
          <cell r="CE72">
            <v>30.200000000000003</v>
          </cell>
          <cell r="CF72">
            <v>64.7</v>
          </cell>
          <cell r="CG72">
            <v>0</v>
          </cell>
          <cell r="CH72">
            <v>0</v>
          </cell>
          <cell r="CI72">
            <v>6.4987199999999996</v>
          </cell>
          <cell r="CJ72">
            <v>5.4790559999999999</v>
          </cell>
          <cell r="CK72">
            <v>11.977775999999999</v>
          </cell>
          <cell r="CL72">
            <v>8.7454128130605575</v>
          </cell>
          <cell r="CM72">
            <v>12.493446875800798</v>
          </cell>
          <cell r="CN72">
            <v>21.238859688861353</v>
          </cell>
          <cell r="CO72">
            <v>17.560233664320009</v>
          </cell>
          <cell r="CP72">
            <v>20.614187345071322</v>
          </cell>
          <cell r="CQ72">
            <v>38.174421009391331</v>
          </cell>
          <cell r="CR72">
            <v>21.072280397184013</v>
          </cell>
          <cell r="CS72">
            <v>18.740170313701199</v>
          </cell>
          <cell r="CT72">
            <v>39.812450710885216</v>
          </cell>
          <cell r="CU72">
            <v>20.433726445754196</v>
          </cell>
          <cell r="CV72">
            <v>19.98951500128128</v>
          </cell>
          <cell r="CW72">
            <v>40.42324144703548</v>
          </cell>
          <cell r="CX72">
            <v>20.433726445754196</v>
          </cell>
          <cell r="CY72">
            <v>19.98951500128128</v>
          </cell>
          <cell r="CZ72">
            <v>40.42324144703548</v>
          </cell>
          <cell r="DA72">
            <v>20.433726445754196</v>
          </cell>
          <cell r="DB72">
            <v>19.98951500128128</v>
          </cell>
          <cell r="DC72">
            <v>40.42324144703548</v>
          </cell>
          <cell r="DD72">
            <v>20.433726445754196</v>
          </cell>
          <cell r="DE72">
            <v>19.98951500128128</v>
          </cell>
          <cell r="DF72">
            <v>40.42324144703548</v>
          </cell>
          <cell r="DG72">
            <v>20.433726445754196</v>
          </cell>
          <cell r="DH72">
            <v>19.98951500128128</v>
          </cell>
          <cell r="DI72">
            <v>40.42324144703548</v>
          </cell>
          <cell r="DJ72">
            <v>20.433726445754196</v>
          </cell>
          <cell r="DK72">
            <v>19.98951500128128</v>
          </cell>
          <cell r="DL72">
            <v>40.42324144703548</v>
          </cell>
          <cell r="DM72">
            <v>18.740170313701199</v>
          </cell>
          <cell r="DN72">
            <v>12.493446875800798</v>
          </cell>
          <cell r="DO72">
            <v>31.233617189501999</v>
          </cell>
        </row>
        <row r="73">
          <cell r="A73" t="str">
            <v>Other</v>
          </cell>
          <cell r="B73" t="str">
            <v>A$m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-9.4652856000000014</v>
          </cell>
          <cell r="O73">
            <v>-3.9848874598070738</v>
          </cell>
          <cell r="P73">
            <v>-7.162379421221865</v>
          </cell>
          <cell r="Q73">
            <v>-7.4697106109324762</v>
          </cell>
          <cell r="R73">
            <v>-7.5843086816720273</v>
          </cell>
          <cell r="S73">
            <v>-7.5843086816720273</v>
          </cell>
          <cell r="T73">
            <v>-7.5843086816720273</v>
          </cell>
          <cell r="U73">
            <v>-7.5843086816720273</v>
          </cell>
          <cell r="V73">
            <v>-7.5843086816720273</v>
          </cell>
          <cell r="W73">
            <v>-7.5843086816720273</v>
          </cell>
          <cell r="X73">
            <v>-5.860128617363344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CA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-5.2314696000000005</v>
          </cell>
          <cell r="CJ73">
            <v>-4.2338160000000009</v>
          </cell>
          <cell r="CK73">
            <v>-9.4652856000000014</v>
          </cell>
          <cell r="CL73">
            <v>-1.6408360128617361</v>
          </cell>
          <cell r="CM73">
            <v>-2.344051446945338</v>
          </cell>
          <cell r="CN73">
            <v>-3.9848874598070738</v>
          </cell>
          <cell r="CO73">
            <v>-3.2946945337620579</v>
          </cell>
          <cell r="CP73">
            <v>-3.8676848874598071</v>
          </cell>
          <cell r="CQ73">
            <v>-7.162379421221865</v>
          </cell>
          <cell r="CR73">
            <v>-3.9536334405144697</v>
          </cell>
          <cell r="CS73">
            <v>-3.5160771704180065</v>
          </cell>
          <cell r="CT73">
            <v>-7.4697106109324762</v>
          </cell>
          <cell r="CU73">
            <v>-3.8338263665594856</v>
          </cell>
          <cell r="CV73">
            <v>-3.7504823151125413</v>
          </cell>
          <cell r="CW73">
            <v>-7.5843086816720273</v>
          </cell>
          <cell r="CX73">
            <v>-3.8338263665594856</v>
          </cell>
          <cell r="CY73">
            <v>-3.7504823151125413</v>
          </cell>
          <cell r="CZ73">
            <v>-7.5843086816720273</v>
          </cell>
          <cell r="DA73">
            <v>-3.8338263665594856</v>
          </cell>
          <cell r="DB73">
            <v>-3.7504823151125413</v>
          </cell>
          <cell r="DC73">
            <v>-7.5843086816720273</v>
          </cell>
          <cell r="DD73">
            <v>-3.8338263665594856</v>
          </cell>
          <cell r="DE73">
            <v>-3.7504823151125413</v>
          </cell>
          <cell r="DF73">
            <v>-7.5843086816720273</v>
          </cell>
          <cell r="DG73">
            <v>-3.8338263665594856</v>
          </cell>
          <cell r="DH73">
            <v>-3.7504823151125413</v>
          </cell>
          <cell r="DI73">
            <v>-7.5843086816720273</v>
          </cell>
          <cell r="DJ73">
            <v>-3.8338263665594856</v>
          </cell>
          <cell r="DK73">
            <v>-3.7504823151125413</v>
          </cell>
          <cell r="DL73">
            <v>-7.5843086816720273</v>
          </cell>
          <cell r="DM73">
            <v>-3.5160771704180065</v>
          </cell>
          <cell r="DN73">
            <v>-2.344051446945338</v>
          </cell>
          <cell r="DO73">
            <v>-5.860128617363344</v>
          </cell>
        </row>
        <row r="74">
          <cell r="A74" t="str">
            <v xml:space="preserve">EBIT </v>
          </cell>
          <cell r="B74" t="str">
            <v>A$m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-9.9999999999999978E-2</v>
          </cell>
          <cell r="L74">
            <v>12.799999999999999</v>
          </cell>
          <cell r="M74">
            <v>19.104854400000001</v>
          </cell>
          <cell r="N74">
            <v>-8.1791386578754555</v>
          </cell>
          <cell r="O74">
            <v>75.757724489009291</v>
          </cell>
          <cell r="P74">
            <v>199.45457396954063</v>
          </cell>
          <cell r="Q74">
            <v>175.17127901052078</v>
          </cell>
          <cell r="R74">
            <v>139.83615883200116</v>
          </cell>
          <cell r="S74">
            <v>114.69621469340663</v>
          </cell>
          <cell r="T74">
            <v>83.802644028271203</v>
          </cell>
          <cell r="U74">
            <v>52.673502011334051</v>
          </cell>
          <cell r="V74">
            <v>52.673502011334051</v>
          </cell>
          <cell r="W74">
            <v>52.673502011334051</v>
          </cell>
          <cell r="X74">
            <v>20.693468243647512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CA74">
            <v>-0.4</v>
          </cell>
          <cell r="CB74">
            <v>-9.9999999999999978E-2</v>
          </cell>
          <cell r="CC74">
            <v>-0.5</v>
          </cell>
          <cell r="CD74">
            <v>9.4</v>
          </cell>
          <cell r="CE74">
            <v>12.799999999999999</v>
          </cell>
          <cell r="CF74">
            <v>22.2</v>
          </cell>
          <cell r="CG74">
            <v>19.104854400000001</v>
          </cell>
          <cell r="CH74">
            <v>19.104854400000001</v>
          </cell>
          <cell r="CI74">
            <v>0.5</v>
          </cell>
          <cell r="CJ74">
            <v>-8.6791386578754555</v>
          </cell>
          <cell r="CK74">
            <v>-8.1791386578754555</v>
          </cell>
          <cell r="CL74">
            <v>14.190295219630492</v>
          </cell>
          <cell r="CM74">
            <v>61.567429269378799</v>
          </cell>
          <cell r="CN74">
            <v>75.757724489009291</v>
          </cell>
          <cell r="CO74">
            <v>96.624920231825683</v>
          </cell>
          <cell r="CP74">
            <v>102.82965373771495</v>
          </cell>
          <cell r="CQ74">
            <v>199.45457396954063</v>
          </cell>
          <cell r="CR74">
            <v>106.18142382077525</v>
          </cell>
          <cell r="CS74">
            <v>68.989855189745512</v>
          </cell>
          <cell r="CT74">
            <v>175.17127901052078</v>
          </cell>
          <cell r="CU74">
            <v>79.562271732818829</v>
          </cell>
          <cell r="CV74">
            <v>60.273887099182325</v>
          </cell>
          <cell r="CW74">
            <v>139.83615883200116</v>
          </cell>
          <cell r="CX74">
            <v>62.679973479164133</v>
          </cell>
          <cell r="CY74">
            <v>52.016241214242505</v>
          </cell>
          <cell r="CZ74">
            <v>114.69621469340663</v>
          </cell>
          <cell r="DA74">
            <v>58.238824352336778</v>
          </cell>
          <cell r="DB74">
            <v>25.563819675934422</v>
          </cell>
          <cell r="DC74">
            <v>83.802644028271203</v>
          </cell>
          <cell r="DD74">
            <v>27.109682335399626</v>
          </cell>
          <cell r="DE74">
            <v>25.563819675934422</v>
          </cell>
          <cell r="DF74">
            <v>52.673502011334051</v>
          </cell>
          <cell r="DG74">
            <v>27.109682335399626</v>
          </cell>
          <cell r="DH74">
            <v>25.563819675934422</v>
          </cell>
          <cell r="DI74">
            <v>52.673502011334051</v>
          </cell>
          <cell r="DJ74">
            <v>27.109682335399626</v>
          </cell>
          <cell r="DK74">
            <v>25.563819675934422</v>
          </cell>
          <cell r="DL74">
            <v>52.673502011334051</v>
          </cell>
          <cell r="DM74">
            <v>21.216080946188498</v>
          </cell>
          <cell r="DN74">
            <v>-0.52261270254098591</v>
          </cell>
          <cell r="DO74">
            <v>20.693468243647512</v>
          </cell>
        </row>
        <row r="76">
          <cell r="A76" t="str">
            <v>Tax Rate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0.3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0.25</v>
          </cell>
          <cell r="S76">
            <v>0.25</v>
          </cell>
          <cell r="T76">
            <v>0.25</v>
          </cell>
          <cell r="U76">
            <v>0.25</v>
          </cell>
          <cell r="V76">
            <v>0.25</v>
          </cell>
          <cell r="W76">
            <v>0.25</v>
          </cell>
          <cell r="X76">
            <v>0.27500000000000002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CA76">
            <v>0.3</v>
          </cell>
          <cell r="CB76">
            <v>0.3</v>
          </cell>
          <cell r="CC76">
            <v>0.3</v>
          </cell>
          <cell r="CD76">
            <v>0</v>
          </cell>
          <cell r="CE76">
            <v>0</v>
          </cell>
          <cell r="CF76">
            <v>0</v>
          </cell>
          <cell r="CG76">
            <v>0</v>
          </cell>
          <cell r="CH76">
            <v>0</v>
          </cell>
          <cell r="CI76">
            <v>0</v>
          </cell>
          <cell r="CJ76">
            <v>0</v>
          </cell>
          <cell r="CK76">
            <v>0</v>
          </cell>
          <cell r="CL76">
            <v>0</v>
          </cell>
          <cell r="CM76">
            <v>0</v>
          </cell>
          <cell r="CN76">
            <v>0</v>
          </cell>
          <cell r="CO76">
            <v>0</v>
          </cell>
          <cell r="CP76">
            <v>0</v>
          </cell>
          <cell r="CQ76">
            <v>0</v>
          </cell>
          <cell r="CR76">
            <v>0</v>
          </cell>
          <cell r="CS76">
            <v>0.25</v>
          </cell>
          <cell r="CT76">
            <v>0</v>
          </cell>
          <cell r="CU76">
            <v>0.25</v>
          </cell>
          <cell r="CV76">
            <v>0.25</v>
          </cell>
          <cell r="CW76">
            <v>0.25</v>
          </cell>
          <cell r="CX76">
            <v>0.25</v>
          </cell>
          <cell r="CY76">
            <v>0.25</v>
          </cell>
          <cell r="CZ76">
            <v>0.25</v>
          </cell>
          <cell r="DA76">
            <v>0.25</v>
          </cell>
          <cell r="DB76">
            <v>0.25</v>
          </cell>
          <cell r="DC76">
            <v>0.25</v>
          </cell>
          <cell r="DD76">
            <v>0.25</v>
          </cell>
          <cell r="DE76">
            <v>0.25</v>
          </cell>
          <cell r="DF76">
            <v>0.25</v>
          </cell>
          <cell r="DG76">
            <v>0.25</v>
          </cell>
          <cell r="DH76">
            <v>0.25</v>
          </cell>
          <cell r="DI76">
            <v>0.25</v>
          </cell>
          <cell r="DJ76">
            <v>0.25</v>
          </cell>
          <cell r="DK76">
            <v>0.25</v>
          </cell>
          <cell r="DL76">
            <v>0.25</v>
          </cell>
          <cell r="DM76">
            <v>0.3</v>
          </cell>
          <cell r="DN76">
            <v>0.25</v>
          </cell>
          <cell r="DO76">
            <v>0.27500000000000002</v>
          </cell>
        </row>
        <row r="77">
          <cell r="A77" t="str">
            <v>Nominal Tax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-2.9999999999999992E-2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34.95903970800029</v>
          </cell>
          <cell r="S77">
            <v>28.674053673351658</v>
          </cell>
          <cell r="T77">
            <v>20.950661007067801</v>
          </cell>
          <cell r="U77">
            <v>13.168375502833513</v>
          </cell>
          <cell r="V77">
            <v>13.168375502833513</v>
          </cell>
          <cell r="W77">
            <v>13.168375502833513</v>
          </cell>
          <cell r="X77">
            <v>5.6907037670030665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CA77">
            <v>-0.12</v>
          </cell>
          <cell r="CB77">
            <v>-2.9999999999999992E-2</v>
          </cell>
          <cell r="CC77">
            <v>-0.15</v>
          </cell>
          <cell r="CD77">
            <v>0</v>
          </cell>
          <cell r="CE77">
            <v>0</v>
          </cell>
          <cell r="CF77">
            <v>0</v>
          </cell>
          <cell r="CG77">
            <v>0</v>
          </cell>
          <cell r="CH77">
            <v>0</v>
          </cell>
          <cell r="CI77">
            <v>0</v>
          </cell>
          <cell r="CJ77">
            <v>0</v>
          </cell>
          <cell r="CK77">
            <v>0</v>
          </cell>
          <cell r="CL77">
            <v>0</v>
          </cell>
          <cell r="CM77">
            <v>0</v>
          </cell>
          <cell r="CN77">
            <v>0</v>
          </cell>
          <cell r="CO77">
            <v>0</v>
          </cell>
          <cell r="CP77">
            <v>0</v>
          </cell>
          <cell r="CQ77">
            <v>0</v>
          </cell>
          <cell r="CR77">
            <v>0</v>
          </cell>
          <cell r="CS77">
            <v>17.247463797436378</v>
          </cell>
          <cell r="CT77">
            <v>0</v>
          </cell>
          <cell r="CU77">
            <v>19.890567933204707</v>
          </cell>
          <cell r="CV77">
            <v>15.068471774795581</v>
          </cell>
          <cell r="CW77">
            <v>34.95903970800029</v>
          </cell>
          <cell r="CX77">
            <v>15.669993369791033</v>
          </cell>
          <cell r="CY77">
            <v>13.004060303560626</v>
          </cell>
          <cell r="CZ77">
            <v>28.674053673351658</v>
          </cell>
          <cell r="DA77">
            <v>14.559706088084194</v>
          </cell>
          <cell r="DB77">
            <v>6.3909549189836055</v>
          </cell>
          <cell r="DC77">
            <v>20.950661007067801</v>
          </cell>
          <cell r="DD77">
            <v>6.7774205838499064</v>
          </cell>
          <cell r="DE77">
            <v>6.3909549189836055</v>
          </cell>
          <cell r="DF77">
            <v>13.168375502833513</v>
          </cell>
          <cell r="DG77">
            <v>6.7774205838499064</v>
          </cell>
          <cell r="DH77">
            <v>6.3909549189836055</v>
          </cell>
          <cell r="DI77">
            <v>13.168375502833513</v>
          </cell>
          <cell r="DJ77">
            <v>6.7774205838499064</v>
          </cell>
          <cell r="DK77">
            <v>6.3909549189836055</v>
          </cell>
          <cell r="DL77">
            <v>13.168375502833513</v>
          </cell>
          <cell r="DM77">
            <v>6.3648242838565494</v>
          </cell>
          <cell r="DN77">
            <v>-0.13065317563524648</v>
          </cell>
          <cell r="DO77">
            <v>5.6907037670030665</v>
          </cell>
        </row>
        <row r="78">
          <cell r="A78" t="str">
            <v>NOPAT</v>
          </cell>
          <cell r="B78" t="str">
            <v>A$m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-6.9999999999999979E-2</v>
          </cell>
          <cell r="L78">
            <v>12.799999999999999</v>
          </cell>
          <cell r="M78">
            <v>19.104854400000001</v>
          </cell>
          <cell r="N78">
            <v>-8.1791386578754555</v>
          </cell>
          <cell r="O78">
            <v>75.757724489009291</v>
          </cell>
          <cell r="P78">
            <v>199.45457396954063</v>
          </cell>
          <cell r="Q78">
            <v>175.17127901052078</v>
          </cell>
          <cell r="R78">
            <v>104.87711912400087</v>
          </cell>
          <cell r="S78">
            <v>86.022161020054966</v>
          </cell>
          <cell r="T78">
            <v>62.851983021203402</v>
          </cell>
          <cell r="U78">
            <v>39.505126508500538</v>
          </cell>
          <cell r="V78">
            <v>39.505126508500538</v>
          </cell>
          <cell r="W78">
            <v>39.505126508500538</v>
          </cell>
          <cell r="X78">
            <v>15.002764476644446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CA78">
            <v>-0.28000000000000003</v>
          </cell>
          <cell r="CB78">
            <v>-6.9999999999999979E-2</v>
          </cell>
          <cell r="CC78">
            <v>-0.35</v>
          </cell>
          <cell r="CD78">
            <v>9.4</v>
          </cell>
          <cell r="CE78">
            <v>12.799999999999999</v>
          </cell>
          <cell r="CF78">
            <v>22.2</v>
          </cell>
          <cell r="CG78">
            <v>19.104854400000001</v>
          </cell>
          <cell r="CH78">
            <v>19.104854400000001</v>
          </cell>
          <cell r="CI78">
            <v>0.5</v>
          </cell>
          <cell r="CJ78">
            <v>-8.6791386578754555</v>
          </cell>
          <cell r="CK78">
            <v>-8.1791386578754555</v>
          </cell>
          <cell r="CL78">
            <v>14.190295219630492</v>
          </cell>
          <cell r="CM78">
            <v>61.567429269378799</v>
          </cell>
          <cell r="CN78">
            <v>75.757724489009291</v>
          </cell>
          <cell r="CO78">
            <v>96.624920231825683</v>
          </cell>
          <cell r="CP78">
            <v>102.82965373771495</v>
          </cell>
          <cell r="CQ78">
            <v>199.45457396954063</v>
          </cell>
          <cell r="CR78">
            <v>106.18142382077525</v>
          </cell>
          <cell r="CS78">
            <v>51.742391392309131</v>
          </cell>
          <cell r="CT78">
            <v>175.17127901052078</v>
          </cell>
          <cell r="CU78">
            <v>59.671703799614122</v>
          </cell>
          <cell r="CV78">
            <v>45.205415324386742</v>
          </cell>
          <cell r="CW78">
            <v>104.87711912400087</v>
          </cell>
          <cell r="CX78">
            <v>47.009980109373103</v>
          </cell>
          <cell r="CY78">
            <v>39.012180910681877</v>
          </cell>
          <cell r="CZ78">
            <v>86.022161020054966</v>
          </cell>
          <cell r="DA78">
            <v>43.67911826425258</v>
          </cell>
          <cell r="DB78">
            <v>19.172864756950815</v>
          </cell>
          <cell r="DC78">
            <v>62.851983021203402</v>
          </cell>
          <cell r="DD78">
            <v>20.332261751549719</v>
          </cell>
          <cell r="DE78">
            <v>19.172864756950815</v>
          </cell>
          <cell r="DF78">
            <v>39.505126508500538</v>
          </cell>
          <cell r="DG78">
            <v>20.332261751549719</v>
          </cell>
          <cell r="DH78">
            <v>19.172864756950815</v>
          </cell>
          <cell r="DI78">
            <v>39.505126508500538</v>
          </cell>
          <cell r="DJ78">
            <v>20.332261751549719</v>
          </cell>
          <cell r="DK78">
            <v>19.172864756950815</v>
          </cell>
          <cell r="DL78">
            <v>39.505126508500538</v>
          </cell>
          <cell r="DM78">
            <v>14.851256662331949</v>
          </cell>
          <cell r="DN78">
            <v>-0.39195952690573943</v>
          </cell>
          <cell r="DO78">
            <v>15.002764476644446</v>
          </cell>
        </row>
        <row r="80">
          <cell r="A80" t="str">
            <v>CAPITAL EXPENDITURE (NCM share)</v>
          </cell>
          <cell r="C80" t="str">
            <v>.</v>
          </cell>
          <cell r="D80" t="str">
            <v>.</v>
          </cell>
          <cell r="E80" t="str">
            <v>.</v>
          </cell>
          <cell r="F80" t="str">
            <v>.</v>
          </cell>
          <cell r="G80" t="str">
            <v>.</v>
          </cell>
          <cell r="H80" t="str">
            <v>.</v>
          </cell>
          <cell r="I80" t="str">
            <v>.</v>
          </cell>
          <cell r="J80" t="str">
            <v>.</v>
          </cell>
          <cell r="K80" t="str">
            <v>.</v>
          </cell>
          <cell r="L80" t="str">
            <v>.</v>
          </cell>
          <cell r="M80" t="str">
            <v>.</v>
          </cell>
          <cell r="N80" t="str">
            <v>.</v>
          </cell>
          <cell r="O80" t="str">
            <v>.</v>
          </cell>
          <cell r="P80" t="str">
            <v>.</v>
          </cell>
          <cell r="Q80" t="str">
            <v>.</v>
          </cell>
          <cell r="R80" t="str">
            <v>.</v>
          </cell>
          <cell r="S80" t="str">
            <v>.</v>
          </cell>
          <cell r="T80" t="str">
            <v>.</v>
          </cell>
          <cell r="U80" t="str">
            <v>.</v>
          </cell>
          <cell r="V80" t="str">
            <v>.</v>
          </cell>
          <cell r="W80" t="str">
            <v>.</v>
          </cell>
          <cell r="X80" t="str">
            <v>.</v>
          </cell>
          <cell r="Y80" t="str">
            <v>.</v>
          </cell>
          <cell r="Z80" t="str">
            <v>.</v>
          </cell>
          <cell r="AA80" t="str">
            <v>.</v>
          </cell>
          <cell r="AB80" t="str">
            <v>.</v>
          </cell>
          <cell r="AC80" t="str">
            <v>.</v>
          </cell>
          <cell r="AD80" t="str">
            <v>.</v>
          </cell>
          <cell r="AE80" t="str">
            <v>.</v>
          </cell>
          <cell r="AF80" t="str">
            <v>.</v>
          </cell>
          <cell r="AG80" t="str">
            <v>.</v>
          </cell>
          <cell r="AH80" t="str">
            <v>.</v>
          </cell>
          <cell r="AI80" t="str">
            <v>.</v>
          </cell>
          <cell r="AJ80" t="str">
            <v>.</v>
          </cell>
          <cell r="AK80" t="str">
            <v>.</v>
          </cell>
          <cell r="AL80" t="str">
            <v>.</v>
          </cell>
          <cell r="AM80" t="str">
            <v>.</v>
          </cell>
          <cell r="AN80" t="str">
            <v>.</v>
          </cell>
          <cell r="AO80" t="str">
            <v>.</v>
          </cell>
          <cell r="AP80" t="str">
            <v>.</v>
          </cell>
          <cell r="AQ80" t="str">
            <v>.</v>
          </cell>
          <cell r="AR80" t="str">
            <v>.</v>
          </cell>
          <cell r="AS80" t="str">
            <v>.</v>
          </cell>
          <cell r="AT80" t="str">
            <v>.</v>
          </cell>
          <cell r="AU80" t="str">
            <v>.</v>
          </cell>
          <cell r="AV80" t="str">
            <v>.</v>
          </cell>
          <cell r="AW80" t="str">
            <v>.</v>
          </cell>
          <cell r="AX80" t="str">
            <v>.</v>
          </cell>
          <cell r="AY80" t="str">
            <v>.</v>
          </cell>
          <cell r="AZ80" t="str">
            <v>.</v>
          </cell>
          <cell r="BA80" t="str">
            <v>.</v>
          </cell>
          <cell r="BB80" t="str">
            <v>.</v>
          </cell>
          <cell r="BC80" t="str">
            <v>.</v>
          </cell>
          <cell r="BE80" t="str">
            <v>.</v>
          </cell>
          <cell r="BF80" t="str">
            <v>.</v>
          </cell>
          <cell r="BG80" t="str">
            <v>.</v>
          </cell>
          <cell r="BH80" t="str">
            <v>.</v>
          </cell>
          <cell r="BI80" t="str">
            <v>.</v>
          </cell>
          <cell r="BJ80" t="str">
            <v>.</v>
          </cell>
          <cell r="BK80" t="str">
            <v>.</v>
          </cell>
          <cell r="BL80" t="str">
            <v>.</v>
          </cell>
          <cell r="BM80" t="str">
            <v>.</v>
          </cell>
          <cell r="BN80" t="str">
            <v>.</v>
          </cell>
          <cell r="BO80" t="str">
            <v>.</v>
          </cell>
          <cell r="BP80" t="str">
            <v>.</v>
          </cell>
          <cell r="BQ80" t="str">
            <v>.</v>
          </cell>
          <cell r="BR80" t="str">
            <v>.</v>
          </cell>
          <cell r="BS80" t="str">
            <v>.</v>
          </cell>
          <cell r="BT80" t="str">
            <v>.</v>
          </cell>
          <cell r="BU80" t="str">
            <v>.</v>
          </cell>
          <cell r="BV80" t="str">
            <v>.</v>
          </cell>
          <cell r="BW80" t="str">
            <v>.</v>
          </cell>
          <cell r="BX80" t="str">
            <v>.</v>
          </cell>
          <cell r="BY80" t="str">
            <v>.</v>
          </cell>
          <cell r="BZ80" t="str">
            <v>.</v>
          </cell>
          <cell r="CA80" t="str">
            <v>.</v>
          </cell>
          <cell r="CB80" t="str">
            <v>.</v>
          </cell>
          <cell r="CC80" t="str">
            <v>.</v>
          </cell>
          <cell r="CD80" t="str">
            <v>.</v>
          </cell>
          <cell r="CE80" t="str">
            <v>.</v>
          </cell>
          <cell r="CF80" t="str">
            <v>.</v>
          </cell>
          <cell r="CG80" t="str">
            <v>.</v>
          </cell>
          <cell r="CH80" t="str">
            <v>.</v>
          </cell>
          <cell r="CI80" t="str">
            <v>.</v>
          </cell>
          <cell r="CJ80" t="str">
            <v>.</v>
          </cell>
          <cell r="CK80" t="str">
            <v>.</v>
          </cell>
          <cell r="CL80" t="str">
            <v>.</v>
          </cell>
          <cell r="CM80" t="str">
            <v>.</v>
          </cell>
          <cell r="CN80" t="str">
            <v>.</v>
          </cell>
          <cell r="CO80" t="str">
            <v>.</v>
          </cell>
          <cell r="CP80" t="str">
            <v>.</v>
          </cell>
          <cell r="CQ80" t="str">
            <v>.</v>
          </cell>
          <cell r="CR80" t="str">
            <v>.</v>
          </cell>
          <cell r="CS80" t="str">
            <v>.</v>
          </cell>
          <cell r="CT80" t="str">
            <v>.</v>
          </cell>
          <cell r="CU80" t="str">
            <v>.</v>
          </cell>
          <cell r="CV80" t="str">
            <v>.</v>
          </cell>
          <cell r="CW80" t="str">
            <v>.</v>
          </cell>
          <cell r="CX80" t="str">
            <v>.</v>
          </cell>
          <cell r="CY80" t="str">
            <v>.</v>
          </cell>
          <cell r="CZ80" t="str">
            <v>.</v>
          </cell>
          <cell r="DA80" t="str">
            <v>.</v>
          </cell>
          <cell r="DB80" t="str">
            <v>.</v>
          </cell>
          <cell r="DC80" t="str">
            <v>.</v>
          </cell>
          <cell r="DD80" t="str">
            <v>.</v>
          </cell>
          <cell r="DE80" t="str">
            <v>.</v>
          </cell>
          <cell r="DF80" t="str">
            <v>.</v>
          </cell>
          <cell r="DG80" t="str">
            <v>.</v>
          </cell>
          <cell r="DH80" t="str">
            <v>.</v>
          </cell>
          <cell r="DI80" t="str">
            <v>.</v>
          </cell>
          <cell r="DJ80" t="str">
            <v>.</v>
          </cell>
          <cell r="DK80" t="str">
            <v>.</v>
          </cell>
          <cell r="DL80" t="str">
            <v>.</v>
          </cell>
          <cell r="DM80" t="str">
            <v>.</v>
          </cell>
          <cell r="DN80" t="str">
            <v>.</v>
          </cell>
          <cell r="DO80" t="str">
            <v>.</v>
          </cell>
          <cell r="DP80" t="str">
            <v>.</v>
          </cell>
          <cell r="DQ80" t="str">
            <v>.</v>
          </cell>
          <cell r="DR80" t="str">
            <v>.</v>
          </cell>
          <cell r="DS80" t="str">
            <v>.</v>
          </cell>
          <cell r="DT80" t="str">
            <v>.</v>
          </cell>
          <cell r="DU80" t="str">
            <v>.</v>
          </cell>
          <cell r="DV80" t="str">
            <v>.</v>
          </cell>
          <cell r="DW80" t="str">
            <v>.</v>
          </cell>
          <cell r="DX80" t="str">
            <v>.</v>
          </cell>
          <cell r="DY80" t="str">
            <v>.</v>
          </cell>
          <cell r="DZ80" t="str">
            <v>.</v>
          </cell>
          <cell r="EA80" t="str">
            <v>.</v>
          </cell>
          <cell r="EB80" t="str">
            <v>.</v>
          </cell>
          <cell r="EC80" t="str">
            <v>.</v>
          </cell>
          <cell r="ED80" t="str">
            <v>.</v>
          </cell>
          <cell r="EE80" t="str">
            <v>.</v>
          </cell>
          <cell r="EF80" t="str">
            <v>.</v>
          </cell>
          <cell r="EG80" t="str">
            <v>.</v>
          </cell>
          <cell r="EH80" t="str">
            <v>.</v>
          </cell>
          <cell r="EI80" t="str">
            <v>.</v>
          </cell>
          <cell r="EJ80" t="str">
            <v>.</v>
          </cell>
          <cell r="EK80" t="str">
            <v>.</v>
          </cell>
          <cell r="EL80" t="str">
            <v>.</v>
          </cell>
          <cell r="EM80" t="str">
            <v>.</v>
          </cell>
          <cell r="EN80" t="str">
            <v>.</v>
          </cell>
          <cell r="EO80" t="str">
            <v>.</v>
          </cell>
          <cell r="EP80" t="str">
            <v>.</v>
          </cell>
          <cell r="EQ80" t="str">
            <v>.</v>
          </cell>
          <cell r="ER80" t="str">
            <v>.</v>
          </cell>
          <cell r="ES80" t="str">
            <v>.</v>
          </cell>
          <cell r="ET80" t="str">
            <v>.</v>
          </cell>
          <cell r="EU80" t="str">
            <v>.</v>
          </cell>
          <cell r="EV80" t="str">
            <v>.</v>
          </cell>
          <cell r="EW80" t="str">
            <v>.</v>
          </cell>
          <cell r="EX80" t="str">
            <v>.</v>
          </cell>
          <cell r="EY80" t="str">
            <v>.</v>
          </cell>
          <cell r="EZ80" t="str">
            <v>.</v>
          </cell>
          <cell r="FA80" t="str">
            <v>.</v>
          </cell>
          <cell r="FB80" t="str">
            <v>.</v>
          </cell>
          <cell r="FC80" t="str">
            <v>.</v>
          </cell>
          <cell r="FD80" t="str">
            <v>.</v>
          </cell>
          <cell r="FE80" t="str">
            <v>.</v>
          </cell>
          <cell r="FF80" t="str">
            <v>.</v>
          </cell>
          <cell r="FG80" t="str">
            <v>.</v>
          </cell>
          <cell r="FH80" t="str">
            <v>.</v>
          </cell>
          <cell r="FI80" t="str">
            <v>.</v>
          </cell>
          <cell r="FJ80" t="str">
            <v>.</v>
          </cell>
          <cell r="FK80" t="str">
            <v>.</v>
          </cell>
          <cell r="FL80" t="str">
            <v>.</v>
          </cell>
          <cell r="FM80" t="str">
            <v>.</v>
          </cell>
          <cell r="FN80" t="str">
            <v>.</v>
          </cell>
          <cell r="FO80" t="str">
            <v>.</v>
          </cell>
          <cell r="FP80" t="str">
            <v>.</v>
          </cell>
          <cell r="FQ80" t="str">
            <v>.</v>
          </cell>
          <cell r="FR80" t="str">
            <v>.</v>
          </cell>
          <cell r="FS80" t="str">
            <v>.</v>
          </cell>
          <cell r="FT80" t="str">
            <v>.</v>
          </cell>
          <cell r="FU80" t="str">
            <v>.</v>
          </cell>
          <cell r="FV80" t="str">
            <v>.</v>
          </cell>
          <cell r="FW80" t="str">
            <v>.</v>
          </cell>
          <cell r="FX80" t="str">
            <v>.</v>
          </cell>
          <cell r="FY80" t="str">
            <v>.</v>
          </cell>
          <cell r="FZ80" t="str">
            <v>.</v>
          </cell>
          <cell r="GA80" t="str">
            <v>.</v>
          </cell>
          <cell r="GB80" t="str">
            <v>.</v>
          </cell>
          <cell r="GC80" t="str">
            <v>.</v>
          </cell>
          <cell r="GD80" t="str">
            <v>.</v>
          </cell>
          <cell r="GE80" t="str">
            <v>.</v>
          </cell>
          <cell r="GF80" t="str">
            <v>.</v>
          </cell>
          <cell r="GG80" t="str">
            <v>.</v>
          </cell>
          <cell r="GH80" t="str">
            <v>.</v>
          </cell>
          <cell r="GI80" t="str">
            <v>.</v>
          </cell>
          <cell r="GJ80" t="str">
            <v>.</v>
          </cell>
          <cell r="GK80" t="str">
            <v>.</v>
          </cell>
          <cell r="GL80" t="str">
            <v>.</v>
          </cell>
          <cell r="GM80" t="str">
            <v>.</v>
          </cell>
          <cell r="GN80" t="str">
            <v>.</v>
          </cell>
          <cell r="GO80" t="str">
            <v>.</v>
          </cell>
          <cell r="GP80" t="str">
            <v>.</v>
          </cell>
          <cell r="GQ80" t="str">
            <v>.</v>
          </cell>
          <cell r="GR80" t="str">
            <v>.</v>
          </cell>
          <cell r="GS80" t="str">
            <v>.</v>
          </cell>
          <cell r="GT80" t="str">
            <v>.</v>
          </cell>
          <cell r="GU80" t="str">
            <v>.</v>
          </cell>
          <cell r="GV80" t="str">
            <v>.</v>
          </cell>
          <cell r="GW80" t="str">
            <v>.</v>
          </cell>
          <cell r="GX80" t="str">
            <v>.</v>
          </cell>
        </row>
        <row r="81">
          <cell r="A81" t="str">
            <v>Sustaining</v>
          </cell>
          <cell r="B81" t="str">
            <v>A$m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0.3</v>
          </cell>
          <cell r="L81">
            <v>0.3</v>
          </cell>
          <cell r="M81">
            <v>0.6</v>
          </cell>
          <cell r="N81">
            <v>0.6</v>
          </cell>
          <cell r="O81">
            <v>0.6</v>
          </cell>
          <cell r="P81">
            <v>1.3</v>
          </cell>
          <cell r="Q81">
            <v>2</v>
          </cell>
          <cell r="R81">
            <v>2</v>
          </cell>
          <cell r="S81">
            <v>2</v>
          </cell>
          <cell r="T81">
            <v>2</v>
          </cell>
          <cell r="U81">
            <v>2</v>
          </cell>
          <cell r="V81">
            <v>2</v>
          </cell>
          <cell r="W81">
            <v>2</v>
          </cell>
          <cell r="X81">
            <v>2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CB81">
            <v>0.3</v>
          </cell>
          <cell r="CC81">
            <v>0.3</v>
          </cell>
          <cell r="CD81">
            <v>0.3</v>
          </cell>
          <cell r="CE81">
            <v>0.3</v>
          </cell>
          <cell r="CF81">
            <v>35</v>
          </cell>
          <cell r="CG81">
            <v>0.3</v>
          </cell>
          <cell r="CH81">
            <v>0.6</v>
          </cell>
          <cell r="CI81">
            <v>0.3</v>
          </cell>
          <cell r="CJ81">
            <v>0.3</v>
          </cell>
          <cell r="CK81">
            <v>0.6</v>
          </cell>
          <cell r="CL81">
            <v>0.3</v>
          </cell>
          <cell r="CM81">
            <v>0.3</v>
          </cell>
          <cell r="CN81">
            <v>0.6</v>
          </cell>
          <cell r="CO81">
            <v>0.3</v>
          </cell>
          <cell r="CP81">
            <v>1</v>
          </cell>
          <cell r="CQ81">
            <v>1.3</v>
          </cell>
          <cell r="CR81">
            <v>1</v>
          </cell>
          <cell r="CS81">
            <v>1</v>
          </cell>
          <cell r="CT81">
            <v>2</v>
          </cell>
          <cell r="CU81">
            <v>1</v>
          </cell>
          <cell r="CV81">
            <v>1</v>
          </cell>
          <cell r="CW81">
            <v>2</v>
          </cell>
          <cell r="CX81">
            <v>1</v>
          </cell>
          <cell r="CY81">
            <v>1</v>
          </cell>
          <cell r="CZ81">
            <v>2</v>
          </cell>
          <cell r="DA81">
            <v>1</v>
          </cell>
          <cell r="DB81">
            <v>1</v>
          </cell>
          <cell r="DC81">
            <v>2</v>
          </cell>
          <cell r="DD81">
            <v>1</v>
          </cell>
          <cell r="DE81">
            <v>1</v>
          </cell>
          <cell r="DF81">
            <v>2</v>
          </cell>
          <cell r="DG81">
            <v>1</v>
          </cell>
          <cell r="DH81">
            <v>1</v>
          </cell>
          <cell r="DI81">
            <v>2</v>
          </cell>
          <cell r="DJ81">
            <v>1</v>
          </cell>
          <cell r="DK81">
            <v>1</v>
          </cell>
          <cell r="DL81">
            <v>2</v>
          </cell>
          <cell r="DM81">
            <v>1</v>
          </cell>
          <cell r="DN81">
            <v>1</v>
          </cell>
          <cell r="DO81">
            <v>2</v>
          </cell>
        </row>
        <row r="82">
          <cell r="A82" t="str">
            <v>Development &amp; Expansion</v>
          </cell>
          <cell r="B82" t="str">
            <v>A$m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</v>
          </cell>
          <cell r="L82">
            <v>20</v>
          </cell>
          <cell r="M82">
            <v>30</v>
          </cell>
          <cell r="N82">
            <v>20</v>
          </cell>
          <cell r="O82">
            <v>20</v>
          </cell>
          <cell r="P82">
            <v>10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CB82">
            <v>10</v>
          </cell>
          <cell r="CC82">
            <v>10</v>
          </cell>
          <cell r="CD82">
            <v>0</v>
          </cell>
          <cell r="CE82">
            <v>20</v>
          </cell>
          <cell r="CF82">
            <v>20</v>
          </cell>
          <cell r="CG82">
            <v>10</v>
          </cell>
          <cell r="CH82">
            <v>30</v>
          </cell>
          <cell r="CI82">
            <v>10</v>
          </cell>
          <cell r="CJ82">
            <v>10</v>
          </cell>
          <cell r="CK82">
            <v>20</v>
          </cell>
          <cell r="CL82">
            <v>10</v>
          </cell>
          <cell r="CM82">
            <v>10</v>
          </cell>
          <cell r="CN82">
            <v>20</v>
          </cell>
          <cell r="CO82">
            <v>10</v>
          </cell>
          <cell r="CP82">
            <v>0</v>
          </cell>
          <cell r="CQ82">
            <v>10</v>
          </cell>
          <cell r="CR82">
            <v>0</v>
          </cell>
          <cell r="CS82">
            <v>0</v>
          </cell>
          <cell r="CT82">
            <v>0</v>
          </cell>
          <cell r="CU82">
            <v>0</v>
          </cell>
          <cell r="CV82">
            <v>0</v>
          </cell>
          <cell r="CW82">
            <v>0</v>
          </cell>
          <cell r="CX82">
            <v>0</v>
          </cell>
          <cell r="CY82">
            <v>0</v>
          </cell>
          <cell r="CZ82">
            <v>0</v>
          </cell>
          <cell r="DA82">
            <v>0</v>
          </cell>
          <cell r="DB82">
            <v>0</v>
          </cell>
          <cell r="DC82">
            <v>0</v>
          </cell>
          <cell r="DD82">
            <v>0</v>
          </cell>
          <cell r="DE82">
            <v>0</v>
          </cell>
          <cell r="DF82">
            <v>0</v>
          </cell>
          <cell r="DG82">
            <v>0</v>
          </cell>
          <cell r="DH82">
            <v>0</v>
          </cell>
          <cell r="DI82">
            <v>0</v>
          </cell>
          <cell r="DJ82">
            <v>0</v>
          </cell>
          <cell r="DK82">
            <v>0</v>
          </cell>
          <cell r="DL82">
            <v>0</v>
          </cell>
          <cell r="DM82">
            <v>0</v>
          </cell>
          <cell r="DN82">
            <v>0</v>
          </cell>
          <cell r="DO82">
            <v>0</v>
          </cell>
        </row>
        <row r="83">
          <cell r="A83" t="str">
            <v>Total Capex</v>
          </cell>
          <cell r="B83" t="str">
            <v>A$m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27</v>
          </cell>
          <cell r="L83">
            <v>27.500000000000004</v>
          </cell>
          <cell r="M83">
            <v>30.6</v>
          </cell>
          <cell r="N83">
            <v>20.6</v>
          </cell>
          <cell r="O83">
            <v>20.6</v>
          </cell>
          <cell r="P83">
            <v>11.3</v>
          </cell>
          <cell r="Q83">
            <v>2</v>
          </cell>
          <cell r="R83">
            <v>2</v>
          </cell>
          <cell r="S83">
            <v>2</v>
          </cell>
          <cell r="T83">
            <v>2</v>
          </cell>
          <cell r="U83">
            <v>2</v>
          </cell>
          <cell r="V83">
            <v>2</v>
          </cell>
          <cell r="W83">
            <v>2</v>
          </cell>
          <cell r="X83">
            <v>2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CB83">
            <v>27</v>
          </cell>
          <cell r="CC83">
            <v>27</v>
          </cell>
          <cell r="CD83">
            <v>21.7</v>
          </cell>
          <cell r="CE83">
            <v>27.500000000000004</v>
          </cell>
          <cell r="CF83">
            <v>49.2</v>
          </cell>
          <cell r="CG83">
            <v>10.3</v>
          </cell>
          <cell r="CH83">
            <v>30.6</v>
          </cell>
          <cell r="CI83">
            <v>10.3</v>
          </cell>
          <cell r="CJ83">
            <v>10.3</v>
          </cell>
          <cell r="CK83">
            <v>20.6</v>
          </cell>
          <cell r="CL83">
            <v>10.3</v>
          </cell>
          <cell r="CM83">
            <v>10.3</v>
          </cell>
          <cell r="CN83">
            <v>20.6</v>
          </cell>
          <cell r="CO83">
            <v>10.3</v>
          </cell>
          <cell r="CP83">
            <v>1</v>
          </cell>
          <cell r="CQ83">
            <v>11.3</v>
          </cell>
          <cell r="CR83">
            <v>1</v>
          </cell>
          <cell r="CS83">
            <v>1</v>
          </cell>
          <cell r="CT83">
            <v>2</v>
          </cell>
          <cell r="CU83">
            <v>1</v>
          </cell>
          <cell r="CV83">
            <v>1</v>
          </cell>
          <cell r="CW83">
            <v>2</v>
          </cell>
          <cell r="CX83">
            <v>1</v>
          </cell>
          <cell r="CY83">
            <v>1</v>
          </cell>
          <cell r="CZ83">
            <v>2</v>
          </cell>
          <cell r="DA83">
            <v>1</v>
          </cell>
          <cell r="DB83">
            <v>1</v>
          </cell>
          <cell r="DC83">
            <v>2</v>
          </cell>
          <cell r="DD83">
            <v>1</v>
          </cell>
          <cell r="DE83">
            <v>1</v>
          </cell>
          <cell r="DF83">
            <v>2</v>
          </cell>
          <cell r="DG83">
            <v>1</v>
          </cell>
          <cell r="DH83">
            <v>1</v>
          </cell>
          <cell r="DI83">
            <v>2</v>
          </cell>
          <cell r="DJ83">
            <v>1</v>
          </cell>
          <cell r="DK83">
            <v>1</v>
          </cell>
          <cell r="DL83">
            <v>2</v>
          </cell>
          <cell r="DM83">
            <v>1</v>
          </cell>
          <cell r="DN83">
            <v>1</v>
          </cell>
          <cell r="DO83">
            <v>2</v>
          </cell>
        </row>
        <row r="85">
          <cell r="A85" t="str">
            <v>DCF ANLAYSIS</v>
          </cell>
          <cell r="B85" t="str">
            <v>.</v>
          </cell>
          <cell r="C85" t="str">
            <v>.</v>
          </cell>
          <cell r="D85" t="str">
            <v>.</v>
          </cell>
          <cell r="E85" t="str">
            <v>.</v>
          </cell>
          <cell r="F85" t="str">
            <v>.</v>
          </cell>
          <cell r="G85" t="str">
            <v>.</v>
          </cell>
          <cell r="H85" t="str">
            <v>.</v>
          </cell>
          <cell r="I85" t="str">
            <v>.</v>
          </cell>
          <cell r="J85" t="str">
            <v>.</v>
          </cell>
          <cell r="K85" t="str">
            <v>.</v>
          </cell>
          <cell r="L85" t="str">
            <v>.</v>
          </cell>
          <cell r="M85" t="str">
            <v>.</v>
          </cell>
          <cell r="N85" t="str">
            <v>.</v>
          </cell>
          <cell r="O85" t="str">
            <v>.</v>
          </cell>
          <cell r="P85" t="str">
            <v>.</v>
          </cell>
          <cell r="Q85" t="str">
            <v>.</v>
          </cell>
          <cell r="R85" t="str">
            <v>.</v>
          </cell>
          <cell r="S85" t="str">
            <v>.</v>
          </cell>
          <cell r="T85" t="str">
            <v>.</v>
          </cell>
          <cell r="U85" t="str">
            <v>.</v>
          </cell>
          <cell r="V85" t="str">
            <v>.</v>
          </cell>
          <cell r="W85" t="str">
            <v>.</v>
          </cell>
          <cell r="X85" t="str">
            <v>.</v>
          </cell>
          <cell r="Y85" t="str">
            <v>.</v>
          </cell>
          <cell r="Z85" t="str">
            <v>.</v>
          </cell>
          <cell r="AA85" t="str">
            <v>.</v>
          </cell>
          <cell r="AB85" t="str">
            <v>.</v>
          </cell>
          <cell r="AC85" t="str">
            <v>.</v>
          </cell>
          <cell r="AD85" t="str">
            <v>.</v>
          </cell>
          <cell r="AE85" t="str">
            <v>.</v>
          </cell>
          <cell r="AF85" t="str">
            <v>.</v>
          </cell>
          <cell r="AG85" t="str">
            <v>.</v>
          </cell>
          <cell r="AH85" t="str">
            <v>.</v>
          </cell>
          <cell r="AI85" t="str">
            <v>.</v>
          </cell>
          <cell r="AJ85" t="str">
            <v>.</v>
          </cell>
          <cell r="AK85" t="str">
            <v>.</v>
          </cell>
          <cell r="AL85" t="str">
            <v>.</v>
          </cell>
          <cell r="AM85" t="str">
            <v>.</v>
          </cell>
          <cell r="AN85" t="str">
            <v>.</v>
          </cell>
          <cell r="AO85" t="str">
            <v>.</v>
          </cell>
          <cell r="AP85" t="str">
            <v>.</v>
          </cell>
          <cell r="AQ85" t="str">
            <v>.</v>
          </cell>
          <cell r="AR85" t="str">
            <v>.</v>
          </cell>
          <cell r="AS85" t="str">
            <v>.</v>
          </cell>
          <cell r="AT85" t="str">
            <v>.</v>
          </cell>
          <cell r="AU85" t="str">
            <v>.</v>
          </cell>
          <cell r="AV85" t="str">
            <v>.</v>
          </cell>
          <cell r="AW85" t="str">
            <v>.</v>
          </cell>
          <cell r="AX85" t="str">
            <v>.</v>
          </cell>
          <cell r="AY85" t="str">
            <v>.</v>
          </cell>
          <cell r="AZ85" t="str">
            <v>.</v>
          </cell>
          <cell r="BA85" t="str">
            <v>.</v>
          </cell>
          <cell r="BB85" t="str">
            <v>.</v>
          </cell>
          <cell r="BC85" t="str">
            <v>.</v>
          </cell>
          <cell r="BE85" t="str">
            <v>.</v>
          </cell>
          <cell r="BF85" t="str">
            <v>.</v>
          </cell>
          <cell r="BG85" t="str">
            <v>.</v>
          </cell>
          <cell r="BH85" t="str">
            <v>.</v>
          </cell>
          <cell r="BI85" t="str">
            <v>.</v>
          </cell>
          <cell r="BJ85" t="str">
            <v>.</v>
          </cell>
          <cell r="BK85" t="str">
            <v>.</v>
          </cell>
          <cell r="BL85" t="str">
            <v>.</v>
          </cell>
          <cell r="BM85" t="str">
            <v>.</v>
          </cell>
          <cell r="BN85" t="str">
            <v>.</v>
          </cell>
          <cell r="BO85" t="str">
            <v>.</v>
          </cell>
          <cell r="BP85" t="str">
            <v>.</v>
          </cell>
          <cell r="BQ85" t="str">
            <v>.</v>
          </cell>
          <cell r="BR85" t="str">
            <v>.</v>
          </cell>
          <cell r="BS85" t="str">
            <v>.</v>
          </cell>
          <cell r="BT85" t="str">
            <v>.</v>
          </cell>
          <cell r="BU85" t="str">
            <v>.</v>
          </cell>
          <cell r="BV85" t="str">
            <v>.</v>
          </cell>
          <cell r="BW85" t="str">
            <v>.</v>
          </cell>
          <cell r="BX85" t="str">
            <v>.</v>
          </cell>
          <cell r="BY85" t="str">
            <v>.</v>
          </cell>
          <cell r="BZ85" t="str">
            <v>.</v>
          </cell>
          <cell r="CA85" t="str">
            <v>.</v>
          </cell>
          <cell r="CB85" t="str">
            <v>.</v>
          </cell>
          <cell r="CC85" t="str">
            <v>.</v>
          </cell>
          <cell r="CD85" t="str">
            <v>.</v>
          </cell>
          <cell r="CE85" t="str">
            <v>.</v>
          </cell>
          <cell r="CF85" t="str">
            <v>.</v>
          </cell>
          <cell r="CG85" t="str">
            <v>.</v>
          </cell>
          <cell r="CH85" t="str">
            <v>.</v>
          </cell>
          <cell r="CI85" t="str">
            <v>.</v>
          </cell>
          <cell r="CJ85" t="str">
            <v>.</v>
          </cell>
          <cell r="CK85" t="str">
            <v>.</v>
          </cell>
          <cell r="CL85" t="str">
            <v>.</v>
          </cell>
          <cell r="CM85" t="str">
            <v>.</v>
          </cell>
          <cell r="CN85" t="str">
            <v>.</v>
          </cell>
          <cell r="CO85" t="str">
            <v>.</v>
          </cell>
          <cell r="CP85" t="str">
            <v>.</v>
          </cell>
          <cell r="CQ85" t="str">
            <v>.</v>
          </cell>
          <cell r="CR85" t="str">
            <v>.</v>
          </cell>
          <cell r="CS85" t="str">
            <v>.</v>
          </cell>
          <cell r="CT85" t="str">
            <v>.</v>
          </cell>
          <cell r="CU85" t="str">
            <v>.</v>
          </cell>
          <cell r="CV85" t="str">
            <v>.</v>
          </cell>
          <cell r="CW85" t="str">
            <v>.</v>
          </cell>
          <cell r="CX85" t="str">
            <v>.</v>
          </cell>
          <cell r="CY85" t="str">
            <v>.</v>
          </cell>
          <cell r="CZ85" t="str">
            <v>.</v>
          </cell>
          <cell r="DA85" t="str">
            <v>.</v>
          </cell>
          <cell r="DB85" t="str">
            <v>.</v>
          </cell>
          <cell r="DC85" t="str">
            <v>.</v>
          </cell>
          <cell r="DD85" t="str">
            <v>.</v>
          </cell>
          <cell r="DE85" t="str">
            <v>.</v>
          </cell>
          <cell r="DF85" t="str">
            <v>.</v>
          </cell>
          <cell r="DG85" t="str">
            <v>.</v>
          </cell>
          <cell r="DH85" t="str">
            <v>.</v>
          </cell>
          <cell r="DI85" t="str">
            <v>.</v>
          </cell>
          <cell r="DJ85" t="str">
            <v>.</v>
          </cell>
          <cell r="DK85" t="str">
            <v>.</v>
          </cell>
          <cell r="DL85" t="str">
            <v>.</v>
          </cell>
          <cell r="DM85" t="str">
            <v>.</v>
          </cell>
          <cell r="DN85" t="str">
            <v>.</v>
          </cell>
          <cell r="DO85" t="str">
            <v>.</v>
          </cell>
          <cell r="DP85" t="str">
            <v>.</v>
          </cell>
          <cell r="DQ85" t="str">
            <v>.</v>
          </cell>
          <cell r="DR85" t="str">
            <v>.</v>
          </cell>
          <cell r="DS85" t="str">
            <v>.</v>
          </cell>
          <cell r="DT85" t="str">
            <v>.</v>
          </cell>
          <cell r="DU85" t="str">
            <v>.</v>
          </cell>
          <cell r="DV85" t="str">
            <v>.</v>
          </cell>
          <cell r="DW85" t="str">
            <v>.</v>
          </cell>
          <cell r="DX85" t="str">
            <v>.</v>
          </cell>
          <cell r="DY85" t="str">
            <v>.</v>
          </cell>
          <cell r="DZ85" t="str">
            <v>.</v>
          </cell>
          <cell r="EA85" t="str">
            <v>.</v>
          </cell>
          <cell r="EB85" t="str">
            <v>.</v>
          </cell>
          <cell r="EC85" t="str">
            <v>.</v>
          </cell>
          <cell r="ED85" t="str">
            <v>.</v>
          </cell>
          <cell r="EE85" t="str">
            <v>.</v>
          </cell>
          <cell r="EF85" t="str">
            <v>.</v>
          </cell>
          <cell r="EG85" t="str">
            <v>.</v>
          </cell>
          <cell r="EH85" t="str">
            <v>.</v>
          </cell>
          <cell r="EI85" t="str">
            <v>.</v>
          </cell>
          <cell r="EJ85" t="str">
            <v>.</v>
          </cell>
          <cell r="EK85" t="str">
            <v>.</v>
          </cell>
          <cell r="EL85" t="str">
            <v>.</v>
          </cell>
          <cell r="EM85" t="str">
            <v>.</v>
          </cell>
          <cell r="EN85" t="str">
            <v>.</v>
          </cell>
          <cell r="EO85" t="str">
            <v>.</v>
          </cell>
          <cell r="EP85" t="str">
            <v>.</v>
          </cell>
          <cell r="EQ85" t="str">
            <v>.</v>
          </cell>
          <cell r="ER85" t="str">
            <v>.</v>
          </cell>
          <cell r="ES85" t="str">
            <v>.</v>
          </cell>
          <cell r="ET85" t="str">
            <v>.</v>
          </cell>
          <cell r="EU85" t="str">
            <v>.</v>
          </cell>
          <cell r="EV85" t="str">
            <v>.</v>
          </cell>
          <cell r="EW85" t="str">
            <v>.</v>
          </cell>
          <cell r="EX85" t="str">
            <v>.</v>
          </cell>
          <cell r="EY85" t="str">
            <v>.</v>
          </cell>
          <cell r="EZ85" t="str">
            <v>.</v>
          </cell>
          <cell r="FA85" t="str">
            <v>.</v>
          </cell>
          <cell r="FB85" t="str">
            <v>.</v>
          </cell>
          <cell r="FC85" t="str">
            <v>.</v>
          </cell>
          <cell r="FD85" t="str">
            <v>.</v>
          </cell>
          <cell r="FE85" t="str">
            <v>.</v>
          </cell>
          <cell r="FF85" t="str">
            <v>.</v>
          </cell>
          <cell r="FG85" t="str">
            <v>.</v>
          </cell>
          <cell r="FH85" t="str">
            <v>.</v>
          </cell>
          <cell r="FI85" t="str">
            <v>.</v>
          </cell>
          <cell r="FJ85" t="str">
            <v>.</v>
          </cell>
          <cell r="FK85" t="str">
            <v>.</v>
          </cell>
          <cell r="FL85" t="str">
            <v>.</v>
          </cell>
          <cell r="FM85" t="str">
            <v>.</v>
          </cell>
          <cell r="FN85" t="str">
            <v>.</v>
          </cell>
          <cell r="FO85" t="str">
            <v>.</v>
          </cell>
          <cell r="FP85" t="str">
            <v>.</v>
          </cell>
          <cell r="FQ85" t="str">
            <v>.</v>
          </cell>
          <cell r="FR85" t="str">
            <v>.</v>
          </cell>
          <cell r="FS85" t="str">
            <v>.</v>
          </cell>
          <cell r="FT85" t="str">
            <v>.</v>
          </cell>
          <cell r="FU85" t="str">
            <v>.</v>
          </cell>
          <cell r="FV85" t="str">
            <v>.</v>
          </cell>
          <cell r="FW85" t="str">
            <v>.</v>
          </cell>
          <cell r="FX85" t="str">
            <v>.</v>
          </cell>
          <cell r="FY85" t="str">
            <v>.</v>
          </cell>
          <cell r="FZ85" t="str">
            <v>.</v>
          </cell>
          <cell r="GA85" t="str">
            <v>.</v>
          </cell>
          <cell r="GB85" t="str">
            <v>.</v>
          </cell>
          <cell r="GC85" t="str">
            <v>.</v>
          </cell>
          <cell r="GD85" t="str">
            <v>.</v>
          </cell>
          <cell r="GE85" t="str">
            <v>.</v>
          </cell>
          <cell r="GF85" t="str">
            <v>.</v>
          </cell>
          <cell r="GG85" t="str">
            <v>.</v>
          </cell>
          <cell r="GH85" t="str">
            <v>.</v>
          </cell>
          <cell r="GI85" t="str">
            <v>.</v>
          </cell>
          <cell r="GJ85" t="str">
            <v>.</v>
          </cell>
          <cell r="GK85" t="str">
            <v>.</v>
          </cell>
          <cell r="GL85" t="str">
            <v>.</v>
          </cell>
          <cell r="GM85" t="str">
            <v>.</v>
          </cell>
          <cell r="GN85" t="str">
            <v>.</v>
          </cell>
          <cell r="GO85" t="str">
            <v>.</v>
          </cell>
          <cell r="GP85" t="str">
            <v>.</v>
          </cell>
          <cell r="GQ85" t="str">
            <v>.</v>
          </cell>
          <cell r="GR85" t="str">
            <v>.</v>
          </cell>
          <cell r="GS85" t="str">
            <v>.</v>
          </cell>
          <cell r="GT85" t="str">
            <v>.</v>
          </cell>
          <cell r="GU85" t="str">
            <v>.</v>
          </cell>
          <cell r="GV85" t="str">
            <v>.</v>
          </cell>
          <cell r="GW85" t="str">
            <v>.</v>
          </cell>
          <cell r="GX85" t="str">
            <v>.</v>
          </cell>
        </row>
        <row r="86">
          <cell r="A86" t="str">
            <v>WACC</v>
          </cell>
          <cell r="B86">
            <v>7.8575000000000006E-2</v>
          </cell>
        </row>
        <row r="87">
          <cell r="A87" t="str">
            <v>Yr end date</v>
          </cell>
          <cell r="B87">
            <v>40872</v>
          </cell>
          <cell r="D87">
            <v>37072</v>
          </cell>
          <cell r="E87">
            <v>37437</v>
          </cell>
          <cell r="F87">
            <v>37802</v>
          </cell>
          <cell r="G87">
            <v>38168</v>
          </cell>
          <cell r="H87">
            <v>38533</v>
          </cell>
          <cell r="I87">
            <v>38898</v>
          </cell>
          <cell r="J87">
            <v>39263</v>
          </cell>
          <cell r="K87">
            <v>39629</v>
          </cell>
          <cell r="L87">
            <v>39994</v>
          </cell>
          <cell r="M87">
            <v>40359</v>
          </cell>
          <cell r="N87">
            <v>40724</v>
          </cell>
          <cell r="O87">
            <v>41090</v>
          </cell>
          <cell r="P87">
            <v>41455</v>
          </cell>
          <cell r="Q87">
            <v>41820</v>
          </cell>
          <cell r="R87">
            <v>42185</v>
          </cell>
          <cell r="S87">
            <v>42551</v>
          </cell>
          <cell r="T87">
            <v>42916</v>
          </cell>
          <cell r="U87">
            <v>43281</v>
          </cell>
          <cell r="V87">
            <v>43646</v>
          </cell>
          <cell r="W87">
            <v>44012</v>
          </cell>
          <cell r="X87">
            <v>44377</v>
          </cell>
          <cell r="Y87">
            <v>44742</v>
          </cell>
          <cell r="Z87">
            <v>45107</v>
          </cell>
          <cell r="AA87">
            <v>45473</v>
          </cell>
          <cell r="AB87">
            <v>45838</v>
          </cell>
          <cell r="AC87">
            <v>46203</v>
          </cell>
          <cell r="AD87">
            <v>46568</v>
          </cell>
          <cell r="AE87">
            <v>46934</v>
          </cell>
          <cell r="AF87">
            <v>47299</v>
          </cell>
          <cell r="AG87">
            <v>47664</v>
          </cell>
          <cell r="AH87">
            <v>48029</v>
          </cell>
          <cell r="AI87">
            <v>48395</v>
          </cell>
          <cell r="AJ87">
            <v>48760</v>
          </cell>
          <cell r="AK87">
            <v>49125</v>
          </cell>
          <cell r="AL87">
            <v>49490</v>
          </cell>
          <cell r="AM87">
            <v>49856</v>
          </cell>
          <cell r="AN87">
            <v>50221</v>
          </cell>
          <cell r="AO87">
            <v>50586</v>
          </cell>
          <cell r="AP87">
            <v>50951</v>
          </cell>
          <cell r="AQ87">
            <v>51317</v>
          </cell>
          <cell r="AR87">
            <v>51682</v>
          </cell>
          <cell r="AS87">
            <v>52047</v>
          </cell>
          <cell r="AT87">
            <v>52412</v>
          </cell>
          <cell r="AU87">
            <v>52778</v>
          </cell>
          <cell r="AV87">
            <v>53143</v>
          </cell>
          <cell r="AW87">
            <v>53508</v>
          </cell>
          <cell r="AX87">
            <v>53873</v>
          </cell>
          <cell r="AY87">
            <v>54239</v>
          </cell>
          <cell r="AZ87">
            <v>54604</v>
          </cell>
          <cell r="BA87">
            <v>54969</v>
          </cell>
        </row>
        <row r="88">
          <cell r="A88" t="str">
            <v>Contribution to 12mth rolling NPV</v>
          </cell>
          <cell r="B88" t="str">
            <v>%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0.59726027397260273</v>
          </cell>
          <cell r="P88">
            <v>0.40273972602739727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</row>
        <row r="89">
          <cell r="A89" t="str">
            <v>EBITDA</v>
          </cell>
          <cell r="B89" t="str">
            <v>A$m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21.802544781249999</v>
          </cell>
          <cell r="L89">
            <v>38.74602716399999</v>
          </cell>
          <cell r="M89">
            <v>19.104854400000001</v>
          </cell>
          <cell r="N89">
            <v>-4.2952533086356937</v>
          </cell>
          <cell r="O89">
            <v>89.565941091053901</v>
          </cell>
          <cell r="P89">
            <v>231.88317504324061</v>
          </cell>
          <cell r="Q89">
            <v>206.24996766352814</v>
          </cell>
          <cell r="R89">
            <v>172.48988259414921</v>
          </cell>
          <cell r="S89">
            <v>147.44254295716237</v>
          </cell>
          <cell r="T89">
            <v>116.30007131391362</v>
          </cell>
          <cell r="U89">
            <v>85.512434776697518</v>
          </cell>
          <cell r="V89">
            <v>85.512434776697518</v>
          </cell>
          <cell r="W89">
            <v>85.512434776697518</v>
          </cell>
          <cell r="X89">
            <v>46.066956815786163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CA89">
            <v>0</v>
          </cell>
          <cell r="CB89">
            <v>21.802544781249999</v>
          </cell>
          <cell r="CC89">
            <v>16.5</v>
          </cell>
          <cell r="CD89">
            <v>44.1</v>
          </cell>
          <cell r="CE89">
            <v>38.74602716399999</v>
          </cell>
          <cell r="CF89">
            <v>85.1</v>
          </cell>
          <cell r="CG89">
            <v>19.104854400000001</v>
          </cell>
          <cell r="CH89">
            <v>19.104854400000001</v>
          </cell>
          <cell r="CI89">
            <v>6.6</v>
          </cell>
          <cell r="CJ89">
            <v>-7.4338986578754565</v>
          </cell>
          <cell r="CK89">
            <v>-4.2952533086356937</v>
          </cell>
          <cell r="CL89">
            <v>21.294872019829313</v>
          </cell>
          <cell r="CM89">
            <v>71.716824698234262</v>
          </cell>
          <cell r="CN89">
            <v>89.565941091053901</v>
          </cell>
          <cell r="CO89">
            <v>110.89045936238364</v>
          </cell>
          <cell r="CP89">
            <v>119.57615619532646</v>
          </cell>
          <cell r="CQ89">
            <v>231.88317504324061</v>
          </cell>
          <cell r="CR89">
            <v>123.3000707774448</v>
          </cell>
          <cell r="CS89">
            <v>84.213948333028711</v>
          </cell>
          <cell r="CT89">
            <v>206.24996766352814</v>
          </cell>
          <cell r="CU89">
            <v>96.16217181201354</v>
          </cell>
          <cell r="CV89">
            <v>76.512919785351059</v>
          </cell>
          <cell r="CW89">
            <v>172.48988259414921</v>
          </cell>
          <cell r="CX89">
            <v>79.279873558358844</v>
          </cell>
          <cell r="CY89">
            <v>68.25527390041124</v>
          </cell>
          <cell r="CZ89">
            <v>147.44254295716237</v>
          </cell>
          <cell r="DA89">
            <v>74.838724431531489</v>
          </cell>
          <cell r="DB89">
            <v>41.80285236210316</v>
          </cell>
          <cell r="DC89">
            <v>116.30007131391362</v>
          </cell>
          <cell r="DD89">
            <v>43.709582414594337</v>
          </cell>
          <cell r="DE89">
            <v>41.80285236210316</v>
          </cell>
          <cell r="DF89">
            <v>85.512434776697518</v>
          </cell>
          <cell r="DG89">
            <v>43.709582414594337</v>
          </cell>
          <cell r="DH89">
            <v>41.80285236210316</v>
          </cell>
          <cell r="DI89">
            <v>85.512434776697518</v>
          </cell>
          <cell r="DJ89">
            <v>43.709582414594337</v>
          </cell>
          <cell r="DK89">
            <v>41.80285236210316</v>
          </cell>
          <cell r="DL89">
            <v>85.512434776697518</v>
          </cell>
          <cell r="DM89">
            <v>36.440174089471689</v>
          </cell>
          <cell r="DN89">
            <v>9.6267827263144738</v>
          </cell>
          <cell r="DO89">
            <v>46.066956815786163</v>
          </cell>
        </row>
        <row r="90">
          <cell r="A90" t="str">
            <v>Tax</v>
          </cell>
          <cell r="B90" t="str">
            <v>A$m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-2.9999999999999992E-2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34.95903970800029</v>
          </cell>
          <cell r="S90">
            <v>28.674053673351658</v>
          </cell>
          <cell r="T90">
            <v>20.950661007067801</v>
          </cell>
          <cell r="U90">
            <v>13.168375502833513</v>
          </cell>
          <cell r="V90">
            <v>13.168375502833513</v>
          </cell>
          <cell r="W90">
            <v>13.168375502833513</v>
          </cell>
          <cell r="X90">
            <v>5.6907037670030665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CA90">
            <v>-0.12</v>
          </cell>
          <cell r="CB90">
            <v>-2.9999999999999992E-2</v>
          </cell>
          <cell r="CC90">
            <v>-0.15</v>
          </cell>
          <cell r="CD90">
            <v>0</v>
          </cell>
          <cell r="CE90">
            <v>0</v>
          </cell>
          <cell r="CF90">
            <v>0</v>
          </cell>
          <cell r="CG90">
            <v>0</v>
          </cell>
          <cell r="CH90">
            <v>0</v>
          </cell>
          <cell r="CI90">
            <v>0</v>
          </cell>
          <cell r="CJ90">
            <v>0</v>
          </cell>
          <cell r="CK90">
            <v>0</v>
          </cell>
          <cell r="CL90">
            <v>0</v>
          </cell>
          <cell r="CM90">
            <v>0</v>
          </cell>
          <cell r="CN90">
            <v>0</v>
          </cell>
          <cell r="CO90">
            <v>0</v>
          </cell>
          <cell r="CP90">
            <v>0</v>
          </cell>
          <cell r="CQ90">
            <v>0</v>
          </cell>
          <cell r="CR90">
            <v>0</v>
          </cell>
          <cell r="CS90">
            <v>17.247463797436378</v>
          </cell>
          <cell r="CT90">
            <v>0</v>
          </cell>
          <cell r="CU90">
            <v>19.890567933204707</v>
          </cell>
          <cell r="CV90">
            <v>15.068471774795581</v>
          </cell>
          <cell r="CW90">
            <v>34.95903970800029</v>
          </cell>
          <cell r="CX90">
            <v>15.669993369791033</v>
          </cell>
          <cell r="CY90">
            <v>13.004060303560626</v>
          </cell>
          <cell r="CZ90">
            <v>28.674053673351658</v>
          </cell>
          <cell r="DA90">
            <v>14.559706088084194</v>
          </cell>
          <cell r="DB90">
            <v>6.3909549189836055</v>
          </cell>
          <cell r="DC90">
            <v>20.950661007067801</v>
          </cell>
          <cell r="DD90">
            <v>6.7774205838499064</v>
          </cell>
          <cell r="DE90">
            <v>6.3909549189836055</v>
          </cell>
          <cell r="DF90">
            <v>13.168375502833513</v>
          </cell>
          <cell r="DG90">
            <v>6.7774205838499064</v>
          </cell>
          <cell r="DH90">
            <v>6.3909549189836055</v>
          </cell>
          <cell r="DI90">
            <v>13.168375502833513</v>
          </cell>
          <cell r="DJ90">
            <v>6.7774205838499064</v>
          </cell>
          <cell r="DK90">
            <v>6.3909549189836055</v>
          </cell>
          <cell r="DL90">
            <v>13.168375502833513</v>
          </cell>
          <cell r="DM90">
            <v>6.3648242838565494</v>
          </cell>
          <cell r="DN90">
            <v>-0.13065317563524648</v>
          </cell>
          <cell r="DO90">
            <v>5.6907037670030665</v>
          </cell>
        </row>
        <row r="91">
          <cell r="A91" t="str">
            <v>Capex</v>
          </cell>
          <cell r="B91" t="str">
            <v>A$m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27</v>
          </cell>
          <cell r="L91">
            <v>27.500000000000004</v>
          </cell>
          <cell r="M91">
            <v>30.6</v>
          </cell>
          <cell r="N91">
            <v>20.6</v>
          </cell>
          <cell r="O91">
            <v>20.6</v>
          </cell>
          <cell r="P91">
            <v>11.3</v>
          </cell>
          <cell r="Q91">
            <v>2</v>
          </cell>
          <cell r="R91">
            <v>2</v>
          </cell>
          <cell r="S91">
            <v>2</v>
          </cell>
          <cell r="T91">
            <v>2</v>
          </cell>
          <cell r="U91">
            <v>2</v>
          </cell>
          <cell r="V91">
            <v>2</v>
          </cell>
          <cell r="W91">
            <v>2</v>
          </cell>
          <cell r="X91">
            <v>2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CA91">
            <v>0</v>
          </cell>
          <cell r="CB91">
            <v>27</v>
          </cell>
          <cell r="CC91">
            <v>27</v>
          </cell>
          <cell r="CD91">
            <v>21.7</v>
          </cell>
          <cell r="CE91">
            <v>27.500000000000004</v>
          </cell>
          <cell r="CF91">
            <v>49.2</v>
          </cell>
          <cell r="CG91">
            <v>10.3</v>
          </cell>
          <cell r="CH91">
            <v>30.6</v>
          </cell>
          <cell r="CI91">
            <v>10.3</v>
          </cell>
          <cell r="CJ91">
            <v>10.3</v>
          </cell>
          <cell r="CK91">
            <v>20.6</v>
          </cell>
          <cell r="CL91">
            <v>10.3</v>
          </cell>
          <cell r="CM91">
            <v>10.3</v>
          </cell>
          <cell r="CN91">
            <v>20.6</v>
          </cell>
          <cell r="CO91">
            <v>10.3</v>
          </cell>
          <cell r="CP91">
            <v>1</v>
          </cell>
          <cell r="CQ91">
            <v>11.3</v>
          </cell>
          <cell r="CR91">
            <v>1</v>
          </cell>
          <cell r="CS91">
            <v>1</v>
          </cell>
          <cell r="CT91">
            <v>2</v>
          </cell>
          <cell r="CU91">
            <v>1</v>
          </cell>
          <cell r="CV91">
            <v>1</v>
          </cell>
          <cell r="CW91">
            <v>2</v>
          </cell>
          <cell r="CX91">
            <v>1</v>
          </cell>
          <cell r="CY91">
            <v>1</v>
          </cell>
          <cell r="CZ91">
            <v>2</v>
          </cell>
          <cell r="DA91">
            <v>1</v>
          </cell>
          <cell r="DB91">
            <v>1</v>
          </cell>
          <cell r="DC91">
            <v>2</v>
          </cell>
          <cell r="DD91">
            <v>1</v>
          </cell>
          <cell r="DE91">
            <v>1</v>
          </cell>
          <cell r="DF91">
            <v>2</v>
          </cell>
          <cell r="DG91">
            <v>1</v>
          </cell>
          <cell r="DH91">
            <v>1</v>
          </cell>
          <cell r="DI91">
            <v>2</v>
          </cell>
          <cell r="DJ91">
            <v>1</v>
          </cell>
          <cell r="DK91">
            <v>1</v>
          </cell>
          <cell r="DL91">
            <v>2</v>
          </cell>
          <cell r="DM91">
            <v>1</v>
          </cell>
          <cell r="DN91">
            <v>1</v>
          </cell>
          <cell r="DO91">
            <v>2</v>
          </cell>
        </row>
        <row r="92">
          <cell r="A92" t="str">
            <v>Cash Flow</v>
          </cell>
          <cell r="B92" t="str">
            <v>A$m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-5.1674552187499998</v>
          </cell>
          <cell r="L92">
            <v>11.246027163999987</v>
          </cell>
          <cell r="M92">
            <v>-11.495145600000001</v>
          </cell>
          <cell r="N92">
            <v>-24.895253308635695</v>
          </cell>
          <cell r="O92">
            <v>68.965941091053907</v>
          </cell>
          <cell r="P92">
            <v>220.5831750432406</v>
          </cell>
          <cell r="Q92">
            <v>204.24996766352814</v>
          </cell>
          <cell r="R92">
            <v>135.53084288614892</v>
          </cell>
          <cell r="S92">
            <v>116.76848928381071</v>
          </cell>
          <cell r="T92">
            <v>93.349410306845812</v>
          </cell>
          <cell r="U92">
            <v>70.344059273864005</v>
          </cell>
          <cell r="V92">
            <v>70.344059273864005</v>
          </cell>
          <cell r="W92">
            <v>70.344059273864005</v>
          </cell>
          <cell r="X92">
            <v>38.376253048783099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CA92">
            <v>0.12</v>
          </cell>
          <cell r="CB92">
            <v>-5.1674552187499998</v>
          </cell>
          <cell r="CC92">
            <v>-10.350000000000001</v>
          </cell>
          <cell r="CD92">
            <v>22.400000000000002</v>
          </cell>
          <cell r="CE92">
            <v>11.246027163999987</v>
          </cell>
          <cell r="CF92">
            <v>35.899999999999991</v>
          </cell>
          <cell r="CG92">
            <v>8.8048544</v>
          </cell>
          <cell r="CH92">
            <v>-11.495145600000001</v>
          </cell>
          <cell r="CI92">
            <v>-3.7000000000000011</v>
          </cell>
          <cell r="CJ92">
            <v>-17.733898657875457</v>
          </cell>
          <cell r="CK92">
            <v>-24.895253308635695</v>
          </cell>
          <cell r="CL92">
            <v>10.994872019829312</v>
          </cell>
          <cell r="CM92">
            <v>61.416824698234265</v>
          </cell>
          <cell r="CN92">
            <v>68.965941091053907</v>
          </cell>
          <cell r="CO92">
            <v>100.59045936238364</v>
          </cell>
          <cell r="CP92">
            <v>118.57615619532646</v>
          </cell>
          <cell r="CQ92">
            <v>220.5831750432406</v>
          </cell>
          <cell r="CR92">
            <v>122.3000707774448</v>
          </cell>
          <cell r="CS92">
            <v>65.966484535592329</v>
          </cell>
          <cell r="CT92">
            <v>204.24996766352814</v>
          </cell>
          <cell r="CU92">
            <v>75.271603878808833</v>
          </cell>
          <cell r="CV92">
            <v>60.444448010555476</v>
          </cell>
          <cell r="CW92">
            <v>135.53084288614892</v>
          </cell>
          <cell r="CX92">
            <v>62.609880188567814</v>
          </cell>
          <cell r="CY92">
            <v>54.251213596850612</v>
          </cell>
          <cell r="CZ92">
            <v>116.76848928381071</v>
          </cell>
          <cell r="DA92">
            <v>59.279018343447291</v>
          </cell>
          <cell r="DB92">
            <v>34.411897443119557</v>
          </cell>
          <cell r="DC92">
            <v>93.349410306845812</v>
          </cell>
          <cell r="DD92">
            <v>35.932161830744434</v>
          </cell>
          <cell r="DE92">
            <v>34.411897443119557</v>
          </cell>
          <cell r="DF92">
            <v>70.344059273864005</v>
          </cell>
          <cell r="DG92">
            <v>35.932161830744434</v>
          </cell>
          <cell r="DH92">
            <v>34.411897443119557</v>
          </cell>
          <cell r="DI92">
            <v>70.344059273864005</v>
          </cell>
          <cell r="DJ92">
            <v>35.932161830744434</v>
          </cell>
          <cell r="DK92">
            <v>34.411897443119557</v>
          </cell>
          <cell r="DL92">
            <v>70.344059273864005</v>
          </cell>
          <cell r="DM92">
            <v>29.07534980561514</v>
          </cell>
          <cell r="DN92">
            <v>8.7574359019497194</v>
          </cell>
          <cell r="DO92">
            <v>38.376253048783099</v>
          </cell>
        </row>
        <row r="93">
          <cell r="A93" t="str">
            <v>NPV</v>
          </cell>
          <cell r="B93" t="str">
            <v>A$m</v>
          </cell>
          <cell r="D93">
            <v>330.08389708651453</v>
          </cell>
          <cell r="E93">
            <v>356.02023930008744</v>
          </cell>
          <cell r="F93">
            <v>383.99452960309191</v>
          </cell>
          <cell r="G93">
            <v>414.16689976665492</v>
          </cell>
          <cell r="H93">
            <v>446.71006391581977</v>
          </cell>
          <cell r="I93">
            <v>481.81030718800542</v>
          </cell>
          <cell r="J93">
            <v>519.66855207530296</v>
          </cell>
          <cell r="K93">
            <v>560.50150855462005</v>
          </cell>
          <cell r="L93">
            <v>609.71036980804922</v>
          </cell>
          <cell r="M93">
            <v>646.37233495171677</v>
          </cell>
          <cell r="N93">
            <v>708.65618677054806</v>
          </cell>
          <cell r="O93">
            <v>789.23409995467955</v>
          </cell>
          <cell r="P93">
            <v>782.28222826756451</v>
          </cell>
          <cell r="Q93">
            <v>623.16687931044794</v>
          </cell>
          <cell r="R93">
            <v>467.88224918873823</v>
          </cell>
          <cell r="S93">
            <v>369.11525403259446</v>
          </cell>
          <cell r="T93">
            <v>281.34999583439486</v>
          </cell>
          <cell r="U93">
            <v>210.10766145023669</v>
          </cell>
          <cell r="V93">
            <v>156.27281167482502</v>
          </cell>
          <cell r="W93">
            <v>98.207888578310403</v>
          </cell>
          <cell r="X93">
            <v>35.580514149487144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</row>
        <row r="94">
          <cell r="A94" t="str">
            <v>Residual</v>
          </cell>
          <cell r="B94" t="str">
            <v>A$m</v>
          </cell>
          <cell r="X94">
            <v>452.82232452417617</v>
          </cell>
        </row>
        <row r="95">
          <cell r="A95" t="str">
            <v>12mth rolling NPV, A$M</v>
          </cell>
          <cell r="B95">
            <v>1239.2566295802094</v>
          </cell>
        </row>
        <row r="96">
          <cell r="A96" t="str">
            <v>12mth rolling NPV, A$/sh</v>
          </cell>
          <cell r="B96">
            <v>1.6192270769969517</v>
          </cell>
        </row>
        <row r="98">
          <cell r="A98" t="str">
            <v>Carbon - n/a mines is offshore</v>
          </cell>
          <cell r="B98" t="str">
            <v>.</v>
          </cell>
          <cell r="C98" t="str">
            <v>.</v>
          </cell>
          <cell r="D98" t="str">
            <v>.</v>
          </cell>
          <cell r="E98" t="str">
            <v>.</v>
          </cell>
          <cell r="F98" t="str">
            <v>.</v>
          </cell>
          <cell r="G98" t="str">
            <v>.</v>
          </cell>
          <cell r="H98" t="str">
            <v>.</v>
          </cell>
          <cell r="I98" t="str">
            <v>.</v>
          </cell>
          <cell r="J98" t="str">
            <v>.</v>
          </cell>
          <cell r="K98" t="str">
            <v>.</v>
          </cell>
          <cell r="L98" t="str">
            <v>.</v>
          </cell>
          <cell r="M98" t="str">
            <v>.</v>
          </cell>
          <cell r="N98" t="str">
            <v>.</v>
          </cell>
          <cell r="O98" t="str">
            <v>.</v>
          </cell>
          <cell r="P98" t="str">
            <v>.</v>
          </cell>
          <cell r="Q98" t="str">
            <v>.</v>
          </cell>
          <cell r="R98" t="str">
            <v>.</v>
          </cell>
          <cell r="S98" t="str">
            <v>.</v>
          </cell>
          <cell r="T98" t="str">
            <v>.</v>
          </cell>
          <cell r="U98" t="str">
            <v>.</v>
          </cell>
          <cell r="V98" t="str">
            <v>.</v>
          </cell>
          <cell r="W98" t="str">
            <v>.</v>
          </cell>
          <cell r="X98" t="str">
            <v>.</v>
          </cell>
          <cell r="Y98" t="str">
            <v>.</v>
          </cell>
          <cell r="Z98" t="str">
            <v>.</v>
          </cell>
          <cell r="AA98" t="str">
            <v>.</v>
          </cell>
          <cell r="AB98" t="str">
            <v>.</v>
          </cell>
          <cell r="AC98" t="str">
            <v>.</v>
          </cell>
          <cell r="AD98" t="str">
            <v>.</v>
          </cell>
          <cell r="AE98" t="str">
            <v>.</v>
          </cell>
          <cell r="AF98" t="str">
            <v>.</v>
          </cell>
          <cell r="AG98" t="str">
            <v>.</v>
          </cell>
          <cell r="AH98" t="str">
            <v>.</v>
          </cell>
          <cell r="AI98" t="str">
            <v>.</v>
          </cell>
          <cell r="AJ98" t="str">
            <v>.</v>
          </cell>
          <cell r="AK98" t="str">
            <v>.</v>
          </cell>
          <cell r="AL98" t="str">
            <v>.</v>
          </cell>
          <cell r="AM98" t="str">
            <v>.</v>
          </cell>
          <cell r="AN98" t="str">
            <v>.</v>
          </cell>
          <cell r="AO98" t="str">
            <v>.</v>
          </cell>
          <cell r="AP98" t="str">
            <v>.</v>
          </cell>
          <cell r="AQ98" t="str">
            <v>.</v>
          </cell>
          <cell r="AR98" t="str">
            <v>.</v>
          </cell>
          <cell r="AS98" t="str">
            <v>.</v>
          </cell>
          <cell r="AT98" t="str">
            <v>.</v>
          </cell>
          <cell r="AU98" t="str">
            <v>.</v>
          </cell>
          <cell r="AV98" t="str">
            <v>.</v>
          </cell>
          <cell r="AW98" t="str">
            <v>.</v>
          </cell>
          <cell r="AX98" t="str">
            <v>.</v>
          </cell>
          <cell r="AY98" t="str">
            <v>.</v>
          </cell>
          <cell r="AZ98" t="str">
            <v>.</v>
          </cell>
          <cell r="BA98" t="str">
            <v>.</v>
          </cell>
          <cell r="BB98" t="str">
            <v>.</v>
          </cell>
          <cell r="BC98" t="str">
            <v>.</v>
          </cell>
          <cell r="BD98" t="str">
            <v>.</v>
          </cell>
          <cell r="BE98" t="str">
            <v>.</v>
          </cell>
          <cell r="BF98" t="str">
            <v>.</v>
          </cell>
          <cell r="BG98" t="str">
            <v>.</v>
          </cell>
          <cell r="BH98" t="str">
            <v>.</v>
          </cell>
          <cell r="BI98" t="str">
            <v>.</v>
          </cell>
          <cell r="BJ98" t="str">
            <v>.</v>
          </cell>
          <cell r="BK98" t="str">
            <v>.</v>
          </cell>
          <cell r="BL98" t="str">
            <v>.</v>
          </cell>
          <cell r="BM98" t="str">
            <v>.</v>
          </cell>
          <cell r="BN98" t="str">
            <v>.</v>
          </cell>
          <cell r="BO98" t="str">
            <v>.</v>
          </cell>
          <cell r="BP98" t="str">
            <v>.</v>
          </cell>
          <cell r="BQ98" t="str">
            <v>.</v>
          </cell>
          <cell r="BR98" t="str">
            <v>.</v>
          </cell>
          <cell r="BS98" t="str">
            <v>.</v>
          </cell>
          <cell r="BT98" t="str">
            <v>.</v>
          </cell>
          <cell r="BU98" t="str">
            <v>.</v>
          </cell>
          <cell r="BV98" t="str">
            <v>.</v>
          </cell>
          <cell r="BW98" t="str">
            <v>.</v>
          </cell>
          <cell r="BX98" t="str">
            <v>.</v>
          </cell>
          <cell r="BY98" t="str">
            <v>.</v>
          </cell>
          <cell r="BZ98" t="str">
            <v>.</v>
          </cell>
          <cell r="CA98" t="str">
            <v>.</v>
          </cell>
          <cell r="CB98" t="str">
            <v>.</v>
          </cell>
          <cell r="CC98" t="str">
            <v>.</v>
          </cell>
          <cell r="CD98" t="str">
            <v>.</v>
          </cell>
          <cell r="CE98" t="str">
            <v>.</v>
          </cell>
          <cell r="CF98" t="str">
            <v>.</v>
          </cell>
          <cell r="CG98" t="str">
            <v>.</v>
          </cell>
          <cell r="CH98" t="str">
            <v>.</v>
          </cell>
          <cell r="CI98" t="str">
            <v>.</v>
          </cell>
          <cell r="CJ98" t="str">
            <v>.</v>
          </cell>
          <cell r="CK98" t="str">
            <v>.</v>
          </cell>
          <cell r="CL98" t="str">
            <v>.</v>
          </cell>
          <cell r="CM98" t="str">
            <v>.</v>
          </cell>
          <cell r="CN98" t="str">
            <v>.</v>
          </cell>
          <cell r="CO98" t="str">
            <v>.</v>
          </cell>
          <cell r="CP98" t="str">
            <v>.</v>
          </cell>
          <cell r="CQ98" t="str">
            <v>.</v>
          </cell>
          <cell r="CR98" t="str">
            <v>.</v>
          </cell>
          <cell r="CS98" t="str">
            <v>.</v>
          </cell>
          <cell r="CT98" t="str">
            <v>.</v>
          </cell>
          <cell r="CU98" t="str">
            <v>.</v>
          </cell>
          <cell r="CV98" t="str">
            <v>.</v>
          </cell>
          <cell r="CW98" t="str">
            <v>.</v>
          </cell>
          <cell r="CX98" t="str">
            <v>.</v>
          </cell>
          <cell r="CY98" t="str">
            <v>.</v>
          </cell>
          <cell r="CZ98" t="str">
            <v>.</v>
          </cell>
          <cell r="DA98" t="str">
            <v>.</v>
          </cell>
          <cell r="DB98" t="str">
            <v>.</v>
          </cell>
          <cell r="DC98" t="str">
            <v>.</v>
          </cell>
          <cell r="DD98" t="str">
            <v>.</v>
          </cell>
          <cell r="DE98" t="str">
            <v>.</v>
          </cell>
          <cell r="DF98" t="str">
            <v>.</v>
          </cell>
          <cell r="DG98" t="str">
            <v>.</v>
          </cell>
          <cell r="DH98" t="str">
            <v>.</v>
          </cell>
          <cell r="DI98" t="str">
            <v>.</v>
          </cell>
          <cell r="DJ98" t="str">
            <v>.</v>
          </cell>
          <cell r="DK98" t="str">
            <v>.</v>
          </cell>
          <cell r="DL98" t="str">
            <v>.</v>
          </cell>
          <cell r="DM98" t="str">
            <v>.</v>
          </cell>
          <cell r="DN98" t="str">
            <v>.</v>
          </cell>
          <cell r="DO98" t="str">
            <v>.</v>
          </cell>
          <cell r="DP98" t="str">
            <v>.</v>
          </cell>
          <cell r="DQ98" t="str">
            <v>.</v>
          </cell>
          <cell r="DR98" t="str">
            <v>.</v>
          </cell>
          <cell r="DS98" t="str">
            <v>.</v>
          </cell>
          <cell r="DT98" t="str">
            <v>.</v>
          </cell>
          <cell r="DU98" t="str">
            <v>.</v>
          </cell>
          <cell r="DV98" t="str">
            <v>.</v>
          </cell>
          <cell r="DW98" t="str">
            <v>.</v>
          </cell>
          <cell r="DX98" t="str">
            <v>.</v>
          </cell>
          <cell r="DY98" t="str">
            <v>.</v>
          </cell>
          <cell r="DZ98" t="str">
            <v>.</v>
          </cell>
          <cell r="EA98" t="str">
            <v>.</v>
          </cell>
          <cell r="EB98" t="str">
            <v>.</v>
          </cell>
          <cell r="EC98" t="str">
            <v>.</v>
          </cell>
          <cell r="ED98" t="str">
            <v>.</v>
          </cell>
          <cell r="EE98" t="str">
            <v>.</v>
          </cell>
          <cell r="EF98" t="str">
            <v>.</v>
          </cell>
          <cell r="EG98" t="str">
            <v>.</v>
          </cell>
          <cell r="EH98" t="str">
            <v>.</v>
          </cell>
          <cell r="EI98" t="str">
            <v>.</v>
          </cell>
          <cell r="EJ98" t="str">
            <v>.</v>
          </cell>
          <cell r="EK98" t="str">
            <v>.</v>
          </cell>
          <cell r="EL98" t="str">
            <v>.</v>
          </cell>
          <cell r="EM98" t="str">
            <v>.</v>
          </cell>
          <cell r="EN98" t="str">
            <v>.</v>
          </cell>
          <cell r="EO98" t="str">
            <v>.</v>
          </cell>
          <cell r="EP98" t="str">
            <v>.</v>
          </cell>
          <cell r="EQ98" t="str">
            <v>.</v>
          </cell>
          <cell r="ER98" t="str">
            <v>.</v>
          </cell>
          <cell r="ES98" t="str">
            <v>.</v>
          </cell>
          <cell r="ET98" t="str">
            <v>.</v>
          </cell>
          <cell r="EU98" t="str">
            <v>.</v>
          </cell>
          <cell r="EV98" t="str">
            <v>.</v>
          </cell>
          <cell r="EW98" t="str">
            <v>.</v>
          </cell>
          <cell r="EX98" t="str">
            <v>.</v>
          </cell>
          <cell r="EY98" t="str">
            <v>.</v>
          </cell>
          <cell r="EZ98" t="str">
            <v>.</v>
          </cell>
          <cell r="FA98" t="str">
            <v>.</v>
          </cell>
          <cell r="FB98" t="str">
            <v>.</v>
          </cell>
          <cell r="FC98" t="str">
            <v>.</v>
          </cell>
          <cell r="FD98" t="str">
            <v>.</v>
          </cell>
          <cell r="FE98" t="str">
            <v>.</v>
          </cell>
          <cell r="FF98" t="str">
            <v>.</v>
          </cell>
          <cell r="FG98" t="str">
            <v>.</v>
          </cell>
          <cell r="FH98" t="str">
            <v>.</v>
          </cell>
          <cell r="FI98" t="str">
            <v>.</v>
          </cell>
          <cell r="FJ98" t="str">
            <v>.</v>
          </cell>
          <cell r="FK98" t="str">
            <v>.</v>
          </cell>
          <cell r="FL98" t="str">
            <v>.</v>
          </cell>
          <cell r="FM98" t="str">
            <v>.</v>
          </cell>
          <cell r="FN98" t="str">
            <v>.</v>
          </cell>
          <cell r="FO98" t="str">
            <v>.</v>
          </cell>
          <cell r="FP98" t="str">
            <v>.</v>
          </cell>
          <cell r="FQ98" t="str">
            <v>.</v>
          </cell>
          <cell r="FR98" t="str">
            <v>.</v>
          </cell>
          <cell r="FS98" t="str">
            <v>.</v>
          </cell>
          <cell r="FT98" t="str">
            <v>.</v>
          </cell>
          <cell r="FU98" t="str">
            <v>.</v>
          </cell>
          <cell r="FV98" t="str">
            <v>.</v>
          </cell>
          <cell r="FW98" t="str">
            <v>.</v>
          </cell>
          <cell r="FX98" t="str">
            <v>.</v>
          </cell>
          <cell r="FY98" t="str">
            <v>.</v>
          </cell>
          <cell r="FZ98" t="str">
            <v>.</v>
          </cell>
          <cell r="GA98" t="str">
            <v>.</v>
          </cell>
          <cell r="GB98" t="str">
            <v>.</v>
          </cell>
          <cell r="GC98" t="str">
            <v>.</v>
          </cell>
          <cell r="GD98" t="str">
            <v>.</v>
          </cell>
          <cell r="GE98" t="str">
            <v>.</v>
          </cell>
          <cell r="GF98" t="str">
            <v>.</v>
          </cell>
          <cell r="GG98" t="str">
            <v>.</v>
          </cell>
          <cell r="GH98" t="str">
            <v>.</v>
          </cell>
          <cell r="GI98" t="str">
            <v>.</v>
          </cell>
          <cell r="GJ98" t="str">
            <v>.</v>
          </cell>
          <cell r="GK98" t="str">
            <v>.</v>
          </cell>
          <cell r="GL98" t="str">
            <v>.</v>
          </cell>
          <cell r="GM98" t="str">
            <v>.</v>
          </cell>
          <cell r="GN98" t="str">
            <v>.</v>
          </cell>
          <cell r="GO98" t="str">
            <v>.</v>
          </cell>
          <cell r="GP98" t="str">
            <v>.</v>
          </cell>
          <cell r="GQ98" t="str">
            <v>.</v>
          </cell>
          <cell r="GR98" t="str">
            <v>.</v>
          </cell>
          <cell r="GS98" t="str">
            <v>.</v>
          </cell>
          <cell r="GT98" t="str">
            <v>.</v>
          </cell>
          <cell r="GU98" t="str">
            <v>.</v>
          </cell>
          <cell r="GV98" t="str">
            <v>.</v>
          </cell>
          <cell r="GW98" t="str">
            <v>.</v>
          </cell>
          <cell r="GX98" t="str">
            <v>.</v>
          </cell>
        </row>
      </sheetData>
      <sheetData sheetId="17"/>
      <sheetData sheetId="18"/>
      <sheetData sheetId="19"/>
      <sheetData sheetId="20"/>
      <sheetData sheetId="21"/>
      <sheetData sheetId="22"/>
      <sheetData sheetId="23" refreshError="1">
        <row r="1">
          <cell r="T1" t="str">
            <v>SmartCharts</v>
          </cell>
          <cell r="BO1" t="str">
            <v>.</v>
          </cell>
        </row>
        <row r="2">
          <cell r="BO2" t="str">
            <v>.</v>
          </cell>
        </row>
        <row r="3">
          <cell r="BO3" t="str">
            <v>.</v>
          </cell>
        </row>
        <row r="5">
          <cell r="G5" t="str">
            <v>Suggested Exhibit Title: "Key Value Drivers: Our Inputs and the Impact on Scenario Values"</v>
          </cell>
        </row>
        <row r="10">
          <cell r="D10" t="str">
            <v>Input values in white cells:</v>
          </cell>
        </row>
        <row r="11">
          <cell r="AG11">
            <v>34</v>
          </cell>
        </row>
        <row r="12">
          <cell r="C12" t="str">
            <v>Base case:</v>
          </cell>
          <cell r="D12">
            <v>47.6</v>
          </cell>
          <cell r="AG12">
            <v>0.1</v>
          </cell>
        </row>
        <row r="14">
          <cell r="C14" t="str">
            <v>Current price:</v>
          </cell>
          <cell r="D14">
            <v>40.4</v>
          </cell>
          <cell r="AF14">
            <v>-7.6000000000000014</v>
          </cell>
        </row>
        <row r="15">
          <cell r="AF15">
            <v>6.3999999999999986</v>
          </cell>
        </row>
        <row r="16">
          <cell r="C16" t="str">
            <v>Price target:</v>
          </cell>
          <cell r="D16">
            <v>47.6</v>
          </cell>
        </row>
        <row r="18">
          <cell r="AF18" t="str">
            <v>Bear</v>
          </cell>
          <cell r="AH18" t="str">
            <v>Base</v>
          </cell>
          <cell r="AK18" t="str">
            <v>Bull</v>
          </cell>
        </row>
        <row r="19">
          <cell r="E19" t="str">
            <v>Input your Bull/Bear data below:</v>
          </cell>
          <cell r="AE19">
            <v>-18.100000000000009</v>
          </cell>
          <cell r="AF19">
            <v>-18.100000000000009</v>
          </cell>
          <cell r="AH19">
            <v>47.6</v>
          </cell>
          <cell r="AK19">
            <v>17.199999999999989</v>
          </cell>
          <cell r="AM19">
            <v>17.199999999999989</v>
          </cell>
        </row>
        <row r="20">
          <cell r="E20" t="str">
            <v>(Input "to Bear" values as negatives)</v>
          </cell>
          <cell r="AF20" t="str">
            <v>bear_labels</v>
          </cell>
          <cell r="AG20" t="str">
            <v>-bear</v>
          </cell>
          <cell r="AH20" t="str">
            <v>-space1</v>
          </cell>
          <cell r="AI20" t="str">
            <v>+space1</v>
          </cell>
          <cell r="AJ20" t="str">
            <v>+bull</v>
          </cell>
          <cell r="AK20" t="str">
            <v>bull_labels</v>
          </cell>
        </row>
        <row r="21">
          <cell r="D21" t="str">
            <v>to Bear</v>
          </cell>
          <cell r="E21" t="str">
            <v>to Bull</v>
          </cell>
          <cell r="AE21">
            <v>-18.100000000000009</v>
          </cell>
          <cell r="AM21">
            <v>17.199999999999989</v>
          </cell>
        </row>
        <row r="22">
          <cell r="C22" t="str">
            <v>Au, Cu, AUD</v>
          </cell>
          <cell r="D22">
            <v>-0.80000000000000426</v>
          </cell>
          <cell r="E22">
            <v>5.1999999999999957</v>
          </cell>
          <cell r="AE22">
            <v>-18.100000000000009</v>
          </cell>
          <cell r="AF22">
            <v>-3.4000000000000004</v>
          </cell>
          <cell r="AG22">
            <v>-0.80000000000000426</v>
          </cell>
          <cell r="AH22">
            <v>0</v>
          </cell>
          <cell r="AI22">
            <v>0</v>
          </cell>
          <cell r="AJ22">
            <v>5.1999999999999957</v>
          </cell>
          <cell r="AK22">
            <v>3.4000000000000004</v>
          </cell>
          <cell r="AL22">
            <v>8.5999999999999961</v>
          </cell>
          <cell r="AM22">
            <v>17.199999999999989</v>
          </cell>
        </row>
        <row r="23">
          <cell r="C23" t="str">
            <v>Gold production</v>
          </cell>
          <cell r="D23">
            <v>-7.6000000000000014</v>
          </cell>
          <cell r="E23">
            <v>6.3999999999999986</v>
          </cell>
          <cell r="AE23">
            <v>-18.100000000000009</v>
          </cell>
          <cell r="AF23">
            <v>-3.4000000000000004</v>
          </cell>
          <cell r="AG23">
            <v>-7.6000000000000014</v>
          </cell>
          <cell r="AH23">
            <v>-0.80000000000000426</v>
          </cell>
          <cell r="AI23">
            <v>5.1999999999999957</v>
          </cell>
          <cell r="AJ23">
            <v>6.3999999999999986</v>
          </cell>
          <cell r="AK23">
            <v>3.4000000000000004</v>
          </cell>
          <cell r="AL23">
            <v>14.999999999999995</v>
          </cell>
          <cell r="AM23">
            <v>17.199999999999989</v>
          </cell>
        </row>
        <row r="24">
          <cell r="C24" t="str">
            <v>Copper production</v>
          </cell>
          <cell r="D24">
            <v>-1.3000000000000043</v>
          </cell>
          <cell r="E24">
            <v>1.6999999999999957</v>
          </cell>
          <cell r="AE24">
            <v>-18.100000000000009</v>
          </cell>
          <cell r="AF24">
            <v>-3.4000000000000004</v>
          </cell>
          <cell r="AG24">
            <v>-1.3000000000000043</v>
          </cell>
          <cell r="AH24">
            <v>-8.4000000000000057</v>
          </cell>
          <cell r="AI24">
            <v>11.599999999999994</v>
          </cell>
          <cell r="AJ24">
            <v>1.6999999999999957</v>
          </cell>
          <cell r="AK24">
            <v>3.4000000000000004</v>
          </cell>
          <cell r="AL24">
            <v>16.699999999999989</v>
          </cell>
          <cell r="AM24">
            <v>17.199999999999989</v>
          </cell>
          <cell r="AO24" t="str">
            <v/>
          </cell>
        </row>
        <row r="25">
          <cell r="C25" t="str">
            <v>Cash costs</v>
          </cell>
          <cell r="D25">
            <v>-5.5</v>
          </cell>
          <cell r="E25">
            <v>2.1000000000000014</v>
          </cell>
          <cell r="AE25">
            <v>-18.100000000000009</v>
          </cell>
          <cell r="AF25">
            <v>-3.4000000000000004</v>
          </cell>
          <cell r="AG25">
            <v>-5.5</v>
          </cell>
          <cell r="AH25">
            <v>-9.7000000000000099</v>
          </cell>
          <cell r="AI25">
            <v>13.29999999999999</v>
          </cell>
          <cell r="AJ25">
            <v>2.1000000000000014</v>
          </cell>
          <cell r="AK25">
            <v>3.4000000000000004</v>
          </cell>
          <cell r="AL25">
            <v>18.79999999999999</v>
          </cell>
          <cell r="AM25">
            <v>17.199999999999989</v>
          </cell>
          <cell r="AO25" t="str">
            <v/>
          </cell>
        </row>
        <row r="26">
          <cell r="C26" t="str">
            <v>Cap Ex</v>
          </cell>
          <cell r="D26">
            <v>-2.5</v>
          </cell>
          <cell r="E26">
            <v>0.89999999999999858</v>
          </cell>
          <cell r="AE26">
            <v>-18.100000000000009</v>
          </cell>
          <cell r="AF26">
            <v>-3.4000000000000004</v>
          </cell>
          <cell r="AG26">
            <v>-2.5</v>
          </cell>
          <cell r="AH26">
            <v>-15.20000000000001</v>
          </cell>
          <cell r="AI26">
            <v>15.399999999999991</v>
          </cell>
          <cell r="AJ26">
            <v>0.89999999999999858</v>
          </cell>
          <cell r="AK26">
            <v>3.4000000000000004</v>
          </cell>
          <cell r="AL26">
            <v>19.699999999999989</v>
          </cell>
          <cell r="AM26">
            <v>17.199999999999989</v>
          </cell>
          <cell r="AO26" t="str">
            <v/>
          </cell>
        </row>
        <row r="27">
          <cell r="C27" t="str">
            <v>Exploration</v>
          </cell>
          <cell r="D27">
            <v>-0.39999999999999858</v>
          </cell>
          <cell r="E27">
            <v>0.89999999999999858</v>
          </cell>
          <cell r="AE27">
            <v>-18.100000000000009</v>
          </cell>
          <cell r="AF27">
            <v>-3.4000000000000004</v>
          </cell>
          <cell r="AG27">
            <v>-0.39999999999999858</v>
          </cell>
          <cell r="AH27">
            <v>-17.70000000000001</v>
          </cell>
          <cell r="AI27">
            <v>16.29999999999999</v>
          </cell>
          <cell r="AJ27">
            <v>0.89999999999999858</v>
          </cell>
          <cell r="AK27">
            <v>3.4000000000000004</v>
          </cell>
          <cell r="AL27">
            <v>20.599999999999987</v>
          </cell>
          <cell r="AM27">
            <v>17.199999999999989</v>
          </cell>
          <cell r="AO27" t="str">
            <v/>
          </cell>
        </row>
        <row r="28">
          <cell r="D28">
            <v>29.499999999999993</v>
          </cell>
          <cell r="E28">
            <v>64.799999999999983</v>
          </cell>
          <cell r="AH28">
            <v>-17.70000000000001</v>
          </cell>
          <cell r="AI28">
            <v>16.29999999999999</v>
          </cell>
          <cell r="AO28" t="str">
            <v/>
          </cell>
        </row>
        <row r="29">
          <cell r="D29" t="str">
            <v>BEAR</v>
          </cell>
          <cell r="E29" t="str">
            <v>BULL</v>
          </cell>
          <cell r="AO29" t="str">
            <v>Curr.
Price
40.40</v>
          </cell>
        </row>
        <row r="31">
          <cell r="C31" t="str">
            <v>Select currency here:</v>
          </cell>
          <cell r="AF31" t="str">
            <v>-space1</v>
          </cell>
          <cell r="AG31" t="str">
            <v>-bear</v>
          </cell>
          <cell r="AH31" t="str">
            <v>bear_labels</v>
          </cell>
          <cell r="AI31" t="str">
            <v>+space1</v>
          </cell>
          <cell r="AJ31" t="str">
            <v>+bull</v>
          </cell>
          <cell r="AK31" t="str">
            <v>bull_labels</v>
          </cell>
          <cell r="AL31" t="str">
            <v>Bear 29.50</v>
          </cell>
          <cell r="AM31" t="str">
            <v>Target  47.60</v>
          </cell>
          <cell r="AN31" t="str">
            <v>Bull 64.80</v>
          </cell>
          <cell r="AO31" t="str">
            <v>Curr.
Price
40.40</v>
          </cell>
          <cell r="AQ31" t="str">
            <v/>
          </cell>
        </row>
        <row r="33">
          <cell r="E33" t="str">
            <v/>
          </cell>
          <cell r="AE33" t="str">
            <v>Au, Cu, AUD</v>
          </cell>
          <cell r="AF33">
            <v>0</v>
          </cell>
          <cell r="AG33">
            <v>-0.80000000000000426</v>
          </cell>
          <cell r="AI33">
            <v>0</v>
          </cell>
          <cell r="AJ33">
            <v>5.1999999999999957</v>
          </cell>
          <cell r="AK33">
            <v>3.4000000000000004</v>
          </cell>
          <cell r="AL33">
            <v>-18.100000000000009</v>
          </cell>
          <cell r="AM33">
            <v>0</v>
          </cell>
          <cell r="AN33">
            <v>17.199999999999989</v>
          </cell>
          <cell r="AO33">
            <v>-7.2000000000000028</v>
          </cell>
          <cell r="AQ33">
            <v>0</v>
          </cell>
        </row>
        <row r="34">
          <cell r="D34" t="str">
            <v>other currency</v>
          </cell>
          <cell r="AE34" t="str">
            <v>Gold production</v>
          </cell>
          <cell r="AF34">
            <v>-0.80000000000000426</v>
          </cell>
          <cell r="AG34">
            <v>-7.6000000000000014</v>
          </cell>
          <cell r="AI34">
            <v>5.1999999999999957</v>
          </cell>
          <cell r="AJ34">
            <v>6.3999999999999986</v>
          </cell>
          <cell r="AK34">
            <v>3.4000000000000004</v>
          </cell>
          <cell r="AL34">
            <v>-18.100000000000009</v>
          </cell>
          <cell r="AM34">
            <v>0</v>
          </cell>
          <cell r="AN34">
            <v>17.199999999999989</v>
          </cell>
          <cell r="AO34">
            <v>-7.2000000000000028</v>
          </cell>
        </row>
        <row r="35">
          <cell r="AE35" t="str">
            <v>Copper production</v>
          </cell>
          <cell r="AF35">
            <v>-8.4000000000000057</v>
          </cell>
          <cell r="AG35">
            <v>-1.3000000000000043</v>
          </cell>
          <cell r="AI35">
            <v>11.599999999999994</v>
          </cell>
          <cell r="AJ35">
            <v>1.6999999999999957</v>
          </cell>
          <cell r="AK35">
            <v>3.4000000000000004</v>
          </cell>
          <cell r="AL35">
            <v>-18.100000000000009</v>
          </cell>
          <cell r="AM35">
            <v>0</v>
          </cell>
          <cell r="AN35">
            <v>17.199999999999989</v>
          </cell>
          <cell r="AO35">
            <v>-7.2000000000000028</v>
          </cell>
        </row>
        <row r="36">
          <cell r="AE36" t="str">
            <v>Cash costs</v>
          </cell>
          <cell r="AF36">
            <v>-9.7000000000000099</v>
          </cell>
          <cell r="AG36">
            <v>-5.5</v>
          </cell>
          <cell r="AI36">
            <v>13.29999999999999</v>
          </cell>
          <cell r="AJ36">
            <v>2.1000000000000014</v>
          </cell>
          <cell r="AK36">
            <v>3.4000000000000004</v>
          </cell>
          <cell r="AL36">
            <v>-18.100000000000009</v>
          </cell>
          <cell r="AM36">
            <v>0</v>
          </cell>
          <cell r="AN36">
            <v>17.199999999999989</v>
          </cell>
          <cell r="AO36">
            <v>-7.2000000000000028</v>
          </cell>
        </row>
        <row r="37">
          <cell r="D37" t="str">
            <v>Enter assumption</v>
          </cell>
          <cell r="AE37" t="str">
            <v>Cap Ex</v>
          </cell>
          <cell r="AF37">
            <v>-15.20000000000001</v>
          </cell>
          <cell r="AG37">
            <v>-2.5</v>
          </cell>
          <cell r="AI37">
            <v>15.399999999999991</v>
          </cell>
          <cell r="AJ37">
            <v>0.89999999999999858</v>
          </cell>
          <cell r="AK37">
            <v>3.4000000000000004</v>
          </cell>
          <cell r="AL37">
            <v>-18.100000000000009</v>
          </cell>
          <cell r="AM37">
            <v>0</v>
          </cell>
          <cell r="AN37">
            <v>17.199999999999989</v>
          </cell>
          <cell r="AO37">
            <v>-7.2000000000000028</v>
          </cell>
        </row>
        <row r="38">
          <cell r="D38" t="str">
            <v>values directly</v>
          </cell>
          <cell r="I38" t="str">
            <v>Bull</v>
          </cell>
          <cell r="J38" t="str">
            <v>105%-120%</v>
          </cell>
          <cell r="K38">
            <v>1.08</v>
          </cell>
          <cell r="L38">
            <v>1.1000000000000001</v>
          </cell>
          <cell r="M38">
            <v>0.95</v>
          </cell>
          <cell r="N38">
            <v>0.95</v>
          </cell>
          <cell r="P38">
            <v>1.2</v>
          </cell>
          <cell r="AE38" t="str">
            <v>Exploration</v>
          </cell>
          <cell r="AF38">
            <v>-17.70000000000001</v>
          </cell>
          <cell r="AG38">
            <v>-0.39999999999999858</v>
          </cell>
          <cell r="AI38">
            <v>16.29999999999999</v>
          </cell>
          <cell r="AJ38">
            <v>0.89999999999999858</v>
          </cell>
          <cell r="AK38">
            <v>3.4000000000000004</v>
          </cell>
          <cell r="AL38">
            <v>-18.100000000000009</v>
          </cell>
          <cell r="AM38">
            <v>0</v>
          </cell>
          <cell r="AN38">
            <v>17.199999999999989</v>
          </cell>
          <cell r="AO38">
            <v>-7.2000000000000028</v>
          </cell>
        </row>
        <row r="39">
          <cell r="D39" t="str">
            <v>in white cells</v>
          </cell>
          <cell r="E39" t="str">
            <v>è</v>
          </cell>
          <cell r="H39" t="str">
            <v>Inputs</v>
          </cell>
          <cell r="I39" t="str">
            <v>Base</v>
          </cell>
          <cell r="J39">
            <v>1</v>
          </cell>
          <cell r="K39">
            <v>1</v>
          </cell>
          <cell r="L39">
            <v>1</v>
          </cell>
          <cell r="M39">
            <v>1</v>
          </cell>
          <cell r="N39">
            <v>1</v>
          </cell>
          <cell r="P39">
            <v>1</v>
          </cell>
          <cell r="AL39">
            <v>-18.100000000000009</v>
          </cell>
          <cell r="AM39">
            <v>0</v>
          </cell>
          <cell r="AN39">
            <v>17.199999999999989</v>
          </cell>
          <cell r="AO39">
            <v>-7.2000000000000028</v>
          </cell>
        </row>
        <row r="40">
          <cell r="I40" t="str">
            <v>Bear</v>
          </cell>
          <cell r="J40" t="str">
            <v>85%-95%</v>
          </cell>
          <cell r="K40">
            <v>0.9</v>
          </cell>
          <cell r="L40">
            <v>0.9</v>
          </cell>
          <cell r="M40">
            <v>1.1499999999999999</v>
          </cell>
          <cell r="N40">
            <v>1.2</v>
          </cell>
          <cell r="P40">
            <v>0.8</v>
          </cell>
          <cell r="AD40">
            <v>1</v>
          </cell>
          <cell r="AE40" t="str">
            <v>$</v>
          </cell>
          <cell r="AF40">
            <v>1</v>
          </cell>
          <cell r="AH40" t="str">
            <v>All values are in $</v>
          </cell>
          <cell r="AL40">
            <v>-18.100000000000009</v>
          </cell>
          <cell r="AM40">
            <v>0</v>
          </cell>
          <cell r="AN40">
            <v>17.199999999999989</v>
          </cell>
          <cell r="AO40">
            <v>-7.2000000000000028</v>
          </cell>
        </row>
        <row r="41">
          <cell r="P41" t="str">
            <v>\</v>
          </cell>
          <cell r="AD41">
            <v>2</v>
          </cell>
          <cell r="AE41" t="str">
            <v>€</v>
          </cell>
        </row>
        <row r="42">
          <cell r="AD42">
            <v>3</v>
          </cell>
          <cell r="AE42" t="str">
            <v>¥</v>
          </cell>
          <cell r="AH42" t="str">
            <v>Value Drivers</v>
          </cell>
        </row>
        <row r="43">
          <cell r="AD43">
            <v>4</v>
          </cell>
          <cell r="AE43" t="str">
            <v>Other (input below)</v>
          </cell>
          <cell r="AH43" t="str">
            <v>Impact ($/share)</v>
          </cell>
        </row>
        <row r="44">
          <cell r="H44" t="str">
            <v>click here for link to SmartChart FAQ</v>
          </cell>
        </row>
        <row r="46">
          <cell r="G46" t="str">
            <v>Do not change the width of the exhibit or font sizes (they are optimized for export to Word).</v>
          </cell>
        </row>
        <row r="48">
          <cell r="G48" t="str">
            <v>Do not delete any rows or columns (some gray cells are used for calculations).</v>
          </cell>
          <cell r="AL48" t="str">
            <v>s</v>
          </cell>
        </row>
        <row r="50">
          <cell r="G50" t="str">
            <v>You can move the worksheet into another workbook (please use MOVE; do not COPY)</v>
          </cell>
        </row>
        <row r="52">
          <cell r="G52" t="str">
            <v>Color palette may be affected after moving the worksheet to another workbook. See instructions in FAQ on the intranet</v>
          </cell>
        </row>
      </sheetData>
      <sheetData sheetId="24" refreshError="1">
        <row r="1">
          <cell r="A1" t="str">
            <v>RRS-5.13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  <cell r="G2" t="str">
            <v>Is refreshing chart data too slow? Read below to improve performance.</v>
          </cell>
          <cell r="AQ2" t="str">
            <v>Refer to cell G2 to learn about improving chart refresh performance</v>
          </cell>
        </row>
        <row r="4">
          <cell r="B4" t="str">
            <v>Ticker:</v>
          </cell>
          <cell r="C4" t="str">
            <v>NCM.AX</v>
          </cell>
          <cell r="E4" t="str">
            <v>Company Name:</v>
          </cell>
          <cell r="F4" t="str">
            <v>Newcrest Mining</v>
          </cell>
          <cell r="I4" t="str">
            <v>Sedol:</v>
          </cell>
          <cell r="J4">
            <v>6637101</v>
          </cell>
          <cell r="K4">
            <v>6637101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64.799999999999983</v>
          </cell>
          <cell r="AA6" t="str">
            <v>mstag:bullCaseValueEstimatePerShare</v>
          </cell>
          <cell r="AB6">
            <v>0</v>
          </cell>
          <cell r="AC6" t="str">
            <v>ISO4217:AUD</v>
          </cell>
          <cell r="AD6" t="b">
            <v>0</v>
          </cell>
        </row>
        <row r="7">
          <cell r="B7" t="str">
            <v>Base Case</v>
          </cell>
          <cell r="C7">
            <v>47.6</v>
          </cell>
          <cell r="AA7" t="str">
            <v>mstag:met_12monthIntrinsicValueEstimate</v>
          </cell>
          <cell r="AB7">
            <v>0</v>
          </cell>
          <cell r="AC7" t="str">
            <v>ISO4217:AUD</v>
          </cell>
          <cell r="AD7" t="b">
            <v>0</v>
          </cell>
        </row>
        <row r="8">
          <cell r="B8" t="str">
            <v>Bear Case</v>
          </cell>
          <cell r="C8">
            <v>29.499999999999993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ISO4217:AUD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ISO4217:AUD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ISO4217:AUD</v>
          </cell>
          <cell r="AD10" t="b">
            <v>0</v>
          </cell>
        </row>
        <row r="11">
          <cell r="B11" t="str">
            <v>Price Target</v>
          </cell>
          <cell r="C11">
            <v>47.6</v>
          </cell>
          <cell r="O11" t="b">
            <v>1</v>
          </cell>
        </row>
        <row r="12">
          <cell r="B12" t="str">
            <v>Currency</v>
          </cell>
          <cell r="C12" t="str">
            <v>AUD Australian Dollar</v>
          </cell>
          <cell r="F12">
            <v>0</v>
          </cell>
        </row>
        <row r="13">
          <cell r="B13" t="str">
            <v>Currency Symbol</v>
          </cell>
          <cell r="C13" t="str">
            <v>A$</v>
          </cell>
          <cell r="F13">
            <v>0</v>
          </cell>
          <cell r="I13" t="str">
            <v xml:space="preserve">WARNINGDONOTEDIT_RRS4RL~NCM.AX~ 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40040</v>
          </cell>
          <cell r="E15">
            <v>48.900001525878899</v>
          </cell>
          <cell r="F15" t="str">
            <v>AUD</v>
          </cell>
        </row>
        <row r="16">
          <cell r="B16" t="str">
            <v>End Date (+1 Yr)</v>
          </cell>
          <cell r="C16">
            <v>41136</v>
          </cell>
          <cell r="E16" t="str">
            <v>AUD</v>
          </cell>
          <cell r="F16" t="str">
            <v>AUD</v>
          </cell>
        </row>
        <row r="17">
          <cell r="B17">
            <v>40.4</v>
          </cell>
          <cell r="C17" t="str">
            <v>Hand entert Share Price</v>
          </cell>
          <cell r="H17" t="str">
            <v>2007-FY</v>
          </cell>
        </row>
        <row r="18">
          <cell r="B18" t="b">
            <v>0</v>
          </cell>
          <cell r="C18" t="str">
            <v>15/08/2011</v>
          </cell>
        </row>
        <row r="19">
          <cell r="C19" t="str">
            <v>2011-FY</v>
          </cell>
        </row>
        <row r="34">
          <cell r="A34" t="str">
            <v>BullCase</v>
          </cell>
        </row>
        <row r="52">
          <cell r="A52">
            <v>41136</v>
          </cell>
          <cell r="B52">
            <v>784</v>
          </cell>
          <cell r="N52" t="str">
            <v>Aug-12</v>
          </cell>
          <cell r="O52" t="str">
            <v>Dec-12</v>
          </cell>
          <cell r="P52" t="str">
            <v>Price Target (Dec-12)</v>
          </cell>
          <cell r="R52" t="b">
            <v>0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Price(Aug-12)</v>
          </cell>
          <cell r="K53" t="str">
            <v>Bull Price(Aug-12)</v>
          </cell>
          <cell r="L53" t="str">
            <v>Bear Price(Aug-12)</v>
          </cell>
          <cell r="M53" t="str">
            <v>Extreme Downside Price(Aug-12)</v>
          </cell>
          <cell r="N53" t="str">
            <v>Price Target (Aug-12)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Case(Aug-12)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40039</v>
          </cell>
          <cell r="B54">
            <v>40039</v>
          </cell>
          <cell r="C54" t="str">
            <v>Past</v>
          </cell>
          <cell r="D54">
            <v>29.15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29.15</v>
          </cell>
          <cell r="Q54">
            <v>3.0934469999999998</v>
          </cell>
          <cell r="R54" t="e">
            <v>#N/A</v>
          </cell>
          <cell r="S54" t="str">
            <v>Count</v>
          </cell>
          <cell r="T54">
            <v>784</v>
          </cell>
          <cell r="U54">
            <v>64.799999999999983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40042</v>
          </cell>
          <cell r="B55">
            <v>40042</v>
          </cell>
          <cell r="C55" t="str">
            <v>Past</v>
          </cell>
          <cell r="D55">
            <v>29.65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29.65</v>
          </cell>
          <cell r="Q55">
            <v>2.5815959999999998</v>
          </cell>
          <cell r="R55" t="e">
            <v>#N/A</v>
          </cell>
          <cell r="S55" t="str">
            <v>Curr Price</v>
          </cell>
          <cell r="T55">
            <v>40.4</v>
          </cell>
          <cell r="U55">
            <v>522</v>
          </cell>
          <cell r="V55">
            <v>90.45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40043</v>
          </cell>
          <cell r="B56">
            <v>40043</v>
          </cell>
          <cell r="C56" t="str">
            <v>Past</v>
          </cell>
          <cell r="D56">
            <v>29.56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29.56</v>
          </cell>
          <cell r="Q56">
            <v>1.5074379999999998</v>
          </cell>
          <cell r="R56" t="e">
            <v>#N/A</v>
          </cell>
          <cell r="S56" t="str">
            <v>Curr Price Date</v>
          </cell>
          <cell r="T56">
            <v>40770</v>
          </cell>
          <cell r="U56">
            <v>40745.794212962966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40044</v>
          </cell>
          <cell r="B57">
            <v>40044</v>
          </cell>
          <cell r="C57" t="str">
            <v>Past</v>
          </cell>
          <cell r="D57">
            <v>28.8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28.8</v>
          </cell>
          <cell r="Q57">
            <v>3.4020319999999997</v>
          </cell>
          <cell r="R57" t="e">
            <v>#N/A</v>
          </cell>
          <cell r="S57" t="str">
            <v>Bull-Curr</v>
          </cell>
          <cell r="T57">
            <v>24.399999999999984</v>
          </cell>
          <cell r="U57">
            <v>9.2775665399239482E-2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40045</v>
          </cell>
          <cell r="B58">
            <v>40045</v>
          </cell>
          <cell r="C58" t="str">
            <v>Past</v>
          </cell>
          <cell r="D58">
            <v>29.07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29.07</v>
          </cell>
          <cell r="Q58">
            <v>2.3895529999999998</v>
          </cell>
          <cell r="R58" t="e">
            <v>#N/A</v>
          </cell>
          <cell r="S58" t="str">
            <v>Upp-Cur</v>
          </cell>
          <cell r="T58">
            <v>-40.4</v>
          </cell>
          <cell r="U58">
            <v>-0.15361216730038021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40046</v>
          </cell>
          <cell r="B59">
            <v>40046</v>
          </cell>
          <cell r="C59" t="str">
            <v>Past</v>
          </cell>
          <cell r="D59">
            <v>28.55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28.55</v>
          </cell>
          <cell r="Q59">
            <v>2.1650689999999999</v>
          </cell>
          <cell r="R59" t="e">
            <v>#N/A</v>
          </cell>
          <cell r="S59" t="str">
            <v>Curr-Bear</v>
          </cell>
          <cell r="T59">
            <v>10.900000000000006</v>
          </cell>
          <cell r="U59">
            <v>4.1444866920152111E-2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40049</v>
          </cell>
          <cell r="B60">
            <v>40049</v>
          </cell>
          <cell r="C60" t="str">
            <v>Past</v>
          </cell>
          <cell r="D60">
            <v>29.34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29.34</v>
          </cell>
          <cell r="Q60">
            <v>1.992818</v>
          </cell>
          <cell r="R60" t="e">
            <v>#N/A</v>
          </cell>
          <cell r="S60" t="str">
            <v>Curr-Lower</v>
          </cell>
          <cell r="T60">
            <v>40.4</v>
          </cell>
          <cell r="U60">
            <v>0.15361216730038021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40050</v>
          </cell>
          <cell r="B61">
            <v>40050</v>
          </cell>
          <cell r="C61" t="str">
            <v>Past</v>
          </cell>
          <cell r="D61">
            <v>28.81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28.81</v>
          </cell>
          <cell r="Q61">
            <v>3.2827189999999997</v>
          </cell>
          <cell r="R61" t="e">
            <v>#N/A</v>
          </cell>
          <cell r="S61" t="str">
            <v>PriceFoundAt</v>
          </cell>
          <cell r="T61">
            <v>522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40051</v>
          </cell>
          <cell r="B62">
            <v>40051</v>
          </cell>
          <cell r="C62" t="str">
            <v>Past</v>
          </cell>
          <cell r="D62">
            <v>29.01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29.01</v>
          </cell>
          <cell r="Q62">
            <v>3.1544000000000003</v>
          </cell>
          <cell r="R62" t="e">
            <v>#N/A</v>
          </cell>
          <cell r="S62" t="str">
            <v>Starting Point</v>
          </cell>
          <cell r="T62">
            <v>575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40052</v>
          </cell>
          <cell r="B63">
            <v>40052</v>
          </cell>
          <cell r="C63" t="str">
            <v>Past</v>
          </cell>
          <cell r="D63">
            <v>29.62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29.62</v>
          </cell>
          <cell r="Q63">
            <v>3.6721439999999999</v>
          </cell>
          <cell r="R63" t="e">
            <v>#N/A</v>
          </cell>
          <cell r="S63" t="str">
            <v>Saved</v>
          </cell>
          <cell r="T63">
            <v>263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40053</v>
          </cell>
          <cell r="B64">
            <v>40053</v>
          </cell>
          <cell r="C64" t="str">
            <v>Past</v>
          </cell>
          <cell r="D64">
            <v>29.2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29.2</v>
          </cell>
          <cell r="Q64">
            <v>4.365291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40056</v>
          </cell>
          <cell r="B65">
            <v>40056</v>
          </cell>
          <cell r="C65" t="str">
            <v>Past</v>
          </cell>
          <cell r="D65">
            <v>30.01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30.01</v>
          </cell>
          <cell r="Q65">
            <v>2.6971769999999999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40057</v>
          </cell>
          <cell r="B66">
            <v>40057</v>
          </cell>
          <cell r="C66" t="str">
            <v>Past</v>
          </cell>
          <cell r="D66">
            <v>29.75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29.75</v>
          </cell>
          <cell r="Q66">
            <v>1.5817269999999999</v>
          </cell>
          <cell r="R66" t="e">
            <v>#N/A</v>
          </cell>
          <cell r="S66" t="str">
            <v>default StartDate</v>
          </cell>
          <cell r="T66">
            <v>40040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40058</v>
          </cell>
          <cell r="B67">
            <v>40058</v>
          </cell>
          <cell r="C67" t="str">
            <v>Past</v>
          </cell>
          <cell r="D67">
            <v>29.58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29.58</v>
          </cell>
          <cell r="Q67">
            <v>3.8167579999999997</v>
          </cell>
          <cell r="R67" t="e">
            <v>#N/A</v>
          </cell>
          <cell r="S67" t="str">
            <v>default EndDate</v>
          </cell>
          <cell r="T67">
            <v>41136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40059</v>
          </cell>
          <cell r="B68">
            <v>40059</v>
          </cell>
          <cell r="C68" t="str">
            <v>Past</v>
          </cell>
          <cell r="D68">
            <v>31.85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31.85</v>
          </cell>
          <cell r="Q68">
            <v>6.1468000000000007</v>
          </cell>
          <cell r="R68" t="e">
            <v>#N/A</v>
          </cell>
          <cell r="S68" t="str">
            <v>Max sharePrice</v>
          </cell>
          <cell r="T68">
            <v>43.41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40060</v>
          </cell>
          <cell r="B69">
            <v>40060</v>
          </cell>
          <cell r="C69" t="str">
            <v>Past</v>
          </cell>
          <cell r="D69">
            <v>31.82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31.82</v>
          </cell>
          <cell r="Q69">
            <v>4.2278479999999998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40063</v>
          </cell>
          <cell r="B70">
            <v>40063</v>
          </cell>
          <cell r="C70" t="str">
            <v>Past</v>
          </cell>
          <cell r="D70">
            <v>32.56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32.56</v>
          </cell>
          <cell r="Q70">
            <v>2.0473559999999997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40064</v>
          </cell>
          <cell r="B71">
            <v>40064</v>
          </cell>
          <cell r="C71" t="str">
            <v>Past</v>
          </cell>
          <cell r="D71">
            <v>33.75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33.75</v>
          </cell>
          <cell r="Q71">
            <v>4.7458209999999994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40065</v>
          </cell>
          <cell r="B72">
            <v>40065</v>
          </cell>
          <cell r="C72" t="str">
            <v>Past</v>
          </cell>
          <cell r="D72">
            <v>34.26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34.26</v>
          </cell>
          <cell r="Q72">
            <v>5.1894729999999996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40066</v>
          </cell>
          <cell r="B73">
            <v>40066</v>
          </cell>
          <cell r="C73" t="str">
            <v>Past</v>
          </cell>
          <cell r="D73">
            <v>33.56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33.56</v>
          </cell>
          <cell r="Q73">
            <v>4.3316539999999994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40067</v>
          </cell>
          <cell r="B74">
            <v>40067</v>
          </cell>
          <cell r="C74" t="str">
            <v>Past</v>
          </cell>
          <cell r="D74">
            <v>34.159999999999997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34.159999999999997</v>
          </cell>
          <cell r="Q74">
            <v>2.7274469999999997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40070</v>
          </cell>
          <cell r="B75">
            <v>40070</v>
          </cell>
          <cell r="C75" t="str">
            <v>Past</v>
          </cell>
          <cell r="D75">
            <v>33.92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33.92</v>
          </cell>
          <cell r="Q75">
            <v>3.6404549999999998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40071</v>
          </cell>
          <cell r="B76">
            <v>40071</v>
          </cell>
          <cell r="C76" t="str">
            <v>Past</v>
          </cell>
          <cell r="D76">
            <v>33.46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33.46</v>
          </cell>
          <cell r="Q76">
            <v>2.8218890000000001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40072</v>
          </cell>
          <cell r="B77">
            <v>40072</v>
          </cell>
          <cell r="C77" t="str">
            <v>Past</v>
          </cell>
          <cell r="D77">
            <v>34.950000000000003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34.950000000000003</v>
          </cell>
          <cell r="Q77">
            <v>3.0827179999999998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40073</v>
          </cell>
          <cell r="B78">
            <v>40073</v>
          </cell>
          <cell r="C78" t="str">
            <v>Past</v>
          </cell>
          <cell r="D78">
            <v>35.22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35.22</v>
          </cell>
          <cell r="Q78">
            <v>3.548826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40074</v>
          </cell>
          <cell r="B79">
            <v>40074</v>
          </cell>
          <cell r="C79" t="str">
            <v>Past</v>
          </cell>
          <cell r="D79">
            <v>34.25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34.25</v>
          </cell>
          <cell r="Q79">
            <v>2.9796139999999998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40077</v>
          </cell>
          <cell r="B80">
            <v>40077</v>
          </cell>
          <cell r="C80" t="str">
            <v>Past</v>
          </cell>
          <cell r="D80">
            <v>33.299999999999997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33.299999999999997</v>
          </cell>
          <cell r="Q80">
            <v>4.9785219999999999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40078</v>
          </cell>
          <cell r="B81">
            <v>40078</v>
          </cell>
          <cell r="C81" t="str">
            <v>Past</v>
          </cell>
          <cell r="D81">
            <v>33.67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33.67</v>
          </cell>
          <cell r="Q81">
            <v>1.824654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40079</v>
          </cell>
          <cell r="B82">
            <v>40079</v>
          </cell>
          <cell r="C82" t="str">
            <v>Past</v>
          </cell>
          <cell r="D82">
            <v>34.340000000000003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34.340000000000003</v>
          </cell>
          <cell r="Q82">
            <v>1.8677789999999999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40080</v>
          </cell>
          <cell r="B83">
            <v>40080</v>
          </cell>
          <cell r="C83" t="str">
            <v>Past</v>
          </cell>
          <cell r="D83">
            <v>33.590000000000003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33.590000000000003</v>
          </cell>
          <cell r="Q83">
            <v>2.2610069999999998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40081</v>
          </cell>
          <cell r="B84">
            <v>40081</v>
          </cell>
          <cell r="C84" t="str">
            <v>Past</v>
          </cell>
          <cell r="D84">
            <v>33.4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33.4</v>
          </cell>
          <cell r="Q84">
            <v>3.824643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40084</v>
          </cell>
          <cell r="B85">
            <v>40084</v>
          </cell>
          <cell r="C85" t="str">
            <v>Past</v>
          </cell>
          <cell r="D85">
            <v>31.59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31.59</v>
          </cell>
          <cell r="Q85">
            <v>2.4786169999999998</v>
          </cell>
          <cell r="R85" t="e">
            <v>#N/A</v>
          </cell>
          <cell r="AI85" t="str">
            <v>KWf Kuwaiti Fills</v>
          </cell>
          <cell r="AJ85" t="str">
            <v>KWf</v>
          </cell>
          <cell r="AK85" t="str">
            <v>KWf</v>
          </cell>
          <cell r="AL85" t="str">
            <v>KWf</v>
          </cell>
          <cell r="AM85">
            <v>0</v>
          </cell>
          <cell r="AN85">
            <v>0</v>
          </cell>
        </row>
        <row r="86">
          <cell r="A86">
            <v>40085</v>
          </cell>
          <cell r="B86">
            <v>40085</v>
          </cell>
          <cell r="C86" t="str">
            <v>Past</v>
          </cell>
          <cell r="D86">
            <v>31.93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31.93</v>
          </cell>
          <cell r="Q86">
            <v>1.072962</v>
          </cell>
          <cell r="R86" t="e">
            <v>#N/A</v>
          </cell>
          <cell r="AI86" t="str">
            <v>KYD Cayman Dollars</v>
          </cell>
          <cell r="AJ86" t="str">
            <v>KYD</v>
          </cell>
          <cell r="AK86" t="str">
            <v>KYD</v>
          </cell>
          <cell r="AL86" t="str">
            <v>KYD</v>
          </cell>
          <cell r="AM86">
            <v>0</v>
          </cell>
          <cell r="AN86">
            <v>2</v>
          </cell>
        </row>
        <row r="87">
          <cell r="A87">
            <v>40086</v>
          </cell>
          <cell r="B87">
            <v>40086</v>
          </cell>
          <cell r="C87" t="str">
            <v>Past</v>
          </cell>
          <cell r="D87">
            <v>31.9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31.9</v>
          </cell>
          <cell r="Q87">
            <v>1.5924749999999999</v>
          </cell>
          <cell r="R87" t="e">
            <v>#N/A</v>
          </cell>
          <cell r="AI87" t="str">
            <v>LKR Sri Lankan Rupee</v>
          </cell>
          <cell r="AJ87" t="str">
            <v>LKR</v>
          </cell>
          <cell r="AK87" t="str">
            <v>LKR</v>
          </cell>
          <cell r="AL87" t="str">
            <v>LKR</v>
          </cell>
          <cell r="AM87">
            <v>0</v>
          </cell>
          <cell r="AN87">
            <v>2</v>
          </cell>
        </row>
        <row r="88">
          <cell r="A88">
            <v>40087</v>
          </cell>
          <cell r="B88">
            <v>40087</v>
          </cell>
          <cell r="C88" t="str">
            <v>Past</v>
          </cell>
          <cell r="D88">
            <v>32.58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32.58</v>
          </cell>
          <cell r="Q88">
            <v>1.482413</v>
          </cell>
          <cell r="R88" t="e">
            <v>#N/A</v>
          </cell>
          <cell r="AI88" t="str">
            <v>MAD Moroccan Dirham</v>
          </cell>
          <cell r="AJ88" t="str">
            <v>MAD</v>
          </cell>
          <cell r="AK88" t="str">
            <v>MAD</v>
          </cell>
          <cell r="AL88" t="str">
            <v>MAD</v>
          </cell>
          <cell r="AM88">
            <v>0</v>
          </cell>
          <cell r="AN88">
            <v>2</v>
          </cell>
        </row>
        <row r="89">
          <cell r="A89">
            <v>40088</v>
          </cell>
          <cell r="B89">
            <v>40088</v>
          </cell>
          <cell r="C89" t="str">
            <v>Past</v>
          </cell>
          <cell r="D89">
            <v>31.62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31.62</v>
          </cell>
          <cell r="Q89">
            <v>1.710774</v>
          </cell>
          <cell r="R89" t="e">
            <v>#N/A</v>
          </cell>
          <cell r="AI89" t="str">
            <v>MXN Mexican Pesos (new)</v>
          </cell>
          <cell r="AJ89" t="str">
            <v>M$</v>
          </cell>
          <cell r="AK89" t="str">
            <v>MXN</v>
          </cell>
          <cell r="AL89" t="str">
            <v>MXN</v>
          </cell>
          <cell r="AM89">
            <v>0</v>
          </cell>
          <cell r="AN89">
            <v>2</v>
          </cell>
        </row>
        <row r="90">
          <cell r="A90">
            <v>40091</v>
          </cell>
          <cell r="B90">
            <v>40091</v>
          </cell>
          <cell r="C90" t="str">
            <v>Past</v>
          </cell>
          <cell r="D90">
            <v>32.17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32.17</v>
          </cell>
          <cell r="Q90">
            <v>0.92300699999999991</v>
          </cell>
          <cell r="R90" t="e">
            <v>#N/A</v>
          </cell>
          <cell r="AI90" t="str">
            <v>MYR Malaysian Ringgit</v>
          </cell>
          <cell r="AJ90" t="str">
            <v>RM</v>
          </cell>
          <cell r="AK90" t="str">
            <v>MYR</v>
          </cell>
          <cell r="AL90" t="str">
            <v>MYR</v>
          </cell>
          <cell r="AM90">
            <v>0</v>
          </cell>
          <cell r="AN90">
            <v>2</v>
          </cell>
        </row>
        <row r="91">
          <cell r="A91">
            <v>40092</v>
          </cell>
          <cell r="B91">
            <v>40092</v>
          </cell>
          <cell r="C91" t="str">
            <v>Past</v>
          </cell>
          <cell r="D91">
            <v>32.93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32.93</v>
          </cell>
          <cell r="Q91">
            <v>2.1224289999999999</v>
          </cell>
          <cell r="R91" t="e">
            <v>#N/A</v>
          </cell>
          <cell r="AI91" t="str">
            <v>NGN Nigerian Naira</v>
          </cell>
          <cell r="AJ91" t="str">
            <v>NGN</v>
          </cell>
          <cell r="AK91" t="str">
            <v>NGN</v>
          </cell>
          <cell r="AL91" t="str">
            <v>NGN</v>
          </cell>
          <cell r="AM91">
            <v>0</v>
          </cell>
          <cell r="AN91">
            <v>2</v>
          </cell>
        </row>
        <row r="92">
          <cell r="A92">
            <v>40093</v>
          </cell>
          <cell r="B92">
            <v>40093</v>
          </cell>
          <cell r="C92" t="str">
            <v>Past</v>
          </cell>
          <cell r="D92">
            <v>35.15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35.15</v>
          </cell>
          <cell r="Q92">
            <v>4.7144050000000002</v>
          </cell>
          <cell r="R92" t="e">
            <v>#N/A</v>
          </cell>
          <cell r="AI92" t="str">
            <v>NOK Norwegian Krone</v>
          </cell>
          <cell r="AJ92" t="str">
            <v>NKr</v>
          </cell>
          <cell r="AK92" t="str">
            <v>NOK</v>
          </cell>
          <cell r="AL92" t="str">
            <v>NOK</v>
          </cell>
          <cell r="AM92">
            <v>0</v>
          </cell>
          <cell r="AN92">
            <v>2</v>
          </cell>
        </row>
        <row r="93">
          <cell r="A93">
            <v>40094</v>
          </cell>
          <cell r="B93">
            <v>40094</v>
          </cell>
          <cell r="C93" t="str">
            <v>Past</v>
          </cell>
          <cell r="D93">
            <v>35.159999999999997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35.159999999999997</v>
          </cell>
          <cell r="Q93">
            <v>2.7156359999999999</v>
          </cell>
          <cell r="R93" t="e">
            <v>#N/A</v>
          </cell>
          <cell r="AI93" t="str">
            <v>NZD New Zealand Dollars</v>
          </cell>
          <cell r="AJ93" t="str">
            <v>NZ$</v>
          </cell>
          <cell r="AK93" t="str">
            <v>NZD</v>
          </cell>
          <cell r="AL93" t="str">
            <v>NZD</v>
          </cell>
          <cell r="AM93">
            <v>0</v>
          </cell>
          <cell r="AN93">
            <v>2</v>
          </cell>
        </row>
        <row r="94">
          <cell r="A94">
            <v>40095</v>
          </cell>
          <cell r="B94">
            <v>40095</v>
          </cell>
          <cell r="C94" t="str">
            <v>Past</v>
          </cell>
          <cell r="D94">
            <v>35.72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35.72</v>
          </cell>
          <cell r="Q94">
            <v>3.3620489999999998</v>
          </cell>
          <cell r="R94" t="e">
            <v>#N/A</v>
          </cell>
          <cell r="AI94" t="str">
            <v>OMR Rial Omani</v>
          </cell>
          <cell r="AJ94" t="str">
            <v>OMR</v>
          </cell>
          <cell r="AK94" t="str">
            <v>OMR</v>
          </cell>
          <cell r="AL94" t="str">
            <v>OMR</v>
          </cell>
          <cell r="AM94">
            <v>0</v>
          </cell>
          <cell r="AN94">
            <v>2</v>
          </cell>
        </row>
        <row r="95">
          <cell r="A95">
            <v>40098</v>
          </cell>
          <cell r="B95">
            <v>40098</v>
          </cell>
          <cell r="C95" t="str">
            <v>Past</v>
          </cell>
          <cell r="D95">
            <v>35.340000000000003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35.340000000000003</v>
          </cell>
          <cell r="Q95">
            <v>1.703552</v>
          </cell>
          <cell r="R95" t="e">
            <v>#N/A</v>
          </cell>
          <cell r="AI95" t="str">
            <v>PAB Panamanian Balboa</v>
          </cell>
          <cell r="AJ95" t="str">
            <v>PAB</v>
          </cell>
          <cell r="AK95" t="str">
            <v>PAB</v>
          </cell>
          <cell r="AL95" t="str">
            <v>PAB</v>
          </cell>
          <cell r="AM95">
            <v>0</v>
          </cell>
          <cell r="AN95">
            <v>2</v>
          </cell>
        </row>
        <row r="96">
          <cell r="A96">
            <v>40099</v>
          </cell>
          <cell r="B96">
            <v>40099</v>
          </cell>
          <cell r="C96" t="str">
            <v>Past</v>
          </cell>
          <cell r="D96">
            <v>36.26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36.26</v>
          </cell>
          <cell r="Q96">
            <v>1.6678809999999999</v>
          </cell>
          <cell r="R96" t="e">
            <v>#N/A</v>
          </cell>
          <cell r="AI96" t="str">
            <v>PEN Peruvian PEN</v>
          </cell>
          <cell r="AJ96" t="str">
            <v>PEN</v>
          </cell>
          <cell r="AK96" t="str">
            <v>PEN</v>
          </cell>
          <cell r="AL96" t="str">
            <v>PEN</v>
          </cell>
          <cell r="AM96">
            <v>0</v>
          </cell>
          <cell r="AN96">
            <v>2</v>
          </cell>
        </row>
        <row r="97">
          <cell r="A97">
            <v>40100</v>
          </cell>
          <cell r="B97">
            <v>40100</v>
          </cell>
          <cell r="C97" t="str">
            <v>Past</v>
          </cell>
          <cell r="D97">
            <v>37.1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37.1</v>
          </cell>
          <cell r="Q97">
            <v>1.6333709999999999</v>
          </cell>
          <cell r="R97" t="e">
            <v>#N/A</v>
          </cell>
          <cell r="AI97" t="str">
            <v>PHP Philippino Peso</v>
          </cell>
          <cell r="AJ97" t="str">
            <v>PP</v>
          </cell>
          <cell r="AK97" t="str">
            <v>PHP</v>
          </cell>
          <cell r="AL97" t="str">
            <v>PHP</v>
          </cell>
          <cell r="AM97">
            <v>0</v>
          </cell>
          <cell r="AN97">
            <v>2</v>
          </cell>
        </row>
        <row r="98">
          <cell r="A98">
            <v>40101</v>
          </cell>
          <cell r="B98">
            <v>40101</v>
          </cell>
          <cell r="C98" t="str">
            <v>Past</v>
          </cell>
          <cell r="D98">
            <v>36.619999999999997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36.619999999999997</v>
          </cell>
          <cell r="Q98">
            <v>1.9613069999999999</v>
          </cell>
          <cell r="R98" t="e">
            <v>#N/A</v>
          </cell>
          <cell r="AI98" t="str">
            <v>PKR Pakistani Rupee</v>
          </cell>
          <cell r="AJ98" t="str">
            <v>Rs.</v>
          </cell>
          <cell r="AK98" t="str">
            <v>PKR</v>
          </cell>
          <cell r="AL98" t="str">
            <v>PKR</v>
          </cell>
          <cell r="AM98">
            <v>0</v>
          </cell>
          <cell r="AN98">
            <v>2</v>
          </cell>
        </row>
        <row r="99">
          <cell r="A99">
            <v>40102</v>
          </cell>
          <cell r="B99">
            <v>40102</v>
          </cell>
          <cell r="C99" t="str">
            <v>Past</v>
          </cell>
          <cell r="D99">
            <v>35.71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35.71</v>
          </cell>
          <cell r="Q99">
            <v>1.845936</v>
          </cell>
          <cell r="R99" t="e">
            <v>#N/A</v>
          </cell>
          <cell r="AI99" t="str">
            <v>PLN Polish Zloty</v>
          </cell>
          <cell r="AJ99" t="str">
            <v>zł</v>
          </cell>
          <cell r="AK99" t="str">
            <v>PLN</v>
          </cell>
          <cell r="AL99" t="str">
            <v>PLN</v>
          </cell>
          <cell r="AM99">
            <v>0</v>
          </cell>
          <cell r="AN99">
            <v>2</v>
          </cell>
        </row>
        <row r="100">
          <cell r="A100">
            <v>40105</v>
          </cell>
          <cell r="B100">
            <v>40105</v>
          </cell>
          <cell r="C100" t="str">
            <v>Past</v>
          </cell>
          <cell r="D100">
            <v>36.18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36.18</v>
          </cell>
          <cell r="Q100">
            <v>1.419303</v>
          </cell>
          <cell r="R100" t="e">
            <v>#N/A</v>
          </cell>
          <cell r="AI100" t="str">
            <v>QAR Qatari Riyal</v>
          </cell>
          <cell r="AJ100" t="str">
            <v>QAR</v>
          </cell>
          <cell r="AK100" t="str">
            <v>QAR</v>
          </cell>
          <cell r="AL100" t="str">
            <v>QAR</v>
          </cell>
          <cell r="AM100">
            <v>0</v>
          </cell>
          <cell r="AN100">
            <v>2</v>
          </cell>
        </row>
        <row r="101">
          <cell r="A101">
            <v>40106</v>
          </cell>
          <cell r="B101">
            <v>40106</v>
          </cell>
          <cell r="C101" t="str">
            <v>Past</v>
          </cell>
          <cell r="D101">
            <v>36.340000000000003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36.340000000000003</v>
          </cell>
          <cell r="Q101">
            <v>2.1362719999999999</v>
          </cell>
          <cell r="R101" t="e">
            <v>#N/A</v>
          </cell>
          <cell r="AI101" t="str">
            <v>RUB Russian Rouble</v>
          </cell>
          <cell r="AJ101" t="str">
            <v>RUB</v>
          </cell>
          <cell r="AK101" t="str">
            <v>RUB</v>
          </cell>
          <cell r="AL101" t="str">
            <v>RUB</v>
          </cell>
          <cell r="AM101">
            <v>0</v>
          </cell>
          <cell r="AN101">
            <v>2</v>
          </cell>
        </row>
        <row r="102">
          <cell r="A102">
            <v>40107</v>
          </cell>
          <cell r="B102">
            <v>40107</v>
          </cell>
          <cell r="C102" t="str">
            <v>Past</v>
          </cell>
          <cell r="D102">
            <v>36.1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36.1</v>
          </cell>
          <cell r="Q102">
            <v>1.3567469999999999</v>
          </cell>
          <cell r="R102" t="e">
            <v>#N/A</v>
          </cell>
          <cell r="AI102" t="str">
            <v>SAR Saudi Riyal</v>
          </cell>
          <cell r="AJ102" t="str">
            <v>SAR</v>
          </cell>
          <cell r="AK102" t="str">
            <v>SAR</v>
          </cell>
          <cell r="AL102" t="str">
            <v>SAR</v>
          </cell>
          <cell r="AM102">
            <v>0</v>
          </cell>
          <cell r="AN102">
            <v>2</v>
          </cell>
        </row>
        <row r="103">
          <cell r="A103">
            <v>40108</v>
          </cell>
          <cell r="B103">
            <v>40108</v>
          </cell>
          <cell r="C103" t="str">
            <v>Past</v>
          </cell>
          <cell r="D103">
            <v>35.479999999999997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35.479999999999997</v>
          </cell>
          <cell r="Q103">
            <v>1.9810600000000003</v>
          </cell>
          <cell r="R103" t="e">
            <v>#N/A</v>
          </cell>
          <cell r="AI103" t="str">
            <v>SEK Swedish Krona</v>
          </cell>
          <cell r="AJ103" t="str">
            <v>SKr</v>
          </cell>
          <cell r="AK103" t="str">
            <v>SEK</v>
          </cell>
          <cell r="AL103" t="str">
            <v>SEK</v>
          </cell>
          <cell r="AM103">
            <v>0</v>
          </cell>
          <cell r="AN103">
            <v>2</v>
          </cell>
        </row>
        <row r="104">
          <cell r="A104">
            <v>40109</v>
          </cell>
          <cell r="B104">
            <v>40109</v>
          </cell>
          <cell r="C104" t="str">
            <v>Past</v>
          </cell>
          <cell r="D104">
            <v>35.47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35.47</v>
          </cell>
          <cell r="Q104">
            <v>1.6714</v>
          </cell>
          <cell r="R104" t="e">
            <v>#N/A</v>
          </cell>
          <cell r="AI104" t="str">
            <v>SGD Singapore Dollar</v>
          </cell>
          <cell r="AJ104" t="str">
            <v>S$</v>
          </cell>
          <cell r="AK104" t="str">
            <v>SGD</v>
          </cell>
          <cell r="AL104" t="str">
            <v>SGD</v>
          </cell>
          <cell r="AM104">
            <v>0</v>
          </cell>
          <cell r="AN104">
            <v>2</v>
          </cell>
        </row>
        <row r="105">
          <cell r="A105">
            <v>40112</v>
          </cell>
          <cell r="B105">
            <v>40112</v>
          </cell>
          <cell r="C105" t="str">
            <v>Past</v>
          </cell>
          <cell r="D105">
            <v>35.06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35.06</v>
          </cell>
          <cell r="Q105">
            <v>2.3494999999999999</v>
          </cell>
          <cell r="R105" t="e">
            <v>#N/A</v>
          </cell>
          <cell r="AI105" t="str">
            <v>THB Thailand Baht</v>
          </cell>
          <cell r="AJ105" t="str">
            <v>Bt</v>
          </cell>
          <cell r="AK105" t="str">
            <v>THB</v>
          </cell>
          <cell r="AL105" t="str">
            <v>THB</v>
          </cell>
          <cell r="AM105">
            <v>0</v>
          </cell>
          <cell r="AN105">
            <v>2</v>
          </cell>
        </row>
        <row r="106">
          <cell r="A106">
            <v>40113</v>
          </cell>
          <cell r="B106">
            <v>40113</v>
          </cell>
          <cell r="C106" t="str">
            <v>Past</v>
          </cell>
          <cell r="D106">
            <v>33.97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33.97</v>
          </cell>
          <cell r="Q106">
            <v>2.8003329999999997</v>
          </cell>
          <cell r="R106" t="e">
            <v>#N/A</v>
          </cell>
          <cell r="AI106" t="str">
            <v>TND Tunisian Dinar</v>
          </cell>
          <cell r="AJ106" t="str">
            <v>TND</v>
          </cell>
          <cell r="AK106" t="str">
            <v>TND</v>
          </cell>
          <cell r="AL106" t="str">
            <v>TND</v>
          </cell>
          <cell r="AM106">
            <v>0</v>
          </cell>
          <cell r="AN106">
            <v>2</v>
          </cell>
        </row>
        <row r="107">
          <cell r="A107">
            <v>40114</v>
          </cell>
          <cell r="B107">
            <v>40114</v>
          </cell>
          <cell r="C107" t="str">
            <v>Past</v>
          </cell>
          <cell r="D107">
            <v>33.909999999999997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33.909999999999997</v>
          </cell>
          <cell r="Q107">
            <v>2.6342409999999998</v>
          </cell>
          <cell r="R107" t="e">
            <v>#N/A</v>
          </cell>
          <cell r="AI107" t="str">
            <v>TRY Turkish Lira</v>
          </cell>
          <cell r="AJ107" t="str">
            <v>TL</v>
          </cell>
          <cell r="AK107" t="str">
            <v>TRY</v>
          </cell>
          <cell r="AL107" t="str">
            <v>TRY</v>
          </cell>
          <cell r="AM107">
            <v>0</v>
          </cell>
          <cell r="AN107">
            <v>2</v>
          </cell>
        </row>
        <row r="108">
          <cell r="A108">
            <v>40115</v>
          </cell>
          <cell r="B108">
            <v>40115</v>
          </cell>
          <cell r="C108" t="str">
            <v>Past</v>
          </cell>
          <cell r="D108">
            <v>32.46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32.46</v>
          </cell>
          <cell r="Q108">
            <v>3.528321</v>
          </cell>
          <cell r="R108" t="e">
            <v>#N/A</v>
          </cell>
          <cell r="AI108" t="str">
            <v>TWD New Taiwan Dollar</v>
          </cell>
          <cell r="AJ108" t="str">
            <v>NT$</v>
          </cell>
          <cell r="AK108" t="str">
            <v>TWD</v>
          </cell>
          <cell r="AL108" t="str">
            <v>TWD</v>
          </cell>
          <cell r="AM108">
            <v>0</v>
          </cell>
          <cell r="AN108">
            <v>2</v>
          </cell>
        </row>
        <row r="109">
          <cell r="A109">
            <v>40116</v>
          </cell>
          <cell r="B109">
            <v>40116</v>
          </cell>
          <cell r="C109" t="str">
            <v>Past</v>
          </cell>
          <cell r="D109">
            <v>32.299999999999997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32.299999999999997</v>
          </cell>
          <cell r="Q109">
            <v>5.3957449999999998</v>
          </cell>
          <cell r="R109" t="e">
            <v>#N/A</v>
          </cell>
          <cell r="AI109" t="str">
            <v>UAH Ukrainian Hryvnia</v>
          </cell>
          <cell r="AJ109" t="str">
            <v>UAH</v>
          </cell>
          <cell r="AK109" t="str">
            <v>UAH</v>
          </cell>
          <cell r="AL109" t="str">
            <v>UAH</v>
          </cell>
          <cell r="AM109">
            <v>0</v>
          </cell>
          <cell r="AN109">
            <v>2</v>
          </cell>
        </row>
        <row r="110">
          <cell r="A110">
            <v>40119</v>
          </cell>
          <cell r="B110">
            <v>40119</v>
          </cell>
          <cell r="C110" t="str">
            <v>Past</v>
          </cell>
          <cell r="D110">
            <v>32.119999999999997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32.119999999999997</v>
          </cell>
          <cell r="Q110">
            <v>2.0666310000000001</v>
          </cell>
          <cell r="R110" t="e">
            <v>#N/A</v>
          </cell>
          <cell r="AI110" t="str">
            <v>USD American Dollar</v>
          </cell>
          <cell r="AJ110" t="str">
            <v>$</v>
          </cell>
          <cell r="AK110" t="str">
            <v>USD</v>
          </cell>
          <cell r="AL110" t="str">
            <v>USD</v>
          </cell>
          <cell r="AM110">
            <v>0</v>
          </cell>
          <cell r="AN110">
            <v>2</v>
          </cell>
        </row>
        <row r="111">
          <cell r="A111">
            <v>40120</v>
          </cell>
          <cell r="B111">
            <v>40120</v>
          </cell>
          <cell r="C111" t="str">
            <v>Past</v>
          </cell>
          <cell r="D111">
            <v>33.380000000000003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33.380000000000003</v>
          </cell>
          <cell r="Q111">
            <v>1.9020589999999999</v>
          </cell>
          <cell r="R111" t="e">
            <v>#N/A</v>
          </cell>
          <cell r="AI111" t="str">
            <v>VEB Venezuelan Bolivar</v>
          </cell>
          <cell r="AJ111" t="str">
            <v>VEB</v>
          </cell>
          <cell r="AK111" t="str">
            <v>VEB</v>
          </cell>
          <cell r="AL111" t="str">
            <v>VEB</v>
          </cell>
          <cell r="AM111">
            <v>0</v>
          </cell>
          <cell r="AN111">
            <v>2</v>
          </cell>
        </row>
        <row r="112">
          <cell r="A112">
            <v>40121</v>
          </cell>
          <cell r="B112">
            <v>40121</v>
          </cell>
          <cell r="C112" t="str">
            <v>Past</v>
          </cell>
          <cell r="D112">
            <v>34.450000000000003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34.450000000000003</v>
          </cell>
          <cell r="Q112">
            <v>2.844843</v>
          </cell>
          <cell r="R112" t="e">
            <v>#N/A</v>
          </cell>
          <cell r="AI112" t="str">
            <v>ZAc South African Cent</v>
          </cell>
          <cell r="AJ112" t="str">
            <v>ZAc</v>
          </cell>
          <cell r="AK112" t="str">
            <v>ZAc</v>
          </cell>
          <cell r="AL112" t="str">
            <v>ZAc</v>
          </cell>
          <cell r="AM112">
            <v>0</v>
          </cell>
          <cell r="AN112">
            <v>0</v>
          </cell>
        </row>
        <row r="113">
          <cell r="A113">
            <v>40122</v>
          </cell>
          <cell r="B113">
            <v>40122</v>
          </cell>
          <cell r="C113" t="str">
            <v>Past</v>
          </cell>
          <cell r="D113">
            <v>34.11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34.11</v>
          </cell>
          <cell r="Q113">
            <v>2.2323269999999997</v>
          </cell>
          <cell r="R113" t="e">
            <v>#N/A</v>
          </cell>
          <cell r="AI113" t="str">
            <v>ZAR South African rand</v>
          </cell>
          <cell r="AJ113" t="str">
            <v>ZAR</v>
          </cell>
          <cell r="AK113" t="str">
            <v>ZAR</v>
          </cell>
          <cell r="AL113" t="str">
            <v>ZAR</v>
          </cell>
          <cell r="AM113">
            <v>0</v>
          </cell>
          <cell r="AN113">
            <v>2</v>
          </cell>
        </row>
        <row r="114">
          <cell r="A114">
            <v>40123</v>
          </cell>
          <cell r="B114">
            <v>40123</v>
          </cell>
          <cell r="C114" t="str">
            <v>Past</v>
          </cell>
          <cell r="D114">
            <v>34.08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34.08</v>
          </cell>
          <cell r="Q114">
            <v>1.6396459999999999</v>
          </cell>
          <cell r="R114" t="e">
            <v>#N/A</v>
          </cell>
          <cell r="AI114" t="str">
            <v xml:space="preserve">ZMK Zambian Kwacha </v>
          </cell>
          <cell r="AJ114" t="str">
            <v>ZMK</v>
          </cell>
          <cell r="AK114" t="str">
            <v>ZMK</v>
          </cell>
          <cell r="AL114" t="str">
            <v>ZMK</v>
          </cell>
          <cell r="AM114">
            <v>0</v>
          </cell>
          <cell r="AN114">
            <v>2</v>
          </cell>
        </row>
        <row r="115">
          <cell r="A115">
            <v>40126</v>
          </cell>
          <cell r="B115">
            <v>40126</v>
          </cell>
          <cell r="C115" t="str">
            <v>Past</v>
          </cell>
          <cell r="D115">
            <v>35.299999999999997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35.299999999999997</v>
          </cell>
          <cell r="Q115">
            <v>2.2069649999999998</v>
          </cell>
          <cell r="R115" t="e">
            <v>#N/A</v>
          </cell>
        </row>
        <row r="116">
          <cell r="A116">
            <v>40127</v>
          </cell>
          <cell r="B116">
            <v>40127</v>
          </cell>
          <cell r="C116" t="str">
            <v>Past</v>
          </cell>
          <cell r="D116">
            <v>35.15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35.15</v>
          </cell>
          <cell r="Q116">
            <v>2.3913150000000001</v>
          </cell>
          <cell r="R116" t="e">
            <v>#N/A</v>
          </cell>
        </row>
        <row r="117">
          <cell r="A117">
            <v>40128</v>
          </cell>
          <cell r="B117">
            <v>40128</v>
          </cell>
          <cell r="C117" t="str">
            <v>Past</v>
          </cell>
          <cell r="D117">
            <v>35.33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35.33</v>
          </cell>
          <cell r="Q117">
            <v>2.4257239999999998</v>
          </cell>
          <cell r="R117" t="e">
            <v>#N/A</v>
          </cell>
        </row>
        <row r="118">
          <cell r="A118">
            <v>40129</v>
          </cell>
          <cell r="B118">
            <v>40129</v>
          </cell>
          <cell r="C118" t="str">
            <v>Past</v>
          </cell>
          <cell r="D118">
            <v>35.58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35.58</v>
          </cell>
          <cell r="Q118">
            <v>2.6415289999999998</v>
          </cell>
          <cell r="R118" t="e">
            <v>#N/A</v>
          </cell>
        </row>
        <row r="119">
          <cell r="A119">
            <v>40130</v>
          </cell>
          <cell r="B119">
            <v>40130</v>
          </cell>
          <cell r="C119" t="str">
            <v>Past</v>
          </cell>
          <cell r="D119">
            <v>34.57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34.57</v>
          </cell>
          <cell r="Q119">
            <v>2.0219139999999998</v>
          </cell>
          <cell r="R119" t="e">
            <v>#N/A</v>
          </cell>
        </row>
        <row r="120">
          <cell r="A120">
            <v>40133</v>
          </cell>
          <cell r="B120">
            <v>40133</v>
          </cell>
          <cell r="C120" t="str">
            <v>Past</v>
          </cell>
          <cell r="D120">
            <v>35.4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35.4</v>
          </cell>
          <cell r="Q120">
            <v>2.00318</v>
          </cell>
          <cell r="R120" t="e">
            <v>#N/A</v>
          </cell>
        </row>
        <row r="121">
          <cell r="A121">
            <v>40134</v>
          </cell>
          <cell r="B121">
            <v>40134</v>
          </cell>
          <cell r="C121" t="str">
            <v>Past</v>
          </cell>
          <cell r="D121">
            <v>35.24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35.24</v>
          </cell>
          <cell r="Q121">
            <v>1.468191</v>
          </cell>
          <cell r="R121" t="e">
            <v>#N/A</v>
          </cell>
        </row>
        <row r="122">
          <cell r="A122">
            <v>40135</v>
          </cell>
          <cell r="B122">
            <v>40135</v>
          </cell>
          <cell r="C122" t="str">
            <v>Past</v>
          </cell>
          <cell r="D122">
            <v>35.46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35.46</v>
          </cell>
          <cell r="Q122">
            <v>2.0200839999999998</v>
          </cell>
          <cell r="R122" t="e">
            <v>#N/A</v>
          </cell>
        </row>
        <row r="123">
          <cell r="A123">
            <v>40136</v>
          </cell>
          <cell r="B123">
            <v>40136</v>
          </cell>
          <cell r="C123" t="str">
            <v>Past</v>
          </cell>
          <cell r="D123">
            <v>36.01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36.01</v>
          </cell>
          <cell r="Q123">
            <v>2.441354</v>
          </cell>
          <cell r="R123" t="e">
            <v>#N/A</v>
          </cell>
        </row>
        <row r="124">
          <cell r="A124">
            <v>40137</v>
          </cell>
          <cell r="B124">
            <v>40137</v>
          </cell>
          <cell r="C124" t="str">
            <v>Past</v>
          </cell>
          <cell r="D124">
            <v>35.840000000000003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35.840000000000003</v>
          </cell>
          <cell r="Q124">
            <v>1.4934429999999999</v>
          </cell>
          <cell r="R124" t="e">
            <v>#N/A</v>
          </cell>
        </row>
        <row r="125">
          <cell r="A125">
            <v>40140</v>
          </cell>
          <cell r="B125">
            <v>40140</v>
          </cell>
          <cell r="C125" t="str">
            <v>Past</v>
          </cell>
          <cell r="D125">
            <v>37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37</v>
          </cell>
          <cell r="Q125">
            <v>2.521944</v>
          </cell>
          <cell r="R125" t="e">
            <v>#N/A</v>
          </cell>
        </row>
        <row r="126">
          <cell r="A126">
            <v>40141</v>
          </cell>
          <cell r="B126">
            <v>40141</v>
          </cell>
          <cell r="C126" t="str">
            <v>Past</v>
          </cell>
          <cell r="D126">
            <v>37.200000000000003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37.200000000000003</v>
          </cell>
          <cell r="Q126">
            <v>2.6499600000000001</v>
          </cell>
          <cell r="R126" t="e">
            <v>#N/A</v>
          </cell>
        </row>
        <row r="127">
          <cell r="A127">
            <v>40142</v>
          </cell>
          <cell r="B127">
            <v>40142</v>
          </cell>
          <cell r="C127" t="str">
            <v>Past</v>
          </cell>
          <cell r="D127">
            <v>36.979999999999997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36.979999999999997</v>
          </cell>
          <cell r="Q127">
            <v>3.8075109999999999</v>
          </cell>
          <cell r="R127" t="e">
            <v>#N/A</v>
          </cell>
        </row>
        <row r="128">
          <cell r="A128">
            <v>40143</v>
          </cell>
          <cell r="B128">
            <v>40143</v>
          </cell>
          <cell r="C128" t="str">
            <v>Past</v>
          </cell>
          <cell r="D128">
            <v>38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38</v>
          </cell>
          <cell r="Q128">
            <v>4.8077589999999999</v>
          </cell>
          <cell r="R128" t="e">
            <v>#N/A</v>
          </cell>
        </row>
        <row r="129">
          <cell r="A129">
            <v>40144</v>
          </cell>
          <cell r="B129">
            <v>40144</v>
          </cell>
          <cell r="C129" t="str">
            <v>Past</v>
          </cell>
          <cell r="D129">
            <v>36.93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36.93</v>
          </cell>
          <cell r="Q129">
            <v>6.2571459999999997</v>
          </cell>
          <cell r="R129" t="e">
            <v>#N/A</v>
          </cell>
        </row>
        <row r="130">
          <cell r="A130">
            <v>40147</v>
          </cell>
          <cell r="B130">
            <v>40147</v>
          </cell>
          <cell r="C130" t="str">
            <v>Past</v>
          </cell>
          <cell r="D130">
            <v>36.79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36.79</v>
          </cell>
          <cell r="Q130">
            <v>2.4493</v>
          </cell>
          <cell r="R130" t="e">
            <v>#N/A</v>
          </cell>
        </row>
        <row r="131">
          <cell r="A131">
            <v>40148</v>
          </cell>
          <cell r="B131">
            <v>40148</v>
          </cell>
          <cell r="C131" t="str">
            <v>Past</v>
          </cell>
          <cell r="D131">
            <v>37.4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37.4</v>
          </cell>
          <cell r="Q131">
            <v>1.539374</v>
          </cell>
          <cell r="R131" t="e">
            <v>#N/A</v>
          </cell>
        </row>
        <row r="132">
          <cell r="A132">
            <v>40149</v>
          </cell>
          <cell r="B132">
            <v>40149</v>
          </cell>
          <cell r="C132" t="str">
            <v>Past</v>
          </cell>
          <cell r="D132">
            <v>39.26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39.26</v>
          </cell>
          <cell r="Q132">
            <v>2.8575339999999998</v>
          </cell>
          <cell r="R132" t="e">
            <v>#N/A</v>
          </cell>
        </row>
        <row r="133">
          <cell r="A133">
            <v>40150</v>
          </cell>
          <cell r="B133">
            <v>40150</v>
          </cell>
          <cell r="C133" t="str">
            <v>Past</v>
          </cell>
          <cell r="D133">
            <v>39.19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39.19</v>
          </cell>
          <cell r="Q133">
            <v>3.7324609999999998</v>
          </cell>
          <cell r="R133" t="e">
            <v>#N/A</v>
          </cell>
        </row>
        <row r="134">
          <cell r="A134">
            <v>40151</v>
          </cell>
          <cell r="B134">
            <v>40151</v>
          </cell>
          <cell r="C134" t="str">
            <v>Past</v>
          </cell>
          <cell r="D134">
            <v>38.299999999999997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38.299999999999997</v>
          </cell>
          <cell r="Q134">
            <v>1.8170539999999999</v>
          </cell>
          <cell r="R134" t="e">
            <v>#N/A</v>
          </cell>
        </row>
        <row r="135">
          <cell r="A135">
            <v>40154</v>
          </cell>
          <cell r="B135">
            <v>40154</v>
          </cell>
          <cell r="C135" t="str">
            <v>Past</v>
          </cell>
          <cell r="D135">
            <v>36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36</v>
          </cell>
          <cell r="Q135">
            <v>3.4116949999999999</v>
          </cell>
          <cell r="R135" t="e">
            <v>#N/A</v>
          </cell>
        </row>
        <row r="136">
          <cell r="A136">
            <v>40155</v>
          </cell>
          <cell r="B136">
            <v>40155</v>
          </cell>
          <cell r="C136" t="str">
            <v>Past</v>
          </cell>
          <cell r="D136">
            <v>35.75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35.75</v>
          </cell>
          <cell r="Q136">
            <v>3.1276039999999998</v>
          </cell>
          <cell r="R136" t="e">
            <v>#N/A</v>
          </cell>
        </row>
        <row r="137">
          <cell r="A137">
            <v>40156</v>
          </cell>
          <cell r="B137">
            <v>40156</v>
          </cell>
          <cell r="C137" t="str">
            <v>Past</v>
          </cell>
          <cell r="D137">
            <v>35.17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35.17</v>
          </cell>
          <cell r="Q137">
            <v>2.6125369999999997</v>
          </cell>
          <cell r="R137" t="e">
            <v>#N/A</v>
          </cell>
        </row>
        <row r="138">
          <cell r="A138">
            <v>40157</v>
          </cell>
          <cell r="B138">
            <v>40157</v>
          </cell>
          <cell r="C138" t="str">
            <v>Past</v>
          </cell>
          <cell r="D138">
            <v>34.85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34.85</v>
          </cell>
          <cell r="Q138">
            <v>2.311404</v>
          </cell>
          <cell r="R138" t="e">
            <v>#N/A</v>
          </cell>
        </row>
        <row r="139">
          <cell r="A139">
            <v>40158</v>
          </cell>
          <cell r="B139">
            <v>40158</v>
          </cell>
          <cell r="C139" t="str">
            <v>Past</v>
          </cell>
          <cell r="D139">
            <v>35.020000000000003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35.020000000000003</v>
          </cell>
          <cell r="Q139">
            <v>2.03512</v>
          </cell>
          <cell r="R139" t="e">
            <v>#N/A</v>
          </cell>
        </row>
        <row r="140">
          <cell r="A140">
            <v>40161</v>
          </cell>
          <cell r="B140">
            <v>40161</v>
          </cell>
          <cell r="C140" t="str">
            <v>Past</v>
          </cell>
          <cell r="D140">
            <v>35.18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35.18</v>
          </cell>
          <cell r="Q140">
            <v>1.6449309999999999</v>
          </cell>
          <cell r="R140" t="e">
            <v>#N/A</v>
          </cell>
        </row>
        <row r="141">
          <cell r="A141">
            <v>40162</v>
          </cell>
          <cell r="B141">
            <v>40162</v>
          </cell>
          <cell r="C141" t="str">
            <v>Past</v>
          </cell>
          <cell r="D141">
            <v>35.89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35.89</v>
          </cell>
          <cell r="Q141">
            <v>1.6696339999999998</v>
          </cell>
          <cell r="R141" t="e">
            <v>#N/A</v>
          </cell>
        </row>
        <row r="142">
          <cell r="A142">
            <v>40163</v>
          </cell>
          <cell r="B142">
            <v>40163</v>
          </cell>
          <cell r="C142" t="str">
            <v>Past</v>
          </cell>
          <cell r="D142">
            <v>35.409999999999997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35.409999999999997</v>
          </cell>
          <cell r="Q142">
            <v>1.634533</v>
          </cell>
          <cell r="R142" t="e">
            <v>#N/A</v>
          </cell>
        </row>
        <row r="143">
          <cell r="A143">
            <v>40164</v>
          </cell>
          <cell r="B143">
            <v>40164</v>
          </cell>
          <cell r="C143" t="str">
            <v>Past</v>
          </cell>
          <cell r="D143">
            <v>35.25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35.25</v>
          </cell>
          <cell r="Q143">
            <v>3.7908169999999997</v>
          </cell>
          <cell r="R143" t="e">
            <v>#N/A</v>
          </cell>
        </row>
        <row r="144">
          <cell r="A144">
            <v>40165</v>
          </cell>
          <cell r="B144">
            <v>40165</v>
          </cell>
          <cell r="C144" t="str">
            <v>Past</v>
          </cell>
          <cell r="D144">
            <v>34.18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34.18</v>
          </cell>
          <cell r="Q144">
            <v>4.9658559999999996</v>
          </cell>
          <cell r="R144" t="e">
            <v>#N/A</v>
          </cell>
        </row>
        <row r="145">
          <cell r="A145">
            <v>40168</v>
          </cell>
          <cell r="B145">
            <v>40168</v>
          </cell>
          <cell r="C145" t="str">
            <v>Past</v>
          </cell>
          <cell r="D145">
            <v>34.78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34.78</v>
          </cell>
          <cell r="Q145">
            <v>1.984891</v>
          </cell>
          <cell r="R145" t="e">
            <v>#N/A</v>
          </cell>
        </row>
        <row r="146">
          <cell r="A146">
            <v>40169</v>
          </cell>
          <cell r="B146">
            <v>40169</v>
          </cell>
          <cell r="C146" t="str">
            <v>Past</v>
          </cell>
          <cell r="D146">
            <v>34.06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34.06</v>
          </cell>
          <cell r="Q146">
            <v>2.1167229999999999</v>
          </cell>
          <cell r="R146" t="e">
            <v>#N/A</v>
          </cell>
        </row>
        <row r="147">
          <cell r="A147">
            <v>40170</v>
          </cell>
          <cell r="B147">
            <v>40170</v>
          </cell>
          <cell r="C147" t="str">
            <v>Past</v>
          </cell>
          <cell r="D147">
            <v>34.96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34.96</v>
          </cell>
          <cell r="Q147">
            <v>0.94773299999999994</v>
          </cell>
          <cell r="R147" t="e">
            <v>#N/A</v>
          </cell>
        </row>
        <row r="148">
          <cell r="A148">
            <v>40171</v>
          </cell>
          <cell r="B148">
            <v>40171</v>
          </cell>
          <cell r="C148" t="str">
            <v>Past</v>
          </cell>
          <cell r="D148">
            <v>35.14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35.14</v>
          </cell>
          <cell r="Q148">
            <v>1.4195339999999999</v>
          </cell>
          <cell r="R148" t="e">
            <v>#N/A</v>
          </cell>
        </row>
        <row r="149">
          <cell r="A149">
            <v>40172</v>
          </cell>
          <cell r="B149">
            <v>40172</v>
          </cell>
          <cell r="C149" t="str">
            <v>Past</v>
          </cell>
          <cell r="D149">
            <v>35.14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35.14</v>
          </cell>
          <cell r="Q149">
            <v>0</v>
          </cell>
          <cell r="R149" t="e">
            <v>#N/A</v>
          </cell>
        </row>
        <row r="150">
          <cell r="A150">
            <v>40175</v>
          </cell>
          <cell r="B150">
            <v>40175</v>
          </cell>
          <cell r="C150" t="str">
            <v>Past</v>
          </cell>
          <cell r="D150">
            <v>35.14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35.14</v>
          </cell>
          <cell r="Q150">
            <v>0</v>
          </cell>
          <cell r="R150" t="e">
            <v>#N/A</v>
          </cell>
        </row>
        <row r="151">
          <cell r="A151">
            <v>40176</v>
          </cell>
          <cell r="B151">
            <v>40176</v>
          </cell>
          <cell r="C151" t="str">
            <v>Past</v>
          </cell>
          <cell r="D151">
            <v>35.28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35.28</v>
          </cell>
          <cell r="Q151">
            <v>0.88104699999999991</v>
          </cell>
          <cell r="R151" t="e">
            <v>#N/A</v>
          </cell>
        </row>
        <row r="152">
          <cell r="A152">
            <v>40177</v>
          </cell>
          <cell r="B152">
            <v>40177</v>
          </cell>
          <cell r="C152" t="str">
            <v>Past</v>
          </cell>
          <cell r="D152">
            <v>34.96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34.96</v>
          </cell>
          <cell r="Q152">
            <v>0.61817199999999994</v>
          </cell>
          <cell r="R152" t="e">
            <v>#N/A</v>
          </cell>
        </row>
        <row r="153">
          <cell r="A153">
            <v>40178</v>
          </cell>
          <cell r="B153">
            <v>40178</v>
          </cell>
          <cell r="C153" t="str">
            <v>Past</v>
          </cell>
          <cell r="D153">
            <v>35.33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35.33</v>
          </cell>
          <cell r="Q153">
            <v>0.65008599999999994</v>
          </cell>
          <cell r="R153" t="e">
            <v>#N/A</v>
          </cell>
        </row>
        <row r="154">
          <cell r="A154">
            <v>40179</v>
          </cell>
          <cell r="B154">
            <v>40179</v>
          </cell>
          <cell r="C154" t="str">
            <v>Past</v>
          </cell>
          <cell r="D154">
            <v>35.33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35.33</v>
          </cell>
          <cell r="Q154">
            <v>0</v>
          </cell>
          <cell r="R154" t="e">
            <v>#N/A</v>
          </cell>
        </row>
        <row r="155">
          <cell r="A155">
            <v>40182</v>
          </cell>
          <cell r="B155">
            <v>40182</v>
          </cell>
          <cell r="C155" t="str">
            <v>Past</v>
          </cell>
          <cell r="D155">
            <v>36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36</v>
          </cell>
          <cell r="Q155">
            <v>1.371634</v>
          </cell>
          <cell r="R155" t="e">
            <v>#N/A</v>
          </cell>
        </row>
        <row r="156">
          <cell r="A156">
            <v>40183</v>
          </cell>
          <cell r="B156">
            <v>40183</v>
          </cell>
          <cell r="C156" t="str">
            <v>Past</v>
          </cell>
          <cell r="D156">
            <v>36.72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36.72</v>
          </cell>
          <cell r="Q156">
            <v>1.2469209999999999</v>
          </cell>
          <cell r="R156" t="e">
            <v>#N/A</v>
          </cell>
        </row>
        <row r="157">
          <cell r="A157">
            <v>40184</v>
          </cell>
          <cell r="B157">
            <v>40184</v>
          </cell>
          <cell r="C157" t="str">
            <v>Past</v>
          </cell>
          <cell r="D157">
            <v>36.72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36.72</v>
          </cell>
          <cell r="Q157">
            <v>0.97539199999999993</v>
          </cell>
          <cell r="R157" t="e">
            <v>#N/A</v>
          </cell>
        </row>
        <row r="158">
          <cell r="A158">
            <v>40185</v>
          </cell>
          <cell r="B158">
            <v>40185</v>
          </cell>
          <cell r="C158" t="str">
            <v>Past</v>
          </cell>
          <cell r="D158">
            <v>37.15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37.15</v>
          </cell>
          <cell r="Q158">
            <v>1.5625849999999999</v>
          </cell>
          <cell r="R158" t="e">
            <v>#N/A</v>
          </cell>
        </row>
        <row r="159">
          <cell r="A159">
            <v>40186</v>
          </cell>
          <cell r="B159">
            <v>40186</v>
          </cell>
          <cell r="C159" t="str">
            <v>Past</v>
          </cell>
          <cell r="D159">
            <v>36.200000000000003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36.200000000000003</v>
          </cell>
          <cell r="Q159">
            <v>1.4407000000000001</v>
          </cell>
          <cell r="R159" t="e">
            <v>#N/A</v>
          </cell>
        </row>
        <row r="160">
          <cell r="A160">
            <v>40189</v>
          </cell>
          <cell r="B160">
            <v>40189</v>
          </cell>
          <cell r="C160" t="str">
            <v>Past</v>
          </cell>
          <cell r="D160">
            <v>36.82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36.82</v>
          </cell>
          <cell r="Q160">
            <v>1.562087</v>
          </cell>
          <cell r="R160" t="e">
            <v>#N/A</v>
          </cell>
        </row>
        <row r="161">
          <cell r="A161">
            <v>40190</v>
          </cell>
          <cell r="B161">
            <v>40190</v>
          </cell>
          <cell r="C161" t="str">
            <v>Past</v>
          </cell>
          <cell r="D161">
            <v>37.28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37.28</v>
          </cell>
          <cell r="Q161">
            <v>3.000057</v>
          </cell>
          <cell r="R161" t="e">
            <v>#N/A</v>
          </cell>
        </row>
        <row r="162">
          <cell r="A162">
            <v>40191</v>
          </cell>
          <cell r="B162">
            <v>40191</v>
          </cell>
          <cell r="C162" t="str">
            <v>Past</v>
          </cell>
          <cell r="D162">
            <v>36.840000000000003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36.840000000000003</v>
          </cell>
          <cell r="Q162">
            <v>1.6751419999999999</v>
          </cell>
          <cell r="R162" t="e">
            <v>#N/A</v>
          </cell>
        </row>
        <row r="163">
          <cell r="A163">
            <v>40192</v>
          </cell>
          <cell r="B163">
            <v>40192</v>
          </cell>
          <cell r="C163" t="str">
            <v>Past</v>
          </cell>
          <cell r="D163">
            <v>36.479999999999997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36.479999999999997</v>
          </cell>
          <cell r="Q163">
            <v>1.2245519999999999</v>
          </cell>
          <cell r="R163" t="e">
            <v>#N/A</v>
          </cell>
        </row>
        <row r="164">
          <cell r="A164">
            <v>40193</v>
          </cell>
          <cell r="B164">
            <v>40193</v>
          </cell>
          <cell r="C164" t="str">
            <v>Past</v>
          </cell>
          <cell r="D164">
            <v>36.17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36.17</v>
          </cell>
          <cell r="Q164">
            <v>1.4886379999999999</v>
          </cell>
          <cell r="R164" t="e">
            <v>#N/A</v>
          </cell>
        </row>
        <row r="165">
          <cell r="A165">
            <v>40196</v>
          </cell>
          <cell r="B165">
            <v>40196</v>
          </cell>
          <cell r="C165" t="str">
            <v>Past</v>
          </cell>
          <cell r="D165">
            <v>36.08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36.08</v>
          </cell>
          <cell r="Q165">
            <v>1.2369269999999999</v>
          </cell>
          <cell r="R165" t="e">
            <v>#N/A</v>
          </cell>
        </row>
        <row r="166">
          <cell r="A166">
            <v>40197</v>
          </cell>
          <cell r="B166">
            <v>40197</v>
          </cell>
          <cell r="C166" t="str">
            <v>Past</v>
          </cell>
          <cell r="D166">
            <v>35.950000000000003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35.950000000000003</v>
          </cell>
          <cell r="Q166">
            <v>1.596625</v>
          </cell>
          <cell r="R166" t="e">
            <v>#N/A</v>
          </cell>
        </row>
        <row r="167">
          <cell r="A167">
            <v>40198</v>
          </cell>
          <cell r="B167">
            <v>40198</v>
          </cell>
          <cell r="C167" t="str">
            <v>Past</v>
          </cell>
          <cell r="D167">
            <v>35.4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35.4</v>
          </cell>
          <cell r="Q167">
            <v>1.7303149999999998</v>
          </cell>
          <cell r="R167" t="e">
            <v>#N/A</v>
          </cell>
        </row>
        <row r="168">
          <cell r="A168">
            <v>40199</v>
          </cell>
          <cell r="B168">
            <v>40199</v>
          </cell>
          <cell r="C168" t="str">
            <v>Past</v>
          </cell>
          <cell r="D168">
            <v>34.11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34.11</v>
          </cell>
          <cell r="Q168">
            <v>2.8619459999999997</v>
          </cell>
          <cell r="R168" t="e">
            <v>#N/A</v>
          </cell>
        </row>
        <row r="169">
          <cell r="A169">
            <v>40200</v>
          </cell>
          <cell r="B169">
            <v>40200</v>
          </cell>
          <cell r="C169" t="str">
            <v>Past</v>
          </cell>
          <cell r="D169">
            <v>33.31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33.31</v>
          </cell>
          <cell r="Q169">
            <v>3.1018000000000003</v>
          </cell>
          <cell r="R169" t="e">
            <v>#N/A</v>
          </cell>
        </row>
        <row r="170">
          <cell r="A170">
            <v>40203</v>
          </cell>
          <cell r="B170">
            <v>40203</v>
          </cell>
          <cell r="C170" t="str">
            <v>Past</v>
          </cell>
          <cell r="D170">
            <v>33.31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33.31</v>
          </cell>
          <cell r="Q170">
            <v>3.1860889999999999</v>
          </cell>
          <cell r="R170" t="e">
            <v>#N/A</v>
          </cell>
        </row>
        <row r="171">
          <cell r="A171">
            <v>40204</v>
          </cell>
          <cell r="B171">
            <v>40204</v>
          </cell>
          <cell r="C171" t="str">
            <v>Past</v>
          </cell>
          <cell r="D171">
            <v>33.31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33.31</v>
          </cell>
          <cell r="Q171">
            <v>0</v>
          </cell>
          <cell r="R171" t="e">
            <v>#N/A</v>
          </cell>
        </row>
        <row r="172">
          <cell r="A172">
            <v>40205</v>
          </cell>
          <cell r="B172">
            <v>40205</v>
          </cell>
          <cell r="C172" t="str">
            <v>Past</v>
          </cell>
          <cell r="D172">
            <v>32.299999999999997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32.299999999999997</v>
          </cell>
          <cell r="Q172">
            <v>2.7568029999999997</v>
          </cell>
          <cell r="R172" t="e">
            <v>#N/A</v>
          </cell>
        </row>
        <row r="173">
          <cell r="A173">
            <v>40206</v>
          </cell>
          <cell r="B173">
            <v>40206</v>
          </cell>
          <cell r="C173" t="str">
            <v>Past</v>
          </cell>
          <cell r="D173">
            <v>32.130000000000003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32.130000000000003</v>
          </cell>
          <cell r="Q173">
            <v>4.769469</v>
          </cell>
          <cell r="R173" t="e">
            <v>#N/A</v>
          </cell>
        </row>
        <row r="174">
          <cell r="A174">
            <v>40207</v>
          </cell>
          <cell r="B174">
            <v>40207</v>
          </cell>
          <cell r="C174" t="str">
            <v>Past</v>
          </cell>
          <cell r="D174">
            <v>31.53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31.53</v>
          </cell>
          <cell r="Q174">
            <v>4.5426299999999999</v>
          </cell>
          <cell r="R174" t="e">
            <v>#N/A</v>
          </cell>
        </row>
        <row r="175">
          <cell r="A175">
            <v>40210</v>
          </cell>
          <cell r="B175">
            <v>40210</v>
          </cell>
          <cell r="C175" t="str">
            <v>Past</v>
          </cell>
          <cell r="D175">
            <v>30.95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30.95</v>
          </cell>
          <cell r="Q175">
            <v>2.1870349999999998</v>
          </cell>
          <cell r="R175" t="e">
            <v>#N/A</v>
          </cell>
        </row>
        <row r="176">
          <cell r="A176">
            <v>40211</v>
          </cell>
          <cell r="B176">
            <v>40211</v>
          </cell>
          <cell r="C176" t="str">
            <v>Past</v>
          </cell>
          <cell r="D176">
            <v>31.71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31.71</v>
          </cell>
          <cell r="Q176">
            <v>2.6144089999999998</v>
          </cell>
          <cell r="R176" t="e">
            <v>#N/A</v>
          </cell>
        </row>
        <row r="177">
          <cell r="A177">
            <v>40212</v>
          </cell>
          <cell r="B177">
            <v>40212</v>
          </cell>
          <cell r="C177" t="str">
            <v>Past</v>
          </cell>
          <cell r="D177">
            <v>32.450000000000003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32.450000000000003</v>
          </cell>
          <cell r="Q177">
            <v>3.5167229999999998</v>
          </cell>
          <cell r="R177" t="e">
            <v>#N/A</v>
          </cell>
        </row>
        <row r="178">
          <cell r="A178">
            <v>40213</v>
          </cell>
          <cell r="B178">
            <v>40213</v>
          </cell>
          <cell r="C178" t="str">
            <v>Past</v>
          </cell>
          <cell r="D178">
            <v>31.97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31.97</v>
          </cell>
          <cell r="Q178">
            <v>2.2820649999999998</v>
          </cell>
          <cell r="R178" t="e">
            <v>#N/A</v>
          </cell>
        </row>
        <row r="179">
          <cell r="A179">
            <v>40214</v>
          </cell>
          <cell r="B179">
            <v>40214</v>
          </cell>
          <cell r="C179" t="str">
            <v>Past</v>
          </cell>
          <cell r="D179">
            <v>31.15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31.15</v>
          </cell>
          <cell r="Q179">
            <v>3.813968</v>
          </cell>
          <cell r="R179" t="e">
            <v>#N/A</v>
          </cell>
        </row>
        <row r="180">
          <cell r="A180">
            <v>40217</v>
          </cell>
          <cell r="B180">
            <v>40217</v>
          </cell>
          <cell r="C180" t="str">
            <v>Past</v>
          </cell>
          <cell r="D180">
            <v>31.52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31.52</v>
          </cell>
          <cell r="Q180">
            <v>1.936113</v>
          </cell>
          <cell r="R180" t="e">
            <v>#N/A</v>
          </cell>
        </row>
        <row r="181">
          <cell r="A181">
            <v>40218</v>
          </cell>
          <cell r="B181">
            <v>40218</v>
          </cell>
          <cell r="C181" t="str">
            <v>Past</v>
          </cell>
          <cell r="D181">
            <v>31.45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31.45</v>
          </cell>
          <cell r="Q181">
            <v>2.5885849999999997</v>
          </cell>
          <cell r="R181" t="e">
            <v>#N/A</v>
          </cell>
        </row>
        <row r="182">
          <cell r="A182">
            <v>40219</v>
          </cell>
          <cell r="B182">
            <v>40219</v>
          </cell>
          <cell r="C182" t="str">
            <v>Past</v>
          </cell>
          <cell r="D182">
            <v>31.81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31.81</v>
          </cell>
          <cell r="Q182">
            <v>1.5778409999999998</v>
          </cell>
          <cell r="R182" t="e">
            <v>#N/A</v>
          </cell>
        </row>
        <row r="183">
          <cell r="A183">
            <v>40220</v>
          </cell>
          <cell r="B183">
            <v>40220</v>
          </cell>
          <cell r="C183" t="str">
            <v>Past</v>
          </cell>
          <cell r="D183">
            <v>32.44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32.44</v>
          </cell>
          <cell r="Q183">
            <v>1.836284</v>
          </cell>
          <cell r="R183" t="e">
            <v>#N/A</v>
          </cell>
        </row>
        <row r="184">
          <cell r="A184">
            <v>40221</v>
          </cell>
          <cell r="B184">
            <v>40221</v>
          </cell>
          <cell r="C184" t="str">
            <v>Past</v>
          </cell>
          <cell r="D184">
            <v>32.68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32.68</v>
          </cell>
          <cell r="Q184">
            <v>1.877016</v>
          </cell>
          <cell r="R184" t="e">
            <v>#N/A</v>
          </cell>
        </row>
        <row r="185">
          <cell r="A185">
            <v>40224</v>
          </cell>
          <cell r="B185">
            <v>40224</v>
          </cell>
          <cell r="C185" t="str">
            <v>Past</v>
          </cell>
          <cell r="D185">
            <v>32.18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32.18</v>
          </cell>
          <cell r="Q185">
            <v>1.2480089999999999</v>
          </cell>
          <cell r="R185" t="e">
            <v>#N/A</v>
          </cell>
        </row>
        <row r="186">
          <cell r="A186">
            <v>40225</v>
          </cell>
          <cell r="B186">
            <v>40225</v>
          </cell>
          <cell r="C186" t="str">
            <v>Past</v>
          </cell>
          <cell r="D186">
            <v>32.28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32.28</v>
          </cell>
          <cell r="Q186">
            <v>1.6005779999999998</v>
          </cell>
          <cell r="R186" t="e">
            <v>#N/A</v>
          </cell>
        </row>
        <row r="187">
          <cell r="A187">
            <v>40226</v>
          </cell>
          <cell r="B187">
            <v>40226</v>
          </cell>
          <cell r="C187" t="str">
            <v>Past</v>
          </cell>
          <cell r="D187">
            <v>33.67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33.67</v>
          </cell>
          <cell r="Q187">
            <v>3.0009000000000001</v>
          </cell>
          <cell r="R187" t="e">
            <v>#N/A</v>
          </cell>
        </row>
        <row r="188">
          <cell r="A188">
            <v>40227</v>
          </cell>
          <cell r="B188">
            <v>40227</v>
          </cell>
          <cell r="C188" t="str">
            <v>Past</v>
          </cell>
          <cell r="D188">
            <v>32.909999999999997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32.909999999999997</v>
          </cell>
          <cell r="Q188">
            <v>2.3335819999999998</v>
          </cell>
          <cell r="R188" t="e">
            <v>#N/A</v>
          </cell>
        </row>
        <row r="189">
          <cell r="A189">
            <v>40228</v>
          </cell>
          <cell r="B189">
            <v>40228</v>
          </cell>
          <cell r="C189" t="str">
            <v>Past</v>
          </cell>
          <cell r="D189">
            <v>31.8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31.8</v>
          </cell>
          <cell r="Q189">
            <v>3.077788</v>
          </cell>
          <cell r="R189" t="e">
            <v>#N/A</v>
          </cell>
        </row>
        <row r="190">
          <cell r="A190">
            <v>40231</v>
          </cell>
          <cell r="B190">
            <v>40231</v>
          </cell>
          <cell r="C190" t="str">
            <v>Past</v>
          </cell>
          <cell r="D190">
            <v>33.26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33.26</v>
          </cell>
          <cell r="Q190">
            <v>2.616533</v>
          </cell>
          <cell r="R190" t="e">
            <v>#N/A</v>
          </cell>
        </row>
        <row r="191">
          <cell r="A191">
            <v>40232</v>
          </cell>
          <cell r="B191">
            <v>40232</v>
          </cell>
          <cell r="C191" t="str">
            <v>Past</v>
          </cell>
          <cell r="D191">
            <v>33.1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33.1</v>
          </cell>
          <cell r="Q191">
            <v>1.7891500000000002</v>
          </cell>
          <cell r="R191" t="e">
            <v>#N/A</v>
          </cell>
        </row>
        <row r="192">
          <cell r="A192">
            <v>40233</v>
          </cell>
          <cell r="B192">
            <v>40233</v>
          </cell>
          <cell r="C192" t="str">
            <v>Past</v>
          </cell>
          <cell r="D192">
            <v>32.26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32.26</v>
          </cell>
          <cell r="Q192">
            <v>2.7366619999999999</v>
          </cell>
          <cell r="R192" t="e">
            <v>#N/A</v>
          </cell>
        </row>
        <row r="193">
          <cell r="A193">
            <v>40234</v>
          </cell>
          <cell r="B193">
            <v>40234</v>
          </cell>
          <cell r="C193" t="str">
            <v>Past</v>
          </cell>
          <cell r="D193">
            <v>30.75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30.75</v>
          </cell>
          <cell r="Q193">
            <v>3.1154000000000002</v>
          </cell>
          <cell r="R193" t="e">
            <v>#N/A</v>
          </cell>
        </row>
        <row r="194">
          <cell r="A194">
            <v>40235</v>
          </cell>
          <cell r="B194">
            <v>40235</v>
          </cell>
          <cell r="C194" t="str">
            <v>Past</v>
          </cell>
          <cell r="D194">
            <v>31.34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31.34</v>
          </cell>
          <cell r="Q194">
            <v>4.3952549999999997</v>
          </cell>
          <cell r="R194" t="e">
            <v>#N/A</v>
          </cell>
        </row>
        <row r="195">
          <cell r="A195">
            <v>40238</v>
          </cell>
          <cell r="B195">
            <v>40238</v>
          </cell>
          <cell r="C195" t="str">
            <v>Past</v>
          </cell>
          <cell r="D195">
            <v>32.14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32.14</v>
          </cell>
          <cell r="Q195">
            <v>1.856541</v>
          </cell>
          <cell r="R195" t="e">
            <v>#N/A</v>
          </cell>
        </row>
        <row r="196">
          <cell r="A196">
            <v>40239</v>
          </cell>
          <cell r="B196">
            <v>40239</v>
          </cell>
          <cell r="C196" t="str">
            <v>Past</v>
          </cell>
          <cell r="D196">
            <v>32.51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32.51</v>
          </cell>
          <cell r="Q196">
            <v>2.4991949999999998</v>
          </cell>
          <cell r="R196" t="e">
            <v>#N/A</v>
          </cell>
        </row>
        <row r="197">
          <cell r="A197">
            <v>40240</v>
          </cell>
          <cell r="B197">
            <v>40240</v>
          </cell>
          <cell r="C197" t="str">
            <v>Past</v>
          </cell>
          <cell r="D197">
            <v>32.950000000000003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32.950000000000003</v>
          </cell>
          <cell r="Q197">
            <v>3.1884269999999999</v>
          </cell>
          <cell r="R197" t="e">
            <v>#N/A</v>
          </cell>
        </row>
        <row r="198">
          <cell r="A198">
            <v>40241</v>
          </cell>
          <cell r="B198">
            <v>40241</v>
          </cell>
          <cell r="C198" t="str">
            <v>Past</v>
          </cell>
          <cell r="D198">
            <v>33.5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33.5</v>
          </cell>
          <cell r="Q198">
            <v>2.434876</v>
          </cell>
          <cell r="R198" t="e">
            <v>#N/A</v>
          </cell>
        </row>
        <row r="199">
          <cell r="A199">
            <v>40242</v>
          </cell>
          <cell r="B199">
            <v>40242</v>
          </cell>
          <cell r="C199" t="str">
            <v>Past</v>
          </cell>
          <cell r="D199">
            <v>33.97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33.97</v>
          </cell>
          <cell r="Q199">
            <v>2.6833359999999997</v>
          </cell>
          <cell r="R199" t="e">
            <v>#N/A</v>
          </cell>
        </row>
        <row r="200">
          <cell r="A200">
            <v>40245</v>
          </cell>
          <cell r="B200">
            <v>40245</v>
          </cell>
          <cell r="C200" t="str">
            <v>Past</v>
          </cell>
          <cell r="D200">
            <v>34.340000000000003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34.340000000000003</v>
          </cell>
          <cell r="Q200">
            <v>2.4267559999999997</v>
          </cell>
          <cell r="R200" t="e">
            <v>#N/A</v>
          </cell>
        </row>
        <row r="201">
          <cell r="A201">
            <v>40246</v>
          </cell>
          <cell r="B201">
            <v>40246</v>
          </cell>
          <cell r="C201" t="str">
            <v>Past</v>
          </cell>
          <cell r="D201">
            <v>34.299999999999997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34.299999999999997</v>
          </cell>
          <cell r="Q201">
            <v>1.953468</v>
          </cell>
          <cell r="R201" t="e">
            <v>#N/A</v>
          </cell>
        </row>
        <row r="202">
          <cell r="A202">
            <v>40247</v>
          </cell>
          <cell r="B202">
            <v>40247</v>
          </cell>
          <cell r="C202" t="str">
            <v>Past</v>
          </cell>
          <cell r="D202">
            <v>34.18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34.18</v>
          </cell>
          <cell r="Q202">
            <v>1.6095189999999999</v>
          </cell>
          <cell r="R202" t="e">
            <v>#N/A</v>
          </cell>
        </row>
        <row r="203">
          <cell r="A203">
            <v>40248</v>
          </cell>
          <cell r="B203">
            <v>40248</v>
          </cell>
          <cell r="C203" t="str">
            <v>Past</v>
          </cell>
          <cell r="D203">
            <v>33.9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33.9</v>
          </cell>
          <cell r="Q203">
            <v>1.4952529999999999</v>
          </cell>
          <cell r="R203" t="e">
            <v>#N/A</v>
          </cell>
        </row>
        <row r="204">
          <cell r="A204">
            <v>40249</v>
          </cell>
          <cell r="B204">
            <v>40249</v>
          </cell>
          <cell r="C204" t="str">
            <v>Past</v>
          </cell>
          <cell r="D204">
            <v>34.21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34.21</v>
          </cell>
          <cell r="Q204">
            <v>1.677681</v>
          </cell>
          <cell r="R204" t="e">
            <v>#N/A</v>
          </cell>
        </row>
        <row r="205">
          <cell r="A205">
            <v>40252</v>
          </cell>
          <cell r="B205">
            <v>40252</v>
          </cell>
          <cell r="C205" t="str">
            <v>Past</v>
          </cell>
          <cell r="D205">
            <v>33.69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33.69</v>
          </cell>
          <cell r="Q205">
            <v>1.9016149999999998</v>
          </cell>
          <cell r="R205" t="e">
            <v>#N/A</v>
          </cell>
        </row>
        <row r="206">
          <cell r="A206">
            <v>40253</v>
          </cell>
          <cell r="B206">
            <v>40253</v>
          </cell>
          <cell r="C206" t="str">
            <v>Past</v>
          </cell>
          <cell r="D206">
            <v>33.520000000000003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33.520000000000003</v>
          </cell>
          <cell r="Q206">
            <v>2.6444920000000001</v>
          </cell>
          <cell r="R206" t="e">
            <v>#N/A</v>
          </cell>
        </row>
        <row r="207">
          <cell r="A207">
            <v>40254</v>
          </cell>
          <cell r="B207">
            <v>40254</v>
          </cell>
          <cell r="C207" t="str">
            <v>Past</v>
          </cell>
          <cell r="D207">
            <v>34.130000000000003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34.130000000000003</v>
          </cell>
          <cell r="Q207">
            <v>2.1383169999999998</v>
          </cell>
          <cell r="R207" t="e">
            <v>#N/A</v>
          </cell>
        </row>
        <row r="208">
          <cell r="A208">
            <v>40255</v>
          </cell>
          <cell r="B208">
            <v>40255</v>
          </cell>
          <cell r="C208" t="str">
            <v>Past</v>
          </cell>
          <cell r="D208">
            <v>33.97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33.97</v>
          </cell>
          <cell r="Q208">
            <v>1.7557400000000001</v>
          </cell>
          <cell r="R208" t="e">
            <v>#N/A</v>
          </cell>
        </row>
        <row r="209">
          <cell r="A209">
            <v>40256</v>
          </cell>
          <cell r="B209">
            <v>40256</v>
          </cell>
          <cell r="C209" t="str">
            <v>Past</v>
          </cell>
          <cell r="D209">
            <v>33.69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33.69</v>
          </cell>
          <cell r="Q209">
            <v>2.3999669999999997</v>
          </cell>
          <cell r="R209" t="e">
            <v>#N/A</v>
          </cell>
        </row>
        <row r="210">
          <cell r="A210">
            <v>40259</v>
          </cell>
          <cell r="B210">
            <v>40259</v>
          </cell>
          <cell r="C210" t="str">
            <v>Past</v>
          </cell>
          <cell r="D210">
            <v>33.43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33.43</v>
          </cell>
          <cell r="Q210">
            <v>1.851874</v>
          </cell>
          <cell r="R210" t="e">
            <v>#N/A</v>
          </cell>
        </row>
        <row r="211">
          <cell r="A211">
            <v>40260</v>
          </cell>
          <cell r="B211">
            <v>40260</v>
          </cell>
          <cell r="C211" t="str">
            <v>Past</v>
          </cell>
          <cell r="D211">
            <v>33.25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33.25</v>
          </cell>
          <cell r="Q211">
            <v>1.9508219999999998</v>
          </cell>
          <cell r="R211" t="e">
            <v>#N/A</v>
          </cell>
        </row>
        <row r="212">
          <cell r="A212">
            <v>40261</v>
          </cell>
          <cell r="B212">
            <v>40261</v>
          </cell>
          <cell r="C212" t="str">
            <v>Past</v>
          </cell>
          <cell r="D212">
            <v>33.340000000000003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33.340000000000003</v>
          </cell>
          <cell r="Q212">
            <v>1.2856369999999999</v>
          </cell>
          <cell r="R212" t="e">
            <v>#N/A</v>
          </cell>
        </row>
        <row r="213">
          <cell r="A213">
            <v>40262</v>
          </cell>
          <cell r="B213">
            <v>40262</v>
          </cell>
          <cell r="C213" t="str">
            <v>Past</v>
          </cell>
          <cell r="D213">
            <v>32.82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32.82</v>
          </cell>
          <cell r="Q213">
            <v>1.9218179999999998</v>
          </cell>
          <cell r="R213" t="e">
            <v>#N/A</v>
          </cell>
        </row>
        <row r="214">
          <cell r="A214">
            <v>40263</v>
          </cell>
          <cell r="B214">
            <v>40263</v>
          </cell>
          <cell r="C214" t="str">
            <v>Past</v>
          </cell>
          <cell r="D214">
            <v>32.94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32.94</v>
          </cell>
          <cell r="Q214">
            <v>4.373272</v>
          </cell>
          <cell r="R214" t="e">
            <v>#N/A</v>
          </cell>
        </row>
        <row r="215">
          <cell r="A215">
            <v>40266</v>
          </cell>
          <cell r="B215">
            <v>40266</v>
          </cell>
          <cell r="C215" t="str">
            <v>Past</v>
          </cell>
          <cell r="D215">
            <v>33.299999999999997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33.299999999999997</v>
          </cell>
          <cell r="Q215">
            <v>1.800719</v>
          </cell>
          <cell r="R215" t="e">
            <v>#N/A</v>
          </cell>
        </row>
        <row r="216">
          <cell r="A216">
            <v>40267</v>
          </cell>
          <cell r="B216">
            <v>40267</v>
          </cell>
          <cell r="C216" t="str">
            <v>Past</v>
          </cell>
          <cell r="D216">
            <v>33.22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33.22</v>
          </cell>
          <cell r="Q216">
            <v>2.182121</v>
          </cell>
          <cell r="R216" t="e">
            <v>#N/A</v>
          </cell>
        </row>
        <row r="217">
          <cell r="A217">
            <v>40268</v>
          </cell>
          <cell r="B217">
            <v>40268</v>
          </cell>
          <cell r="C217" t="str">
            <v>Past</v>
          </cell>
          <cell r="D217">
            <v>32.82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32.82</v>
          </cell>
          <cell r="Q217">
            <v>1.7491439999999998</v>
          </cell>
          <cell r="R217" t="e">
            <v>#N/A</v>
          </cell>
        </row>
        <row r="218">
          <cell r="A218">
            <v>40269</v>
          </cell>
          <cell r="B218">
            <v>40269</v>
          </cell>
          <cell r="C218" t="str">
            <v>Past</v>
          </cell>
          <cell r="D218">
            <v>33.78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33.78</v>
          </cell>
          <cell r="Q218">
            <v>8.7523999999999997</v>
          </cell>
          <cell r="R218" t="e">
            <v>#N/A</v>
          </cell>
        </row>
        <row r="219">
          <cell r="A219">
            <v>40270</v>
          </cell>
          <cell r="B219">
            <v>40270</v>
          </cell>
          <cell r="C219" t="str">
            <v>Past</v>
          </cell>
          <cell r="D219">
            <v>33.78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33.78</v>
          </cell>
          <cell r="Q219">
            <v>0</v>
          </cell>
          <cell r="R219" t="e">
            <v>#N/A</v>
          </cell>
        </row>
        <row r="220">
          <cell r="A220">
            <v>40273</v>
          </cell>
          <cell r="B220">
            <v>40273</v>
          </cell>
          <cell r="C220" t="str">
            <v>Past</v>
          </cell>
          <cell r="D220">
            <v>33.78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33.78</v>
          </cell>
          <cell r="Q220">
            <v>0</v>
          </cell>
          <cell r="R220" t="e">
            <v>#N/A</v>
          </cell>
        </row>
        <row r="221">
          <cell r="A221">
            <v>40274</v>
          </cell>
          <cell r="B221">
            <v>40274</v>
          </cell>
          <cell r="C221" t="str">
            <v>Past</v>
          </cell>
          <cell r="D221">
            <v>34.880000000000003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34.880000000000003</v>
          </cell>
          <cell r="Q221">
            <v>4.8649889999999996</v>
          </cell>
          <cell r="R221" t="e">
            <v>#N/A</v>
          </cell>
        </row>
        <row r="222">
          <cell r="A222">
            <v>40275</v>
          </cell>
          <cell r="B222">
            <v>40275</v>
          </cell>
          <cell r="C222" t="str">
            <v>Past</v>
          </cell>
          <cell r="D222">
            <v>35.270000000000003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35.270000000000003</v>
          </cell>
          <cell r="Q222">
            <v>3.3520129999999999</v>
          </cell>
          <cell r="R222" t="e">
            <v>#N/A</v>
          </cell>
        </row>
        <row r="223">
          <cell r="A223">
            <v>40276</v>
          </cell>
          <cell r="B223">
            <v>40276</v>
          </cell>
          <cell r="C223" t="str">
            <v>Past</v>
          </cell>
          <cell r="D223">
            <v>35.5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35.5</v>
          </cell>
          <cell r="Q223">
            <v>3.1546779999999996</v>
          </cell>
          <cell r="R223" t="e">
            <v>#N/A</v>
          </cell>
        </row>
        <row r="224">
          <cell r="A224">
            <v>40277</v>
          </cell>
          <cell r="B224">
            <v>40277</v>
          </cell>
          <cell r="C224" t="str">
            <v>Past</v>
          </cell>
          <cell r="D224">
            <v>35.630000000000003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35.630000000000003</v>
          </cell>
          <cell r="Q224">
            <v>2.2009430000000001</v>
          </cell>
          <cell r="R224" t="e">
            <v>#N/A</v>
          </cell>
        </row>
        <row r="225">
          <cell r="A225">
            <v>40280</v>
          </cell>
          <cell r="B225">
            <v>40280</v>
          </cell>
          <cell r="C225" t="str">
            <v>Past</v>
          </cell>
          <cell r="D225">
            <v>34.93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34.93</v>
          </cell>
          <cell r="Q225">
            <v>2.8189859999999998</v>
          </cell>
          <cell r="R225" t="e">
            <v>#N/A</v>
          </cell>
        </row>
        <row r="226">
          <cell r="A226">
            <v>40281</v>
          </cell>
          <cell r="B226">
            <v>40281</v>
          </cell>
          <cell r="C226" t="str">
            <v>Past</v>
          </cell>
          <cell r="D226">
            <v>34.409999999999997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34.409999999999997</v>
          </cell>
          <cell r="Q226">
            <v>4.5428639999999998</v>
          </cell>
          <cell r="R226" t="e">
            <v>#N/A</v>
          </cell>
        </row>
        <row r="227">
          <cell r="A227">
            <v>40282</v>
          </cell>
          <cell r="B227">
            <v>40282</v>
          </cell>
          <cell r="C227" t="str">
            <v>Past</v>
          </cell>
          <cell r="D227">
            <v>34.229999999999997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34.229999999999997</v>
          </cell>
          <cell r="Q227">
            <v>2.0701839999999998</v>
          </cell>
          <cell r="R227" t="e">
            <v>#N/A</v>
          </cell>
        </row>
        <row r="228">
          <cell r="A228">
            <v>40283</v>
          </cell>
          <cell r="B228">
            <v>40283</v>
          </cell>
          <cell r="C228" t="str">
            <v>Past</v>
          </cell>
          <cell r="D228">
            <v>34.15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34.15</v>
          </cell>
          <cell r="Q228">
            <v>2.1270579999999999</v>
          </cell>
          <cell r="R228" t="e">
            <v>#N/A</v>
          </cell>
        </row>
        <row r="229">
          <cell r="A229">
            <v>40284</v>
          </cell>
          <cell r="B229">
            <v>40284</v>
          </cell>
          <cell r="C229" t="str">
            <v>Past</v>
          </cell>
          <cell r="D229">
            <v>34.61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34.61</v>
          </cell>
          <cell r="Q229">
            <v>4.4025910000000001</v>
          </cell>
          <cell r="R229" t="e">
            <v>#N/A</v>
          </cell>
        </row>
        <row r="230">
          <cell r="A230">
            <v>40287</v>
          </cell>
          <cell r="B230">
            <v>40287</v>
          </cell>
          <cell r="C230" t="str">
            <v>Past</v>
          </cell>
          <cell r="D230">
            <v>34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34</v>
          </cell>
          <cell r="Q230">
            <v>1.5655619999999999</v>
          </cell>
          <cell r="R230" t="e">
            <v>#N/A</v>
          </cell>
        </row>
        <row r="231">
          <cell r="A231">
            <v>40288</v>
          </cell>
          <cell r="B231">
            <v>40288</v>
          </cell>
          <cell r="C231" t="str">
            <v>Past</v>
          </cell>
          <cell r="D231">
            <v>33.729999999999997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33.729999999999997</v>
          </cell>
          <cell r="Q231">
            <v>2.170941</v>
          </cell>
          <cell r="R231" t="e">
            <v>#N/A</v>
          </cell>
        </row>
        <row r="232">
          <cell r="A232">
            <v>40289</v>
          </cell>
          <cell r="B232">
            <v>40289</v>
          </cell>
          <cell r="C232" t="str">
            <v>Past</v>
          </cell>
          <cell r="D232">
            <v>33.97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33.97</v>
          </cell>
          <cell r="Q232">
            <v>2.5147439999999999</v>
          </cell>
          <cell r="R232" t="e">
            <v>#N/A</v>
          </cell>
        </row>
        <row r="233">
          <cell r="A233">
            <v>40290</v>
          </cell>
          <cell r="B233">
            <v>40290</v>
          </cell>
          <cell r="C233" t="str">
            <v>Past</v>
          </cell>
          <cell r="D233">
            <v>33.880000000000003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33.880000000000003</v>
          </cell>
          <cell r="Q233">
            <v>0.99215500000000001</v>
          </cell>
          <cell r="R233" t="e">
            <v>#N/A</v>
          </cell>
        </row>
        <row r="234">
          <cell r="A234">
            <v>40291</v>
          </cell>
          <cell r="B234">
            <v>40291</v>
          </cell>
          <cell r="C234" t="str">
            <v>Past</v>
          </cell>
          <cell r="D234">
            <v>34.200000000000003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34.200000000000003</v>
          </cell>
          <cell r="Q234">
            <v>2.413376</v>
          </cell>
          <cell r="R234" t="e">
            <v>#N/A</v>
          </cell>
        </row>
        <row r="235">
          <cell r="A235">
            <v>40294</v>
          </cell>
          <cell r="B235">
            <v>40294</v>
          </cell>
          <cell r="C235" t="str">
            <v>Past</v>
          </cell>
          <cell r="D235">
            <v>34.200000000000003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34.200000000000003</v>
          </cell>
          <cell r="Q235">
            <v>0</v>
          </cell>
          <cell r="R235" t="e">
            <v>#N/A</v>
          </cell>
        </row>
        <row r="236">
          <cell r="A236">
            <v>40295</v>
          </cell>
          <cell r="B236">
            <v>40295</v>
          </cell>
          <cell r="C236" t="str">
            <v>Past</v>
          </cell>
          <cell r="D236">
            <v>34.520000000000003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34.520000000000003</v>
          </cell>
          <cell r="Q236">
            <v>2.3121119999999999</v>
          </cell>
          <cell r="R236" t="e">
            <v>#N/A</v>
          </cell>
        </row>
        <row r="237">
          <cell r="A237">
            <v>40296</v>
          </cell>
          <cell r="B237">
            <v>40296</v>
          </cell>
          <cell r="C237" t="str">
            <v>Past</v>
          </cell>
          <cell r="D237">
            <v>34.229999999999997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34.229999999999997</v>
          </cell>
          <cell r="Q237">
            <v>2.407797</v>
          </cell>
          <cell r="R237" t="e">
            <v>#N/A</v>
          </cell>
        </row>
        <row r="238">
          <cell r="A238">
            <v>40297</v>
          </cell>
          <cell r="B238">
            <v>40297</v>
          </cell>
          <cell r="C238" t="str">
            <v>Past</v>
          </cell>
          <cell r="D238">
            <v>33.619999999999997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33.619999999999997</v>
          </cell>
          <cell r="Q238">
            <v>3.0525569999999997</v>
          </cell>
          <cell r="R238" t="e">
            <v>#N/A</v>
          </cell>
        </row>
        <row r="239">
          <cell r="A239">
            <v>40298</v>
          </cell>
          <cell r="B239">
            <v>40298</v>
          </cell>
          <cell r="C239" t="str">
            <v>Past</v>
          </cell>
          <cell r="D239">
            <v>33.090000000000003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33.090000000000003</v>
          </cell>
          <cell r="Q239">
            <v>5.7915219999999996</v>
          </cell>
          <cell r="R239" t="e">
            <v>#N/A</v>
          </cell>
        </row>
        <row r="240">
          <cell r="A240">
            <v>40301</v>
          </cell>
          <cell r="B240">
            <v>40301</v>
          </cell>
          <cell r="C240" t="str">
            <v>Past</v>
          </cell>
          <cell r="D240">
            <v>32.06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32.06</v>
          </cell>
          <cell r="Q240">
            <v>5.3493500000000003</v>
          </cell>
          <cell r="R240" t="e">
            <v>#N/A</v>
          </cell>
        </row>
        <row r="241">
          <cell r="A241">
            <v>40302</v>
          </cell>
          <cell r="B241">
            <v>40302</v>
          </cell>
          <cell r="C241" t="str">
            <v>Past</v>
          </cell>
          <cell r="D241">
            <v>30.69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30.69</v>
          </cell>
          <cell r="Q241">
            <v>11.27031</v>
          </cell>
          <cell r="R241" t="e">
            <v>#N/A</v>
          </cell>
        </row>
        <row r="242">
          <cell r="A242">
            <v>40303</v>
          </cell>
          <cell r="B242">
            <v>40303</v>
          </cell>
          <cell r="C242" t="str">
            <v>Past</v>
          </cell>
          <cell r="D242">
            <v>30.38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30.38</v>
          </cell>
          <cell r="Q242">
            <v>9.7288870000000003</v>
          </cell>
          <cell r="R242" t="e">
            <v>#N/A</v>
          </cell>
        </row>
        <row r="243">
          <cell r="A243">
            <v>40304</v>
          </cell>
          <cell r="B243">
            <v>40304</v>
          </cell>
          <cell r="C243" t="str">
            <v>Past</v>
          </cell>
          <cell r="D243">
            <v>31.02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31.02</v>
          </cell>
          <cell r="Q243">
            <v>4.735633</v>
          </cell>
          <cell r="R243" t="e">
            <v>#N/A</v>
          </cell>
        </row>
        <row r="244">
          <cell r="A244">
            <v>40305</v>
          </cell>
          <cell r="B244">
            <v>40305</v>
          </cell>
          <cell r="C244" t="str">
            <v>Past</v>
          </cell>
          <cell r="D244">
            <v>31.49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31.49</v>
          </cell>
          <cell r="Q244">
            <v>6.9108839999999994</v>
          </cell>
          <cell r="R244" t="e">
            <v>#N/A</v>
          </cell>
        </row>
        <row r="245">
          <cell r="A245">
            <v>40308</v>
          </cell>
          <cell r="B245">
            <v>40308</v>
          </cell>
          <cell r="C245" t="str">
            <v>Past</v>
          </cell>
          <cell r="D245">
            <v>31.64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31.64</v>
          </cell>
          <cell r="Q245">
            <v>2.6770119999999999</v>
          </cell>
          <cell r="R245" t="e">
            <v>#N/A</v>
          </cell>
        </row>
        <row r="246">
          <cell r="A246">
            <v>40309</v>
          </cell>
          <cell r="B246">
            <v>40309</v>
          </cell>
          <cell r="C246" t="str">
            <v>Past</v>
          </cell>
          <cell r="D246">
            <v>31.41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31.41</v>
          </cell>
          <cell r="Q246">
            <v>4.1743000000000006</v>
          </cell>
          <cell r="R246" t="e">
            <v>#N/A</v>
          </cell>
        </row>
        <row r="247">
          <cell r="A247">
            <v>40310</v>
          </cell>
          <cell r="B247">
            <v>40310</v>
          </cell>
          <cell r="C247" t="str">
            <v>Past</v>
          </cell>
          <cell r="D247">
            <v>32.619999999999997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32.619999999999997</v>
          </cell>
          <cell r="Q247">
            <v>6.7448800000000002</v>
          </cell>
          <cell r="R247" t="e">
            <v>#N/A</v>
          </cell>
        </row>
        <row r="248">
          <cell r="A248">
            <v>40311</v>
          </cell>
          <cell r="B248">
            <v>40311</v>
          </cell>
          <cell r="C248" t="str">
            <v>Past</v>
          </cell>
          <cell r="D248">
            <v>33.35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33.35</v>
          </cell>
          <cell r="Q248">
            <v>4.4289879999999995</v>
          </cell>
          <cell r="R248" t="e">
            <v>#N/A</v>
          </cell>
        </row>
        <row r="249">
          <cell r="A249">
            <v>40312</v>
          </cell>
          <cell r="B249">
            <v>40312</v>
          </cell>
          <cell r="C249" t="str">
            <v>Past</v>
          </cell>
          <cell r="D249">
            <v>33.36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33.36</v>
          </cell>
          <cell r="Q249">
            <v>3.481795</v>
          </cell>
          <cell r="R249" t="e">
            <v>#N/A</v>
          </cell>
        </row>
        <row r="250">
          <cell r="A250">
            <v>40315</v>
          </cell>
          <cell r="B250">
            <v>40315</v>
          </cell>
          <cell r="C250" t="str">
            <v>Past</v>
          </cell>
          <cell r="D250">
            <v>33.549999999999997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33.549999999999997</v>
          </cell>
          <cell r="Q250">
            <v>4.5558420000000002</v>
          </cell>
          <cell r="R250" t="e">
            <v>#N/A</v>
          </cell>
        </row>
        <row r="251">
          <cell r="A251">
            <v>40316</v>
          </cell>
          <cell r="B251">
            <v>40316</v>
          </cell>
          <cell r="C251" t="str">
            <v>Past</v>
          </cell>
          <cell r="D251">
            <v>33.25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33.25</v>
          </cell>
          <cell r="Q251">
            <v>4.8694379999999997</v>
          </cell>
          <cell r="R251" t="e">
            <v>#N/A</v>
          </cell>
        </row>
        <row r="252">
          <cell r="A252">
            <v>40317</v>
          </cell>
          <cell r="B252">
            <v>40317</v>
          </cell>
          <cell r="C252" t="str">
            <v>Past</v>
          </cell>
          <cell r="D252">
            <v>32.6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32.6</v>
          </cell>
          <cell r="Q252">
            <v>4.4370459999999996</v>
          </cell>
          <cell r="R252" t="e">
            <v>#N/A</v>
          </cell>
        </row>
        <row r="253">
          <cell r="A253">
            <v>40318</v>
          </cell>
          <cell r="B253">
            <v>40318</v>
          </cell>
          <cell r="C253" t="str">
            <v>Past</v>
          </cell>
          <cell r="D253">
            <v>31.68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31.68</v>
          </cell>
          <cell r="Q253">
            <v>4.7630029999999994</v>
          </cell>
          <cell r="R253" t="e">
            <v>#N/A</v>
          </cell>
        </row>
        <row r="254">
          <cell r="A254">
            <v>40319</v>
          </cell>
          <cell r="B254">
            <v>40319</v>
          </cell>
          <cell r="C254" t="str">
            <v>Past</v>
          </cell>
          <cell r="D254">
            <v>30.75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30.75</v>
          </cell>
          <cell r="Q254">
            <v>9.134093</v>
          </cell>
          <cell r="R254" t="e">
            <v>#N/A</v>
          </cell>
        </row>
        <row r="255">
          <cell r="A255">
            <v>40322</v>
          </cell>
          <cell r="B255">
            <v>40322</v>
          </cell>
          <cell r="C255" t="str">
            <v>Past</v>
          </cell>
          <cell r="D255">
            <v>31.43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31.43</v>
          </cell>
          <cell r="Q255">
            <v>3.4880300000000002</v>
          </cell>
          <cell r="R255" t="e">
            <v>#N/A</v>
          </cell>
        </row>
        <row r="256">
          <cell r="A256">
            <v>40323</v>
          </cell>
          <cell r="B256">
            <v>40323</v>
          </cell>
          <cell r="C256" t="str">
            <v>Past</v>
          </cell>
          <cell r="D256">
            <v>30.99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30.99</v>
          </cell>
          <cell r="Q256">
            <v>4.4002549999999996</v>
          </cell>
          <cell r="R256" t="e">
            <v>#N/A</v>
          </cell>
        </row>
        <row r="257">
          <cell r="A257">
            <v>40324</v>
          </cell>
          <cell r="B257">
            <v>40324</v>
          </cell>
          <cell r="C257" t="str">
            <v>Past</v>
          </cell>
          <cell r="D257">
            <v>31.85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31.85</v>
          </cell>
          <cell r="Q257">
            <v>5.9194789999999999</v>
          </cell>
          <cell r="R257" t="e">
            <v>#N/A</v>
          </cell>
        </row>
        <row r="258">
          <cell r="A258">
            <v>40325</v>
          </cell>
          <cell r="B258">
            <v>40325</v>
          </cell>
          <cell r="C258" t="str">
            <v>Past</v>
          </cell>
          <cell r="D258">
            <v>32.39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32.39</v>
          </cell>
          <cell r="Q258">
            <v>5.2323000000000004</v>
          </cell>
          <cell r="R258" t="e">
            <v>#N/A</v>
          </cell>
        </row>
        <row r="259">
          <cell r="A259">
            <v>40326</v>
          </cell>
          <cell r="B259">
            <v>40326</v>
          </cell>
          <cell r="C259" t="str">
            <v>Past</v>
          </cell>
          <cell r="D259">
            <v>32.04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32.04</v>
          </cell>
          <cell r="Q259">
            <v>7.5028569999999997</v>
          </cell>
          <cell r="R259" t="e">
            <v>#N/A</v>
          </cell>
        </row>
        <row r="260">
          <cell r="A260">
            <v>40329</v>
          </cell>
          <cell r="B260">
            <v>40329</v>
          </cell>
          <cell r="C260" t="str">
            <v>Past</v>
          </cell>
          <cell r="D260">
            <v>32.119999999999997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32.119999999999997</v>
          </cell>
          <cell r="Q260">
            <v>2.3282249999999998</v>
          </cell>
          <cell r="R260" t="e">
            <v>#N/A</v>
          </cell>
        </row>
        <row r="261">
          <cell r="A261">
            <v>40330</v>
          </cell>
          <cell r="B261">
            <v>40330</v>
          </cell>
          <cell r="C261" t="str">
            <v>Past</v>
          </cell>
          <cell r="D261">
            <v>32.4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32.4</v>
          </cell>
          <cell r="Q261">
            <v>6.3402430000000001</v>
          </cell>
          <cell r="R261" t="e">
            <v>#N/A</v>
          </cell>
        </row>
        <row r="262">
          <cell r="A262">
            <v>40331</v>
          </cell>
          <cell r="B262">
            <v>40331</v>
          </cell>
          <cell r="C262" t="str">
            <v>Past</v>
          </cell>
          <cell r="D262">
            <v>32.020000000000003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32.020000000000003</v>
          </cell>
          <cell r="Q262">
            <v>2.3323779999999998</v>
          </cell>
          <cell r="R262" t="e">
            <v>#N/A</v>
          </cell>
        </row>
        <row r="263">
          <cell r="A263">
            <v>40332</v>
          </cell>
          <cell r="B263">
            <v>40332</v>
          </cell>
          <cell r="C263" t="str">
            <v>Past</v>
          </cell>
          <cell r="D263">
            <v>32.5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32.5</v>
          </cell>
          <cell r="Q263">
            <v>3.5780000000000003</v>
          </cell>
          <cell r="R263" t="e">
            <v>#N/A</v>
          </cell>
        </row>
        <row r="264">
          <cell r="A264">
            <v>40333</v>
          </cell>
          <cell r="B264">
            <v>40333</v>
          </cell>
          <cell r="C264" t="str">
            <v>Past</v>
          </cell>
          <cell r="D264">
            <v>32.409999999999997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32.409999999999997</v>
          </cell>
          <cell r="Q264">
            <v>1.8370369999999998</v>
          </cell>
          <cell r="R264" t="e">
            <v>#N/A</v>
          </cell>
        </row>
        <row r="265">
          <cell r="A265">
            <v>40336</v>
          </cell>
          <cell r="B265">
            <v>40336</v>
          </cell>
          <cell r="C265" t="str">
            <v>Past</v>
          </cell>
          <cell r="D265">
            <v>32.25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32.25</v>
          </cell>
          <cell r="Q265">
            <v>3.7343219999999997</v>
          </cell>
          <cell r="R265" t="e">
            <v>#N/A</v>
          </cell>
        </row>
        <row r="266">
          <cell r="A266">
            <v>40337</v>
          </cell>
          <cell r="B266">
            <v>40337</v>
          </cell>
          <cell r="C266" t="str">
            <v>Past</v>
          </cell>
          <cell r="D266">
            <v>33.19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33.19</v>
          </cell>
          <cell r="Q266">
            <v>4.1653169999999999</v>
          </cell>
          <cell r="R266" t="e">
            <v>#N/A</v>
          </cell>
        </row>
        <row r="267">
          <cell r="A267">
            <v>40338</v>
          </cell>
          <cell r="B267">
            <v>40338</v>
          </cell>
          <cell r="C267" t="str">
            <v>Past</v>
          </cell>
          <cell r="D267">
            <v>33.5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33.5</v>
          </cell>
          <cell r="Q267">
            <v>2.8902969999999999</v>
          </cell>
          <cell r="R267" t="e">
            <v>#N/A</v>
          </cell>
        </row>
        <row r="268">
          <cell r="A268">
            <v>40339</v>
          </cell>
          <cell r="B268">
            <v>40339</v>
          </cell>
          <cell r="C268" t="str">
            <v>Past</v>
          </cell>
          <cell r="D268">
            <v>33.86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33.86</v>
          </cell>
          <cell r="Q268">
            <v>4.3876279999999994</v>
          </cell>
          <cell r="R268" t="e">
            <v>#N/A</v>
          </cell>
        </row>
        <row r="269">
          <cell r="A269">
            <v>40340</v>
          </cell>
          <cell r="B269">
            <v>40340</v>
          </cell>
          <cell r="C269" t="str">
            <v>Past</v>
          </cell>
          <cell r="D269">
            <v>34.35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34.35</v>
          </cell>
          <cell r="Q269">
            <v>4.1200229999999998</v>
          </cell>
          <cell r="R269" t="e">
            <v>#N/A</v>
          </cell>
        </row>
        <row r="270">
          <cell r="A270">
            <v>40343</v>
          </cell>
          <cell r="B270">
            <v>40343</v>
          </cell>
          <cell r="C270" t="str">
            <v>Past</v>
          </cell>
          <cell r="D270">
            <v>34.35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34.35</v>
          </cell>
          <cell r="Q270">
            <v>0</v>
          </cell>
          <cell r="R270" t="e">
            <v>#N/A</v>
          </cell>
        </row>
        <row r="271">
          <cell r="A271">
            <v>40344</v>
          </cell>
          <cell r="B271">
            <v>40344</v>
          </cell>
          <cell r="C271" t="str">
            <v>Past</v>
          </cell>
          <cell r="D271">
            <v>34.22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34.22</v>
          </cell>
          <cell r="Q271">
            <v>2.5770339999999998</v>
          </cell>
          <cell r="R271" t="e">
            <v>#N/A</v>
          </cell>
        </row>
        <row r="272">
          <cell r="A272">
            <v>40345</v>
          </cell>
          <cell r="B272">
            <v>40345</v>
          </cell>
          <cell r="C272" t="str">
            <v>Past</v>
          </cell>
          <cell r="D272">
            <v>34.159999999999997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34.159999999999997</v>
          </cell>
          <cell r="Q272">
            <v>2.4544489999999999</v>
          </cell>
          <cell r="R272" t="e">
            <v>#N/A</v>
          </cell>
        </row>
        <row r="273">
          <cell r="A273">
            <v>40346</v>
          </cell>
          <cell r="B273">
            <v>40346</v>
          </cell>
          <cell r="C273" t="str">
            <v>Past</v>
          </cell>
          <cell r="D273">
            <v>34.64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34.64</v>
          </cell>
          <cell r="Q273">
            <v>3.3301000000000003</v>
          </cell>
          <cell r="R273" t="e">
            <v>#N/A</v>
          </cell>
        </row>
        <row r="274">
          <cell r="A274">
            <v>40347</v>
          </cell>
          <cell r="B274">
            <v>40347</v>
          </cell>
          <cell r="C274" t="str">
            <v>Past</v>
          </cell>
          <cell r="D274">
            <v>35.24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35.24</v>
          </cell>
          <cell r="Q274">
            <v>3.2217639999999999</v>
          </cell>
          <cell r="R274" t="e">
            <v>#N/A</v>
          </cell>
        </row>
        <row r="275">
          <cell r="A275">
            <v>40350</v>
          </cell>
          <cell r="B275">
            <v>40350</v>
          </cell>
          <cell r="C275" t="str">
            <v>Past</v>
          </cell>
          <cell r="D275">
            <v>35.74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35.74</v>
          </cell>
          <cell r="Q275">
            <v>4.014513</v>
          </cell>
          <cell r="R275" t="e">
            <v>#N/A</v>
          </cell>
        </row>
        <row r="276">
          <cell r="A276">
            <v>40351</v>
          </cell>
          <cell r="B276">
            <v>40351</v>
          </cell>
          <cell r="C276" t="str">
            <v>Past</v>
          </cell>
          <cell r="D276">
            <v>35.090000000000003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35.090000000000003</v>
          </cell>
          <cell r="Q276">
            <v>3.5907519999999997</v>
          </cell>
          <cell r="R276" t="e">
            <v>#N/A</v>
          </cell>
        </row>
        <row r="277">
          <cell r="A277">
            <v>40352</v>
          </cell>
          <cell r="B277">
            <v>40352</v>
          </cell>
          <cell r="C277" t="str">
            <v>Past</v>
          </cell>
          <cell r="D277">
            <v>35.380000000000003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35.380000000000003</v>
          </cell>
          <cell r="Q277">
            <v>4.356039</v>
          </cell>
          <cell r="R277" t="e">
            <v>#N/A</v>
          </cell>
        </row>
        <row r="278">
          <cell r="A278">
            <v>40353</v>
          </cell>
          <cell r="B278">
            <v>40353</v>
          </cell>
          <cell r="C278" t="str">
            <v>Past</v>
          </cell>
          <cell r="D278">
            <v>35.65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35.65</v>
          </cell>
          <cell r="Q278">
            <v>4.1859320000000002</v>
          </cell>
          <cell r="R278" t="e">
            <v>#N/A</v>
          </cell>
        </row>
        <row r="279">
          <cell r="A279">
            <v>40354</v>
          </cell>
          <cell r="B279">
            <v>40354</v>
          </cell>
          <cell r="C279" t="str">
            <v>Past</v>
          </cell>
          <cell r="D279">
            <v>36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36</v>
          </cell>
          <cell r="Q279">
            <v>9.6046949999999995</v>
          </cell>
          <cell r="R279" t="e">
            <v>#N/A</v>
          </cell>
        </row>
        <row r="280">
          <cell r="A280">
            <v>40357</v>
          </cell>
          <cell r="B280">
            <v>40357</v>
          </cell>
          <cell r="C280" t="str">
            <v>Past</v>
          </cell>
          <cell r="D280">
            <v>35.92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35.92</v>
          </cell>
          <cell r="Q280">
            <v>2.3134509999999997</v>
          </cell>
          <cell r="R280" t="e">
            <v>#N/A</v>
          </cell>
        </row>
        <row r="281">
          <cell r="A281">
            <v>40358</v>
          </cell>
          <cell r="B281">
            <v>40358</v>
          </cell>
          <cell r="C281" t="str">
            <v>Past</v>
          </cell>
          <cell r="D281">
            <v>35.29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35.29</v>
          </cell>
          <cell r="Q281">
            <v>2.8059879999999997</v>
          </cell>
          <cell r="R281" t="e">
            <v>#N/A</v>
          </cell>
        </row>
        <row r="282">
          <cell r="A282">
            <v>40359</v>
          </cell>
          <cell r="B282">
            <v>40359</v>
          </cell>
          <cell r="C282" t="str">
            <v>Past</v>
          </cell>
          <cell r="D282">
            <v>35.1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35.1</v>
          </cell>
          <cell r="Q282">
            <v>2.8466529999999999</v>
          </cell>
          <cell r="R282" t="e">
            <v>#N/A</v>
          </cell>
        </row>
        <row r="283">
          <cell r="A283">
            <v>40360</v>
          </cell>
          <cell r="B283">
            <v>40360</v>
          </cell>
          <cell r="C283" t="str">
            <v>Past</v>
          </cell>
          <cell r="D283">
            <v>35.369999999999997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35.369999999999997</v>
          </cell>
          <cell r="Q283">
            <v>3.900487</v>
          </cell>
          <cell r="R283" t="e">
            <v>#N/A</v>
          </cell>
        </row>
        <row r="284">
          <cell r="A284">
            <v>40361</v>
          </cell>
          <cell r="B284">
            <v>40361</v>
          </cell>
          <cell r="C284" t="str">
            <v>Past</v>
          </cell>
          <cell r="D284">
            <v>34.24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34.24</v>
          </cell>
          <cell r="Q284">
            <v>4.0010829999999995</v>
          </cell>
          <cell r="R284" t="e">
            <v>#N/A</v>
          </cell>
        </row>
        <row r="285">
          <cell r="A285">
            <v>40364</v>
          </cell>
          <cell r="B285">
            <v>40364</v>
          </cell>
          <cell r="C285" t="str">
            <v>Past</v>
          </cell>
          <cell r="D285">
            <v>34.340000000000003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34.340000000000003</v>
          </cell>
          <cell r="Q285">
            <v>1.9047529999999999</v>
          </cell>
          <cell r="R285" t="e">
            <v>#N/A</v>
          </cell>
        </row>
        <row r="286">
          <cell r="A286">
            <v>40365</v>
          </cell>
          <cell r="B286">
            <v>40365</v>
          </cell>
          <cell r="C286" t="str">
            <v>Past</v>
          </cell>
          <cell r="D286">
            <v>34.159999999999997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34.159999999999997</v>
          </cell>
          <cell r="Q286">
            <v>2.3327819999999999</v>
          </cell>
          <cell r="R286" t="e">
            <v>#N/A</v>
          </cell>
        </row>
        <row r="287">
          <cell r="A287">
            <v>40366</v>
          </cell>
          <cell r="B287">
            <v>40366</v>
          </cell>
          <cell r="C287" t="str">
            <v>Past</v>
          </cell>
          <cell r="D287">
            <v>33.479999999999997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33.479999999999997</v>
          </cell>
          <cell r="Q287">
            <v>3.7427569999999997</v>
          </cell>
          <cell r="R287" t="e">
            <v>#N/A</v>
          </cell>
        </row>
        <row r="288">
          <cell r="A288">
            <v>40367</v>
          </cell>
          <cell r="B288">
            <v>40367</v>
          </cell>
          <cell r="C288" t="str">
            <v>Past</v>
          </cell>
          <cell r="D288">
            <v>34.18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34.18</v>
          </cell>
          <cell r="Q288">
            <v>2.3513039999999998</v>
          </cell>
          <cell r="R288" t="e">
            <v>#N/A</v>
          </cell>
        </row>
        <row r="289">
          <cell r="A289">
            <v>40368</v>
          </cell>
          <cell r="B289">
            <v>40368</v>
          </cell>
          <cell r="C289" t="str">
            <v>Past</v>
          </cell>
          <cell r="D289">
            <v>34.31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34.31</v>
          </cell>
          <cell r="Q289">
            <v>1.991649</v>
          </cell>
          <cell r="R289" t="e">
            <v>#N/A</v>
          </cell>
        </row>
        <row r="290">
          <cell r="A290">
            <v>40371</v>
          </cell>
          <cell r="B290">
            <v>40371</v>
          </cell>
          <cell r="C290" t="str">
            <v>Past</v>
          </cell>
          <cell r="D290">
            <v>34.979999999999997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34.979999999999997</v>
          </cell>
          <cell r="Q290">
            <v>2.357472</v>
          </cell>
          <cell r="R290" t="e">
            <v>#N/A</v>
          </cell>
        </row>
        <row r="291">
          <cell r="A291">
            <v>40372</v>
          </cell>
          <cell r="B291">
            <v>40372</v>
          </cell>
          <cell r="C291" t="str">
            <v>Past</v>
          </cell>
          <cell r="D291">
            <v>34.83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34.83</v>
          </cell>
          <cell r="Q291">
            <v>1.7648389999999998</v>
          </cell>
          <cell r="R291" t="e">
            <v>#N/A</v>
          </cell>
        </row>
        <row r="292">
          <cell r="A292">
            <v>40373</v>
          </cell>
          <cell r="B292">
            <v>40373</v>
          </cell>
          <cell r="C292" t="str">
            <v>Past</v>
          </cell>
          <cell r="D292">
            <v>35.270000000000003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35.270000000000003</v>
          </cell>
          <cell r="Q292">
            <v>1.4204800000000002</v>
          </cell>
          <cell r="R292" t="e">
            <v>#N/A</v>
          </cell>
        </row>
        <row r="293">
          <cell r="A293">
            <v>40374</v>
          </cell>
          <cell r="B293">
            <v>40374</v>
          </cell>
          <cell r="C293" t="str">
            <v>Past</v>
          </cell>
          <cell r="D293">
            <v>35.020000000000003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35.020000000000003</v>
          </cell>
          <cell r="Q293">
            <v>1.1361759999999999</v>
          </cell>
          <cell r="R293" t="e">
            <v>#N/A</v>
          </cell>
        </row>
        <row r="294">
          <cell r="A294">
            <v>40375</v>
          </cell>
          <cell r="B294">
            <v>40375</v>
          </cell>
          <cell r="C294" t="str">
            <v>Past</v>
          </cell>
          <cell r="D294">
            <v>34.299999999999997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34.299999999999997</v>
          </cell>
          <cell r="Q294">
            <v>2.5663259999999997</v>
          </cell>
          <cell r="R294" t="e">
            <v>#N/A</v>
          </cell>
        </row>
        <row r="295">
          <cell r="A295">
            <v>40378</v>
          </cell>
          <cell r="B295">
            <v>40378</v>
          </cell>
          <cell r="C295" t="str">
            <v>Past</v>
          </cell>
          <cell r="D295">
            <v>33.67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33.67</v>
          </cell>
          <cell r="Q295">
            <v>1.8208819999999999</v>
          </cell>
          <cell r="R295" t="e">
            <v>#N/A</v>
          </cell>
        </row>
        <row r="296">
          <cell r="A296">
            <v>40379</v>
          </cell>
          <cell r="B296">
            <v>40379</v>
          </cell>
          <cell r="C296" t="str">
            <v>Past</v>
          </cell>
          <cell r="D296">
            <v>33.5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33.5</v>
          </cell>
          <cell r="Q296">
            <v>3.1776119999999999</v>
          </cell>
          <cell r="R296" t="e">
            <v>#N/A</v>
          </cell>
        </row>
        <row r="297">
          <cell r="A297">
            <v>40380</v>
          </cell>
          <cell r="B297">
            <v>40380</v>
          </cell>
          <cell r="C297" t="str">
            <v>Past</v>
          </cell>
          <cell r="D297">
            <v>33.31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33.31</v>
          </cell>
          <cell r="Q297">
            <v>2.742426</v>
          </cell>
          <cell r="R297" t="e">
            <v>#N/A</v>
          </cell>
        </row>
        <row r="298">
          <cell r="A298">
            <v>40381</v>
          </cell>
          <cell r="B298">
            <v>40381</v>
          </cell>
          <cell r="C298" t="str">
            <v>Past</v>
          </cell>
          <cell r="D298">
            <v>32.92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32.92</v>
          </cell>
          <cell r="Q298">
            <v>3.0394200000000002</v>
          </cell>
          <cell r="R298" t="e">
            <v>#N/A</v>
          </cell>
        </row>
        <row r="299">
          <cell r="A299">
            <v>40382</v>
          </cell>
          <cell r="B299">
            <v>40382</v>
          </cell>
          <cell r="C299" t="str">
            <v>Past</v>
          </cell>
          <cell r="D299">
            <v>33.22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33.22</v>
          </cell>
          <cell r="Q299">
            <v>3.3359600000000005</v>
          </cell>
          <cell r="R299" t="e">
            <v>#N/A</v>
          </cell>
        </row>
        <row r="300">
          <cell r="A300">
            <v>40385</v>
          </cell>
          <cell r="B300">
            <v>40385</v>
          </cell>
          <cell r="C300" t="str">
            <v>Past</v>
          </cell>
          <cell r="D300">
            <v>33.35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33.35</v>
          </cell>
          <cell r="Q300">
            <v>1.731438</v>
          </cell>
          <cell r="R300" t="e">
            <v>#N/A</v>
          </cell>
        </row>
        <row r="301">
          <cell r="A301">
            <v>40386</v>
          </cell>
          <cell r="B301">
            <v>40386</v>
          </cell>
          <cell r="C301" t="str">
            <v>Past</v>
          </cell>
          <cell r="D301">
            <v>33.06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33.06</v>
          </cell>
          <cell r="Q301">
            <v>3.5629339999999998</v>
          </cell>
          <cell r="R301" t="e">
            <v>#N/A</v>
          </cell>
        </row>
        <row r="302">
          <cell r="A302">
            <v>40387</v>
          </cell>
          <cell r="B302">
            <v>40387</v>
          </cell>
          <cell r="C302" t="str">
            <v>Past</v>
          </cell>
          <cell r="D302">
            <v>32.78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32.78</v>
          </cell>
          <cell r="Q302">
            <v>4.2469929999999998</v>
          </cell>
          <cell r="R302" t="e">
            <v>#N/A</v>
          </cell>
        </row>
        <row r="303">
          <cell r="A303">
            <v>40388</v>
          </cell>
          <cell r="B303">
            <v>40388</v>
          </cell>
          <cell r="C303" t="str">
            <v>Past</v>
          </cell>
          <cell r="D303">
            <v>32.72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32.72</v>
          </cell>
          <cell r="Q303">
            <v>2.3944700000000001</v>
          </cell>
          <cell r="R303" t="e">
            <v>#N/A</v>
          </cell>
        </row>
        <row r="304">
          <cell r="A304">
            <v>40389</v>
          </cell>
          <cell r="B304">
            <v>40389</v>
          </cell>
          <cell r="C304" t="str">
            <v>Past</v>
          </cell>
          <cell r="D304">
            <v>32.71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32.71</v>
          </cell>
          <cell r="Q304">
            <v>5.4226300000000007</v>
          </cell>
          <cell r="R304" t="e">
            <v>#N/A</v>
          </cell>
        </row>
        <row r="305">
          <cell r="A305">
            <v>40392</v>
          </cell>
          <cell r="B305">
            <v>40392</v>
          </cell>
          <cell r="C305" t="str">
            <v>Past</v>
          </cell>
          <cell r="D305">
            <v>33.619999999999997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33.619999999999997</v>
          </cell>
          <cell r="Q305">
            <v>1.8678900000000001</v>
          </cell>
          <cell r="R305" t="e">
            <v>#N/A</v>
          </cell>
        </row>
        <row r="306">
          <cell r="A306">
            <v>40393</v>
          </cell>
          <cell r="B306">
            <v>40393</v>
          </cell>
          <cell r="C306" t="str">
            <v>Past</v>
          </cell>
          <cell r="D306">
            <v>33.409999999999997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33.409999999999997</v>
          </cell>
          <cell r="Q306">
            <v>1.8076400000000001</v>
          </cell>
          <cell r="R306" t="e">
            <v>#N/A</v>
          </cell>
        </row>
        <row r="307">
          <cell r="A307">
            <v>40394</v>
          </cell>
          <cell r="B307">
            <v>40394</v>
          </cell>
          <cell r="C307" t="str">
            <v>Past</v>
          </cell>
          <cell r="D307">
            <v>33.869999999999997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33.869999999999997</v>
          </cell>
          <cell r="Q307">
            <v>2.0123449999999998</v>
          </cell>
          <cell r="R307" t="e">
            <v>#N/A</v>
          </cell>
        </row>
        <row r="308">
          <cell r="A308">
            <v>40395</v>
          </cell>
          <cell r="B308">
            <v>40395</v>
          </cell>
          <cell r="C308" t="str">
            <v>Past</v>
          </cell>
          <cell r="D308">
            <v>34.409999999999997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34.409999999999997</v>
          </cell>
          <cell r="Q308">
            <v>2.9666000000000001</v>
          </cell>
          <cell r="R308" t="e">
            <v>#N/A</v>
          </cell>
        </row>
        <row r="309">
          <cell r="A309">
            <v>40396</v>
          </cell>
          <cell r="B309">
            <v>40396</v>
          </cell>
          <cell r="C309" t="str">
            <v>Past</v>
          </cell>
          <cell r="D309">
            <v>34.5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34.5</v>
          </cell>
          <cell r="Q309">
            <v>1.6819999999999999</v>
          </cell>
          <cell r="R309" t="e">
            <v>#N/A</v>
          </cell>
        </row>
        <row r="310">
          <cell r="A310">
            <v>40399</v>
          </cell>
          <cell r="B310">
            <v>40399</v>
          </cell>
          <cell r="C310" t="str">
            <v>Past</v>
          </cell>
          <cell r="D310">
            <v>34.869999999999997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34.869999999999997</v>
          </cell>
          <cell r="Q310">
            <v>2.3712359999999997</v>
          </cell>
          <cell r="R310" t="e">
            <v>#N/A</v>
          </cell>
        </row>
        <row r="311">
          <cell r="A311">
            <v>40400</v>
          </cell>
          <cell r="B311">
            <v>40400</v>
          </cell>
          <cell r="C311" t="str">
            <v>Past</v>
          </cell>
          <cell r="D311">
            <v>34.89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34.89</v>
          </cell>
          <cell r="Q311">
            <v>3.7377449999999999</v>
          </cell>
          <cell r="R311" t="e">
            <v>#N/A</v>
          </cell>
        </row>
        <row r="312">
          <cell r="A312">
            <v>40401</v>
          </cell>
          <cell r="B312">
            <v>40401</v>
          </cell>
          <cell r="C312" t="str">
            <v>Past</v>
          </cell>
          <cell r="D312">
            <v>34.24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34.24</v>
          </cell>
          <cell r="Q312">
            <v>3.1304919999999998</v>
          </cell>
          <cell r="R312" t="e">
            <v>#N/A</v>
          </cell>
        </row>
        <row r="313">
          <cell r="A313">
            <v>40402</v>
          </cell>
          <cell r="B313">
            <v>40402</v>
          </cell>
          <cell r="C313" t="str">
            <v>Past</v>
          </cell>
          <cell r="D313">
            <v>33.85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33.85</v>
          </cell>
          <cell r="Q313">
            <v>6.6586559999999997</v>
          </cell>
          <cell r="R313" t="e">
            <v>#N/A</v>
          </cell>
        </row>
        <row r="314">
          <cell r="A314">
            <v>40403</v>
          </cell>
          <cell r="B314">
            <v>40403</v>
          </cell>
          <cell r="C314" t="str">
            <v>Past</v>
          </cell>
          <cell r="D314">
            <v>34.700000000000003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34.700000000000003</v>
          </cell>
          <cell r="Q314">
            <v>7.4464000000000006</v>
          </cell>
          <cell r="R314" t="e">
            <v>#N/A</v>
          </cell>
        </row>
        <row r="315">
          <cell r="A315">
            <v>40406</v>
          </cell>
          <cell r="B315">
            <v>40406</v>
          </cell>
          <cell r="C315" t="str">
            <v>Past</v>
          </cell>
          <cell r="D315">
            <v>35.200000000000003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35.200000000000003</v>
          </cell>
          <cell r="Q315">
            <v>3.8475059999999996</v>
          </cell>
          <cell r="R315" t="e">
            <v>#N/A</v>
          </cell>
        </row>
        <row r="316">
          <cell r="A316">
            <v>40407</v>
          </cell>
          <cell r="B316">
            <v>40407</v>
          </cell>
          <cell r="C316" t="str">
            <v>Past</v>
          </cell>
          <cell r="D316">
            <v>35.24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35.24</v>
          </cell>
          <cell r="Q316">
            <v>3.7342559999999998</v>
          </cell>
          <cell r="R316" t="e">
            <v>#N/A</v>
          </cell>
        </row>
        <row r="317">
          <cell r="A317">
            <v>40408</v>
          </cell>
          <cell r="B317">
            <v>40408</v>
          </cell>
          <cell r="C317" t="str">
            <v>Past</v>
          </cell>
          <cell r="D317">
            <v>35.01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35.01</v>
          </cell>
          <cell r="Q317">
            <v>3.2401419999999996</v>
          </cell>
          <cell r="R317" t="e">
            <v>#N/A</v>
          </cell>
        </row>
        <row r="318">
          <cell r="A318">
            <v>40409</v>
          </cell>
          <cell r="B318">
            <v>40409</v>
          </cell>
          <cell r="C318" t="str">
            <v>Past</v>
          </cell>
          <cell r="D318">
            <v>35.36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35.36</v>
          </cell>
          <cell r="Q318">
            <v>3.9360709999999997</v>
          </cell>
          <cell r="R318" t="e">
            <v>#N/A</v>
          </cell>
        </row>
        <row r="319">
          <cell r="A319">
            <v>40410</v>
          </cell>
          <cell r="B319">
            <v>40410</v>
          </cell>
          <cell r="C319" t="str">
            <v>Past</v>
          </cell>
          <cell r="D319">
            <v>35.78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35.78</v>
          </cell>
          <cell r="Q319">
            <v>5.1121210000000001</v>
          </cell>
          <cell r="R319" t="e">
            <v>#N/A</v>
          </cell>
        </row>
        <row r="320">
          <cell r="A320">
            <v>40413</v>
          </cell>
          <cell r="B320">
            <v>40413</v>
          </cell>
          <cell r="C320" t="str">
            <v>Past</v>
          </cell>
          <cell r="D320">
            <v>35.950000000000003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35.950000000000003</v>
          </cell>
          <cell r="Q320">
            <v>1.3590639999999998</v>
          </cell>
          <cell r="R320" t="e">
            <v>#N/A</v>
          </cell>
        </row>
        <row r="321">
          <cell r="A321">
            <v>40414</v>
          </cell>
          <cell r="B321">
            <v>40414</v>
          </cell>
          <cell r="C321" t="str">
            <v>Past</v>
          </cell>
          <cell r="D321">
            <v>35.729999999999997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35.729999999999997</v>
          </cell>
          <cell r="Q321">
            <v>3.2293319999999999</v>
          </cell>
          <cell r="R321" t="e">
            <v>#N/A</v>
          </cell>
        </row>
        <row r="322">
          <cell r="A322">
            <v>40415</v>
          </cell>
          <cell r="B322">
            <v>40415</v>
          </cell>
          <cell r="C322" t="str">
            <v>Past</v>
          </cell>
          <cell r="D322">
            <v>35.49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35.49</v>
          </cell>
          <cell r="Q322">
            <v>6.6939529999999996</v>
          </cell>
          <cell r="R322" t="e">
            <v>#N/A</v>
          </cell>
        </row>
        <row r="323">
          <cell r="A323">
            <v>40416</v>
          </cell>
          <cell r="B323">
            <v>40416</v>
          </cell>
          <cell r="C323" t="str">
            <v>Past</v>
          </cell>
          <cell r="D323">
            <v>35.99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35.99</v>
          </cell>
          <cell r="Q323">
            <v>5.778607</v>
          </cell>
          <cell r="R323" t="e">
            <v>#N/A</v>
          </cell>
        </row>
        <row r="324">
          <cell r="A324">
            <v>40417</v>
          </cell>
          <cell r="B324">
            <v>40417</v>
          </cell>
          <cell r="C324" t="str">
            <v>Past</v>
          </cell>
          <cell r="D324">
            <v>35.28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35.28</v>
          </cell>
          <cell r="Q324">
            <v>10.102220000000001</v>
          </cell>
          <cell r="R324" t="e">
            <v>#N/A</v>
          </cell>
        </row>
        <row r="325">
          <cell r="A325">
            <v>40420</v>
          </cell>
          <cell r="B325">
            <v>40420</v>
          </cell>
          <cell r="C325" t="str">
            <v>Past</v>
          </cell>
          <cell r="D325">
            <v>36.01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36.01</v>
          </cell>
          <cell r="Q325">
            <v>6.9041749999999995</v>
          </cell>
          <cell r="R325" t="e">
            <v>#N/A</v>
          </cell>
        </row>
        <row r="326">
          <cell r="A326">
            <v>40421</v>
          </cell>
          <cell r="B326">
            <v>40421</v>
          </cell>
          <cell r="C326" t="str">
            <v>Past</v>
          </cell>
          <cell r="D326">
            <v>37.25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37.25</v>
          </cell>
          <cell r="Q326">
            <v>0.16001000000000001</v>
          </cell>
          <cell r="R326" t="e">
            <v>#N/A</v>
          </cell>
        </row>
        <row r="327">
          <cell r="A327">
            <v>40422</v>
          </cell>
          <cell r="B327">
            <v>40422</v>
          </cell>
          <cell r="C327" t="str">
            <v>Past</v>
          </cell>
          <cell r="D327">
            <v>37.9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37.9</v>
          </cell>
          <cell r="Q327">
            <v>8.0971589999999996</v>
          </cell>
          <cell r="R327" t="e">
            <v>#N/A</v>
          </cell>
        </row>
        <row r="328">
          <cell r="A328">
            <v>40423</v>
          </cell>
          <cell r="B328">
            <v>40423</v>
          </cell>
          <cell r="C328" t="str">
            <v>Past</v>
          </cell>
          <cell r="D328">
            <v>38.07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38.07</v>
          </cell>
          <cell r="Q328">
            <v>3.3743219999999998</v>
          </cell>
          <cell r="R328" t="e">
            <v>#N/A</v>
          </cell>
        </row>
        <row r="329">
          <cell r="A329">
            <v>40424</v>
          </cell>
          <cell r="B329">
            <v>40424</v>
          </cell>
          <cell r="C329" t="str">
            <v>Past</v>
          </cell>
          <cell r="D329">
            <v>38.72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38.72</v>
          </cell>
          <cell r="Q329">
            <v>5.2066689999999998</v>
          </cell>
          <cell r="R329" t="e">
            <v>#N/A</v>
          </cell>
        </row>
        <row r="330">
          <cell r="A330">
            <v>40427</v>
          </cell>
          <cell r="B330">
            <v>40427</v>
          </cell>
          <cell r="C330" t="str">
            <v>Past</v>
          </cell>
          <cell r="D330">
            <v>38.19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38.19</v>
          </cell>
          <cell r="Q330">
            <v>3.9301279999999998</v>
          </cell>
          <cell r="R330" t="e">
            <v>#N/A</v>
          </cell>
        </row>
        <row r="331">
          <cell r="A331">
            <v>40428</v>
          </cell>
          <cell r="B331">
            <v>40428</v>
          </cell>
          <cell r="C331" t="str">
            <v>Past</v>
          </cell>
          <cell r="D331">
            <v>37.979999999999997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37.979999999999997</v>
          </cell>
          <cell r="Q331">
            <v>3.0880549999999998</v>
          </cell>
          <cell r="R331" t="e">
            <v>#N/A</v>
          </cell>
        </row>
        <row r="332">
          <cell r="A332">
            <v>40429</v>
          </cell>
          <cell r="B332">
            <v>40429</v>
          </cell>
          <cell r="C332" t="str">
            <v>Past</v>
          </cell>
          <cell r="D332">
            <v>38.799999999999997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38.799999999999997</v>
          </cell>
          <cell r="Q332">
            <v>4.686903</v>
          </cell>
          <cell r="R332" t="e">
            <v>#N/A</v>
          </cell>
        </row>
        <row r="333">
          <cell r="A333">
            <v>40430</v>
          </cell>
          <cell r="B333">
            <v>40430</v>
          </cell>
          <cell r="C333" t="str">
            <v>Past</v>
          </cell>
          <cell r="D333">
            <v>39.770000000000003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39.770000000000003</v>
          </cell>
          <cell r="Q333">
            <v>5.9296869999999995</v>
          </cell>
          <cell r="R333" t="e">
            <v>#N/A</v>
          </cell>
        </row>
        <row r="334">
          <cell r="A334">
            <v>40431</v>
          </cell>
          <cell r="B334">
            <v>40431</v>
          </cell>
          <cell r="C334" t="str">
            <v>Past</v>
          </cell>
          <cell r="D334">
            <v>38.840000000000003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38.840000000000003</v>
          </cell>
          <cell r="Q334">
            <v>3.1294389999999996</v>
          </cell>
          <cell r="R334" t="e">
            <v>#N/A</v>
          </cell>
        </row>
        <row r="335">
          <cell r="A335">
            <v>40434</v>
          </cell>
          <cell r="B335">
            <v>40434</v>
          </cell>
          <cell r="C335" t="str">
            <v>Past</v>
          </cell>
          <cell r="D335">
            <v>38.49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38.49</v>
          </cell>
          <cell r="Q335">
            <v>4.4537319999999996</v>
          </cell>
          <cell r="R335" t="e">
            <v>#N/A</v>
          </cell>
        </row>
        <row r="336">
          <cell r="A336">
            <v>40435</v>
          </cell>
          <cell r="B336">
            <v>40435</v>
          </cell>
          <cell r="C336" t="str">
            <v>Past</v>
          </cell>
          <cell r="D336">
            <v>39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39</v>
          </cell>
          <cell r="Q336">
            <v>4.2601849999999999</v>
          </cell>
          <cell r="R336" t="e">
            <v>#N/A</v>
          </cell>
        </row>
        <row r="337">
          <cell r="A337">
            <v>40436</v>
          </cell>
          <cell r="B337">
            <v>40436</v>
          </cell>
          <cell r="C337" t="str">
            <v>Past</v>
          </cell>
          <cell r="D337">
            <v>39.5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39.5</v>
          </cell>
          <cell r="Q337">
            <v>12.32507</v>
          </cell>
          <cell r="R337" t="e">
            <v>#N/A</v>
          </cell>
        </row>
        <row r="338">
          <cell r="A338">
            <v>40437</v>
          </cell>
          <cell r="B338">
            <v>40437</v>
          </cell>
          <cell r="C338" t="str">
            <v>Past</v>
          </cell>
          <cell r="D338">
            <v>40.18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40.18</v>
          </cell>
          <cell r="Q338">
            <v>7.394304</v>
          </cell>
          <cell r="R338" t="e">
            <v>#N/A</v>
          </cell>
        </row>
        <row r="339">
          <cell r="A339">
            <v>40438</v>
          </cell>
          <cell r="B339">
            <v>40438</v>
          </cell>
          <cell r="C339" t="str">
            <v>Past</v>
          </cell>
          <cell r="D339">
            <v>41.5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41.5</v>
          </cell>
          <cell r="Q339">
            <v>8.346088</v>
          </cell>
          <cell r="R339" t="e">
            <v>#N/A</v>
          </cell>
        </row>
        <row r="340">
          <cell r="A340">
            <v>40441</v>
          </cell>
          <cell r="B340">
            <v>40441</v>
          </cell>
          <cell r="C340" t="str">
            <v>Past</v>
          </cell>
          <cell r="D340">
            <v>41.39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41.39</v>
          </cell>
          <cell r="Q340">
            <v>3.8460929999999998</v>
          </cell>
          <cell r="R340" t="e">
            <v>#N/A</v>
          </cell>
        </row>
        <row r="341">
          <cell r="A341">
            <v>40442</v>
          </cell>
          <cell r="B341">
            <v>40442</v>
          </cell>
          <cell r="C341" t="str">
            <v>Past</v>
          </cell>
          <cell r="D341">
            <v>40.770000000000003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40.770000000000003</v>
          </cell>
          <cell r="Q341">
            <v>4.6319949999999999</v>
          </cell>
          <cell r="R341" t="e">
            <v>#N/A</v>
          </cell>
        </row>
        <row r="342">
          <cell r="A342">
            <v>40443</v>
          </cell>
          <cell r="B342">
            <v>40443</v>
          </cell>
          <cell r="C342" t="str">
            <v>Past</v>
          </cell>
          <cell r="D342">
            <v>40.54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40.54</v>
          </cell>
          <cell r="Q342">
            <v>3.5460689999999997</v>
          </cell>
          <cell r="R342" t="e">
            <v>#N/A</v>
          </cell>
        </row>
        <row r="343">
          <cell r="A343">
            <v>40444</v>
          </cell>
          <cell r="B343">
            <v>40444</v>
          </cell>
          <cell r="C343" t="str">
            <v>Past</v>
          </cell>
          <cell r="D343">
            <v>40.94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40.94</v>
          </cell>
          <cell r="Q343">
            <v>5.1519900000000005</v>
          </cell>
          <cell r="R343" t="e">
            <v>#N/A</v>
          </cell>
        </row>
        <row r="344">
          <cell r="A344">
            <v>40445</v>
          </cell>
          <cell r="B344">
            <v>40445</v>
          </cell>
          <cell r="C344" t="str">
            <v>Past</v>
          </cell>
          <cell r="D344">
            <v>39.92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39.92</v>
          </cell>
          <cell r="Q344">
            <v>18.09</v>
          </cell>
          <cell r="R344" t="e">
            <v>#N/A</v>
          </cell>
        </row>
        <row r="345">
          <cell r="A345">
            <v>40448</v>
          </cell>
          <cell r="B345">
            <v>40448</v>
          </cell>
          <cell r="C345" t="str">
            <v>Past</v>
          </cell>
          <cell r="D345">
            <v>39.700000000000003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39.700000000000003</v>
          </cell>
          <cell r="Q345">
            <v>5.6204400000000003</v>
          </cell>
          <cell r="R345" t="e">
            <v>#N/A</v>
          </cell>
        </row>
        <row r="346">
          <cell r="A346">
            <v>40449</v>
          </cell>
          <cell r="B346">
            <v>40449</v>
          </cell>
          <cell r="C346" t="str">
            <v>Past</v>
          </cell>
          <cell r="D346">
            <v>39.380000000000003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39.380000000000003</v>
          </cell>
          <cell r="Q346">
            <v>2.5560229999999997</v>
          </cell>
          <cell r="R346" t="e">
            <v>#N/A</v>
          </cell>
        </row>
        <row r="347">
          <cell r="A347">
            <v>40450</v>
          </cell>
          <cell r="B347">
            <v>40450</v>
          </cell>
          <cell r="C347" t="str">
            <v>Past</v>
          </cell>
          <cell r="D347">
            <v>40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40</v>
          </cell>
          <cell r="Q347">
            <v>5.6302110000000001</v>
          </cell>
          <cell r="R347" t="e">
            <v>#N/A</v>
          </cell>
        </row>
        <row r="348">
          <cell r="A348">
            <v>40451</v>
          </cell>
          <cell r="B348">
            <v>40451</v>
          </cell>
          <cell r="C348" t="str">
            <v>Past</v>
          </cell>
          <cell r="D348">
            <v>39.67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39.67</v>
          </cell>
          <cell r="Q348">
            <v>4.1753439999999999</v>
          </cell>
          <cell r="R348" t="e">
            <v>#N/A</v>
          </cell>
        </row>
        <row r="349">
          <cell r="A349">
            <v>40452</v>
          </cell>
          <cell r="B349">
            <v>40452</v>
          </cell>
          <cell r="C349" t="str">
            <v>Past</v>
          </cell>
          <cell r="D349">
            <v>40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40</v>
          </cell>
          <cell r="Q349">
            <v>2.3235489999999999</v>
          </cell>
          <cell r="R349" t="e">
            <v>#N/A</v>
          </cell>
        </row>
        <row r="350">
          <cell r="A350">
            <v>40455</v>
          </cell>
          <cell r="B350">
            <v>40455</v>
          </cell>
          <cell r="C350" t="str">
            <v>Past</v>
          </cell>
          <cell r="D350">
            <v>40.72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40.72</v>
          </cell>
          <cell r="Q350">
            <v>2.008308</v>
          </cell>
          <cell r="R350" t="e">
            <v>#N/A</v>
          </cell>
        </row>
        <row r="351">
          <cell r="A351">
            <v>40456</v>
          </cell>
          <cell r="B351">
            <v>40456</v>
          </cell>
          <cell r="C351" t="str">
            <v>Past</v>
          </cell>
          <cell r="D351">
            <v>40.6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40.6</v>
          </cell>
          <cell r="Q351">
            <v>3.3019219999999998</v>
          </cell>
          <cell r="R351" t="e">
            <v>#N/A</v>
          </cell>
        </row>
        <row r="352">
          <cell r="A352">
            <v>40457</v>
          </cell>
          <cell r="B352">
            <v>40457</v>
          </cell>
          <cell r="C352" t="str">
            <v>Past</v>
          </cell>
          <cell r="D352">
            <v>42.01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42.01</v>
          </cell>
          <cell r="Q352">
            <v>5.0824049999999996</v>
          </cell>
          <cell r="R352" t="e">
            <v>#N/A</v>
          </cell>
        </row>
        <row r="353">
          <cell r="A353">
            <v>40458</v>
          </cell>
          <cell r="B353">
            <v>40458</v>
          </cell>
          <cell r="C353" t="str">
            <v>Past</v>
          </cell>
          <cell r="D353">
            <v>42.32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42.32</v>
          </cell>
          <cell r="Q353">
            <v>7.3401670000000001</v>
          </cell>
          <cell r="R353" t="e">
            <v>#N/A</v>
          </cell>
        </row>
        <row r="354">
          <cell r="A354">
            <v>40459</v>
          </cell>
          <cell r="B354">
            <v>40459</v>
          </cell>
          <cell r="C354" t="str">
            <v>Past</v>
          </cell>
          <cell r="D354">
            <v>41.91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41.91</v>
          </cell>
          <cell r="Q354">
            <v>4.1705000000000005</v>
          </cell>
          <cell r="R354" t="e">
            <v>#N/A</v>
          </cell>
        </row>
        <row r="355">
          <cell r="A355">
            <v>40462</v>
          </cell>
          <cell r="B355">
            <v>40462</v>
          </cell>
          <cell r="C355" t="str">
            <v>Past</v>
          </cell>
          <cell r="D355">
            <v>42.16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42.16</v>
          </cell>
          <cell r="Q355">
            <v>2.8651770000000001</v>
          </cell>
          <cell r="R355" t="e">
            <v>#N/A</v>
          </cell>
        </row>
        <row r="356">
          <cell r="A356">
            <v>40463</v>
          </cell>
          <cell r="B356">
            <v>40463</v>
          </cell>
          <cell r="C356" t="str">
            <v>Past</v>
          </cell>
          <cell r="D356">
            <v>40.880000000000003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40.880000000000003</v>
          </cell>
          <cell r="Q356">
            <v>5.0638529999999999</v>
          </cell>
          <cell r="R356" t="e">
            <v>#N/A</v>
          </cell>
        </row>
        <row r="357">
          <cell r="A357">
            <v>40464</v>
          </cell>
          <cell r="B357">
            <v>40464</v>
          </cell>
          <cell r="C357" t="str">
            <v>Past</v>
          </cell>
          <cell r="D357">
            <v>41.18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41.18</v>
          </cell>
          <cell r="Q357">
            <v>3.6070869999999999</v>
          </cell>
          <cell r="R357" t="e">
            <v>#N/A</v>
          </cell>
        </row>
        <row r="358">
          <cell r="A358">
            <v>40465</v>
          </cell>
          <cell r="B358">
            <v>40465</v>
          </cell>
          <cell r="C358" t="str">
            <v>Past</v>
          </cell>
          <cell r="D358">
            <v>42.52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42.52</v>
          </cell>
          <cell r="Q358">
            <v>5.23794</v>
          </cell>
          <cell r="R358" t="e">
            <v>#N/A</v>
          </cell>
        </row>
        <row r="359">
          <cell r="A359">
            <v>40466</v>
          </cell>
          <cell r="B359">
            <v>40466</v>
          </cell>
          <cell r="C359" t="str">
            <v>Past</v>
          </cell>
          <cell r="D359">
            <v>42.08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42.08</v>
          </cell>
          <cell r="Q359">
            <v>3.1759279999999999</v>
          </cell>
          <cell r="R359" t="e">
            <v>#N/A</v>
          </cell>
        </row>
        <row r="360">
          <cell r="A360">
            <v>40469</v>
          </cell>
          <cell r="B360">
            <v>40469</v>
          </cell>
          <cell r="C360" t="str">
            <v>Past</v>
          </cell>
          <cell r="D360">
            <v>40.93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40.93</v>
          </cell>
          <cell r="Q360">
            <v>3.5465</v>
          </cell>
          <cell r="R360" t="e">
            <v>#N/A</v>
          </cell>
        </row>
        <row r="361">
          <cell r="A361">
            <v>40470</v>
          </cell>
          <cell r="B361">
            <v>40470</v>
          </cell>
          <cell r="C361" t="str">
            <v>Past</v>
          </cell>
          <cell r="D361">
            <v>40.5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40.5</v>
          </cell>
          <cell r="Q361">
            <v>4.1023900000000006</v>
          </cell>
          <cell r="R361" t="e">
            <v>#N/A</v>
          </cell>
        </row>
        <row r="362">
          <cell r="A362">
            <v>40471</v>
          </cell>
          <cell r="B362">
            <v>40471</v>
          </cell>
          <cell r="C362" t="str">
            <v>Past</v>
          </cell>
          <cell r="D362">
            <v>39.78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39.78</v>
          </cell>
          <cell r="Q362">
            <v>5.7574459999999998</v>
          </cell>
          <cell r="R362" t="e">
            <v>#N/A</v>
          </cell>
        </row>
        <row r="363">
          <cell r="A363">
            <v>40472</v>
          </cell>
          <cell r="B363">
            <v>40472</v>
          </cell>
          <cell r="C363" t="str">
            <v>Past</v>
          </cell>
          <cell r="D363">
            <v>39.950000000000003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39.950000000000003</v>
          </cell>
          <cell r="Q363">
            <v>3.326425</v>
          </cell>
          <cell r="R363" t="e">
            <v>#N/A</v>
          </cell>
        </row>
        <row r="364">
          <cell r="A364">
            <v>40473</v>
          </cell>
          <cell r="B364">
            <v>40473</v>
          </cell>
          <cell r="C364" t="str">
            <v>Past</v>
          </cell>
          <cell r="D364">
            <v>40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40</v>
          </cell>
          <cell r="Q364">
            <v>3.1116359999999998</v>
          </cell>
          <cell r="R364" t="e">
            <v>#N/A</v>
          </cell>
        </row>
        <row r="365">
          <cell r="A365">
            <v>40476</v>
          </cell>
          <cell r="B365">
            <v>40476</v>
          </cell>
          <cell r="C365" t="str">
            <v>Past</v>
          </cell>
          <cell r="D365">
            <v>40.619999999999997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40.619999999999997</v>
          </cell>
          <cell r="Q365">
            <v>3.278813</v>
          </cell>
          <cell r="R365" t="e">
            <v>#N/A</v>
          </cell>
        </row>
        <row r="366">
          <cell r="A366">
            <v>40477</v>
          </cell>
          <cell r="B366">
            <v>40477</v>
          </cell>
          <cell r="C366" t="str">
            <v>Past</v>
          </cell>
          <cell r="D366">
            <v>40.56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40.56</v>
          </cell>
          <cell r="Q366">
            <v>3.9310129999999996</v>
          </cell>
          <cell r="R366" t="e">
            <v>#N/A</v>
          </cell>
        </row>
        <row r="367">
          <cell r="A367">
            <v>40478</v>
          </cell>
          <cell r="B367">
            <v>40478</v>
          </cell>
          <cell r="C367" t="str">
            <v>Past</v>
          </cell>
          <cell r="D367">
            <v>39.32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39.32</v>
          </cell>
          <cell r="Q367">
            <v>4.429036</v>
          </cell>
          <cell r="R367" t="e">
            <v>#N/A</v>
          </cell>
        </row>
        <row r="368">
          <cell r="A368">
            <v>40479</v>
          </cell>
          <cell r="B368">
            <v>40479</v>
          </cell>
          <cell r="C368" t="str">
            <v>Past</v>
          </cell>
          <cell r="D368">
            <v>39.33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39.33</v>
          </cell>
          <cell r="Q368">
            <v>4.018122</v>
          </cell>
          <cell r="R368" t="e">
            <v>#N/A</v>
          </cell>
        </row>
        <row r="369">
          <cell r="A369">
            <v>40480</v>
          </cell>
          <cell r="B369">
            <v>40480</v>
          </cell>
          <cell r="C369" t="str">
            <v>Past</v>
          </cell>
          <cell r="D369">
            <v>39.96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39.96</v>
          </cell>
          <cell r="Q369">
            <v>9.1683229999999991</v>
          </cell>
          <cell r="R369" t="e">
            <v>#N/A</v>
          </cell>
        </row>
        <row r="370">
          <cell r="A370">
            <v>40483</v>
          </cell>
          <cell r="B370">
            <v>40483</v>
          </cell>
          <cell r="C370" t="str">
            <v>Past</v>
          </cell>
          <cell r="D370">
            <v>40.369999999999997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40.369999999999997</v>
          </cell>
          <cell r="Q370">
            <v>3.2881819999999999</v>
          </cell>
          <cell r="R370" t="e">
            <v>#N/A</v>
          </cell>
        </row>
        <row r="371">
          <cell r="A371">
            <v>40484</v>
          </cell>
          <cell r="B371">
            <v>40484</v>
          </cell>
          <cell r="C371" t="str">
            <v>Past</v>
          </cell>
          <cell r="D371">
            <v>39.93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39.93</v>
          </cell>
          <cell r="Q371">
            <v>1.4469809999999999</v>
          </cell>
          <cell r="R371" t="e">
            <v>#N/A</v>
          </cell>
        </row>
        <row r="372">
          <cell r="A372">
            <v>40485</v>
          </cell>
          <cell r="B372">
            <v>40485</v>
          </cell>
          <cell r="C372" t="str">
            <v>Past</v>
          </cell>
          <cell r="D372">
            <v>40.39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40.39</v>
          </cell>
          <cell r="Q372">
            <v>2.3195839999999999</v>
          </cell>
          <cell r="R372" t="e">
            <v>#N/A</v>
          </cell>
        </row>
        <row r="373">
          <cell r="A373">
            <v>40486</v>
          </cell>
          <cell r="B373">
            <v>40486</v>
          </cell>
          <cell r="C373" t="str">
            <v>Past</v>
          </cell>
          <cell r="D373">
            <v>40.96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40.96</v>
          </cell>
          <cell r="Q373">
            <v>4.3134230000000002</v>
          </cell>
          <cell r="R373" t="e">
            <v>#N/A</v>
          </cell>
        </row>
        <row r="374">
          <cell r="A374">
            <v>40487</v>
          </cell>
          <cell r="B374">
            <v>40487</v>
          </cell>
          <cell r="C374" t="str">
            <v>Past</v>
          </cell>
          <cell r="D374">
            <v>42.84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42.84</v>
          </cell>
          <cell r="Q374">
            <v>6.2753119999999996</v>
          </cell>
          <cell r="R374" t="e">
            <v>#N/A</v>
          </cell>
        </row>
        <row r="375">
          <cell r="A375">
            <v>40490</v>
          </cell>
          <cell r="B375">
            <v>40490</v>
          </cell>
          <cell r="C375" t="str">
            <v>Past</v>
          </cell>
          <cell r="D375">
            <v>42.65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42.65</v>
          </cell>
          <cell r="Q375">
            <v>3.3268689999999999</v>
          </cell>
          <cell r="R375" t="e">
            <v>#N/A</v>
          </cell>
        </row>
        <row r="376">
          <cell r="A376">
            <v>40491</v>
          </cell>
          <cell r="B376">
            <v>40491</v>
          </cell>
          <cell r="C376" t="str">
            <v>Past</v>
          </cell>
          <cell r="D376">
            <v>43.41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43.41</v>
          </cell>
          <cell r="Q376">
            <v>9.0945429999999998</v>
          </cell>
          <cell r="R376" t="e">
            <v>#N/A</v>
          </cell>
        </row>
        <row r="377">
          <cell r="A377">
            <v>40492</v>
          </cell>
          <cell r="B377">
            <v>40492</v>
          </cell>
          <cell r="C377" t="str">
            <v>Past</v>
          </cell>
          <cell r="D377">
            <v>42.29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42.29</v>
          </cell>
          <cell r="Q377">
            <v>5.0305900000000001</v>
          </cell>
          <cell r="R377" t="e">
            <v>#N/A</v>
          </cell>
        </row>
        <row r="378">
          <cell r="A378">
            <v>40493</v>
          </cell>
          <cell r="B378">
            <v>40493</v>
          </cell>
          <cell r="C378" t="str">
            <v>Past</v>
          </cell>
          <cell r="D378">
            <v>43.05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43.05</v>
          </cell>
          <cell r="Q378">
            <v>2.7029929999999998</v>
          </cell>
          <cell r="R378" t="e">
            <v>#N/A</v>
          </cell>
        </row>
        <row r="379">
          <cell r="A379">
            <v>40494</v>
          </cell>
          <cell r="B379">
            <v>40494</v>
          </cell>
          <cell r="C379" t="str">
            <v>Past</v>
          </cell>
          <cell r="D379">
            <v>42.51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42.51</v>
          </cell>
          <cell r="Q379">
            <v>4.0259609999999997</v>
          </cell>
          <cell r="R379" t="e">
            <v>#N/A</v>
          </cell>
        </row>
        <row r="380">
          <cell r="A380">
            <v>40497</v>
          </cell>
          <cell r="B380">
            <v>40497</v>
          </cell>
          <cell r="C380" t="str">
            <v>Past</v>
          </cell>
          <cell r="D380">
            <v>41.66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41.66</v>
          </cell>
          <cell r="Q380">
            <v>2.6560000000000001</v>
          </cell>
          <cell r="R380" t="e">
            <v>#N/A</v>
          </cell>
        </row>
        <row r="381">
          <cell r="A381">
            <v>40498</v>
          </cell>
          <cell r="B381">
            <v>40498</v>
          </cell>
          <cell r="C381" t="str">
            <v>Past</v>
          </cell>
          <cell r="D381">
            <v>41.1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41.1</v>
          </cell>
          <cell r="Q381">
            <v>4.3035819999999996</v>
          </cell>
          <cell r="R381" t="e">
            <v>#N/A</v>
          </cell>
        </row>
        <row r="382">
          <cell r="A382">
            <v>40499</v>
          </cell>
          <cell r="B382">
            <v>40499</v>
          </cell>
          <cell r="C382" t="str">
            <v>Past</v>
          </cell>
          <cell r="D382">
            <v>40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40</v>
          </cell>
          <cell r="Q382">
            <v>3.4651829999999997</v>
          </cell>
          <cell r="R382" t="e">
            <v>#N/A</v>
          </cell>
        </row>
        <row r="383">
          <cell r="A383">
            <v>40500</v>
          </cell>
          <cell r="B383">
            <v>40500</v>
          </cell>
          <cell r="C383" t="str">
            <v>Past</v>
          </cell>
          <cell r="D383">
            <v>40.369999999999997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40.369999999999997</v>
          </cell>
          <cell r="Q383">
            <v>6.2770669999999997</v>
          </cell>
          <cell r="R383" t="e">
            <v>#N/A</v>
          </cell>
        </row>
        <row r="384">
          <cell r="A384">
            <v>40501</v>
          </cell>
          <cell r="B384">
            <v>40501</v>
          </cell>
          <cell r="C384" t="str">
            <v>Past</v>
          </cell>
          <cell r="D384">
            <v>40.14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40.14</v>
          </cell>
          <cell r="Q384">
            <v>2.9519959999999998</v>
          </cell>
          <cell r="R384" t="e">
            <v>#N/A</v>
          </cell>
        </row>
        <row r="385">
          <cell r="A385">
            <v>40504</v>
          </cell>
          <cell r="B385">
            <v>40504</v>
          </cell>
          <cell r="C385" t="str">
            <v>Past</v>
          </cell>
          <cell r="D385">
            <v>39.9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39.9</v>
          </cell>
          <cell r="Q385">
            <v>2.1006610000000001</v>
          </cell>
          <cell r="R385" t="e">
            <v>#N/A</v>
          </cell>
        </row>
        <row r="386">
          <cell r="A386">
            <v>40505</v>
          </cell>
          <cell r="B386">
            <v>40505</v>
          </cell>
          <cell r="C386" t="str">
            <v>Past</v>
          </cell>
          <cell r="D386">
            <v>39.409999999999997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39.409999999999997</v>
          </cell>
          <cell r="Q386">
            <v>2.3128829999999998</v>
          </cell>
          <cell r="R386" t="e">
            <v>#N/A</v>
          </cell>
        </row>
        <row r="387">
          <cell r="A387">
            <v>40506</v>
          </cell>
          <cell r="B387">
            <v>40506</v>
          </cell>
          <cell r="C387" t="str">
            <v>Past</v>
          </cell>
          <cell r="D387">
            <v>39.67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39.67</v>
          </cell>
          <cell r="Q387">
            <v>3.6145679999999998</v>
          </cell>
          <cell r="R387" t="e">
            <v>#N/A</v>
          </cell>
        </row>
        <row r="388">
          <cell r="A388">
            <v>40507</v>
          </cell>
          <cell r="B388">
            <v>40507</v>
          </cell>
          <cell r="C388" t="str">
            <v>Past</v>
          </cell>
          <cell r="D388">
            <v>40.1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40.1</v>
          </cell>
          <cell r="Q388">
            <v>2.5748329999999999</v>
          </cell>
          <cell r="R388" t="e">
            <v>#N/A</v>
          </cell>
        </row>
        <row r="389">
          <cell r="A389">
            <v>40508</v>
          </cell>
          <cell r="B389">
            <v>40508</v>
          </cell>
          <cell r="C389" t="str">
            <v>Past</v>
          </cell>
          <cell r="D389">
            <v>40.369999999999997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40.369999999999997</v>
          </cell>
          <cell r="Q389">
            <v>6.2908800000000005</v>
          </cell>
          <cell r="R389" t="e">
            <v>#N/A</v>
          </cell>
        </row>
        <row r="390">
          <cell r="A390">
            <v>40511</v>
          </cell>
          <cell r="B390">
            <v>40511</v>
          </cell>
          <cell r="C390" t="str">
            <v>Past</v>
          </cell>
          <cell r="D390">
            <v>39.770000000000003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39.770000000000003</v>
          </cell>
          <cell r="Q390">
            <v>2.866943</v>
          </cell>
          <cell r="R390" t="e">
            <v>#N/A</v>
          </cell>
        </row>
        <row r="391">
          <cell r="A391">
            <v>40512</v>
          </cell>
          <cell r="B391">
            <v>40512</v>
          </cell>
          <cell r="C391" t="str">
            <v>Past</v>
          </cell>
          <cell r="D391">
            <v>39.65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39.65</v>
          </cell>
          <cell r="Q391">
            <v>4.0239069999999995</v>
          </cell>
          <cell r="R391" t="e">
            <v>#N/A</v>
          </cell>
        </row>
        <row r="392">
          <cell r="A392">
            <v>40513</v>
          </cell>
          <cell r="B392">
            <v>40513</v>
          </cell>
          <cell r="C392" t="str">
            <v>Past</v>
          </cell>
          <cell r="D392">
            <v>39.69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39.69</v>
          </cell>
          <cell r="Q392">
            <v>4.6289689999999997</v>
          </cell>
          <cell r="R392" t="e">
            <v>#N/A</v>
          </cell>
        </row>
        <row r="393">
          <cell r="A393">
            <v>40514</v>
          </cell>
          <cell r="B393">
            <v>40514</v>
          </cell>
          <cell r="C393" t="str">
            <v>Past</v>
          </cell>
          <cell r="D393">
            <v>40.4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40.4</v>
          </cell>
          <cell r="Q393">
            <v>4.2957669999999997</v>
          </cell>
          <cell r="R393" t="e">
            <v>#N/A</v>
          </cell>
        </row>
        <row r="394">
          <cell r="A394">
            <v>40515</v>
          </cell>
          <cell r="B394">
            <v>40515</v>
          </cell>
          <cell r="C394" t="str">
            <v>Past</v>
          </cell>
          <cell r="D394">
            <v>40.74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40.74</v>
          </cell>
          <cell r="Q394">
            <v>3.2616449999999997</v>
          </cell>
          <cell r="R394" t="e">
            <v>#N/A</v>
          </cell>
        </row>
        <row r="395">
          <cell r="A395">
            <v>40518</v>
          </cell>
          <cell r="B395">
            <v>40518</v>
          </cell>
          <cell r="C395" t="str">
            <v>Past</v>
          </cell>
          <cell r="D395">
            <v>41.09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41.09</v>
          </cell>
          <cell r="Q395">
            <v>2.8219460000000001</v>
          </cell>
          <cell r="R395" t="e">
            <v>#N/A</v>
          </cell>
        </row>
        <row r="396">
          <cell r="A396">
            <v>40519</v>
          </cell>
          <cell r="B396">
            <v>40519</v>
          </cell>
          <cell r="C396" t="str">
            <v>Past</v>
          </cell>
          <cell r="D396">
            <v>41.5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41.5</v>
          </cell>
          <cell r="Q396">
            <v>3.495072</v>
          </cell>
          <cell r="R396" t="e">
            <v>#N/A</v>
          </cell>
        </row>
        <row r="397">
          <cell r="A397">
            <v>40520</v>
          </cell>
          <cell r="B397">
            <v>40520</v>
          </cell>
          <cell r="C397" t="str">
            <v>Past</v>
          </cell>
          <cell r="D397">
            <v>41.35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41.35</v>
          </cell>
          <cell r="Q397">
            <v>3.0066389999999998</v>
          </cell>
          <cell r="R397" t="e">
            <v>#N/A</v>
          </cell>
        </row>
        <row r="398">
          <cell r="A398">
            <v>40521</v>
          </cell>
          <cell r="B398">
            <v>40521</v>
          </cell>
          <cell r="C398" t="str">
            <v>Past</v>
          </cell>
          <cell r="D398">
            <v>40.68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40.68</v>
          </cell>
          <cell r="Q398">
            <v>4.4366690000000002</v>
          </cell>
          <cell r="R398" t="e">
            <v>#N/A</v>
          </cell>
        </row>
        <row r="399">
          <cell r="A399">
            <v>40522</v>
          </cell>
          <cell r="B399">
            <v>40522</v>
          </cell>
          <cell r="C399" t="str">
            <v>Past</v>
          </cell>
          <cell r="D399">
            <v>40.24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40.24</v>
          </cell>
          <cell r="Q399">
            <v>3.7088000000000001</v>
          </cell>
          <cell r="R399" t="e">
            <v>#N/A</v>
          </cell>
        </row>
        <row r="400">
          <cell r="A400">
            <v>40525</v>
          </cell>
          <cell r="B400">
            <v>40525</v>
          </cell>
          <cell r="C400" t="str">
            <v>Past</v>
          </cell>
          <cell r="D400">
            <v>40.130000000000003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40.130000000000003</v>
          </cell>
          <cell r="Q400">
            <v>2.5141529999999999</v>
          </cell>
          <cell r="R400" t="e">
            <v>#N/A</v>
          </cell>
        </row>
        <row r="401">
          <cell r="A401">
            <v>40526</v>
          </cell>
          <cell r="B401">
            <v>40526</v>
          </cell>
          <cell r="C401" t="str">
            <v>Past</v>
          </cell>
          <cell r="D401">
            <v>40.83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40.83</v>
          </cell>
          <cell r="Q401">
            <v>3.845227</v>
          </cell>
          <cell r="R401" t="e">
            <v>#N/A</v>
          </cell>
        </row>
        <row r="402">
          <cell r="A402">
            <v>40527</v>
          </cell>
          <cell r="B402">
            <v>40527</v>
          </cell>
          <cell r="C402" t="str">
            <v>Past</v>
          </cell>
          <cell r="D402">
            <v>41.28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41.28</v>
          </cell>
          <cell r="Q402">
            <v>3.6405129999999999</v>
          </cell>
          <cell r="R402" t="e">
            <v>#N/A</v>
          </cell>
        </row>
        <row r="403">
          <cell r="A403">
            <v>40528</v>
          </cell>
          <cell r="B403">
            <v>40528</v>
          </cell>
          <cell r="C403" t="str">
            <v>Past</v>
          </cell>
          <cell r="D403">
            <v>41.46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41.46</v>
          </cell>
          <cell r="Q403">
            <v>3.2029549999999998</v>
          </cell>
          <cell r="R403" t="e">
            <v>#N/A</v>
          </cell>
        </row>
        <row r="404">
          <cell r="A404">
            <v>40529</v>
          </cell>
          <cell r="B404">
            <v>40529</v>
          </cell>
          <cell r="C404" t="str">
            <v>Past</v>
          </cell>
          <cell r="D404">
            <v>40.770000000000003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40.770000000000003</v>
          </cell>
          <cell r="Q404">
            <v>2.821669</v>
          </cell>
          <cell r="R404" t="e">
            <v>#N/A</v>
          </cell>
        </row>
        <row r="405">
          <cell r="A405">
            <v>40532</v>
          </cell>
          <cell r="B405">
            <v>40532</v>
          </cell>
          <cell r="C405" t="str">
            <v>Past</v>
          </cell>
          <cell r="D405">
            <v>40.39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40.39</v>
          </cell>
          <cell r="Q405">
            <v>2.4912449999999997</v>
          </cell>
          <cell r="R405" t="e">
            <v>#N/A</v>
          </cell>
        </row>
        <row r="406">
          <cell r="A406">
            <v>40533</v>
          </cell>
          <cell r="B406">
            <v>40533</v>
          </cell>
          <cell r="C406" t="str">
            <v>Past</v>
          </cell>
          <cell r="D406">
            <v>40.340000000000003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40.340000000000003</v>
          </cell>
          <cell r="Q406">
            <v>1.9661200000000001</v>
          </cell>
          <cell r="R406" t="e">
            <v>#N/A</v>
          </cell>
        </row>
        <row r="407">
          <cell r="A407">
            <v>40534</v>
          </cell>
          <cell r="B407">
            <v>40534</v>
          </cell>
          <cell r="C407" t="str">
            <v>Past</v>
          </cell>
          <cell r="D407">
            <v>40.229999999999997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40.229999999999997</v>
          </cell>
          <cell r="Q407">
            <v>1.9705239999999999</v>
          </cell>
          <cell r="R407" t="e">
            <v>#N/A</v>
          </cell>
        </row>
        <row r="408">
          <cell r="A408">
            <v>40535</v>
          </cell>
          <cell r="B408">
            <v>40535</v>
          </cell>
          <cell r="C408" t="str">
            <v>Past</v>
          </cell>
          <cell r="D408">
            <v>40.28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40.28</v>
          </cell>
          <cell r="Q408">
            <v>1.7696339999999999</v>
          </cell>
          <cell r="R408" t="e">
            <v>#N/A</v>
          </cell>
        </row>
        <row r="409">
          <cell r="A409">
            <v>40536</v>
          </cell>
          <cell r="B409">
            <v>40536</v>
          </cell>
          <cell r="C409" t="str">
            <v>Past</v>
          </cell>
          <cell r="D409">
            <v>39.82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39.82</v>
          </cell>
          <cell r="Q409">
            <v>6.2560409999999997</v>
          </cell>
          <cell r="R409" t="e">
            <v>#N/A</v>
          </cell>
        </row>
        <row r="410">
          <cell r="A410">
            <v>40539</v>
          </cell>
          <cell r="B410">
            <v>40539</v>
          </cell>
          <cell r="C410" t="str">
            <v>Past</v>
          </cell>
          <cell r="D410">
            <v>39.82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39.82</v>
          </cell>
          <cell r="Q410">
            <v>0</v>
          </cell>
          <cell r="R410" t="e">
            <v>#N/A</v>
          </cell>
        </row>
        <row r="411">
          <cell r="A411">
            <v>40540</v>
          </cell>
          <cell r="B411">
            <v>40540</v>
          </cell>
          <cell r="C411" t="str">
            <v>Past</v>
          </cell>
          <cell r="D411">
            <v>39.82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39.82</v>
          </cell>
          <cell r="Q411">
            <v>0</v>
          </cell>
          <cell r="R411" t="e">
            <v>#N/A</v>
          </cell>
        </row>
        <row r="412">
          <cell r="A412">
            <v>40541</v>
          </cell>
          <cell r="B412">
            <v>40541</v>
          </cell>
          <cell r="C412" t="str">
            <v>Past</v>
          </cell>
          <cell r="D412">
            <v>40.799999999999997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40.799999999999997</v>
          </cell>
          <cell r="Q412">
            <v>1.6830639999999999</v>
          </cell>
          <cell r="R412" t="e">
            <v>#N/A</v>
          </cell>
        </row>
        <row r="413">
          <cell r="A413">
            <v>40542</v>
          </cell>
          <cell r="B413">
            <v>40542</v>
          </cell>
          <cell r="C413" t="str">
            <v>Past</v>
          </cell>
          <cell r="D413">
            <v>41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41</v>
          </cell>
          <cell r="Q413">
            <v>1.3274079999999999</v>
          </cell>
          <cell r="R413" t="e">
            <v>#N/A</v>
          </cell>
        </row>
        <row r="414">
          <cell r="A414">
            <v>40543</v>
          </cell>
          <cell r="B414">
            <v>40543</v>
          </cell>
          <cell r="C414" t="str">
            <v>Past</v>
          </cell>
          <cell r="D414">
            <v>40.44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40.44</v>
          </cell>
          <cell r="Q414">
            <v>0.91202799999999995</v>
          </cell>
          <cell r="R414" t="e">
            <v>#N/A</v>
          </cell>
        </row>
        <row r="415">
          <cell r="A415">
            <v>40546</v>
          </cell>
          <cell r="B415">
            <v>40546</v>
          </cell>
          <cell r="C415" t="str">
            <v>Past</v>
          </cell>
          <cell r="D415">
            <v>40.44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40.44</v>
          </cell>
          <cell r="Q415">
            <v>0</v>
          </cell>
          <cell r="R415" t="e">
            <v>#N/A</v>
          </cell>
        </row>
        <row r="416">
          <cell r="A416">
            <v>40547</v>
          </cell>
          <cell r="B416">
            <v>40547</v>
          </cell>
          <cell r="C416" t="str">
            <v>Past</v>
          </cell>
          <cell r="D416">
            <v>40.51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40.51</v>
          </cell>
          <cell r="Q416">
            <v>1.9921689999999999</v>
          </cell>
          <cell r="R416" t="e">
            <v>#N/A</v>
          </cell>
        </row>
        <row r="417">
          <cell r="A417">
            <v>40548</v>
          </cell>
          <cell r="B417">
            <v>40548</v>
          </cell>
          <cell r="C417" t="str">
            <v>Past</v>
          </cell>
          <cell r="D417">
            <v>39.840000000000003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39.840000000000003</v>
          </cell>
          <cell r="Q417">
            <v>2.8018149999999999</v>
          </cell>
          <cell r="R417" t="e">
            <v>#N/A</v>
          </cell>
        </row>
        <row r="418">
          <cell r="A418">
            <v>40549</v>
          </cell>
          <cell r="B418">
            <v>40549</v>
          </cell>
          <cell r="C418" t="str">
            <v>Past</v>
          </cell>
          <cell r="D418">
            <v>39.39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39.39</v>
          </cell>
          <cell r="Q418">
            <v>3.5274769999999998</v>
          </cell>
          <cell r="R418" t="e">
            <v>#N/A</v>
          </cell>
        </row>
        <row r="419">
          <cell r="A419">
            <v>40550</v>
          </cell>
          <cell r="B419">
            <v>40550</v>
          </cell>
          <cell r="C419" t="str">
            <v>Past</v>
          </cell>
          <cell r="D419">
            <v>38.61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38.61</v>
          </cell>
          <cell r="Q419">
            <v>3.8410219999999997</v>
          </cell>
          <cell r="R419" t="e">
            <v>#N/A</v>
          </cell>
        </row>
        <row r="420">
          <cell r="A420">
            <v>40553</v>
          </cell>
          <cell r="B420">
            <v>40553</v>
          </cell>
          <cell r="C420" t="str">
            <v>Past</v>
          </cell>
          <cell r="D420">
            <v>38.840000000000003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38.840000000000003</v>
          </cell>
          <cell r="Q420">
            <v>1.9487159999999999</v>
          </cell>
          <cell r="R420" t="e">
            <v>#N/A</v>
          </cell>
        </row>
        <row r="421">
          <cell r="A421">
            <v>40554</v>
          </cell>
          <cell r="B421">
            <v>40554</v>
          </cell>
          <cell r="C421" t="str">
            <v>Past</v>
          </cell>
          <cell r="D421">
            <v>38.5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38.5</v>
          </cell>
          <cell r="Q421">
            <v>2.3840249999999998</v>
          </cell>
          <cell r="R421" t="e">
            <v>#N/A</v>
          </cell>
        </row>
        <row r="422">
          <cell r="A422">
            <v>40555</v>
          </cell>
          <cell r="B422">
            <v>40555</v>
          </cell>
          <cell r="C422" t="str">
            <v>Past</v>
          </cell>
          <cell r="D422">
            <v>38.74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38.74</v>
          </cell>
          <cell r="Q422">
            <v>5.0052439999999994</v>
          </cell>
          <cell r="R422" t="e">
            <v>#N/A</v>
          </cell>
        </row>
        <row r="423">
          <cell r="A423">
            <v>40556</v>
          </cell>
          <cell r="B423">
            <v>40556</v>
          </cell>
          <cell r="C423" t="str">
            <v>Past</v>
          </cell>
          <cell r="D423">
            <v>39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39</v>
          </cell>
          <cell r="Q423">
            <v>2.436356</v>
          </cell>
          <cell r="R423" t="e">
            <v>#N/A</v>
          </cell>
        </row>
        <row r="424">
          <cell r="A424">
            <v>40557</v>
          </cell>
          <cell r="B424">
            <v>40557</v>
          </cell>
          <cell r="C424" t="str">
            <v>Past</v>
          </cell>
          <cell r="D424">
            <v>38.29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38.29</v>
          </cell>
          <cell r="Q424">
            <v>5.2831060000000001</v>
          </cell>
          <cell r="R424" t="e">
            <v>#N/A</v>
          </cell>
        </row>
        <row r="425">
          <cell r="A425">
            <v>40560</v>
          </cell>
          <cell r="B425">
            <v>40560</v>
          </cell>
          <cell r="C425" t="str">
            <v>Past</v>
          </cell>
          <cell r="D425">
            <v>37.81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37.81</v>
          </cell>
          <cell r="Q425">
            <v>3.0716519999999998</v>
          </cell>
          <cell r="R425" t="e">
            <v>#N/A</v>
          </cell>
        </row>
        <row r="426">
          <cell r="A426">
            <v>40561</v>
          </cell>
          <cell r="B426">
            <v>40561</v>
          </cell>
          <cell r="C426" t="str">
            <v>Past</v>
          </cell>
          <cell r="D426">
            <v>38.04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38.04</v>
          </cell>
          <cell r="Q426">
            <v>4.8779240000000001</v>
          </cell>
          <cell r="R426" t="e">
            <v>#N/A</v>
          </cell>
        </row>
        <row r="427">
          <cell r="A427">
            <v>40562</v>
          </cell>
          <cell r="B427">
            <v>40562</v>
          </cell>
          <cell r="C427" t="str">
            <v>Past</v>
          </cell>
          <cell r="D427">
            <v>38.130000000000003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38.130000000000003</v>
          </cell>
          <cell r="Q427">
            <v>3.6177509999999997</v>
          </cell>
          <cell r="R427" t="e">
            <v>#N/A</v>
          </cell>
        </row>
        <row r="428">
          <cell r="A428">
            <v>40563</v>
          </cell>
          <cell r="B428">
            <v>40563</v>
          </cell>
          <cell r="C428" t="str">
            <v>Past</v>
          </cell>
          <cell r="D428">
            <v>37.36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37.36</v>
          </cell>
          <cell r="Q428">
            <v>4.6371380000000002</v>
          </cell>
          <cell r="R428" t="e">
            <v>#N/A</v>
          </cell>
        </row>
        <row r="429">
          <cell r="A429">
            <v>40564</v>
          </cell>
          <cell r="B429">
            <v>40564</v>
          </cell>
          <cell r="C429" t="str">
            <v>Past</v>
          </cell>
          <cell r="D429">
            <v>36.71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36.71</v>
          </cell>
          <cell r="Q429">
            <v>5.8340400000000008</v>
          </cell>
          <cell r="R429" t="e">
            <v>#N/A</v>
          </cell>
        </row>
        <row r="430">
          <cell r="A430">
            <v>40567</v>
          </cell>
          <cell r="B430">
            <v>40567</v>
          </cell>
          <cell r="C430" t="str">
            <v>Past</v>
          </cell>
          <cell r="D430">
            <v>37.03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37.03</v>
          </cell>
          <cell r="Q430">
            <v>3.3438749999999997</v>
          </cell>
          <cell r="R430" t="e">
            <v>#N/A</v>
          </cell>
        </row>
        <row r="431">
          <cell r="A431">
            <v>40568</v>
          </cell>
          <cell r="B431">
            <v>40568</v>
          </cell>
          <cell r="C431" t="str">
            <v>Past</v>
          </cell>
          <cell r="D431">
            <v>37.619999999999997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37.619999999999997</v>
          </cell>
          <cell r="Q431">
            <v>4.3429549999999999</v>
          </cell>
          <cell r="R431" t="e">
            <v>#N/A</v>
          </cell>
        </row>
        <row r="432">
          <cell r="A432">
            <v>40569</v>
          </cell>
          <cell r="B432">
            <v>40569</v>
          </cell>
          <cell r="C432" t="str">
            <v>Past</v>
          </cell>
          <cell r="D432">
            <v>37.619999999999997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37.619999999999997</v>
          </cell>
          <cell r="Q432">
            <v>0</v>
          </cell>
          <cell r="R432" t="e">
            <v>#N/A</v>
          </cell>
        </row>
        <row r="433">
          <cell r="A433">
            <v>40570</v>
          </cell>
          <cell r="B433">
            <v>40570</v>
          </cell>
          <cell r="C433" t="str">
            <v>Past</v>
          </cell>
          <cell r="D433">
            <v>38.18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38.18</v>
          </cell>
          <cell r="Q433">
            <v>6.3166389999999994</v>
          </cell>
          <cell r="R433" t="e">
            <v>#N/A</v>
          </cell>
        </row>
        <row r="434">
          <cell r="A434">
            <v>40571</v>
          </cell>
          <cell r="B434">
            <v>40571</v>
          </cell>
          <cell r="C434" t="str">
            <v>Past</v>
          </cell>
          <cell r="D434">
            <v>36.799999999999997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36.799999999999997</v>
          </cell>
          <cell r="Q434">
            <v>8.2691029999999994</v>
          </cell>
          <cell r="R434" t="e">
            <v>#N/A</v>
          </cell>
        </row>
        <row r="435">
          <cell r="A435">
            <v>40574</v>
          </cell>
          <cell r="B435">
            <v>40574</v>
          </cell>
          <cell r="C435" t="str">
            <v>Past</v>
          </cell>
          <cell r="D435">
            <v>36.979999999999997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36.979999999999997</v>
          </cell>
          <cell r="Q435">
            <v>3.6094649999999997</v>
          </cell>
          <cell r="R435" t="e">
            <v>#N/A</v>
          </cell>
        </row>
        <row r="436">
          <cell r="A436">
            <v>40575</v>
          </cell>
          <cell r="B436">
            <v>40575</v>
          </cell>
          <cell r="C436" t="str">
            <v>Past</v>
          </cell>
          <cell r="D436">
            <v>36.69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36.69</v>
          </cell>
          <cell r="Q436">
            <v>4.0329069999999998</v>
          </cell>
          <cell r="R436" t="e">
            <v>#N/A</v>
          </cell>
        </row>
        <row r="437">
          <cell r="A437">
            <v>40576</v>
          </cell>
          <cell r="B437">
            <v>40576</v>
          </cell>
          <cell r="C437" t="str">
            <v>Past</v>
          </cell>
          <cell r="D437">
            <v>37.17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37.17</v>
          </cell>
          <cell r="Q437">
            <v>3.9786439999999996</v>
          </cell>
          <cell r="R437" t="e">
            <v>#N/A</v>
          </cell>
        </row>
        <row r="438">
          <cell r="A438">
            <v>40577</v>
          </cell>
          <cell r="B438">
            <v>40577</v>
          </cell>
          <cell r="C438" t="str">
            <v>Past</v>
          </cell>
          <cell r="D438">
            <v>36.86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36.86</v>
          </cell>
          <cell r="Q438">
            <v>3.6155819999999999</v>
          </cell>
          <cell r="R438" t="e">
            <v>#N/A</v>
          </cell>
        </row>
        <row r="439">
          <cell r="A439">
            <v>40578</v>
          </cell>
          <cell r="B439">
            <v>40578</v>
          </cell>
          <cell r="C439" t="str">
            <v>Past</v>
          </cell>
          <cell r="D439">
            <v>37.75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37.75</v>
          </cell>
          <cell r="Q439">
            <v>4.0047269999999999</v>
          </cell>
          <cell r="R439" t="e">
            <v>#N/A</v>
          </cell>
        </row>
        <row r="440">
          <cell r="A440">
            <v>40581</v>
          </cell>
          <cell r="B440">
            <v>40581</v>
          </cell>
          <cell r="C440" t="str">
            <v>Past</v>
          </cell>
          <cell r="D440">
            <v>37.450000000000003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37.450000000000003</v>
          </cell>
          <cell r="Q440">
            <v>1.918345</v>
          </cell>
          <cell r="R440" t="e">
            <v>#N/A</v>
          </cell>
        </row>
        <row r="441">
          <cell r="A441">
            <v>40582</v>
          </cell>
          <cell r="B441">
            <v>40582</v>
          </cell>
          <cell r="C441" t="str">
            <v>Past</v>
          </cell>
          <cell r="D441">
            <v>37.67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37.67</v>
          </cell>
          <cell r="Q441">
            <v>2.6005849999999997</v>
          </cell>
          <cell r="R441" t="e">
            <v>#N/A</v>
          </cell>
        </row>
        <row r="442">
          <cell r="A442">
            <v>40583</v>
          </cell>
          <cell r="B442">
            <v>40583</v>
          </cell>
          <cell r="C442" t="str">
            <v>Past</v>
          </cell>
          <cell r="D442">
            <v>37.33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37.33</v>
          </cell>
          <cell r="Q442">
            <v>3.6284159999999996</v>
          </cell>
          <cell r="R442" t="e">
            <v>#N/A</v>
          </cell>
        </row>
        <row r="443">
          <cell r="A443">
            <v>40584</v>
          </cell>
          <cell r="B443">
            <v>40584</v>
          </cell>
          <cell r="C443" t="str">
            <v>Past</v>
          </cell>
          <cell r="D443">
            <v>37.700000000000003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37.700000000000003</v>
          </cell>
          <cell r="Q443">
            <v>3.1395059999999999</v>
          </cell>
          <cell r="R443" t="e">
            <v>#N/A</v>
          </cell>
        </row>
        <row r="444">
          <cell r="A444">
            <v>40585</v>
          </cell>
          <cell r="B444">
            <v>40585</v>
          </cell>
          <cell r="C444" t="str">
            <v>Past</v>
          </cell>
          <cell r="D444">
            <v>37.159999999999997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37.159999999999997</v>
          </cell>
          <cell r="Q444">
            <v>4.5232000000000001</v>
          </cell>
          <cell r="R444" t="e">
            <v>#N/A</v>
          </cell>
        </row>
        <row r="445">
          <cell r="A445">
            <v>40588</v>
          </cell>
          <cell r="B445">
            <v>40588</v>
          </cell>
          <cell r="C445" t="str">
            <v>Past</v>
          </cell>
          <cell r="D445">
            <v>37.49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37.49</v>
          </cell>
          <cell r="Q445">
            <v>2.220351</v>
          </cell>
          <cell r="R445" t="e">
            <v>#N/A</v>
          </cell>
        </row>
        <row r="446">
          <cell r="A446">
            <v>40589</v>
          </cell>
          <cell r="B446">
            <v>40589</v>
          </cell>
          <cell r="C446" t="str">
            <v>Past</v>
          </cell>
          <cell r="D446">
            <v>37.79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37.79</v>
          </cell>
          <cell r="Q446">
            <v>2.5846809999999998</v>
          </cell>
          <cell r="R446" t="e">
            <v>#N/A</v>
          </cell>
        </row>
        <row r="447">
          <cell r="A447">
            <v>40590</v>
          </cell>
          <cell r="B447">
            <v>40590</v>
          </cell>
          <cell r="C447" t="str">
            <v>Past</v>
          </cell>
          <cell r="D447">
            <v>38.25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38.25</v>
          </cell>
          <cell r="Q447">
            <v>3.8935879999999998</v>
          </cell>
          <cell r="R447" t="e">
            <v>#N/A</v>
          </cell>
        </row>
        <row r="448">
          <cell r="A448">
            <v>40591</v>
          </cell>
          <cell r="B448">
            <v>40591</v>
          </cell>
          <cell r="C448" t="str">
            <v>Past</v>
          </cell>
          <cell r="D448">
            <v>38.49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38.49</v>
          </cell>
          <cell r="Q448">
            <v>1.9122800000000002</v>
          </cell>
          <cell r="R448" t="e">
            <v>#N/A</v>
          </cell>
        </row>
        <row r="449">
          <cell r="A449">
            <v>40592</v>
          </cell>
          <cell r="B449">
            <v>40592</v>
          </cell>
          <cell r="C449" t="str">
            <v>Past</v>
          </cell>
          <cell r="D449">
            <v>39.020000000000003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39.020000000000003</v>
          </cell>
          <cell r="Q449">
            <v>4.121505</v>
          </cell>
          <cell r="R449" t="e">
            <v>#N/A</v>
          </cell>
        </row>
        <row r="450">
          <cell r="A450">
            <v>40595</v>
          </cell>
          <cell r="B450">
            <v>40595</v>
          </cell>
          <cell r="C450" t="str">
            <v>Past</v>
          </cell>
          <cell r="D450">
            <v>39.71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39.71</v>
          </cell>
          <cell r="Q450">
            <v>5.2059470000000001</v>
          </cell>
          <cell r="R450" t="e">
            <v>#N/A</v>
          </cell>
        </row>
        <row r="451">
          <cell r="A451">
            <v>40596</v>
          </cell>
          <cell r="B451">
            <v>40596</v>
          </cell>
          <cell r="C451" t="str">
            <v>Past</v>
          </cell>
          <cell r="D451">
            <v>39.29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39.29</v>
          </cell>
          <cell r="Q451">
            <v>3.7015000000000002</v>
          </cell>
          <cell r="R451" t="e">
            <v>#N/A</v>
          </cell>
        </row>
        <row r="452">
          <cell r="A452">
            <v>40597</v>
          </cell>
          <cell r="B452">
            <v>40597</v>
          </cell>
          <cell r="C452" t="str">
            <v>Past</v>
          </cell>
          <cell r="D452">
            <v>38.94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38.94</v>
          </cell>
          <cell r="Q452">
            <v>3.3567619999999998</v>
          </cell>
          <cell r="R452" t="e">
            <v>#N/A</v>
          </cell>
        </row>
        <row r="453">
          <cell r="A453">
            <v>40598</v>
          </cell>
          <cell r="B453">
            <v>40598</v>
          </cell>
          <cell r="C453" t="str">
            <v>Past</v>
          </cell>
          <cell r="D453">
            <v>39.11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39.11</v>
          </cell>
          <cell r="Q453">
            <v>3.5939049999999999</v>
          </cell>
          <cell r="R453" t="e">
            <v>#N/A</v>
          </cell>
        </row>
        <row r="454">
          <cell r="A454">
            <v>40599</v>
          </cell>
          <cell r="B454">
            <v>40599</v>
          </cell>
          <cell r="C454" t="str">
            <v>Past</v>
          </cell>
          <cell r="D454">
            <v>38.630000000000003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38.630000000000003</v>
          </cell>
          <cell r="Q454">
            <v>4.8776919999999997</v>
          </cell>
          <cell r="R454" t="e">
            <v>#N/A</v>
          </cell>
        </row>
        <row r="455">
          <cell r="A455">
            <v>40602</v>
          </cell>
          <cell r="B455">
            <v>40602</v>
          </cell>
          <cell r="C455" t="str">
            <v>Past</v>
          </cell>
          <cell r="D455">
            <v>37.93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37.93</v>
          </cell>
          <cell r="Q455">
            <v>3.9249419999999997</v>
          </cell>
          <cell r="R455" t="e">
            <v>#N/A</v>
          </cell>
        </row>
        <row r="456">
          <cell r="A456">
            <v>40603</v>
          </cell>
          <cell r="B456">
            <v>40603</v>
          </cell>
          <cell r="C456" t="str">
            <v>Past</v>
          </cell>
          <cell r="D456">
            <v>37.69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37.69</v>
          </cell>
          <cell r="Q456">
            <v>3.7377939999999996</v>
          </cell>
          <cell r="R456" t="e">
            <v>#N/A</v>
          </cell>
        </row>
        <row r="457">
          <cell r="A457">
            <v>40604</v>
          </cell>
          <cell r="B457">
            <v>40604</v>
          </cell>
          <cell r="C457" t="str">
            <v>Past</v>
          </cell>
          <cell r="D457">
            <v>38.409999999999997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38.409999999999997</v>
          </cell>
          <cell r="Q457">
            <v>7.1985380000000001</v>
          </cell>
          <cell r="R457" t="e">
            <v>#N/A</v>
          </cell>
        </row>
        <row r="458">
          <cell r="A458">
            <v>40605</v>
          </cell>
          <cell r="B458">
            <v>40605</v>
          </cell>
          <cell r="C458" t="str">
            <v>Past</v>
          </cell>
          <cell r="D458">
            <v>38.229999999999997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38.229999999999997</v>
          </cell>
          <cell r="Q458">
            <v>2.2675269999999998</v>
          </cell>
          <cell r="R458" t="e">
            <v>#N/A</v>
          </cell>
        </row>
        <row r="459">
          <cell r="A459">
            <v>40606</v>
          </cell>
          <cell r="B459">
            <v>40606</v>
          </cell>
          <cell r="C459" t="str">
            <v>Past</v>
          </cell>
          <cell r="D459">
            <v>40.020000000000003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40.020000000000003</v>
          </cell>
          <cell r="Q459">
            <v>7.639050000000001</v>
          </cell>
          <cell r="R459" t="e">
            <v>#N/A</v>
          </cell>
        </row>
        <row r="460">
          <cell r="A460">
            <v>40609</v>
          </cell>
          <cell r="B460">
            <v>40609</v>
          </cell>
          <cell r="C460" t="str">
            <v>Past</v>
          </cell>
          <cell r="D460">
            <v>40.04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40.04</v>
          </cell>
          <cell r="Q460">
            <v>7.1182169999999996</v>
          </cell>
          <cell r="R460" t="e">
            <v>#N/A</v>
          </cell>
        </row>
        <row r="461">
          <cell r="A461">
            <v>40610</v>
          </cell>
          <cell r="B461">
            <v>40610</v>
          </cell>
          <cell r="C461" t="str">
            <v>Past</v>
          </cell>
          <cell r="D461">
            <v>39.31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39.31</v>
          </cell>
          <cell r="Q461">
            <v>4.0136669999999999</v>
          </cell>
          <cell r="R461" t="e">
            <v>#N/A</v>
          </cell>
        </row>
        <row r="462">
          <cell r="A462">
            <v>40611</v>
          </cell>
          <cell r="B462">
            <v>40611</v>
          </cell>
          <cell r="C462" t="str">
            <v>Past</v>
          </cell>
          <cell r="D462">
            <v>38.299999999999997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38.299999999999997</v>
          </cell>
          <cell r="Q462">
            <v>3.9085359999999998</v>
          </cell>
          <cell r="R462" t="e">
            <v>#N/A</v>
          </cell>
        </row>
        <row r="463">
          <cell r="A463">
            <v>40612</v>
          </cell>
          <cell r="B463">
            <v>40612</v>
          </cell>
          <cell r="C463" t="str">
            <v>Past</v>
          </cell>
          <cell r="D463">
            <v>37.700000000000003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37.700000000000003</v>
          </cell>
          <cell r="Q463">
            <v>3.5856369999999997</v>
          </cell>
          <cell r="R463" t="e">
            <v>#N/A</v>
          </cell>
        </row>
        <row r="464">
          <cell r="A464">
            <v>40613</v>
          </cell>
          <cell r="B464">
            <v>40613</v>
          </cell>
          <cell r="C464" t="str">
            <v>Past</v>
          </cell>
          <cell r="D464">
            <v>37.590000000000003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37.590000000000003</v>
          </cell>
          <cell r="Q464">
            <v>3.5986149999999997</v>
          </cell>
          <cell r="R464" t="e">
            <v>#N/A</v>
          </cell>
        </row>
        <row r="465">
          <cell r="A465">
            <v>40616</v>
          </cell>
          <cell r="B465">
            <v>40616</v>
          </cell>
          <cell r="C465" t="str">
            <v>Past</v>
          </cell>
          <cell r="D465">
            <v>37.21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37.21</v>
          </cell>
          <cell r="Q465">
            <v>3.6904939999999997</v>
          </cell>
          <cell r="R465" t="e">
            <v>#N/A</v>
          </cell>
        </row>
        <row r="466">
          <cell r="A466">
            <v>40617</v>
          </cell>
          <cell r="B466">
            <v>40617</v>
          </cell>
          <cell r="C466" t="str">
            <v>Past</v>
          </cell>
          <cell r="D466">
            <v>35.85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35.85</v>
          </cell>
          <cell r="Q466">
            <v>3.4851559999999999</v>
          </cell>
          <cell r="R466" t="e">
            <v>#N/A</v>
          </cell>
        </row>
        <row r="467">
          <cell r="A467">
            <v>40618</v>
          </cell>
          <cell r="B467">
            <v>40618</v>
          </cell>
          <cell r="C467" t="str">
            <v>Past</v>
          </cell>
          <cell r="D467">
            <v>36.4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36.4</v>
          </cell>
          <cell r="Q467">
            <v>7.1401000000000003</v>
          </cell>
          <cell r="R467" t="e">
            <v>#N/A</v>
          </cell>
        </row>
        <row r="468">
          <cell r="A468">
            <v>40619</v>
          </cell>
          <cell r="B468">
            <v>40619</v>
          </cell>
          <cell r="C468" t="str">
            <v>Past</v>
          </cell>
          <cell r="D468">
            <v>35.6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35.6</v>
          </cell>
          <cell r="Q468">
            <v>10.78241</v>
          </cell>
          <cell r="R468" t="e">
            <v>#N/A</v>
          </cell>
        </row>
        <row r="469">
          <cell r="A469">
            <v>40620</v>
          </cell>
          <cell r="B469">
            <v>40620</v>
          </cell>
          <cell r="C469" t="str">
            <v>Past</v>
          </cell>
          <cell r="D469">
            <v>36.65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36.65</v>
          </cell>
          <cell r="Q469">
            <v>4.5119489999999995</v>
          </cell>
          <cell r="R469" t="e">
            <v>#N/A</v>
          </cell>
        </row>
        <row r="470">
          <cell r="A470">
            <v>40623</v>
          </cell>
          <cell r="B470">
            <v>40623</v>
          </cell>
          <cell r="C470" t="str">
            <v>Past</v>
          </cell>
          <cell r="D470">
            <v>36.94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36.94</v>
          </cell>
          <cell r="Q470">
            <v>2.4239039999999998</v>
          </cell>
          <cell r="R470" t="e">
            <v>#N/A</v>
          </cell>
        </row>
        <row r="471">
          <cell r="A471">
            <v>40624</v>
          </cell>
          <cell r="B471">
            <v>40624</v>
          </cell>
          <cell r="C471" t="str">
            <v>Past</v>
          </cell>
          <cell r="D471">
            <v>37.020000000000003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37.020000000000003</v>
          </cell>
          <cell r="Q471">
            <v>3.4096700000000002</v>
          </cell>
          <cell r="R471" t="e">
            <v>#N/A</v>
          </cell>
        </row>
        <row r="472">
          <cell r="A472">
            <v>40625</v>
          </cell>
          <cell r="B472">
            <v>40625</v>
          </cell>
          <cell r="C472" t="str">
            <v>Past</v>
          </cell>
          <cell r="D472">
            <v>37.07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37.07</v>
          </cell>
          <cell r="Q472">
            <v>2.0355840000000001</v>
          </cell>
          <cell r="R472" t="e">
            <v>#N/A</v>
          </cell>
        </row>
        <row r="473">
          <cell r="A473">
            <v>40626</v>
          </cell>
          <cell r="B473">
            <v>40626</v>
          </cell>
          <cell r="C473" t="str">
            <v>Past</v>
          </cell>
          <cell r="D473">
            <v>38.049999999999997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38.049999999999997</v>
          </cell>
          <cell r="Q473">
            <v>4.8537700000000008</v>
          </cell>
          <cell r="R473" t="e">
            <v>#N/A</v>
          </cell>
        </row>
        <row r="474">
          <cell r="A474">
            <v>40627</v>
          </cell>
          <cell r="B474">
            <v>40627</v>
          </cell>
          <cell r="C474" t="str">
            <v>Past</v>
          </cell>
          <cell r="D474">
            <v>38.76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38.76</v>
          </cell>
          <cell r="Q474">
            <v>8.6095569999999988</v>
          </cell>
          <cell r="R474" t="e">
            <v>#N/A</v>
          </cell>
        </row>
        <row r="475">
          <cell r="A475">
            <v>40630</v>
          </cell>
          <cell r="B475">
            <v>40630</v>
          </cell>
          <cell r="C475" t="str">
            <v>Past</v>
          </cell>
          <cell r="D475">
            <v>38.78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38.78</v>
          </cell>
          <cell r="Q475">
            <v>2.5478429999999999</v>
          </cell>
          <cell r="R475" t="e">
            <v>#N/A</v>
          </cell>
        </row>
        <row r="476">
          <cell r="A476">
            <v>40631</v>
          </cell>
          <cell r="B476">
            <v>40631</v>
          </cell>
          <cell r="C476" t="str">
            <v>Past</v>
          </cell>
          <cell r="D476">
            <v>38.520000000000003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38.520000000000003</v>
          </cell>
          <cell r="Q476">
            <v>3.5745659999999999</v>
          </cell>
          <cell r="R476" t="e">
            <v>#N/A</v>
          </cell>
        </row>
        <row r="477">
          <cell r="A477">
            <v>40632</v>
          </cell>
          <cell r="B477">
            <v>40632</v>
          </cell>
          <cell r="C477" t="str">
            <v>Past</v>
          </cell>
          <cell r="D477">
            <v>39.93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39.93</v>
          </cell>
          <cell r="Q477">
            <v>7.1291279999999997</v>
          </cell>
          <cell r="R477" t="e">
            <v>#N/A</v>
          </cell>
        </row>
        <row r="478">
          <cell r="A478">
            <v>40633</v>
          </cell>
          <cell r="B478">
            <v>40633</v>
          </cell>
          <cell r="C478" t="str">
            <v>Past</v>
          </cell>
          <cell r="D478">
            <v>39.82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39.82</v>
          </cell>
          <cell r="Q478">
            <v>2.7419469999999997</v>
          </cell>
          <cell r="R478" t="e">
            <v>#N/A</v>
          </cell>
        </row>
        <row r="479">
          <cell r="A479">
            <v>40634</v>
          </cell>
          <cell r="B479">
            <v>40634</v>
          </cell>
          <cell r="C479" t="str">
            <v>Past</v>
          </cell>
          <cell r="D479">
            <v>40.200000000000003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40.200000000000003</v>
          </cell>
          <cell r="Q479">
            <v>2.7330609999999997</v>
          </cell>
          <cell r="R479" t="e">
            <v>#N/A</v>
          </cell>
        </row>
        <row r="480">
          <cell r="A480">
            <v>40637</v>
          </cell>
          <cell r="B480">
            <v>40637</v>
          </cell>
          <cell r="C480" t="str">
            <v>Past</v>
          </cell>
          <cell r="D480">
            <v>40.22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40.22</v>
          </cell>
          <cell r="Q480">
            <v>1.782381</v>
          </cell>
          <cell r="R480" t="e">
            <v>#N/A</v>
          </cell>
        </row>
        <row r="481">
          <cell r="A481">
            <v>40638</v>
          </cell>
          <cell r="B481">
            <v>40638</v>
          </cell>
          <cell r="C481" t="str">
            <v>Past</v>
          </cell>
          <cell r="D481">
            <v>40.54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40.54</v>
          </cell>
          <cell r="Q481">
            <v>2.4855</v>
          </cell>
          <cell r="R481" t="e">
            <v>#N/A</v>
          </cell>
        </row>
        <row r="482">
          <cell r="A482">
            <v>40639</v>
          </cell>
          <cell r="B482">
            <v>40639</v>
          </cell>
          <cell r="C482" t="str">
            <v>Past</v>
          </cell>
          <cell r="D482">
            <v>41.71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41.71</v>
          </cell>
          <cell r="Q482">
            <v>4.3250449999999994</v>
          </cell>
          <cell r="R482" t="e">
            <v>#N/A</v>
          </cell>
        </row>
        <row r="483">
          <cell r="A483">
            <v>40640</v>
          </cell>
          <cell r="B483">
            <v>40640</v>
          </cell>
          <cell r="C483" t="str">
            <v>Past</v>
          </cell>
          <cell r="D483">
            <v>41.5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41.5</v>
          </cell>
          <cell r="Q483">
            <v>2.8214079999999999</v>
          </cell>
          <cell r="R483" t="e">
            <v>#N/A</v>
          </cell>
        </row>
        <row r="484">
          <cell r="A484">
            <v>40641</v>
          </cell>
          <cell r="B484">
            <v>40641</v>
          </cell>
          <cell r="C484" t="str">
            <v>Past</v>
          </cell>
          <cell r="D484">
            <v>42.08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42.08</v>
          </cell>
          <cell r="Q484">
            <v>3.2610250000000001</v>
          </cell>
          <cell r="R484" t="e">
            <v>#N/A</v>
          </cell>
        </row>
        <row r="485">
          <cell r="A485">
            <v>40644</v>
          </cell>
          <cell r="B485">
            <v>40644</v>
          </cell>
          <cell r="C485" t="str">
            <v>Past</v>
          </cell>
          <cell r="D485">
            <v>42.39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42.39</v>
          </cell>
          <cell r="Q485">
            <v>2.3802569999999998</v>
          </cell>
          <cell r="R485" t="e">
            <v>#N/A</v>
          </cell>
        </row>
        <row r="486">
          <cell r="A486">
            <v>40645</v>
          </cell>
          <cell r="B486">
            <v>40645</v>
          </cell>
          <cell r="C486" t="str">
            <v>Past</v>
          </cell>
          <cell r="D486">
            <v>41.1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41.1</v>
          </cell>
          <cell r="Q486">
            <v>3.8497000000000003</v>
          </cell>
          <cell r="R486" t="e">
            <v>#N/A</v>
          </cell>
        </row>
        <row r="487">
          <cell r="A487">
            <v>40646</v>
          </cell>
          <cell r="B487">
            <v>40646</v>
          </cell>
          <cell r="C487" t="str">
            <v>Past</v>
          </cell>
          <cell r="D487">
            <v>41.01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41.01</v>
          </cell>
          <cell r="Q487">
            <v>2.820595</v>
          </cell>
          <cell r="R487" t="e">
            <v>#N/A</v>
          </cell>
        </row>
        <row r="488">
          <cell r="A488">
            <v>40647</v>
          </cell>
          <cell r="B488">
            <v>40647</v>
          </cell>
          <cell r="C488" t="str">
            <v>Past</v>
          </cell>
          <cell r="D488">
            <v>40.700000000000003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40.700000000000003</v>
          </cell>
          <cell r="Q488">
            <v>2.3617189999999999</v>
          </cell>
          <cell r="R488" t="e">
            <v>#N/A</v>
          </cell>
        </row>
        <row r="489">
          <cell r="A489">
            <v>40648</v>
          </cell>
          <cell r="B489">
            <v>40648</v>
          </cell>
          <cell r="C489" t="str">
            <v>Past</v>
          </cell>
          <cell r="D489">
            <v>41.3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41.3</v>
          </cell>
          <cell r="Q489">
            <v>2.3098649999999998</v>
          </cell>
          <cell r="R489" t="e">
            <v>#N/A</v>
          </cell>
        </row>
        <row r="490">
          <cell r="A490">
            <v>40651</v>
          </cell>
          <cell r="B490">
            <v>40651</v>
          </cell>
          <cell r="C490" t="str">
            <v>Past</v>
          </cell>
          <cell r="D490">
            <v>41.12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41.12</v>
          </cell>
          <cell r="Q490">
            <v>2.1363539999999999</v>
          </cell>
          <cell r="R490" t="e">
            <v>#N/A</v>
          </cell>
        </row>
        <row r="491">
          <cell r="A491">
            <v>40652</v>
          </cell>
          <cell r="B491">
            <v>40652</v>
          </cell>
          <cell r="C491" t="str">
            <v>Past</v>
          </cell>
          <cell r="D491">
            <v>40.799999999999997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40.799999999999997</v>
          </cell>
          <cell r="Q491">
            <v>3.640339</v>
          </cell>
          <cell r="R491" t="e">
            <v>#N/A</v>
          </cell>
        </row>
        <row r="492">
          <cell r="A492">
            <v>40653</v>
          </cell>
          <cell r="B492">
            <v>40653</v>
          </cell>
          <cell r="C492" t="str">
            <v>Past</v>
          </cell>
          <cell r="D492">
            <v>41.82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41.82</v>
          </cell>
          <cell r="Q492">
            <v>3.0272600000000001</v>
          </cell>
          <cell r="R492" t="e">
            <v>#N/A</v>
          </cell>
        </row>
        <row r="493">
          <cell r="A493">
            <v>40654</v>
          </cell>
          <cell r="B493">
            <v>40654</v>
          </cell>
          <cell r="C493" t="str">
            <v>Past</v>
          </cell>
          <cell r="D493">
            <v>42.66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42.66</v>
          </cell>
          <cell r="Q493">
            <v>2.9996829999999997</v>
          </cell>
          <cell r="R493" t="e">
            <v>#N/A</v>
          </cell>
        </row>
        <row r="494">
          <cell r="A494">
            <v>40655</v>
          </cell>
          <cell r="B494">
            <v>40655</v>
          </cell>
          <cell r="C494" t="str">
            <v>Past</v>
          </cell>
          <cell r="D494">
            <v>42.66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42.66</v>
          </cell>
          <cell r="Q494">
            <v>0</v>
          </cell>
          <cell r="R494" t="e">
            <v>#N/A</v>
          </cell>
        </row>
        <row r="495">
          <cell r="A495">
            <v>40658</v>
          </cell>
          <cell r="B495">
            <v>40658</v>
          </cell>
          <cell r="C495" t="str">
            <v>Past</v>
          </cell>
          <cell r="D495">
            <v>42.66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42.66</v>
          </cell>
          <cell r="Q495">
            <v>0</v>
          </cell>
          <cell r="R495" t="e">
            <v>#N/A</v>
          </cell>
        </row>
        <row r="496">
          <cell r="A496">
            <v>40659</v>
          </cell>
          <cell r="B496">
            <v>40659</v>
          </cell>
          <cell r="C496" t="str">
            <v>Past</v>
          </cell>
          <cell r="D496">
            <v>42.66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42.66</v>
          </cell>
          <cell r="Q496">
            <v>0</v>
          </cell>
          <cell r="R496" t="e">
            <v>#N/A</v>
          </cell>
        </row>
        <row r="497">
          <cell r="A497">
            <v>40660</v>
          </cell>
          <cell r="B497">
            <v>40660</v>
          </cell>
          <cell r="C497" t="str">
            <v>Past</v>
          </cell>
          <cell r="D497">
            <v>42.02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42.02</v>
          </cell>
          <cell r="Q497">
            <v>4.6404420000000002</v>
          </cell>
          <cell r="R497" t="e">
            <v>#N/A</v>
          </cell>
        </row>
        <row r="498">
          <cell r="A498">
            <v>40661</v>
          </cell>
          <cell r="B498">
            <v>40661</v>
          </cell>
          <cell r="C498" t="str">
            <v>Past</v>
          </cell>
          <cell r="D498">
            <v>42.02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42.02</v>
          </cell>
          <cell r="Q498">
            <v>3.9106969999999999</v>
          </cell>
          <cell r="R498" t="e">
            <v>#N/A</v>
          </cell>
        </row>
        <row r="499">
          <cell r="A499">
            <v>40662</v>
          </cell>
          <cell r="B499">
            <v>40662</v>
          </cell>
          <cell r="C499" t="str">
            <v>Past</v>
          </cell>
          <cell r="D499">
            <v>41.45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41.45</v>
          </cell>
          <cell r="Q499">
            <v>6.4421919999999995</v>
          </cell>
          <cell r="R499" t="e">
            <v>#N/A</v>
          </cell>
        </row>
        <row r="500">
          <cell r="A500">
            <v>40665</v>
          </cell>
          <cell r="B500">
            <v>40665</v>
          </cell>
          <cell r="C500" t="str">
            <v>Past</v>
          </cell>
          <cell r="D500">
            <v>41.16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41.16</v>
          </cell>
          <cell r="Q500">
            <v>3.0513509999999999</v>
          </cell>
          <cell r="R500" t="e">
            <v>#N/A</v>
          </cell>
        </row>
        <row r="501">
          <cell r="A501">
            <v>40666</v>
          </cell>
          <cell r="B501">
            <v>40666</v>
          </cell>
          <cell r="C501" t="str">
            <v>Past</v>
          </cell>
          <cell r="D501">
            <v>40.54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40.54</v>
          </cell>
          <cell r="Q501">
            <v>2.8270879999999998</v>
          </cell>
          <cell r="R501" t="e">
            <v>#N/A</v>
          </cell>
        </row>
        <row r="502">
          <cell r="A502">
            <v>40667</v>
          </cell>
          <cell r="B502">
            <v>40667</v>
          </cell>
          <cell r="C502" t="str">
            <v>Past</v>
          </cell>
          <cell r="D502">
            <v>39.99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39.99</v>
          </cell>
          <cell r="Q502">
            <v>3.7279119999999999</v>
          </cell>
          <cell r="R502" t="e">
            <v>#N/A</v>
          </cell>
        </row>
        <row r="503">
          <cell r="A503">
            <v>40668</v>
          </cell>
          <cell r="B503">
            <v>40668</v>
          </cell>
          <cell r="C503" t="str">
            <v>Past</v>
          </cell>
          <cell r="D503">
            <v>40.229999999999997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40.229999999999997</v>
          </cell>
          <cell r="Q503">
            <v>3.004572</v>
          </cell>
          <cell r="R503" t="e">
            <v>#N/A</v>
          </cell>
        </row>
        <row r="504">
          <cell r="A504">
            <v>40669</v>
          </cell>
          <cell r="B504">
            <v>40669</v>
          </cell>
          <cell r="C504" t="str">
            <v>Past</v>
          </cell>
          <cell r="D504">
            <v>39.380000000000003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39.380000000000003</v>
          </cell>
          <cell r="Q504">
            <v>4.2058929999999997</v>
          </cell>
          <cell r="R504" t="e">
            <v>#N/A</v>
          </cell>
        </row>
        <row r="505">
          <cell r="A505">
            <v>40672</v>
          </cell>
          <cell r="B505">
            <v>40672</v>
          </cell>
          <cell r="C505" t="str">
            <v>Past</v>
          </cell>
          <cell r="D505">
            <v>39.35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39.35</v>
          </cell>
          <cell r="Q505">
            <v>2.9566669999999999</v>
          </cell>
          <cell r="R505" t="e">
            <v>#N/A</v>
          </cell>
        </row>
        <row r="506">
          <cell r="A506">
            <v>40673</v>
          </cell>
          <cell r="B506">
            <v>40673</v>
          </cell>
          <cell r="C506" t="str">
            <v>Past</v>
          </cell>
          <cell r="D506">
            <v>38.82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38.82</v>
          </cell>
          <cell r="Q506">
            <v>3.4496319999999998</v>
          </cell>
          <cell r="R506" t="e">
            <v>#N/A</v>
          </cell>
        </row>
        <row r="507">
          <cell r="A507">
            <v>40674</v>
          </cell>
          <cell r="B507">
            <v>40674</v>
          </cell>
          <cell r="C507" t="str">
            <v>Past</v>
          </cell>
          <cell r="D507">
            <v>39.5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39.5</v>
          </cell>
          <cell r="Q507">
            <v>3.9600689999999998</v>
          </cell>
          <cell r="R507" t="e">
            <v>#N/A</v>
          </cell>
        </row>
        <row r="508">
          <cell r="A508">
            <v>40675</v>
          </cell>
          <cell r="B508">
            <v>40675</v>
          </cell>
          <cell r="C508" t="str">
            <v>Past</v>
          </cell>
          <cell r="D508">
            <v>38.19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38.19</v>
          </cell>
          <cell r="Q508">
            <v>5.420623</v>
          </cell>
          <cell r="R508" t="e">
            <v>#N/A</v>
          </cell>
        </row>
        <row r="509">
          <cell r="A509">
            <v>40676</v>
          </cell>
          <cell r="B509">
            <v>40676</v>
          </cell>
          <cell r="C509" t="str">
            <v>Past</v>
          </cell>
          <cell r="D509">
            <v>38.299999999999997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38.299999999999997</v>
          </cell>
          <cell r="Q509">
            <v>5.5126109999999997</v>
          </cell>
          <cell r="R509" t="e">
            <v>#N/A</v>
          </cell>
        </row>
        <row r="510">
          <cell r="A510">
            <v>40679</v>
          </cell>
          <cell r="B510">
            <v>40679</v>
          </cell>
          <cell r="C510" t="str">
            <v>Past</v>
          </cell>
          <cell r="D510">
            <v>37.67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37.67</v>
          </cell>
          <cell r="Q510">
            <v>2.5843249999999998</v>
          </cell>
          <cell r="R510" t="e">
            <v>#N/A</v>
          </cell>
        </row>
        <row r="511">
          <cell r="A511">
            <v>40680</v>
          </cell>
          <cell r="B511">
            <v>40680</v>
          </cell>
          <cell r="C511" t="str">
            <v>Past</v>
          </cell>
          <cell r="D511">
            <v>37.96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37.96</v>
          </cell>
          <cell r="Q511">
            <v>2.5177130000000001</v>
          </cell>
          <cell r="R511" t="e">
            <v>#N/A</v>
          </cell>
        </row>
        <row r="512">
          <cell r="A512">
            <v>40681</v>
          </cell>
          <cell r="B512">
            <v>40681</v>
          </cell>
          <cell r="C512" t="str">
            <v>Past</v>
          </cell>
          <cell r="D512">
            <v>37.909999999999997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37.909999999999997</v>
          </cell>
          <cell r="Q512">
            <v>2.6049530000000001</v>
          </cell>
          <cell r="R512" t="e">
            <v>#N/A</v>
          </cell>
        </row>
        <row r="513">
          <cell r="A513">
            <v>40682</v>
          </cell>
          <cell r="B513">
            <v>40682</v>
          </cell>
          <cell r="C513" t="str">
            <v>Past</v>
          </cell>
          <cell r="D513">
            <v>38.770000000000003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38.770000000000003</v>
          </cell>
          <cell r="Q513">
            <v>3.5696800000000004</v>
          </cell>
          <cell r="R513" t="e">
            <v>#N/A</v>
          </cell>
        </row>
        <row r="514">
          <cell r="A514">
            <v>40683</v>
          </cell>
          <cell r="B514">
            <v>40683</v>
          </cell>
          <cell r="C514" t="str">
            <v>Past</v>
          </cell>
          <cell r="D514">
            <v>38.47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38.47</v>
          </cell>
          <cell r="Q514">
            <v>1.9864000000000002</v>
          </cell>
          <cell r="R514" t="e">
            <v>#N/A</v>
          </cell>
        </row>
        <row r="515">
          <cell r="A515">
            <v>40686</v>
          </cell>
          <cell r="B515">
            <v>40686</v>
          </cell>
          <cell r="C515" t="str">
            <v>Past</v>
          </cell>
          <cell r="D515">
            <v>38.049999999999997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38.049999999999997</v>
          </cell>
          <cell r="Q515">
            <v>2.5975200000000003</v>
          </cell>
          <cell r="R515" t="e">
            <v>#N/A</v>
          </cell>
        </row>
        <row r="516">
          <cell r="A516">
            <v>40687</v>
          </cell>
          <cell r="B516">
            <v>40687</v>
          </cell>
          <cell r="C516" t="str">
            <v>Past</v>
          </cell>
          <cell r="D516">
            <v>38.049999999999997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38.049999999999997</v>
          </cell>
          <cell r="Q516">
            <v>2.8084879999999997</v>
          </cell>
          <cell r="R516" t="e">
            <v>#N/A</v>
          </cell>
        </row>
        <row r="517">
          <cell r="A517">
            <v>40688</v>
          </cell>
          <cell r="B517">
            <v>40688</v>
          </cell>
          <cell r="C517" t="str">
            <v>Past</v>
          </cell>
          <cell r="D517">
            <v>37.619999999999997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37.619999999999997</v>
          </cell>
          <cell r="Q517">
            <v>2.4606379999999999</v>
          </cell>
          <cell r="R517" t="e">
            <v>#N/A</v>
          </cell>
        </row>
        <row r="518">
          <cell r="A518">
            <v>40689</v>
          </cell>
          <cell r="B518">
            <v>40689</v>
          </cell>
          <cell r="C518" t="str">
            <v>Past</v>
          </cell>
          <cell r="D518">
            <v>38.71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38.71</v>
          </cell>
          <cell r="Q518">
            <v>3.8663129999999999</v>
          </cell>
          <cell r="R518" t="e">
            <v>#N/A</v>
          </cell>
        </row>
        <row r="519">
          <cell r="A519">
            <v>40690</v>
          </cell>
          <cell r="B519">
            <v>40690</v>
          </cell>
          <cell r="C519" t="str">
            <v>Past</v>
          </cell>
          <cell r="D519">
            <v>39.14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39.14</v>
          </cell>
          <cell r="Q519">
            <v>7.3680110000000001</v>
          </cell>
          <cell r="R519" t="e">
            <v>#N/A</v>
          </cell>
        </row>
        <row r="520">
          <cell r="A520">
            <v>40693</v>
          </cell>
          <cell r="B520">
            <v>40693</v>
          </cell>
          <cell r="C520" t="str">
            <v>Past</v>
          </cell>
          <cell r="D520">
            <v>39.21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39.21</v>
          </cell>
          <cell r="Q520">
            <v>3.9293800000000005</v>
          </cell>
          <cell r="R520" t="e">
            <v>#N/A</v>
          </cell>
        </row>
        <row r="521">
          <cell r="A521">
            <v>40694</v>
          </cell>
          <cell r="B521">
            <v>40694</v>
          </cell>
          <cell r="C521" t="str">
            <v>Past</v>
          </cell>
          <cell r="D521">
            <v>39.700000000000003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39.700000000000003</v>
          </cell>
          <cell r="Q521">
            <v>2.489557</v>
          </cell>
          <cell r="R521" t="e">
            <v>#N/A</v>
          </cell>
        </row>
        <row r="522">
          <cell r="A522">
            <v>40695</v>
          </cell>
          <cell r="B522">
            <v>40695</v>
          </cell>
          <cell r="C522" t="str">
            <v>Past</v>
          </cell>
          <cell r="D522">
            <v>39.42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39.42</v>
          </cell>
          <cell r="Q522">
            <v>2.2930079999999999</v>
          </cell>
          <cell r="R522" t="e">
            <v>#N/A</v>
          </cell>
        </row>
        <row r="523">
          <cell r="A523">
            <v>40696</v>
          </cell>
          <cell r="B523">
            <v>40696</v>
          </cell>
          <cell r="C523" t="str">
            <v>Past</v>
          </cell>
          <cell r="D523">
            <v>38.75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38.75</v>
          </cell>
          <cell r="Q523">
            <v>2.666344</v>
          </cell>
          <cell r="R523" t="e">
            <v>#N/A</v>
          </cell>
        </row>
        <row r="524">
          <cell r="A524">
            <v>40697</v>
          </cell>
          <cell r="B524">
            <v>40697</v>
          </cell>
          <cell r="C524" t="str">
            <v>Past</v>
          </cell>
          <cell r="D524">
            <v>38.659999999999997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38.659999999999997</v>
          </cell>
          <cell r="Q524">
            <v>2.5147249999999999</v>
          </cell>
          <cell r="R524" t="e">
            <v>#N/A</v>
          </cell>
        </row>
        <row r="525">
          <cell r="A525">
            <v>40700</v>
          </cell>
          <cell r="B525">
            <v>40700</v>
          </cell>
          <cell r="C525" t="str">
            <v>Past</v>
          </cell>
          <cell r="D525">
            <v>38.54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38.54</v>
          </cell>
          <cell r="Q525">
            <v>1.6964139999999999</v>
          </cell>
          <cell r="R525" t="e">
            <v>#N/A</v>
          </cell>
        </row>
        <row r="526">
          <cell r="A526">
            <v>40701</v>
          </cell>
          <cell r="B526">
            <v>40701</v>
          </cell>
          <cell r="C526" t="str">
            <v>Past</v>
          </cell>
          <cell r="D526">
            <v>38.36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38.36</v>
          </cell>
          <cell r="Q526">
            <v>1.9685359999999998</v>
          </cell>
          <cell r="R526" t="e">
            <v>#N/A</v>
          </cell>
        </row>
        <row r="527">
          <cell r="A527">
            <v>40702</v>
          </cell>
          <cell r="B527">
            <v>40702</v>
          </cell>
          <cell r="C527" t="str">
            <v>Past</v>
          </cell>
          <cell r="D527">
            <v>37.659999999999997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37.659999999999997</v>
          </cell>
          <cell r="Q527">
            <v>3.164593</v>
          </cell>
          <cell r="R527" t="e">
            <v>#N/A</v>
          </cell>
        </row>
        <row r="528">
          <cell r="A528">
            <v>40703</v>
          </cell>
          <cell r="B528">
            <v>40703</v>
          </cell>
          <cell r="C528" t="str">
            <v>Past</v>
          </cell>
          <cell r="D528">
            <v>37.4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37.4</v>
          </cell>
          <cell r="Q528">
            <v>3.6901119999999996</v>
          </cell>
          <cell r="R528" t="e">
            <v>#N/A</v>
          </cell>
        </row>
        <row r="529">
          <cell r="A529">
            <v>40704</v>
          </cell>
          <cell r="B529">
            <v>40704</v>
          </cell>
          <cell r="C529" t="str">
            <v>Past</v>
          </cell>
          <cell r="D529">
            <v>37.450000000000003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37.450000000000003</v>
          </cell>
          <cell r="Q529">
            <v>2.2011560000000001</v>
          </cell>
          <cell r="R529" t="e">
            <v>#N/A</v>
          </cell>
        </row>
        <row r="530">
          <cell r="A530">
            <v>40707</v>
          </cell>
          <cell r="B530">
            <v>40707</v>
          </cell>
          <cell r="C530" t="str">
            <v>Past</v>
          </cell>
          <cell r="D530">
            <v>37.450000000000003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37.450000000000003</v>
          </cell>
          <cell r="Q530">
            <v>0</v>
          </cell>
          <cell r="R530" t="e">
            <v>#N/A</v>
          </cell>
        </row>
        <row r="531">
          <cell r="A531">
            <v>40708</v>
          </cell>
          <cell r="B531">
            <v>40708</v>
          </cell>
          <cell r="C531" t="str">
            <v>Past</v>
          </cell>
          <cell r="D531">
            <v>37.49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37.49</v>
          </cell>
          <cell r="Q531">
            <v>3.4951639999999999</v>
          </cell>
          <cell r="R531" t="e">
            <v>#N/A</v>
          </cell>
        </row>
        <row r="532">
          <cell r="A532">
            <v>40709</v>
          </cell>
          <cell r="B532">
            <v>40709</v>
          </cell>
          <cell r="C532" t="str">
            <v>Past</v>
          </cell>
          <cell r="D532">
            <v>37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37</v>
          </cell>
          <cell r="Q532">
            <v>4.0741230000000002</v>
          </cell>
          <cell r="R532" t="e">
            <v>#N/A</v>
          </cell>
        </row>
        <row r="533">
          <cell r="A533">
            <v>40710</v>
          </cell>
          <cell r="B533">
            <v>40710</v>
          </cell>
          <cell r="C533" t="str">
            <v>Past</v>
          </cell>
          <cell r="D533">
            <v>36.36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36.36</v>
          </cell>
          <cell r="Q533">
            <v>4.9055970000000002</v>
          </cell>
          <cell r="R533" t="e">
            <v>#N/A</v>
          </cell>
        </row>
        <row r="534">
          <cell r="A534">
            <v>40711</v>
          </cell>
          <cell r="B534">
            <v>40711</v>
          </cell>
          <cell r="C534" t="str">
            <v>Past</v>
          </cell>
          <cell r="D534">
            <v>36.57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36.57</v>
          </cell>
          <cell r="Q534">
            <v>2.1577219999999997</v>
          </cell>
          <cell r="R534" t="e">
            <v>#N/A</v>
          </cell>
        </row>
        <row r="535">
          <cell r="A535">
            <v>40714</v>
          </cell>
          <cell r="B535">
            <v>40714</v>
          </cell>
          <cell r="C535" t="str">
            <v>Past</v>
          </cell>
          <cell r="D535">
            <v>36.130000000000003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36.130000000000003</v>
          </cell>
          <cell r="Q535">
            <v>3.327979</v>
          </cell>
          <cell r="R535" t="e">
            <v>#N/A</v>
          </cell>
        </row>
        <row r="536">
          <cell r="A536">
            <v>40715</v>
          </cell>
          <cell r="B536">
            <v>40715</v>
          </cell>
          <cell r="C536" t="str">
            <v>Past</v>
          </cell>
          <cell r="D536">
            <v>36.869999999999997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36.869999999999997</v>
          </cell>
          <cell r="Q536">
            <v>2.8292630000000001</v>
          </cell>
          <cell r="R536" t="e">
            <v>#N/A</v>
          </cell>
        </row>
        <row r="537">
          <cell r="A537">
            <v>40716</v>
          </cell>
          <cell r="B537">
            <v>40716</v>
          </cell>
          <cell r="C537" t="str">
            <v>Past</v>
          </cell>
          <cell r="D537">
            <v>37.049999999999997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37.049999999999997</v>
          </cell>
          <cell r="Q537">
            <v>4.391114</v>
          </cell>
          <cell r="R537" t="e">
            <v>#N/A</v>
          </cell>
        </row>
        <row r="538">
          <cell r="A538">
            <v>40717</v>
          </cell>
          <cell r="B538">
            <v>40717</v>
          </cell>
          <cell r="C538" t="str">
            <v>Past</v>
          </cell>
          <cell r="D538">
            <v>36.85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36.85</v>
          </cell>
          <cell r="Q538">
            <v>4.3427639999999998</v>
          </cell>
          <cell r="R538" t="e">
            <v>#N/A</v>
          </cell>
        </row>
        <row r="539">
          <cell r="A539">
            <v>40718</v>
          </cell>
          <cell r="B539">
            <v>40718</v>
          </cell>
          <cell r="C539" t="str">
            <v>Past</v>
          </cell>
          <cell r="D539">
            <v>36.520000000000003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36.520000000000003</v>
          </cell>
          <cell r="Q539">
            <v>8.8692709999999995</v>
          </cell>
          <cell r="R539" t="e">
            <v>#N/A</v>
          </cell>
        </row>
        <row r="540">
          <cell r="A540">
            <v>40721</v>
          </cell>
          <cell r="B540">
            <v>40721</v>
          </cell>
          <cell r="C540" t="str">
            <v>Past</v>
          </cell>
          <cell r="D540">
            <v>36.07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36.07</v>
          </cell>
          <cell r="Q540">
            <v>2.9662549999999999</v>
          </cell>
          <cell r="R540" t="e">
            <v>#N/A</v>
          </cell>
        </row>
        <row r="541">
          <cell r="A541">
            <v>40722</v>
          </cell>
          <cell r="B541">
            <v>40722</v>
          </cell>
          <cell r="C541" t="str">
            <v>Past</v>
          </cell>
          <cell r="D541">
            <v>36.35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36.35</v>
          </cell>
          <cell r="Q541">
            <v>3.830943</v>
          </cell>
          <cell r="R541" t="e">
            <v>#N/A</v>
          </cell>
        </row>
        <row r="542">
          <cell r="A542">
            <v>40723</v>
          </cell>
          <cell r="B542">
            <v>40723</v>
          </cell>
          <cell r="C542" t="str">
            <v>Past</v>
          </cell>
          <cell r="D542">
            <v>37.1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37.1</v>
          </cell>
          <cell r="Q542">
            <v>2.7042269999999999</v>
          </cell>
          <cell r="R542" t="e">
            <v>#N/A</v>
          </cell>
        </row>
        <row r="543">
          <cell r="A543">
            <v>40724</v>
          </cell>
          <cell r="B543">
            <v>40724</v>
          </cell>
          <cell r="C543" t="str">
            <v>Past</v>
          </cell>
          <cell r="D543">
            <v>37.71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37.71</v>
          </cell>
          <cell r="Q543">
            <v>2.3855919999999999</v>
          </cell>
          <cell r="R543" t="e">
            <v>#N/A</v>
          </cell>
        </row>
        <row r="544">
          <cell r="A544">
            <v>40725</v>
          </cell>
          <cell r="B544">
            <v>40725</v>
          </cell>
          <cell r="C544" t="str">
            <v>Past</v>
          </cell>
          <cell r="D544">
            <v>37.729999999999997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37.729999999999997</v>
          </cell>
          <cell r="Q544">
            <v>1.5716919999999999</v>
          </cell>
          <cell r="R544" t="e">
            <v>#N/A</v>
          </cell>
        </row>
        <row r="545">
          <cell r="A545">
            <v>40728</v>
          </cell>
          <cell r="B545">
            <v>40728</v>
          </cell>
          <cell r="C545" t="str">
            <v>Past</v>
          </cell>
          <cell r="D545">
            <v>37.61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37.61</v>
          </cell>
          <cell r="Q545">
            <v>2.0139800000000001</v>
          </cell>
          <cell r="R545" t="e">
            <v>#N/A</v>
          </cell>
        </row>
        <row r="546">
          <cell r="A546">
            <v>40729</v>
          </cell>
          <cell r="B546">
            <v>40729</v>
          </cell>
          <cell r="C546" t="str">
            <v>Past</v>
          </cell>
          <cell r="D546">
            <v>37.46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37.46</v>
          </cell>
          <cell r="Q546">
            <v>1.9962749999999998</v>
          </cell>
          <cell r="R546" t="e">
            <v>#N/A</v>
          </cell>
        </row>
        <row r="547">
          <cell r="A547">
            <v>40730</v>
          </cell>
          <cell r="B547">
            <v>40730</v>
          </cell>
          <cell r="C547" t="str">
            <v>Past</v>
          </cell>
          <cell r="D547">
            <v>38.15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38.15</v>
          </cell>
          <cell r="Q547">
            <v>3.6120259999999997</v>
          </cell>
          <cell r="R547" t="e">
            <v>#N/A</v>
          </cell>
        </row>
        <row r="548">
          <cell r="A548">
            <v>40731</v>
          </cell>
          <cell r="B548">
            <v>40731</v>
          </cell>
          <cell r="C548" t="str">
            <v>Past</v>
          </cell>
          <cell r="D548">
            <v>38.5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38.5</v>
          </cell>
          <cell r="Q548">
            <v>3.1780189999999999</v>
          </cell>
          <cell r="R548" t="e">
            <v>#N/A</v>
          </cell>
        </row>
        <row r="549">
          <cell r="A549">
            <v>40732</v>
          </cell>
          <cell r="B549">
            <v>40732</v>
          </cell>
          <cell r="C549" t="str">
            <v>Past</v>
          </cell>
          <cell r="D549">
            <v>38.79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38.79</v>
          </cell>
          <cell r="Q549">
            <v>2.009039</v>
          </cell>
          <cell r="R549" t="e">
            <v>#N/A</v>
          </cell>
        </row>
        <row r="550">
          <cell r="A550">
            <v>40735</v>
          </cell>
          <cell r="B550">
            <v>40735</v>
          </cell>
          <cell r="C550" t="str">
            <v>Past</v>
          </cell>
          <cell r="D550">
            <v>38.799999999999997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38.799999999999997</v>
          </cell>
          <cell r="Q550">
            <v>2.9130369999999997</v>
          </cell>
          <cell r="R550" t="e">
            <v>#N/A</v>
          </cell>
        </row>
        <row r="551">
          <cell r="A551">
            <v>40736</v>
          </cell>
          <cell r="B551">
            <v>40736</v>
          </cell>
          <cell r="C551" t="str">
            <v>Past</v>
          </cell>
          <cell r="D551">
            <v>38.71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38.71</v>
          </cell>
          <cell r="Q551">
            <v>3.0181139999999997</v>
          </cell>
          <cell r="R551" t="e">
            <v>#N/A</v>
          </cell>
        </row>
        <row r="552">
          <cell r="A552">
            <v>40737</v>
          </cell>
          <cell r="B552">
            <v>40737</v>
          </cell>
          <cell r="C552" t="str">
            <v>Past</v>
          </cell>
          <cell r="D552">
            <v>38.96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38.96</v>
          </cell>
          <cell r="Q552">
            <v>3.9828769999999998</v>
          </cell>
          <cell r="R552" t="e">
            <v>#N/A</v>
          </cell>
        </row>
        <row r="553">
          <cell r="A553">
            <v>40738</v>
          </cell>
          <cell r="B553">
            <v>40738</v>
          </cell>
          <cell r="C553" t="str">
            <v>Past</v>
          </cell>
          <cell r="D553">
            <v>39.799999999999997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39.799999999999997</v>
          </cell>
          <cell r="Q553">
            <v>4.3410000000000002</v>
          </cell>
          <cell r="R553" t="e">
            <v>#N/A</v>
          </cell>
        </row>
        <row r="554">
          <cell r="A554">
            <v>40739</v>
          </cell>
          <cell r="B554">
            <v>40739</v>
          </cell>
          <cell r="C554" t="str">
            <v>Past</v>
          </cell>
          <cell r="D554">
            <v>40.270000000000003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40.270000000000003</v>
          </cell>
          <cell r="Q554">
            <v>3.7987089999999997</v>
          </cell>
          <cell r="R554" t="e">
            <v>#N/A</v>
          </cell>
        </row>
        <row r="555">
          <cell r="A555">
            <v>40742</v>
          </cell>
          <cell r="B555">
            <v>40742</v>
          </cell>
          <cell r="C555" t="str">
            <v>Past</v>
          </cell>
          <cell r="D555">
            <v>40.409999999999997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40.409999999999997</v>
          </cell>
          <cell r="Q555">
            <v>3.1767059999999998</v>
          </cell>
          <cell r="R555" t="e">
            <v>#N/A</v>
          </cell>
        </row>
        <row r="556">
          <cell r="A556">
            <v>40743</v>
          </cell>
          <cell r="B556">
            <v>40743</v>
          </cell>
          <cell r="C556" t="str">
            <v>Past</v>
          </cell>
          <cell r="D556">
            <v>40.729999999999997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40.729999999999997</v>
          </cell>
          <cell r="Q556">
            <v>3.1060659999999998</v>
          </cell>
          <cell r="R556" t="e">
            <v>#N/A</v>
          </cell>
        </row>
        <row r="557">
          <cell r="A557">
            <v>40744</v>
          </cell>
          <cell r="B557">
            <v>40744</v>
          </cell>
          <cell r="C557" t="str">
            <v>Past</v>
          </cell>
          <cell r="D557">
            <v>40.81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 t="e">
            <v>#N/A</v>
          </cell>
          <cell r="P557">
            <v>40.81</v>
          </cell>
          <cell r="Q557">
            <v>3.1638649999999999</v>
          </cell>
          <cell r="R557" t="e">
            <v>#N/A</v>
          </cell>
        </row>
        <row r="558">
          <cell r="A558">
            <v>40745</v>
          </cell>
          <cell r="B558">
            <v>40745</v>
          </cell>
          <cell r="C558" t="str">
            <v>Past</v>
          </cell>
          <cell r="D558">
            <v>40.6</v>
          </cell>
          <cell r="E558" t="e">
            <v>#N/A</v>
          </cell>
          <cell r="F558" t="e">
            <v>#N/A</v>
          </cell>
          <cell r="G558" t="e">
            <v>#N/A</v>
          </cell>
          <cell r="H558" t="e">
            <v>#N/A</v>
          </cell>
          <cell r="I558" t="e">
            <v>#N/A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 t="e">
            <v>#N/A</v>
          </cell>
          <cell r="P558">
            <v>40.6</v>
          </cell>
          <cell r="Q558">
            <v>3.639351</v>
          </cell>
          <cell r="R558" t="e">
            <v>#N/A</v>
          </cell>
        </row>
        <row r="559">
          <cell r="A559">
            <v>40746</v>
          </cell>
          <cell r="B559">
            <v>40746</v>
          </cell>
          <cell r="C559" t="str">
            <v>Past</v>
          </cell>
          <cell r="D559">
            <v>40.020000000000003</v>
          </cell>
          <cell r="E559" t="e">
            <v>#N/A</v>
          </cell>
          <cell r="F559" t="e">
            <v>#N/A</v>
          </cell>
          <cell r="G559" t="e">
            <v>#N/A</v>
          </cell>
          <cell r="H559" t="e">
            <v>#N/A</v>
          </cell>
          <cell r="I559" t="e">
            <v>#N/A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 t="e">
            <v>#N/A</v>
          </cell>
          <cell r="P559">
            <v>40.020000000000003</v>
          </cell>
          <cell r="Q559">
            <v>3.6700179999999998</v>
          </cell>
          <cell r="R559" t="e">
            <v>#N/A</v>
          </cell>
        </row>
        <row r="560">
          <cell r="A560">
            <v>40749</v>
          </cell>
          <cell r="B560">
            <v>40749</v>
          </cell>
          <cell r="C560" t="str">
            <v>Past</v>
          </cell>
          <cell r="D560">
            <v>40.35</v>
          </cell>
          <cell r="E560" t="e">
            <v>#N/A</v>
          </cell>
          <cell r="F560" t="e">
            <v>#N/A</v>
          </cell>
          <cell r="G560" t="e">
            <v>#N/A</v>
          </cell>
          <cell r="H560" t="e">
            <v>#N/A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40.35</v>
          </cell>
          <cell r="Q560">
            <v>2.572692</v>
          </cell>
          <cell r="R560" t="e">
            <v>#N/A</v>
          </cell>
        </row>
        <row r="561">
          <cell r="A561">
            <v>40750</v>
          </cell>
          <cell r="B561">
            <v>40750</v>
          </cell>
          <cell r="C561" t="str">
            <v>Past</v>
          </cell>
          <cell r="D561">
            <v>40.18</v>
          </cell>
          <cell r="E561" t="e">
            <v>#N/A</v>
          </cell>
          <cell r="F561" t="e">
            <v>#N/A</v>
          </cell>
          <cell r="G561" t="e">
            <v>#N/A</v>
          </cell>
          <cell r="H561" t="e">
            <v>#N/A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40.18</v>
          </cell>
          <cell r="Q561">
            <v>2.2283330000000001</v>
          </cell>
          <cell r="R561" t="e">
            <v>#N/A</v>
          </cell>
        </row>
        <row r="562">
          <cell r="A562">
            <v>40751</v>
          </cell>
          <cell r="B562">
            <v>40751</v>
          </cell>
          <cell r="C562" t="str">
            <v>Past</v>
          </cell>
          <cell r="D562">
            <v>40.5</v>
          </cell>
          <cell r="E562" t="e">
            <v>#N/A</v>
          </cell>
          <cell r="F562" t="e">
            <v>#N/A</v>
          </cell>
          <cell r="G562" t="e">
            <v>#N/A</v>
          </cell>
          <cell r="H562" t="e">
            <v>#N/A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40.5</v>
          </cell>
          <cell r="Q562">
            <v>3.2355069999999997</v>
          </cell>
          <cell r="R562" t="e">
            <v>#N/A</v>
          </cell>
        </row>
        <row r="563">
          <cell r="A563">
            <v>40752</v>
          </cell>
          <cell r="B563">
            <v>40752</v>
          </cell>
          <cell r="C563" t="str">
            <v>Past</v>
          </cell>
          <cell r="D563">
            <v>40.17</v>
          </cell>
          <cell r="E563" t="e">
            <v>#N/A</v>
          </cell>
          <cell r="F563" t="e">
            <v>#N/A</v>
          </cell>
          <cell r="G563" t="e">
            <v>#N/A</v>
          </cell>
          <cell r="H563" t="e">
            <v>#N/A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40.17</v>
          </cell>
          <cell r="Q563">
            <v>3.288589</v>
          </cell>
          <cell r="R563" t="e">
            <v>#N/A</v>
          </cell>
        </row>
        <row r="564">
          <cell r="A564">
            <v>40753</v>
          </cell>
          <cell r="B564">
            <v>40753</v>
          </cell>
          <cell r="C564" t="str">
            <v>Past</v>
          </cell>
          <cell r="D564">
            <v>39.549999999999997</v>
          </cell>
          <cell r="E564" t="e">
            <v>#N/A</v>
          </cell>
          <cell r="F564" t="e">
            <v>#N/A</v>
          </cell>
          <cell r="G564" t="e">
            <v>#N/A</v>
          </cell>
          <cell r="H564" t="e">
            <v>#N/A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39.549999999999997</v>
          </cell>
          <cell r="Q564">
            <v>5.4077869999999999</v>
          </cell>
          <cell r="R564" t="e">
            <v>#N/A</v>
          </cell>
        </row>
        <row r="565">
          <cell r="A565">
            <v>40756</v>
          </cell>
          <cell r="B565">
            <v>40756</v>
          </cell>
          <cell r="C565" t="str">
            <v>Past</v>
          </cell>
          <cell r="D565">
            <v>39.6</v>
          </cell>
          <cell r="E565" t="e">
            <v>#N/A</v>
          </cell>
          <cell r="F565" t="e">
            <v>#N/A</v>
          </cell>
          <cell r="G565" t="e">
            <v>#N/A</v>
          </cell>
          <cell r="H565" t="e">
            <v>#N/A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39.6</v>
          </cell>
          <cell r="Q565">
            <v>2.33264</v>
          </cell>
          <cell r="R565" t="e">
            <v>#N/A</v>
          </cell>
        </row>
        <row r="566">
          <cell r="A566">
            <v>40757</v>
          </cell>
          <cell r="B566">
            <v>40757</v>
          </cell>
          <cell r="C566" t="str">
            <v>Past</v>
          </cell>
          <cell r="D566">
            <v>40.03</v>
          </cell>
          <cell r="E566" t="e">
            <v>#N/A</v>
          </cell>
          <cell r="F566" t="e">
            <v>#N/A</v>
          </cell>
          <cell r="G566" t="e">
            <v>#N/A</v>
          </cell>
          <cell r="H566" t="e">
            <v>#N/A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40.03</v>
          </cell>
          <cell r="Q566">
            <v>4.1597469999999994</v>
          </cell>
          <cell r="R566" t="e">
            <v>#N/A</v>
          </cell>
        </row>
        <row r="567">
          <cell r="A567">
            <v>40758</v>
          </cell>
          <cell r="B567">
            <v>40758</v>
          </cell>
          <cell r="C567" t="str">
            <v>Past</v>
          </cell>
          <cell r="D567">
            <v>40.75</v>
          </cell>
          <cell r="E567" t="e">
            <v>#N/A</v>
          </cell>
          <cell r="F567" t="e">
            <v>#N/A</v>
          </cell>
          <cell r="G567" t="e">
            <v>#N/A</v>
          </cell>
          <cell r="H567" t="e">
            <v>#N/A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40.75</v>
          </cell>
          <cell r="Q567">
            <v>6.9984209999999996</v>
          </cell>
          <cell r="R567" t="e">
            <v>#N/A</v>
          </cell>
        </row>
        <row r="568">
          <cell r="A568">
            <v>40759</v>
          </cell>
          <cell r="B568">
            <v>40759</v>
          </cell>
          <cell r="C568" t="str">
            <v>Past</v>
          </cell>
          <cell r="D568">
            <v>40.65</v>
          </cell>
          <cell r="E568" t="e">
            <v>#N/A</v>
          </cell>
          <cell r="F568" t="e">
            <v>#N/A</v>
          </cell>
          <cell r="G568" t="e">
            <v>#N/A</v>
          </cell>
          <cell r="H568" t="e">
            <v>#N/A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40.65</v>
          </cell>
          <cell r="Q568">
            <v>3.8327429999999998</v>
          </cell>
          <cell r="R568" t="e">
            <v>#N/A</v>
          </cell>
        </row>
        <row r="569">
          <cell r="A569">
            <v>40760</v>
          </cell>
          <cell r="B569">
            <v>40760</v>
          </cell>
          <cell r="C569" t="str">
            <v>Past</v>
          </cell>
          <cell r="D569">
            <v>39.200000000000003</v>
          </cell>
          <cell r="E569" t="e">
            <v>#N/A</v>
          </cell>
          <cell r="F569" t="e">
            <v>#N/A</v>
          </cell>
          <cell r="G569" t="e">
            <v>#N/A</v>
          </cell>
          <cell r="H569" t="e">
            <v>#N/A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39.200000000000003</v>
          </cell>
          <cell r="Q569">
            <v>6.7826200000000005</v>
          </cell>
          <cell r="R569" t="e">
            <v>#N/A</v>
          </cell>
        </row>
        <row r="570">
          <cell r="A570">
            <v>40763</v>
          </cell>
          <cell r="B570">
            <v>40763</v>
          </cell>
          <cell r="C570" t="str">
            <v>Past</v>
          </cell>
          <cell r="D570">
            <v>38.82</v>
          </cell>
          <cell r="E570" t="e">
            <v>#N/A</v>
          </cell>
          <cell r="F570" t="e">
            <v>#N/A</v>
          </cell>
          <cell r="G570" t="e">
            <v>#N/A</v>
          </cell>
          <cell r="H570" t="e">
            <v>#N/A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38.82</v>
          </cell>
          <cell r="Q570">
            <v>6.3886379999999994</v>
          </cell>
          <cell r="R570" t="e">
            <v>#N/A</v>
          </cell>
        </row>
        <row r="571">
          <cell r="A571">
            <v>40764</v>
          </cell>
          <cell r="B571">
            <v>40764</v>
          </cell>
          <cell r="C571" t="str">
            <v>Past</v>
          </cell>
          <cell r="D571">
            <v>38.72</v>
          </cell>
          <cell r="E571" t="e">
            <v>#N/A</v>
          </cell>
          <cell r="F571" t="e">
            <v>#N/A</v>
          </cell>
          <cell r="G571" t="e">
            <v>#N/A</v>
          </cell>
          <cell r="H571" t="e">
            <v>#N/A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38.72</v>
          </cell>
          <cell r="Q571">
            <v>7.9358769999999996</v>
          </cell>
          <cell r="R571" t="e">
            <v>#N/A</v>
          </cell>
        </row>
        <row r="572">
          <cell r="A572">
            <v>40765</v>
          </cell>
          <cell r="B572">
            <v>40765</v>
          </cell>
          <cell r="C572" t="str">
            <v>Past</v>
          </cell>
          <cell r="D572">
            <v>39.25</v>
          </cell>
          <cell r="E572" t="e">
            <v>#N/A</v>
          </cell>
          <cell r="F572" t="e">
            <v>#N/A</v>
          </cell>
          <cell r="G572" t="e">
            <v>#N/A</v>
          </cell>
          <cell r="H572" t="e">
            <v>#N/A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39.25</v>
          </cell>
          <cell r="Q572">
            <v>5.3672969999999998</v>
          </cell>
          <cell r="R572" t="e">
            <v>#N/A</v>
          </cell>
        </row>
        <row r="573">
          <cell r="A573">
            <v>40766</v>
          </cell>
          <cell r="B573">
            <v>40766</v>
          </cell>
          <cell r="C573" t="str">
            <v>Past</v>
          </cell>
          <cell r="D573">
            <v>40.74</v>
          </cell>
          <cell r="E573" t="e">
            <v>#N/A</v>
          </cell>
          <cell r="F573" t="e">
            <v>#N/A</v>
          </cell>
          <cell r="G573" t="e">
            <v>#N/A</v>
          </cell>
          <cell r="H573" t="e">
            <v>#N/A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40.74</v>
          </cell>
          <cell r="Q573">
            <v>7.7442900000000003</v>
          </cell>
          <cell r="R573" t="e">
            <v>#N/A</v>
          </cell>
        </row>
        <row r="574">
          <cell r="A574">
            <v>40767</v>
          </cell>
          <cell r="B574">
            <v>40767</v>
          </cell>
          <cell r="C574" t="str">
            <v>Past</v>
          </cell>
          <cell r="D574">
            <v>40.729999999999997</v>
          </cell>
          <cell r="E574" t="e">
            <v>#N/A</v>
          </cell>
          <cell r="F574" t="e">
            <v>#N/A</v>
          </cell>
          <cell r="G574" t="e">
            <v>#N/A</v>
          </cell>
          <cell r="H574" t="e">
            <v>#N/A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>
            <v>0</v>
          </cell>
          <cell r="P574">
            <v>40.729999999999997</v>
          </cell>
          <cell r="Q574">
            <v>4.1930969999999999</v>
          </cell>
          <cell r="R574" t="e">
            <v>#N/A</v>
          </cell>
        </row>
        <row r="575">
          <cell r="A575">
            <v>40770</v>
          </cell>
          <cell r="B575">
            <v>40770</v>
          </cell>
          <cell r="C575" t="str">
            <v>Current</v>
          </cell>
          <cell r="D575">
            <v>40.4</v>
          </cell>
          <cell r="E575">
            <v>40.4</v>
          </cell>
          <cell r="F575">
            <v>40.4</v>
          </cell>
          <cell r="G575">
            <v>40.4</v>
          </cell>
          <cell r="H575">
            <v>40.4</v>
          </cell>
          <cell r="I575">
            <v>40.4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>
            <v>90.45</v>
          </cell>
          <cell r="P575">
            <v>40.4</v>
          </cell>
          <cell r="Q575">
            <v>4.1484769999999997</v>
          </cell>
          <cell r="R575" t="e">
            <v>#N/A</v>
          </cell>
        </row>
        <row r="576">
          <cell r="A576">
            <v>40771</v>
          </cell>
          <cell r="B576">
            <v>40771</v>
          </cell>
          <cell r="C576" t="str">
            <v>Future</v>
          </cell>
          <cell r="D576" t="e">
            <v>#N/A</v>
          </cell>
          <cell r="E576">
            <v>40.246387832699618</v>
          </cell>
          <cell r="F576">
            <v>40.492775665399236</v>
          </cell>
          <cell r="G576">
            <v>40.358555133079847</v>
          </cell>
          <cell r="H576">
            <v>40.358555133079847</v>
          </cell>
          <cell r="I576" t="e">
            <v>#N/A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 t="e">
            <v>#N/A</v>
          </cell>
          <cell r="P576">
            <v>40.4</v>
          </cell>
          <cell r="Q576" t="str">
            <v/>
          </cell>
          <cell r="R576" t="e">
            <v>#N/A</v>
          </cell>
        </row>
        <row r="577">
          <cell r="A577">
            <v>40772</v>
          </cell>
          <cell r="B577">
            <v>40772</v>
          </cell>
          <cell r="C577" t="str">
            <v>Future</v>
          </cell>
          <cell r="D577" t="e">
            <v>#N/A</v>
          </cell>
          <cell r="E577">
            <v>40.092775665399238</v>
          </cell>
          <cell r="F577">
            <v>40.585551330798474</v>
          </cell>
          <cell r="G577">
            <v>40.317110266159695</v>
          </cell>
          <cell r="H577">
            <v>40.317110266159695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40.4</v>
          </cell>
          <cell r="Q577" t="str">
            <v/>
          </cell>
          <cell r="R577" t="e">
            <v>#N/A</v>
          </cell>
        </row>
        <row r="578">
          <cell r="A578">
            <v>40773</v>
          </cell>
          <cell r="B578">
            <v>40773</v>
          </cell>
          <cell r="C578" t="str">
            <v>Future</v>
          </cell>
          <cell r="D578" t="e">
            <v>#N/A</v>
          </cell>
          <cell r="E578">
            <v>39.939163498098857</v>
          </cell>
          <cell r="F578">
            <v>40.678326996197711</v>
          </cell>
          <cell r="G578">
            <v>40.275665399239543</v>
          </cell>
          <cell r="H578">
            <v>40.275665399239543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40.4</v>
          </cell>
          <cell r="Q578" t="str">
            <v/>
          </cell>
          <cell r="R578" t="e">
            <v>#N/A</v>
          </cell>
        </row>
        <row r="579">
          <cell r="A579">
            <v>40774</v>
          </cell>
          <cell r="B579">
            <v>40774</v>
          </cell>
          <cell r="C579" t="str">
            <v>Future</v>
          </cell>
          <cell r="D579" t="e">
            <v>#N/A</v>
          </cell>
          <cell r="E579">
            <v>39.785551330798476</v>
          </cell>
          <cell r="F579">
            <v>40.771102661596949</v>
          </cell>
          <cell r="G579">
            <v>40.234220532319391</v>
          </cell>
          <cell r="H579">
            <v>40.234220532319391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40.4</v>
          </cell>
          <cell r="Q579" t="str">
            <v/>
          </cell>
          <cell r="R579" t="e">
            <v>#N/A</v>
          </cell>
        </row>
        <row r="580">
          <cell r="A580">
            <v>40777</v>
          </cell>
          <cell r="B580">
            <v>40777</v>
          </cell>
          <cell r="C580" t="str">
            <v>Future</v>
          </cell>
          <cell r="D580" t="e">
            <v>#N/A</v>
          </cell>
          <cell r="E580">
            <v>39.631939163498096</v>
          </cell>
          <cell r="F580">
            <v>40.863878326996186</v>
          </cell>
          <cell r="G580">
            <v>40.192775665399239</v>
          </cell>
          <cell r="H580">
            <v>40.192775665399239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40.4</v>
          </cell>
          <cell r="Q580" t="str">
            <v/>
          </cell>
          <cell r="R580" t="e">
            <v>#N/A</v>
          </cell>
        </row>
        <row r="581">
          <cell r="A581">
            <v>40778</v>
          </cell>
          <cell r="B581">
            <v>40778</v>
          </cell>
          <cell r="C581" t="str">
            <v>Future</v>
          </cell>
          <cell r="D581" t="e">
            <v>#N/A</v>
          </cell>
          <cell r="E581">
            <v>39.478326996197715</v>
          </cell>
          <cell r="F581">
            <v>40.956653992395424</v>
          </cell>
          <cell r="G581">
            <v>40.151330798479087</v>
          </cell>
          <cell r="H581">
            <v>40.151330798479087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40.4</v>
          </cell>
          <cell r="Q581" t="str">
            <v/>
          </cell>
          <cell r="R581" t="e">
            <v>#N/A</v>
          </cell>
        </row>
        <row r="582">
          <cell r="A582">
            <v>40779</v>
          </cell>
          <cell r="B582">
            <v>40779</v>
          </cell>
          <cell r="C582" t="str">
            <v>Future</v>
          </cell>
          <cell r="D582" t="e">
            <v>#N/A</v>
          </cell>
          <cell r="E582">
            <v>39.324714828897335</v>
          </cell>
          <cell r="F582">
            <v>41.049429657794661</v>
          </cell>
          <cell r="G582">
            <v>40.109885931558935</v>
          </cell>
          <cell r="H582">
            <v>40.109885931558935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40.4</v>
          </cell>
          <cell r="Q582" t="str">
            <v/>
          </cell>
          <cell r="R582" t="e">
            <v>#N/A</v>
          </cell>
        </row>
        <row r="583">
          <cell r="A583">
            <v>40780</v>
          </cell>
          <cell r="B583">
            <v>40780</v>
          </cell>
          <cell r="C583" t="str">
            <v>Future</v>
          </cell>
          <cell r="D583" t="e">
            <v>#N/A</v>
          </cell>
          <cell r="E583">
            <v>39.171102661596954</v>
          </cell>
          <cell r="F583">
            <v>41.142205323193899</v>
          </cell>
          <cell r="G583">
            <v>40.068441064638783</v>
          </cell>
          <cell r="H583">
            <v>40.068441064638783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40.4</v>
          </cell>
          <cell r="Q583" t="str">
            <v/>
          </cell>
          <cell r="R583" t="e">
            <v>#N/A</v>
          </cell>
        </row>
        <row r="584">
          <cell r="A584">
            <v>40781</v>
          </cell>
          <cell r="B584">
            <v>40781</v>
          </cell>
          <cell r="C584" t="str">
            <v>Future</v>
          </cell>
          <cell r="D584" t="e">
            <v>#N/A</v>
          </cell>
          <cell r="E584">
            <v>39.017490494296574</v>
          </cell>
          <cell r="F584">
            <v>41.234980988593136</v>
          </cell>
          <cell r="G584">
            <v>40.026996197718631</v>
          </cell>
          <cell r="H584">
            <v>40.026996197718631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40.4</v>
          </cell>
          <cell r="Q584" t="str">
            <v/>
          </cell>
          <cell r="R584" t="e">
            <v>#N/A</v>
          </cell>
        </row>
        <row r="585">
          <cell r="A585">
            <v>40784</v>
          </cell>
          <cell r="B585">
            <v>40784</v>
          </cell>
          <cell r="C585" t="str">
            <v>Future</v>
          </cell>
          <cell r="D585" t="e">
            <v>#N/A</v>
          </cell>
          <cell r="E585">
            <v>38.863878326996193</v>
          </cell>
          <cell r="F585">
            <v>41.327756653992374</v>
          </cell>
          <cell r="G585">
            <v>39.985551330798479</v>
          </cell>
          <cell r="H585">
            <v>39.985551330798479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40.4</v>
          </cell>
          <cell r="Q585" t="str">
            <v/>
          </cell>
          <cell r="R585" t="e">
            <v>#N/A</v>
          </cell>
        </row>
        <row r="586">
          <cell r="A586">
            <v>40785</v>
          </cell>
          <cell r="B586">
            <v>40785</v>
          </cell>
          <cell r="C586" t="str">
            <v>Future</v>
          </cell>
          <cell r="D586" t="e">
            <v>#N/A</v>
          </cell>
          <cell r="E586">
            <v>38.710266159695813</v>
          </cell>
          <cell r="F586">
            <v>41.420532319391612</v>
          </cell>
          <cell r="G586">
            <v>39.944106463878327</v>
          </cell>
          <cell r="H586">
            <v>39.944106463878327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40.4</v>
          </cell>
          <cell r="Q586" t="str">
            <v/>
          </cell>
          <cell r="R586" t="e">
            <v>#N/A</v>
          </cell>
        </row>
        <row r="587">
          <cell r="A587">
            <v>40786</v>
          </cell>
          <cell r="B587">
            <v>40786</v>
          </cell>
          <cell r="C587" t="str">
            <v>Future</v>
          </cell>
          <cell r="D587" t="e">
            <v>#N/A</v>
          </cell>
          <cell r="E587">
            <v>38.556653992395432</v>
          </cell>
          <cell r="F587">
            <v>41.513307984790849</v>
          </cell>
          <cell r="G587">
            <v>39.902661596958175</v>
          </cell>
          <cell r="H587">
            <v>39.902661596958175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40.4</v>
          </cell>
          <cell r="Q587" t="str">
            <v/>
          </cell>
          <cell r="R587" t="e">
            <v>#N/A</v>
          </cell>
        </row>
        <row r="588">
          <cell r="A588">
            <v>40787</v>
          </cell>
          <cell r="B588">
            <v>40787</v>
          </cell>
          <cell r="C588" t="str">
            <v>Future</v>
          </cell>
          <cell r="D588" t="e">
            <v>#N/A</v>
          </cell>
          <cell r="E588">
            <v>38.403041825095052</v>
          </cell>
          <cell r="F588">
            <v>41.606083650190087</v>
          </cell>
          <cell r="G588">
            <v>39.861216730038024</v>
          </cell>
          <cell r="H588">
            <v>39.861216730038024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40.4</v>
          </cell>
          <cell r="Q588" t="str">
            <v/>
          </cell>
          <cell r="R588" t="e">
            <v>#N/A</v>
          </cell>
        </row>
        <row r="589">
          <cell r="A589">
            <v>40788</v>
          </cell>
          <cell r="B589">
            <v>40788</v>
          </cell>
          <cell r="C589" t="str">
            <v>Future</v>
          </cell>
          <cell r="D589" t="e">
            <v>#N/A</v>
          </cell>
          <cell r="E589">
            <v>38.249429657794671</v>
          </cell>
          <cell r="F589">
            <v>41.698859315589324</v>
          </cell>
          <cell r="G589">
            <v>39.819771863117872</v>
          </cell>
          <cell r="H589">
            <v>39.819771863117872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40.4</v>
          </cell>
          <cell r="Q589" t="str">
            <v/>
          </cell>
          <cell r="R589" t="e">
            <v>#N/A</v>
          </cell>
        </row>
        <row r="590">
          <cell r="A590">
            <v>40791</v>
          </cell>
          <cell r="B590">
            <v>40791</v>
          </cell>
          <cell r="C590" t="str">
            <v>Future</v>
          </cell>
          <cell r="D590" t="e">
            <v>#N/A</v>
          </cell>
          <cell r="E590">
            <v>38.095817490494291</v>
          </cell>
          <cell r="F590">
            <v>41.791634980988562</v>
          </cell>
          <cell r="G590">
            <v>39.77832699619772</v>
          </cell>
          <cell r="H590">
            <v>39.77832699619772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40.4</v>
          </cell>
          <cell r="Q590" t="str">
            <v/>
          </cell>
          <cell r="R590" t="e">
            <v>#N/A</v>
          </cell>
        </row>
        <row r="591">
          <cell r="A591">
            <v>40792</v>
          </cell>
          <cell r="B591">
            <v>40792</v>
          </cell>
          <cell r="C591" t="str">
            <v>Future</v>
          </cell>
          <cell r="D591" t="e">
            <v>#N/A</v>
          </cell>
          <cell r="E591">
            <v>37.94220532319391</v>
          </cell>
          <cell r="F591">
            <v>41.884410646387799</v>
          </cell>
          <cell r="G591">
            <v>39.736882129277568</v>
          </cell>
          <cell r="H591">
            <v>39.736882129277568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40.4</v>
          </cell>
          <cell r="Q591" t="str">
            <v/>
          </cell>
          <cell r="R591" t="e">
            <v>#N/A</v>
          </cell>
        </row>
        <row r="592">
          <cell r="A592">
            <v>40793</v>
          </cell>
          <cell r="B592">
            <v>40793</v>
          </cell>
          <cell r="C592" t="str">
            <v>Future</v>
          </cell>
          <cell r="D592" t="e">
            <v>#N/A</v>
          </cell>
          <cell r="E592">
            <v>37.78859315589353</v>
          </cell>
          <cell r="F592">
            <v>41.977186311787037</v>
          </cell>
          <cell r="G592">
            <v>39.695437262357416</v>
          </cell>
          <cell r="H592">
            <v>39.695437262357416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40.4</v>
          </cell>
          <cell r="Q592" t="str">
            <v/>
          </cell>
          <cell r="R592" t="e">
            <v>#N/A</v>
          </cell>
        </row>
        <row r="593">
          <cell r="A593">
            <v>40794</v>
          </cell>
          <cell r="B593">
            <v>40794</v>
          </cell>
          <cell r="C593" t="str">
            <v>Future</v>
          </cell>
          <cell r="D593" t="e">
            <v>#N/A</v>
          </cell>
          <cell r="E593">
            <v>37.634980988593149</v>
          </cell>
          <cell r="F593">
            <v>42.069961977186274</v>
          </cell>
          <cell r="G593">
            <v>39.653992395437264</v>
          </cell>
          <cell r="H593">
            <v>39.653992395437264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40.4</v>
          </cell>
          <cell r="Q593" t="str">
            <v/>
          </cell>
          <cell r="R593" t="e">
            <v>#N/A</v>
          </cell>
        </row>
        <row r="594">
          <cell r="A594">
            <v>40795</v>
          </cell>
          <cell r="B594">
            <v>40795</v>
          </cell>
          <cell r="C594" t="str">
            <v>Future</v>
          </cell>
          <cell r="D594" t="e">
            <v>#N/A</v>
          </cell>
          <cell r="E594">
            <v>37.481368821292769</v>
          </cell>
          <cell r="F594">
            <v>42.162737642585512</v>
          </cell>
          <cell r="G594">
            <v>39.612547528517112</v>
          </cell>
          <cell r="H594">
            <v>39.612547528517112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40.4</v>
          </cell>
          <cell r="Q594" t="str">
            <v/>
          </cell>
          <cell r="R594" t="e">
            <v>#N/A</v>
          </cell>
        </row>
        <row r="595">
          <cell r="A595">
            <v>40798</v>
          </cell>
          <cell r="B595">
            <v>40798</v>
          </cell>
          <cell r="C595" t="str">
            <v>Future</v>
          </cell>
          <cell r="D595" t="e">
            <v>#N/A</v>
          </cell>
          <cell r="E595">
            <v>37.327756653992388</v>
          </cell>
          <cell r="F595">
            <v>42.255513307984749</v>
          </cell>
          <cell r="G595">
            <v>39.57110266159696</v>
          </cell>
          <cell r="H595">
            <v>39.57110266159696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40.4</v>
          </cell>
          <cell r="Q595" t="str">
            <v/>
          </cell>
          <cell r="R595" t="e">
            <v>#N/A</v>
          </cell>
        </row>
        <row r="596">
          <cell r="A596">
            <v>40799</v>
          </cell>
          <cell r="B596">
            <v>40799</v>
          </cell>
          <cell r="C596" t="str">
            <v>Future</v>
          </cell>
          <cell r="D596" t="e">
            <v>#N/A</v>
          </cell>
          <cell r="E596">
            <v>37.174144486692008</v>
          </cell>
          <cell r="F596">
            <v>42.348288973383987</v>
          </cell>
          <cell r="G596">
            <v>39.529657794676808</v>
          </cell>
          <cell r="H596">
            <v>39.529657794676808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40.4</v>
          </cell>
          <cell r="Q596" t="str">
            <v/>
          </cell>
          <cell r="R596" t="e">
            <v>#N/A</v>
          </cell>
        </row>
        <row r="597">
          <cell r="A597">
            <v>40800</v>
          </cell>
          <cell r="B597">
            <v>40800</v>
          </cell>
          <cell r="C597" t="str">
            <v>Future</v>
          </cell>
          <cell r="D597" t="e">
            <v>#N/A</v>
          </cell>
          <cell r="E597">
            <v>37.020532319391627</v>
          </cell>
          <cell r="F597">
            <v>42.441064638783224</v>
          </cell>
          <cell r="G597">
            <v>39.488212927756656</v>
          </cell>
          <cell r="H597">
            <v>39.488212927756656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40.4</v>
          </cell>
          <cell r="Q597" t="str">
            <v/>
          </cell>
          <cell r="R597" t="e">
            <v>#N/A</v>
          </cell>
        </row>
        <row r="598">
          <cell r="A598">
            <v>40801</v>
          </cell>
          <cell r="B598">
            <v>40801</v>
          </cell>
          <cell r="C598" t="str">
            <v>Future</v>
          </cell>
          <cell r="D598" t="e">
            <v>#N/A</v>
          </cell>
          <cell r="E598">
            <v>36.866920152091247</v>
          </cell>
          <cell r="F598">
            <v>42.533840304182462</v>
          </cell>
          <cell r="G598">
            <v>39.446768060836504</v>
          </cell>
          <cell r="H598">
            <v>39.446768060836504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40.4</v>
          </cell>
          <cell r="Q598" t="str">
            <v/>
          </cell>
          <cell r="R598" t="e">
            <v>#N/A</v>
          </cell>
        </row>
        <row r="599">
          <cell r="A599">
            <v>40802</v>
          </cell>
          <cell r="B599">
            <v>40802</v>
          </cell>
          <cell r="C599" t="str">
            <v>Future</v>
          </cell>
          <cell r="D599" t="e">
            <v>#N/A</v>
          </cell>
          <cell r="E599">
            <v>36.713307984790866</v>
          </cell>
          <cell r="F599">
            <v>42.6266159695817</v>
          </cell>
          <cell r="G599">
            <v>39.405323193916352</v>
          </cell>
          <cell r="H599">
            <v>39.405323193916352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40.4</v>
          </cell>
          <cell r="Q599" t="str">
            <v/>
          </cell>
          <cell r="R599" t="e">
            <v>#N/A</v>
          </cell>
        </row>
        <row r="600">
          <cell r="A600">
            <v>40805</v>
          </cell>
          <cell r="B600">
            <v>40805</v>
          </cell>
          <cell r="C600" t="str">
            <v>Future</v>
          </cell>
          <cell r="D600" t="e">
            <v>#N/A</v>
          </cell>
          <cell r="E600">
            <v>36.559695817490486</v>
          </cell>
          <cell r="F600">
            <v>42.719391634980937</v>
          </cell>
          <cell r="G600">
            <v>39.3638783269962</v>
          </cell>
          <cell r="H600">
            <v>39.3638783269962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40.4</v>
          </cell>
          <cell r="Q600" t="str">
            <v/>
          </cell>
          <cell r="R600" t="e">
            <v>#N/A</v>
          </cell>
        </row>
        <row r="601">
          <cell r="A601">
            <v>40806</v>
          </cell>
          <cell r="B601">
            <v>40806</v>
          </cell>
          <cell r="C601" t="str">
            <v>Future</v>
          </cell>
          <cell r="D601" t="e">
            <v>#N/A</v>
          </cell>
          <cell r="E601">
            <v>36.406083650190105</v>
          </cell>
          <cell r="F601">
            <v>42.812167300380175</v>
          </cell>
          <cell r="G601">
            <v>39.322433460076049</v>
          </cell>
          <cell r="H601">
            <v>39.322433460076049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40.4</v>
          </cell>
          <cell r="Q601" t="str">
            <v/>
          </cell>
          <cell r="R601" t="e">
            <v>#N/A</v>
          </cell>
        </row>
        <row r="602">
          <cell r="A602">
            <v>40807</v>
          </cell>
          <cell r="B602">
            <v>40807</v>
          </cell>
          <cell r="C602" t="str">
            <v>Future</v>
          </cell>
          <cell r="D602" t="e">
            <v>#N/A</v>
          </cell>
          <cell r="E602">
            <v>36.252471482889725</v>
          </cell>
          <cell r="F602">
            <v>42.904942965779412</v>
          </cell>
          <cell r="G602">
            <v>39.280988593155897</v>
          </cell>
          <cell r="H602">
            <v>39.280988593155897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40.4</v>
          </cell>
          <cell r="Q602" t="str">
            <v/>
          </cell>
          <cell r="R602" t="e">
            <v>#N/A</v>
          </cell>
        </row>
        <row r="603">
          <cell r="A603">
            <v>40808</v>
          </cell>
          <cell r="B603">
            <v>40808</v>
          </cell>
          <cell r="C603" t="str">
            <v>Future</v>
          </cell>
          <cell r="D603" t="e">
            <v>#N/A</v>
          </cell>
          <cell r="E603">
            <v>36.098859315589344</v>
          </cell>
          <cell r="F603">
            <v>42.99771863117865</v>
          </cell>
          <cell r="G603">
            <v>39.239543726235745</v>
          </cell>
          <cell r="H603">
            <v>39.239543726235745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40.4</v>
          </cell>
          <cell r="Q603" t="str">
            <v/>
          </cell>
          <cell r="R603" t="e">
            <v>#N/A</v>
          </cell>
        </row>
        <row r="604">
          <cell r="A604">
            <v>40809</v>
          </cell>
          <cell r="B604">
            <v>40809</v>
          </cell>
          <cell r="C604" t="str">
            <v>Future</v>
          </cell>
          <cell r="D604" t="e">
            <v>#N/A</v>
          </cell>
          <cell r="E604">
            <v>35.945247148288964</v>
          </cell>
          <cell r="F604">
            <v>43.090494296577887</v>
          </cell>
          <cell r="G604">
            <v>39.198098859315593</v>
          </cell>
          <cell r="H604">
            <v>39.198098859315593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40.4</v>
          </cell>
          <cell r="Q604" t="str">
            <v/>
          </cell>
          <cell r="R604" t="e">
            <v>#N/A</v>
          </cell>
        </row>
        <row r="605">
          <cell r="A605">
            <v>40812</v>
          </cell>
          <cell r="B605">
            <v>40812</v>
          </cell>
          <cell r="C605" t="str">
            <v>Future</v>
          </cell>
          <cell r="D605" t="e">
            <v>#N/A</v>
          </cell>
          <cell r="E605">
            <v>35.791634980988583</v>
          </cell>
          <cell r="F605">
            <v>43.183269961977125</v>
          </cell>
          <cell r="G605">
            <v>39.156653992395441</v>
          </cell>
          <cell r="H605">
            <v>39.156653992395441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40.4</v>
          </cell>
          <cell r="Q605" t="str">
            <v/>
          </cell>
          <cell r="R605" t="e">
            <v>#N/A</v>
          </cell>
        </row>
        <row r="606">
          <cell r="A606">
            <v>40813</v>
          </cell>
          <cell r="B606">
            <v>40813</v>
          </cell>
          <cell r="C606" t="str">
            <v>Future</v>
          </cell>
          <cell r="D606" t="e">
            <v>#N/A</v>
          </cell>
          <cell r="E606">
            <v>35.638022813688202</v>
          </cell>
          <cell r="F606">
            <v>43.276045627376362</v>
          </cell>
          <cell r="G606">
            <v>39.115209125475289</v>
          </cell>
          <cell r="H606">
            <v>39.115209125475289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40.4</v>
          </cell>
          <cell r="Q606" t="str">
            <v/>
          </cell>
          <cell r="R606" t="e">
            <v>#N/A</v>
          </cell>
        </row>
        <row r="607">
          <cell r="A607">
            <v>40814</v>
          </cell>
          <cell r="B607">
            <v>40814</v>
          </cell>
          <cell r="C607" t="str">
            <v>Future</v>
          </cell>
          <cell r="D607" t="e">
            <v>#N/A</v>
          </cell>
          <cell r="E607">
            <v>35.484410646387822</v>
          </cell>
          <cell r="F607">
            <v>43.3688212927756</v>
          </cell>
          <cell r="G607">
            <v>39.073764258555137</v>
          </cell>
          <cell r="H607">
            <v>39.073764258555137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40.4</v>
          </cell>
          <cell r="Q607" t="str">
            <v/>
          </cell>
          <cell r="R607" t="e">
            <v>#N/A</v>
          </cell>
        </row>
        <row r="608">
          <cell r="A608">
            <v>40815</v>
          </cell>
          <cell r="B608">
            <v>40815</v>
          </cell>
          <cell r="C608" t="str">
            <v>Future</v>
          </cell>
          <cell r="D608" t="e">
            <v>#N/A</v>
          </cell>
          <cell r="E608">
            <v>35.330798479087441</v>
          </cell>
          <cell r="F608">
            <v>43.461596958174837</v>
          </cell>
          <cell r="G608">
            <v>39.032319391634985</v>
          </cell>
          <cell r="H608">
            <v>39.032319391634985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40.4</v>
          </cell>
          <cell r="Q608" t="str">
            <v/>
          </cell>
          <cell r="R608" t="e">
            <v>#N/A</v>
          </cell>
        </row>
        <row r="609">
          <cell r="A609">
            <v>40816</v>
          </cell>
          <cell r="B609">
            <v>40816</v>
          </cell>
          <cell r="C609" t="str">
            <v>Future</v>
          </cell>
          <cell r="D609" t="e">
            <v>#N/A</v>
          </cell>
          <cell r="E609">
            <v>35.177186311787061</v>
          </cell>
          <cell r="F609">
            <v>43.554372623574075</v>
          </cell>
          <cell r="G609">
            <v>38.990874524714833</v>
          </cell>
          <cell r="H609">
            <v>38.990874524714833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40.4</v>
          </cell>
          <cell r="Q609" t="str">
            <v/>
          </cell>
          <cell r="R609" t="e">
            <v>#N/A</v>
          </cell>
        </row>
        <row r="610">
          <cell r="A610">
            <v>40819</v>
          </cell>
          <cell r="B610">
            <v>40819</v>
          </cell>
          <cell r="C610" t="str">
            <v>Future</v>
          </cell>
          <cell r="D610" t="e">
            <v>#N/A</v>
          </cell>
          <cell r="E610">
            <v>35.02357414448668</v>
          </cell>
          <cell r="F610">
            <v>43.647148288973312</v>
          </cell>
          <cell r="G610">
            <v>38.949429657794681</v>
          </cell>
          <cell r="H610">
            <v>38.949429657794681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40.4</v>
          </cell>
          <cell r="Q610" t="str">
            <v/>
          </cell>
          <cell r="R610" t="e">
            <v>#N/A</v>
          </cell>
        </row>
        <row r="611">
          <cell r="A611">
            <v>40820</v>
          </cell>
          <cell r="B611">
            <v>40820</v>
          </cell>
          <cell r="C611" t="str">
            <v>Future</v>
          </cell>
          <cell r="D611" t="e">
            <v>#N/A</v>
          </cell>
          <cell r="E611">
            <v>34.8699619771863</v>
          </cell>
          <cell r="F611">
            <v>43.73992395437255</v>
          </cell>
          <cell r="G611">
            <v>38.907984790874529</v>
          </cell>
          <cell r="H611">
            <v>38.907984790874529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40.4</v>
          </cell>
          <cell r="Q611" t="str">
            <v/>
          </cell>
          <cell r="R611" t="e">
            <v>#N/A</v>
          </cell>
        </row>
        <row r="612">
          <cell r="A612">
            <v>40821</v>
          </cell>
          <cell r="B612">
            <v>40821</v>
          </cell>
          <cell r="C612" t="str">
            <v>Future</v>
          </cell>
          <cell r="D612" t="e">
            <v>#N/A</v>
          </cell>
          <cell r="E612">
            <v>34.716349809885919</v>
          </cell>
          <cell r="F612">
            <v>43.832699619771788</v>
          </cell>
          <cell r="G612">
            <v>38.866539923954377</v>
          </cell>
          <cell r="H612">
            <v>38.866539923954377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40.4</v>
          </cell>
          <cell r="Q612" t="str">
            <v/>
          </cell>
          <cell r="R612" t="e">
            <v>#N/A</v>
          </cell>
        </row>
        <row r="613">
          <cell r="A613">
            <v>40822</v>
          </cell>
          <cell r="B613">
            <v>40822</v>
          </cell>
          <cell r="C613" t="str">
            <v>Future</v>
          </cell>
          <cell r="D613" t="e">
            <v>#N/A</v>
          </cell>
          <cell r="E613">
            <v>34.562737642585539</v>
          </cell>
          <cell r="F613">
            <v>43.925475285171025</v>
          </cell>
          <cell r="G613">
            <v>38.825095057034225</v>
          </cell>
          <cell r="H613">
            <v>38.825095057034225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40.4</v>
          </cell>
          <cell r="Q613" t="str">
            <v/>
          </cell>
          <cell r="R613" t="e">
            <v>#N/A</v>
          </cell>
        </row>
        <row r="614">
          <cell r="A614">
            <v>40823</v>
          </cell>
          <cell r="B614">
            <v>40823</v>
          </cell>
          <cell r="C614" t="str">
            <v>Future</v>
          </cell>
          <cell r="D614" t="e">
            <v>#N/A</v>
          </cell>
          <cell r="E614">
            <v>34.409125475285158</v>
          </cell>
          <cell r="F614">
            <v>44.018250950570263</v>
          </cell>
          <cell r="G614">
            <v>38.783650190114074</v>
          </cell>
          <cell r="H614">
            <v>38.783650190114074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40.4</v>
          </cell>
          <cell r="Q614" t="str">
            <v/>
          </cell>
          <cell r="R614" t="e">
            <v>#N/A</v>
          </cell>
        </row>
        <row r="615">
          <cell r="A615">
            <v>40826</v>
          </cell>
          <cell r="B615">
            <v>40826</v>
          </cell>
          <cell r="C615" t="str">
            <v>Future</v>
          </cell>
          <cell r="D615" t="e">
            <v>#N/A</v>
          </cell>
          <cell r="E615">
            <v>34.255513307984778</v>
          </cell>
          <cell r="F615">
            <v>44.1110266159695</v>
          </cell>
          <cell r="G615">
            <v>38.742205323193922</v>
          </cell>
          <cell r="H615">
            <v>38.742205323193922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40.4</v>
          </cell>
          <cell r="Q615" t="str">
            <v/>
          </cell>
          <cell r="R615" t="e">
            <v>#N/A</v>
          </cell>
        </row>
        <row r="616">
          <cell r="A616">
            <v>40827</v>
          </cell>
          <cell r="B616">
            <v>40827</v>
          </cell>
          <cell r="C616" t="str">
            <v>Future</v>
          </cell>
          <cell r="D616" t="e">
            <v>#N/A</v>
          </cell>
          <cell r="E616">
            <v>34.101901140684397</v>
          </cell>
          <cell r="F616">
            <v>44.203802281368738</v>
          </cell>
          <cell r="G616">
            <v>38.70076045627377</v>
          </cell>
          <cell r="H616">
            <v>38.70076045627377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40.4</v>
          </cell>
          <cell r="Q616" t="str">
            <v/>
          </cell>
          <cell r="R616" t="e">
            <v>#N/A</v>
          </cell>
        </row>
        <row r="617">
          <cell r="A617">
            <v>40828</v>
          </cell>
          <cell r="B617">
            <v>40828</v>
          </cell>
          <cell r="C617" t="str">
            <v>Future</v>
          </cell>
          <cell r="D617" t="e">
            <v>#N/A</v>
          </cell>
          <cell r="E617">
            <v>33.948288973384017</v>
          </cell>
          <cell r="F617">
            <v>44.296577946767975</v>
          </cell>
          <cell r="G617">
            <v>38.659315589353618</v>
          </cell>
          <cell r="H617">
            <v>38.659315589353618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40.4</v>
          </cell>
          <cell r="Q617" t="str">
            <v/>
          </cell>
          <cell r="R617" t="e">
            <v>#N/A</v>
          </cell>
        </row>
        <row r="618">
          <cell r="A618">
            <v>40829</v>
          </cell>
          <cell r="B618">
            <v>40829</v>
          </cell>
          <cell r="C618" t="str">
            <v>Future</v>
          </cell>
          <cell r="D618" t="e">
            <v>#N/A</v>
          </cell>
          <cell r="E618">
            <v>33.794676806083636</v>
          </cell>
          <cell r="F618">
            <v>44.389353612167213</v>
          </cell>
          <cell r="G618">
            <v>38.617870722433466</v>
          </cell>
          <cell r="H618">
            <v>38.617870722433466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40.4</v>
          </cell>
          <cell r="Q618" t="str">
            <v/>
          </cell>
          <cell r="R618" t="e">
            <v>#N/A</v>
          </cell>
        </row>
        <row r="619">
          <cell r="A619">
            <v>40830</v>
          </cell>
          <cell r="B619">
            <v>40830</v>
          </cell>
          <cell r="C619" t="str">
            <v>Future</v>
          </cell>
          <cell r="D619" t="e">
            <v>#N/A</v>
          </cell>
          <cell r="E619">
            <v>33.641064638783256</v>
          </cell>
          <cell r="F619">
            <v>44.48212927756645</v>
          </cell>
          <cell r="G619">
            <v>38.576425855513314</v>
          </cell>
          <cell r="H619">
            <v>38.576425855513314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40.4</v>
          </cell>
          <cell r="Q619" t="str">
            <v/>
          </cell>
          <cell r="R619" t="e">
            <v>#N/A</v>
          </cell>
        </row>
        <row r="620">
          <cell r="A620">
            <v>40833</v>
          </cell>
          <cell r="B620">
            <v>40833</v>
          </cell>
          <cell r="C620" t="str">
            <v>Future</v>
          </cell>
          <cell r="D620" t="e">
            <v>#N/A</v>
          </cell>
          <cell r="E620">
            <v>33.487452471482875</v>
          </cell>
          <cell r="F620">
            <v>44.574904942965688</v>
          </cell>
          <cell r="G620">
            <v>38.534980988593162</v>
          </cell>
          <cell r="H620">
            <v>38.534980988593162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40.4</v>
          </cell>
          <cell r="Q620" t="str">
            <v/>
          </cell>
          <cell r="R620" t="e">
            <v>#N/A</v>
          </cell>
        </row>
        <row r="621">
          <cell r="A621">
            <v>40834</v>
          </cell>
          <cell r="B621">
            <v>40834</v>
          </cell>
          <cell r="C621" t="str">
            <v>Future</v>
          </cell>
          <cell r="D621" t="e">
            <v>#N/A</v>
          </cell>
          <cell r="E621">
            <v>33.333840304182495</v>
          </cell>
          <cell r="F621">
            <v>44.667680608364925</v>
          </cell>
          <cell r="G621">
            <v>38.49353612167301</v>
          </cell>
          <cell r="H621">
            <v>38.49353612167301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40.4</v>
          </cell>
          <cell r="Q621" t="str">
            <v/>
          </cell>
          <cell r="R621" t="e">
            <v>#N/A</v>
          </cell>
        </row>
        <row r="622">
          <cell r="A622">
            <v>40835</v>
          </cell>
          <cell r="B622">
            <v>40835</v>
          </cell>
          <cell r="C622" t="str">
            <v>Future</v>
          </cell>
          <cell r="D622" t="e">
            <v>#N/A</v>
          </cell>
          <cell r="E622">
            <v>33.180228136882114</v>
          </cell>
          <cell r="F622">
            <v>44.760456273764163</v>
          </cell>
          <cell r="G622">
            <v>38.452091254752858</v>
          </cell>
          <cell r="H622">
            <v>38.452091254752858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40.4</v>
          </cell>
          <cell r="Q622" t="str">
            <v/>
          </cell>
          <cell r="R622" t="e">
            <v>#N/A</v>
          </cell>
        </row>
        <row r="623">
          <cell r="A623">
            <v>40836</v>
          </cell>
          <cell r="B623">
            <v>40836</v>
          </cell>
          <cell r="C623" t="str">
            <v>Future</v>
          </cell>
          <cell r="D623" t="e">
            <v>#N/A</v>
          </cell>
          <cell r="E623">
            <v>33.026615969581734</v>
          </cell>
          <cell r="F623">
            <v>44.8532319391634</v>
          </cell>
          <cell r="G623">
            <v>38.410646387832706</v>
          </cell>
          <cell r="H623">
            <v>38.410646387832706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40.4</v>
          </cell>
          <cell r="Q623" t="str">
            <v/>
          </cell>
          <cell r="R623" t="e">
            <v>#N/A</v>
          </cell>
        </row>
        <row r="624">
          <cell r="A624">
            <v>40837</v>
          </cell>
          <cell r="B624">
            <v>40837</v>
          </cell>
          <cell r="C624" t="str">
            <v>Future</v>
          </cell>
          <cell r="D624" t="e">
            <v>#N/A</v>
          </cell>
          <cell r="E624">
            <v>32.873003802281353</v>
          </cell>
          <cell r="F624">
            <v>44.946007604562638</v>
          </cell>
          <cell r="G624">
            <v>38.369201520912554</v>
          </cell>
          <cell r="H624">
            <v>38.369201520912554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40.4</v>
          </cell>
          <cell r="Q624" t="str">
            <v/>
          </cell>
          <cell r="R624" t="e">
            <v>#N/A</v>
          </cell>
        </row>
        <row r="625">
          <cell r="A625">
            <v>40840</v>
          </cell>
          <cell r="B625">
            <v>40840</v>
          </cell>
          <cell r="C625" t="str">
            <v>Future</v>
          </cell>
          <cell r="D625" t="e">
            <v>#N/A</v>
          </cell>
          <cell r="E625">
            <v>32.719391634980973</v>
          </cell>
          <cell r="F625">
            <v>45.038783269961876</v>
          </cell>
          <cell r="G625">
            <v>38.327756653992402</v>
          </cell>
          <cell r="H625">
            <v>38.327756653992402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40.4</v>
          </cell>
          <cell r="Q625" t="str">
            <v/>
          </cell>
          <cell r="R625" t="e">
            <v>#N/A</v>
          </cell>
        </row>
        <row r="626">
          <cell r="A626">
            <v>40841</v>
          </cell>
          <cell r="B626">
            <v>40841</v>
          </cell>
          <cell r="C626" t="str">
            <v>Future</v>
          </cell>
          <cell r="D626" t="e">
            <v>#N/A</v>
          </cell>
          <cell r="E626">
            <v>32.565779467680592</v>
          </cell>
          <cell r="F626">
            <v>45.131558935361113</v>
          </cell>
          <cell r="G626">
            <v>38.28631178707225</v>
          </cell>
          <cell r="H626">
            <v>38.28631178707225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40.4</v>
          </cell>
          <cell r="Q626" t="str">
            <v/>
          </cell>
          <cell r="R626" t="e">
            <v>#N/A</v>
          </cell>
        </row>
        <row r="627">
          <cell r="A627">
            <v>40842</v>
          </cell>
          <cell r="B627">
            <v>40842</v>
          </cell>
          <cell r="C627" t="str">
            <v>Future</v>
          </cell>
          <cell r="D627" t="e">
            <v>#N/A</v>
          </cell>
          <cell r="E627">
            <v>32.412167300380212</v>
          </cell>
          <cell r="F627">
            <v>45.224334600760351</v>
          </cell>
          <cell r="G627">
            <v>38.244866920152099</v>
          </cell>
          <cell r="H627">
            <v>38.244866920152099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40.4</v>
          </cell>
          <cell r="Q627" t="str">
            <v/>
          </cell>
          <cell r="R627" t="e">
            <v>#N/A</v>
          </cell>
        </row>
        <row r="628">
          <cell r="A628">
            <v>40843</v>
          </cell>
          <cell r="B628">
            <v>40843</v>
          </cell>
          <cell r="C628" t="str">
            <v>Future</v>
          </cell>
          <cell r="D628" t="e">
            <v>#N/A</v>
          </cell>
          <cell r="E628">
            <v>32.258555133079831</v>
          </cell>
          <cell r="F628">
            <v>45.317110266159588</v>
          </cell>
          <cell r="G628">
            <v>38.203422053231947</v>
          </cell>
          <cell r="H628">
            <v>38.203422053231947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40.4</v>
          </cell>
          <cell r="Q628" t="str">
            <v/>
          </cell>
          <cell r="R628" t="e">
            <v>#N/A</v>
          </cell>
        </row>
        <row r="629">
          <cell r="A629">
            <v>40844</v>
          </cell>
          <cell r="B629">
            <v>40844</v>
          </cell>
          <cell r="C629" t="str">
            <v>Future</v>
          </cell>
          <cell r="D629" t="e">
            <v>#N/A</v>
          </cell>
          <cell r="E629">
            <v>32.104942965779451</v>
          </cell>
          <cell r="F629">
            <v>45.409885931558826</v>
          </cell>
          <cell r="G629">
            <v>38.161977186311795</v>
          </cell>
          <cell r="H629">
            <v>38.161977186311795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40.4</v>
          </cell>
          <cell r="Q629" t="str">
            <v/>
          </cell>
          <cell r="R629" t="e">
            <v>#N/A</v>
          </cell>
        </row>
        <row r="630">
          <cell r="A630">
            <v>40847</v>
          </cell>
          <cell r="B630">
            <v>40847</v>
          </cell>
          <cell r="C630" t="str">
            <v>Future</v>
          </cell>
          <cell r="D630" t="e">
            <v>#N/A</v>
          </cell>
          <cell r="E630">
            <v>31.95133079847907</v>
          </cell>
          <cell r="F630">
            <v>45.502661596958063</v>
          </cell>
          <cell r="G630">
            <v>38.120532319391643</v>
          </cell>
          <cell r="H630">
            <v>38.120532319391643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40.4</v>
          </cell>
          <cell r="Q630" t="str">
            <v/>
          </cell>
          <cell r="R630" t="e">
            <v>#N/A</v>
          </cell>
        </row>
        <row r="631">
          <cell r="A631">
            <v>40848</v>
          </cell>
          <cell r="B631">
            <v>40848</v>
          </cell>
          <cell r="C631" t="str">
            <v>Future</v>
          </cell>
          <cell r="D631" t="e">
            <v>#N/A</v>
          </cell>
          <cell r="E631">
            <v>31.797718631178689</v>
          </cell>
          <cell r="F631">
            <v>45.595437262357301</v>
          </cell>
          <cell r="G631">
            <v>38.079087452471491</v>
          </cell>
          <cell r="H631">
            <v>38.079087452471491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40.4</v>
          </cell>
          <cell r="Q631" t="str">
            <v/>
          </cell>
          <cell r="R631" t="e">
            <v>#N/A</v>
          </cell>
        </row>
        <row r="632">
          <cell r="A632">
            <v>40849</v>
          </cell>
          <cell r="B632">
            <v>40849</v>
          </cell>
          <cell r="C632" t="str">
            <v>Future</v>
          </cell>
          <cell r="D632" t="e">
            <v>#N/A</v>
          </cell>
          <cell r="E632">
            <v>31.644106463878309</v>
          </cell>
          <cell r="F632">
            <v>45.688212927756538</v>
          </cell>
          <cell r="G632">
            <v>38.037642585551339</v>
          </cell>
          <cell r="H632">
            <v>38.037642585551339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40.4</v>
          </cell>
          <cell r="Q632" t="str">
            <v/>
          </cell>
          <cell r="R632" t="e">
            <v>#N/A</v>
          </cell>
        </row>
        <row r="633">
          <cell r="A633">
            <v>40850</v>
          </cell>
          <cell r="B633">
            <v>40850</v>
          </cell>
          <cell r="C633" t="str">
            <v>Future</v>
          </cell>
          <cell r="D633" t="e">
            <v>#N/A</v>
          </cell>
          <cell r="E633">
            <v>31.490494296577928</v>
          </cell>
          <cell r="F633">
            <v>45.780988593155776</v>
          </cell>
          <cell r="G633">
            <v>37.996197718631187</v>
          </cell>
          <cell r="H633">
            <v>37.996197718631187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40.4</v>
          </cell>
          <cell r="Q633" t="str">
            <v/>
          </cell>
          <cell r="R633" t="e">
            <v>#N/A</v>
          </cell>
        </row>
        <row r="634">
          <cell r="A634">
            <v>40851</v>
          </cell>
          <cell r="B634">
            <v>40851</v>
          </cell>
          <cell r="C634" t="str">
            <v>Future</v>
          </cell>
          <cell r="D634" t="e">
            <v>#N/A</v>
          </cell>
          <cell r="E634">
            <v>31.336882129277548</v>
          </cell>
          <cell r="F634">
            <v>45.873764258555013</v>
          </cell>
          <cell r="G634">
            <v>37.954752851711035</v>
          </cell>
          <cell r="H634">
            <v>37.954752851711035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40.4</v>
          </cell>
          <cell r="Q634" t="str">
            <v/>
          </cell>
          <cell r="R634" t="e">
            <v>#N/A</v>
          </cell>
        </row>
        <row r="635">
          <cell r="A635">
            <v>40854</v>
          </cell>
          <cell r="B635">
            <v>40854</v>
          </cell>
          <cell r="C635" t="str">
            <v>Future</v>
          </cell>
          <cell r="D635" t="e">
            <v>#N/A</v>
          </cell>
          <cell r="E635">
            <v>31.183269961977167</v>
          </cell>
          <cell r="F635">
            <v>45.966539923954251</v>
          </cell>
          <cell r="G635">
            <v>37.913307984790883</v>
          </cell>
          <cell r="H635">
            <v>37.913307984790883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40.4</v>
          </cell>
          <cell r="Q635" t="str">
            <v/>
          </cell>
          <cell r="R635" t="e">
            <v>#N/A</v>
          </cell>
        </row>
        <row r="636">
          <cell r="A636">
            <v>40855</v>
          </cell>
          <cell r="B636">
            <v>40855</v>
          </cell>
          <cell r="C636" t="str">
            <v>Future</v>
          </cell>
          <cell r="D636" t="e">
            <v>#N/A</v>
          </cell>
          <cell r="E636">
            <v>31.029657794676787</v>
          </cell>
          <cell r="F636">
            <v>46.059315589353488</v>
          </cell>
          <cell r="G636">
            <v>37.871863117870731</v>
          </cell>
          <cell r="H636">
            <v>37.871863117870731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40.4</v>
          </cell>
          <cell r="Q636" t="str">
            <v/>
          </cell>
          <cell r="R636" t="e">
            <v>#N/A</v>
          </cell>
        </row>
        <row r="637">
          <cell r="A637">
            <v>40856</v>
          </cell>
          <cell r="B637">
            <v>40856</v>
          </cell>
          <cell r="C637" t="str">
            <v>Future</v>
          </cell>
          <cell r="D637" t="e">
            <v>#N/A</v>
          </cell>
          <cell r="E637">
            <v>30.876045627376406</v>
          </cell>
          <cell r="F637">
            <v>46.152091254752726</v>
          </cell>
          <cell r="G637">
            <v>37.830418250950579</v>
          </cell>
          <cell r="H637">
            <v>37.830418250950579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40.4</v>
          </cell>
          <cell r="Q637" t="str">
            <v/>
          </cell>
          <cell r="R637" t="e">
            <v>#N/A</v>
          </cell>
        </row>
        <row r="638">
          <cell r="A638">
            <v>40857</v>
          </cell>
          <cell r="B638">
            <v>40857</v>
          </cell>
          <cell r="C638" t="str">
            <v>Future</v>
          </cell>
          <cell r="D638" t="e">
            <v>#N/A</v>
          </cell>
          <cell r="E638">
            <v>30.722433460076026</v>
          </cell>
          <cell r="F638">
            <v>46.244866920151964</v>
          </cell>
          <cell r="G638">
            <v>37.788973384030427</v>
          </cell>
          <cell r="H638">
            <v>37.788973384030427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40.4</v>
          </cell>
          <cell r="Q638" t="str">
            <v/>
          </cell>
          <cell r="R638" t="e">
            <v>#N/A</v>
          </cell>
        </row>
        <row r="639">
          <cell r="A639">
            <v>40858</v>
          </cell>
          <cell r="B639">
            <v>40858</v>
          </cell>
          <cell r="C639" t="str">
            <v>Future</v>
          </cell>
          <cell r="D639" t="e">
            <v>#N/A</v>
          </cell>
          <cell r="E639">
            <v>30.568821292775645</v>
          </cell>
          <cell r="F639">
            <v>46.337642585551201</v>
          </cell>
          <cell r="G639">
            <v>37.747528517110275</v>
          </cell>
          <cell r="H639">
            <v>37.747528517110275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40.4</v>
          </cell>
          <cell r="Q639" t="str">
            <v/>
          </cell>
          <cell r="R639" t="e">
            <v>#N/A</v>
          </cell>
        </row>
        <row r="640">
          <cell r="A640">
            <v>40861</v>
          </cell>
          <cell r="B640">
            <v>40861</v>
          </cell>
          <cell r="C640" t="str">
            <v>Future</v>
          </cell>
          <cell r="D640" t="e">
            <v>#N/A</v>
          </cell>
          <cell r="E640">
            <v>30.415209125475265</v>
          </cell>
          <cell r="F640">
            <v>46.430418250950439</v>
          </cell>
          <cell r="G640">
            <v>37.706083650190124</v>
          </cell>
          <cell r="H640">
            <v>37.706083650190124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40.4</v>
          </cell>
          <cell r="Q640" t="str">
            <v/>
          </cell>
          <cell r="R640" t="e">
            <v>#N/A</v>
          </cell>
        </row>
        <row r="641">
          <cell r="A641">
            <v>40862</v>
          </cell>
          <cell r="B641">
            <v>40862</v>
          </cell>
          <cell r="C641" t="str">
            <v>Future</v>
          </cell>
          <cell r="D641" t="e">
            <v>#N/A</v>
          </cell>
          <cell r="E641">
            <v>30.261596958174884</v>
          </cell>
          <cell r="F641">
            <v>46.523193916349676</v>
          </cell>
          <cell r="G641">
            <v>37.664638783269972</v>
          </cell>
          <cell r="H641">
            <v>37.664638783269972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40.4</v>
          </cell>
          <cell r="Q641" t="str">
            <v/>
          </cell>
          <cell r="R641" t="e">
            <v>#N/A</v>
          </cell>
        </row>
        <row r="642">
          <cell r="A642">
            <v>40863</v>
          </cell>
          <cell r="B642">
            <v>40863</v>
          </cell>
          <cell r="C642" t="str">
            <v>Future</v>
          </cell>
          <cell r="D642" t="e">
            <v>#N/A</v>
          </cell>
          <cell r="E642">
            <v>30.107984790874504</v>
          </cell>
          <cell r="F642">
            <v>46.615969581748914</v>
          </cell>
          <cell r="G642">
            <v>37.62319391634982</v>
          </cell>
          <cell r="H642">
            <v>37.62319391634982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40.4</v>
          </cell>
          <cell r="Q642" t="str">
            <v/>
          </cell>
          <cell r="R642" t="e">
            <v>#N/A</v>
          </cell>
        </row>
        <row r="643">
          <cell r="A643">
            <v>40864</v>
          </cell>
          <cell r="B643">
            <v>40864</v>
          </cell>
          <cell r="C643" t="str">
            <v>Future</v>
          </cell>
          <cell r="D643" t="e">
            <v>#N/A</v>
          </cell>
          <cell r="E643">
            <v>29.954372623574123</v>
          </cell>
          <cell r="F643">
            <v>46.708745247148151</v>
          </cell>
          <cell r="G643">
            <v>37.581749049429668</v>
          </cell>
          <cell r="H643">
            <v>37.581749049429668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40.4</v>
          </cell>
          <cell r="Q643" t="str">
            <v/>
          </cell>
          <cell r="R643" t="e">
            <v>#N/A</v>
          </cell>
        </row>
        <row r="644">
          <cell r="A644">
            <v>40865</v>
          </cell>
          <cell r="B644">
            <v>40865</v>
          </cell>
          <cell r="C644" t="str">
            <v>Future</v>
          </cell>
          <cell r="D644" t="e">
            <v>#N/A</v>
          </cell>
          <cell r="E644">
            <v>29.800760456273743</v>
          </cell>
          <cell r="F644">
            <v>46.801520912547389</v>
          </cell>
          <cell r="G644">
            <v>37.540304182509516</v>
          </cell>
          <cell r="H644">
            <v>37.540304182509516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40.4</v>
          </cell>
          <cell r="Q644" t="str">
            <v/>
          </cell>
          <cell r="R644" t="e">
            <v>#N/A</v>
          </cell>
        </row>
        <row r="645">
          <cell r="A645">
            <v>40868</v>
          </cell>
          <cell r="B645">
            <v>40868</v>
          </cell>
          <cell r="C645" t="str">
            <v>Future</v>
          </cell>
          <cell r="D645" t="e">
            <v>#N/A</v>
          </cell>
          <cell r="E645">
            <v>29.647148288973362</v>
          </cell>
          <cell r="F645">
            <v>46.894296577946626</v>
          </cell>
          <cell r="G645">
            <v>37.498859315589364</v>
          </cell>
          <cell r="H645">
            <v>37.498859315589364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40.4</v>
          </cell>
          <cell r="Q645" t="str">
            <v/>
          </cell>
          <cell r="R645" t="e">
            <v>#N/A</v>
          </cell>
        </row>
        <row r="646">
          <cell r="A646">
            <v>40869</v>
          </cell>
          <cell r="B646">
            <v>40869</v>
          </cell>
          <cell r="C646" t="str">
            <v>Future</v>
          </cell>
          <cell r="D646" t="e">
            <v>#N/A</v>
          </cell>
          <cell r="E646">
            <v>29.493536121672982</v>
          </cell>
          <cell r="F646">
            <v>46.987072243345864</v>
          </cell>
          <cell r="G646">
            <v>37.457414448669212</v>
          </cell>
          <cell r="H646">
            <v>37.457414448669212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40.4</v>
          </cell>
          <cell r="Q646" t="str">
            <v/>
          </cell>
          <cell r="R646" t="e">
            <v>#N/A</v>
          </cell>
        </row>
        <row r="647">
          <cell r="A647">
            <v>40870</v>
          </cell>
          <cell r="B647">
            <v>40870</v>
          </cell>
          <cell r="C647" t="str">
            <v>Future</v>
          </cell>
          <cell r="D647" t="e">
            <v>#N/A</v>
          </cell>
          <cell r="E647">
            <v>29.339923954372601</v>
          </cell>
          <cell r="F647">
            <v>47.079847908745101</v>
          </cell>
          <cell r="G647">
            <v>37.41596958174906</v>
          </cell>
          <cell r="H647">
            <v>37.41596958174906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40.4</v>
          </cell>
          <cell r="Q647" t="str">
            <v/>
          </cell>
          <cell r="R647" t="e">
            <v>#N/A</v>
          </cell>
        </row>
        <row r="648">
          <cell r="A648">
            <v>40871</v>
          </cell>
          <cell r="B648">
            <v>40871</v>
          </cell>
          <cell r="C648" t="str">
            <v>Future</v>
          </cell>
          <cell r="D648" t="e">
            <v>#N/A</v>
          </cell>
          <cell r="E648">
            <v>29.186311787072221</v>
          </cell>
          <cell r="F648">
            <v>47.172623574144339</v>
          </cell>
          <cell r="G648">
            <v>37.374524714828908</v>
          </cell>
          <cell r="H648">
            <v>37.374524714828908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40.4</v>
          </cell>
          <cell r="Q648" t="str">
            <v/>
          </cell>
          <cell r="R648" t="e">
            <v>#N/A</v>
          </cell>
        </row>
        <row r="649">
          <cell r="A649">
            <v>40872</v>
          </cell>
          <cell r="B649">
            <v>40872</v>
          </cell>
          <cell r="C649" t="str">
            <v>Future</v>
          </cell>
          <cell r="D649" t="e">
            <v>#N/A</v>
          </cell>
          <cell r="E649">
            <v>29.03269961977184</v>
          </cell>
          <cell r="F649">
            <v>47.265399239543576</v>
          </cell>
          <cell r="G649">
            <v>37.333079847908756</v>
          </cell>
          <cell r="H649">
            <v>37.333079847908756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40.4</v>
          </cell>
          <cell r="Q649" t="str">
            <v/>
          </cell>
          <cell r="R649" t="e">
            <v>#N/A</v>
          </cell>
        </row>
        <row r="650">
          <cell r="A650">
            <v>40875</v>
          </cell>
          <cell r="B650">
            <v>40875</v>
          </cell>
          <cell r="C650" t="str">
            <v>Future</v>
          </cell>
          <cell r="D650" t="e">
            <v>#N/A</v>
          </cell>
          <cell r="E650">
            <v>28.87908745247146</v>
          </cell>
          <cell r="F650">
            <v>47.358174904942814</v>
          </cell>
          <cell r="G650">
            <v>37.291634980988604</v>
          </cell>
          <cell r="H650">
            <v>37.291634980988604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40.4</v>
          </cell>
          <cell r="Q650" t="str">
            <v/>
          </cell>
          <cell r="R650" t="e">
            <v>#N/A</v>
          </cell>
        </row>
        <row r="651">
          <cell r="A651">
            <v>40876</v>
          </cell>
          <cell r="B651">
            <v>40876</v>
          </cell>
          <cell r="C651" t="str">
            <v>Future</v>
          </cell>
          <cell r="D651" t="e">
            <v>#N/A</v>
          </cell>
          <cell r="E651">
            <v>28.725475285171079</v>
          </cell>
          <cell r="F651">
            <v>47.450950570342052</v>
          </cell>
          <cell r="G651">
            <v>37.250190114068452</v>
          </cell>
          <cell r="H651">
            <v>37.250190114068452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40.4</v>
          </cell>
          <cell r="Q651" t="str">
            <v/>
          </cell>
          <cell r="R651" t="e">
            <v>#N/A</v>
          </cell>
        </row>
        <row r="652">
          <cell r="A652">
            <v>40877</v>
          </cell>
          <cell r="B652">
            <v>40877</v>
          </cell>
          <cell r="C652" t="str">
            <v>Future</v>
          </cell>
          <cell r="D652" t="e">
            <v>#N/A</v>
          </cell>
          <cell r="E652">
            <v>28.571863117870699</v>
          </cell>
          <cell r="F652">
            <v>47.543726235741289</v>
          </cell>
          <cell r="G652">
            <v>37.2087452471483</v>
          </cell>
          <cell r="H652">
            <v>37.2087452471483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40.4</v>
          </cell>
          <cell r="Q652" t="str">
            <v/>
          </cell>
          <cell r="R652" t="e">
            <v>#N/A</v>
          </cell>
        </row>
        <row r="653">
          <cell r="A653">
            <v>40878</v>
          </cell>
          <cell r="B653">
            <v>40878</v>
          </cell>
          <cell r="C653" t="str">
            <v>Future</v>
          </cell>
          <cell r="D653" t="e">
            <v>#N/A</v>
          </cell>
          <cell r="E653">
            <v>28.418250950570318</v>
          </cell>
          <cell r="F653">
            <v>47.636501901140527</v>
          </cell>
          <cell r="G653">
            <v>37.167300380228149</v>
          </cell>
          <cell r="H653">
            <v>37.167300380228149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40.4</v>
          </cell>
          <cell r="Q653" t="str">
            <v/>
          </cell>
          <cell r="R653" t="e">
            <v>#N/A</v>
          </cell>
        </row>
        <row r="654">
          <cell r="A654">
            <v>40879</v>
          </cell>
          <cell r="B654">
            <v>40879</v>
          </cell>
          <cell r="C654" t="str">
            <v>Future</v>
          </cell>
          <cell r="D654" t="e">
            <v>#N/A</v>
          </cell>
          <cell r="E654">
            <v>28.264638783269938</v>
          </cell>
          <cell r="F654">
            <v>47.729277566539764</v>
          </cell>
          <cell r="G654">
            <v>37.125855513307997</v>
          </cell>
          <cell r="H654">
            <v>37.125855513307997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40.4</v>
          </cell>
          <cell r="Q654" t="str">
            <v/>
          </cell>
          <cell r="R654" t="e">
            <v>#N/A</v>
          </cell>
        </row>
        <row r="655">
          <cell r="A655">
            <v>40882</v>
          </cell>
          <cell r="B655">
            <v>40882</v>
          </cell>
          <cell r="C655" t="str">
            <v>Future</v>
          </cell>
          <cell r="D655" t="e">
            <v>#N/A</v>
          </cell>
          <cell r="E655">
            <v>28.111026615969557</v>
          </cell>
          <cell r="F655">
            <v>47.822053231939002</v>
          </cell>
          <cell r="G655">
            <v>37.084410646387845</v>
          </cell>
          <cell r="H655">
            <v>37.084410646387845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40.4</v>
          </cell>
          <cell r="Q655" t="str">
            <v/>
          </cell>
          <cell r="R655" t="e">
            <v>#N/A</v>
          </cell>
        </row>
        <row r="656">
          <cell r="A656">
            <v>40883</v>
          </cell>
          <cell r="B656">
            <v>40883</v>
          </cell>
          <cell r="C656" t="str">
            <v>Future</v>
          </cell>
          <cell r="D656" t="e">
            <v>#N/A</v>
          </cell>
          <cell r="E656">
            <v>27.957414448669176</v>
          </cell>
          <cell r="F656">
            <v>47.914828897338239</v>
          </cell>
          <cell r="G656">
            <v>37.042965779467693</v>
          </cell>
          <cell r="H656">
            <v>37.042965779467693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40.4</v>
          </cell>
          <cell r="Q656" t="str">
            <v/>
          </cell>
          <cell r="R656" t="e">
            <v>#N/A</v>
          </cell>
        </row>
        <row r="657">
          <cell r="A657">
            <v>40884</v>
          </cell>
          <cell r="B657">
            <v>40884</v>
          </cell>
          <cell r="C657" t="str">
            <v>Future</v>
          </cell>
          <cell r="D657" t="e">
            <v>#N/A</v>
          </cell>
          <cell r="E657">
            <v>27.803802281368796</v>
          </cell>
          <cell r="F657">
            <v>48.007604562737477</v>
          </cell>
          <cell r="G657">
            <v>37.001520912547541</v>
          </cell>
          <cell r="H657">
            <v>37.001520912547541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40.4</v>
          </cell>
          <cell r="Q657" t="str">
            <v/>
          </cell>
          <cell r="R657" t="e">
            <v>#N/A</v>
          </cell>
        </row>
        <row r="658">
          <cell r="A658">
            <v>40885</v>
          </cell>
          <cell r="B658">
            <v>40885</v>
          </cell>
          <cell r="C658" t="str">
            <v>Future</v>
          </cell>
          <cell r="D658" t="e">
            <v>#N/A</v>
          </cell>
          <cell r="E658">
            <v>27.650190114068415</v>
          </cell>
          <cell r="F658">
            <v>48.100380228136714</v>
          </cell>
          <cell r="G658">
            <v>36.960076045627389</v>
          </cell>
          <cell r="H658">
            <v>36.960076045627389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40.4</v>
          </cell>
          <cell r="Q658" t="str">
            <v/>
          </cell>
          <cell r="R658" t="e">
            <v>#N/A</v>
          </cell>
        </row>
        <row r="659">
          <cell r="A659">
            <v>40886</v>
          </cell>
          <cell r="B659">
            <v>40886</v>
          </cell>
          <cell r="C659" t="str">
            <v>Future</v>
          </cell>
          <cell r="D659" t="e">
            <v>#N/A</v>
          </cell>
          <cell r="E659">
            <v>27.496577946768035</v>
          </cell>
          <cell r="F659">
            <v>48.193155893535952</v>
          </cell>
          <cell r="G659">
            <v>36.918631178707237</v>
          </cell>
          <cell r="H659">
            <v>36.918631178707237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40.4</v>
          </cell>
          <cell r="Q659" t="str">
            <v/>
          </cell>
          <cell r="R659" t="e">
            <v>#N/A</v>
          </cell>
        </row>
        <row r="660">
          <cell r="A660">
            <v>40889</v>
          </cell>
          <cell r="B660">
            <v>40889</v>
          </cell>
          <cell r="C660" t="str">
            <v>Future</v>
          </cell>
          <cell r="D660" t="e">
            <v>#N/A</v>
          </cell>
          <cell r="E660">
            <v>27.342965779467654</v>
          </cell>
          <cell r="F660">
            <v>48.285931558935189</v>
          </cell>
          <cell r="G660">
            <v>36.877186311787085</v>
          </cell>
          <cell r="H660">
            <v>36.877186311787085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40.4</v>
          </cell>
          <cell r="Q660" t="str">
            <v/>
          </cell>
          <cell r="R660" t="e">
            <v>#N/A</v>
          </cell>
        </row>
        <row r="661">
          <cell r="A661">
            <v>40890</v>
          </cell>
          <cell r="B661">
            <v>40890</v>
          </cell>
          <cell r="C661" t="str">
            <v>Future</v>
          </cell>
          <cell r="D661" t="e">
            <v>#N/A</v>
          </cell>
          <cell r="E661">
            <v>27.189353612167274</v>
          </cell>
          <cell r="F661">
            <v>48.378707224334427</v>
          </cell>
          <cell r="G661">
            <v>36.835741444866933</v>
          </cell>
          <cell r="H661">
            <v>36.835741444866933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40.4</v>
          </cell>
          <cell r="Q661" t="str">
            <v/>
          </cell>
          <cell r="R661" t="e">
            <v>#N/A</v>
          </cell>
        </row>
        <row r="662">
          <cell r="A662">
            <v>40891</v>
          </cell>
          <cell r="B662">
            <v>40891</v>
          </cell>
          <cell r="C662" t="str">
            <v>Future</v>
          </cell>
          <cell r="D662" t="e">
            <v>#N/A</v>
          </cell>
          <cell r="E662">
            <v>27.035741444866893</v>
          </cell>
          <cell r="F662">
            <v>48.471482889733664</v>
          </cell>
          <cell r="G662">
            <v>36.794296577946781</v>
          </cell>
          <cell r="H662">
            <v>36.794296577946781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40.4</v>
          </cell>
          <cell r="Q662" t="str">
            <v/>
          </cell>
          <cell r="R662" t="e">
            <v>#N/A</v>
          </cell>
        </row>
        <row r="663">
          <cell r="A663">
            <v>40892</v>
          </cell>
          <cell r="B663">
            <v>40892</v>
          </cell>
          <cell r="C663" t="str">
            <v>Future</v>
          </cell>
          <cell r="D663" t="e">
            <v>#N/A</v>
          </cell>
          <cell r="E663">
            <v>26.882129277566513</v>
          </cell>
          <cell r="F663">
            <v>48.564258555132902</v>
          </cell>
          <cell r="G663">
            <v>36.752851711026629</v>
          </cell>
          <cell r="H663">
            <v>36.752851711026629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40.4</v>
          </cell>
          <cell r="Q663" t="str">
            <v/>
          </cell>
          <cell r="R663" t="e">
            <v>#N/A</v>
          </cell>
        </row>
        <row r="664">
          <cell r="A664">
            <v>40893</v>
          </cell>
          <cell r="B664">
            <v>40893</v>
          </cell>
          <cell r="C664" t="str">
            <v>Future</v>
          </cell>
          <cell r="D664" t="e">
            <v>#N/A</v>
          </cell>
          <cell r="E664">
            <v>26.728517110266132</v>
          </cell>
          <cell r="F664">
            <v>48.65703422053214</v>
          </cell>
          <cell r="G664">
            <v>36.711406844106477</v>
          </cell>
          <cell r="H664">
            <v>36.711406844106477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40.4</v>
          </cell>
          <cell r="Q664" t="str">
            <v/>
          </cell>
          <cell r="R664" t="e">
            <v>#N/A</v>
          </cell>
        </row>
        <row r="665">
          <cell r="A665">
            <v>40896</v>
          </cell>
          <cell r="B665">
            <v>40896</v>
          </cell>
          <cell r="C665" t="str">
            <v>Future</v>
          </cell>
          <cell r="D665" t="e">
            <v>#N/A</v>
          </cell>
          <cell r="E665">
            <v>26.574904942965752</v>
          </cell>
          <cell r="F665">
            <v>48.749809885931377</v>
          </cell>
          <cell r="G665">
            <v>36.669961977186325</v>
          </cell>
          <cell r="H665">
            <v>36.669961977186325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40.4</v>
          </cell>
          <cell r="Q665" t="str">
            <v/>
          </cell>
          <cell r="R665" t="e">
            <v>#N/A</v>
          </cell>
        </row>
        <row r="666">
          <cell r="A666">
            <v>40897</v>
          </cell>
          <cell r="B666">
            <v>40897</v>
          </cell>
          <cell r="C666" t="str">
            <v>Future</v>
          </cell>
          <cell r="D666" t="e">
            <v>#N/A</v>
          </cell>
          <cell r="E666">
            <v>26.421292775665371</v>
          </cell>
          <cell r="F666">
            <v>48.842585551330615</v>
          </cell>
          <cell r="G666">
            <v>36.628517110266174</v>
          </cell>
          <cell r="H666">
            <v>36.628517110266174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40.4</v>
          </cell>
          <cell r="Q666" t="str">
            <v/>
          </cell>
          <cell r="R666" t="e">
            <v>#N/A</v>
          </cell>
        </row>
        <row r="667">
          <cell r="A667">
            <v>40898</v>
          </cell>
          <cell r="B667">
            <v>40898</v>
          </cell>
          <cell r="C667" t="str">
            <v>Future</v>
          </cell>
          <cell r="D667" t="e">
            <v>#N/A</v>
          </cell>
          <cell r="E667">
            <v>26.267680608364991</v>
          </cell>
          <cell r="F667">
            <v>48.935361216729852</v>
          </cell>
          <cell r="G667">
            <v>36.587072243346022</v>
          </cell>
          <cell r="H667">
            <v>36.587072243346022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40.4</v>
          </cell>
          <cell r="Q667" t="str">
            <v/>
          </cell>
          <cell r="R667" t="e">
            <v>#N/A</v>
          </cell>
        </row>
        <row r="668">
          <cell r="A668">
            <v>40899</v>
          </cell>
          <cell r="B668">
            <v>40899</v>
          </cell>
          <cell r="C668" t="str">
            <v>Future</v>
          </cell>
          <cell r="D668" t="e">
            <v>#N/A</v>
          </cell>
          <cell r="E668">
            <v>26.11406844106461</v>
          </cell>
          <cell r="F668">
            <v>49.02813688212909</v>
          </cell>
          <cell r="G668">
            <v>36.54562737642587</v>
          </cell>
          <cell r="H668">
            <v>36.54562737642587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40.4</v>
          </cell>
          <cell r="Q668" t="str">
            <v/>
          </cell>
          <cell r="R668" t="e">
            <v>#N/A</v>
          </cell>
        </row>
        <row r="669">
          <cell r="A669">
            <v>40900</v>
          </cell>
          <cell r="B669">
            <v>40900</v>
          </cell>
          <cell r="C669" t="str">
            <v>Future</v>
          </cell>
          <cell r="D669" t="e">
            <v>#N/A</v>
          </cell>
          <cell r="E669">
            <v>25.96045627376423</v>
          </cell>
          <cell r="F669">
            <v>49.120912547528327</v>
          </cell>
          <cell r="G669">
            <v>36.504182509505718</v>
          </cell>
          <cell r="H669">
            <v>36.504182509505718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40.4</v>
          </cell>
          <cell r="Q669" t="str">
            <v/>
          </cell>
          <cell r="R669" t="e">
            <v>#N/A</v>
          </cell>
        </row>
        <row r="670">
          <cell r="A670">
            <v>40903</v>
          </cell>
          <cell r="B670">
            <v>40903</v>
          </cell>
          <cell r="C670" t="str">
            <v>Future</v>
          </cell>
          <cell r="D670" t="e">
            <v>#N/A</v>
          </cell>
          <cell r="E670">
            <v>25.806844106463849</v>
          </cell>
          <cell r="F670">
            <v>49.213688212927565</v>
          </cell>
          <cell r="G670">
            <v>36.462737642585566</v>
          </cell>
          <cell r="H670">
            <v>36.462737642585566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40.4</v>
          </cell>
          <cell r="Q670" t="str">
            <v/>
          </cell>
          <cell r="R670" t="e">
            <v>#N/A</v>
          </cell>
        </row>
        <row r="671">
          <cell r="A671">
            <v>40904</v>
          </cell>
          <cell r="B671">
            <v>40904</v>
          </cell>
          <cell r="C671" t="str">
            <v>Future</v>
          </cell>
          <cell r="D671" t="e">
            <v>#N/A</v>
          </cell>
          <cell r="E671">
            <v>25.653231939163469</v>
          </cell>
          <cell r="F671">
            <v>49.306463878326802</v>
          </cell>
          <cell r="G671">
            <v>36.421292775665414</v>
          </cell>
          <cell r="H671">
            <v>36.421292775665414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40.4</v>
          </cell>
          <cell r="Q671" t="str">
            <v/>
          </cell>
          <cell r="R671" t="e">
            <v>#N/A</v>
          </cell>
        </row>
        <row r="672">
          <cell r="A672">
            <v>40905</v>
          </cell>
          <cell r="B672">
            <v>40905</v>
          </cell>
          <cell r="C672" t="str">
            <v>Future</v>
          </cell>
          <cell r="D672" t="e">
            <v>#N/A</v>
          </cell>
          <cell r="E672">
            <v>25.499619771863088</v>
          </cell>
          <cell r="F672">
            <v>49.39923954372604</v>
          </cell>
          <cell r="G672">
            <v>36.379847908745262</v>
          </cell>
          <cell r="H672">
            <v>36.379847908745262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40.4</v>
          </cell>
          <cell r="Q672" t="str">
            <v/>
          </cell>
          <cell r="R672" t="e">
            <v>#N/A</v>
          </cell>
        </row>
        <row r="673">
          <cell r="A673">
            <v>40906</v>
          </cell>
          <cell r="B673">
            <v>40906</v>
          </cell>
          <cell r="C673" t="str">
            <v>Future</v>
          </cell>
          <cell r="D673" t="e">
            <v>#N/A</v>
          </cell>
          <cell r="E673">
            <v>25.346007604562708</v>
          </cell>
          <cell r="F673">
            <v>49.492015209125277</v>
          </cell>
          <cell r="G673">
            <v>36.33840304182511</v>
          </cell>
          <cell r="H673">
            <v>36.33840304182511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40.4</v>
          </cell>
          <cell r="Q673" t="str">
            <v/>
          </cell>
          <cell r="R673" t="e">
            <v>#N/A</v>
          </cell>
        </row>
        <row r="674">
          <cell r="A674">
            <v>40907</v>
          </cell>
          <cell r="B674">
            <v>40907</v>
          </cell>
          <cell r="C674" t="str">
            <v>Future</v>
          </cell>
          <cell r="D674" t="e">
            <v>#N/A</v>
          </cell>
          <cell r="E674">
            <v>25.192395437262327</v>
          </cell>
          <cell r="F674">
            <v>49.584790874524515</v>
          </cell>
          <cell r="G674">
            <v>36.296958174904958</v>
          </cell>
          <cell r="H674">
            <v>36.296958174904958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40.4</v>
          </cell>
          <cell r="Q674" t="str">
            <v/>
          </cell>
          <cell r="R674" t="e">
            <v>#N/A</v>
          </cell>
        </row>
        <row r="675">
          <cell r="A675">
            <v>40910</v>
          </cell>
          <cell r="B675">
            <v>40910</v>
          </cell>
          <cell r="C675" t="str">
            <v>Future</v>
          </cell>
          <cell r="D675" t="e">
            <v>#N/A</v>
          </cell>
          <cell r="E675">
            <v>25.038783269961947</v>
          </cell>
          <cell r="F675">
            <v>49.677566539923752</v>
          </cell>
          <cell r="G675">
            <v>36.255513307984806</v>
          </cell>
          <cell r="H675">
            <v>36.255513307984806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40.4</v>
          </cell>
          <cell r="Q675" t="str">
            <v/>
          </cell>
          <cell r="R675" t="e">
            <v>#N/A</v>
          </cell>
        </row>
        <row r="676">
          <cell r="A676">
            <v>40911</v>
          </cell>
          <cell r="B676">
            <v>40911</v>
          </cell>
          <cell r="C676" t="str">
            <v>Future</v>
          </cell>
          <cell r="D676" t="e">
            <v>#N/A</v>
          </cell>
          <cell r="E676">
            <v>24.885171102661566</v>
          </cell>
          <cell r="F676">
            <v>49.77034220532299</v>
          </cell>
          <cell r="G676">
            <v>36.214068441064654</v>
          </cell>
          <cell r="H676">
            <v>36.214068441064654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40.4</v>
          </cell>
          <cell r="Q676" t="str">
            <v/>
          </cell>
          <cell r="R676" t="e">
            <v>#N/A</v>
          </cell>
        </row>
        <row r="677">
          <cell r="A677">
            <v>40912</v>
          </cell>
          <cell r="B677">
            <v>40912</v>
          </cell>
          <cell r="C677" t="str">
            <v>Future</v>
          </cell>
          <cell r="D677" t="e">
            <v>#N/A</v>
          </cell>
          <cell r="E677">
            <v>24.731558935361186</v>
          </cell>
          <cell r="F677">
            <v>49.863117870722228</v>
          </cell>
          <cell r="G677">
            <v>36.172623574144502</v>
          </cell>
          <cell r="H677">
            <v>36.172623574144502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40.4</v>
          </cell>
          <cell r="Q677" t="str">
            <v/>
          </cell>
          <cell r="R677" t="e">
            <v>#N/A</v>
          </cell>
        </row>
        <row r="678">
          <cell r="A678">
            <v>40913</v>
          </cell>
          <cell r="B678">
            <v>40913</v>
          </cell>
          <cell r="C678" t="str">
            <v>Future</v>
          </cell>
          <cell r="D678" t="e">
            <v>#N/A</v>
          </cell>
          <cell r="E678">
            <v>24.577946768060805</v>
          </cell>
          <cell r="F678">
            <v>49.955893536121465</v>
          </cell>
          <cell r="G678">
            <v>36.13117870722435</v>
          </cell>
          <cell r="H678">
            <v>36.13117870722435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40.4</v>
          </cell>
          <cell r="Q678" t="str">
            <v/>
          </cell>
          <cell r="R678" t="e">
            <v>#N/A</v>
          </cell>
        </row>
        <row r="679">
          <cell r="A679">
            <v>40914</v>
          </cell>
          <cell r="B679">
            <v>40914</v>
          </cell>
          <cell r="C679" t="str">
            <v>Future</v>
          </cell>
          <cell r="D679" t="e">
            <v>#N/A</v>
          </cell>
          <cell r="E679">
            <v>24.424334600760425</v>
          </cell>
          <cell r="F679">
            <v>50.048669201520703</v>
          </cell>
          <cell r="G679">
            <v>36.089733840304199</v>
          </cell>
          <cell r="H679">
            <v>36.089733840304199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40.4</v>
          </cell>
          <cell r="Q679" t="str">
            <v/>
          </cell>
          <cell r="R679" t="e">
            <v>#N/A</v>
          </cell>
        </row>
        <row r="680">
          <cell r="A680">
            <v>40917</v>
          </cell>
          <cell r="B680">
            <v>40917</v>
          </cell>
          <cell r="C680" t="str">
            <v>Future</v>
          </cell>
          <cell r="D680" t="e">
            <v>#N/A</v>
          </cell>
          <cell r="E680">
            <v>24.270722433460044</v>
          </cell>
          <cell r="F680">
            <v>50.14144486691994</v>
          </cell>
          <cell r="G680">
            <v>36.048288973384047</v>
          </cell>
          <cell r="H680">
            <v>36.048288973384047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40.4</v>
          </cell>
          <cell r="Q680" t="str">
            <v/>
          </cell>
          <cell r="R680" t="e">
            <v>#N/A</v>
          </cell>
        </row>
        <row r="681">
          <cell r="A681">
            <v>40918</v>
          </cell>
          <cell r="B681">
            <v>40918</v>
          </cell>
          <cell r="C681" t="str">
            <v>Future</v>
          </cell>
          <cell r="D681" t="e">
            <v>#N/A</v>
          </cell>
          <cell r="E681">
            <v>24.117110266159663</v>
          </cell>
          <cell r="F681">
            <v>50.234220532319178</v>
          </cell>
          <cell r="G681">
            <v>36.006844106463895</v>
          </cell>
          <cell r="H681">
            <v>36.006844106463895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40.4</v>
          </cell>
          <cell r="Q681" t="str">
            <v/>
          </cell>
          <cell r="R681" t="e">
            <v>#N/A</v>
          </cell>
        </row>
        <row r="682">
          <cell r="A682">
            <v>40919</v>
          </cell>
          <cell r="B682">
            <v>40919</v>
          </cell>
          <cell r="C682" t="str">
            <v>Future</v>
          </cell>
          <cell r="D682" t="e">
            <v>#N/A</v>
          </cell>
          <cell r="E682">
            <v>23.963498098859283</v>
          </cell>
          <cell r="F682">
            <v>50.326996197718415</v>
          </cell>
          <cell r="G682">
            <v>35.965399239543743</v>
          </cell>
          <cell r="H682">
            <v>35.965399239543743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40.4</v>
          </cell>
          <cell r="Q682" t="str">
            <v/>
          </cell>
          <cell r="R682" t="e">
            <v>#N/A</v>
          </cell>
        </row>
        <row r="683">
          <cell r="A683">
            <v>40920</v>
          </cell>
          <cell r="B683">
            <v>40920</v>
          </cell>
          <cell r="C683" t="str">
            <v>Future</v>
          </cell>
          <cell r="D683" t="e">
            <v>#N/A</v>
          </cell>
          <cell r="E683">
            <v>23.809885931558902</v>
          </cell>
          <cell r="F683">
            <v>50.419771863117653</v>
          </cell>
          <cell r="G683">
            <v>35.923954372623591</v>
          </cell>
          <cell r="H683">
            <v>35.923954372623591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40.4</v>
          </cell>
          <cell r="Q683" t="str">
            <v/>
          </cell>
          <cell r="R683" t="e">
            <v>#N/A</v>
          </cell>
        </row>
        <row r="684">
          <cell r="A684">
            <v>40921</v>
          </cell>
          <cell r="B684">
            <v>40921</v>
          </cell>
          <cell r="C684" t="str">
            <v>Future</v>
          </cell>
          <cell r="D684" t="e">
            <v>#N/A</v>
          </cell>
          <cell r="E684">
            <v>23.656273764258522</v>
          </cell>
          <cell r="F684">
            <v>50.51254752851689</v>
          </cell>
          <cell r="G684">
            <v>35.882509505703439</v>
          </cell>
          <cell r="H684">
            <v>35.882509505703439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40.4</v>
          </cell>
          <cell r="Q684" t="str">
            <v/>
          </cell>
          <cell r="R684" t="e">
            <v>#N/A</v>
          </cell>
        </row>
        <row r="685">
          <cell r="A685">
            <v>40924</v>
          </cell>
          <cell r="B685">
            <v>40924</v>
          </cell>
          <cell r="C685" t="str">
            <v>Future</v>
          </cell>
          <cell r="D685" t="e">
            <v>#N/A</v>
          </cell>
          <cell r="E685">
            <v>23.502661596958141</v>
          </cell>
          <cell r="F685">
            <v>50.605323193916128</v>
          </cell>
          <cell r="G685">
            <v>35.841064638783287</v>
          </cell>
          <cell r="H685">
            <v>35.841064638783287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40.4</v>
          </cell>
          <cell r="Q685" t="str">
            <v/>
          </cell>
          <cell r="R685" t="e">
            <v>#N/A</v>
          </cell>
        </row>
        <row r="686">
          <cell r="A686">
            <v>40925</v>
          </cell>
          <cell r="B686">
            <v>40925</v>
          </cell>
          <cell r="C686" t="str">
            <v>Future</v>
          </cell>
          <cell r="D686" t="e">
            <v>#N/A</v>
          </cell>
          <cell r="E686">
            <v>23.349049429657761</v>
          </cell>
          <cell r="F686">
            <v>50.698098859315365</v>
          </cell>
          <cell r="G686">
            <v>35.799619771863135</v>
          </cell>
          <cell r="H686">
            <v>35.799619771863135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40.4</v>
          </cell>
          <cell r="Q686" t="str">
            <v/>
          </cell>
          <cell r="R686" t="e">
            <v>#N/A</v>
          </cell>
        </row>
        <row r="687">
          <cell r="A687">
            <v>40926</v>
          </cell>
          <cell r="B687">
            <v>40926</v>
          </cell>
          <cell r="C687" t="str">
            <v>Future</v>
          </cell>
          <cell r="D687" t="e">
            <v>#N/A</v>
          </cell>
          <cell r="E687">
            <v>23.19543726235738</v>
          </cell>
          <cell r="F687">
            <v>50.790874524714603</v>
          </cell>
          <cell r="G687">
            <v>35.758174904942983</v>
          </cell>
          <cell r="H687">
            <v>35.758174904942983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40.4</v>
          </cell>
          <cell r="Q687" t="str">
            <v/>
          </cell>
          <cell r="R687" t="e">
            <v>#N/A</v>
          </cell>
        </row>
        <row r="688">
          <cell r="A688">
            <v>40927</v>
          </cell>
          <cell r="B688">
            <v>40927</v>
          </cell>
          <cell r="C688" t="str">
            <v>Future</v>
          </cell>
          <cell r="D688" t="e">
            <v>#N/A</v>
          </cell>
          <cell r="E688">
            <v>23.041825095057</v>
          </cell>
          <cell r="F688">
            <v>50.88365019011384</v>
          </cell>
          <cell r="G688">
            <v>35.716730038022831</v>
          </cell>
          <cell r="H688">
            <v>35.716730038022831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40.4</v>
          </cell>
          <cell r="Q688" t="str">
            <v/>
          </cell>
          <cell r="R688" t="e">
            <v>#N/A</v>
          </cell>
        </row>
        <row r="689">
          <cell r="A689">
            <v>40928</v>
          </cell>
          <cell r="B689">
            <v>40928</v>
          </cell>
          <cell r="C689" t="str">
            <v>Future</v>
          </cell>
          <cell r="D689" t="e">
            <v>#N/A</v>
          </cell>
          <cell r="E689">
            <v>22.888212927756619</v>
          </cell>
          <cell r="F689">
            <v>50.976425855513078</v>
          </cell>
          <cell r="G689">
            <v>35.675285171102679</v>
          </cell>
          <cell r="H689">
            <v>35.675285171102679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40.4</v>
          </cell>
          <cell r="Q689" t="str">
            <v/>
          </cell>
          <cell r="R689" t="e">
            <v>#N/A</v>
          </cell>
        </row>
        <row r="690">
          <cell r="A690">
            <v>40931</v>
          </cell>
          <cell r="B690">
            <v>40931</v>
          </cell>
          <cell r="C690" t="str">
            <v>Future</v>
          </cell>
          <cell r="D690" t="e">
            <v>#N/A</v>
          </cell>
          <cell r="E690">
            <v>22.734600760456239</v>
          </cell>
          <cell r="F690">
            <v>51.069201520912316</v>
          </cell>
          <cell r="G690">
            <v>35.633840304182527</v>
          </cell>
          <cell r="H690">
            <v>35.633840304182527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40.4</v>
          </cell>
          <cell r="Q690" t="str">
            <v/>
          </cell>
          <cell r="R690" t="e">
            <v>#N/A</v>
          </cell>
        </row>
        <row r="691">
          <cell r="A691">
            <v>40932</v>
          </cell>
          <cell r="B691">
            <v>40932</v>
          </cell>
          <cell r="C691" t="str">
            <v>Future</v>
          </cell>
          <cell r="D691" t="e">
            <v>#N/A</v>
          </cell>
          <cell r="E691">
            <v>22.580988593155858</v>
          </cell>
          <cell r="F691">
            <v>51.161977186311553</v>
          </cell>
          <cell r="G691">
            <v>35.592395437262375</v>
          </cell>
          <cell r="H691">
            <v>35.592395437262375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40.4</v>
          </cell>
          <cell r="Q691" t="str">
            <v/>
          </cell>
          <cell r="R691" t="e">
            <v>#N/A</v>
          </cell>
        </row>
        <row r="692">
          <cell r="A692">
            <v>40933</v>
          </cell>
          <cell r="B692">
            <v>40933</v>
          </cell>
          <cell r="C692" t="str">
            <v>Future</v>
          </cell>
          <cell r="D692" t="e">
            <v>#N/A</v>
          </cell>
          <cell r="E692">
            <v>22.427376425855478</v>
          </cell>
          <cell r="F692">
            <v>51.254752851710791</v>
          </cell>
          <cell r="G692">
            <v>35.550950570342224</v>
          </cell>
          <cell r="H692">
            <v>35.550950570342224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40.4</v>
          </cell>
          <cell r="Q692" t="str">
            <v/>
          </cell>
          <cell r="R692" t="e">
            <v>#N/A</v>
          </cell>
        </row>
        <row r="693">
          <cell r="A693">
            <v>40934</v>
          </cell>
          <cell r="B693">
            <v>40934</v>
          </cell>
          <cell r="C693" t="str">
            <v>Future</v>
          </cell>
          <cell r="D693" t="e">
            <v>#N/A</v>
          </cell>
          <cell r="E693">
            <v>22.273764258555097</v>
          </cell>
          <cell r="F693">
            <v>51.347528517110028</v>
          </cell>
          <cell r="G693">
            <v>35.509505703422072</v>
          </cell>
          <cell r="H693">
            <v>35.509505703422072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40.4</v>
          </cell>
          <cell r="Q693" t="str">
            <v/>
          </cell>
          <cell r="R693" t="e">
            <v>#N/A</v>
          </cell>
        </row>
        <row r="694">
          <cell r="A694">
            <v>40935</v>
          </cell>
          <cell r="B694">
            <v>40935</v>
          </cell>
          <cell r="C694" t="str">
            <v>Future</v>
          </cell>
          <cell r="D694" t="e">
            <v>#N/A</v>
          </cell>
          <cell r="E694">
            <v>22.120152091254717</v>
          </cell>
          <cell r="F694">
            <v>51.440304182509266</v>
          </cell>
          <cell r="G694">
            <v>35.46806083650192</v>
          </cell>
          <cell r="H694">
            <v>35.46806083650192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40.4</v>
          </cell>
          <cell r="Q694" t="str">
            <v/>
          </cell>
          <cell r="R694" t="e">
            <v>#N/A</v>
          </cell>
        </row>
        <row r="695">
          <cell r="A695">
            <v>40938</v>
          </cell>
          <cell r="B695">
            <v>40938</v>
          </cell>
          <cell r="C695" t="str">
            <v>Future</v>
          </cell>
          <cell r="D695" t="e">
            <v>#N/A</v>
          </cell>
          <cell r="E695">
            <v>21.966539923954336</v>
          </cell>
          <cell r="F695">
            <v>51.533079847908503</v>
          </cell>
          <cell r="G695">
            <v>35.426615969581768</v>
          </cell>
          <cell r="H695">
            <v>35.426615969581768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40.4</v>
          </cell>
          <cell r="Q695" t="str">
            <v/>
          </cell>
          <cell r="R695" t="e">
            <v>#N/A</v>
          </cell>
        </row>
        <row r="696">
          <cell r="A696">
            <v>40939</v>
          </cell>
          <cell r="B696">
            <v>40939</v>
          </cell>
          <cell r="C696" t="str">
            <v>Future</v>
          </cell>
          <cell r="D696" t="e">
            <v>#N/A</v>
          </cell>
          <cell r="E696">
            <v>21.812927756653956</v>
          </cell>
          <cell r="F696">
            <v>51.625855513307741</v>
          </cell>
          <cell r="G696">
            <v>35.385171102661616</v>
          </cell>
          <cell r="H696">
            <v>35.385171102661616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40.4</v>
          </cell>
          <cell r="Q696" t="str">
            <v/>
          </cell>
          <cell r="R696" t="e">
            <v>#N/A</v>
          </cell>
        </row>
        <row r="697">
          <cell r="A697">
            <v>40940</v>
          </cell>
          <cell r="B697">
            <v>40940</v>
          </cell>
          <cell r="C697" t="str">
            <v>Future</v>
          </cell>
          <cell r="D697" t="e">
            <v>#N/A</v>
          </cell>
          <cell r="E697">
            <v>21.659315589353575</v>
          </cell>
          <cell r="F697">
            <v>51.718631178706978</v>
          </cell>
          <cell r="G697">
            <v>35.343726235741464</v>
          </cell>
          <cell r="H697">
            <v>35.343726235741464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40.4</v>
          </cell>
          <cell r="Q697" t="str">
            <v/>
          </cell>
          <cell r="R697" t="e">
            <v>#N/A</v>
          </cell>
        </row>
        <row r="698">
          <cell r="A698">
            <v>40941</v>
          </cell>
          <cell r="B698">
            <v>40941</v>
          </cell>
          <cell r="C698" t="str">
            <v>Future</v>
          </cell>
          <cell r="D698" t="e">
            <v>#N/A</v>
          </cell>
          <cell r="E698">
            <v>21.505703422053195</v>
          </cell>
          <cell r="F698">
            <v>51.811406844106216</v>
          </cell>
          <cell r="G698">
            <v>35.302281368821312</v>
          </cell>
          <cell r="H698">
            <v>35.302281368821312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40.4</v>
          </cell>
          <cell r="Q698" t="str">
            <v/>
          </cell>
          <cell r="R698" t="e">
            <v>#N/A</v>
          </cell>
        </row>
        <row r="699">
          <cell r="A699">
            <v>40942</v>
          </cell>
          <cell r="B699">
            <v>40942</v>
          </cell>
          <cell r="C699" t="str">
            <v>Future</v>
          </cell>
          <cell r="D699" t="e">
            <v>#N/A</v>
          </cell>
          <cell r="E699">
            <v>21.352091254752814</v>
          </cell>
          <cell r="F699">
            <v>51.904182509505453</v>
          </cell>
          <cell r="G699">
            <v>35.26083650190116</v>
          </cell>
          <cell r="H699">
            <v>35.26083650190116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40.4</v>
          </cell>
          <cell r="Q699" t="str">
            <v/>
          </cell>
          <cell r="R699" t="e">
            <v>#N/A</v>
          </cell>
        </row>
        <row r="700">
          <cell r="A700">
            <v>40945</v>
          </cell>
          <cell r="B700">
            <v>40945</v>
          </cell>
          <cell r="C700" t="str">
            <v>Future</v>
          </cell>
          <cell r="D700" t="e">
            <v>#N/A</v>
          </cell>
          <cell r="E700">
            <v>21.198479087452434</v>
          </cell>
          <cell r="F700">
            <v>51.996958174904691</v>
          </cell>
          <cell r="G700">
            <v>35.219391634981008</v>
          </cell>
          <cell r="H700">
            <v>35.219391634981008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40.4</v>
          </cell>
          <cell r="Q700" t="str">
            <v/>
          </cell>
          <cell r="R700" t="e">
            <v>#N/A</v>
          </cell>
        </row>
        <row r="701">
          <cell r="A701">
            <v>40946</v>
          </cell>
          <cell r="B701">
            <v>40946</v>
          </cell>
          <cell r="C701" t="str">
            <v>Future</v>
          </cell>
          <cell r="D701" t="e">
            <v>#N/A</v>
          </cell>
          <cell r="E701">
            <v>21.044866920152053</v>
          </cell>
          <cell r="F701">
            <v>52.089733840303929</v>
          </cell>
          <cell r="G701">
            <v>35.177946768060856</v>
          </cell>
          <cell r="H701">
            <v>35.177946768060856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40.4</v>
          </cell>
          <cell r="Q701" t="str">
            <v/>
          </cell>
          <cell r="R701" t="e">
            <v>#N/A</v>
          </cell>
        </row>
        <row r="702">
          <cell r="A702">
            <v>40947</v>
          </cell>
          <cell r="B702">
            <v>40947</v>
          </cell>
          <cell r="C702" t="str">
            <v>Future</v>
          </cell>
          <cell r="D702" t="e">
            <v>#N/A</v>
          </cell>
          <cell r="E702">
            <v>20.891254752851673</v>
          </cell>
          <cell r="F702">
            <v>52.182509505703166</v>
          </cell>
          <cell r="G702">
            <v>35.136501901140704</v>
          </cell>
          <cell r="H702">
            <v>35.136501901140704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40.4</v>
          </cell>
          <cell r="Q702" t="str">
            <v/>
          </cell>
          <cell r="R702" t="e">
            <v>#N/A</v>
          </cell>
        </row>
        <row r="703">
          <cell r="A703">
            <v>40948</v>
          </cell>
          <cell r="B703">
            <v>40948</v>
          </cell>
          <cell r="C703" t="str">
            <v>Future</v>
          </cell>
          <cell r="D703" t="e">
            <v>#N/A</v>
          </cell>
          <cell r="E703">
            <v>20.737642585551292</v>
          </cell>
          <cell r="F703">
            <v>52.275285171102404</v>
          </cell>
          <cell r="G703">
            <v>35.095057034220552</v>
          </cell>
          <cell r="H703">
            <v>35.095057034220552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40.4</v>
          </cell>
          <cell r="Q703" t="str">
            <v/>
          </cell>
          <cell r="R703" t="e">
            <v>#N/A</v>
          </cell>
        </row>
        <row r="704">
          <cell r="A704">
            <v>40949</v>
          </cell>
          <cell r="B704">
            <v>40949</v>
          </cell>
          <cell r="C704" t="str">
            <v>Future</v>
          </cell>
          <cell r="D704" t="e">
            <v>#N/A</v>
          </cell>
          <cell r="E704">
            <v>20.584030418250912</v>
          </cell>
          <cell r="F704">
            <v>52.368060836501641</v>
          </cell>
          <cell r="G704">
            <v>35.0536121673004</v>
          </cell>
          <cell r="H704">
            <v>35.0536121673004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40.4</v>
          </cell>
          <cell r="Q704" t="str">
            <v/>
          </cell>
          <cell r="R704" t="e">
            <v>#N/A</v>
          </cell>
        </row>
        <row r="705">
          <cell r="A705">
            <v>40952</v>
          </cell>
          <cell r="B705">
            <v>40952</v>
          </cell>
          <cell r="C705" t="str">
            <v>Future</v>
          </cell>
          <cell r="D705" t="e">
            <v>#N/A</v>
          </cell>
          <cell r="E705">
            <v>20.430418250950531</v>
          </cell>
          <cell r="F705">
            <v>52.460836501900879</v>
          </cell>
          <cell r="G705">
            <v>35.012167300380248</v>
          </cell>
          <cell r="H705">
            <v>35.012167300380248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40.4</v>
          </cell>
          <cell r="Q705" t="str">
            <v/>
          </cell>
          <cell r="R705" t="e">
            <v>#N/A</v>
          </cell>
        </row>
        <row r="706">
          <cell r="A706">
            <v>40953</v>
          </cell>
          <cell r="B706">
            <v>40953</v>
          </cell>
          <cell r="C706" t="str">
            <v>Future</v>
          </cell>
          <cell r="D706" t="e">
            <v>#N/A</v>
          </cell>
          <cell r="E706">
            <v>20.27680608365015</v>
          </cell>
          <cell r="F706">
            <v>52.553612167300116</v>
          </cell>
          <cell r="G706">
            <v>34.970722433460097</v>
          </cell>
          <cell r="H706">
            <v>34.970722433460097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40.4</v>
          </cell>
          <cell r="Q706" t="str">
            <v/>
          </cell>
          <cell r="R706" t="e">
            <v>#N/A</v>
          </cell>
        </row>
        <row r="707">
          <cell r="A707">
            <v>40954</v>
          </cell>
          <cell r="B707">
            <v>40954</v>
          </cell>
          <cell r="C707" t="str">
            <v>Future</v>
          </cell>
          <cell r="D707" t="e">
            <v>#N/A</v>
          </cell>
          <cell r="E707">
            <v>20.12319391634977</v>
          </cell>
          <cell r="F707">
            <v>52.646387832699354</v>
          </cell>
          <cell r="G707">
            <v>34.929277566539945</v>
          </cell>
          <cell r="H707">
            <v>34.929277566539945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40.4</v>
          </cell>
          <cell r="Q707" t="str">
            <v/>
          </cell>
          <cell r="R707" t="e">
            <v>#N/A</v>
          </cell>
        </row>
        <row r="708">
          <cell r="A708">
            <v>40955</v>
          </cell>
          <cell r="B708">
            <v>40955</v>
          </cell>
          <cell r="C708" t="str">
            <v>Future</v>
          </cell>
          <cell r="D708" t="e">
            <v>#N/A</v>
          </cell>
          <cell r="E708">
            <v>19.969581749049389</v>
          </cell>
          <cell r="F708">
            <v>52.739163498098591</v>
          </cell>
          <cell r="G708">
            <v>34.887832699619793</v>
          </cell>
          <cell r="H708">
            <v>34.887832699619793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40.4</v>
          </cell>
          <cell r="Q708" t="str">
            <v/>
          </cell>
          <cell r="R708" t="e">
            <v>#N/A</v>
          </cell>
        </row>
        <row r="709">
          <cell r="A709">
            <v>40956</v>
          </cell>
          <cell r="B709">
            <v>40956</v>
          </cell>
          <cell r="C709" t="str">
            <v>Future</v>
          </cell>
          <cell r="D709" t="e">
            <v>#N/A</v>
          </cell>
          <cell r="E709">
            <v>19.815969581749009</v>
          </cell>
          <cell r="F709">
            <v>52.831939163497829</v>
          </cell>
          <cell r="G709">
            <v>34.846387832699641</v>
          </cell>
          <cell r="H709">
            <v>34.846387832699641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40.4</v>
          </cell>
          <cell r="Q709" t="str">
            <v/>
          </cell>
          <cell r="R709" t="e">
            <v>#N/A</v>
          </cell>
        </row>
        <row r="710">
          <cell r="A710">
            <v>40959</v>
          </cell>
          <cell r="B710">
            <v>40959</v>
          </cell>
          <cell r="C710" t="str">
            <v>Future</v>
          </cell>
          <cell r="D710" t="e">
            <v>#N/A</v>
          </cell>
          <cell r="E710">
            <v>19.662357414448628</v>
          </cell>
          <cell r="F710">
            <v>52.924714828897066</v>
          </cell>
          <cell r="G710">
            <v>34.804942965779489</v>
          </cell>
          <cell r="H710">
            <v>34.804942965779489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40.4</v>
          </cell>
          <cell r="Q710" t="str">
            <v/>
          </cell>
          <cell r="R710" t="e">
            <v>#N/A</v>
          </cell>
        </row>
        <row r="711">
          <cell r="A711">
            <v>40960</v>
          </cell>
          <cell r="B711">
            <v>40960</v>
          </cell>
          <cell r="C711" t="str">
            <v>Future</v>
          </cell>
          <cell r="D711" t="e">
            <v>#N/A</v>
          </cell>
          <cell r="E711">
            <v>19.508745247148248</v>
          </cell>
          <cell r="F711">
            <v>53.017490494296304</v>
          </cell>
          <cell r="G711">
            <v>34.763498098859337</v>
          </cell>
          <cell r="H711">
            <v>34.763498098859337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40.4</v>
          </cell>
          <cell r="Q711" t="str">
            <v/>
          </cell>
          <cell r="R711" t="e">
            <v>#N/A</v>
          </cell>
        </row>
        <row r="712">
          <cell r="A712">
            <v>40961</v>
          </cell>
          <cell r="B712">
            <v>40961</v>
          </cell>
          <cell r="C712" t="str">
            <v>Future</v>
          </cell>
          <cell r="D712" t="e">
            <v>#N/A</v>
          </cell>
          <cell r="E712">
            <v>19.355133079847867</v>
          </cell>
          <cell r="F712">
            <v>53.110266159695541</v>
          </cell>
          <cell r="G712">
            <v>34.722053231939185</v>
          </cell>
          <cell r="H712">
            <v>34.722053231939185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40.4</v>
          </cell>
          <cell r="Q712" t="str">
            <v/>
          </cell>
          <cell r="R712" t="e">
            <v>#N/A</v>
          </cell>
        </row>
        <row r="713">
          <cell r="A713">
            <v>40962</v>
          </cell>
          <cell r="B713">
            <v>40962</v>
          </cell>
          <cell r="C713" t="str">
            <v>Future</v>
          </cell>
          <cell r="D713" t="e">
            <v>#N/A</v>
          </cell>
          <cell r="E713">
            <v>19.201520912547487</v>
          </cell>
          <cell r="F713">
            <v>53.203041825094779</v>
          </cell>
          <cell r="G713">
            <v>34.680608365019033</v>
          </cell>
          <cell r="H713">
            <v>34.680608365019033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40.4</v>
          </cell>
          <cell r="Q713" t="str">
            <v/>
          </cell>
          <cell r="R713" t="e">
            <v>#N/A</v>
          </cell>
        </row>
        <row r="714">
          <cell r="A714">
            <v>40963</v>
          </cell>
          <cell r="B714">
            <v>40963</v>
          </cell>
          <cell r="C714" t="str">
            <v>Future</v>
          </cell>
          <cell r="D714" t="e">
            <v>#N/A</v>
          </cell>
          <cell r="E714">
            <v>19.047908745247106</v>
          </cell>
          <cell r="F714">
            <v>53.295817490494017</v>
          </cell>
          <cell r="G714">
            <v>34.639163498098881</v>
          </cell>
          <cell r="H714">
            <v>34.639163498098881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40.4</v>
          </cell>
          <cell r="Q714" t="str">
            <v/>
          </cell>
          <cell r="R714" t="e">
            <v>#N/A</v>
          </cell>
        </row>
        <row r="715">
          <cell r="A715">
            <v>40966</v>
          </cell>
          <cell r="B715">
            <v>40966</v>
          </cell>
          <cell r="C715" t="str">
            <v>Future</v>
          </cell>
          <cell r="D715" t="e">
            <v>#N/A</v>
          </cell>
          <cell r="E715">
            <v>18.894296577946726</v>
          </cell>
          <cell r="F715">
            <v>53.388593155893254</v>
          </cell>
          <cell r="G715">
            <v>34.597718631178729</v>
          </cell>
          <cell r="H715">
            <v>34.597718631178729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40.4</v>
          </cell>
          <cell r="Q715" t="str">
            <v/>
          </cell>
          <cell r="R715" t="e">
            <v>#N/A</v>
          </cell>
        </row>
        <row r="716">
          <cell r="A716">
            <v>40967</v>
          </cell>
          <cell r="B716">
            <v>40967</v>
          </cell>
          <cell r="C716" t="str">
            <v>Future</v>
          </cell>
          <cell r="D716" t="e">
            <v>#N/A</v>
          </cell>
          <cell r="E716">
            <v>18.740684410646345</v>
          </cell>
          <cell r="F716">
            <v>53.481368821292492</v>
          </cell>
          <cell r="G716">
            <v>34.556273764258577</v>
          </cell>
          <cell r="H716">
            <v>34.556273764258577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40.4</v>
          </cell>
          <cell r="Q716" t="str">
            <v/>
          </cell>
          <cell r="R716" t="e">
            <v>#N/A</v>
          </cell>
        </row>
        <row r="717">
          <cell r="A717">
            <v>40968</v>
          </cell>
          <cell r="B717">
            <v>40968</v>
          </cell>
          <cell r="C717" t="str">
            <v>Future</v>
          </cell>
          <cell r="D717" t="e">
            <v>#N/A</v>
          </cell>
          <cell r="E717">
            <v>18.587072243345965</v>
          </cell>
          <cell r="F717">
            <v>53.574144486691729</v>
          </cell>
          <cell r="G717">
            <v>34.514828897338425</v>
          </cell>
          <cell r="H717">
            <v>34.514828897338425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40.4</v>
          </cell>
          <cell r="Q717" t="str">
            <v/>
          </cell>
          <cell r="R717" t="e">
            <v>#N/A</v>
          </cell>
        </row>
        <row r="718">
          <cell r="A718">
            <v>40969</v>
          </cell>
          <cell r="B718">
            <v>40969</v>
          </cell>
          <cell r="C718" t="str">
            <v>Future</v>
          </cell>
          <cell r="D718" t="e">
            <v>#N/A</v>
          </cell>
          <cell r="E718">
            <v>18.433460076045584</v>
          </cell>
          <cell r="F718">
            <v>53.666920152090967</v>
          </cell>
          <cell r="G718">
            <v>34.473384030418273</v>
          </cell>
          <cell r="H718">
            <v>34.473384030418273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40.4</v>
          </cell>
          <cell r="Q718" t="str">
            <v/>
          </cell>
          <cell r="R718" t="e">
            <v>#N/A</v>
          </cell>
        </row>
        <row r="719">
          <cell r="A719">
            <v>40970</v>
          </cell>
          <cell r="B719">
            <v>40970</v>
          </cell>
          <cell r="C719" t="str">
            <v>Future</v>
          </cell>
          <cell r="D719" t="e">
            <v>#N/A</v>
          </cell>
          <cell r="E719">
            <v>18.279847908745204</v>
          </cell>
          <cell r="F719">
            <v>53.759695817490204</v>
          </cell>
          <cell r="G719">
            <v>34.431939163498122</v>
          </cell>
          <cell r="H719">
            <v>34.431939163498122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40.4</v>
          </cell>
          <cell r="Q719" t="str">
            <v/>
          </cell>
          <cell r="R719" t="e">
            <v>#N/A</v>
          </cell>
        </row>
        <row r="720">
          <cell r="A720">
            <v>40973</v>
          </cell>
          <cell r="B720">
            <v>40973</v>
          </cell>
          <cell r="C720" t="str">
            <v>Future</v>
          </cell>
          <cell r="D720" t="e">
            <v>#N/A</v>
          </cell>
          <cell r="E720">
            <v>18.126235741444823</v>
          </cell>
          <cell r="F720">
            <v>53.852471482889442</v>
          </cell>
          <cell r="G720">
            <v>34.39049429657797</v>
          </cell>
          <cell r="H720">
            <v>34.39049429657797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40.4</v>
          </cell>
          <cell r="Q720" t="str">
            <v/>
          </cell>
          <cell r="R720" t="e">
            <v>#N/A</v>
          </cell>
        </row>
        <row r="721">
          <cell r="A721">
            <v>40974</v>
          </cell>
          <cell r="B721">
            <v>40974</v>
          </cell>
          <cell r="C721" t="str">
            <v>Future</v>
          </cell>
          <cell r="D721" t="e">
            <v>#N/A</v>
          </cell>
          <cell r="E721">
            <v>17.972623574144443</v>
          </cell>
          <cell r="F721">
            <v>53.945247148288679</v>
          </cell>
          <cell r="G721">
            <v>34.349049429657818</v>
          </cell>
          <cell r="H721">
            <v>34.349049429657818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40.4</v>
          </cell>
          <cell r="Q721" t="str">
            <v/>
          </cell>
          <cell r="R721" t="e">
            <v>#N/A</v>
          </cell>
        </row>
        <row r="722">
          <cell r="A722">
            <v>40975</v>
          </cell>
          <cell r="B722">
            <v>40975</v>
          </cell>
          <cell r="C722" t="str">
            <v>Future</v>
          </cell>
          <cell r="D722" t="e">
            <v>#N/A</v>
          </cell>
          <cell r="E722">
            <v>17.819011406844062</v>
          </cell>
          <cell r="F722">
            <v>54.038022813687917</v>
          </cell>
          <cell r="G722">
            <v>34.307604562737666</v>
          </cell>
          <cell r="H722">
            <v>34.307604562737666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40.4</v>
          </cell>
          <cell r="Q722" t="str">
            <v/>
          </cell>
          <cell r="R722" t="e">
            <v>#N/A</v>
          </cell>
        </row>
        <row r="723">
          <cell r="A723">
            <v>40976</v>
          </cell>
          <cell r="B723">
            <v>40976</v>
          </cell>
          <cell r="C723" t="str">
            <v>Future</v>
          </cell>
          <cell r="D723" t="e">
            <v>#N/A</v>
          </cell>
          <cell r="E723">
            <v>17.665399239543682</v>
          </cell>
          <cell r="F723">
            <v>54.130798479087154</v>
          </cell>
          <cell r="G723">
            <v>34.266159695817514</v>
          </cell>
          <cell r="H723">
            <v>34.266159695817514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40.4</v>
          </cell>
          <cell r="Q723" t="str">
            <v/>
          </cell>
          <cell r="R723" t="e">
            <v>#N/A</v>
          </cell>
        </row>
        <row r="724">
          <cell r="A724">
            <v>40977</v>
          </cell>
          <cell r="B724">
            <v>40977</v>
          </cell>
          <cell r="C724" t="str">
            <v>Future</v>
          </cell>
          <cell r="D724" t="e">
            <v>#N/A</v>
          </cell>
          <cell r="E724">
            <v>17.511787072243301</v>
          </cell>
          <cell r="F724">
            <v>54.223574144486392</v>
          </cell>
          <cell r="G724">
            <v>34.224714828897362</v>
          </cell>
          <cell r="H724">
            <v>34.224714828897362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40.4</v>
          </cell>
          <cell r="Q724" t="str">
            <v/>
          </cell>
          <cell r="R724" t="e">
            <v>#N/A</v>
          </cell>
        </row>
        <row r="725">
          <cell r="A725">
            <v>40980</v>
          </cell>
          <cell r="B725">
            <v>40980</v>
          </cell>
          <cell r="C725" t="str">
            <v>Future</v>
          </cell>
          <cell r="D725" t="e">
            <v>#N/A</v>
          </cell>
          <cell r="E725">
            <v>17.358174904942921</v>
          </cell>
          <cell r="F725">
            <v>54.316349809885629</v>
          </cell>
          <cell r="G725">
            <v>34.18326996197721</v>
          </cell>
          <cell r="H725">
            <v>34.18326996197721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40.4</v>
          </cell>
          <cell r="Q725" t="str">
            <v/>
          </cell>
          <cell r="R725" t="e">
            <v>#N/A</v>
          </cell>
        </row>
        <row r="726">
          <cell r="A726">
            <v>40981</v>
          </cell>
          <cell r="B726">
            <v>40981</v>
          </cell>
          <cell r="C726" t="str">
            <v>Future</v>
          </cell>
          <cell r="D726" t="e">
            <v>#N/A</v>
          </cell>
          <cell r="E726">
            <v>17.20456273764254</v>
          </cell>
          <cell r="F726">
            <v>54.409125475284867</v>
          </cell>
          <cell r="G726">
            <v>34.141825095057058</v>
          </cell>
          <cell r="H726">
            <v>34.141825095057058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40.4</v>
          </cell>
          <cell r="Q726" t="str">
            <v/>
          </cell>
          <cell r="R726" t="e">
            <v>#N/A</v>
          </cell>
        </row>
        <row r="727">
          <cell r="A727">
            <v>40982</v>
          </cell>
          <cell r="B727">
            <v>40982</v>
          </cell>
          <cell r="C727" t="str">
            <v>Future</v>
          </cell>
          <cell r="D727" t="e">
            <v>#N/A</v>
          </cell>
          <cell r="E727">
            <v>17.05095057034216</v>
          </cell>
          <cell r="F727">
            <v>54.501901140684105</v>
          </cell>
          <cell r="G727">
            <v>34.100380228136906</v>
          </cell>
          <cell r="H727">
            <v>34.100380228136906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40.4</v>
          </cell>
          <cell r="Q727" t="str">
            <v/>
          </cell>
          <cell r="R727" t="e">
            <v>#N/A</v>
          </cell>
        </row>
        <row r="728">
          <cell r="A728">
            <v>40983</v>
          </cell>
          <cell r="B728">
            <v>40983</v>
          </cell>
          <cell r="C728" t="str">
            <v>Future</v>
          </cell>
          <cell r="D728" t="e">
            <v>#N/A</v>
          </cell>
          <cell r="E728">
            <v>16.897338403041779</v>
          </cell>
          <cell r="F728">
            <v>54.594676806083342</v>
          </cell>
          <cell r="G728">
            <v>34.058935361216754</v>
          </cell>
          <cell r="H728">
            <v>34.058935361216754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40.4</v>
          </cell>
          <cell r="Q728" t="str">
            <v/>
          </cell>
          <cell r="R728" t="e">
            <v>#N/A</v>
          </cell>
        </row>
        <row r="729">
          <cell r="A729">
            <v>40984</v>
          </cell>
          <cell r="B729">
            <v>40984</v>
          </cell>
          <cell r="C729" t="str">
            <v>Future</v>
          </cell>
          <cell r="D729" t="e">
            <v>#N/A</v>
          </cell>
          <cell r="E729">
            <v>16.743726235741399</v>
          </cell>
          <cell r="F729">
            <v>54.68745247148258</v>
          </cell>
          <cell r="G729">
            <v>34.017490494296602</v>
          </cell>
          <cell r="H729">
            <v>34.017490494296602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40.4</v>
          </cell>
          <cell r="Q729" t="str">
            <v/>
          </cell>
          <cell r="R729" t="e">
            <v>#N/A</v>
          </cell>
        </row>
        <row r="730">
          <cell r="A730">
            <v>40987</v>
          </cell>
          <cell r="B730">
            <v>40987</v>
          </cell>
          <cell r="C730" t="str">
            <v>Future</v>
          </cell>
          <cell r="D730" t="e">
            <v>#N/A</v>
          </cell>
          <cell r="E730">
            <v>16.590114068441018</v>
          </cell>
          <cell r="F730">
            <v>54.780228136881817</v>
          </cell>
          <cell r="G730">
            <v>33.97604562737645</v>
          </cell>
          <cell r="H730">
            <v>33.97604562737645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40.4</v>
          </cell>
          <cell r="Q730" t="str">
            <v/>
          </cell>
          <cell r="R730" t="e">
            <v>#N/A</v>
          </cell>
        </row>
        <row r="731">
          <cell r="A731">
            <v>40988</v>
          </cell>
          <cell r="B731">
            <v>40988</v>
          </cell>
          <cell r="C731" t="str">
            <v>Future</v>
          </cell>
          <cell r="D731" t="e">
            <v>#N/A</v>
          </cell>
          <cell r="E731">
            <v>16.436501901140637</v>
          </cell>
          <cell r="F731">
            <v>54.873003802281055</v>
          </cell>
          <cell r="G731">
            <v>33.934600760456298</v>
          </cell>
          <cell r="H731">
            <v>33.934600760456298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40.4</v>
          </cell>
          <cell r="Q731" t="str">
            <v/>
          </cell>
          <cell r="R731" t="e">
            <v>#N/A</v>
          </cell>
        </row>
        <row r="732">
          <cell r="A732">
            <v>40989</v>
          </cell>
          <cell r="B732">
            <v>40989</v>
          </cell>
          <cell r="C732" t="str">
            <v>Future</v>
          </cell>
          <cell r="D732" t="e">
            <v>#N/A</v>
          </cell>
          <cell r="E732">
            <v>16.282889733840257</v>
          </cell>
          <cell r="F732">
            <v>54.965779467680292</v>
          </cell>
          <cell r="G732">
            <v>33.893155893536147</v>
          </cell>
          <cell r="H732">
            <v>33.893155893536147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40.4</v>
          </cell>
          <cell r="Q732" t="str">
            <v/>
          </cell>
          <cell r="R732" t="e">
            <v>#N/A</v>
          </cell>
        </row>
        <row r="733">
          <cell r="A733">
            <v>40990</v>
          </cell>
          <cell r="B733">
            <v>40990</v>
          </cell>
          <cell r="C733" t="str">
            <v>Future</v>
          </cell>
          <cell r="D733" t="e">
            <v>#N/A</v>
          </cell>
          <cell r="E733">
            <v>16.129277566539876</v>
          </cell>
          <cell r="F733">
            <v>55.05855513307953</v>
          </cell>
          <cell r="G733">
            <v>33.851711026615995</v>
          </cell>
          <cell r="H733">
            <v>33.851711026615995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40.4</v>
          </cell>
          <cell r="Q733" t="str">
            <v/>
          </cell>
          <cell r="R733" t="e">
            <v>#N/A</v>
          </cell>
        </row>
        <row r="734">
          <cell r="A734">
            <v>40991</v>
          </cell>
          <cell r="B734">
            <v>40991</v>
          </cell>
          <cell r="C734" t="str">
            <v>Future</v>
          </cell>
          <cell r="D734" t="e">
            <v>#N/A</v>
          </cell>
          <cell r="E734">
            <v>15.975665399239496</v>
          </cell>
          <cell r="F734">
            <v>55.151330798478767</v>
          </cell>
          <cell r="G734">
            <v>33.810266159695843</v>
          </cell>
          <cell r="H734">
            <v>33.810266159695843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40.4</v>
          </cell>
          <cell r="Q734" t="str">
            <v/>
          </cell>
          <cell r="R734" t="e">
            <v>#N/A</v>
          </cell>
        </row>
        <row r="735">
          <cell r="A735">
            <v>40994</v>
          </cell>
          <cell r="B735">
            <v>40994</v>
          </cell>
          <cell r="C735" t="str">
            <v>Future</v>
          </cell>
          <cell r="D735" t="e">
            <v>#N/A</v>
          </cell>
          <cell r="E735">
            <v>15.822053231939115</v>
          </cell>
          <cell r="F735">
            <v>55.244106463878005</v>
          </cell>
          <cell r="G735">
            <v>33.768821292775691</v>
          </cell>
          <cell r="H735">
            <v>33.768821292775691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40.4</v>
          </cell>
          <cell r="Q735" t="str">
            <v/>
          </cell>
          <cell r="R735" t="e">
            <v>#N/A</v>
          </cell>
        </row>
        <row r="736">
          <cell r="A736">
            <v>40995</v>
          </cell>
          <cell r="B736">
            <v>40995</v>
          </cell>
          <cell r="C736" t="str">
            <v>Future</v>
          </cell>
          <cell r="D736" t="e">
            <v>#N/A</v>
          </cell>
          <cell r="E736">
            <v>15.668441064638735</v>
          </cell>
          <cell r="F736">
            <v>55.336882129277242</v>
          </cell>
          <cell r="G736">
            <v>33.727376425855539</v>
          </cell>
          <cell r="H736">
            <v>33.727376425855539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40.4</v>
          </cell>
          <cell r="Q736" t="str">
            <v/>
          </cell>
          <cell r="R736" t="e">
            <v>#N/A</v>
          </cell>
        </row>
        <row r="737">
          <cell r="A737">
            <v>40996</v>
          </cell>
          <cell r="B737">
            <v>40996</v>
          </cell>
          <cell r="C737" t="str">
            <v>Future</v>
          </cell>
          <cell r="D737" t="e">
            <v>#N/A</v>
          </cell>
          <cell r="E737">
            <v>15.514828897338354</v>
          </cell>
          <cell r="F737">
            <v>55.42965779467648</v>
          </cell>
          <cell r="G737">
            <v>33.685931558935387</v>
          </cell>
          <cell r="H737">
            <v>33.685931558935387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40.4</v>
          </cell>
          <cell r="Q737" t="str">
            <v/>
          </cell>
          <cell r="R737" t="e">
            <v>#N/A</v>
          </cell>
        </row>
        <row r="738">
          <cell r="A738">
            <v>40997</v>
          </cell>
          <cell r="B738">
            <v>40997</v>
          </cell>
          <cell r="C738" t="str">
            <v>Future</v>
          </cell>
          <cell r="D738" t="e">
            <v>#N/A</v>
          </cell>
          <cell r="E738">
            <v>15.361216730037974</v>
          </cell>
          <cell r="F738">
            <v>55.522433460075717</v>
          </cell>
          <cell r="G738">
            <v>33.644486692015235</v>
          </cell>
          <cell r="H738">
            <v>33.644486692015235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40.4</v>
          </cell>
          <cell r="Q738" t="str">
            <v/>
          </cell>
          <cell r="R738" t="e">
            <v>#N/A</v>
          </cell>
        </row>
        <row r="739">
          <cell r="A739">
            <v>40998</v>
          </cell>
          <cell r="B739">
            <v>40998</v>
          </cell>
          <cell r="C739" t="str">
            <v>Future</v>
          </cell>
          <cell r="D739" t="e">
            <v>#N/A</v>
          </cell>
          <cell r="E739">
            <v>15.207604562737593</v>
          </cell>
          <cell r="F739">
            <v>55.615209125474955</v>
          </cell>
          <cell r="G739">
            <v>33.603041825095083</v>
          </cell>
          <cell r="H739">
            <v>33.603041825095083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40.4</v>
          </cell>
          <cell r="Q739" t="str">
            <v/>
          </cell>
          <cell r="R739" t="e">
            <v>#N/A</v>
          </cell>
        </row>
        <row r="740">
          <cell r="A740">
            <v>41001</v>
          </cell>
          <cell r="B740">
            <v>41001</v>
          </cell>
          <cell r="C740" t="str">
            <v>Future</v>
          </cell>
          <cell r="D740" t="e">
            <v>#N/A</v>
          </cell>
          <cell r="E740">
            <v>15.053992395437213</v>
          </cell>
          <cell r="F740">
            <v>55.707984790874193</v>
          </cell>
          <cell r="G740">
            <v>33.561596958174931</v>
          </cell>
          <cell r="H740">
            <v>33.561596958174931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40.4</v>
          </cell>
          <cell r="Q740" t="str">
            <v/>
          </cell>
          <cell r="R740" t="e">
            <v>#N/A</v>
          </cell>
        </row>
        <row r="741">
          <cell r="A741">
            <v>41002</v>
          </cell>
          <cell r="B741">
            <v>41002</v>
          </cell>
          <cell r="C741" t="str">
            <v>Future</v>
          </cell>
          <cell r="D741" t="e">
            <v>#N/A</v>
          </cell>
          <cell r="E741">
            <v>14.900380228136832</v>
          </cell>
          <cell r="F741">
            <v>55.80076045627343</v>
          </cell>
          <cell r="G741">
            <v>33.520152091254779</v>
          </cell>
          <cell r="H741">
            <v>33.520152091254779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40.4</v>
          </cell>
          <cell r="Q741" t="str">
            <v/>
          </cell>
          <cell r="R741" t="e">
            <v>#N/A</v>
          </cell>
        </row>
        <row r="742">
          <cell r="A742">
            <v>41003</v>
          </cell>
          <cell r="B742">
            <v>41003</v>
          </cell>
          <cell r="C742" t="str">
            <v>Future</v>
          </cell>
          <cell r="D742" t="e">
            <v>#N/A</v>
          </cell>
          <cell r="E742">
            <v>14.746768060836452</v>
          </cell>
          <cell r="F742">
            <v>55.893536121672668</v>
          </cell>
          <cell r="G742">
            <v>33.478707224334627</v>
          </cell>
          <cell r="H742">
            <v>33.478707224334627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40.4</v>
          </cell>
          <cell r="Q742" t="str">
            <v/>
          </cell>
          <cell r="R742" t="e">
            <v>#N/A</v>
          </cell>
        </row>
        <row r="743">
          <cell r="A743">
            <v>41004</v>
          </cell>
          <cell r="B743">
            <v>41004</v>
          </cell>
          <cell r="C743" t="str">
            <v>Future</v>
          </cell>
          <cell r="D743" t="e">
            <v>#N/A</v>
          </cell>
          <cell r="E743">
            <v>14.593155893536071</v>
          </cell>
          <cell r="F743">
            <v>55.986311787071905</v>
          </cell>
          <cell r="G743">
            <v>33.437262357414475</v>
          </cell>
          <cell r="H743">
            <v>33.437262357414475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40.4</v>
          </cell>
          <cell r="Q743" t="str">
            <v/>
          </cell>
          <cell r="R743" t="e">
            <v>#N/A</v>
          </cell>
        </row>
        <row r="744">
          <cell r="A744">
            <v>41005</v>
          </cell>
          <cell r="B744">
            <v>41005</v>
          </cell>
          <cell r="C744" t="str">
            <v>Future</v>
          </cell>
          <cell r="D744" t="e">
            <v>#N/A</v>
          </cell>
          <cell r="E744">
            <v>14.439543726235691</v>
          </cell>
          <cell r="F744">
            <v>56.079087452471143</v>
          </cell>
          <cell r="G744">
            <v>33.395817490494323</v>
          </cell>
          <cell r="H744">
            <v>33.395817490494323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40.4</v>
          </cell>
          <cell r="Q744" t="str">
            <v/>
          </cell>
          <cell r="R744" t="e">
            <v>#N/A</v>
          </cell>
        </row>
        <row r="745">
          <cell r="A745">
            <v>41008</v>
          </cell>
          <cell r="B745">
            <v>41008</v>
          </cell>
          <cell r="C745" t="str">
            <v>Future</v>
          </cell>
          <cell r="D745" t="e">
            <v>#N/A</v>
          </cell>
          <cell r="E745">
            <v>14.28593155893531</v>
          </cell>
          <cell r="F745">
            <v>56.17186311787038</v>
          </cell>
          <cell r="G745">
            <v>33.354372623574172</v>
          </cell>
          <cell r="H745">
            <v>33.354372623574172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40.4</v>
          </cell>
          <cell r="Q745" t="str">
            <v/>
          </cell>
          <cell r="R745" t="e">
            <v>#N/A</v>
          </cell>
        </row>
        <row r="746">
          <cell r="A746">
            <v>41009</v>
          </cell>
          <cell r="B746">
            <v>41009</v>
          </cell>
          <cell r="C746" t="str">
            <v>Future</v>
          </cell>
          <cell r="D746" t="e">
            <v>#N/A</v>
          </cell>
          <cell r="E746">
            <v>14.13231939163493</v>
          </cell>
          <cell r="F746">
            <v>56.264638783269618</v>
          </cell>
          <cell r="G746">
            <v>33.31292775665402</v>
          </cell>
          <cell r="H746">
            <v>33.31292775665402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40.4</v>
          </cell>
          <cell r="Q746" t="str">
            <v/>
          </cell>
          <cell r="R746" t="e">
            <v>#N/A</v>
          </cell>
        </row>
        <row r="747">
          <cell r="A747">
            <v>41010</v>
          </cell>
          <cell r="B747">
            <v>41010</v>
          </cell>
          <cell r="C747" t="str">
            <v>Future</v>
          </cell>
          <cell r="D747" t="e">
            <v>#N/A</v>
          </cell>
          <cell r="E747">
            <v>13.978707224334549</v>
          </cell>
          <cell r="F747">
            <v>56.357414448668855</v>
          </cell>
          <cell r="G747">
            <v>33.271482889733868</v>
          </cell>
          <cell r="H747">
            <v>33.271482889733868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40.4</v>
          </cell>
          <cell r="Q747" t="str">
            <v/>
          </cell>
          <cell r="R747" t="e">
            <v>#N/A</v>
          </cell>
        </row>
        <row r="748">
          <cell r="A748">
            <v>41011</v>
          </cell>
          <cell r="B748">
            <v>41011</v>
          </cell>
          <cell r="C748" t="str">
            <v>Future</v>
          </cell>
          <cell r="D748" t="e">
            <v>#N/A</v>
          </cell>
          <cell r="E748">
            <v>13.825095057034169</v>
          </cell>
          <cell r="F748">
            <v>56.450190114068093</v>
          </cell>
          <cell r="G748">
            <v>33.230038022813716</v>
          </cell>
          <cell r="H748">
            <v>33.230038022813716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40.4</v>
          </cell>
          <cell r="Q748" t="str">
            <v/>
          </cell>
          <cell r="R748" t="e">
            <v>#N/A</v>
          </cell>
        </row>
        <row r="749">
          <cell r="A749">
            <v>41012</v>
          </cell>
          <cell r="B749">
            <v>41012</v>
          </cell>
          <cell r="C749" t="str">
            <v>Future</v>
          </cell>
          <cell r="D749" t="e">
            <v>#N/A</v>
          </cell>
          <cell r="E749">
            <v>13.671482889733788</v>
          </cell>
          <cell r="F749">
            <v>56.54296577946733</v>
          </cell>
          <cell r="G749">
            <v>33.188593155893564</v>
          </cell>
          <cell r="H749">
            <v>33.188593155893564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40.4</v>
          </cell>
          <cell r="Q749" t="str">
            <v/>
          </cell>
          <cell r="R749" t="e">
            <v>#N/A</v>
          </cell>
        </row>
        <row r="750">
          <cell r="A750">
            <v>41015</v>
          </cell>
          <cell r="B750">
            <v>41015</v>
          </cell>
          <cell r="C750" t="str">
            <v>Future</v>
          </cell>
          <cell r="D750" t="e">
            <v>#N/A</v>
          </cell>
          <cell r="E750">
            <v>13.517870722433408</v>
          </cell>
          <cell r="F750">
            <v>56.635741444866568</v>
          </cell>
          <cell r="G750">
            <v>33.147148288973412</v>
          </cell>
          <cell r="H750">
            <v>33.147148288973412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40.4</v>
          </cell>
          <cell r="Q750" t="str">
            <v/>
          </cell>
          <cell r="R750" t="e">
            <v>#N/A</v>
          </cell>
        </row>
        <row r="751">
          <cell r="A751">
            <v>41016</v>
          </cell>
          <cell r="B751">
            <v>41016</v>
          </cell>
          <cell r="C751" t="str">
            <v>Future</v>
          </cell>
          <cell r="D751" t="e">
            <v>#N/A</v>
          </cell>
          <cell r="E751">
            <v>13.364258555133027</v>
          </cell>
          <cell r="F751">
            <v>56.728517110265805</v>
          </cell>
          <cell r="G751">
            <v>33.10570342205326</v>
          </cell>
          <cell r="H751">
            <v>33.10570342205326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40.4</v>
          </cell>
          <cell r="Q751" t="str">
            <v/>
          </cell>
          <cell r="R751" t="e">
            <v>#N/A</v>
          </cell>
        </row>
        <row r="752">
          <cell r="A752">
            <v>41017</v>
          </cell>
          <cell r="B752">
            <v>41017</v>
          </cell>
          <cell r="C752" t="str">
            <v>Future</v>
          </cell>
          <cell r="D752" t="e">
            <v>#N/A</v>
          </cell>
          <cell r="E752">
            <v>13.210646387832647</v>
          </cell>
          <cell r="F752">
            <v>56.821292775665043</v>
          </cell>
          <cell r="G752">
            <v>33.064258555133108</v>
          </cell>
          <cell r="H752">
            <v>33.064258555133108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40.4</v>
          </cell>
          <cell r="Q752" t="str">
            <v/>
          </cell>
          <cell r="R752" t="e">
            <v>#N/A</v>
          </cell>
        </row>
        <row r="753">
          <cell r="A753">
            <v>41018</v>
          </cell>
          <cell r="B753">
            <v>41018</v>
          </cell>
          <cell r="C753" t="str">
            <v>Future</v>
          </cell>
          <cell r="D753" t="e">
            <v>#N/A</v>
          </cell>
          <cell r="E753">
            <v>13.057034220532266</v>
          </cell>
          <cell r="F753">
            <v>56.914068441064281</v>
          </cell>
          <cell r="G753">
            <v>33.022813688212956</v>
          </cell>
          <cell r="H753">
            <v>33.022813688212956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40.4</v>
          </cell>
          <cell r="Q753" t="str">
            <v/>
          </cell>
          <cell r="R753" t="e">
            <v>#N/A</v>
          </cell>
        </row>
        <row r="754">
          <cell r="A754">
            <v>41019</v>
          </cell>
          <cell r="B754">
            <v>41019</v>
          </cell>
          <cell r="C754" t="str">
            <v>Future</v>
          </cell>
          <cell r="D754" t="e">
            <v>#N/A</v>
          </cell>
          <cell r="E754">
            <v>12.903422053231886</v>
          </cell>
          <cell r="F754">
            <v>57.006844106463518</v>
          </cell>
          <cell r="G754">
            <v>32.981368821292804</v>
          </cell>
          <cell r="H754">
            <v>32.981368821292804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40.4</v>
          </cell>
          <cell r="Q754" t="str">
            <v/>
          </cell>
          <cell r="R754" t="e">
            <v>#N/A</v>
          </cell>
        </row>
        <row r="755">
          <cell r="A755">
            <v>41022</v>
          </cell>
          <cell r="B755">
            <v>41022</v>
          </cell>
          <cell r="C755" t="str">
            <v>Future</v>
          </cell>
          <cell r="D755" t="e">
            <v>#N/A</v>
          </cell>
          <cell r="E755">
            <v>12.749809885931505</v>
          </cell>
          <cell r="F755">
            <v>57.099619771862756</v>
          </cell>
          <cell r="G755">
            <v>32.939923954372652</v>
          </cell>
          <cell r="H755">
            <v>32.939923954372652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40.4</v>
          </cell>
          <cell r="Q755" t="str">
            <v/>
          </cell>
          <cell r="R755" t="e">
            <v>#N/A</v>
          </cell>
        </row>
        <row r="756">
          <cell r="A756">
            <v>41023</v>
          </cell>
          <cell r="B756">
            <v>41023</v>
          </cell>
          <cell r="C756" t="str">
            <v>Future</v>
          </cell>
          <cell r="D756" t="e">
            <v>#N/A</v>
          </cell>
          <cell r="E756">
            <v>12.596197718631124</v>
          </cell>
          <cell r="F756">
            <v>57.192395437261993</v>
          </cell>
          <cell r="G756">
            <v>32.8984790874525</v>
          </cell>
          <cell r="H756">
            <v>32.8984790874525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40.4</v>
          </cell>
          <cell r="Q756" t="str">
            <v/>
          </cell>
          <cell r="R756" t="e">
            <v>#N/A</v>
          </cell>
        </row>
        <row r="757">
          <cell r="A757">
            <v>41024</v>
          </cell>
          <cell r="B757">
            <v>41024</v>
          </cell>
          <cell r="C757" t="str">
            <v>Future</v>
          </cell>
          <cell r="D757" t="e">
            <v>#N/A</v>
          </cell>
          <cell r="E757">
            <v>12.442585551330744</v>
          </cell>
          <cell r="F757">
            <v>57.285171102661231</v>
          </cell>
          <cell r="G757">
            <v>32.857034220532348</v>
          </cell>
          <cell r="H757">
            <v>32.857034220532348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40.4</v>
          </cell>
          <cell r="Q757" t="str">
            <v/>
          </cell>
          <cell r="R757" t="e">
            <v>#N/A</v>
          </cell>
        </row>
        <row r="758">
          <cell r="A758">
            <v>41025</v>
          </cell>
          <cell r="B758">
            <v>41025</v>
          </cell>
          <cell r="C758" t="str">
            <v>Future</v>
          </cell>
          <cell r="D758" t="e">
            <v>#N/A</v>
          </cell>
          <cell r="E758">
            <v>12.288973384030363</v>
          </cell>
          <cell r="F758">
            <v>57.377946768060468</v>
          </cell>
          <cell r="G758">
            <v>32.815589353612197</v>
          </cell>
          <cell r="H758">
            <v>32.815589353612197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40.4</v>
          </cell>
          <cell r="Q758" t="str">
            <v/>
          </cell>
          <cell r="R758" t="e">
            <v>#N/A</v>
          </cell>
        </row>
        <row r="759">
          <cell r="A759">
            <v>41026</v>
          </cell>
          <cell r="B759">
            <v>41026</v>
          </cell>
          <cell r="C759" t="str">
            <v>Future</v>
          </cell>
          <cell r="D759" t="e">
            <v>#N/A</v>
          </cell>
          <cell r="E759">
            <v>12.135361216729983</v>
          </cell>
          <cell r="F759">
            <v>57.470722433459706</v>
          </cell>
          <cell r="G759">
            <v>32.774144486692045</v>
          </cell>
          <cell r="H759">
            <v>32.774144486692045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40.4</v>
          </cell>
          <cell r="Q759" t="str">
            <v/>
          </cell>
          <cell r="R759" t="e">
            <v>#N/A</v>
          </cell>
        </row>
        <row r="760">
          <cell r="A760">
            <v>41029</v>
          </cell>
          <cell r="B760">
            <v>41029</v>
          </cell>
          <cell r="C760" t="str">
            <v>Future</v>
          </cell>
          <cell r="D760" t="e">
            <v>#N/A</v>
          </cell>
          <cell r="E760">
            <v>11.981749049429602</v>
          </cell>
          <cell r="F760">
            <v>57.563498098858943</v>
          </cell>
          <cell r="G760">
            <v>32.732699619771893</v>
          </cell>
          <cell r="H760">
            <v>32.732699619771893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40.4</v>
          </cell>
          <cell r="Q760" t="str">
            <v/>
          </cell>
          <cell r="R760" t="e">
            <v>#N/A</v>
          </cell>
        </row>
        <row r="761">
          <cell r="A761">
            <v>41030</v>
          </cell>
          <cell r="B761">
            <v>41030</v>
          </cell>
          <cell r="C761" t="str">
            <v>Future</v>
          </cell>
          <cell r="D761" t="e">
            <v>#N/A</v>
          </cell>
          <cell r="E761">
            <v>11.828136882129222</v>
          </cell>
          <cell r="F761">
            <v>57.656273764258181</v>
          </cell>
          <cell r="G761">
            <v>32.691254752851741</v>
          </cell>
          <cell r="H761">
            <v>32.691254752851741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40.4</v>
          </cell>
          <cell r="Q761" t="str">
            <v/>
          </cell>
          <cell r="R761" t="e">
            <v>#N/A</v>
          </cell>
        </row>
        <row r="762">
          <cell r="A762">
            <v>41031</v>
          </cell>
          <cell r="B762">
            <v>41031</v>
          </cell>
          <cell r="C762" t="str">
            <v>Future</v>
          </cell>
          <cell r="D762" t="e">
            <v>#N/A</v>
          </cell>
          <cell r="E762">
            <v>11.674524714828841</v>
          </cell>
          <cell r="F762">
            <v>57.749049429657418</v>
          </cell>
          <cell r="G762">
            <v>32.649809885931589</v>
          </cell>
          <cell r="H762">
            <v>32.649809885931589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40.4</v>
          </cell>
          <cell r="Q762" t="str">
            <v/>
          </cell>
          <cell r="R762" t="e">
            <v>#N/A</v>
          </cell>
        </row>
        <row r="763">
          <cell r="A763">
            <v>41032</v>
          </cell>
          <cell r="B763">
            <v>41032</v>
          </cell>
          <cell r="C763" t="str">
            <v>Future</v>
          </cell>
          <cell r="D763" t="e">
            <v>#N/A</v>
          </cell>
          <cell r="E763">
            <v>11.520912547528461</v>
          </cell>
          <cell r="F763">
            <v>57.841825095056656</v>
          </cell>
          <cell r="G763">
            <v>32.608365019011437</v>
          </cell>
          <cell r="H763">
            <v>32.608365019011437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40.4</v>
          </cell>
          <cell r="Q763" t="str">
            <v/>
          </cell>
          <cell r="R763" t="e">
            <v>#N/A</v>
          </cell>
        </row>
        <row r="764">
          <cell r="A764">
            <v>41033</v>
          </cell>
          <cell r="B764">
            <v>41033</v>
          </cell>
          <cell r="C764" t="str">
            <v>Future</v>
          </cell>
          <cell r="D764" t="e">
            <v>#N/A</v>
          </cell>
          <cell r="E764">
            <v>11.36730038022808</v>
          </cell>
          <cell r="F764">
            <v>57.934600760455893</v>
          </cell>
          <cell r="G764">
            <v>32.566920152091285</v>
          </cell>
          <cell r="H764">
            <v>32.566920152091285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40.4</v>
          </cell>
          <cell r="Q764" t="str">
            <v/>
          </cell>
          <cell r="R764" t="e">
            <v>#N/A</v>
          </cell>
        </row>
        <row r="765">
          <cell r="A765">
            <v>41036</v>
          </cell>
          <cell r="B765">
            <v>41036</v>
          </cell>
          <cell r="C765" t="str">
            <v>Future</v>
          </cell>
          <cell r="D765" t="e">
            <v>#N/A</v>
          </cell>
          <cell r="E765">
            <v>11.2136882129277</v>
          </cell>
          <cell r="F765">
            <v>58.027376425855131</v>
          </cell>
          <cell r="G765">
            <v>32.525475285171133</v>
          </cell>
          <cell r="H765">
            <v>32.525475285171133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40.4</v>
          </cell>
          <cell r="Q765" t="str">
            <v/>
          </cell>
          <cell r="R765" t="e">
            <v>#N/A</v>
          </cell>
        </row>
        <row r="766">
          <cell r="A766">
            <v>41037</v>
          </cell>
          <cell r="B766">
            <v>41037</v>
          </cell>
          <cell r="C766" t="str">
            <v>Future</v>
          </cell>
          <cell r="D766" t="e">
            <v>#N/A</v>
          </cell>
          <cell r="E766">
            <v>11.060076045627319</v>
          </cell>
          <cell r="F766">
            <v>58.120152091254369</v>
          </cell>
          <cell r="G766">
            <v>32.484030418250981</v>
          </cell>
          <cell r="H766">
            <v>32.484030418250981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40.4</v>
          </cell>
          <cell r="Q766" t="str">
            <v/>
          </cell>
          <cell r="R766" t="e">
            <v>#N/A</v>
          </cell>
        </row>
        <row r="767">
          <cell r="A767">
            <v>41038</v>
          </cell>
          <cell r="B767">
            <v>41038</v>
          </cell>
          <cell r="C767" t="str">
            <v>Future</v>
          </cell>
          <cell r="D767" t="e">
            <v>#N/A</v>
          </cell>
          <cell r="E767">
            <v>10.906463878326939</v>
          </cell>
          <cell r="F767">
            <v>58.212927756653606</v>
          </cell>
          <cell r="G767">
            <v>32.442585551330829</v>
          </cell>
          <cell r="H767">
            <v>32.442585551330829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40.4</v>
          </cell>
          <cell r="Q767" t="str">
            <v/>
          </cell>
          <cell r="R767" t="e">
            <v>#N/A</v>
          </cell>
        </row>
        <row r="768">
          <cell r="A768">
            <v>41039</v>
          </cell>
          <cell r="B768">
            <v>41039</v>
          </cell>
          <cell r="C768" t="str">
            <v>Future</v>
          </cell>
          <cell r="D768" t="e">
            <v>#N/A</v>
          </cell>
          <cell r="E768">
            <v>10.752851711026558</v>
          </cell>
          <cell r="F768">
            <v>58.305703422052844</v>
          </cell>
          <cell r="G768">
            <v>32.401140684410677</v>
          </cell>
          <cell r="H768">
            <v>32.401140684410677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40.4</v>
          </cell>
          <cell r="Q768" t="str">
            <v/>
          </cell>
          <cell r="R768" t="e">
            <v>#N/A</v>
          </cell>
        </row>
        <row r="769">
          <cell r="A769">
            <v>41040</v>
          </cell>
          <cell r="B769">
            <v>41040</v>
          </cell>
          <cell r="C769" t="str">
            <v>Future</v>
          </cell>
          <cell r="D769" t="e">
            <v>#N/A</v>
          </cell>
          <cell r="E769">
            <v>10.599239543726178</v>
          </cell>
          <cell r="F769">
            <v>58.398479087452081</v>
          </cell>
          <cell r="G769">
            <v>32.359695817490525</v>
          </cell>
          <cell r="H769">
            <v>32.359695817490525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40.4</v>
          </cell>
          <cell r="Q769" t="str">
            <v/>
          </cell>
          <cell r="R769" t="e">
            <v>#N/A</v>
          </cell>
        </row>
        <row r="770">
          <cell r="A770">
            <v>41043</v>
          </cell>
          <cell r="B770">
            <v>41043</v>
          </cell>
          <cell r="C770" t="str">
            <v>Future</v>
          </cell>
          <cell r="D770" t="e">
            <v>#N/A</v>
          </cell>
          <cell r="E770">
            <v>10.445627376425797</v>
          </cell>
          <cell r="F770">
            <v>58.491254752851319</v>
          </cell>
          <cell r="G770">
            <v>32.318250950570373</v>
          </cell>
          <cell r="H770">
            <v>32.318250950570373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40.4</v>
          </cell>
          <cell r="Q770" t="str">
            <v/>
          </cell>
          <cell r="R770" t="e">
            <v>#N/A</v>
          </cell>
        </row>
        <row r="771">
          <cell r="A771">
            <v>41044</v>
          </cell>
          <cell r="B771">
            <v>41044</v>
          </cell>
          <cell r="C771" t="str">
            <v>Future</v>
          </cell>
          <cell r="D771" t="e">
            <v>#N/A</v>
          </cell>
          <cell r="E771">
            <v>10.292015209125417</v>
          </cell>
          <cell r="F771">
            <v>58.584030418250556</v>
          </cell>
          <cell r="G771">
            <v>32.276806083650222</v>
          </cell>
          <cell r="H771">
            <v>32.276806083650222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40.4</v>
          </cell>
          <cell r="Q771" t="str">
            <v/>
          </cell>
          <cell r="R771" t="e">
            <v>#N/A</v>
          </cell>
        </row>
        <row r="772">
          <cell r="A772">
            <v>41045</v>
          </cell>
          <cell r="B772">
            <v>41045</v>
          </cell>
          <cell r="C772" t="str">
            <v>Future</v>
          </cell>
          <cell r="D772" t="e">
            <v>#N/A</v>
          </cell>
          <cell r="E772">
            <v>10.138403041825036</v>
          </cell>
          <cell r="F772">
            <v>58.676806083649794</v>
          </cell>
          <cell r="G772">
            <v>32.23536121673007</v>
          </cell>
          <cell r="H772">
            <v>32.23536121673007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40.4</v>
          </cell>
          <cell r="Q772" t="str">
            <v/>
          </cell>
          <cell r="R772" t="e">
            <v>#N/A</v>
          </cell>
        </row>
        <row r="773">
          <cell r="A773">
            <v>41046</v>
          </cell>
          <cell r="B773">
            <v>41046</v>
          </cell>
          <cell r="C773" t="str">
            <v>Future</v>
          </cell>
          <cell r="D773" t="e">
            <v>#N/A</v>
          </cell>
          <cell r="E773">
            <v>9.9847908745246556</v>
          </cell>
          <cell r="F773">
            <v>58.769581749049031</v>
          </cell>
          <cell r="G773">
            <v>32.193916349809918</v>
          </cell>
          <cell r="H773">
            <v>32.193916349809918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40.4</v>
          </cell>
          <cell r="Q773" t="str">
            <v/>
          </cell>
          <cell r="R773" t="e">
            <v>#N/A</v>
          </cell>
        </row>
        <row r="774">
          <cell r="A774">
            <v>41047</v>
          </cell>
          <cell r="B774">
            <v>41047</v>
          </cell>
          <cell r="C774" t="str">
            <v>Future</v>
          </cell>
          <cell r="D774" t="e">
            <v>#N/A</v>
          </cell>
          <cell r="E774">
            <v>9.8311787072242751</v>
          </cell>
          <cell r="F774">
            <v>58.862357414448269</v>
          </cell>
          <cell r="G774">
            <v>32.152471482889766</v>
          </cell>
          <cell r="H774">
            <v>32.152471482889766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40.4</v>
          </cell>
          <cell r="Q774" t="str">
            <v/>
          </cell>
          <cell r="R774" t="e">
            <v>#N/A</v>
          </cell>
        </row>
        <row r="775">
          <cell r="A775">
            <v>41050</v>
          </cell>
          <cell r="B775">
            <v>41050</v>
          </cell>
          <cell r="C775" t="str">
            <v>Future</v>
          </cell>
          <cell r="D775" t="e">
            <v>#N/A</v>
          </cell>
          <cell r="E775">
            <v>9.6775665399238946</v>
          </cell>
          <cell r="F775">
            <v>58.955133079847506</v>
          </cell>
          <cell r="G775">
            <v>32.111026615969614</v>
          </cell>
          <cell r="H775">
            <v>32.111026615969614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40.4</v>
          </cell>
          <cell r="Q775" t="str">
            <v/>
          </cell>
          <cell r="R775" t="e">
            <v>#N/A</v>
          </cell>
        </row>
        <row r="776">
          <cell r="A776">
            <v>41051</v>
          </cell>
          <cell r="B776">
            <v>41051</v>
          </cell>
          <cell r="C776" t="str">
            <v>Future</v>
          </cell>
          <cell r="D776" t="e">
            <v>#N/A</v>
          </cell>
          <cell r="E776">
            <v>9.5239543726235141</v>
          </cell>
          <cell r="F776">
            <v>59.047908745246744</v>
          </cell>
          <cell r="G776">
            <v>32.069581749049462</v>
          </cell>
          <cell r="H776">
            <v>32.069581749049462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40.4</v>
          </cell>
          <cell r="Q776" t="str">
            <v/>
          </cell>
          <cell r="R776" t="e">
            <v>#N/A</v>
          </cell>
        </row>
        <row r="777">
          <cell r="A777">
            <v>41052</v>
          </cell>
          <cell r="B777">
            <v>41052</v>
          </cell>
          <cell r="C777" t="str">
            <v>Future</v>
          </cell>
          <cell r="D777" t="e">
            <v>#N/A</v>
          </cell>
          <cell r="E777">
            <v>9.3703422053231336</v>
          </cell>
          <cell r="F777">
            <v>59.140684410645981</v>
          </cell>
          <cell r="G777">
            <v>32.02813688212931</v>
          </cell>
          <cell r="H777">
            <v>32.02813688212931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40.4</v>
          </cell>
          <cell r="Q777" t="str">
            <v/>
          </cell>
          <cell r="R777" t="e">
            <v>#N/A</v>
          </cell>
        </row>
        <row r="778">
          <cell r="A778">
            <v>41053</v>
          </cell>
          <cell r="B778">
            <v>41053</v>
          </cell>
          <cell r="C778" t="str">
            <v>Future</v>
          </cell>
          <cell r="D778" t="e">
            <v>#N/A</v>
          </cell>
          <cell r="E778">
            <v>9.216730038022753</v>
          </cell>
          <cell r="F778">
            <v>59.233460076045219</v>
          </cell>
          <cell r="G778">
            <v>31.986692015209158</v>
          </cell>
          <cell r="H778">
            <v>31.986692015209158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40.4</v>
          </cell>
          <cell r="Q778" t="str">
            <v/>
          </cell>
          <cell r="R778" t="e">
            <v>#N/A</v>
          </cell>
        </row>
        <row r="779">
          <cell r="A779">
            <v>41054</v>
          </cell>
          <cell r="B779">
            <v>41054</v>
          </cell>
          <cell r="C779" t="str">
            <v>Future</v>
          </cell>
          <cell r="D779" t="e">
            <v>#N/A</v>
          </cell>
          <cell r="E779">
            <v>9.0631178707223725</v>
          </cell>
          <cell r="F779">
            <v>59.326235741444457</v>
          </cell>
          <cell r="G779">
            <v>31.945247148289006</v>
          </cell>
          <cell r="H779">
            <v>31.945247148289006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40.4</v>
          </cell>
          <cell r="Q779" t="str">
            <v/>
          </cell>
          <cell r="R779" t="e">
            <v>#N/A</v>
          </cell>
        </row>
        <row r="780">
          <cell r="A780">
            <v>41057</v>
          </cell>
          <cell r="B780">
            <v>41057</v>
          </cell>
          <cell r="C780" t="str">
            <v>Future</v>
          </cell>
          <cell r="D780" t="e">
            <v>#N/A</v>
          </cell>
          <cell r="E780">
            <v>8.909505703421992</v>
          </cell>
          <cell r="F780">
            <v>59.419011406843694</v>
          </cell>
          <cell r="G780">
            <v>31.903802281368854</v>
          </cell>
          <cell r="H780">
            <v>31.903802281368854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40.4</v>
          </cell>
          <cell r="Q780" t="str">
            <v/>
          </cell>
          <cell r="R780" t="e">
            <v>#N/A</v>
          </cell>
        </row>
        <row r="781">
          <cell r="A781">
            <v>41058</v>
          </cell>
          <cell r="B781">
            <v>41058</v>
          </cell>
          <cell r="C781" t="str">
            <v>Future</v>
          </cell>
          <cell r="D781" t="e">
            <v>#N/A</v>
          </cell>
          <cell r="E781">
            <v>8.7558935361216115</v>
          </cell>
          <cell r="F781">
            <v>59.511787072242932</v>
          </cell>
          <cell r="G781">
            <v>31.862357414448702</v>
          </cell>
          <cell r="H781">
            <v>31.862357414448702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40.4</v>
          </cell>
          <cell r="Q781" t="str">
            <v/>
          </cell>
          <cell r="R781" t="e">
            <v>#N/A</v>
          </cell>
        </row>
        <row r="782">
          <cell r="A782">
            <v>41059</v>
          </cell>
          <cell r="B782">
            <v>41059</v>
          </cell>
          <cell r="C782" t="str">
            <v>Future</v>
          </cell>
          <cell r="D782" t="e">
            <v>#N/A</v>
          </cell>
          <cell r="E782">
            <v>8.602281368821231</v>
          </cell>
          <cell r="F782">
            <v>59.604562737642169</v>
          </cell>
          <cell r="G782">
            <v>31.82091254752855</v>
          </cell>
          <cell r="H782">
            <v>31.82091254752855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40.4</v>
          </cell>
          <cell r="Q782" t="str">
            <v/>
          </cell>
          <cell r="R782" t="e">
            <v>#N/A</v>
          </cell>
        </row>
        <row r="783">
          <cell r="A783">
            <v>41060</v>
          </cell>
          <cell r="B783">
            <v>41060</v>
          </cell>
          <cell r="C783" t="str">
            <v>Future</v>
          </cell>
          <cell r="D783" t="e">
            <v>#N/A</v>
          </cell>
          <cell r="E783">
            <v>8.4486692015208504</v>
          </cell>
          <cell r="F783">
            <v>59.697338403041407</v>
          </cell>
          <cell r="G783">
            <v>31.779467680608398</v>
          </cell>
          <cell r="H783">
            <v>31.779467680608398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40.4</v>
          </cell>
          <cell r="Q783" t="str">
            <v/>
          </cell>
          <cell r="R783" t="e">
            <v>#N/A</v>
          </cell>
        </row>
        <row r="784">
          <cell r="A784">
            <v>41061</v>
          </cell>
          <cell r="B784">
            <v>41061</v>
          </cell>
          <cell r="C784" t="str">
            <v>Future</v>
          </cell>
          <cell r="D784" t="e">
            <v>#N/A</v>
          </cell>
          <cell r="E784">
            <v>8.2950570342204699</v>
          </cell>
          <cell r="F784">
            <v>59.790114068440644</v>
          </cell>
          <cell r="G784">
            <v>31.738022813688247</v>
          </cell>
          <cell r="H784">
            <v>31.738022813688247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40.4</v>
          </cell>
          <cell r="Q784" t="str">
            <v/>
          </cell>
          <cell r="R784" t="e">
            <v>#N/A</v>
          </cell>
        </row>
        <row r="785">
          <cell r="A785">
            <v>41064</v>
          </cell>
          <cell r="B785">
            <v>41064</v>
          </cell>
          <cell r="C785" t="str">
            <v>Future</v>
          </cell>
          <cell r="D785" t="e">
            <v>#N/A</v>
          </cell>
          <cell r="E785">
            <v>8.1414448669200894</v>
          </cell>
          <cell r="F785">
            <v>59.882889733839882</v>
          </cell>
          <cell r="G785">
            <v>31.696577946768095</v>
          </cell>
          <cell r="H785">
            <v>31.696577946768095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40.4</v>
          </cell>
          <cell r="Q785" t="str">
            <v/>
          </cell>
          <cell r="R785" t="e">
            <v>#N/A</v>
          </cell>
        </row>
        <row r="786">
          <cell r="A786">
            <v>41065</v>
          </cell>
          <cell r="B786">
            <v>41065</v>
          </cell>
          <cell r="C786" t="str">
            <v>Future</v>
          </cell>
          <cell r="D786" t="e">
            <v>#N/A</v>
          </cell>
          <cell r="E786">
            <v>7.9878326996197089</v>
          </cell>
          <cell r="F786">
            <v>59.975665399239119</v>
          </cell>
          <cell r="G786">
            <v>31.655133079847943</v>
          </cell>
          <cell r="H786">
            <v>31.655133079847943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40.4</v>
          </cell>
          <cell r="Q786" t="str">
            <v/>
          </cell>
          <cell r="R786" t="e">
            <v>#N/A</v>
          </cell>
        </row>
        <row r="787">
          <cell r="A787">
            <v>41066</v>
          </cell>
          <cell r="B787">
            <v>41066</v>
          </cell>
          <cell r="C787" t="str">
            <v>Future</v>
          </cell>
          <cell r="D787" t="e">
            <v>#N/A</v>
          </cell>
          <cell r="E787">
            <v>7.8342205323193284</v>
          </cell>
          <cell r="F787">
            <v>60.068441064638357</v>
          </cell>
          <cell r="G787">
            <v>31.613688212927791</v>
          </cell>
          <cell r="H787">
            <v>31.613688212927791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40.4</v>
          </cell>
          <cell r="Q787" t="str">
            <v/>
          </cell>
          <cell r="R787" t="e">
            <v>#N/A</v>
          </cell>
        </row>
        <row r="788">
          <cell r="A788">
            <v>41067</v>
          </cell>
          <cell r="B788">
            <v>41067</v>
          </cell>
          <cell r="C788" t="str">
            <v>Future</v>
          </cell>
          <cell r="D788" t="e">
            <v>#N/A</v>
          </cell>
          <cell r="E788">
            <v>7.6806083650189478</v>
          </cell>
          <cell r="F788">
            <v>60.161216730037594</v>
          </cell>
          <cell r="G788">
            <v>31.572243346007639</v>
          </cell>
          <cell r="H788">
            <v>31.572243346007639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40.4</v>
          </cell>
          <cell r="Q788" t="str">
            <v/>
          </cell>
          <cell r="R788" t="e">
            <v>#N/A</v>
          </cell>
        </row>
        <row r="789">
          <cell r="A789">
            <v>41068</v>
          </cell>
          <cell r="B789">
            <v>41068</v>
          </cell>
          <cell r="C789" t="str">
            <v>Future</v>
          </cell>
          <cell r="D789" t="e">
            <v>#N/A</v>
          </cell>
          <cell r="E789">
            <v>7.5269961977185673</v>
          </cell>
          <cell r="F789">
            <v>60.253992395436832</v>
          </cell>
          <cell r="G789">
            <v>31.530798479087487</v>
          </cell>
          <cell r="H789">
            <v>31.530798479087487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40.4</v>
          </cell>
          <cell r="Q789" t="str">
            <v/>
          </cell>
          <cell r="R789" t="e">
            <v>#N/A</v>
          </cell>
        </row>
        <row r="790">
          <cell r="A790">
            <v>41071</v>
          </cell>
          <cell r="B790">
            <v>41071</v>
          </cell>
          <cell r="C790" t="str">
            <v>Future</v>
          </cell>
          <cell r="D790" t="e">
            <v>#N/A</v>
          </cell>
          <cell r="E790">
            <v>7.3733840304181868</v>
          </cell>
          <cell r="F790">
            <v>60.346768060836069</v>
          </cell>
          <cell r="G790">
            <v>31.489353612167335</v>
          </cell>
          <cell r="H790">
            <v>31.489353612167335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40.4</v>
          </cell>
          <cell r="Q790" t="str">
            <v/>
          </cell>
          <cell r="R790" t="e">
            <v>#N/A</v>
          </cell>
        </row>
        <row r="791">
          <cell r="A791">
            <v>41072</v>
          </cell>
          <cell r="B791">
            <v>41072</v>
          </cell>
          <cell r="C791" t="str">
            <v>Future</v>
          </cell>
          <cell r="D791" t="e">
            <v>#N/A</v>
          </cell>
          <cell r="E791">
            <v>7.2197718631178063</v>
          </cell>
          <cell r="F791">
            <v>60.439543726235307</v>
          </cell>
          <cell r="G791">
            <v>31.447908745247183</v>
          </cell>
          <cell r="H791">
            <v>31.447908745247183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40.4</v>
          </cell>
          <cell r="Q791" t="str">
            <v/>
          </cell>
          <cell r="R791" t="e">
            <v>#N/A</v>
          </cell>
        </row>
        <row r="792">
          <cell r="A792">
            <v>41073</v>
          </cell>
          <cell r="B792">
            <v>41073</v>
          </cell>
          <cell r="C792" t="str">
            <v>Future</v>
          </cell>
          <cell r="D792" t="e">
            <v>#N/A</v>
          </cell>
          <cell r="E792">
            <v>7.0661596958174258</v>
          </cell>
          <cell r="F792">
            <v>60.532319391634545</v>
          </cell>
          <cell r="G792">
            <v>31.406463878327031</v>
          </cell>
          <cell r="H792">
            <v>31.406463878327031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40.4</v>
          </cell>
          <cell r="Q792" t="str">
            <v/>
          </cell>
          <cell r="R792" t="e">
            <v>#N/A</v>
          </cell>
        </row>
        <row r="793">
          <cell r="A793">
            <v>41074</v>
          </cell>
          <cell r="B793">
            <v>41074</v>
          </cell>
          <cell r="C793" t="str">
            <v>Future</v>
          </cell>
          <cell r="D793" t="e">
            <v>#N/A</v>
          </cell>
          <cell r="E793">
            <v>6.9125475285170452</v>
          </cell>
          <cell r="F793">
            <v>60.625095057033782</v>
          </cell>
          <cell r="G793">
            <v>31.365019011406879</v>
          </cell>
          <cell r="H793">
            <v>31.365019011406879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40.4</v>
          </cell>
          <cell r="Q793" t="str">
            <v/>
          </cell>
          <cell r="R793" t="e">
            <v>#N/A</v>
          </cell>
        </row>
        <row r="794">
          <cell r="A794">
            <v>41075</v>
          </cell>
          <cell r="B794">
            <v>41075</v>
          </cell>
          <cell r="C794" t="str">
            <v>Future</v>
          </cell>
          <cell r="D794" t="e">
            <v>#N/A</v>
          </cell>
          <cell r="E794">
            <v>6.7589353612166647</v>
          </cell>
          <cell r="F794">
            <v>60.71787072243302</v>
          </cell>
          <cell r="G794">
            <v>31.323574144486727</v>
          </cell>
          <cell r="H794">
            <v>31.323574144486727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40.4</v>
          </cell>
          <cell r="Q794" t="str">
            <v/>
          </cell>
          <cell r="R794" t="e">
            <v>#N/A</v>
          </cell>
        </row>
        <row r="795">
          <cell r="A795">
            <v>41078</v>
          </cell>
          <cell r="B795">
            <v>41078</v>
          </cell>
          <cell r="C795" t="str">
            <v>Future</v>
          </cell>
          <cell r="D795" t="e">
            <v>#N/A</v>
          </cell>
          <cell r="E795">
            <v>6.6053231939162842</v>
          </cell>
          <cell r="F795">
            <v>60.810646387832257</v>
          </cell>
          <cell r="G795">
            <v>31.282129277566575</v>
          </cell>
          <cell r="H795">
            <v>31.282129277566575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40.4</v>
          </cell>
          <cell r="Q795" t="str">
            <v/>
          </cell>
          <cell r="R795" t="e">
            <v>#N/A</v>
          </cell>
        </row>
        <row r="796">
          <cell r="A796">
            <v>41079</v>
          </cell>
          <cell r="B796">
            <v>41079</v>
          </cell>
          <cell r="C796" t="str">
            <v>Future</v>
          </cell>
          <cell r="D796" t="e">
            <v>#N/A</v>
          </cell>
          <cell r="E796">
            <v>6.4517110266159037</v>
          </cell>
          <cell r="F796">
            <v>60.903422053231495</v>
          </cell>
          <cell r="G796">
            <v>31.240684410646423</v>
          </cell>
          <cell r="H796">
            <v>31.240684410646423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40.4</v>
          </cell>
          <cell r="Q796" t="str">
            <v/>
          </cell>
          <cell r="R796" t="e">
            <v>#N/A</v>
          </cell>
        </row>
        <row r="797">
          <cell r="A797">
            <v>41080</v>
          </cell>
          <cell r="B797">
            <v>41080</v>
          </cell>
          <cell r="C797" t="str">
            <v>Future</v>
          </cell>
          <cell r="D797" t="e">
            <v>#N/A</v>
          </cell>
          <cell r="E797">
            <v>6.2980988593155232</v>
          </cell>
          <cell r="F797">
            <v>60.996197718630732</v>
          </cell>
          <cell r="G797">
            <v>31.199239543726272</v>
          </cell>
          <cell r="H797">
            <v>31.199239543726272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40.4</v>
          </cell>
          <cell r="Q797" t="str">
            <v/>
          </cell>
          <cell r="R797" t="e">
            <v>#N/A</v>
          </cell>
        </row>
        <row r="798">
          <cell r="A798">
            <v>41081</v>
          </cell>
          <cell r="B798">
            <v>41081</v>
          </cell>
          <cell r="C798" t="str">
            <v>Future</v>
          </cell>
          <cell r="D798" t="e">
            <v>#N/A</v>
          </cell>
          <cell r="E798">
            <v>6.1444866920151426</v>
          </cell>
          <cell r="F798">
            <v>61.08897338402997</v>
          </cell>
          <cell r="G798">
            <v>31.15779467680612</v>
          </cell>
          <cell r="H798">
            <v>31.15779467680612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40.4</v>
          </cell>
          <cell r="Q798" t="str">
            <v/>
          </cell>
          <cell r="R798" t="e">
            <v>#N/A</v>
          </cell>
        </row>
        <row r="799">
          <cell r="A799">
            <v>41082</v>
          </cell>
          <cell r="B799">
            <v>41082</v>
          </cell>
          <cell r="C799" t="str">
            <v>Future</v>
          </cell>
          <cell r="D799" t="e">
            <v>#N/A</v>
          </cell>
          <cell r="E799">
            <v>5.9908745247147621</v>
          </cell>
          <cell r="F799">
            <v>61.181749049429207</v>
          </cell>
          <cell r="G799">
            <v>31.116349809885968</v>
          </cell>
          <cell r="H799">
            <v>31.116349809885968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40.4</v>
          </cell>
          <cell r="Q799" t="str">
            <v/>
          </cell>
          <cell r="R799" t="e">
            <v>#N/A</v>
          </cell>
        </row>
        <row r="800">
          <cell r="A800">
            <v>41085</v>
          </cell>
          <cell r="B800">
            <v>41085</v>
          </cell>
          <cell r="C800" t="str">
            <v>Future</v>
          </cell>
          <cell r="D800" t="e">
            <v>#N/A</v>
          </cell>
          <cell r="E800">
            <v>5.8372623574143816</v>
          </cell>
          <cell r="F800">
            <v>61.274524714828445</v>
          </cell>
          <cell r="G800">
            <v>31.074904942965816</v>
          </cell>
          <cell r="H800">
            <v>31.074904942965816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40.4</v>
          </cell>
          <cell r="Q800" t="str">
            <v/>
          </cell>
          <cell r="R800" t="e">
            <v>#N/A</v>
          </cell>
        </row>
        <row r="801">
          <cell r="A801">
            <v>41086</v>
          </cell>
          <cell r="B801">
            <v>41086</v>
          </cell>
          <cell r="C801" t="str">
            <v>Future</v>
          </cell>
          <cell r="D801" t="e">
            <v>#N/A</v>
          </cell>
          <cell r="E801">
            <v>5.6836501901140011</v>
          </cell>
          <cell r="F801">
            <v>61.367300380227682</v>
          </cell>
          <cell r="G801">
            <v>31.033460076045664</v>
          </cell>
          <cell r="H801">
            <v>31.033460076045664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40.4</v>
          </cell>
          <cell r="Q801" t="str">
            <v/>
          </cell>
          <cell r="R801" t="e">
            <v>#N/A</v>
          </cell>
        </row>
        <row r="802">
          <cell r="A802">
            <v>41087</v>
          </cell>
          <cell r="B802">
            <v>41087</v>
          </cell>
          <cell r="C802" t="str">
            <v>Future</v>
          </cell>
          <cell r="D802" t="e">
            <v>#N/A</v>
          </cell>
          <cell r="E802">
            <v>5.5300380228136206</v>
          </cell>
          <cell r="F802">
            <v>61.46007604562692</v>
          </cell>
          <cell r="G802">
            <v>30.992015209125512</v>
          </cell>
          <cell r="H802">
            <v>30.992015209125512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40.4</v>
          </cell>
          <cell r="Q802" t="str">
            <v/>
          </cell>
          <cell r="R802" t="e">
            <v>#N/A</v>
          </cell>
        </row>
        <row r="803">
          <cell r="A803">
            <v>41088</v>
          </cell>
          <cell r="B803">
            <v>41088</v>
          </cell>
          <cell r="C803" t="str">
            <v>Future</v>
          </cell>
          <cell r="D803" t="e">
            <v>#N/A</v>
          </cell>
          <cell r="E803">
            <v>5.37642585551324</v>
          </cell>
          <cell r="F803">
            <v>61.552851711026157</v>
          </cell>
          <cell r="G803">
            <v>30.95057034220536</v>
          </cell>
          <cell r="H803">
            <v>30.95057034220536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40.4</v>
          </cell>
          <cell r="Q803" t="str">
            <v/>
          </cell>
          <cell r="R803" t="e">
            <v>#N/A</v>
          </cell>
        </row>
        <row r="804">
          <cell r="A804">
            <v>41089</v>
          </cell>
          <cell r="B804">
            <v>41089</v>
          </cell>
          <cell r="C804" t="str">
            <v>Future</v>
          </cell>
          <cell r="D804" t="e">
            <v>#N/A</v>
          </cell>
          <cell r="E804">
            <v>5.2228136882128595</v>
          </cell>
          <cell r="F804">
            <v>61.645627376425395</v>
          </cell>
          <cell r="G804">
            <v>30.909125475285208</v>
          </cell>
          <cell r="H804">
            <v>30.909125475285208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40.4</v>
          </cell>
          <cell r="Q804" t="str">
            <v/>
          </cell>
          <cell r="R804" t="e">
            <v>#N/A</v>
          </cell>
        </row>
        <row r="805">
          <cell r="A805">
            <v>41092</v>
          </cell>
          <cell r="B805">
            <v>41092</v>
          </cell>
          <cell r="C805" t="str">
            <v>Future</v>
          </cell>
          <cell r="D805" t="e">
            <v>#N/A</v>
          </cell>
          <cell r="E805">
            <v>5.069201520912479</v>
          </cell>
          <cell r="F805">
            <v>61.738403041824633</v>
          </cell>
          <cell r="G805">
            <v>30.867680608365056</v>
          </cell>
          <cell r="H805">
            <v>30.867680608365056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40.4</v>
          </cell>
          <cell r="Q805" t="str">
            <v/>
          </cell>
          <cell r="R805" t="e">
            <v>#N/A</v>
          </cell>
        </row>
        <row r="806">
          <cell r="A806">
            <v>41093</v>
          </cell>
          <cell r="B806">
            <v>41093</v>
          </cell>
          <cell r="C806" t="str">
            <v>Future</v>
          </cell>
          <cell r="D806" t="e">
            <v>#N/A</v>
          </cell>
          <cell r="E806">
            <v>4.9155893536120985</v>
          </cell>
          <cell r="F806">
            <v>61.83117870722387</v>
          </cell>
          <cell r="G806">
            <v>30.826235741444904</v>
          </cell>
          <cell r="H806">
            <v>30.826235741444904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40.4</v>
          </cell>
          <cell r="Q806" t="str">
            <v/>
          </cell>
          <cell r="R806" t="e">
            <v>#N/A</v>
          </cell>
        </row>
        <row r="807">
          <cell r="A807">
            <v>41094</v>
          </cell>
          <cell r="B807">
            <v>41094</v>
          </cell>
          <cell r="C807" t="str">
            <v>Future</v>
          </cell>
          <cell r="D807" t="e">
            <v>#N/A</v>
          </cell>
          <cell r="E807">
            <v>4.761977186311718</v>
          </cell>
          <cell r="F807">
            <v>61.923954372623108</v>
          </cell>
          <cell r="G807">
            <v>30.784790874524752</v>
          </cell>
          <cell r="H807">
            <v>30.784790874524752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40.4</v>
          </cell>
          <cell r="Q807" t="str">
            <v/>
          </cell>
          <cell r="R807" t="e">
            <v>#N/A</v>
          </cell>
        </row>
        <row r="808">
          <cell r="A808">
            <v>41095</v>
          </cell>
          <cell r="B808">
            <v>41095</v>
          </cell>
          <cell r="C808" t="str">
            <v>Future</v>
          </cell>
          <cell r="D808" t="e">
            <v>#N/A</v>
          </cell>
          <cell r="E808">
            <v>4.6083650190113374</v>
          </cell>
          <cell r="F808">
            <v>62.016730038022345</v>
          </cell>
          <cell r="G808">
            <v>30.7433460076046</v>
          </cell>
          <cell r="H808">
            <v>30.7433460076046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40.4</v>
          </cell>
          <cell r="Q808" t="str">
            <v/>
          </cell>
          <cell r="R808" t="e">
            <v>#N/A</v>
          </cell>
        </row>
        <row r="809">
          <cell r="A809">
            <v>41096</v>
          </cell>
          <cell r="B809">
            <v>41096</v>
          </cell>
          <cell r="C809" t="str">
            <v>Future</v>
          </cell>
          <cell r="D809" t="e">
            <v>#N/A</v>
          </cell>
          <cell r="E809">
            <v>4.4547528517109569</v>
          </cell>
          <cell r="F809">
            <v>62.109505703421583</v>
          </cell>
          <cell r="G809">
            <v>30.701901140684448</v>
          </cell>
          <cell r="H809">
            <v>30.701901140684448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40.4</v>
          </cell>
          <cell r="Q809" t="str">
            <v/>
          </cell>
          <cell r="R809" t="e">
            <v>#N/A</v>
          </cell>
        </row>
        <row r="810">
          <cell r="A810">
            <v>41099</v>
          </cell>
          <cell r="B810">
            <v>41099</v>
          </cell>
          <cell r="C810" t="str">
            <v>Future</v>
          </cell>
          <cell r="D810" t="e">
            <v>#N/A</v>
          </cell>
          <cell r="E810">
            <v>4.3011406844105764</v>
          </cell>
          <cell r="F810">
            <v>62.20228136882082</v>
          </cell>
          <cell r="G810">
            <v>30.660456273764296</v>
          </cell>
          <cell r="H810">
            <v>30.660456273764296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40.4</v>
          </cell>
          <cell r="Q810" t="str">
            <v/>
          </cell>
          <cell r="R810" t="e">
            <v>#N/A</v>
          </cell>
        </row>
        <row r="811">
          <cell r="A811">
            <v>41100</v>
          </cell>
          <cell r="B811">
            <v>41100</v>
          </cell>
          <cell r="C811" t="str">
            <v>Future</v>
          </cell>
          <cell r="D811" t="e">
            <v>#N/A</v>
          </cell>
          <cell r="E811">
            <v>4.1475285171101959</v>
          </cell>
          <cell r="F811">
            <v>62.295057034220058</v>
          </cell>
          <cell r="G811">
            <v>30.619011406844145</v>
          </cell>
          <cell r="H811">
            <v>30.619011406844145</v>
          </cell>
          <cell r="I811" t="e">
            <v>#N/A</v>
          </cell>
          <cell r="J811" t="e">
            <v>#N/A</v>
          </cell>
          <cell r="K811" t="e">
            <v>#N/A</v>
          </cell>
          <cell r="L811" t="e">
            <v>#N/A</v>
          </cell>
          <cell r="M811" t="e">
            <v>#N/A</v>
          </cell>
          <cell r="N811" t="e">
            <v>#N/A</v>
          </cell>
          <cell r="O811" t="e">
            <v>#N/A</v>
          </cell>
          <cell r="P811">
            <v>40.4</v>
          </cell>
          <cell r="Q811" t="str">
            <v/>
          </cell>
          <cell r="R811" t="e">
            <v>#N/A</v>
          </cell>
        </row>
        <row r="812">
          <cell r="A812">
            <v>41101</v>
          </cell>
          <cell r="B812">
            <v>41101</v>
          </cell>
          <cell r="C812" t="str">
            <v>Future</v>
          </cell>
          <cell r="D812" t="e">
            <v>#N/A</v>
          </cell>
          <cell r="E812">
            <v>3.9939163498098158</v>
          </cell>
          <cell r="F812">
            <v>62.387832699619295</v>
          </cell>
          <cell r="G812">
            <v>30.577566539923993</v>
          </cell>
          <cell r="H812">
            <v>30.577566539923993</v>
          </cell>
          <cell r="I812" t="e">
            <v>#N/A</v>
          </cell>
          <cell r="J812" t="e">
            <v>#N/A</v>
          </cell>
          <cell r="K812" t="e">
            <v>#N/A</v>
          </cell>
          <cell r="L812" t="e">
            <v>#N/A</v>
          </cell>
          <cell r="M812" t="e">
            <v>#N/A</v>
          </cell>
          <cell r="N812" t="e">
            <v>#N/A</v>
          </cell>
          <cell r="O812" t="e">
            <v>#N/A</v>
          </cell>
          <cell r="P812">
            <v>40.4</v>
          </cell>
          <cell r="Q812" t="str">
            <v/>
          </cell>
          <cell r="R812" t="e">
            <v>#N/A</v>
          </cell>
        </row>
        <row r="813">
          <cell r="A813">
            <v>41102</v>
          </cell>
          <cell r="B813">
            <v>41102</v>
          </cell>
          <cell r="C813" t="str">
            <v>Future</v>
          </cell>
          <cell r="D813" t="e">
            <v>#N/A</v>
          </cell>
          <cell r="E813">
            <v>3.8403041825094357</v>
          </cell>
          <cell r="F813">
            <v>62.480608365018533</v>
          </cell>
          <cell r="G813">
            <v>30.536121673003841</v>
          </cell>
          <cell r="H813">
            <v>30.536121673003841</v>
          </cell>
          <cell r="I813" t="e">
            <v>#N/A</v>
          </cell>
          <cell r="J813" t="e">
            <v>#N/A</v>
          </cell>
          <cell r="K813" t="e">
            <v>#N/A</v>
          </cell>
          <cell r="L813" t="e">
            <v>#N/A</v>
          </cell>
          <cell r="M813" t="e">
            <v>#N/A</v>
          </cell>
          <cell r="N813" t="e">
            <v>#N/A</v>
          </cell>
          <cell r="O813" t="e">
            <v>#N/A</v>
          </cell>
          <cell r="P813">
            <v>40.4</v>
          </cell>
          <cell r="Q813" t="str">
            <v/>
          </cell>
          <cell r="R813" t="e">
            <v>#N/A</v>
          </cell>
        </row>
        <row r="814">
          <cell r="A814">
            <v>41103</v>
          </cell>
          <cell r="B814">
            <v>41103</v>
          </cell>
          <cell r="C814" t="str">
            <v>Future</v>
          </cell>
          <cell r="D814" t="e">
            <v>#N/A</v>
          </cell>
          <cell r="E814">
            <v>3.6866920152090557</v>
          </cell>
          <cell r="F814">
            <v>62.57338403041777</v>
          </cell>
          <cell r="G814">
            <v>30.494676806083689</v>
          </cell>
          <cell r="H814">
            <v>30.494676806083689</v>
          </cell>
          <cell r="I814" t="e">
            <v>#N/A</v>
          </cell>
          <cell r="J814" t="e">
            <v>#N/A</v>
          </cell>
          <cell r="K814" t="e">
            <v>#N/A</v>
          </cell>
          <cell r="L814" t="e">
            <v>#N/A</v>
          </cell>
          <cell r="M814" t="e">
            <v>#N/A</v>
          </cell>
          <cell r="N814" t="e">
            <v>#N/A</v>
          </cell>
          <cell r="O814" t="e">
            <v>#N/A</v>
          </cell>
          <cell r="P814">
            <v>40.4</v>
          </cell>
          <cell r="Q814" t="str">
            <v/>
          </cell>
          <cell r="R814" t="e">
            <v>#N/A</v>
          </cell>
        </row>
        <row r="815">
          <cell r="A815">
            <v>41106</v>
          </cell>
          <cell r="B815">
            <v>41106</v>
          </cell>
          <cell r="C815" t="str">
            <v>Future</v>
          </cell>
          <cell r="D815" t="e">
            <v>#N/A</v>
          </cell>
          <cell r="E815">
            <v>3.5330798479086756</v>
          </cell>
          <cell r="F815">
            <v>62.666159695817008</v>
          </cell>
          <cell r="G815">
            <v>30.453231939163537</v>
          </cell>
          <cell r="H815">
            <v>30.453231939163537</v>
          </cell>
          <cell r="I815" t="e">
            <v>#N/A</v>
          </cell>
          <cell r="J815" t="e">
            <v>#N/A</v>
          </cell>
          <cell r="K815" t="e">
            <v>#N/A</v>
          </cell>
          <cell r="L815" t="e">
            <v>#N/A</v>
          </cell>
          <cell r="M815" t="e">
            <v>#N/A</v>
          </cell>
          <cell r="N815" t="e">
            <v>#N/A</v>
          </cell>
          <cell r="O815" t="e">
            <v>#N/A</v>
          </cell>
          <cell r="P815">
            <v>40.4</v>
          </cell>
          <cell r="Q815" t="str">
            <v/>
          </cell>
          <cell r="R815" t="e">
            <v>#N/A</v>
          </cell>
        </row>
        <row r="816">
          <cell r="A816">
            <v>41107</v>
          </cell>
          <cell r="B816">
            <v>41107</v>
          </cell>
          <cell r="C816" t="str">
            <v>Future</v>
          </cell>
          <cell r="D816" t="e">
            <v>#N/A</v>
          </cell>
          <cell r="E816">
            <v>3.3794676806082955</v>
          </cell>
          <cell r="F816">
            <v>62.758935361216245</v>
          </cell>
          <cell r="G816">
            <v>30.411787072243385</v>
          </cell>
          <cell r="H816">
            <v>30.411787072243385</v>
          </cell>
          <cell r="I816" t="e">
            <v>#N/A</v>
          </cell>
          <cell r="J816" t="e">
            <v>#N/A</v>
          </cell>
          <cell r="K816" t="e">
            <v>#N/A</v>
          </cell>
          <cell r="L816" t="e">
            <v>#N/A</v>
          </cell>
          <cell r="M816" t="e">
            <v>#N/A</v>
          </cell>
          <cell r="N816" t="e">
            <v>#N/A</v>
          </cell>
          <cell r="O816" t="e">
            <v>#N/A</v>
          </cell>
          <cell r="P816">
            <v>40.4</v>
          </cell>
          <cell r="Q816" t="str">
            <v/>
          </cell>
          <cell r="R816" t="e">
            <v>#N/A</v>
          </cell>
        </row>
        <row r="817">
          <cell r="A817">
            <v>41108</v>
          </cell>
          <cell r="B817">
            <v>41108</v>
          </cell>
          <cell r="C817" t="str">
            <v>Future</v>
          </cell>
          <cell r="D817" t="e">
            <v>#N/A</v>
          </cell>
          <cell r="E817">
            <v>3.2258555133079154</v>
          </cell>
          <cell r="F817">
            <v>62.851711026615483</v>
          </cell>
          <cell r="G817">
            <v>30.370342205323233</v>
          </cell>
          <cell r="H817">
            <v>30.370342205323233</v>
          </cell>
          <cell r="I817" t="e">
            <v>#N/A</v>
          </cell>
          <cell r="J817" t="e">
            <v>#N/A</v>
          </cell>
          <cell r="K817" t="e">
            <v>#N/A</v>
          </cell>
          <cell r="L817" t="e">
            <v>#N/A</v>
          </cell>
          <cell r="M817" t="e">
            <v>#N/A</v>
          </cell>
          <cell r="N817" t="e">
            <v>#N/A</v>
          </cell>
          <cell r="O817" t="e">
            <v>#N/A</v>
          </cell>
          <cell r="P817">
            <v>40.4</v>
          </cell>
          <cell r="Q817" t="str">
            <v/>
          </cell>
          <cell r="R817" t="e">
            <v>#N/A</v>
          </cell>
        </row>
        <row r="818">
          <cell r="A818">
            <v>41109</v>
          </cell>
          <cell r="B818">
            <v>41109</v>
          </cell>
          <cell r="C818" t="str">
            <v>Future</v>
          </cell>
          <cell r="D818" t="e">
            <v>#N/A</v>
          </cell>
          <cell r="E818">
            <v>3.0722433460075353</v>
          </cell>
          <cell r="F818">
            <v>62.944486692014721</v>
          </cell>
          <cell r="G818">
            <v>30.328897338403081</v>
          </cell>
          <cell r="H818">
            <v>30.328897338403081</v>
          </cell>
          <cell r="I818" t="e">
            <v>#N/A</v>
          </cell>
          <cell r="J818" t="e">
            <v>#N/A</v>
          </cell>
          <cell r="K818" t="e">
            <v>#N/A</v>
          </cell>
          <cell r="L818" t="e">
            <v>#N/A</v>
          </cell>
          <cell r="M818" t="e">
            <v>#N/A</v>
          </cell>
          <cell r="N818" t="e">
            <v>#N/A</v>
          </cell>
          <cell r="O818" t="e">
            <v>#N/A</v>
          </cell>
          <cell r="P818">
            <v>40.4</v>
          </cell>
          <cell r="Q818" t="str">
            <v/>
          </cell>
          <cell r="R818" t="e">
            <v>#N/A</v>
          </cell>
        </row>
        <row r="819">
          <cell r="A819">
            <v>41110</v>
          </cell>
          <cell r="B819">
            <v>41110</v>
          </cell>
          <cell r="C819" t="str">
            <v>Future</v>
          </cell>
          <cell r="D819" t="e">
            <v>#N/A</v>
          </cell>
          <cell r="E819">
            <v>2.9186311787071553</v>
          </cell>
          <cell r="F819">
            <v>63.037262357413958</v>
          </cell>
          <cell r="G819">
            <v>30.287452471482929</v>
          </cell>
          <cell r="H819">
            <v>30.287452471482929</v>
          </cell>
          <cell r="I819" t="e">
            <v>#N/A</v>
          </cell>
          <cell r="J819" t="e">
            <v>#N/A</v>
          </cell>
          <cell r="K819" t="e">
            <v>#N/A</v>
          </cell>
          <cell r="L819" t="e">
            <v>#N/A</v>
          </cell>
          <cell r="M819" t="e">
            <v>#N/A</v>
          </cell>
          <cell r="N819" t="e">
            <v>#N/A</v>
          </cell>
          <cell r="O819" t="e">
            <v>#N/A</v>
          </cell>
          <cell r="P819">
            <v>40.4</v>
          </cell>
          <cell r="Q819" t="str">
            <v/>
          </cell>
          <cell r="R819" t="e">
            <v>#N/A</v>
          </cell>
        </row>
        <row r="820">
          <cell r="A820">
            <v>41113</v>
          </cell>
          <cell r="B820">
            <v>41113</v>
          </cell>
          <cell r="C820" t="str">
            <v>Future</v>
          </cell>
          <cell r="D820" t="e">
            <v>#N/A</v>
          </cell>
          <cell r="E820">
            <v>2.7650190114067752</v>
          </cell>
          <cell r="F820">
            <v>63.130038022813196</v>
          </cell>
          <cell r="G820">
            <v>30.246007604562777</v>
          </cell>
          <cell r="H820">
            <v>30.246007604562777</v>
          </cell>
          <cell r="I820" t="e">
            <v>#N/A</v>
          </cell>
          <cell r="J820" t="e">
            <v>#N/A</v>
          </cell>
          <cell r="K820" t="e">
            <v>#N/A</v>
          </cell>
          <cell r="L820" t="e">
            <v>#N/A</v>
          </cell>
          <cell r="M820" t="e">
            <v>#N/A</v>
          </cell>
          <cell r="N820" t="e">
            <v>#N/A</v>
          </cell>
          <cell r="O820" t="e">
            <v>#N/A</v>
          </cell>
          <cell r="P820">
            <v>40.4</v>
          </cell>
          <cell r="Q820" t="str">
            <v/>
          </cell>
          <cell r="R820" t="e">
            <v>#N/A</v>
          </cell>
        </row>
        <row r="821">
          <cell r="A821">
            <v>41114</v>
          </cell>
          <cell r="B821">
            <v>41114</v>
          </cell>
          <cell r="C821" t="str">
            <v>Future</v>
          </cell>
          <cell r="D821" t="e">
            <v>#N/A</v>
          </cell>
          <cell r="E821">
            <v>2.6114068441063951</v>
          </cell>
          <cell r="F821">
            <v>63.222813688212433</v>
          </cell>
          <cell r="G821">
            <v>30.204562737642625</v>
          </cell>
          <cell r="H821">
            <v>30.204562737642625</v>
          </cell>
          <cell r="I821" t="e">
            <v>#N/A</v>
          </cell>
          <cell r="J821" t="e">
            <v>#N/A</v>
          </cell>
          <cell r="K821" t="e">
            <v>#N/A</v>
          </cell>
          <cell r="L821" t="e">
            <v>#N/A</v>
          </cell>
          <cell r="M821" t="e">
            <v>#N/A</v>
          </cell>
          <cell r="N821" t="e">
            <v>#N/A</v>
          </cell>
          <cell r="O821" t="e">
            <v>#N/A</v>
          </cell>
          <cell r="P821">
            <v>40.4</v>
          </cell>
          <cell r="Q821" t="str">
            <v/>
          </cell>
          <cell r="R821" t="e">
            <v>#N/A</v>
          </cell>
        </row>
        <row r="822">
          <cell r="A822">
            <v>41115</v>
          </cell>
          <cell r="B822">
            <v>41115</v>
          </cell>
          <cell r="C822" t="str">
            <v>Future</v>
          </cell>
          <cell r="D822" t="e">
            <v>#N/A</v>
          </cell>
          <cell r="E822">
            <v>2.457794676806015</v>
          </cell>
          <cell r="F822">
            <v>63.315589353611671</v>
          </cell>
          <cell r="G822">
            <v>30.163117870722473</v>
          </cell>
          <cell r="H822">
            <v>30.163117870722473</v>
          </cell>
          <cell r="I822" t="e">
            <v>#N/A</v>
          </cell>
          <cell r="J822" t="e">
            <v>#N/A</v>
          </cell>
          <cell r="K822" t="e">
            <v>#N/A</v>
          </cell>
          <cell r="L822" t="e">
            <v>#N/A</v>
          </cell>
          <cell r="M822" t="e">
            <v>#N/A</v>
          </cell>
          <cell r="N822" t="e">
            <v>#N/A</v>
          </cell>
          <cell r="O822" t="e">
            <v>#N/A</v>
          </cell>
          <cell r="P822">
            <v>40.4</v>
          </cell>
          <cell r="Q822" t="str">
            <v/>
          </cell>
          <cell r="R822" t="e">
            <v>#N/A</v>
          </cell>
        </row>
        <row r="823">
          <cell r="A823">
            <v>41116</v>
          </cell>
          <cell r="B823">
            <v>41116</v>
          </cell>
          <cell r="C823" t="str">
            <v>Future</v>
          </cell>
          <cell r="D823" t="e">
            <v>#N/A</v>
          </cell>
          <cell r="E823">
            <v>2.304182509505635</v>
          </cell>
          <cell r="F823">
            <v>63.408365019010908</v>
          </cell>
          <cell r="G823">
            <v>30.121673003802321</v>
          </cell>
          <cell r="H823">
            <v>30.121673003802321</v>
          </cell>
          <cell r="I823" t="e">
            <v>#N/A</v>
          </cell>
          <cell r="J823" t="e">
            <v>#N/A</v>
          </cell>
          <cell r="K823" t="e">
            <v>#N/A</v>
          </cell>
          <cell r="L823" t="e">
            <v>#N/A</v>
          </cell>
          <cell r="M823" t="e">
            <v>#N/A</v>
          </cell>
          <cell r="N823" t="e">
            <v>#N/A</v>
          </cell>
          <cell r="O823" t="e">
            <v>#N/A</v>
          </cell>
          <cell r="P823">
            <v>40.4</v>
          </cell>
          <cell r="Q823" t="str">
            <v/>
          </cell>
          <cell r="R823" t="e">
            <v>#N/A</v>
          </cell>
        </row>
        <row r="824">
          <cell r="A824">
            <v>41117</v>
          </cell>
          <cell r="B824">
            <v>41117</v>
          </cell>
          <cell r="C824" t="str">
            <v>Future</v>
          </cell>
          <cell r="D824" t="e">
            <v>#N/A</v>
          </cell>
          <cell r="E824">
            <v>2.1505703422052549</v>
          </cell>
          <cell r="F824">
            <v>63.501140684410146</v>
          </cell>
          <cell r="G824">
            <v>30.08022813688217</v>
          </cell>
          <cell r="H824">
            <v>30.08022813688217</v>
          </cell>
          <cell r="I824" t="e">
            <v>#N/A</v>
          </cell>
          <cell r="J824" t="e">
            <v>#N/A</v>
          </cell>
          <cell r="K824" t="e">
            <v>#N/A</v>
          </cell>
          <cell r="L824" t="e">
            <v>#N/A</v>
          </cell>
          <cell r="M824" t="e">
            <v>#N/A</v>
          </cell>
          <cell r="N824" t="e">
            <v>#N/A</v>
          </cell>
          <cell r="O824" t="e">
            <v>#N/A</v>
          </cell>
          <cell r="P824">
            <v>40.4</v>
          </cell>
          <cell r="Q824" t="str">
            <v/>
          </cell>
          <cell r="R824" t="e">
            <v>#N/A</v>
          </cell>
        </row>
        <row r="825">
          <cell r="A825">
            <v>41120</v>
          </cell>
          <cell r="B825">
            <v>41120</v>
          </cell>
          <cell r="C825" t="str">
            <v>Future</v>
          </cell>
          <cell r="D825" t="e">
            <v>#N/A</v>
          </cell>
          <cell r="E825">
            <v>1.9969581749048746</v>
          </cell>
          <cell r="F825">
            <v>63.593916349809383</v>
          </cell>
          <cell r="G825">
            <v>30.038783269962018</v>
          </cell>
          <cell r="H825">
            <v>30.038783269962018</v>
          </cell>
          <cell r="I825" t="e">
            <v>#N/A</v>
          </cell>
          <cell r="J825" t="e">
            <v>#N/A</v>
          </cell>
          <cell r="K825" t="e">
            <v>#N/A</v>
          </cell>
          <cell r="L825" t="e">
            <v>#N/A</v>
          </cell>
          <cell r="M825" t="e">
            <v>#N/A</v>
          </cell>
          <cell r="N825" t="e">
            <v>#N/A</v>
          </cell>
          <cell r="O825" t="e">
            <v>#N/A</v>
          </cell>
          <cell r="P825">
            <v>40.4</v>
          </cell>
          <cell r="Q825" t="str">
            <v/>
          </cell>
          <cell r="R825" t="e">
            <v>#N/A</v>
          </cell>
        </row>
        <row r="826">
          <cell r="A826">
            <v>41121</v>
          </cell>
          <cell r="B826">
            <v>41121</v>
          </cell>
          <cell r="C826" t="str">
            <v>Future</v>
          </cell>
          <cell r="D826" t="e">
            <v>#N/A</v>
          </cell>
          <cell r="E826">
            <v>1.8433460076044943</v>
          </cell>
          <cell r="F826">
            <v>63.686692015208621</v>
          </cell>
          <cell r="G826">
            <v>29.997338403041866</v>
          </cell>
          <cell r="H826">
            <v>29.997338403041866</v>
          </cell>
          <cell r="I826" t="e">
            <v>#N/A</v>
          </cell>
          <cell r="J826" t="e">
            <v>#N/A</v>
          </cell>
          <cell r="K826" t="e">
            <v>#N/A</v>
          </cell>
          <cell r="L826" t="e">
            <v>#N/A</v>
          </cell>
          <cell r="M826" t="e">
            <v>#N/A</v>
          </cell>
          <cell r="N826" t="e">
            <v>#N/A</v>
          </cell>
          <cell r="O826" t="e">
            <v>#N/A</v>
          </cell>
          <cell r="P826">
            <v>40.4</v>
          </cell>
          <cell r="Q826" t="str">
            <v/>
          </cell>
          <cell r="R826" t="e">
            <v>#N/A</v>
          </cell>
        </row>
        <row r="827">
          <cell r="A827">
            <v>41122</v>
          </cell>
          <cell r="B827">
            <v>41122</v>
          </cell>
          <cell r="C827" t="str">
            <v>Future</v>
          </cell>
          <cell r="D827" t="e">
            <v>#N/A</v>
          </cell>
          <cell r="E827">
            <v>1.689733840304114</v>
          </cell>
          <cell r="F827">
            <v>63.779467680607858</v>
          </cell>
          <cell r="G827">
            <v>29.955893536121714</v>
          </cell>
          <cell r="H827">
            <v>29.955893536121714</v>
          </cell>
          <cell r="I827" t="e">
            <v>#N/A</v>
          </cell>
          <cell r="J827" t="e">
            <v>#N/A</v>
          </cell>
          <cell r="K827" t="e">
            <v>#N/A</v>
          </cell>
          <cell r="L827" t="e">
            <v>#N/A</v>
          </cell>
          <cell r="M827" t="e">
            <v>#N/A</v>
          </cell>
          <cell r="N827" t="e">
            <v>#N/A</v>
          </cell>
          <cell r="O827" t="e">
            <v>#N/A</v>
          </cell>
          <cell r="P827">
            <v>40.4</v>
          </cell>
          <cell r="Q827" t="str">
            <v/>
          </cell>
          <cell r="R827" t="e">
            <v>#N/A</v>
          </cell>
        </row>
        <row r="828">
          <cell r="A828">
            <v>41123</v>
          </cell>
          <cell r="B828">
            <v>41123</v>
          </cell>
          <cell r="C828" t="str">
            <v>Future</v>
          </cell>
          <cell r="D828" t="e">
            <v>#N/A</v>
          </cell>
          <cell r="E828">
            <v>1.5361216730037337</v>
          </cell>
          <cell r="F828">
            <v>63.872243346007096</v>
          </cell>
          <cell r="G828">
            <v>29.914448669201562</v>
          </cell>
          <cell r="H828">
            <v>29.914448669201562</v>
          </cell>
          <cell r="I828" t="e">
            <v>#N/A</v>
          </cell>
          <cell r="J828" t="e">
            <v>#N/A</v>
          </cell>
          <cell r="K828" t="e">
            <v>#N/A</v>
          </cell>
          <cell r="L828" t="e">
            <v>#N/A</v>
          </cell>
          <cell r="M828" t="e">
            <v>#N/A</v>
          </cell>
          <cell r="N828" t="e">
            <v>#N/A</v>
          </cell>
          <cell r="O828" t="e">
            <v>#N/A</v>
          </cell>
          <cell r="P828">
            <v>40.4</v>
          </cell>
          <cell r="Q828" t="str">
            <v/>
          </cell>
          <cell r="R828" t="e">
            <v>#N/A</v>
          </cell>
        </row>
        <row r="829">
          <cell r="A829">
            <v>41124</v>
          </cell>
          <cell r="B829">
            <v>41124</v>
          </cell>
          <cell r="C829" t="str">
            <v>Future</v>
          </cell>
          <cell r="D829" t="e">
            <v>#N/A</v>
          </cell>
          <cell r="E829">
            <v>1.3825095057033534</v>
          </cell>
          <cell r="F829">
            <v>63.965019011406334</v>
          </cell>
          <cell r="G829">
            <v>29.87300380228141</v>
          </cell>
          <cell r="H829">
            <v>29.87300380228141</v>
          </cell>
          <cell r="I829" t="e">
            <v>#N/A</v>
          </cell>
          <cell r="J829" t="e">
            <v>#N/A</v>
          </cell>
          <cell r="K829" t="e">
            <v>#N/A</v>
          </cell>
          <cell r="L829" t="e">
            <v>#N/A</v>
          </cell>
          <cell r="M829" t="e">
            <v>#N/A</v>
          </cell>
          <cell r="N829" t="e">
            <v>#N/A</v>
          </cell>
          <cell r="O829" t="e">
            <v>#N/A</v>
          </cell>
          <cell r="P829">
            <v>40.4</v>
          </cell>
          <cell r="Q829" t="str">
            <v/>
          </cell>
          <cell r="R829" t="e">
            <v>#N/A</v>
          </cell>
        </row>
        <row r="830">
          <cell r="A830">
            <v>41127</v>
          </cell>
          <cell r="B830">
            <v>41127</v>
          </cell>
          <cell r="C830" t="str">
            <v>Future</v>
          </cell>
          <cell r="D830" t="e">
            <v>#N/A</v>
          </cell>
          <cell r="E830">
            <v>1.2288973384029731</v>
          </cell>
          <cell r="F830">
            <v>64.057794676805571</v>
          </cell>
          <cell r="G830">
            <v>29.831558935361258</v>
          </cell>
          <cell r="H830">
            <v>29.831558935361258</v>
          </cell>
          <cell r="I830" t="e">
            <v>#N/A</v>
          </cell>
          <cell r="J830" t="e">
            <v>#N/A</v>
          </cell>
          <cell r="K830" t="e">
            <v>#N/A</v>
          </cell>
          <cell r="L830" t="e">
            <v>#N/A</v>
          </cell>
          <cell r="M830" t="e">
            <v>#N/A</v>
          </cell>
          <cell r="N830" t="e">
            <v>#N/A</v>
          </cell>
          <cell r="O830" t="e">
            <v>#N/A</v>
          </cell>
          <cell r="P830">
            <v>40.4</v>
          </cell>
          <cell r="Q830" t="str">
            <v/>
          </cell>
          <cell r="R830" t="e">
            <v>#N/A</v>
          </cell>
        </row>
        <row r="831">
          <cell r="A831">
            <v>41128</v>
          </cell>
          <cell r="B831">
            <v>41128</v>
          </cell>
          <cell r="C831" t="str">
            <v>Future</v>
          </cell>
          <cell r="D831" t="e">
            <v>#N/A</v>
          </cell>
          <cell r="E831">
            <v>1.0752851711025928</v>
          </cell>
          <cell r="F831">
            <v>64.150570342204816</v>
          </cell>
          <cell r="G831">
            <v>29.790114068441106</v>
          </cell>
          <cell r="H831">
            <v>29.790114068441106</v>
          </cell>
          <cell r="I831" t="e">
            <v>#N/A</v>
          </cell>
          <cell r="J831" t="e">
            <v>#N/A</v>
          </cell>
          <cell r="K831" t="e">
            <v>#N/A</v>
          </cell>
          <cell r="L831" t="e">
            <v>#N/A</v>
          </cell>
          <cell r="M831" t="e">
            <v>#N/A</v>
          </cell>
          <cell r="N831" t="e">
            <v>#N/A</v>
          </cell>
          <cell r="O831" t="e">
            <v>#N/A</v>
          </cell>
          <cell r="P831">
            <v>40.4</v>
          </cell>
          <cell r="Q831" t="str">
            <v/>
          </cell>
          <cell r="R831" t="e">
            <v>#N/A</v>
          </cell>
        </row>
        <row r="832">
          <cell r="A832">
            <v>41129</v>
          </cell>
          <cell r="B832">
            <v>41129</v>
          </cell>
          <cell r="C832" t="str">
            <v>Future</v>
          </cell>
          <cell r="D832" t="e">
            <v>#N/A</v>
          </cell>
          <cell r="E832">
            <v>0.92167300380221262</v>
          </cell>
          <cell r="F832">
            <v>64.24334600760406</v>
          </cell>
          <cell r="G832">
            <v>29.748669201520954</v>
          </cell>
          <cell r="H832">
            <v>29.748669201520954</v>
          </cell>
          <cell r="I832" t="e">
            <v>#N/A</v>
          </cell>
          <cell r="J832" t="e">
            <v>#N/A</v>
          </cell>
          <cell r="K832" t="e">
            <v>#N/A</v>
          </cell>
          <cell r="L832" t="e">
            <v>#N/A</v>
          </cell>
          <cell r="M832" t="e">
            <v>#N/A</v>
          </cell>
          <cell r="N832" t="e">
            <v>#N/A</v>
          </cell>
          <cell r="O832" t="e">
            <v>#N/A</v>
          </cell>
          <cell r="P832">
            <v>40.4</v>
          </cell>
          <cell r="Q832" t="str">
            <v/>
          </cell>
          <cell r="R832" t="e">
            <v>#N/A</v>
          </cell>
        </row>
        <row r="833">
          <cell r="A833">
            <v>41130</v>
          </cell>
          <cell r="B833">
            <v>41130</v>
          </cell>
          <cell r="C833" t="str">
            <v>Future</v>
          </cell>
          <cell r="D833" t="e">
            <v>#N/A</v>
          </cell>
          <cell r="E833">
            <v>0.76806083650183243</v>
          </cell>
          <cell r="F833">
            <v>64.336121673003305</v>
          </cell>
          <cell r="G833">
            <v>29.707224334600802</v>
          </cell>
          <cell r="H833">
            <v>29.707224334600802</v>
          </cell>
          <cell r="I833" t="e">
            <v>#N/A</v>
          </cell>
          <cell r="J833" t="e">
            <v>#N/A</v>
          </cell>
          <cell r="K833" t="e">
            <v>#N/A</v>
          </cell>
          <cell r="L833" t="e">
            <v>#N/A</v>
          </cell>
          <cell r="M833" t="e">
            <v>#N/A</v>
          </cell>
          <cell r="N833" t="e">
            <v>#N/A</v>
          </cell>
          <cell r="O833" t="e">
            <v>#N/A</v>
          </cell>
          <cell r="P833">
            <v>40.4</v>
          </cell>
          <cell r="Q833" t="str">
            <v/>
          </cell>
          <cell r="R833" t="e">
            <v>#N/A</v>
          </cell>
        </row>
        <row r="834">
          <cell r="A834">
            <v>41131</v>
          </cell>
          <cell r="B834">
            <v>41131</v>
          </cell>
          <cell r="C834" t="str">
            <v>Future</v>
          </cell>
          <cell r="D834" t="e">
            <v>#N/A</v>
          </cell>
          <cell r="E834">
            <v>0.61444866920145225</v>
          </cell>
          <cell r="F834">
            <v>64.42889733840255</v>
          </cell>
          <cell r="G834">
            <v>29.66577946768065</v>
          </cell>
          <cell r="H834">
            <v>29.66577946768065</v>
          </cell>
          <cell r="I834" t="e">
            <v>#N/A</v>
          </cell>
          <cell r="J834" t="e">
            <v>#N/A</v>
          </cell>
          <cell r="K834" t="e">
            <v>#N/A</v>
          </cell>
          <cell r="L834" t="e">
            <v>#N/A</v>
          </cell>
          <cell r="M834" t="e">
            <v>#N/A</v>
          </cell>
          <cell r="N834" t="e">
            <v>#N/A</v>
          </cell>
          <cell r="O834" t="e">
            <v>#N/A</v>
          </cell>
          <cell r="P834">
            <v>40.4</v>
          </cell>
          <cell r="Q834" t="str">
            <v/>
          </cell>
          <cell r="R834" t="e">
            <v>#N/A</v>
          </cell>
        </row>
        <row r="835">
          <cell r="A835">
            <v>41134</v>
          </cell>
          <cell r="B835">
            <v>41134</v>
          </cell>
          <cell r="C835" t="str">
            <v>Future</v>
          </cell>
          <cell r="D835" t="e">
            <v>#N/A</v>
          </cell>
          <cell r="E835">
            <v>0.46083650190107206</v>
          </cell>
          <cell r="F835">
            <v>64.521673003801794</v>
          </cell>
          <cell r="G835">
            <v>29.624334600760498</v>
          </cell>
          <cell r="H835">
            <v>29.624334600760498</v>
          </cell>
          <cell r="I835" t="e">
            <v>#N/A</v>
          </cell>
          <cell r="J835" t="e">
            <v>#N/A</v>
          </cell>
          <cell r="K835" t="e">
            <v>#N/A</v>
          </cell>
          <cell r="L835" t="e">
            <v>#N/A</v>
          </cell>
          <cell r="M835" t="e">
            <v>#N/A</v>
          </cell>
          <cell r="N835" t="e">
            <v>#N/A</v>
          </cell>
          <cell r="O835" t="e">
            <v>#N/A</v>
          </cell>
          <cell r="P835">
            <v>40.4</v>
          </cell>
          <cell r="Q835" t="str">
            <v/>
          </cell>
          <cell r="R835" t="e">
            <v>#N/A</v>
          </cell>
        </row>
        <row r="836">
          <cell r="A836">
            <v>41135</v>
          </cell>
          <cell r="B836">
            <v>41135</v>
          </cell>
          <cell r="C836" t="str">
            <v>Future</v>
          </cell>
          <cell r="D836" t="e">
            <v>#N/A</v>
          </cell>
          <cell r="E836">
            <v>0.30722433460069187</v>
          </cell>
          <cell r="F836">
            <v>64.614448669201039</v>
          </cell>
          <cell r="G836">
            <v>29.582889733840346</v>
          </cell>
          <cell r="H836">
            <v>29.582889733840346</v>
          </cell>
          <cell r="I836" t="e">
            <v>#N/A</v>
          </cell>
          <cell r="J836" t="e">
            <v>#N/A</v>
          </cell>
          <cell r="K836" t="e">
            <v>#N/A</v>
          </cell>
          <cell r="L836" t="e">
            <v>#N/A</v>
          </cell>
          <cell r="M836" t="e">
            <v>#N/A</v>
          </cell>
          <cell r="N836" t="e">
            <v>#N/A</v>
          </cell>
          <cell r="O836" t="e">
            <v>#N/A</v>
          </cell>
          <cell r="P836">
            <v>40.4</v>
          </cell>
          <cell r="Q836" t="str">
            <v/>
          </cell>
          <cell r="R836" t="e">
            <v>#N/A</v>
          </cell>
        </row>
        <row r="837">
          <cell r="A837">
            <v>41136</v>
          </cell>
          <cell r="B837">
            <v>41136</v>
          </cell>
          <cell r="C837" t="str">
            <v>Future</v>
          </cell>
          <cell r="D837" t="e">
            <v>#N/A</v>
          </cell>
          <cell r="E837">
            <v>0.15361216730031166</v>
          </cell>
          <cell r="F837">
            <v>64.707224334600284</v>
          </cell>
          <cell r="G837">
            <v>29.541444866920195</v>
          </cell>
          <cell r="H837">
            <v>29.541444866920195</v>
          </cell>
          <cell r="I837" t="e">
            <v>#N/A</v>
          </cell>
          <cell r="J837" t="e">
            <v>#N/A</v>
          </cell>
          <cell r="K837">
            <v>64.799999999999983</v>
          </cell>
          <cell r="L837">
            <v>29.499999999999993</v>
          </cell>
          <cell r="M837" t="e">
            <v>#N/A</v>
          </cell>
          <cell r="N837">
            <v>47.6</v>
          </cell>
          <cell r="O837" t="e">
            <v>#N/A</v>
          </cell>
          <cell r="P837">
            <v>40.4</v>
          </cell>
          <cell r="Q837" t="str">
            <v/>
          </cell>
          <cell r="R837" t="e">
            <v>#N/A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-6.8556271770603416E-14</v>
          </cell>
          <cell r="F838">
            <v>64.799999999999528</v>
          </cell>
          <cell r="G838">
            <v>29.500000000000043</v>
          </cell>
          <cell r="H838">
            <v>29.500000000000043</v>
          </cell>
          <cell r="I838" t="e">
            <v>#N/A</v>
          </cell>
          <cell r="J838" t="e">
            <v>#N/A</v>
          </cell>
          <cell r="K838">
            <v>64.799999999999983</v>
          </cell>
          <cell r="L838">
            <v>29.499999999999993</v>
          </cell>
          <cell r="M838" t="e">
            <v>#N/A</v>
          </cell>
          <cell r="N838">
            <v>47.6</v>
          </cell>
          <cell r="O838" t="e">
            <v>#N/A</v>
          </cell>
          <cell r="P838" t="str">
            <v/>
          </cell>
          <cell r="Q838" t="str">
            <v/>
          </cell>
          <cell r="R838" t="e">
            <v>#N/A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-0.15361216730044877</v>
          </cell>
          <cell r="F839">
            <v>64.892775665398773</v>
          </cell>
          <cell r="G839">
            <v>29.458555133079891</v>
          </cell>
          <cell r="H839">
            <v>29.458555133079891</v>
          </cell>
          <cell r="I839" t="e">
            <v>#N/A</v>
          </cell>
          <cell r="J839" t="e">
            <v>#N/A</v>
          </cell>
          <cell r="K839">
            <v>64.799999999999983</v>
          </cell>
          <cell r="L839">
            <v>29.499999999999993</v>
          </cell>
          <cell r="M839" t="e">
            <v>#N/A</v>
          </cell>
          <cell r="N839">
            <v>47.6</v>
          </cell>
          <cell r="O839" t="e">
            <v>#N/A</v>
          </cell>
          <cell r="P839" t="str">
            <v/>
          </cell>
          <cell r="Q839" t="str">
            <v/>
          </cell>
          <cell r="R839" t="e">
            <v>#N/A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-0.30722433460082899</v>
          </cell>
          <cell r="F840">
            <v>64.985551330798017</v>
          </cell>
          <cell r="G840">
            <v>29.417110266159739</v>
          </cell>
          <cell r="H840">
            <v>29.417110266159739</v>
          </cell>
          <cell r="I840" t="e">
            <v>#N/A</v>
          </cell>
          <cell r="J840" t="e">
            <v>#N/A</v>
          </cell>
          <cell r="K840">
            <v>64.799999999999983</v>
          </cell>
          <cell r="L840">
            <v>29.499999999999993</v>
          </cell>
          <cell r="M840" t="e">
            <v>#N/A</v>
          </cell>
          <cell r="N840">
            <v>47.6</v>
          </cell>
          <cell r="O840" t="e">
            <v>#N/A</v>
          </cell>
          <cell r="P840" t="str">
            <v/>
          </cell>
          <cell r="Q840" t="str">
            <v/>
          </cell>
          <cell r="R840" t="e">
            <v>#N/A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-0.46083650190120917</v>
          </cell>
          <cell r="F841">
            <v>65.078326996197262</v>
          </cell>
          <cell r="G841">
            <v>29.375665399239587</v>
          </cell>
          <cell r="H841">
            <v>29.375665399239587</v>
          </cell>
          <cell r="I841" t="e">
            <v>#N/A</v>
          </cell>
          <cell r="J841" t="e">
            <v>#N/A</v>
          </cell>
          <cell r="K841">
            <v>64.799999999999983</v>
          </cell>
          <cell r="L841">
            <v>29.499999999999993</v>
          </cell>
          <cell r="M841" t="e">
            <v>#N/A</v>
          </cell>
          <cell r="N841">
            <v>47.6</v>
          </cell>
          <cell r="O841" t="e">
            <v>#N/A</v>
          </cell>
          <cell r="P841" t="str">
            <v/>
          </cell>
          <cell r="Q841" t="str">
            <v/>
          </cell>
          <cell r="R841" t="e">
            <v>#N/A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-0.61444866920158936</v>
          </cell>
          <cell r="F842">
            <v>65.171102661596507</v>
          </cell>
          <cell r="G842">
            <v>29.334220532319435</v>
          </cell>
          <cell r="H842">
            <v>29.334220532319435</v>
          </cell>
          <cell r="I842" t="e">
            <v>#N/A</v>
          </cell>
          <cell r="J842" t="e">
            <v>#N/A</v>
          </cell>
          <cell r="K842">
            <v>64.799999999999983</v>
          </cell>
          <cell r="L842">
            <v>29.499999999999993</v>
          </cell>
          <cell r="M842" t="e">
            <v>#N/A</v>
          </cell>
          <cell r="N842">
            <v>47.6</v>
          </cell>
          <cell r="O842" t="e">
            <v>#N/A</v>
          </cell>
          <cell r="P842" t="str">
            <v/>
          </cell>
          <cell r="Q842" t="str">
            <v/>
          </cell>
          <cell r="R842" t="e">
            <v>#N/A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-0.76806083650196955</v>
          </cell>
          <cell r="F843">
            <v>65.263878326995751</v>
          </cell>
          <cell r="G843">
            <v>29.292775665399283</v>
          </cell>
          <cell r="H843">
            <v>29.292775665399283</v>
          </cell>
          <cell r="I843" t="e">
            <v>#N/A</v>
          </cell>
          <cell r="J843" t="e">
            <v>#N/A</v>
          </cell>
          <cell r="K843">
            <v>64.799999999999983</v>
          </cell>
          <cell r="L843">
            <v>29.499999999999993</v>
          </cell>
          <cell r="M843" t="e">
            <v>#N/A</v>
          </cell>
          <cell r="N843">
            <v>47.6</v>
          </cell>
          <cell r="O843" t="e">
            <v>#N/A</v>
          </cell>
          <cell r="P843" t="str">
            <v/>
          </cell>
          <cell r="Q843" t="str">
            <v/>
          </cell>
          <cell r="R843" t="e">
            <v>#N/A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-0.92167300380234973</v>
          </cell>
          <cell r="F844">
            <v>65.356653992394996</v>
          </cell>
          <cell r="G844">
            <v>29.251330798479131</v>
          </cell>
          <cell r="H844">
            <v>29.251330798479131</v>
          </cell>
          <cell r="I844" t="e">
            <v>#N/A</v>
          </cell>
          <cell r="J844" t="e">
            <v>#N/A</v>
          </cell>
          <cell r="K844">
            <v>64.799999999999983</v>
          </cell>
          <cell r="L844">
            <v>29.499999999999993</v>
          </cell>
          <cell r="M844" t="e">
            <v>#N/A</v>
          </cell>
          <cell r="N844">
            <v>47.6</v>
          </cell>
          <cell r="O844" t="e">
            <v>#N/A</v>
          </cell>
          <cell r="P844" t="str">
            <v/>
          </cell>
          <cell r="Q844" t="str">
            <v/>
          </cell>
          <cell r="R844" t="e">
            <v>#N/A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-1.07528517110273</v>
          </cell>
          <cell r="F845">
            <v>65.449429657794241</v>
          </cell>
          <cell r="G845">
            <v>29.209885931558979</v>
          </cell>
          <cell r="H845">
            <v>29.209885931558979</v>
          </cell>
          <cell r="I845" t="e">
            <v>#N/A</v>
          </cell>
          <cell r="J845" t="e">
            <v>#N/A</v>
          </cell>
          <cell r="K845">
            <v>64.799999999999983</v>
          </cell>
          <cell r="L845">
            <v>29.499999999999993</v>
          </cell>
          <cell r="M845" t="e">
            <v>#N/A</v>
          </cell>
          <cell r="N845">
            <v>47.6</v>
          </cell>
          <cell r="O845" t="e">
            <v>#N/A</v>
          </cell>
          <cell r="P845" t="str">
            <v/>
          </cell>
          <cell r="Q845" t="str">
            <v/>
          </cell>
          <cell r="R845" t="e">
            <v>#N/A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-1.2288973384031103</v>
          </cell>
          <cell r="F846">
            <v>65.542205323193485</v>
          </cell>
          <cell r="G846">
            <v>29.168441064638827</v>
          </cell>
          <cell r="H846">
            <v>29.168441064638827</v>
          </cell>
          <cell r="I846" t="e">
            <v>#N/A</v>
          </cell>
          <cell r="J846" t="e">
            <v>#N/A</v>
          </cell>
          <cell r="K846">
            <v>64.799999999999983</v>
          </cell>
          <cell r="L846">
            <v>29.499999999999993</v>
          </cell>
          <cell r="M846" t="e">
            <v>#N/A</v>
          </cell>
          <cell r="N846">
            <v>47.6</v>
          </cell>
          <cell r="O846" t="e">
            <v>#N/A</v>
          </cell>
          <cell r="P846" t="str">
            <v/>
          </cell>
          <cell r="Q846" t="str">
            <v/>
          </cell>
          <cell r="R846" t="e">
            <v>#N/A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-1.3825095057034906</v>
          </cell>
          <cell r="F847">
            <v>65.63498098859273</v>
          </cell>
          <cell r="G847">
            <v>29.126996197718675</v>
          </cell>
          <cell r="H847">
            <v>29.126996197718675</v>
          </cell>
          <cell r="I847" t="e">
            <v>#N/A</v>
          </cell>
          <cell r="J847" t="e">
            <v>#N/A</v>
          </cell>
          <cell r="K847">
            <v>64.799999999999983</v>
          </cell>
          <cell r="L847">
            <v>29.499999999999993</v>
          </cell>
          <cell r="M847" t="e">
            <v>#N/A</v>
          </cell>
          <cell r="N847">
            <v>47.6</v>
          </cell>
          <cell r="O847" t="e">
            <v>#N/A</v>
          </cell>
          <cell r="P847" t="str">
            <v/>
          </cell>
          <cell r="Q847" t="str">
            <v/>
          </cell>
          <cell r="R847" t="e">
            <v>#N/A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-1.5361216730038709</v>
          </cell>
          <cell r="F848">
            <v>65.727756653991975</v>
          </cell>
          <cell r="G848">
            <v>29.085551330798523</v>
          </cell>
          <cell r="H848">
            <v>29.085551330798523</v>
          </cell>
          <cell r="I848" t="e">
            <v>#N/A</v>
          </cell>
          <cell r="J848" t="e">
            <v>#N/A</v>
          </cell>
          <cell r="K848">
            <v>64.799999999999983</v>
          </cell>
          <cell r="L848">
            <v>29.499999999999993</v>
          </cell>
          <cell r="M848" t="e">
            <v>#N/A</v>
          </cell>
          <cell r="N848">
            <v>47.6</v>
          </cell>
          <cell r="O848" t="e">
            <v>#N/A</v>
          </cell>
          <cell r="P848" t="str">
            <v/>
          </cell>
          <cell r="Q848" t="str">
            <v/>
          </cell>
          <cell r="R848" t="e">
            <v>#N/A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-1.6897338403042512</v>
          </cell>
          <cell r="F849">
            <v>65.820532319391219</v>
          </cell>
          <cell r="G849">
            <v>29.044106463878371</v>
          </cell>
          <cell r="H849">
            <v>29.044106463878371</v>
          </cell>
          <cell r="I849" t="e">
            <v>#N/A</v>
          </cell>
          <cell r="J849" t="e">
            <v>#N/A</v>
          </cell>
          <cell r="K849">
            <v>64.799999999999983</v>
          </cell>
          <cell r="L849">
            <v>29.499999999999993</v>
          </cell>
          <cell r="M849" t="e">
            <v>#N/A</v>
          </cell>
          <cell r="N849">
            <v>47.6</v>
          </cell>
          <cell r="O849" t="e">
            <v>#N/A</v>
          </cell>
          <cell r="P849" t="str">
            <v/>
          </cell>
          <cell r="Q849" t="str">
            <v/>
          </cell>
          <cell r="R849" t="e">
            <v>#N/A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-1.8433460076046315</v>
          </cell>
          <cell r="F850">
            <v>65.913307984790464</v>
          </cell>
          <cell r="G850">
            <v>29.00266159695822</v>
          </cell>
          <cell r="H850">
            <v>29.00266159695822</v>
          </cell>
          <cell r="I850" t="e">
            <v>#N/A</v>
          </cell>
          <cell r="J850" t="e">
            <v>#N/A</v>
          </cell>
          <cell r="K850">
            <v>64.799999999999983</v>
          </cell>
          <cell r="L850">
            <v>29.499999999999993</v>
          </cell>
          <cell r="M850" t="e">
            <v>#N/A</v>
          </cell>
          <cell r="N850">
            <v>47.6</v>
          </cell>
          <cell r="O850" t="e">
            <v>#N/A</v>
          </cell>
          <cell r="P850" t="str">
            <v/>
          </cell>
          <cell r="Q850" t="str">
            <v/>
          </cell>
          <cell r="R850" t="e">
            <v>#N/A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-1.9969581749050118</v>
          </cell>
          <cell r="F851">
            <v>66.006083650189709</v>
          </cell>
          <cell r="G851">
            <v>28.961216730038068</v>
          </cell>
          <cell r="H851">
            <v>28.961216730038068</v>
          </cell>
          <cell r="I851" t="e">
            <v>#N/A</v>
          </cell>
          <cell r="J851" t="e">
            <v>#N/A</v>
          </cell>
          <cell r="K851">
            <v>64.799999999999983</v>
          </cell>
          <cell r="L851">
            <v>29.499999999999993</v>
          </cell>
          <cell r="M851" t="e">
            <v>#N/A</v>
          </cell>
          <cell r="N851">
            <v>47.6</v>
          </cell>
          <cell r="O851" t="e">
            <v>#N/A</v>
          </cell>
          <cell r="P851" t="str">
            <v/>
          </cell>
          <cell r="Q851" t="str">
            <v/>
          </cell>
          <cell r="R851" t="e">
            <v>#N/A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-2.1505703422053921</v>
          </cell>
          <cell r="F852">
            <v>66.098859315588953</v>
          </cell>
          <cell r="G852">
            <v>28.919771863117916</v>
          </cell>
          <cell r="H852">
            <v>28.919771863117916</v>
          </cell>
          <cell r="I852" t="e">
            <v>#N/A</v>
          </cell>
          <cell r="J852" t="e">
            <v>#N/A</v>
          </cell>
          <cell r="K852">
            <v>64.799999999999983</v>
          </cell>
          <cell r="L852">
            <v>29.499999999999993</v>
          </cell>
          <cell r="M852" t="e">
            <v>#N/A</v>
          </cell>
          <cell r="N852">
            <v>47.6</v>
          </cell>
          <cell r="O852" t="e">
            <v>#N/A</v>
          </cell>
          <cell r="P852" t="str">
            <v/>
          </cell>
          <cell r="Q852" t="str">
            <v/>
          </cell>
          <cell r="R852" t="e">
            <v>#N/A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-2.3041825095057722</v>
          </cell>
          <cell r="F853">
            <v>66.191634980988198</v>
          </cell>
          <cell r="G853">
            <v>28.878326996197764</v>
          </cell>
          <cell r="H853">
            <v>28.878326996197764</v>
          </cell>
          <cell r="I853" t="e">
            <v>#N/A</v>
          </cell>
          <cell r="J853" t="e">
            <v>#N/A</v>
          </cell>
          <cell r="K853">
            <v>64.799999999999983</v>
          </cell>
          <cell r="L853">
            <v>29.499999999999993</v>
          </cell>
          <cell r="M853" t="e">
            <v>#N/A</v>
          </cell>
          <cell r="N853">
            <v>47.6</v>
          </cell>
          <cell r="O853" t="e">
            <v>#N/A</v>
          </cell>
          <cell r="P853" t="str">
            <v/>
          </cell>
          <cell r="Q853" t="str">
            <v/>
          </cell>
          <cell r="R853" t="e">
            <v>#N/A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-2.4577946768061523</v>
          </cell>
          <cell r="F854">
            <v>66.284410646387443</v>
          </cell>
          <cell r="G854">
            <v>28.836882129277612</v>
          </cell>
          <cell r="H854">
            <v>28.836882129277612</v>
          </cell>
          <cell r="I854" t="e">
            <v>#N/A</v>
          </cell>
          <cell r="J854" t="e">
            <v>#N/A</v>
          </cell>
          <cell r="K854">
            <v>64.799999999999983</v>
          </cell>
          <cell r="L854">
            <v>29.499999999999993</v>
          </cell>
          <cell r="M854" t="e">
            <v>#N/A</v>
          </cell>
          <cell r="N854">
            <v>47.6</v>
          </cell>
          <cell r="O854" t="e">
            <v>#N/A</v>
          </cell>
          <cell r="P854" t="str">
            <v/>
          </cell>
          <cell r="Q854" t="str">
            <v/>
          </cell>
          <cell r="R854" t="e">
            <v>#N/A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-2.6114068441065323</v>
          </cell>
          <cell r="F855">
            <v>66.377186311786687</v>
          </cell>
          <cell r="G855">
            <v>28.79543726235746</v>
          </cell>
          <cell r="H855">
            <v>28.79543726235746</v>
          </cell>
          <cell r="I855" t="e">
            <v>#N/A</v>
          </cell>
          <cell r="J855" t="e">
            <v>#N/A</v>
          </cell>
          <cell r="K855">
            <v>64.799999999999983</v>
          </cell>
          <cell r="L855">
            <v>29.499999999999993</v>
          </cell>
          <cell r="M855" t="e">
            <v>#N/A</v>
          </cell>
          <cell r="N855">
            <v>47.6</v>
          </cell>
          <cell r="O855" t="e">
            <v>#N/A</v>
          </cell>
          <cell r="P855" t="str">
            <v/>
          </cell>
          <cell r="Q855" t="str">
            <v/>
          </cell>
          <cell r="R855" t="e">
            <v>#N/A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-2.7650190114069124</v>
          </cell>
          <cell r="F856">
            <v>66.469961977185932</v>
          </cell>
          <cell r="G856">
            <v>28.753992395437308</v>
          </cell>
          <cell r="H856">
            <v>28.753992395437308</v>
          </cell>
          <cell r="I856" t="e">
            <v>#N/A</v>
          </cell>
          <cell r="J856" t="e">
            <v>#N/A</v>
          </cell>
          <cell r="K856">
            <v>64.799999999999983</v>
          </cell>
          <cell r="L856">
            <v>29.499999999999993</v>
          </cell>
          <cell r="M856" t="e">
            <v>#N/A</v>
          </cell>
          <cell r="N856">
            <v>47.6</v>
          </cell>
          <cell r="O856" t="e">
            <v>#N/A</v>
          </cell>
          <cell r="P856" t="str">
            <v/>
          </cell>
          <cell r="Q856" t="str">
            <v/>
          </cell>
          <cell r="R856" t="e">
            <v>#N/A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-2.9186311787072925</v>
          </cell>
          <cell r="F857">
            <v>66.562737642585176</v>
          </cell>
          <cell r="G857">
            <v>28.712547528517156</v>
          </cell>
          <cell r="H857">
            <v>28.712547528517156</v>
          </cell>
          <cell r="I857" t="e">
            <v>#N/A</v>
          </cell>
          <cell r="J857" t="e">
            <v>#N/A</v>
          </cell>
          <cell r="K857">
            <v>64.799999999999983</v>
          </cell>
          <cell r="L857">
            <v>29.499999999999993</v>
          </cell>
          <cell r="M857" t="e">
            <v>#N/A</v>
          </cell>
          <cell r="N857">
            <v>47.6</v>
          </cell>
          <cell r="O857" t="e">
            <v>#N/A</v>
          </cell>
          <cell r="P857" t="str">
            <v/>
          </cell>
          <cell r="Q857" t="str">
            <v/>
          </cell>
          <cell r="R857" t="e">
            <v>#N/A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-3.0722433460076726</v>
          </cell>
          <cell r="F858">
            <v>66.655513307984421</v>
          </cell>
          <cell r="G858">
            <v>28.671102661597004</v>
          </cell>
          <cell r="H858">
            <v>28.671102661597004</v>
          </cell>
          <cell r="I858" t="e">
            <v>#N/A</v>
          </cell>
          <cell r="J858" t="e">
            <v>#N/A</v>
          </cell>
          <cell r="K858">
            <v>64.799999999999983</v>
          </cell>
          <cell r="L858">
            <v>29.499999999999993</v>
          </cell>
          <cell r="M858" t="e">
            <v>#N/A</v>
          </cell>
          <cell r="N858">
            <v>47.6</v>
          </cell>
          <cell r="O858" t="e">
            <v>#N/A</v>
          </cell>
          <cell r="P858" t="str">
            <v/>
          </cell>
          <cell r="Q858" t="str">
            <v/>
          </cell>
          <cell r="R858" t="e">
            <v>#N/A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-3.2258555133080526</v>
          </cell>
          <cell r="F859">
            <v>66.748288973383666</v>
          </cell>
          <cell r="G859">
            <v>28.629657794676852</v>
          </cell>
          <cell r="H859">
            <v>28.629657794676852</v>
          </cell>
          <cell r="I859" t="e">
            <v>#N/A</v>
          </cell>
          <cell r="J859" t="e">
            <v>#N/A</v>
          </cell>
          <cell r="K859">
            <v>64.799999999999983</v>
          </cell>
          <cell r="L859">
            <v>29.499999999999993</v>
          </cell>
          <cell r="M859" t="e">
            <v>#N/A</v>
          </cell>
          <cell r="N859">
            <v>47.6</v>
          </cell>
          <cell r="O859" t="e">
            <v>#N/A</v>
          </cell>
          <cell r="P859" t="str">
            <v/>
          </cell>
          <cell r="Q859" t="str">
            <v/>
          </cell>
          <cell r="R859" t="e">
            <v>#N/A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-3.3794676806084327</v>
          </cell>
          <cell r="F860">
            <v>66.84106463878291</v>
          </cell>
          <cell r="G860">
            <v>28.5882129277567</v>
          </cell>
          <cell r="H860">
            <v>28.5882129277567</v>
          </cell>
          <cell r="I860" t="e">
            <v>#N/A</v>
          </cell>
          <cell r="J860" t="e">
            <v>#N/A</v>
          </cell>
          <cell r="K860">
            <v>64.799999999999983</v>
          </cell>
          <cell r="L860">
            <v>29.499999999999993</v>
          </cell>
          <cell r="M860" t="e">
            <v>#N/A</v>
          </cell>
          <cell r="N860">
            <v>47.6</v>
          </cell>
          <cell r="O860" t="e">
            <v>#N/A</v>
          </cell>
          <cell r="P860" t="str">
            <v/>
          </cell>
          <cell r="Q860" t="str">
            <v/>
          </cell>
          <cell r="R860" t="e">
            <v>#N/A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-3.5330798479088128</v>
          </cell>
          <cell r="F861">
            <v>66.933840304182155</v>
          </cell>
          <cell r="G861">
            <v>28.546768060836548</v>
          </cell>
          <cell r="H861">
            <v>28.546768060836548</v>
          </cell>
          <cell r="I861" t="e">
            <v>#N/A</v>
          </cell>
          <cell r="J861" t="e">
            <v>#N/A</v>
          </cell>
          <cell r="K861">
            <v>64.799999999999983</v>
          </cell>
          <cell r="L861">
            <v>29.499999999999993</v>
          </cell>
          <cell r="M861" t="e">
            <v>#N/A</v>
          </cell>
          <cell r="N861">
            <v>47.6</v>
          </cell>
          <cell r="O861" t="e">
            <v>#N/A</v>
          </cell>
          <cell r="P861" t="str">
            <v/>
          </cell>
          <cell r="Q861" t="str">
            <v/>
          </cell>
          <cell r="R861" t="e">
            <v>#N/A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-3.6866920152091929</v>
          </cell>
          <cell r="F862">
            <v>67.0266159695814</v>
          </cell>
          <cell r="G862">
            <v>28.505323193916396</v>
          </cell>
          <cell r="H862">
            <v>28.505323193916396</v>
          </cell>
          <cell r="I862" t="e">
            <v>#N/A</v>
          </cell>
          <cell r="J862" t="e">
            <v>#N/A</v>
          </cell>
          <cell r="K862">
            <v>64.799999999999983</v>
          </cell>
          <cell r="L862">
            <v>29.499999999999993</v>
          </cell>
          <cell r="M862" t="e">
            <v>#N/A</v>
          </cell>
          <cell r="N862">
            <v>47.6</v>
          </cell>
          <cell r="O862" t="e">
            <v>#N/A</v>
          </cell>
          <cell r="P862" t="str">
            <v/>
          </cell>
          <cell r="Q862" t="str">
            <v/>
          </cell>
          <cell r="R862" t="e">
            <v>#N/A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-3.840304182509573</v>
          </cell>
          <cell r="F863">
            <v>67.119391634980644</v>
          </cell>
          <cell r="G863">
            <v>28.463878326996245</v>
          </cell>
          <cell r="H863">
            <v>28.463878326996245</v>
          </cell>
          <cell r="I863" t="e">
            <v>#N/A</v>
          </cell>
          <cell r="J863" t="e">
            <v>#N/A</v>
          </cell>
          <cell r="K863">
            <v>64.799999999999983</v>
          </cell>
          <cell r="L863">
            <v>29.499999999999993</v>
          </cell>
          <cell r="M863" t="e">
            <v>#N/A</v>
          </cell>
          <cell r="N863">
            <v>47.6</v>
          </cell>
          <cell r="O863" t="e">
            <v>#N/A</v>
          </cell>
          <cell r="P863" t="str">
            <v/>
          </cell>
          <cell r="Q863" t="str">
            <v/>
          </cell>
          <cell r="R863" t="e">
            <v>#N/A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-3.993916349809953</v>
          </cell>
          <cell r="F864">
            <v>67.212167300379889</v>
          </cell>
          <cell r="G864">
            <v>28.422433460076093</v>
          </cell>
          <cell r="H864">
            <v>28.422433460076093</v>
          </cell>
          <cell r="I864" t="e">
            <v>#N/A</v>
          </cell>
          <cell r="J864" t="e">
            <v>#N/A</v>
          </cell>
          <cell r="K864">
            <v>64.799999999999983</v>
          </cell>
          <cell r="L864">
            <v>29.499999999999993</v>
          </cell>
          <cell r="M864" t="e">
            <v>#N/A</v>
          </cell>
          <cell r="N864">
            <v>47.6</v>
          </cell>
          <cell r="O864" t="e">
            <v>#N/A</v>
          </cell>
          <cell r="P864" t="str">
            <v/>
          </cell>
          <cell r="Q864" t="str">
            <v/>
          </cell>
          <cell r="R864" t="e">
            <v>#N/A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-4.1475285171103335</v>
          </cell>
          <cell r="F865">
            <v>67.304942965779134</v>
          </cell>
          <cell r="G865">
            <v>28.380988593155941</v>
          </cell>
          <cell r="H865">
            <v>28.380988593155941</v>
          </cell>
          <cell r="I865" t="e">
            <v>#N/A</v>
          </cell>
          <cell r="J865" t="e">
            <v>#N/A</v>
          </cell>
          <cell r="K865">
            <v>64.799999999999983</v>
          </cell>
          <cell r="L865">
            <v>29.499999999999993</v>
          </cell>
          <cell r="M865" t="e">
            <v>#N/A</v>
          </cell>
          <cell r="N865">
            <v>47.6</v>
          </cell>
          <cell r="O865" t="e">
            <v>#N/A</v>
          </cell>
          <cell r="P865" t="str">
            <v/>
          </cell>
          <cell r="Q865" t="str">
            <v/>
          </cell>
          <cell r="R865" t="e">
            <v>#N/A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-4.3011406844107141</v>
          </cell>
          <cell r="F866">
            <v>67.397718631178378</v>
          </cell>
          <cell r="G866">
            <v>28.339543726235789</v>
          </cell>
          <cell r="H866">
            <v>28.339543726235789</v>
          </cell>
          <cell r="I866" t="e">
            <v>#N/A</v>
          </cell>
          <cell r="J866" t="e">
            <v>#N/A</v>
          </cell>
          <cell r="K866">
            <v>64.799999999999983</v>
          </cell>
          <cell r="L866">
            <v>29.499999999999993</v>
          </cell>
          <cell r="M866" t="e">
            <v>#N/A</v>
          </cell>
          <cell r="N866">
            <v>47.6</v>
          </cell>
          <cell r="O866" t="e">
            <v>#N/A</v>
          </cell>
          <cell r="P866" t="str">
            <v/>
          </cell>
          <cell r="Q866" t="str">
            <v/>
          </cell>
          <cell r="R866" t="e">
            <v>#N/A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-4.4547528517110946</v>
          </cell>
          <cell r="F867">
            <v>67.490494296577623</v>
          </cell>
          <cell r="G867">
            <v>28.298098859315637</v>
          </cell>
          <cell r="H867">
            <v>28.298098859315637</v>
          </cell>
          <cell r="I867" t="e">
            <v>#N/A</v>
          </cell>
          <cell r="J867" t="e">
            <v>#N/A</v>
          </cell>
          <cell r="K867">
            <v>64.799999999999983</v>
          </cell>
          <cell r="L867">
            <v>29.499999999999993</v>
          </cell>
          <cell r="M867" t="e">
            <v>#N/A</v>
          </cell>
          <cell r="N867">
            <v>47.6</v>
          </cell>
          <cell r="O867" t="e">
            <v>#N/A</v>
          </cell>
          <cell r="P867" t="str">
            <v/>
          </cell>
          <cell r="Q867" t="str">
            <v/>
          </cell>
          <cell r="R867" t="e">
            <v>#N/A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-4.6083650190114751</v>
          </cell>
          <cell r="F868">
            <v>67.583269961976868</v>
          </cell>
          <cell r="G868">
            <v>28.256653992395485</v>
          </cell>
          <cell r="H868">
            <v>28.256653992395485</v>
          </cell>
          <cell r="I868" t="e">
            <v>#N/A</v>
          </cell>
          <cell r="J868" t="e">
            <v>#N/A</v>
          </cell>
          <cell r="K868">
            <v>64.799999999999983</v>
          </cell>
          <cell r="L868">
            <v>29.499999999999993</v>
          </cell>
          <cell r="M868" t="e">
            <v>#N/A</v>
          </cell>
          <cell r="N868">
            <v>47.6</v>
          </cell>
          <cell r="O868" t="e">
            <v>#N/A</v>
          </cell>
          <cell r="P868" t="str">
            <v/>
          </cell>
          <cell r="Q868" t="str">
            <v/>
          </cell>
          <cell r="R868" t="e">
            <v>#N/A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-4.7619771863118556</v>
          </cell>
          <cell r="F869">
            <v>67.676045627376112</v>
          </cell>
          <cell r="G869">
            <v>28.215209125475333</v>
          </cell>
          <cell r="H869">
            <v>28.215209125475333</v>
          </cell>
          <cell r="I869" t="e">
            <v>#N/A</v>
          </cell>
          <cell r="J869" t="e">
            <v>#N/A</v>
          </cell>
          <cell r="K869">
            <v>64.799999999999983</v>
          </cell>
          <cell r="L869">
            <v>29.499999999999993</v>
          </cell>
          <cell r="M869" t="e">
            <v>#N/A</v>
          </cell>
          <cell r="N869">
            <v>47.6</v>
          </cell>
          <cell r="O869" t="e">
            <v>#N/A</v>
          </cell>
          <cell r="P869" t="str">
            <v/>
          </cell>
          <cell r="Q869" t="str">
            <v/>
          </cell>
          <cell r="R869" t="e">
            <v>#N/A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-4.9155893536122361</v>
          </cell>
          <cell r="F870">
            <v>67.768821292775357</v>
          </cell>
          <cell r="G870">
            <v>28.173764258555181</v>
          </cell>
          <cell r="H870">
            <v>28.173764258555181</v>
          </cell>
          <cell r="I870" t="e">
            <v>#N/A</v>
          </cell>
          <cell r="J870" t="e">
            <v>#N/A</v>
          </cell>
          <cell r="K870">
            <v>64.799999999999983</v>
          </cell>
          <cell r="L870">
            <v>29.499999999999993</v>
          </cell>
          <cell r="M870" t="e">
            <v>#N/A</v>
          </cell>
          <cell r="N870">
            <v>47.6</v>
          </cell>
          <cell r="O870" t="e">
            <v>#N/A</v>
          </cell>
          <cell r="P870" t="str">
            <v/>
          </cell>
          <cell r="Q870" t="str">
            <v/>
          </cell>
          <cell r="R870" t="e">
            <v>#N/A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-5.0692015209126167</v>
          </cell>
          <cell r="F871">
            <v>67.861596958174601</v>
          </cell>
          <cell r="G871">
            <v>28.132319391635029</v>
          </cell>
          <cell r="H871">
            <v>28.132319391635029</v>
          </cell>
          <cell r="I871" t="e">
            <v>#N/A</v>
          </cell>
          <cell r="J871" t="e">
            <v>#N/A</v>
          </cell>
          <cell r="K871">
            <v>64.799999999999983</v>
          </cell>
          <cell r="L871">
            <v>29.499999999999993</v>
          </cell>
          <cell r="M871" t="e">
            <v>#N/A</v>
          </cell>
          <cell r="N871">
            <v>47.6</v>
          </cell>
          <cell r="O871" t="e">
            <v>#N/A</v>
          </cell>
          <cell r="P871" t="str">
            <v/>
          </cell>
          <cell r="Q871" t="str">
            <v/>
          </cell>
          <cell r="R871" t="e">
            <v>#N/A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-5.2228136882129972</v>
          </cell>
          <cell r="F872">
            <v>67.954372623573846</v>
          </cell>
          <cell r="G872">
            <v>28.090874524714877</v>
          </cell>
          <cell r="H872">
            <v>28.090874524714877</v>
          </cell>
          <cell r="I872" t="e">
            <v>#N/A</v>
          </cell>
          <cell r="J872" t="e">
            <v>#N/A</v>
          </cell>
          <cell r="K872">
            <v>64.799999999999983</v>
          </cell>
          <cell r="L872">
            <v>29.499999999999993</v>
          </cell>
          <cell r="M872" t="e">
            <v>#N/A</v>
          </cell>
          <cell r="N872">
            <v>47.6</v>
          </cell>
          <cell r="O872" t="e">
            <v>#N/A</v>
          </cell>
          <cell r="P872" t="str">
            <v/>
          </cell>
          <cell r="Q872" t="str">
            <v/>
          </cell>
          <cell r="R872" t="e">
            <v>#N/A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-5.3764258555133777</v>
          </cell>
          <cell r="F873">
            <v>68.047148288973091</v>
          </cell>
          <cell r="G873">
            <v>28.049429657794725</v>
          </cell>
          <cell r="H873">
            <v>28.049429657794725</v>
          </cell>
          <cell r="I873" t="e">
            <v>#N/A</v>
          </cell>
          <cell r="J873" t="e">
            <v>#N/A</v>
          </cell>
          <cell r="K873">
            <v>64.799999999999983</v>
          </cell>
          <cell r="L873">
            <v>29.499999999999993</v>
          </cell>
          <cell r="M873" t="e">
            <v>#N/A</v>
          </cell>
          <cell r="N873">
            <v>47.6</v>
          </cell>
          <cell r="O873" t="e">
            <v>#N/A</v>
          </cell>
          <cell r="P873" t="str">
            <v/>
          </cell>
          <cell r="Q873" t="str">
            <v/>
          </cell>
          <cell r="R873" t="e">
            <v>#N/A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-5.5300380228137582</v>
          </cell>
          <cell r="F874">
            <v>68.139923954372335</v>
          </cell>
          <cell r="G874">
            <v>28.007984790874573</v>
          </cell>
          <cell r="H874">
            <v>28.007984790874573</v>
          </cell>
          <cell r="I874" t="e">
            <v>#N/A</v>
          </cell>
          <cell r="J874" t="e">
            <v>#N/A</v>
          </cell>
          <cell r="K874">
            <v>64.799999999999983</v>
          </cell>
          <cell r="L874">
            <v>29.499999999999993</v>
          </cell>
          <cell r="M874" t="e">
            <v>#N/A</v>
          </cell>
          <cell r="N874">
            <v>47.6</v>
          </cell>
          <cell r="O874" t="e">
            <v>#N/A</v>
          </cell>
          <cell r="P874" t="str">
            <v/>
          </cell>
          <cell r="Q874" t="str">
            <v/>
          </cell>
          <cell r="R874" t="e">
            <v>#N/A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-5.6836501901141387</v>
          </cell>
          <cell r="F875">
            <v>68.23269961977158</v>
          </cell>
          <cell r="G875">
            <v>27.966539923954421</v>
          </cell>
          <cell r="H875">
            <v>27.966539923954421</v>
          </cell>
          <cell r="I875" t="e">
            <v>#N/A</v>
          </cell>
          <cell r="J875" t="e">
            <v>#N/A</v>
          </cell>
          <cell r="K875">
            <v>64.799999999999983</v>
          </cell>
          <cell r="L875">
            <v>29.499999999999993</v>
          </cell>
          <cell r="M875" t="e">
            <v>#N/A</v>
          </cell>
          <cell r="N875">
            <v>47.6</v>
          </cell>
          <cell r="O875" t="e">
            <v>#N/A</v>
          </cell>
          <cell r="P875" t="str">
            <v/>
          </cell>
          <cell r="Q875" t="str">
            <v/>
          </cell>
          <cell r="R875" t="e">
            <v>#N/A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-5.8372623574145193</v>
          </cell>
          <cell r="F876">
            <v>68.325475285170825</v>
          </cell>
          <cell r="G876">
            <v>27.92509505703427</v>
          </cell>
          <cell r="H876">
            <v>27.92509505703427</v>
          </cell>
          <cell r="I876" t="e">
            <v>#N/A</v>
          </cell>
          <cell r="J876" t="e">
            <v>#N/A</v>
          </cell>
          <cell r="K876">
            <v>64.799999999999983</v>
          </cell>
          <cell r="L876">
            <v>29.499999999999993</v>
          </cell>
          <cell r="M876" t="e">
            <v>#N/A</v>
          </cell>
          <cell r="N876">
            <v>47.6</v>
          </cell>
          <cell r="O876" t="e">
            <v>#N/A</v>
          </cell>
          <cell r="P876" t="str">
            <v/>
          </cell>
          <cell r="Q876" t="str">
            <v/>
          </cell>
          <cell r="R876" t="e">
            <v>#N/A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-5.9908745247148998</v>
          </cell>
          <cell r="F877">
            <v>68.418250950570069</v>
          </cell>
          <cell r="G877">
            <v>27.883650190114118</v>
          </cell>
          <cell r="H877">
            <v>27.883650190114118</v>
          </cell>
          <cell r="I877" t="e">
            <v>#N/A</v>
          </cell>
          <cell r="J877" t="e">
            <v>#N/A</v>
          </cell>
          <cell r="K877">
            <v>64.799999999999983</v>
          </cell>
          <cell r="L877">
            <v>29.499999999999993</v>
          </cell>
          <cell r="M877" t="e">
            <v>#N/A</v>
          </cell>
          <cell r="N877">
            <v>47.6</v>
          </cell>
          <cell r="O877" t="e">
            <v>#N/A</v>
          </cell>
          <cell r="P877" t="str">
            <v/>
          </cell>
          <cell r="Q877" t="str">
            <v/>
          </cell>
          <cell r="R877" t="e">
            <v>#N/A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-6.1444866920152803</v>
          </cell>
          <cell r="F878">
            <v>68.511026615969314</v>
          </cell>
          <cell r="G878">
            <v>27.842205323193966</v>
          </cell>
          <cell r="H878">
            <v>27.842205323193966</v>
          </cell>
          <cell r="I878" t="e">
            <v>#N/A</v>
          </cell>
          <cell r="J878" t="e">
            <v>#N/A</v>
          </cell>
          <cell r="K878">
            <v>64.799999999999983</v>
          </cell>
          <cell r="L878">
            <v>29.499999999999993</v>
          </cell>
          <cell r="M878" t="e">
            <v>#N/A</v>
          </cell>
          <cell r="N878">
            <v>47.6</v>
          </cell>
          <cell r="O878" t="e">
            <v>#N/A</v>
          </cell>
          <cell r="P878" t="str">
            <v/>
          </cell>
          <cell r="Q878" t="str">
            <v/>
          </cell>
          <cell r="R878" t="e">
            <v>#N/A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-6.2980988593156608</v>
          </cell>
          <cell r="F879">
            <v>68.603802281368559</v>
          </cell>
          <cell r="G879">
            <v>27.800760456273814</v>
          </cell>
          <cell r="H879">
            <v>27.800760456273814</v>
          </cell>
          <cell r="I879" t="e">
            <v>#N/A</v>
          </cell>
          <cell r="J879" t="e">
            <v>#N/A</v>
          </cell>
          <cell r="K879">
            <v>64.799999999999983</v>
          </cell>
          <cell r="L879">
            <v>29.499999999999993</v>
          </cell>
          <cell r="M879" t="e">
            <v>#N/A</v>
          </cell>
          <cell r="N879">
            <v>47.6</v>
          </cell>
          <cell r="O879" t="e">
            <v>#N/A</v>
          </cell>
          <cell r="P879" t="str">
            <v/>
          </cell>
          <cell r="Q879" t="str">
            <v/>
          </cell>
          <cell r="R879" t="e">
            <v>#N/A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-6.4517110266160413</v>
          </cell>
          <cell r="F880">
            <v>68.696577946767803</v>
          </cell>
          <cell r="G880">
            <v>27.759315589353662</v>
          </cell>
          <cell r="H880">
            <v>27.759315589353662</v>
          </cell>
          <cell r="I880" t="e">
            <v>#N/A</v>
          </cell>
          <cell r="J880" t="e">
            <v>#N/A</v>
          </cell>
          <cell r="K880">
            <v>64.799999999999983</v>
          </cell>
          <cell r="L880">
            <v>29.499999999999993</v>
          </cell>
          <cell r="M880" t="e">
            <v>#N/A</v>
          </cell>
          <cell r="N880">
            <v>47.6</v>
          </cell>
          <cell r="O880" t="e">
            <v>#N/A</v>
          </cell>
          <cell r="P880" t="str">
            <v/>
          </cell>
          <cell r="Q880" t="str">
            <v/>
          </cell>
          <cell r="R880" t="e">
            <v>#N/A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-6.6053231939164219</v>
          </cell>
          <cell r="F881">
            <v>68.789353612167048</v>
          </cell>
          <cell r="G881">
            <v>27.71787072243351</v>
          </cell>
          <cell r="H881">
            <v>27.71787072243351</v>
          </cell>
          <cell r="I881" t="e">
            <v>#N/A</v>
          </cell>
          <cell r="J881" t="e">
            <v>#N/A</v>
          </cell>
          <cell r="K881">
            <v>64.799999999999983</v>
          </cell>
          <cell r="L881">
            <v>29.499999999999993</v>
          </cell>
          <cell r="M881" t="e">
            <v>#N/A</v>
          </cell>
          <cell r="N881">
            <v>47.6</v>
          </cell>
          <cell r="O881" t="e">
            <v>#N/A</v>
          </cell>
          <cell r="P881" t="str">
            <v/>
          </cell>
          <cell r="Q881" t="str">
            <v/>
          </cell>
          <cell r="R881" t="e">
            <v>#N/A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-6.7589353612168024</v>
          </cell>
          <cell r="F882">
            <v>68.882129277566293</v>
          </cell>
          <cell r="G882">
            <v>27.676425855513358</v>
          </cell>
          <cell r="H882">
            <v>27.676425855513358</v>
          </cell>
          <cell r="I882" t="e">
            <v>#N/A</v>
          </cell>
          <cell r="J882" t="e">
            <v>#N/A</v>
          </cell>
          <cell r="K882">
            <v>64.799999999999983</v>
          </cell>
          <cell r="L882">
            <v>29.499999999999993</v>
          </cell>
          <cell r="M882" t="e">
            <v>#N/A</v>
          </cell>
          <cell r="N882">
            <v>47.6</v>
          </cell>
          <cell r="O882" t="e">
            <v>#N/A</v>
          </cell>
          <cell r="P882" t="str">
            <v/>
          </cell>
          <cell r="Q882" t="str">
            <v/>
          </cell>
          <cell r="R882" t="e">
            <v>#N/A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-6.9125475285171829</v>
          </cell>
          <cell r="F883">
            <v>68.974904942965537</v>
          </cell>
          <cell r="G883">
            <v>27.634980988593206</v>
          </cell>
          <cell r="H883">
            <v>27.634980988593206</v>
          </cell>
          <cell r="I883" t="e">
            <v>#N/A</v>
          </cell>
          <cell r="J883" t="e">
            <v>#N/A</v>
          </cell>
          <cell r="K883">
            <v>64.799999999999983</v>
          </cell>
          <cell r="L883">
            <v>29.499999999999993</v>
          </cell>
          <cell r="M883" t="e">
            <v>#N/A</v>
          </cell>
          <cell r="N883">
            <v>47.6</v>
          </cell>
          <cell r="O883" t="e">
            <v>#N/A</v>
          </cell>
          <cell r="P883" t="str">
            <v/>
          </cell>
          <cell r="Q883" t="str">
            <v/>
          </cell>
          <cell r="R883" t="e">
            <v>#N/A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-7.0661596958175634</v>
          </cell>
          <cell r="F884">
            <v>69.067680608364782</v>
          </cell>
          <cell r="G884">
            <v>27.593536121673054</v>
          </cell>
          <cell r="H884">
            <v>27.593536121673054</v>
          </cell>
          <cell r="I884" t="e">
            <v>#N/A</v>
          </cell>
          <cell r="J884" t="e">
            <v>#N/A</v>
          </cell>
          <cell r="K884">
            <v>64.799999999999983</v>
          </cell>
          <cell r="L884">
            <v>29.499999999999993</v>
          </cell>
          <cell r="M884" t="e">
            <v>#N/A</v>
          </cell>
          <cell r="N884">
            <v>47.6</v>
          </cell>
          <cell r="O884" t="e">
            <v>#N/A</v>
          </cell>
          <cell r="P884" t="str">
            <v/>
          </cell>
          <cell r="Q884" t="str">
            <v/>
          </cell>
          <cell r="R884" t="e">
            <v>#N/A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-7.2197718631179439</v>
          </cell>
          <cell r="F885">
            <v>69.160456273764026</v>
          </cell>
          <cell r="G885">
            <v>27.552091254752902</v>
          </cell>
          <cell r="H885">
            <v>27.552091254752902</v>
          </cell>
          <cell r="I885" t="e">
            <v>#N/A</v>
          </cell>
          <cell r="J885" t="e">
            <v>#N/A</v>
          </cell>
          <cell r="K885">
            <v>64.799999999999983</v>
          </cell>
          <cell r="L885">
            <v>29.499999999999993</v>
          </cell>
          <cell r="M885" t="e">
            <v>#N/A</v>
          </cell>
          <cell r="N885">
            <v>47.6</v>
          </cell>
          <cell r="O885" t="e">
            <v>#N/A</v>
          </cell>
          <cell r="P885" t="str">
            <v/>
          </cell>
          <cell r="Q885" t="str">
            <v/>
          </cell>
          <cell r="R885" t="e">
            <v>#N/A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-7.3733840304183245</v>
          </cell>
          <cell r="F886">
            <v>69.253231939163271</v>
          </cell>
          <cell r="G886">
            <v>27.51064638783275</v>
          </cell>
          <cell r="H886">
            <v>27.51064638783275</v>
          </cell>
          <cell r="I886" t="e">
            <v>#N/A</v>
          </cell>
          <cell r="J886" t="e">
            <v>#N/A</v>
          </cell>
          <cell r="K886">
            <v>64.799999999999983</v>
          </cell>
          <cell r="L886">
            <v>29.499999999999993</v>
          </cell>
          <cell r="M886" t="e">
            <v>#N/A</v>
          </cell>
          <cell r="N886">
            <v>47.6</v>
          </cell>
          <cell r="O886" t="e">
            <v>#N/A</v>
          </cell>
          <cell r="P886" t="str">
            <v/>
          </cell>
          <cell r="Q886" t="str">
            <v/>
          </cell>
          <cell r="R886" t="e">
            <v>#N/A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-7.526996197718705</v>
          </cell>
          <cell r="F887">
            <v>69.346007604562516</v>
          </cell>
          <cell r="G887">
            <v>27.469201520912598</v>
          </cell>
          <cell r="H887">
            <v>27.469201520912598</v>
          </cell>
          <cell r="I887" t="e">
            <v>#N/A</v>
          </cell>
          <cell r="J887" t="e">
            <v>#N/A</v>
          </cell>
          <cell r="K887">
            <v>64.799999999999983</v>
          </cell>
          <cell r="L887">
            <v>29.499999999999993</v>
          </cell>
          <cell r="M887" t="e">
            <v>#N/A</v>
          </cell>
          <cell r="N887">
            <v>47.6</v>
          </cell>
          <cell r="O887" t="e">
            <v>#N/A</v>
          </cell>
          <cell r="P887" t="str">
            <v/>
          </cell>
          <cell r="Q887" t="str">
            <v/>
          </cell>
          <cell r="R887" t="e">
            <v>#N/A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-7.6806083650190855</v>
          </cell>
          <cell r="F888">
            <v>69.43878326996176</v>
          </cell>
          <cell r="G888">
            <v>27.427756653992446</v>
          </cell>
          <cell r="H888">
            <v>27.427756653992446</v>
          </cell>
          <cell r="I888" t="e">
            <v>#N/A</v>
          </cell>
          <cell r="J888" t="e">
            <v>#N/A</v>
          </cell>
          <cell r="K888">
            <v>64.799999999999983</v>
          </cell>
          <cell r="L888">
            <v>29.499999999999993</v>
          </cell>
          <cell r="M888" t="e">
            <v>#N/A</v>
          </cell>
          <cell r="N888">
            <v>47.6</v>
          </cell>
          <cell r="O888" t="e">
            <v>#N/A</v>
          </cell>
          <cell r="P888" t="str">
            <v/>
          </cell>
          <cell r="Q888" t="str">
            <v/>
          </cell>
          <cell r="R888" t="e">
            <v>#N/A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-7.834220532319466</v>
          </cell>
          <cell r="F889">
            <v>69.531558935361005</v>
          </cell>
          <cell r="G889">
            <v>27.386311787072295</v>
          </cell>
          <cell r="H889">
            <v>27.386311787072295</v>
          </cell>
          <cell r="I889" t="e">
            <v>#N/A</v>
          </cell>
          <cell r="J889" t="e">
            <v>#N/A</v>
          </cell>
          <cell r="K889">
            <v>64.799999999999983</v>
          </cell>
          <cell r="L889">
            <v>29.499999999999993</v>
          </cell>
          <cell r="M889" t="e">
            <v>#N/A</v>
          </cell>
          <cell r="N889">
            <v>47.6</v>
          </cell>
          <cell r="O889" t="e">
            <v>#N/A</v>
          </cell>
          <cell r="P889" t="str">
            <v/>
          </cell>
          <cell r="Q889" t="str">
            <v/>
          </cell>
          <cell r="R889" t="e">
            <v>#N/A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-7.9878326996198465</v>
          </cell>
          <cell r="F890">
            <v>69.62433460076025</v>
          </cell>
          <cell r="G890">
            <v>27.344866920152143</v>
          </cell>
          <cell r="H890">
            <v>27.344866920152143</v>
          </cell>
          <cell r="I890" t="e">
            <v>#N/A</v>
          </cell>
          <cell r="J890" t="e">
            <v>#N/A</v>
          </cell>
          <cell r="K890">
            <v>64.799999999999983</v>
          </cell>
          <cell r="L890">
            <v>29.499999999999993</v>
          </cell>
          <cell r="M890" t="e">
            <v>#N/A</v>
          </cell>
          <cell r="N890">
            <v>47.6</v>
          </cell>
          <cell r="O890" t="e">
            <v>#N/A</v>
          </cell>
          <cell r="P890" t="str">
            <v/>
          </cell>
          <cell r="Q890" t="str">
            <v/>
          </cell>
          <cell r="R890" t="e">
            <v>#N/A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-8.1414448669202262</v>
          </cell>
          <cell r="F891">
            <v>69.717110266159494</v>
          </cell>
          <cell r="G891">
            <v>27.303422053231991</v>
          </cell>
          <cell r="H891">
            <v>27.303422053231991</v>
          </cell>
          <cell r="I891" t="e">
            <v>#N/A</v>
          </cell>
          <cell r="J891" t="e">
            <v>#N/A</v>
          </cell>
          <cell r="K891">
            <v>64.799999999999983</v>
          </cell>
          <cell r="L891">
            <v>29.499999999999993</v>
          </cell>
          <cell r="M891" t="e">
            <v>#N/A</v>
          </cell>
          <cell r="N891">
            <v>47.6</v>
          </cell>
          <cell r="O891" t="e">
            <v>#N/A</v>
          </cell>
          <cell r="P891" t="str">
            <v/>
          </cell>
          <cell r="Q891" t="str">
            <v/>
          </cell>
          <cell r="R891" t="e">
            <v>#N/A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-8.2950570342206067</v>
          </cell>
          <cell r="F892">
            <v>69.809885931558739</v>
          </cell>
          <cell r="G892">
            <v>27.261977186311839</v>
          </cell>
          <cell r="H892">
            <v>27.261977186311839</v>
          </cell>
          <cell r="I892" t="e">
            <v>#N/A</v>
          </cell>
          <cell r="J892" t="e">
            <v>#N/A</v>
          </cell>
          <cell r="K892">
            <v>64.799999999999983</v>
          </cell>
          <cell r="L892">
            <v>29.499999999999993</v>
          </cell>
          <cell r="M892" t="e">
            <v>#N/A</v>
          </cell>
          <cell r="N892">
            <v>47.6</v>
          </cell>
          <cell r="O892" t="e">
            <v>#N/A</v>
          </cell>
          <cell r="P892" t="str">
            <v/>
          </cell>
          <cell r="Q892" t="str">
            <v/>
          </cell>
          <cell r="R892" t="e">
            <v>#N/A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-8.4486692015209872</v>
          </cell>
          <cell r="F893">
            <v>69.902661596957984</v>
          </cell>
          <cell r="G893">
            <v>27.220532319391687</v>
          </cell>
          <cell r="H893">
            <v>27.220532319391687</v>
          </cell>
          <cell r="I893" t="e">
            <v>#N/A</v>
          </cell>
          <cell r="J893" t="e">
            <v>#N/A</v>
          </cell>
          <cell r="K893">
            <v>64.799999999999983</v>
          </cell>
          <cell r="L893">
            <v>29.499999999999993</v>
          </cell>
          <cell r="M893" t="e">
            <v>#N/A</v>
          </cell>
          <cell r="N893">
            <v>47.6</v>
          </cell>
          <cell r="O893" t="e">
            <v>#N/A</v>
          </cell>
          <cell r="P893" t="str">
            <v/>
          </cell>
          <cell r="Q893" t="str">
            <v/>
          </cell>
          <cell r="R893" t="e">
            <v>#N/A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-8.6022813688213677</v>
          </cell>
          <cell r="F894">
            <v>69.995437262357228</v>
          </cell>
          <cell r="G894">
            <v>27.179087452471535</v>
          </cell>
          <cell r="H894">
            <v>27.179087452471535</v>
          </cell>
          <cell r="I894" t="e">
            <v>#N/A</v>
          </cell>
          <cell r="J894" t="e">
            <v>#N/A</v>
          </cell>
          <cell r="K894">
            <v>64.799999999999983</v>
          </cell>
          <cell r="L894">
            <v>29.499999999999993</v>
          </cell>
          <cell r="M894" t="e">
            <v>#N/A</v>
          </cell>
          <cell r="N894">
            <v>47.6</v>
          </cell>
          <cell r="O894" t="e">
            <v>#N/A</v>
          </cell>
          <cell r="P894" t="str">
            <v/>
          </cell>
          <cell r="Q894" t="str">
            <v/>
          </cell>
          <cell r="R894" t="e">
            <v>#N/A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-8.7558935361217483</v>
          </cell>
          <cell r="F895">
            <v>70.088212927756473</v>
          </cell>
          <cell r="G895">
            <v>27.137642585551383</v>
          </cell>
          <cell r="H895">
            <v>27.137642585551383</v>
          </cell>
          <cell r="I895" t="e">
            <v>#N/A</v>
          </cell>
          <cell r="J895" t="e">
            <v>#N/A</v>
          </cell>
          <cell r="K895">
            <v>64.799999999999983</v>
          </cell>
          <cell r="L895">
            <v>29.499999999999993</v>
          </cell>
          <cell r="M895" t="e">
            <v>#N/A</v>
          </cell>
          <cell r="N895">
            <v>47.6</v>
          </cell>
          <cell r="O895" t="e">
            <v>#N/A</v>
          </cell>
          <cell r="P895" t="str">
            <v/>
          </cell>
          <cell r="Q895" t="str">
            <v/>
          </cell>
          <cell r="R895" t="e">
            <v>#N/A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-8.9095057034221288</v>
          </cell>
          <cell r="F896">
            <v>70.180988593155718</v>
          </cell>
          <cell r="G896">
            <v>27.096197718631231</v>
          </cell>
          <cell r="H896">
            <v>27.096197718631231</v>
          </cell>
          <cell r="I896" t="e">
            <v>#N/A</v>
          </cell>
          <cell r="J896" t="e">
            <v>#N/A</v>
          </cell>
          <cell r="K896">
            <v>64.799999999999983</v>
          </cell>
          <cell r="L896">
            <v>29.499999999999993</v>
          </cell>
          <cell r="M896" t="e">
            <v>#N/A</v>
          </cell>
          <cell r="N896">
            <v>47.6</v>
          </cell>
          <cell r="O896" t="e">
            <v>#N/A</v>
          </cell>
          <cell r="P896" t="str">
            <v/>
          </cell>
          <cell r="Q896" t="str">
            <v/>
          </cell>
          <cell r="R896" t="e">
            <v>#N/A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-9.0631178707225093</v>
          </cell>
          <cell r="F897">
            <v>70.273764258554962</v>
          </cell>
          <cell r="G897">
            <v>27.054752851711079</v>
          </cell>
          <cell r="H897">
            <v>27.054752851711079</v>
          </cell>
          <cell r="I897" t="e">
            <v>#N/A</v>
          </cell>
          <cell r="J897" t="e">
            <v>#N/A</v>
          </cell>
          <cell r="K897">
            <v>64.799999999999983</v>
          </cell>
          <cell r="L897">
            <v>29.499999999999993</v>
          </cell>
          <cell r="M897" t="e">
            <v>#N/A</v>
          </cell>
          <cell r="N897">
            <v>47.6</v>
          </cell>
          <cell r="O897" t="e">
            <v>#N/A</v>
          </cell>
          <cell r="P897" t="str">
            <v/>
          </cell>
          <cell r="Q897" t="str">
            <v/>
          </cell>
          <cell r="R897" t="e">
            <v>#N/A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-9.2167300380228898</v>
          </cell>
          <cell r="F898">
            <v>70.366539923954207</v>
          </cell>
          <cell r="G898">
            <v>27.013307984790927</v>
          </cell>
          <cell r="H898">
            <v>27.013307984790927</v>
          </cell>
          <cell r="I898" t="e">
            <v>#N/A</v>
          </cell>
          <cell r="J898" t="e">
            <v>#N/A</v>
          </cell>
          <cell r="K898">
            <v>64.799999999999983</v>
          </cell>
          <cell r="L898">
            <v>29.499999999999993</v>
          </cell>
          <cell r="M898" t="e">
            <v>#N/A</v>
          </cell>
          <cell r="N898">
            <v>47.6</v>
          </cell>
          <cell r="O898" t="e">
            <v>#N/A</v>
          </cell>
          <cell r="P898" t="str">
            <v/>
          </cell>
          <cell r="Q898" t="str">
            <v/>
          </cell>
          <cell r="R898" t="e">
            <v>#N/A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-9.3703422053232703</v>
          </cell>
          <cell r="F899">
            <v>70.459315589353452</v>
          </cell>
          <cell r="G899">
            <v>26.971863117870775</v>
          </cell>
          <cell r="H899">
            <v>26.971863117870775</v>
          </cell>
          <cell r="I899" t="e">
            <v>#N/A</v>
          </cell>
          <cell r="J899" t="e">
            <v>#N/A</v>
          </cell>
          <cell r="K899">
            <v>64.799999999999983</v>
          </cell>
          <cell r="L899">
            <v>29.499999999999993</v>
          </cell>
          <cell r="M899" t="e">
            <v>#N/A</v>
          </cell>
          <cell r="N899">
            <v>47.6</v>
          </cell>
          <cell r="O899" t="e">
            <v>#N/A</v>
          </cell>
          <cell r="P899" t="str">
            <v/>
          </cell>
          <cell r="Q899" t="str">
            <v/>
          </cell>
          <cell r="R899" t="e">
            <v>#N/A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-9.5239543726236509</v>
          </cell>
          <cell r="F900">
            <v>70.552091254752696</v>
          </cell>
          <cell r="G900">
            <v>26.930418250950623</v>
          </cell>
          <cell r="H900">
            <v>26.930418250950623</v>
          </cell>
          <cell r="I900" t="e">
            <v>#N/A</v>
          </cell>
          <cell r="J900" t="e">
            <v>#N/A</v>
          </cell>
          <cell r="K900">
            <v>64.799999999999983</v>
          </cell>
          <cell r="L900">
            <v>29.499999999999993</v>
          </cell>
          <cell r="M900" t="e">
            <v>#N/A</v>
          </cell>
          <cell r="N900">
            <v>47.6</v>
          </cell>
          <cell r="O900" t="e">
            <v>#N/A</v>
          </cell>
          <cell r="P900" t="str">
            <v/>
          </cell>
          <cell r="Q900" t="str">
            <v/>
          </cell>
          <cell r="R900" t="e">
            <v>#N/A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-9.6775665399240314</v>
          </cell>
          <cell r="F901">
            <v>70.644866920151941</v>
          </cell>
          <cell r="G901">
            <v>26.888973384030471</v>
          </cell>
          <cell r="H901">
            <v>26.888973384030471</v>
          </cell>
          <cell r="I901" t="e">
            <v>#N/A</v>
          </cell>
          <cell r="J901" t="e">
            <v>#N/A</v>
          </cell>
          <cell r="K901">
            <v>64.799999999999983</v>
          </cell>
          <cell r="L901">
            <v>29.499999999999993</v>
          </cell>
          <cell r="M901" t="e">
            <v>#N/A</v>
          </cell>
          <cell r="N901">
            <v>47.6</v>
          </cell>
          <cell r="O901" t="e">
            <v>#N/A</v>
          </cell>
          <cell r="P901" t="str">
            <v/>
          </cell>
          <cell r="Q901" t="str">
            <v/>
          </cell>
          <cell r="R901" t="e">
            <v>#N/A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-9.8311787072244119</v>
          </cell>
          <cell r="F902">
            <v>70.737642585551185</v>
          </cell>
          <cell r="G902">
            <v>26.84752851711032</v>
          </cell>
          <cell r="H902">
            <v>26.84752851711032</v>
          </cell>
          <cell r="I902" t="e">
            <v>#N/A</v>
          </cell>
          <cell r="J902" t="e">
            <v>#N/A</v>
          </cell>
          <cell r="K902">
            <v>64.799999999999983</v>
          </cell>
          <cell r="L902">
            <v>29.499999999999993</v>
          </cell>
          <cell r="M902" t="e">
            <v>#N/A</v>
          </cell>
          <cell r="N902">
            <v>47.6</v>
          </cell>
          <cell r="O902" t="e">
            <v>#N/A</v>
          </cell>
          <cell r="P902" t="str">
            <v/>
          </cell>
          <cell r="Q902" t="str">
            <v/>
          </cell>
          <cell r="R902" t="e">
            <v>#N/A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-9.9847908745247924</v>
          </cell>
          <cell r="F903">
            <v>70.83041825095043</v>
          </cell>
          <cell r="G903">
            <v>26.806083650190168</v>
          </cell>
          <cell r="H903">
            <v>26.806083650190168</v>
          </cell>
          <cell r="I903" t="e">
            <v>#N/A</v>
          </cell>
          <cell r="J903" t="e">
            <v>#N/A</v>
          </cell>
          <cell r="K903">
            <v>64.799999999999983</v>
          </cell>
          <cell r="L903">
            <v>29.499999999999993</v>
          </cell>
          <cell r="M903" t="e">
            <v>#N/A</v>
          </cell>
          <cell r="N903">
            <v>47.6</v>
          </cell>
          <cell r="O903" t="e">
            <v>#N/A</v>
          </cell>
          <cell r="P903" t="str">
            <v/>
          </cell>
          <cell r="Q903" t="str">
            <v/>
          </cell>
          <cell r="R903" t="e">
            <v>#N/A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-10.138403041825173</v>
          </cell>
          <cell r="F904">
            <v>70.923193916349675</v>
          </cell>
          <cell r="G904">
            <v>26.764638783270016</v>
          </cell>
          <cell r="H904">
            <v>26.764638783270016</v>
          </cell>
          <cell r="I904" t="e">
            <v>#N/A</v>
          </cell>
          <cell r="J904" t="e">
            <v>#N/A</v>
          </cell>
          <cell r="K904">
            <v>64.799999999999983</v>
          </cell>
          <cell r="L904">
            <v>29.499999999999993</v>
          </cell>
          <cell r="M904" t="e">
            <v>#N/A</v>
          </cell>
          <cell r="N904">
            <v>47.6</v>
          </cell>
          <cell r="O904" t="e">
            <v>#N/A</v>
          </cell>
          <cell r="P904" t="str">
            <v/>
          </cell>
          <cell r="Q904" t="str">
            <v/>
          </cell>
          <cell r="R904" t="e">
            <v>#N/A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-10.292015209125553</v>
          </cell>
          <cell r="F905">
            <v>71.015969581748919</v>
          </cell>
          <cell r="G905">
            <v>26.723193916349864</v>
          </cell>
          <cell r="H905">
            <v>26.723193916349864</v>
          </cell>
          <cell r="I905" t="e">
            <v>#N/A</v>
          </cell>
          <cell r="J905" t="e">
            <v>#N/A</v>
          </cell>
          <cell r="K905">
            <v>64.799999999999983</v>
          </cell>
          <cell r="L905">
            <v>29.499999999999993</v>
          </cell>
          <cell r="M905" t="e">
            <v>#N/A</v>
          </cell>
          <cell r="N905">
            <v>47.6</v>
          </cell>
          <cell r="O905" t="e">
            <v>#N/A</v>
          </cell>
          <cell r="P905" t="str">
            <v/>
          </cell>
          <cell r="Q905" t="str">
            <v/>
          </cell>
          <cell r="R905" t="e">
            <v>#N/A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-10.445627376425934</v>
          </cell>
          <cell r="F906">
            <v>71.108745247148164</v>
          </cell>
          <cell r="G906">
            <v>26.681749049429712</v>
          </cell>
          <cell r="H906">
            <v>26.681749049429712</v>
          </cell>
          <cell r="I906" t="e">
            <v>#N/A</v>
          </cell>
          <cell r="J906" t="e">
            <v>#N/A</v>
          </cell>
          <cell r="K906">
            <v>64.799999999999983</v>
          </cell>
          <cell r="L906">
            <v>29.499999999999993</v>
          </cell>
          <cell r="M906" t="e">
            <v>#N/A</v>
          </cell>
          <cell r="N906">
            <v>47.6</v>
          </cell>
          <cell r="O906" t="e">
            <v>#N/A</v>
          </cell>
          <cell r="P906" t="str">
            <v/>
          </cell>
          <cell r="Q906" t="str">
            <v/>
          </cell>
          <cell r="R906" t="e">
            <v>#N/A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-10.599239543726314</v>
          </cell>
          <cell r="F907">
            <v>71.201520912547409</v>
          </cell>
          <cell r="G907">
            <v>26.64030418250956</v>
          </cell>
          <cell r="H907">
            <v>26.64030418250956</v>
          </cell>
          <cell r="I907" t="e">
            <v>#N/A</v>
          </cell>
          <cell r="J907" t="e">
            <v>#N/A</v>
          </cell>
          <cell r="K907">
            <v>64.799999999999983</v>
          </cell>
          <cell r="L907">
            <v>29.499999999999993</v>
          </cell>
          <cell r="M907" t="e">
            <v>#N/A</v>
          </cell>
          <cell r="N907">
            <v>47.6</v>
          </cell>
          <cell r="O907" t="e">
            <v>#N/A</v>
          </cell>
          <cell r="P907" t="str">
            <v/>
          </cell>
          <cell r="Q907" t="str">
            <v/>
          </cell>
          <cell r="R907" t="e">
            <v>#N/A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-10.752851711026695</v>
          </cell>
          <cell r="F908">
            <v>71.294296577946653</v>
          </cell>
          <cell r="G908">
            <v>26.598859315589408</v>
          </cell>
          <cell r="H908">
            <v>26.598859315589408</v>
          </cell>
          <cell r="I908" t="e">
            <v>#N/A</v>
          </cell>
          <cell r="J908" t="e">
            <v>#N/A</v>
          </cell>
          <cell r="K908">
            <v>64.799999999999983</v>
          </cell>
          <cell r="L908">
            <v>29.499999999999993</v>
          </cell>
          <cell r="M908" t="e">
            <v>#N/A</v>
          </cell>
          <cell r="N908">
            <v>47.6</v>
          </cell>
          <cell r="O908" t="e">
            <v>#N/A</v>
          </cell>
          <cell r="P908" t="str">
            <v/>
          </cell>
          <cell r="Q908" t="str">
            <v/>
          </cell>
          <cell r="R908" t="e">
            <v>#N/A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-10.906463878327076</v>
          </cell>
          <cell r="F909">
            <v>71.387072243345898</v>
          </cell>
          <cell r="G909">
            <v>26.557414448669256</v>
          </cell>
          <cell r="H909">
            <v>26.557414448669256</v>
          </cell>
          <cell r="I909" t="e">
            <v>#N/A</v>
          </cell>
          <cell r="J909" t="e">
            <v>#N/A</v>
          </cell>
          <cell r="K909">
            <v>64.799999999999983</v>
          </cell>
          <cell r="L909">
            <v>29.499999999999993</v>
          </cell>
          <cell r="M909" t="e">
            <v>#N/A</v>
          </cell>
          <cell r="N909">
            <v>47.6</v>
          </cell>
          <cell r="O909" t="e">
            <v>#N/A</v>
          </cell>
          <cell r="P909" t="str">
            <v/>
          </cell>
          <cell r="Q909" t="str">
            <v/>
          </cell>
          <cell r="R909" t="e">
            <v>#N/A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-11.060076045627456</v>
          </cell>
          <cell r="F910">
            <v>71.479847908745143</v>
          </cell>
          <cell r="G910">
            <v>26.515969581749104</v>
          </cell>
          <cell r="H910">
            <v>26.515969581749104</v>
          </cell>
          <cell r="I910" t="e">
            <v>#N/A</v>
          </cell>
          <cell r="J910" t="e">
            <v>#N/A</v>
          </cell>
          <cell r="K910">
            <v>64.799999999999983</v>
          </cell>
          <cell r="L910">
            <v>29.499999999999993</v>
          </cell>
          <cell r="M910" t="e">
            <v>#N/A</v>
          </cell>
          <cell r="N910">
            <v>47.6</v>
          </cell>
          <cell r="O910" t="e">
            <v>#N/A</v>
          </cell>
          <cell r="P910" t="str">
            <v/>
          </cell>
          <cell r="Q910" t="str">
            <v/>
          </cell>
          <cell r="R910" t="e">
            <v>#N/A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-11.213688212927837</v>
          </cell>
          <cell r="F911">
            <v>71.572623574144387</v>
          </cell>
          <cell r="G911">
            <v>26.474524714828952</v>
          </cell>
          <cell r="H911">
            <v>26.474524714828952</v>
          </cell>
          <cell r="I911" t="e">
            <v>#N/A</v>
          </cell>
          <cell r="J911" t="e">
            <v>#N/A</v>
          </cell>
          <cell r="K911">
            <v>64.799999999999983</v>
          </cell>
          <cell r="L911">
            <v>29.499999999999993</v>
          </cell>
          <cell r="M911" t="e">
            <v>#N/A</v>
          </cell>
          <cell r="N911">
            <v>47.6</v>
          </cell>
          <cell r="O911" t="e">
            <v>#N/A</v>
          </cell>
          <cell r="P911" t="str">
            <v/>
          </cell>
          <cell r="Q911" t="str">
            <v/>
          </cell>
          <cell r="R911" t="e">
            <v>#N/A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-11.367300380228217</v>
          </cell>
          <cell r="F912">
            <v>71.665399239543632</v>
          </cell>
          <cell r="G912">
            <v>26.4330798479088</v>
          </cell>
          <cell r="H912">
            <v>26.4330798479088</v>
          </cell>
          <cell r="I912" t="e">
            <v>#N/A</v>
          </cell>
          <cell r="J912" t="e">
            <v>#N/A</v>
          </cell>
          <cell r="K912">
            <v>64.799999999999983</v>
          </cell>
          <cell r="L912">
            <v>29.499999999999993</v>
          </cell>
          <cell r="M912" t="e">
            <v>#N/A</v>
          </cell>
          <cell r="N912">
            <v>47.6</v>
          </cell>
          <cell r="O912" t="e">
            <v>#N/A</v>
          </cell>
          <cell r="P912" t="str">
            <v/>
          </cell>
          <cell r="Q912" t="str">
            <v/>
          </cell>
          <cell r="R912" t="e">
            <v>#N/A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-11.520912547528598</v>
          </cell>
          <cell r="F913">
            <v>71.758174904942877</v>
          </cell>
          <cell r="G913">
            <v>26.391634980988648</v>
          </cell>
          <cell r="H913">
            <v>26.391634980988648</v>
          </cell>
          <cell r="I913" t="e">
            <v>#N/A</v>
          </cell>
          <cell r="J913" t="e">
            <v>#N/A</v>
          </cell>
          <cell r="K913">
            <v>64.799999999999983</v>
          </cell>
          <cell r="L913">
            <v>29.499999999999993</v>
          </cell>
          <cell r="M913" t="e">
            <v>#N/A</v>
          </cell>
          <cell r="N913">
            <v>47.6</v>
          </cell>
          <cell r="O913" t="e">
            <v>#N/A</v>
          </cell>
          <cell r="P913" t="str">
            <v/>
          </cell>
          <cell r="Q913" t="str">
            <v/>
          </cell>
          <cell r="R913" t="e">
            <v>#N/A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-11.674524714828978</v>
          </cell>
          <cell r="F914">
            <v>71.850950570342121</v>
          </cell>
          <cell r="G914">
            <v>26.350190114068496</v>
          </cell>
          <cell r="H914">
            <v>26.350190114068496</v>
          </cell>
          <cell r="I914" t="e">
            <v>#N/A</v>
          </cell>
          <cell r="J914" t="e">
            <v>#N/A</v>
          </cell>
          <cell r="K914">
            <v>64.799999999999983</v>
          </cell>
          <cell r="L914">
            <v>29.499999999999993</v>
          </cell>
          <cell r="M914" t="e">
            <v>#N/A</v>
          </cell>
          <cell r="N914">
            <v>47.6</v>
          </cell>
          <cell r="O914" t="e">
            <v>#N/A</v>
          </cell>
          <cell r="P914" t="str">
            <v/>
          </cell>
          <cell r="Q914" t="str">
            <v/>
          </cell>
          <cell r="R914" t="e">
            <v>#N/A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-11.828136882129359</v>
          </cell>
          <cell r="F915">
            <v>71.943726235741366</v>
          </cell>
          <cell r="G915">
            <v>26.308745247148345</v>
          </cell>
          <cell r="H915">
            <v>26.308745247148345</v>
          </cell>
          <cell r="I915" t="e">
            <v>#N/A</v>
          </cell>
          <cell r="J915" t="e">
            <v>#N/A</v>
          </cell>
          <cell r="K915">
            <v>64.799999999999983</v>
          </cell>
          <cell r="L915">
            <v>29.499999999999993</v>
          </cell>
          <cell r="M915" t="e">
            <v>#N/A</v>
          </cell>
          <cell r="N915">
            <v>47.6</v>
          </cell>
          <cell r="O915" t="e">
            <v>#N/A</v>
          </cell>
          <cell r="P915" t="str">
            <v/>
          </cell>
          <cell r="Q915" t="str">
            <v/>
          </cell>
          <cell r="R915" t="e">
            <v>#N/A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-11.981749049429739</v>
          </cell>
          <cell r="F916">
            <v>72.03650190114061</v>
          </cell>
          <cell r="G916">
            <v>26.267300380228193</v>
          </cell>
          <cell r="H916">
            <v>26.267300380228193</v>
          </cell>
          <cell r="I916" t="e">
            <v>#N/A</v>
          </cell>
          <cell r="J916" t="e">
            <v>#N/A</v>
          </cell>
          <cell r="K916">
            <v>64.799999999999983</v>
          </cell>
          <cell r="L916">
            <v>29.499999999999993</v>
          </cell>
          <cell r="M916" t="e">
            <v>#N/A</v>
          </cell>
          <cell r="N916">
            <v>47.6</v>
          </cell>
          <cell r="O916" t="e">
            <v>#N/A</v>
          </cell>
          <cell r="P916" t="str">
            <v/>
          </cell>
          <cell r="Q916" t="str">
            <v/>
          </cell>
          <cell r="R916" t="e">
            <v>#N/A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-12.13536121673012</v>
          </cell>
          <cell r="F917">
            <v>72.129277566539855</v>
          </cell>
          <cell r="G917">
            <v>26.225855513308041</v>
          </cell>
          <cell r="H917">
            <v>26.225855513308041</v>
          </cell>
          <cell r="I917" t="e">
            <v>#N/A</v>
          </cell>
          <cell r="J917" t="e">
            <v>#N/A</v>
          </cell>
          <cell r="K917">
            <v>64.799999999999983</v>
          </cell>
          <cell r="L917">
            <v>29.499999999999993</v>
          </cell>
          <cell r="M917" t="e">
            <v>#N/A</v>
          </cell>
          <cell r="N917">
            <v>47.6</v>
          </cell>
          <cell r="O917" t="e">
            <v>#N/A</v>
          </cell>
          <cell r="P917" t="str">
            <v/>
          </cell>
          <cell r="Q917" t="str">
            <v/>
          </cell>
          <cell r="R917" t="e">
            <v>#N/A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-12.2889733840305</v>
          </cell>
          <cell r="F918">
            <v>72.2220532319391</v>
          </cell>
          <cell r="G918">
            <v>26.184410646387889</v>
          </cell>
          <cell r="H918">
            <v>26.184410646387889</v>
          </cell>
          <cell r="I918" t="e">
            <v>#N/A</v>
          </cell>
          <cell r="J918" t="e">
            <v>#N/A</v>
          </cell>
          <cell r="K918">
            <v>64.799999999999983</v>
          </cell>
          <cell r="L918">
            <v>29.499999999999993</v>
          </cell>
          <cell r="M918" t="e">
            <v>#N/A</v>
          </cell>
          <cell r="N918">
            <v>47.6</v>
          </cell>
          <cell r="O918" t="e">
            <v>#N/A</v>
          </cell>
          <cell r="P918" t="str">
            <v/>
          </cell>
          <cell r="Q918" t="str">
            <v/>
          </cell>
          <cell r="R918" t="e">
            <v>#N/A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-12.442585551330881</v>
          </cell>
          <cell r="F919">
            <v>72.314828897338344</v>
          </cell>
          <cell r="G919">
            <v>26.142965779467737</v>
          </cell>
          <cell r="H919">
            <v>26.142965779467737</v>
          </cell>
          <cell r="I919" t="e">
            <v>#N/A</v>
          </cell>
          <cell r="J919" t="e">
            <v>#N/A</v>
          </cell>
          <cell r="K919">
            <v>64.799999999999983</v>
          </cell>
          <cell r="L919">
            <v>29.499999999999993</v>
          </cell>
          <cell r="M919" t="e">
            <v>#N/A</v>
          </cell>
          <cell r="N919">
            <v>47.6</v>
          </cell>
          <cell r="O919" t="e">
            <v>#N/A</v>
          </cell>
          <cell r="P919" t="str">
            <v/>
          </cell>
          <cell r="Q919" t="str">
            <v/>
          </cell>
          <cell r="R919" t="e">
            <v>#N/A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-12.596197718631261</v>
          </cell>
          <cell r="F920">
            <v>72.407604562737589</v>
          </cell>
          <cell r="G920">
            <v>26.101520912547585</v>
          </cell>
          <cell r="H920">
            <v>26.101520912547585</v>
          </cell>
          <cell r="I920" t="e">
            <v>#N/A</v>
          </cell>
          <cell r="J920" t="e">
            <v>#N/A</v>
          </cell>
          <cell r="K920">
            <v>64.799999999999983</v>
          </cell>
          <cell r="L920">
            <v>29.499999999999993</v>
          </cell>
          <cell r="M920" t="e">
            <v>#N/A</v>
          </cell>
          <cell r="N920">
            <v>47.6</v>
          </cell>
          <cell r="O920" t="e">
            <v>#N/A</v>
          </cell>
          <cell r="P920" t="str">
            <v/>
          </cell>
          <cell r="Q920" t="str">
            <v/>
          </cell>
          <cell r="R920" t="e">
            <v>#N/A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-12.749809885931642</v>
          </cell>
          <cell r="F921">
            <v>72.500380228136834</v>
          </cell>
          <cell r="G921">
            <v>26.060076045627433</v>
          </cell>
          <cell r="H921">
            <v>26.060076045627433</v>
          </cell>
          <cell r="I921" t="e">
            <v>#N/A</v>
          </cell>
          <cell r="J921" t="e">
            <v>#N/A</v>
          </cell>
          <cell r="K921">
            <v>64.799999999999983</v>
          </cell>
          <cell r="L921">
            <v>29.499999999999993</v>
          </cell>
          <cell r="M921" t="e">
            <v>#N/A</v>
          </cell>
          <cell r="N921">
            <v>47.6</v>
          </cell>
          <cell r="O921" t="e">
            <v>#N/A</v>
          </cell>
          <cell r="P921" t="str">
            <v/>
          </cell>
          <cell r="Q921" t="str">
            <v/>
          </cell>
          <cell r="R921" t="e">
            <v>#N/A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-12.903422053232022</v>
          </cell>
          <cell r="F922">
            <v>72.593155893536078</v>
          </cell>
          <cell r="G922">
            <v>26.018631178707281</v>
          </cell>
          <cell r="H922">
            <v>26.018631178707281</v>
          </cell>
          <cell r="I922" t="e">
            <v>#N/A</v>
          </cell>
          <cell r="J922" t="e">
            <v>#N/A</v>
          </cell>
          <cell r="K922">
            <v>64.799999999999983</v>
          </cell>
          <cell r="L922">
            <v>29.499999999999993</v>
          </cell>
          <cell r="M922" t="e">
            <v>#N/A</v>
          </cell>
          <cell r="N922">
            <v>47.6</v>
          </cell>
          <cell r="O922" t="e">
            <v>#N/A</v>
          </cell>
          <cell r="P922" t="str">
            <v/>
          </cell>
          <cell r="Q922" t="str">
            <v/>
          </cell>
          <cell r="R922" t="e">
            <v>#N/A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-13.057034220532403</v>
          </cell>
          <cell r="F923">
            <v>72.685931558935323</v>
          </cell>
          <cell r="G923">
            <v>25.977186311787129</v>
          </cell>
          <cell r="H923">
            <v>25.977186311787129</v>
          </cell>
          <cell r="I923" t="e">
            <v>#N/A</v>
          </cell>
          <cell r="J923" t="e">
            <v>#N/A</v>
          </cell>
          <cell r="K923">
            <v>64.799999999999983</v>
          </cell>
          <cell r="L923">
            <v>29.499999999999993</v>
          </cell>
          <cell r="M923" t="e">
            <v>#N/A</v>
          </cell>
          <cell r="N923">
            <v>47.6</v>
          </cell>
          <cell r="O923" t="e">
            <v>#N/A</v>
          </cell>
          <cell r="P923" t="str">
            <v/>
          </cell>
          <cell r="Q923" t="str">
            <v/>
          </cell>
          <cell r="R923" t="e">
            <v>#N/A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-13.210646387832783</v>
          </cell>
          <cell r="F924">
            <v>72.778707224334568</v>
          </cell>
          <cell r="G924">
            <v>25.935741444866977</v>
          </cell>
          <cell r="H924">
            <v>25.935741444866977</v>
          </cell>
          <cell r="I924" t="e">
            <v>#N/A</v>
          </cell>
          <cell r="J924" t="e">
            <v>#N/A</v>
          </cell>
          <cell r="K924">
            <v>64.799999999999983</v>
          </cell>
          <cell r="L924">
            <v>29.499999999999993</v>
          </cell>
          <cell r="M924" t="e">
            <v>#N/A</v>
          </cell>
          <cell r="N924">
            <v>47.6</v>
          </cell>
          <cell r="O924" t="e">
            <v>#N/A</v>
          </cell>
          <cell r="P924" t="str">
            <v/>
          </cell>
          <cell r="Q924" t="str">
            <v/>
          </cell>
          <cell r="R924" t="e">
            <v>#N/A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-13.364258555133164</v>
          </cell>
          <cell r="F925">
            <v>72.871482889733812</v>
          </cell>
          <cell r="G925">
            <v>25.894296577946825</v>
          </cell>
          <cell r="H925">
            <v>25.894296577946825</v>
          </cell>
          <cell r="I925" t="e">
            <v>#N/A</v>
          </cell>
          <cell r="J925" t="e">
            <v>#N/A</v>
          </cell>
          <cell r="K925">
            <v>64.799999999999983</v>
          </cell>
          <cell r="L925">
            <v>29.499999999999993</v>
          </cell>
          <cell r="M925" t="e">
            <v>#N/A</v>
          </cell>
          <cell r="N925">
            <v>47.6</v>
          </cell>
          <cell r="O925" t="e">
            <v>#N/A</v>
          </cell>
          <cell r="P925" t="str">
            <v/>
          </cell>
          <cell r="Q925" t="str">
            <v/>
          </cell>
          <cell r="R925" t="e">
            <v>#N/A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-13.517870722433544</v>
          </cell>
          <cell r="F926">
            <v>72.964258555133057</v>
          </cell>
          <cell r="G926">
            <v>25.852851711026673</v>
          </cell>
          <cell r="H926">
            <v>25.852851711026673</v>
          </cell>
          <cell r="I926" t="e">
            <v>#N/A</v>
          </cell>
          <cell r="J926" t="e">
            <v>#N/A</v>
          </cell>
          <cell r="K926">
            <v>64.799999999999983</v>
          </cell>
          <cell r="L926">
            <v>29.499999999999993</v>
          </cell>
          <cell r="M926" t="e">
            <v>#N/A</v>
          </cell>
          <cell r="N926">
            <v>47.6</v>
          </cell>
          <cell r="O926" t="e">
            <v>#N/A</v>
          </cell>
          <cell r="P926" t="str">
            <v/>
          </cell>
          <cell r="Q926" t="str">
            <v/>
          </cell>
          <cell r="R926" t="e">
            <v>#N/A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-13.671482889733925</v>
          </cell>
          <cell r="F927">
            <v>73.057034220532302</v>
          </cell>
          <cell r="G927">
            <v>25.811406844106521</v>
          </cell>
          <cell r="H927">
            <v>25.811406844106521</v>
          </cell>
          <cell r="I927" t="e">
            <v>#N/A</v>
          </cell>
          <cell r="J927" t="e">
            <v>#N/A</v>
          </cell>
          <cell r="K927">
            <v>64.799999999999983</v>
          </cell>
          <cell r="L927">
            <v>29.499999999999993</v>
          </cell>
          <cell r="M927" t="e">
            <v>#N/A</v>
          </cell>
          <cell r="N927">
            <v>47.6</v>
          </cell>
          <cell r="O927" t="e">
            <v>#N/A</v>
          </cell>
          <cell r="P927" t="str">
            <v/>
          </cell>
          <cell r="Q927" t="str">
            <v/>
          </cell>
          <cell r="R927" t="e">
            <v>#N/A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-13.825095057034305</v>
          </cell>
          <cell r="F928">
            <v>73.149809885931546</v>
          </cell>
          <cell r="G928">
            <v>25.769961977186369</v>
          </cell>
          <cell r="H928">
            <v>25.769961977186369</v>
          </cell>
          <cell r="I928" t="e">
            <v>#N/A</v>
          </cell>
          <cell r="J928" t="e">
            <v>#N/A</v>
          </cell>
          <cell r="K928">
            <v>64.799999999999983</v>
          </cell>
          <cell r="L928">
            <v>29.499999999999993</v>
          </cell>
          <cell r="M928" t="e">
            <v>#N/A</v>
          </cell>
          <cell r="N928">
            <v>47.6</v>
          </cell>
          <cell r="O928" t="e">
            <v>#N/A</v>
          </cell>
          <cell r="P928" t="str">
            <v/>
          </cell>
          <cell r="Q928" t="str">
            <v/>
          </cell>
          <cell r="R928" t="e">
            <v>#N/A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-13.978707224334686</v>
          </cell>
          <cell r="F929">
            <v>73.242585551330791</v>
          </cell>
          <cell r="G929">
            <v>25.728517110266218</v>
          </cell>
          <cell r="H929">
            <v>25.728517110266218</v>
          </cell>
          <cell r="I929" t="e">
            <v>#N/A</v>
          </cell>
          <cell r="J929" t="e">
            <v>#N/A</v>
          </cell>
          <cell r="K929">
            <v>64.799999999999983</v>
          </cell>
          <cell r="L929">
            <v>29.499999999999993</v>
          </cell>
          <cell r="M929" t="e">
            <v>#N/A</v>
          </cell>
          <cell r="N929">
            <v>47.6</v>
          </cell>
          <cell r="O929" t="e">
            <v>#N/A</v>
          </cell>
          <cell r="P929" t="str">
            <v/>
          </cell>
          <cell r="Q929" t="str">
            <v/>
          </cell>
          <cell r="R929" t="e">
            <v>#N/A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-14.132319391635066</v>
          </cell>
          <cell r="F930">
            <v>73.335361216730035</v>
          </cell>
          <cell r="G930">
            <v>25.687072243346066</v>
          </cell>
          <cell r="H930">
            <v>25.687072243346066</v>
          </cell>
          <cell r="I930" t="e">
            <v>#N/A</v>
          </cell>
          <cell r="J930" t="e">
            <v>#N/A</v>
          </cell>
          <cell r="K930">
            <v>64.799999999999983</v>
          </cell>
          <cell r="L930">
            <v>29.499999999999993</v>
          </cell>
          <cell r="M930" t="e">
            <v>#N/A</v>
          </cell>
          <cell r="N930">
            <v>47.6</v>
          </cell>
          <cell r="O930" t="e">
            <v>#N/A</v>
          </cell>
          <cell r="P930" t="str">
            <v/>
          </cell>
          <cell r="Q930" t="str">
            <v/>
          </cell>
          <cell r="R930" t="e">
            <v>#N/A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-14.285931558935447</v>
          </cell>
          <cell r="F931">
            <v>73.42813688212928</v>
          </cell>
          <cell r="G931">
            <v>25.645627376425914</v>
          </cell>
          <cell r="H931">
            <v>25.645627376425914</v>
          </cell>
          <cell r="I931" t="e">
            <v>#N/A</v>
          </cell>
          <cell r="J931" t="e">
            <v>#N/A</v>
          </cell>
          <cell r="K931">
            <v>64.799999999999983</v>
          </cell>
          <cell r="L931">
            <v>29.499999999999993</v>
          </cell>
          <cell r="M931" t="e">
            <v>#N/A</v>
          </cell>
          <cell r="N931">
            <v>47.6</v>
          </cell>
          <cell r="O931" t="e">
            <v>#N/A</v>
          </cell>
          <cell r="P931" t="str">
            <v/>
          </cell>
          <cell r="Q931" t="str">
            <v/>
          </cell>
          <cell r="R931" t="e">
            <v>#N/A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-14.439543726235827</v>
          </cell>
          <cell r="F932">
            <v>73.520912547528525</v>
          </cell>
          <cell r="G932">
            <v>25.604182509505762</v>
          </cell>
          <cell r="H932">
            <v>25.604182509505762</v>
          </cell>
          <cell r="I932" t="e">
            <v>#N/A</v>
          </cell>
          <cell r="J932" t="e">
            <v>#N/A</v>
          </cell>
          <cell r="K932">
            <v>64.799999999999983</v>
          </cell>
          <cell r="L932">
            <v>29.499999999999993</v>
          </cell>
          <cell r="M932" t="e">
            <v>#N/A</v>
          </cell>
          <cell r="N932">
            <v>47.6</v>
          </cell>
          <cell r="O932" t="e">
            <v>#N/A</v>
          </cell>
          <cell r="P932" t="str">
            <v/>
          </cell>
          <cell r="Q932" t="str">
            <v/>
          </cell>
          <cell r="R932" t="e">
            <v>#N/A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-14.593155893536208</v>
          </cell>
          <cell r="F933">
            <v>73.613688212927769</v>
          </cell>
          <cell r="G933">
            <v>25.56273764258561</v>
          </cell>
          <cell r="H933">
            <v>25.56273764258561</v>
          </cell>
          <cell r="I933" t="e">
            <v>#N/A</v>
          </cell>
          <cell r="J933" t="e">
            <v>#N/A</v>
          </cell>
          <cell r="K933">
            <v>64.799999999999983</v>
          </cell>
          <cell r="L933">
            <v>29.499999999999993</v>
          </cell>
          <cell r="M933" t="e">
            <v>#N/A</v>
          </cell>
          <cell r="N933">
            <v>47.6</v>
          </cell>
          <cell r="O933" t="e">
            <v>#N/A</v>
          </cell>
          <cell r="P933" t="str">
            <v/>
          </cell>
          <cell r="Q933" t="str">
            <v/>
          </cell>
          <cell r="R933" t="e">
            <v>#N/A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-14.746768060836589</v>
          </cell>
          <cell r="F934">
            <v>73.706463878327014</v>
          </cell>
          <cell r="G934">
            <v>25.521292775665458</v>
          </cell>
          <cell r="H934">
            <v>25.521292775665458</v>
          </cell>
          <cell r="I934" t="e">
            <v>#N/A</v>
          </cell>
          <cell r="J934" t="e">
            <v>#N/A</v>
          </cell>
          <cell r="K934">
            <v>64.799999999999983</v>
          </cell>
          <cell r="L934">
            <v>29.499999999999993</v>
          </cell>
          <cell r="M934" t="e">
            <v>#N/A</v>
          </cell>
          <cell r="N934">
            <v>47.6</v>
          </cell>
          <cell r="O934" t="e">
            <v>#N/A</v>
          </cell>
          <cell r="P934" t="str">
            <v/>
          </cell>
          <cell r="Q934" t="str">
            <v/>
          </cell>
          <cell r="R934" t="e">
            <v>#N/A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-14.900380228136969</v>
          </cell>
          <cell r="F935">
            <v>73.799239543726259</v>
          </cell>
          <cell r="G935">
            <v>25.479847908745306</v>
          </cell>
          <cell r="H935">
            <v>25.479847908745306</v>
          </cell>
          <cell r="I935" t="e">
            <v>#N/A</v>
          </cell>
          <cell r="J935" t="e">
            <v>#N/A</v>
          </cell>
          <cell r="K935">
            <v>64.799999999999983</v>
          </cell>
          <cell r="L935">
            <v>29.499999999999993</v>
          </cell>
          <cell r="M935" t="e">
            <v>#N/A</v>
          </cell>
          <cell r="N935">
            <v>47.6</v>
          </cell>
          <cell r="O935" t="e">
            <v>#N/A</v>
          </cell>
          <cell r="P935" t="str">
            <v/>
          </cell>
          <cell r="Q935" t="str">
            <v/>
          </cell>
          <cell r="R935" t="e">
            <v>#N/A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-15.05399239543735</v>
          </cell>
          <cell r="F936">
            <v>73.892015209125503</v>
          </cell>
          <cell r="G936">
            <v>25.438403041825154</v>
          </cell>
          <cell r="H936">
            <v>25.438403041825154</v>
          </cell>
          <cell r="I936" t="e">
            <v>#N/A</v>
          </cell>
          <cell r="J936" t="e">
            <v>#N/A</v>
          </cell>
          <cell r="K936">
            <v>64.799999999999983</v>
          </cell>
          <cell r="L936">
            <v>29.499999999999993</v>
          </cell>
          <cell r="M936" t="e">
            <v>#N/A</v>
          </cell>
          <cell r="N936">
            <v>47.6</v>
          </cell>
          <cell r="O936" t="e">
            <v>#N/A</v>
          </cell>
          <cell r="P936" t="str">
            <v/>
          </cell>
          <cell r="Q936" t="str">
            <v/>
          </cell>
          <cell r="R936" t="e">
            <v>#N/A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-15.20760456273773</v>
          </cell>
          <cell r="F937">
            <v>73.984790874524748</v>
          </cell>
          <cell r="G937">
            <v>25.396958174905002</v>
          </cell>
          <cell r="H937">
            <v>25.396958174905002</v>
          </cell>
          <cell r="I937" t="e">
            <v>#N/A</v>
          </cell>
          <cell r="J937" t="e">
            <v>#N/A</v>
          </cell>
          <cell r="K937">
            <v>64.799999999999983</v>
          </cell>
          <cell r="L937">
            <v>29.499999999999993</v>
          </cell>
          <cell r="M937" t="e">
            <v>#N/A</v>
          </cell>
          <cell r="N937">
            <v>47.6</v>
          </cell>
          <cell r="O937" t="e">
            <v>#N/A</v>
          </cell>
          <cell r="P937" t="str">
            <v/>
          </cell>
          <cell r="Q937" t="str">
            <v/>
          </cell>
          <cell r="R937" t="e">
            <v>#N/A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-15.361216730038111</v>
          </cell>
          <cell r="F938">
            <v>74.077566539923993</v>
          </cell>
          <cell r="G938">
            <v>25.35551330798485</v>
          </cell>
          <cell r="H938">
            <v>25.35551330798485</v>
          </cell>
          <cell r="I938" t="e">
            <v>#N/A</v>
          </cell>
          <cell r="J938" t="e">
            <v>#N/A</v>
          </cell>
          <cell r="K938">
            <v>64.799999999999983</v>
          </cell>
          <cell r="L938">
            <v>29.499999999999993</v>
          </cell>
          <cell r="M938" t="e">
            <v>#N/A</v>
          </cell>
          <cell r="N938">
            <v>47.6</v>
          </cell>
          <cell r="O938" t="e">
            <v>#N/A</v>
          </cell>
          <cell r="P938" t="str">
            <v/>
          </cell>
          <cell r="Q938" t="str">
            <v/>
          </cell>
          <cell r="R938" t="e">
            <v>#N/A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-15.514828897338491</v>
          </cell>
          <cell r="F939">
            <v>74.170342205323237</v>
          </cell>
          <cell r="G939">
            <v>25.314068441064698</v>
          </cell>
          <cell r="H939">
            <v>25.314068441064698</v>
          </cell>
          <cell r="I939" t="e">
            <v>#N/A</v>
          </cell>
          <cell r="J939" t="e">
            <v>#N/A</v>
          </cell>
          <cell r="K939">
            <v>64.799999999999983</v>
          </cell>
          <cell r="L939">
            <v>29.499999999999993</v>
          </cell>
          <cell r="M939" t="e">
            <v>#N/A</v>
          </cell>
          <cell r="N939">
            <v>47.6</v>
          </cell>
          <cell r="O939" t="e">
            <v>#N/A</v>
          </cell>
          <cell r="P939" t="str">
            <v/>
          </cell>
          <cell r="Q939" t="str">
            <v/>
          </cell>
          <cell r="R939" t="e">
            <v>#N/A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-15.668441064638872</v>
          </cell>
          <cell r="F940">
            <v>74.263117870722482</v>
          </cell>
          <cell r="G940">
            <v>25.272623574144546</v>
          </cell>
          <cell r="H940">
            <v>25.272623574144546</v>
          </cell>
          <cell r="I940" t="e">
            <v>#N/A</v>
          </cell>
          <cell r="J940" t="e">
            <v>#N/A</v>
          </cell>
          <cell r="K940">
            <v>64.799999999999983</v>
          </cell>
          <cell r="L940">
            <v>29.499999999999993</v>
          </cell>
          <cell r="M940" t="e">
            <v>#N/A</v>
          </cell>
          <cell r="N940">
            <v>47.6</v>
          </cell>
          <cell r="O940" t="e">
            <v>#N/A</v>
          </cell>
          <cell r="P940" t="str">
            <v/>
          </cell>
          <cell r="Q940" t="str">
            <v/>
          </cell>
          <cell r="R940" t="e">
            <v>#N/A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-15.822053231939252</v>
          </cell>
          <cell r="F941">
            <v>74.355893536121727</v>
          </cell>
          <cell r="G941">
            <v>25.231178707224394</v>
          </cell>
          <cell r="H941">
            <v>25.231178707224394</v>
          </cell>
          <cell r="I941" t="e">
            <v>#N/A</v>
          </cell>
          <cell r="J941" t="e">
            <v>#N/A</v>
          </cell>
          <cell r="K941">
            <v>64.799999999999983</v>
          </cell>
          <cell r="L941">
            <v>29.499999999999993</v>
          </cell>
          <cell r="M941" t="e">
            <v>#N/A</v>
          </cell>
          <cell r="N941">
            <v>47.6</v>
          </cell>
          <cell r="O941" t="e">
            <v>#N/A</v>
          </cell>
          <cell r="P941" t="str">
            <v/>
          </cell>
          <cell r="Q941" t="str">
            <v/>
          </cell>
          <cell r="R941" t="e">
            <v>#N/A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-15.975665399239633</v>
          </cell>
          <cell r="F942">
            <v>74.448669201520971</v>
          </cell>
          <cell r="G942">
            <v>25.189733840304243</v>
          </cell>
          <cell r="H942">
            <v>25.189733840304243</v>
          </cell>
          <cell r="I942" t="e">
            <v>#N/A</v>
          </cell>
          <cell r="J942" t="e">
            <v>#N/A</v>
          </cell>
          <cell r="K942">
            <v>64.799999999999983</v>
          </cell>
          <cell r="L942">
            <v>29.499999999999993</v>
          </cell>
          <cell r="M942" t="e">
            <v>#N/A</v>
          </cell>
          <cell r="N942">
            <v>47.6</v>
          </cell>
          <cell r="O942" t="e">
            <v>#N/A</v>
          </cell>
          <cell r="P942" t="str">
            <v/>
          </cell>
          <cell r="Q942" t="str">
            <v/>
          </cell>
          <cell r="R942" t="e">
            <v>#N/A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-16.129277566540011</v>
          </cell>
          <cell r="F943">
            <v>74.541444866920216</v>
          </cell>
          <cell r="G943">
            <v>25.148288973384091</v>
          </cell>
          <cell r="H943">
            <v>25.148288973384091</v>
          </cell>
          <cell r="I943" t="e">
            <v>#N/A</v>
          </cell>
          <cell r="J943" t="e">
            <v>#N/A</v>
          </cell>
          <cell r="K943">
            <v>64.799999999999983</v>
          </cell>
          <cell r="L943">
            <v>29.499999999999993</v>
          </cell>
          <cell r="M943" t="e">
            <v>#N/A</v>
          </cell>
          <cell r="N943">
            <v>47.6</v>
          </cell>
          <cell r="O943" t="e">
            <v>#N/A</v>
          </cell>
          <cell r="P943" t="str">
            <v/>
          </cell>
          <cell r="Q943" t="str">
            <v/>
          </cell>
          <cell r="R943" t="e">
            <v>#N/A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-16.282889733840392</v>
          </cell>
          <cell r="F944">
            <v>74.634220532319461</v>
          </cell>
          <cell r="G944">
            <v>25.106844106463939</v>
          </cell>
          <cell r="H944">
            <v>25.106844106463939</v>
          </cell>
          <cell r="I944" t="e">
            <v>#N/A</v>
          </cell>
          <cell r="J944" t="e">
            <v>#N/A</v>
          </cell>
          <cell r="K944">
            <v>64.799999999999983</v>
          </cell>
          <cell r="L944">
            <v>29.499999999999993</v>
          </cell>
          <cell r="M944" t="e">
            <v>#N/A</v>
          </cell>
          <cell r="N944">
            <v>47.6</v>
          </cell>
          <cell r="O944" t="e">
            <v>#N/A</v>
          </cell>
          <cell r="P944" t="str">
            <v/>
          </cell>
          <cell r="Q944" t="str">
            <v/>
          </cell>
          <cell r="R944" t="e">
            <v>#N/A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-16.436501901140772</v>
          </cell>
          <cell r="F945">
            <v>74.726996197718705</v>
          </cell>
          <cell r="G945">
            <v>25.065399239543787</v>
          </cell>
          <cell r="H945">
            <v>25.065399239543787</v>
          </cell>
          <cell r="I945" t="e">
            <v>#N/A</v>
          </cell>
          <cell r="J945" t="e">
            <v>#N/A</v>
          </cell>
          <cell r="K945">
            <v>64.799999999999983</v>
          </cell>
          <cell r="L945">
            <v>29.499999999999993</v>
          </cell>
          <cell r="M945" t="e">
            <v>#N/A</v>
          </cell>
          <cell r="N945">
            <v>47.6</v>
          </cell>
          <cell r="O945" t="e">
            <v>#N/A</v>
          </cell>
          <cell r="P945" t="str">
            <v/>
          </cell>
          <cell r="Q945" t="str">
            <v/>
          </cell>
          <cell r="R945" t="e">
            <v>#N/A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-16.590114068441153</v>
          </cell>
          <cell r="F946">
            <v>74.81977186311795</v>
          </cell>
          <cell r="G946">
            <v>25.023954372623635</v>
          </cell>
          <cell r="H946">
            <v>25.023954372623635</v>
          </cell>
          <cell r="I946" t="e">
            <v>#N/A</v>
          </cell>
          <cell r="J946" t="e">
            <v>#N/A</v>
          </cell>
          <cell r="K946">
            <v>64.799999999999983</v>
          </cell>
          <cell r="L946">
            <v>29.499999999999993</v>
          </cell>
          <cell r="M946" t="e">
            <v>#N/A</v>
          </cell>
          <cell r="N946">
            <v>47.6</v>
          </cell>
          <cell r="O946" t="e">
            <v>#N/A</v>
          </cell>
          <cell r="P946" t="str">
            <v/>
          </cell>
          <cell r="Q946" t="str">
            <v/>
          </cell>
          <cell r="R946" t="e">
            <v>#N/A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-16.743726235741534</v>
          </cell>
          <cell r="F947">
            <v>74.912547528517194</v>
          </cell>
          <cell r="G947">
            <v>24.982509505703483</v>
          </cell>
          <cell r="H947">
            <v>24.982509505703483</v>
          </cell>
          <cell r="I947" t="e">
            <v>#N/A</v>
          </cell>
          <cell r="J947" t="e">
            <v>#N/A</v>
          </cell>
          <cell r="K947">
            <v>64.799999999999983</v>
          </cell>
          <cell r="L947">
            <v>29.499999999999993</v>
          </cell>
          <cell r="M947" t="e">
            <v>#N/A</v>
          </cell>
          <cell r="N947">
            <v>47.6</v>
          </cell>
          <cell r="O947" t="e">
            <v>#N/A</v>
          </cell>
          <cell r="P947" t="str">
            <v/>
          </cell>
          <cell r="Q947" t="str">
            <v/>
          </cell>
          <cell r="R947" t="e">
            <v>#N/A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-16.897338403041914</v>
          </cell>
          <cell r="F948">
            <v>75.005323193916439</v>
          </cell>
          <cell r="G948">
            <v>24.941064638783331</v>
          </cell>
          <cell r="H948">
            <v>24.941064638783331</v>
          </cell>
          <cell r="I948" t="e">
            <v>#N/A</v>
          </cell>
          <cell r="J948" t="e">
            <v>#N/A</v>
          </cell>
          <cell r="K948">
            <v>64.799999999999983</v>
          </cell>
          <cell r="L948">
            <v>29.499999999999993</v>
          </cell>
          <cell r="M948" t="e">
            <v>#N/A</v>
          </cell>
          <cell r="N948">
            <v>47.6</v>
          </cell>
          <cell r="O948" t="e">
            <v>#N/A</v>
          </cell>
          <cell r="P948" t="str">
            <v/>
          </cell>
          <cell r="Q948" t="str">
            <v/>
          </cell>
          <cell r="R948" t="e">
            <v>#N/A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-17.050950570342295</v>
          </cell>
          <cell r="F949">
            <v>75.098098859315684</v>
          </cell>
          <cell r="G949">
            <v>24.899619771863179</v>
          </cell>
          <cell r="H949">
            <v>24.899619771863179</v>
          </cell>
          <cell r="I949" t="e">
            <v>#N/A</v>
          </cell>
          <cell r="J949" t="e">
            <v>#N/A</v>
          </cell>
          <cell r="K949">
            <v>64.799999999999983</v>
          </cell>
          <cell r="L949">
            <v>29.499999999999993</v>
          </cell>
          <cell r="M949" t="e">
            <v>#N/A</v>
          </cell>
          <cell r="N949">
            <v>47.6</v>
          </cell>
          <cell r="O949" t="e">
            <v>#N/A</v>
          </cell>
          <cell r="P949" t="str">
            <v/>
          </cell>
          <cell r="Q949" t="str">
            <v/>
          </cell>
          <cell r="R949" t="e">
            <v>#N/A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-17.204562737642675</v>
          </cell>
          <cell r="F950">
            <v>75.190874524714928</v>
          </cell>
          <cell r="G950">
            <v>24.858174904943027</v>
          </cell>
          <cell r="H950">
            <v>24.858174904943027</v>
          </cell>
          <cell r="I950" t="e">
            <v>#N/A</v>
          </cell>
          <cell r="J950" t="e">
            <v>#N/A</v>
          </cell>
          <cell r="K950">
            <v>64.799999999999983</v>
          </cell>
          <cell r="L950">
            <v>29.499999999999993</v>
          </cell>
          <cell r="M950" t="e">
            <v>#N/A</v>
          </cell>
          <cell r="N950">
            <v>47.6</v>
          </cell>
          <cell r="O950" t="e">
            <v>#N/A</v>
          </cell>
          <cell r="P950" t="str">
            <v/>
          </cell>
          <cell r="Q950" t="str">
            <v/>
          </cell>
          <cell r="R950" t="e">
            <v>#N/A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-17.358174904943056</v>
          </cell>
          <cell r="F951">
            <v>75.283650190114173</v>
          </cell>
          <cell r="G951">
            <v>24.816730038022875</v>
          </cell>
          <cell r="H951">
            <v>24.816730038022875</v>
          </cell>
          <cell r="I951" t="e">
            <v>#N/A</v>
          </cell>
          <cell r="J951" t="e">
            <v>#N/A</v>
          </cell>
          <cell r="K951">
            <v>64.799999999999983</v>
          </cell>
          <cell r="L951">
            <v>29.499999999999993</v>
          </cell>
          <cell r="M951" t="e">
            <v>#N/A</v>
          </cell>
          <cell r="N951">
            <v>47.6</v>
          </cell>
          <cell r="O951" t="e">
            <v>#N/A</v>
          </cell>
          <cell r="P951" t="str">
            <v/>
          </cell>
          <cell r="Q951" t="str">
            <v/>
          </cell>
          <cell r="R951" t="e">
            <v>#N/A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-17.511787072243436</v>
          </cell>
          <cell r="F952">
            <v>75.376425855513418</v>
          </cell>
          <cell r="G952">
            <v>24.775285171102723</v>
          </cell>
          <cell r="H952">
            <v>24.775285171102723</v>
          </cell>
          <cell r="I952" t="e">
            <v>#N/A</v>
          </cell>
          <cell r="J952" t="e">
            <v>#N/A</v>
          </cell>
          <cell r="K952">
            <v>64.799999999999983</v>
          </cell>
          <cell r="L952">
            <v>29.499999999999993</v>
          </cell>
          <cell r="M952" t="e">
            <v>#N/A</v>
          </cell>
          <cell r="N952">
            <v>47.6</v>
          </cell>
          <cell r="O952" t="e">
            <v>#N/A</v>
          </cell>
          <cell r="P952" t="str">
            <v/>
          </cell>
          <cell r="Q952" t="str">
            <v/>
          </cell>
          <cell r="R952" t="e">
            <v>#N/A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-17.665399239543817</v>
          </cell>
          <cell r="F953">
            <v>75.469201520912662</v>
          </cell>
          <cell r="G953">
            <v>24.733840304182571</v>
          </cell>
          <cell r="H953">
            <v>24.733840304182571</v>
          </cell>
          <cell r="I953" t="e">
            <v>#N/A</v>
          </cell>
          <cell r="J953" t="e">
            <v>#N/A</v>
          </cell>
          <cell r="K953">
            <v>64.799999999999983</v>
          </cell>
          <cell r="L953">
            <v>29.499999999999993</v>
          </cell>
          <cell r="M953" t="e">
            <v>#N/A</v>
          </cell>
          <cell r="N953">
            <v>47.6</v>
          </cell>
          <cell r="O953" t="e">
            <v>#N/A</v>
          </cell>
          <cell r="P953" t="str">
            <v/>
          </cell>
          <cell r="Q953" t="str">
            <v/>
          </cell>
          <cell r="R953" t="e">
            <v>#N/A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-17.819011406844197</v>
          </cell>
          <cell r="F954">
            <v>75.561977186311907</v>
          </cell>
          <cell r="G954">
            <v>24.692395437262419</v>
          </cell>
          <cell r="H954">
            <v>24.692395437262419</v>
          </cell>
          <cell r="I954" t="e">
            <v>#N/A</v>
          </cell>
          <cell r="J954" t="e">
            <v>#N/A</v>
          </cell>
          <cell r="K954">
            <v>64.799999999999983</v>
          </cell>
          <cell r="L954">
            <v>29.499999999999993</v>
          </cell>
          <cell r="M954" t="e">
            <v>#N/A</v>
          </cell>
          <cell r="N954">
            <v>47.6</v>
          </cell>
          <cell r="O954" t="e">
            <v>#N/A</v>
          </cell>
          <cell r="P954" t="str">
            <v/>
          </cell>
          <cell r="Q954" t="str">
            <v/>
          </cell>
          <cell r="R954" t="e">
            <v>#N/A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-17.972623574144578</v>
          </cell>
          <cell r="F955">
            <v>75.654752851711152</v>
          </cell>
          <cell r="G955">
            <v>24.650950570342268</v>
          </cell>
          <cell r="H955">
            <v>24.650950570342268</v>
          </cell>
          <cell r="I955" t="e">
            <v>#N/A</v>
          </cell>
          <cell r="J955" t="e">
            <v>#N/A</v>
          </cell>
          <cell r="K955">
            <v>64.799999999999983</v>
          </cell>
          <cell r="L955">
            <v>29.499999999999993</v>
          </cell>
          <cell r="M955" t="e">
            <v>#N/A</v>
          </cell>
          <cell r="N955">
            <v>47.6</v>
          </cell>
          <cell r="O955" t="e">
            <v>#N/A</v>
          </cell>
          <cell r="P955" t="str">
            <v/>
          </cell>
          <cell r="Q955" t="str">
            <v/>
          </cell>
          <cell r="R955" t="e">
            <v>#N/A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-18.126235741444958</v>
          </cell>
          <cell r="F956">
            <v>75.747528517110396</v>
          </cell>
          <cell r="G956">
            <v>24.609505703422116</v>
          </cell>
          <cell r="H956">
            <v>24.609505703422116</v>
          </cell>
          <cell r="I956" t="e">
            <v>#N/A</v>
          </cell>
          <cell r="J956" t="e">
            <v>#N/A</v>
          </cell>
          <cell r="K956">
            <v>64.799999999999983</v>
          </cell>
          <cell r="L956">
            <v>29.499999999999993</v>
          </cell>
          <cell r="M956" t="e">
            <v>#N/A</v>
          </cell>
          <cell r="N956">
            <v>47.6</v>
          </cell>
          <cell r="O956" t="e">
            <v>#N/A</v>
          </cell>
          <cell r="P956" t="str">
            <v/>
          </cell>
          <cell r="Q956" t="str">
            <v/>
          </cell>
          <cell r="R956" t="e">
            <v>#N/A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-18.279847908745339</v>
          </cell>
          <cell r="F957">
            <v>75.840304182509641</v>
          </cell>
          <cell r="G957">
            <v>24.568060836501964</v>
          </cell>
          <cell r="H957">
            <v>24.568060836501964</v>
          </cell>
          <cell r="I957" t="e">
            <v>#N/A</v>
          </cell>
          <cell r="J957" t="e">
            <v>#N/A</v>
          </cell>
          <cell r="K957">
            <v>64.799999999999983</v>
          </cell>
          <cell r="L957">
            <v>29.499999999999993</v>
          </cell>
          <cell r="M957" t="e">
            <v>#N/A</v>
          </cell>
          <cell r="N957">
            <v>47.6</v>
          </cell>
          <cell r="O957" t="e">
            <v>#N/A</v>
          </cell>
          <cell r="P957" t="str">
            <v/>
          </cell>
          <cell r="Q957" t="str">
            <v/>
          </cell>
          <cell r="R957" t="e">
            <v>#N/A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-18.433460076045719</v>
          </cell>
          <cell r="F958">
            <v>75.933079847908886</v>
          </cell>
          <cell r="G958">
            <v>24.526615969581812</v>
          </cell>
          <cell r="H958">
            <v>24.526615969581812</v>
          </cell>
          <cell r="I958" t="e">
            <v>#N/A</v>
          </cell>
          <cell r="J958" t="e">
            <v>#N/A</v>
          </cell>
          <cell r="K958">
            <v>64.799999999999983</v>
          </cell>
          <cell r="L958">
            <v>29.499999999999993</v>
          </cell>
          <cell r="M958" t="e">
            <v>#N/A</v>
          </cell>
          <cell r="N958">
            <v>47.6</v>
          </cell>
          <cell r="O958" t="e">
            <v>#N/A</v>
          </cell>
          <cell r="P958" t="str">
            <v/>
          </cell>
          <cell r="Q958" t="str">
            <v/>
          </cell>
          <cell r="R958" t="e">
            <v>#N/A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-18.5870722433461</v>
          </cell>
          <cell r="F959">
            <v>76.02585551330813</v>
          </cell>
          <cell r="G959">
            <v>24.48517110266166</v>
          </cell>
          <cell r="H959">
            <v>24.48517110266166</v>
          </cell>
          <cell r="I959" t="e">
            <v>#N/A</v>
          </cell>
          <cell r="J959" t="e">
            <v>#N/A</v>
          </cell>
          <cell r="K959">
            <v>64.799999999999983</v>
          </cell>
          <cell r="L959">
            <v>29.499999999999993</v>
          </cell>
          <cell r="M959" t="e">
            <v>#N/A</v>
          </cell>
          <cell r="N959">
            <v>47.6</v>
          </cell>
          <cell r="O959" t="e">
            <v>#N/A</v>
          </cell>
          <cell r="P959" t="str">
            <v/>
          </cell>
          <cell r="Q959" t="str">
            <v/>
          </cell>
          <cell r="R959" t="e">
            <v>#N/A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-18.74068441064648</v>
          </cell>
          <cell r="F960">
            <v>76.118631178707375</v>
          </cell>
          <cell r="G960">
            <v>24.443726235741508</v>
          </cell>
          <cell r="H960">
            <v>24.443726235741508</v>
          </cell>
          <cell r="I960" t="e">
            <v>#N/A</v>
          </cell>
          <cell r="J960" t="e">
            <v>#N/A</v>
          </cell>
          <cell r="K960">
            <v>64.799999999999983</v>
          </cell>
          <cell r="L960">
            <v>29.499999999999993</v>
          </cell>
          <cell r="M960" t="e">
            <v>#N/A</v>
          </cell>
          <cell r="N960">
            <v>47.6</v>
          </cell>
          <cell r="O960" t="e">
            <v>#N/A</v>
          </cell>
          <cell r="P960" t="str">
            <v/>
          </cell>
          <cell r="Q960" t="str">
            <v/>
          </cell>
          <cell r="R960" t="e">
            <v>#N/A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-18.894296577946861</v>
          </cell>
          <cell r="F961">
            <v>76.211406844106619</v>
          </cell>
          <cell r="G961">
            <v>24.402281368821356</v>
          </cell>
          <cell r="H961">
            <v>24.402281368821356</v>
          </cell>
          <cell r="I961" t="e">
            <v>#N/A</v>
          </cell>
          <cell r="J961" t="e">
            <v>#N/A</v>
          </cell>
          <cell r="K961">
            <v>64.799999999999983</v>
          </cell>
          <cell r="L961">
            <v>29.499999999999993</v>
          </cell>
          <cell r="M961" t="e">
            <v>#N/A</v>
          </cell>
          <cell r="N961">
            <v>47.6</v>
          </cell>
          <cell r="O961" t="e">
            <v>#N/A</v>
          </cell>
          <cell r="P961" t="str">
            <v/>
          </cell>
          <cell r="Q961" t="str">
            <v/>
          </cell>
          <cell r="R961" t="e">
            <v>#N/A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-19.047908745247241</v>
          </cell>
          <cell r="F962">
            <v>76.304182509505864</v>
          </cell>
          <cell r="G962">
            <v>24.360836501901204</v>
          </cell>
          <cell r="H962">
            <v>24.360836501901204</v>
          </cell>
          <cell r="I962" t="e">
            <v>#N/A</v>
          </cell>
          <cell r="J962" t="e">
            <v>#N/A</v>
          </cell>
          <cell r="K962">
            <v>64.799999999999983</v>
          </cell>
          <cell r="L962">
            <v>29.499999999999993</v>
          </cell>
          <cell r="M962" t="e">
            <v>#N/A</v>
          </cell>
          <cell r="N962">
            <v>47.6</v>
          </cell>
          <cell r="O962" t="e">
            <v>#N/A</v>
          </cell>
          <cell r="P962" t="str">
            <v/>
          </cell>
          <cell r="Q962" t="str">
            <v/>
          </cell>
          <cell r="R962" t="e">
            <v>#N/A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-19.201520912547622</v>
          </cell>
          <cell r="F963">
            <v>76.396958174905109</v>
          </cell>
          <cell r="G963">
            <v>24.319391634981052</v>
          </cell>
          <cell r="H963">
            <v>24.319391634981052</v>
          </cell>
          <cell r="I963" t="e">
            <v>#N/A</v>
          </cell>
          <cell r="J963" t="e">
            <v>#N/A</v>
          </cell>
          <cell r="K963">
            <v>64.799999999999983</v>
          </cell>
          <cell r="L963">
            <v>29.499999999999993</v>
          </cell>
          <cell r="M963" t="e">
            <v>#N/A</v>
          </cell>
          <cell r="N963">
            <v>47.6</v>
          </cell>
          <cell r="O963" t="e">
            <v>#N/A</v>
          </cell>
          <cell r="P963" t="str">
            <v/>
          </cell>
          <cell r="Q963" t="str">
            <v/>
          </cell>
          <cell r="R963" t="e">
            <v>#N/A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-19.355133079848002</v>
          </cell>
          <cell r="F964">
            <v>76.489733840304353</v>
          </cell>
          <cell r="G964">
            <v>24.2779467680609</v>
          </cell>
          <cell r="H964">
            <v>24.2779467680609</v>
          </cell>
          <cell r="I964" t="e">
            <v>#N/A</v>
          </cell>
          <cell r="J964" t="e">
            <v>#N/A</v>
          </cell>
          <cell r="K964">
            <v>64.799999999999983</v>
          </cell>
          <cell r="L964">
            <v>29.499999999999993</v>
          </cell>
          <cell r="M964" t="e">
            <v>#N/A</v>
          </cell>
          <cell r="N964">
            <v>47.6</v>
          </cell>
          <cell r="O964" t="e">
            <v>#N/A</v>
          </cell>
          <cell r="P964" t="str">
            <v/>
          </cell>
          <cell r="Q964" t="str">
            <v/>
          </cell>
          <cell r="R964" t="e">
            <v>#N/A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-19.508745247148383</v>
          </cell>
          <cell r="F965">
            <v>76.582509505703598</v>
          </cell>
          <cell r="G965">
            <v>24.236501901140748</v>
          </cell>
          <cell r="H965">
            <v>24.236501901140748</v>
          </cell>
          <cell r="I965" t="e">
            <v>#N/A</v>
          </cell>
          <cell r="J965" t="e">
            <v>#N/A</v>
          </cell>
          <cell r="K965">
            <v>64.799999999999983</v>
          </cell>
          <cell r="L965">
            <v>29.499999999999993</v>
          </cell>
          <cell r="M965" t="e">
            <v>#N/A</v>
          </cell>
          <cell r="N965">
            <v>47.6</v>
          </cell>
          <cell r="O965" t="e">
            <v>#N/A</v>
          </cell>
          <cell r="P965" t="str">
            <v/>
          </cell>
          <cell r="Q965" t="str">
            <v/>
          </cell>
          <cell r="R965" t="e">
            <v>#N/A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-19.662357414448763</v>
          </cell>
          <cell r="F966">
            <v>76.675285171102843</v>
          </cell>
          <cell r="G966">
            <v>24.195057034220596</v>
          </cell>
          <cell r="H966">
            <v>24.195057034220596</v>
          </cell>
          <cell r="I966" t="e">
            <v>#N/A</v>
          </cell>
          <cell r="J966" t="e">
            <v>#N/A</v>
          </cell>
          <cell r="K966">
            <v>64.799999999999983</v>
          </cell>
          <cell r="L966">
            <v>29.499999999999993</v>
          </cell>
          <cell r="M966" t="e">
            <v>#N/A</v>
          </cell>
          <cell r="N966">
            <v>47.6</v>
          </cell>
          <cell r="O966" t="e">
            <v>#N/A</v>
          </cell>
          <cell r="P966" t="str">
            <v/>
          </cell>
          <cell r="Q966" t="str">
            <v/>
          </cell>
          <cell r="R966" t="e">
            <v>#N/A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-19.815969581749144</v>
          </cell>
          <cell r="F967">
            <v>76.768060836502087</v>
          </cell>
          <cell r="G967">
            <v>24.153612167300444</v>
          </cell>
          <cell r="H967">
            <v>24.153612167300444</v>
          </cell>
          <cell r="I967" t="e">
            <v>#N/A</v>
          </cell>
          <cell r="J967" t="e">
            <v>#N/A</v>
          </cell>
          <cell r="K967">
            <v>64.799999999999983</v>
          </cell>
          <cell r="L967">
            <v>29.499999999999993</v>
          </cell>
          <cell r="M967" t="e">
            <v>#N/A</v>
          </cell>
          <cell r="N967">
            <v>47.6</v>
          </cell>
          <cell r="O967" t="e">
            <v>#N/A</v>
          </cell>
          <cell r="P967" t="str">
            <v/>
          </cell>
          <cell r="Q967" t="str">
            <v/>
          </cell>
          <cell r="R967" t="e">
            <v>#N/A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-19.969581749049524</v>
          </cell>
          <cell r="F968">
            <v>76.860836501901332</v>
          </cell>
          <cell r="G968">
            <v>24.112167300380293</v>
          </cell>
          <cell r="H968">
            <v>24.112167300380293</v>
          </cell>
          <cell r="I968" t="e">
            <v>#N/A</v>
          </cell>
          <cell r="J968" t="e">
            <v>#N/A</v>
          </cell>
          <cell r="K968">
            <v>64.799999999999983</v>
          </cell>
          <cell r="L968">
            <v>29.499999999999993</v>
          </cell>
          <cell r="M968" t="e">
            <v>#N/A</v>
          </cell>
          <cell r="N968">
            <v>47.6</v>
          </cell>
          <cell r="O968" t="e">
            <v>#N/A</v>
          </cell>
          <cell r="P968" t="str">
            <v/>
          </cell>
          <cell r="Q968" t="str">
            <v/>
          </cell>
          <cell r="R968" t="e">
            <v>#N/A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-20.123193916349905</v>
          </cell>
          <cell r="F969">
            <v>76.953612167300577</v>
          </cell>
          <cell r="G969">
            <v>24.070722433460141</v>
          </cell>
          <cell r="H969">
            <v>24.070722433460141</v>
          </cell>
          <cell r="I969" t="e">
            <v>#N/A</v>
          </cell>
          <cell r="J969" t="e">
            <v>#N/A</v>
          </cell>
          <cell r="K969">
            <v>64.799999999999983</v>
          </cell>
          <cell r="L969">
            <v>29.499999999999993</v>
          </cell>
          <cell r="M969" t="e">
            <v>#N/A</v>
          </cell>
          <cell r="N969">
            <v>47.6</v>
          </cell>
          <cell r="O969" t="e">
            <v>#N/A</v>
          </cell>
          <cell r="P969" t="str">
            <v/>
          </cell>
          <cell r="Q969" t="str">
            <v/>
          </cell>
          <cell r="R969" t="e">
            <v>#N/A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-20.276806083650285</v>
          </cell>
          <cell r="F970">
            <v>77.046387832699821</v>
          </cell>
          <cell r="G970">
            <v>24.029277566539989</v>
          </cell>
          <cell r="H970">
            <v>24.029277566539989</v>
          </cell>
          <cell r="I970" t="e">
            <v>#N/A</v>
          </cell>
          <cell r="J970" t="e">
            <v>#N/A</v>
          </cell>
          <cell r="K970">
            <v>64.799999999999983</v>
          </cell>
          <cell r="L970">
            <v>29.499999999999993</v>
          </cell>
          <cell r="M970" t="e">
            <v>#N/A</v>
          </cell>
          <cell r="N970">
            <v>47.6</v>
          </cell>
          <cell r="O970" t="e">
            <v>#N/A</v>
          </cell>
          <cell r="P970" t="str">
            <v/>
          </cell>
          <cell r="Q970" t="str">
            <v/>
          </cell>
          <cell r="R970" t="e">
            <v>#N/A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-20.430418250950666</v>
          </cell>
          <cell r="F971">
            <v>77.139163498099066</v>
          </cell>
          <cell r="G971">
            <v>23.987832699619837</v>
          </cell>
          <cell r="H971">
            <v>23.987832699619837</v>
          </cell>
          <cell r="I971" t="e">
            <v>#N/A</v>
          </cell>
          <cell r="J971" t="e">
            <v>#N/A</v>
          </cell>
          <cell r="K971">
            <v>64.799999999999983</v>
          </cell>
          <cell r="L971">
            <v>29.499999999999993</v>
          </cell>
          <cell r="M971" t="e">
            <v>#N/A</v>
          </cell>
          <cell r="N971">
            <v>47.6</v>
          </cell>
          <cell r="O971" t="e">
            <v>#N/A</v>
          </cell>
          <cell r="P971" t="str">
            <v/>
          </cell>
          <cell r="Q971" t="str">
            <v/>
          </cell>
          <cell r="R971" t="e">
            <v>#N/A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-20.584030418251047</v>
          </cell>
          <cell r="F972">
            <v>77.231939163498311</v>
          </cell>
          <cell r="G972">
            <v>23.946387832699685</v>
          </cell>
          <cell r="H972">
            <v>23.946387832699685</v>
          </cell>
          <cell r="I972" t="e">
            <v>#N/A</v>
          </cell>
          <cell r="J972" t="e">
            <v>#N/A</v>
          </cell>
          <cell r="K972">
            <v>64.799999999999983</v>
          </cell>
          <cell r="L972">
            <v>29.499999999999993</v>
          </cell>
          <cell r="M972" t="e">
            <v>#N/A</v>
          </cell>
          <cell r="N972">
            <v>47.6</v>
          </cell>
          <cell r="O972" t="e">
            <v>#N/A</v>
          </cell>
          <cell r="P972" t="str">
            <v/>
          </cell>
          <cell r="Q972" t="str">
            <v/>
          </cell>
          <cell r="R972" t="e">
            <v>#N/A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-20.737642585551427</v>
          </cell>
          <cell r="F973">
            <v>77.324714828897555</v>
          </cell>
          <cell r="G973">
            <v>23.904942965779533</v>
          </cell>
          <cell r="H973">
            <v>23.904942965779533</v>
          </cell>
          <cell r="I973" t="e">
            <v>#N/A</v>
          </cell>
          <cell r="J973" t="e">
            <v>#N/A</v>
          </cell>
          <cell r="K973">
            <v>64.799999999999983</v>
          </cell>
          <cell r="L973">
            <v>29.499999999999993</v>
          </cell>
          <cell r="M973" t="e">
            <v>#N/A</v>
          </cell>
          <cell r="N973">
            <v>47.6</v>
          </cell>
          <cell r="O973" t="e">
            <v>#N/A</v>
          </cell>
          <cell r="P973" t="str">
            <v/>
          </cell>
          <cell r="Q973" t="str">
            <v/>
          </cell>
          <cell r="R973" t="e">
            <v>#N/A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-20.891254752851808</v>
          </cell>
          <cell r="F974">
            <v>77.4174904942968</v>
          </cell>
          <cell r="G974">
            <v>23.863498098859381</v>
          </cell>
          <cell r="H974">
            <v>23.863498098859381</v>
          </cell>
          <cell r="I974" t="e">
            <v>#N/A</v>
          </cell>
          <cell r="J974" t="e">
            <v>#N/A</v>
          </cell>
          <cell r="K974">
            <v>64.799999999999983</v>
          </cell>
          <cell r="L974">
            <v>29.499999999999993</v>
          </cell>
          <cell r="M974" t="e">
            <v>#N/A</v>
          </cell>
          <cell r="N974">
            <v>47.6</v>
          </cell>
          <cell r="O974" t="e">
            <v>#N/A</v>
          </cell>
          <cell r="P974" t="str">
            <v/>
          </cell>
          <cell r="Q974" t="str">
            <v/>
          </cell>
          <cell r="R974" t="e">
            <v>#N/A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-21.044866920152188</v>
          </cell>
          <cell r="F975">
            <v>77.510266159696044</v>
          </cell>
          <cell r="G975">
            <v>23.822053231939229</v>
          </cell>
          <cell r="H975">
            <v>23.822053231939229</v>
          </cell>
          <cell r="I975" t="e">
            <v>#N/A</v>
          </cell>
          <cell r="J975" t="e">
            <v>#N/A</v>
          </cell>
          <cell r="K975">
            <v>64.799999999999983</v>
          </cell>
          <cell r="L975">
            <v>29.499999999999993</v>
          </cell>
          <cell r="M975" t="e">
            <v>#N/A</v>
          </cell>
          <cell r="N975">
            <v>47.6</v>
          </cell>
          <cell r="O975" t="e">
            <v>#N/A</v>
          </cell>
          <cell r="P975" t="str">
            <v/>
          </cell>
          <cell r="Q975" t="str">
            <v/>
          </cell>
          <cell r="R975" t="e">
            <v>#N/A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-21.198479087452569</v>
          </cell>
          <cell r="F976">
            <v>77.603041825095289</v>
          </cell>
          <cell r="G976">
            <v>23.780608365019077</v>
          </cell>
          <cell r="H976">
            <v>23.780608365019077</v>
          </cell>
          <cell r="I976" t="e">
            <v>#N/A</v>
          </cell>
          <cell r="J976" t="e">
            <v>#N/A</v>
          </cell>
          <cell r="K976">
            <v>64.799999999999983</v>
          </cell>
          <cell r="L976">
            <v>29.499999999999993</v>
          </cell>
          <cell r="M976" t="e">
            <v>#N/A</v>
          </cell>
          <cell r="N976">
            <v>47.6</v>
          </cell>
          <cell r="O976" t="e">
            <v>#N/A</v>
          </cell>
          <cell r="P976" t="str">
            <v/>
          </cell>
          <cell r="Q976" t="str">
            <v/>
          </cell>
          <cell r="R976" t="e">
            <v>#N/A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-21.352091254752949</v>
          </cell>
          <cell r="F977">
            <v>77.695817490494534</v>
          </cell>
          <cell r="G977">
            <v>23.739163498098925</v>
          </cell>
          <cell r="H977">
            <v>23.739163498098925</v>
          </cell>
          <cell r="I977" t="e">
            <v>#N/A</v>
          </cell>
          <cell r="J977" t="e">
            <v>#N/A</v>
          </cell>
          <cell r="K977">
            <v>64.799999999999983</v>
          </cell>
          <cell r="L977">
            <v>29.499999999999993</v>
          </cell>
          <cell r="M977" t="e">
            <v>#N/A</v>
          </cell>
          <cell r="N977">
            <v>47.6</v>
          </cell>
          <cell r="O977" t="e">
            <v>#N/A</v>
          </cell>
          <cell r="P977" t="str">
            <v/>
          </cell>
          <cell r="Q977" t="str">
            <v/>
          </cell>
          <cell r="R977" t="e">
            <v>#N/A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-21.50570342205333</v>
          </cell>
          <cell r="F978">
            <v>77.788593155893778</v>
          </cell>
          <cell r="G978">
            <v>23.697718631178773</v>
          </cell>
          <cell r="H978">
            <v>23.697718631178773</v>
          </cell>
          <cell r="I978" t="e">
            <v>#N/A</v>
          </cell>
          <cell r="J978" t="e">
            <v>#N/A</v>
          </cell>
          <cell r="K978">
            <v>64.799999999999983</v>
          </cell>
          <cell r="L978">
            <v>29.499999999999993</v>
          </cell>
          <cell r="M978" t="e">
            <v>#N/A</v>
          </cell>
          <cell r="N978">
            <v>47.6</v>
          </cell>
          <cell r="O978" t="e">
            <v>#N/A</v>
          </cell>
          <cell r="P978" t="str">
            <v/>
          </cell>
          <cell r="Q978" t="str">
            <v/>
          </cell>
          <cell r="R978" t="e">
            <v>#N/A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-21.65931558935371</v>
          </cell>
          <cell r="F979">
            <v>77.881368821293023</v>
          </cell>
          <cell r="G979">
            <v>23.656273764258621</v>
          </cell>
          <cell r="H979">
            <v>23.656273764258621</v>
          </cell>
          <cell r="I979" t="e">
            <v>#N/A</v>
          </cell>
          <cell r="J979" t="e">
            <v>#N/A</v>
          </cell>
          <cell r="K979">
            <v>64.799999999999983</v>
          </cell>
          <cell r="L979">
            <v>29.499999999999993</v>
          </cell>
          <cell r="M979" t="e">
            <v>#N/A</v>
          </cell>
          <cell r="N979">
            <v>47.6</v>
          </cell>
          <cell r="O979" t="e">
            <v>#N/A</v>
          </cell>
          <cell r="P979" t="str">
            <v/>
          </cell>
          <cell r="Q979" t="str">
            <v/>
          </cell>
          <cell r="R979" t="e">
            <v>#N/A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-21.812927756654091</v>
          </cell>
          <cell r="F980">
            <v>77.974144486692268</v>
          </cell>
          <cell r="G980">
            <v>23.614828897338469</v>
          </cell>
          <cell r="H980">
            <v>23.614828897338469</v>
          </cell>
          <cell r="I980" t="e">
            <v>#N/A</v>
          </cell>
          <cell r="J980" t="e">
            <v>#N/A</v>
          </cell>
          <cell r="K980">
            <v>64.799999999999983</v>
          </cell>
          <cell r="L980">
            <v>29.499999999999993</v>
          </cell>
          <cell r="M980" t="e">
            <v>#N/A</v>
          </cell>
          <cell r="N980">
            <v>47.6</v>
          </cell>
          <cell r="O980" t="e">
            <v>#N/A</v>
          </cell>
          <cell r="P980" t="str">
            <v/>
          </cell>
          <cell r="Q980" t="str">
            <v/>
          </cell>
          <cell r="R980" t="e">
            <v>#N/A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-21.966539923954471</v>
          </cell>
          <cell r="F981">
            <v>78.066920152091512</v>
          </cell>
          <cell r="G981">
            <v>23.573384030418318</v>
          </cell>
          <cell r="H981">
            <v>23.573384030418318</v>
          </cell>
          <cell r="I981" t="e">
            <v>#N/A</v>
          </cell>
          <cell r="J981" t="e">
            <v>#N/A</v>
          </cell>
          <cell r="K981">
            <v>64.799999999999983</v>
          </cell>
          <cell r="L981">
            <v>29.499999999999993</v>
          </cell>
          <cell r="M981" t="e">
            <v>#N/A</v>
          </cell>
          <cell r="N981">
            <v>47.6</v>
          </cell>
          <cell r="O981" t="e">
            <v>#N/A</v>
          </cell>
          <cell r="P981" t="str">
            <v/>
          </cell>
          <cell r="Q981" t="str">
            <v/>
          </cell>
          <cell r="R981" t="e">
            <v>#N/A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-22.120152091254852</v>
          </cell>
          <cell r="F982">
            <v>78.159695817490757</v>
          </cell>
          <cell r="G982">
            <v>23.531939163498166</v>
          </cell>
          <cell r="H982">
            <v>23.531939163498166</v>
          </cell>
          <cell r="I982" t="e">
            <v>#N/A</v>
          </cell>
          <cell r="J982" t="e">
            <v>#N/A</v>
          </cell>
          <cell r="K982">
            <v>64.799999999999983</v>
          </cell>
          <cell r="L982">
            <v>29.499999999999993</v>
          </cell>
          <cell r="M982" t="e">
            <v>#N/A</v>
          </cell>
          <cell r="N982">
            <v>47.6</v>
          </cell>
          <cell r="O982" t="e">
            <v>#N/A</v>
          </cell>
          <cell r="P982" t="str">
            <v/>
          </cell>
          <cell r="Q982" t="str">
            <v/>
          </cell>
          <cell r="R982" t="e">
            <v>#N/A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-22.273764258555232</v>
          </cell>
          <cell r="F983">
            <v>78.252471482890002</v>
          </cell>
          <cell r="G983">
            <v>23.490494296578014</v>
          </cell>
          <cell r="H983">
            <v>23.490494296578014</v>
          </cell>
          <cell r="I983" t="e">
            <v>#N/A</v>
          </cell>
          <cell r="J983" t="e">
            <v>#N/A</v>
          </cell>
          <cell r="K983">
            <v>64.799999999999983</v>
          </cell>
          <cell r="L983">
            <v>29.499999999999993</v>
          </cell>
          <cell r="M983" t="e">
            <v>#N/A</v>
          </cell>
          <cell r="N983">
            <v>47.6</v>
          </cell>
          <cell r="O983" t="e">
            <v>#N/A</v>
          </cell>
          <cell r="P983" t="str">
            <v/>
          </cell>
          <cell r="Q983" t="str">
            <v/>
          </cell>
          <cell r="R983" t="e">
            <v>#N/A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-22.427376425855613</v>
          </cell>
          <cell r="F984">
            <v>78.345247148289246</v>
          </cell>
          <cell r="G984">
            <v>23.449049429657862</v>
          </cell>
          <cell r="H984">
            <v>23.449049429657862</v>
          </cell>
          <cell r="I984" t="e">
            <v>#N/A</v>
          </cell>
          <cell r="J984" t="e">
            <v>#N/A</v>
          </cell>
          <cell r="K984">
            <v>64.799999999999983</v>
          </cell>
          <cell r="L984">
            <v>29.499999999999993</v>
          </cell>
          <cell r="M984" t="e">
            <v>#N/A</v>
          </cell>
          <cell r="N984">
            <v>47.6</v>
          </cell>
          <cell r="O984" t="e">
            <v>#N/A</v>
          </cell>
          <cell r="P984" t="str">
            <v/>
          </cell>
          <cell r="Q984" t="str">
            <v/>
          </cell>
          <cell r="R984" t="e">
            <v>#N/A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-22.580988593155993</v>
          </cell>
          <cell r="F985">
            <v>78.438022813688491</v>
          </cell>
          <cell r="G985">
            <v>23.40760456273771</v>
          </cell>
          <cell r="H985">
            <v>23.40760456273771</v>
          </cell>
          <cell r="I985" t="e">
            <v>#N/A</v>
          </cell>
          <cell r="J985" t="e">
            <v>#N/A</v>
          </cell>
          <cell r="K985">
            <v>64.799999999999983</v>
          </cell>
          <cell r="L985">
            <v>29.499999999999993</v>
          </cell>
          <cell r="M985" t="e">
            <v>#N/A</v>
          </cell>
          <cell r="N985">
            <v>47.6</v>
          </cell>
          <cell r="O985" t="e">
            <v>#N/A</v>
          </cell>
          <cell r="P985" t="str">
            <v/>
          </cell>
          <cell r="Q985" t="str">
            <v/>
          </cell>
          <cell r="R985" t="e">
            <v>#N/A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-22.734600760456374</v>
          </cell>
          <cell r="F986">
            <v>78.530798479087736</v>
          </cell>
          <cell r="G986">
            <v>23.366159695817558</v>
          </cell>
          <cell r="H986">
            <v>23.366159695817558</v>
          </cell>
          <cell r="I986" t="e">
            <v>#N/A</v>
          </cell>
          <cell r="J986" t="e">
            <v>#N/A</v>
          </cell>
          <cell r="K986">
            <v>64.799999999999983</v>
          </cell>
          <cell r="L986">
            <v>29.499999999999993</v>
          </cell>
          <cell r="M986" t="e">
            <v>#N/A</v>
          </cell>
          <cell r="N986">
            <v>47.6</v>
          </cell>
          <cell r="O986" t="e">
            <v>#N/A</v>
          </cell>
          <cell r="P986" t="str">
            <v/>
          </cell>
          <cell r="Q986" t="str">
            <v/>
          </cell>
          <cell r="R986" t="e">
            <v>#N/A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-22.888212927756754</v>
          </cell>
          <cell r="F987">
            <v>78.62357414448698</v>
          </cell>
          <cell r="G987">
            <v>23.324714828897406</v>
          </cell>
          <cell r="H987">
            <v>23.324714828897406</v>
          </cell>
          <cell r="I987" t="e">
            <v>#N/A</v>
          </cell>
          <cell r="J987" t="e">
            <v>#N/A</v>
          </cell>
          <cell r="K987">
            <v>64.799999999999983</v>
          </cell>
          <cell r="L987">
            <v>29.499999999999993</v>
          </cell>
          <cell r="M987" t="e">
            <v>#N/A</v>
          </cell>
          <cell r="N987">
            <v>47.6</v>
          </cell>
          <cell r="O987" t="e">
            <v>#N/A</v>
          </cell>
          <cell r="P987" t="str">
            <v/>
          </cell>
          <cell r="Q987" t="str">
            <v/>
          </cell>
          <cell r="R987" t="e">
            <v>#N/A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-23.041825095057135</v>
          </cell>
          <cell r="F988">
            <v>78.716349809886225</v>
          </cell>
          <cell r="G988">
            <v>23.283269961977254</v>
          </cell>
          <cell r="H988">
            <v>23.283269961977254</v>
          </cell>
          <cell r="I988" t="e">
            <v>#N/A</v>
          </cell>
          <cell r="J988" t="e">
            <v>#N/A</v>
          </cell>
          <cell r="K988">
            <v>64.799999999999983</v>
          </cell>
          <cell r="L988">
            <v>29.499999999999993</v>
          </cell>
          <cell r="M988" t="e">
            <v>#N/A</v>
          </cell>
          <cell r="N988">
            <v>47.6</v>
          </cell>
          <cell r="O988" t="e">
            <v>#N/A</v>
          </cell>
          <cell r="P988" t="str">
            <v/>
          </cell>
          <cell r="Q988" t="str">
            <v/>
          </cell>
          <cell r="R988" t="e">
            <v>#N/A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-23.195437262357515</v>
          </cell>
          <cell r="F989">
            <v>78.80912547528547</v>
          </cell>
          <cell r="G989">
            <v>23.241825095057102</v>
          </cell>
          <cell r="H989">
            <v>23.241825095057102</v>
          </cell>
          <cell r="I989" t="e">
            <v>#N/A</v>
          </cell>
          <cell r="J989" t="e">
            <v>#N/A</v>
          </cell>
          <cell r="K989">
            <v>64.799999999999983</v>
          </cell>
          <cell r="L989">
            <v>29.499999999999993</v>
          </cell>
          <cell r="M989" t="e">
            <v>#N/A</v>
          </cell>
          <cell r="N989">
            <v>47.6</v>
          </cell>
          <cell r="O989" t="e">
            <v>#N/A</v>
          </cell>
          <cell r="P989" t="str">
            <v/>
          </cell>
          <cell r="Q989" t="str">
            <v/>
          </cell>
          <cell r="R989" t="e">
            <v>#N/A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-23.349049429657896</v>
          </cell>
          <cell r="F990">
            <v>78.901901140684714</v>
          </cell>
          <cell r="G990">
            <v>23.20038022813695</v>
          </cell>
          <cell r="H990">
            <v>23.20038022813695</v>
          </cell>
          <cell r="I990" t="e">
            <v>#N/A</v>
          </cell>
          <cell r="J990" t="e">
            <v>#N/A</v>
          </cell>
          <cell r="K990">
            <v>64.799999999999983</v>
          </cell>
          <cell r="L990">
            <v>29.499999999999993</v>
          </cell>
          <cell r="M990" t="e">
            <v>#N/A</v>
          </cell>
          <cell r="N990">
            <v>47.6</v>
          </cell>
          <cell r="O990" t="e">
            <v>#N/A</v>
          </cell>
          <cell r="P990" t="str">
            <v/>
          </cell>
          <cell r="Q990" t="str">
            <v/>
          </cell>
          <cell r="R990" t="e">
            <v>#N/A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-23.502661596958276</v>
          </cell>
          <cell r="F991">
            <v>78.994676806083959</v>
          </cell>
          <cell r="G991">
            <v>23.158935361216798</v>
          </cell>
          <cell r="H991">
            <v>23.158935361216798</v>
          </cell>
          <cell r="I991" t="e">
            <v>#N/A</v>
          </cell>
          <cell r="J991" t="e">
            <v>#N/A</v>
          </cell>
          <cell r="K991">
            <v>64.799999999999983</v>
          </cell>
          <cell r="L991">
            <v>29.499999999999993</v>
          </cell>
          <cell r="M991" t="e">
            <v>#N/A</v>
          </cell>
          <cell r="N991">
            <v>47.6</v>
          </cell>
          <cell r="O991" t="e">
            <v>#N/A</v>
          </cell>
          <cell r="P991" t="str">
            <v/>
          </cell>
          <cell r="Q991" t="str">
            <v/>
          </cell>
          <cell r="R991" t="e">
            <v>#N/A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-23.656273764258657</v>
          </cell>
          <cell r="F992">
            <v>79.087452471483203</v>
          </cell>
          <cell r="G992">
            <v>23.117490494296646</v>
          </cell>
          <cell r="H992">
            <v>23.117490494296646</v>
          </cell>
          <cell r="I992" t="e">
            <v>#N/A</v>
          </cell>
          <cell r="J992" t="e">
            <v>#N/A</v>
          </cell>
          <cell r="K992">
            <v>64.799999999999983</v>
          </cell>
          <cell r="L992">
            <v>29.499999999999993</v>
          </cell>
          <cell r="M992" t="e">
            <v>#N/A</v>
          </cell>
          <cell r="N992">
            <v>47.6</v>
          </cell>
          <cell r="O992" t="e">
            <v>#N/A</v>
          </cell>
          <cell r="P992" t="str">
            <v/>
          </cell>
          <cell r="Q992" t="str">
            <v/>
          </cell>
          <cell r="R992" t="e">
            <v>#N/A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-23.809885931559037</v>
          </cell>
          <cell r="F993">
            <v>79.180228136882448</v>
          </cell>
          <cell r="G993">
            <v>23.076045627376494</v>
          </cell>
          <cell r="H993">
            <v>23.076045627376494</v>
          </cell>
          <cell r="I993" t="e">
            <v>#N/A</v>
          </cell>
          <cell r="J993" t="e">
            <v>#N/A</v>
          </cell>
          <cell r="K993">
            <v>64.799999999999983</v>
          </cell>
          <cell r="L993">
            <v>29.499999999999993</v>
          </cell>
          <cell r="M993" t="e">
            <v>#N/A</v>
          </cell>
          <cell r="N993">
            <v>47.6</v>
          </cell>
          <cell r="O993" t="e">
            <v>#N/A</v>
          </cell>
          <cell r="P993" t="str">
            <v/>
          </cell>
          <cell r="Q993" t="str">
            <v/>
          </cell>
          <cell r="R993" t="e">
            <v>#N/A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-23.963498098859418</v>
          </cell>
          <cell r="F994">
            <v>79.273003802281693</v>
          </cell>
          <cell r="G994">
            <v>23.034600760456343</v>
          </cell>
          <cell r="H994">
            <v>23.034600760456343</v>
          </cell>
          <cell r="I994" t="e">
            <v>#N/A</v>
          </cell>
          <cell r="J994" t="e">
            <v>#N/A</v>
          </cell>
          <cell r="K994">
            <v>64.799999999999983</v>
          </cell>
          <cell r="L994">
            <v>29.499999999999993</v>
          </cell>
          <cell r="M994" t="e">
            <v>#N/A</v>
          </cell>
          <cell r="N994">
            <v>47.6</v>
          </cell>
          <cell r="O994" t="e">
            <v>#N/A</v>
          </cell>
          <cell r="P994" t="str">
            <v/>
          </cell>
          <cell r="Q994" t="str">
            <v/>
          </cell>
          <cell r="R994" t="e">
            <v>#N/A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-24.117110266159798</v>
          </cell>
          <cell r="F995">
            <v>79.365779467680937</v>
          </cell>
          <cell r="G995">
            <v>22.993155893536191</v>
          </cell>
          <cell r="H995">
            <v>22.993155893536191</v>
          </cell>
          <cell r="I995" t="e">
            <v>#N/A</v>
          </cell>
          <cell r="J995" t="e">
            <v>#N/A</v>
          </cell>
          <cell r="K995">
            <v>64.799999999999983</v>
          </cell>
          <cell r="L995">
            <v>29.499999999999993</v>
          </cell>
          <cell r="M995" t="e">
            <v>#N/A</v>
          </cell>
          <cell r="N995">
            <v>47.6</v>
          </cell>
          <cell r="O995" t="e">
            <v>#N/A</v>
          </cell>
          <cell r="P995" t="str">
            <v/>
          </cell>
          <cell r="Q995" t="str">
            <v/>
          </cell>
          <cell r="R995" t="e">
            <v>#N/A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-24.270722433460179</v>
          </cell>
          <cell r="F996">
            <v>79.458555133080182</v>
          </cell>
          <cell r="G996">
            <v>22.951711026616039</v>
          </cell>
          <cell r="H996">
            <v>22.951711026616039</v>
          </cell>
          <cell r="I996" t="e">
            <v>#N/A</v>
          </cell>
          <cell r="J996" t="e">
            <v>#N/A</v>
          </cell>
          <cell r="K996">
            <v>64.799999999999983</v>
          </cell>
          <cell r="L996">
            <v>29.499999999999993</v>
          </cell>
          <cell r="M996" t="e">
            <v>#N/A</v>
          </cell>
          <cell r="N996">
            <v>47.6</v>
          </cell>
          <cell r="O996" t="e">
            <v>#N/A</v>
          </cell>
          <cell r="P996" t="str">
            <v/>
          </cell>
          <cell r="Q996" t="str">
            <v/>
          </cell>
          <cell r="R996" t="e">
            <v>#N/A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-24.42433460076056</v>
          </cell>
          <cell r="F997">
            <v>79.551330798479427</v>
          </cell>
          <cell r="G997">
            <v>22.910266159695887</v>
          </cell>
          <cell r="H997">
            <v>22.910266159695887</v>
          </cell>
          <cell r="I997" t="e">
            <v>#N/A</v>
          </cell>
          <cell r="J997" t="e">
            <v>#N/A</v>
          </cell>
          <cell r="K997">
            <v>64.799999999999983</v>
          </cell>
          <cell r="L997">
            <v>29.499999999999993</v>
          </cell>
          <cell r="M997" t="e">
            <v>#N/A</v>
          </cell>
          <cell r="N997">
            <v>47.6</v>
          </cell>
          <cell r="O997" t="e">
            <v>#N/A</v>
          </cell>
          <cell r="P997" t="str">
            <v/>
          </cell>
          <cell r="Q997" t="str">
            <v/>
          </cell>
          <cell r="R997" t="e">
            <v>#N/A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-24.57794676806094</v>
          </cell>
          <cell r="F998">
            <v>79.644106463878671</v>
          </cell>
          <cell r="G998">
            <v>22.868821292775735</v>
          </cell>
          <cell r="H998">
            <v>22.868821292775735</v>
          </cell>
          <cell r="I998" t="e">
            <v>#N/A</v>
          </cell>
          <cell r="J998" t="e">
            <v>#N/A</v>
          </cell>
          <cell r="K998">
            <v>64.799999999999983</v>
          </cell>
          <cell r="L998">
            <v>29.499999999999993</v>
          </cell>
          <cell r="M998" t="e">
            <v>#N/A</v>
          </cell>
          <cell r="N998">
            <v>47.6</v>
          </cell>
          <cell r="O998" t="e">
            <v>#N/A</v>
          </cell>
          <cell r="P998" t="str">
            <v/>
          </cell>
          <cell r="Q998" t="str">
            <v/>
          </cell>
          <cell r="R998" t="e">
            <v>#N/A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-24.731558935361321</v>
          </cell>
          <cell r="F999">
            <v>79.736882129277916</v>
          </cell>
          <cell r="G999">
            <v>22.827376425855583</v>
          </cell>
          <cell r="H999">
            <v>22.827376425855583</v>
          </cell>
          <cell r="I999" t="e">
            <v>#N/A</v>
          </cell>
          <cell r="J999" t="e">
            <v>#N/A</v>
          </cell>
          <cell r="K999">
            <v>64.799999999999983</v>
          </cell>
          <cell r="L999">
            <v>29.499999999999993</v>
          </cell>
          <cell r="M999" t="e">
            <v>#N/A</v>
          </cell>
          <cell r="N999">
            <v>47.6</v>
          </cell>
          <cell r="O999" t="e">
            <v>#N/A</v>
          </cell>
          <cell r="P999" t="str">
            <v/>
          </cell>
          <cell r="Q999" t="str">
            <v/>
          </cell>
          <cell r="R999" t="e">
            <v>#N/A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-24.885171102661701</v>
          </cell>
          <cell r="F1000">
            <v>79.829657794677161</v>
          </cell>
          <cell r="G1000">
            <v>22.785931558935431</v>
          </cell>
          <cell r="H1000">
            <v>22.785931558935431</v>
          </cell>
          <cell r="I1000" t="e">
            <v>#N/A</v>
          </cell>
          <cell r="J1000" t="e">
            <v>#N/A</v>
          </cell>
          <cell r="K1000">
            <v>64.799999999999983</v>
          </cell>
          <cell r="L1000">
            <v>29.499999999999993</v>
          </cell>
          <cell r="M1000" t="e">
            <v>#N/A</v>
          </cell>
          <cell r="N1000">
            <v>47.6</v>
          </cell>
          <cell r="O1000" t="e">
            <v>#N/A</v>
          </cell>
          <cell r="P1000" t="str">
            <v/>
          </cell>
          <cell r="Q1000" t="str">
            <v/>
          </cell>
          <cell r="R1000" t="e">
            <v>#N/A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-25.038783269962082</v>
          </cell>
          <cell r="F1001">
            <v>79.922433460076405</v>
          </cell>
          <cell r="G1001">
            <v>22.744486692015279</v>
          </cell>
          <cell r="H1001">
            <v>22.744486692015279</v>
          </cell>
          <cell r="I1001" t="e">
            <v>#N/A</v>
          </cell>
          <cell r="J1001" t="e">
            <v>#N/A</v>
          </cell>
          <cell r="K1001">
            <v>64.799999999999983</v>
          </cell>
          <cell r="L1001">
            <v>29.499999999999993</v>
          </cell>
          <cell r="M1001" t="e">
            <v>#N/A</v>
          </cell>
          <cell r="N1001">
            <v>47.6</v>
          </cell>
          <cell r="O1001" t="e">
            <v>#N/A</v>
          </cell>
          <cell r="P1001" t="str">
            <v/>
          </cell>
          <cell r="Q1001" t="str">
            <v/>
          </cell>
          <cell r="R1001" t="e">
            <v>#N/A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-25.192395437262462</v>
          </cell>
          <cell r="F1002">
            <v>80.01520912547565</v>
          </cell>
          <cell r="G1002">
            <v>22.703041825095127</v>
          </cell>
          <cell r="H1002">
            <v>22.703041825095127</v>
          </cell>
          <cell r="I1002" t="e">
            <v>#N/A</v>
          </cell>
          <cell r="J1002" t="e">
            <v>#N/A</v>
          </cell>
          <cell r="K1002">
            <v>64.799999999999983</v>
          </cell>
          <cell r="L1002">
            <v>29.499999999999993</v>
          </cell>
          <cell r="M1002" t="e">
            <v>#N/A</v>
          </cell>
          <cell r="N1002">
            <v>47.6</v>
          </cell>
          <cell r="O1002" t="e">
            <v>#N/A</v>
          </cell>
          <cell r="P1002" t="str">
            <v/>
          </cell>
          <cell r="Q1002" t="str">
            <v/>
          </cell>
          <cell r="R1002" t="e">
            <v>#N/A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-25.346007604562843</v>
          </cell>
          <cell r="F1003">
            <v>80.107984790874895</v>
          </cell>
          <cell r="G1003">
            <v>22.661596958174975</v>
          </cell>
          <cell r="H1003">
            <v>22.661596958174975</v>
          </cell>
          <cell r="I1003" t="e">
            <v>#N/A</v>
          </cell>
          <cell r="J1003" t="e">
            <v>#N/A</v>
          </cell>
          <cell r="K1003">
            <v>64.799999999999983</v>
          </cell>
          <cell r="L1003">
            <v>29.499999999999993</v>
          </cell>
          <cell r="M1003" t="e">
            <v>#N/A</v>
          </cell>
          <cell r="N1003">
            <v>47.6</v>
          </cell>
          <cell r="O1003" t="e">
            <v>#N/A</v>
          </cell>
          <cell r="P1003" t="str">
            <v/>
          </cell>
          <cell r="Q1003" t="str">
            <v/>
          </cell>
          <cell r="R1003" t="e">
            <v>#N/A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-25.499619771863223</v>
          </cell>
          <cell r="F1004">
            <v>80.200760456274139</v>
          </cell>
          <cell r="G1004">
            <v>22.620152091254823</v>
          </cell>
          <cell r="H1004">
            <v>22.620152091254823</v>
          </cell>
          <cell r="I1004" t="e">
            <v>#N/A</v>
          </cell>
          <cell r="J1004" t="e">
            <v>#N/A</v>
          </cell>
          <cell r="K1004">
            <v>64.799999999999983</v>
          </cell>
          <cell r="L1004">
            <v>29.499999999999993</v>
          </cell>
          <cell r="M1004" t="e">
            <v>#N/A</v>
          </cell>
          <cell r="N1004">
            <v>47.6</v>
          </cell>
          <cell r="O1004" t="e">
            <v>#N/A</v>
          </cell>
          <cell r="P1004" t="str">
            <v/>
          </cell>
          <cell r="Q1004" t="str">
            <v/>
          </cell>
          <cell r="R1004" t="e">
            <v>#N/A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-25.653231939163604</v>
          </cell>
          <cell r="F1005">
            <v>80.293536121673384</v>
          </cell>
          <cell r="G1005">
            <v>22.578707224334671</v>
          </cell>
          <cell r="H1005">
            <v>22.578707224334671</v>
          </cell>
          <cell r="I1005" t="e">
            <v>#N/A</v>
          </cell>
          <cell r="J1005" t="e">
            <v>#N/A</v>
          </cell>
          <cell r="K1005">
            <v>64.799999999999983</v>
          </cell>
          <cell r="L1005">
            <v>29.499999999999993</v>
          </cell>
          <cell r="M1005" t="e">
            <v>#N/A</v>
          </cell>
          <cell r="N1005">
            <v>47.6</v>
          </cell>
          <cell r="O1005" t="e">
            <v>#N/A</v>
          </cell>
          <cell r="P1005" t="str">
            <v/>
          </cell>
          <cell r="Q1005" t="str">
            <v/>
          </cell>
          <cell r="R1005" t="e">
            <v>#N/A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-25.806844106463984</v>
          </cell>
          <cell r="F1006">
            <v>80.386311787072628</v>
          </cell>
          <cell r="G1006">
            <v>22.537262357414519</v>
          </cell>
          <cell r="H1006">
            <v>22.537262357414519</v>
          </cell>
          <cell r="I1006" t="e">
            <v>#N/A</v>
          </cell>
          <cell r="J1006" t="e">
            <v>#N/A</v>
          </cell>
          <cell r="K1006">
            <v>64.799999999999983</v>
          </cell>
          <cell r="L1006">
            <v>29.499999999999993</v>
          </cell>
          <cell r="M1006" t="e">
            <v>#N/A</v>
          </cell>
          <cell r="N1006">
            <v>47.6</v>
          </cell>
          <cell r="O1006" t="e">
            <v>#N/A</v>
          </cell>
          <cell r="P1006" t="str">
            <v/>
          </cell>
          <cell r="Q1006" t="str">
            <v/>
          </cell>
          <cell r="R1006" t="e">
            <v>#N/A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-25.960456273764365</v>
          </cell>
          <cell r="F1007">
            <v>80.479087452471873</v>
          </cell>
          <cell r="G1007">
            <v>22.495817490494368</v>
          </cell>
          <cell r="H1007">
            <v>22.495817490494368</v>
          </cell>
          <cell r="I1007" t="e">
            <v>#N/A</v>
          </cell>
          <cell r="J1007" t="e">
            <v>#N/A</v>
          </cell>
          <cell r="K1007">
            <v>64.799999999999983</v>
          </cell>
          <cell r="L1007">
            <v>29.499999999999993</v>
          </cell>
          <cell r="M1007" t="e">
            <v>#N/A</v>
          </cell>
          <cell r="N1007">
            <v>47.6</v>
          </cell>
          <cell r="O1007" t="e">
            <v>#N/A</v>
          </cell>
          <cell r="P1007" t="str">
            <v/>
          </cell>
          <cell r="Q1007" t="str">
            <v/>
          </cell>
          <cell r="R1007" t="e">
            <v>#N/A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-26.114068441064745</v>
          </cell>
          <cell r="F1008">
            <v>80.571863117871118</v>
          </cell>
          <cell r="G1008">
            <v>22.454372623574216</v>
          </cell>
          <cell r="H1008">
            <v>22.454372623574216</v>
          </cell>
          <cell r="I1008" t="e">
            <v>#N/A</v>
          </cell>
          <cell r="J1008" t="e">
            <v>#N/A</v>
          </cell>
          <cell r="K1008">
            <v>64.799999999999983</v>
          </cell>
          <cell r="L1008">
            <v>29.499999999999993</v>
          </cell>
          <cell r="M1008" t="e">
            <v>#N/A</v>
          </cell>
          <cell r="N1008">
            <v>47.6</v>
          </cell>
          <cell r="O1008" t="e">
            <v>#N/A</v>
          </cell>
          <cell r="P1008" t="str">
            <v/>
          </cell>
          <cell r="Q1008" t="str">
            <v/>
          </cell>
          <cell r="R1008" t="e">
            <v>#N/A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-26.267680608365126</v>
          </cell>
          <cell r="F1009">
            <v>80.664638783270362</v>
          </cell>
          <cell r="G1009">
            <v>22.412927756654064</v>
          </cell>
          <cell r="H1009">
            <v>22.412927756654064</v>
          </cell>
          <cell r="I1009" t="e">
            <v>#N/A</v>
          </cell>
          <cell r="J1009" t="e">
            <v>#N/A</v>
          </cell>
          <cell r="K1009">
            <v>64.799999999999983</v>
          </cell>
          <cell r="L1009">
            <v>29.499999999999993</v>
          </cell>
          <cell r="M1009" t="e">
            <v>#N/A</v>
          </cell>
          <cell r="N1009">
            <v>47.6</v>
          </cell>
          <cell r="O1009" t="e">
            <v>#N/A</v>
          </cell>
          <cell r="P1009" t="str">
            <v/>
          </cell>
          <cell r="Q1009" t="str">
            <v/>
          </cell>
          <cell r="R1009" t="e">
            <v>#N/A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-26.421292775665506</v>
          </cell>
          <cell r="F1010">
            <v>80.757414448669607</v>
          </cell>
          <cell r="G1010">
            <v>22.371482889733912</v>
          </cell>
          <cell r="H1010">
            <v>22.371482889733912</v>
          </cell>
          <cell r="I1010" t="e">
            <v>#N/A</v>
          </cell>
          <cell r="J1010" t="e">
            <v>#N/A</v>
          </cell>
          <cell r="K1010">
            <v>64.799999999999983</v>
          </cell>
          <cell r="L1010">
            <v>29.499999999999993</v>
          </cell>
          <cell r="M1010" t="e">
            <v>#N/A</v>
          </cell>
          <cell r="N1010">
            <v>47.6</v>
          </cell>
          <cell r="O1010" t="e">
            <v>#N/A</v>
          </cell>
          <cell r="P1010" t="str">
            <v/>
          </cell>
          <cell r="Q1010" t="str">
            <v/>
          </cell>
          <cell r="R1010" t="e">
            <v>#N/A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-26.574904942965887</v>
          </cell>
          <cell r="F1011">
            <v>80.850190114068852</v>
          </cell>
          <cell r="G1011">
            <v>22.33003802281376</v>
          </cell>
          <cell r="H1011">
            <v>22.33003802281376</v>
          </cell>
          <cell r="I1011" t="e">
            <v>#N/A</v>
          </cell>
          <cell r="J1011" t="e">
            <v>#N/A</v>
          </cell>
          <cell r="K1011">
            <v>64.799999999999983</v>
          </cell>
          <cell r="L1011">
            <v>29.499999999999993</v>
          </cell>
          <cell r="M1011" t="e">
            <v>#N/A</v>
          </cell>
          <cell r="N1011">
            <v>47.6</v>
          </cell>
          <cell r="O1011" t="e">
            <v>#N/A</v>
          </cell>
          <cell r="P1011" t="str">
            <v/>
          </cell>
          <cell r="Q1011" t="str">
            <v/>
          </cell>
          <cell r="R1011" t="e">
            <v>#N/A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-26.728517110266267</v>
          </cell>
          <cell r="F1012">
            <v>80.942965779468096</v>
          </cell>
          <cell r="G1012">
            <v>22.288593155893608</v>
          </cell>
          <cell r="H1012">
            <v>22.288593155893608</v>
          </cell>
          <cell r="I1012" t="e">
            <v>#N/A</v>
          </cell>
          <cell r="J1012" t="e">
            <v>#N/A</v>
          </cell>
          <cell r="K1012">
            <v>64.799999999999983</v>
          </cell>
          <cell r="L1012">
            <v>29.499999999999993</v>
          </cell>
          <cell r="M1012" t="e">
            <v>#N/A</v>
          </cell>
          <cell r="N1012">
            <v>47.6</v>
          </cell>
          <cell r="O1012" t="e">
            <v>#N/A</v>
          </cell>
          <cell r="P1012" t="str">
            <v/>
          </cell>
          <cell r="Q1012" t="str">
            <v/>
          </cell>
          <cell r="R1012" t="e">
            <v>#N/A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-26.882129277566648</v>
          </cell>
          <cell r="F1013">
            <v>81.035741444867341</v>
          </cell>
          <cell r="G1013">
            <v>22.247148288973456</v>
          </cell>
          <cell r="H1013">
            <v>22.247148288973456</v>
          </cell>
          <cell r="I1013" t="e">
            <v>#N/A</v>
          </cell>
          <cell r="J1013" t="e">
            <v>#N/A</v>
          </cell>
          <cell r="K1013">
            <v>64.799999999999983</v>
          </cell>
          <cell r="L1013">
            <v>29.499999999999993</v>
          </cell>
          <cell r="M1013" t="e">
            <v>#N/A</v>
          </cell>
          <cell r="N1013">
            <v>47.6</v>
          </cell>
          <cell r="O1013" t="e">
            <v>#N/A</v>
          </cell>
          <cell r="P1013" t="str">
            <v/>
          </cell>
          <cell r="Q1013" t="str">
            <v/>
          </cell>
          <cell r="R1013" t="e">
            <v>#N/A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-27.035741444867028</v>
          </cell>
          <cell r="F1014">
            <v>81.128517110266586</v>
          </cell>
          <cell r="G1014">
            <v>22.205703422053304</v>
          </cell>
          <cell r="H1014">
            <v>22.205703422053304</v>
          </cell>
          <cell r="I1014" t="e">
            <v>#N/A</v>
          </cell>
          <cell r="J1014" t="e">
            <v>#N/A</v>
          </cell>
          <cell r="K1014">
            <v>64.799999999999983</v>
          </cell>
          <cell r="L1014">
            <v>29.499999999999993</v>
          </cell>
          <cell r="M1014" t="e">
            <v>#N/A</v>
          </cell>
          <cell r="N1014">
            <v>47.6</v>
          </cell>
          <cell r="O1014" t="e">
            <v>#N/A</v>
          </cell>
          <cell r="P1014" t="str">
            <v/>
          </cell>
          <cell r="Q1014" t="str">
            <v/>
          </cell>
          <cell r="R1014" t="e">
            <v>#N/A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-27.189353612167409</v>
          </cell>
          <cell r="F1015">
            <v>81.22129277566583</v>
          </cell>
          <cell r="G1015">
            <v>22.164258555133152</v>
          </cell>
          <cell r="H1015">
            <v>22.164258555133152</v>
          </cell>
          <cell r="I1015" t="e">
            <v>#N/A</v>
          </cell>
          <cell r="J1015" t="e">
            <v>#N/A</v>
          </cell>
          <cell r="K1015">
            <v>64.799999999999983</v>
          </cell>
          <cell r="L1015">
            <v>29.499999999999993</v>
          </cell>
          <cell r="M1015" t="e">
            <v>#N/A</v>
          </cell>
          <cell r="N1015">
            <v>47.6</v>
          </cell>
          <cell r="O1015" t="e">
            <v>#N/A</v>
          </cell>
          <cell r="P1015" t="str">
            <v/>
          </cell>
          <cell r="Q1015" t="str">
            <v/>
          </cell>
          <cell r="R1015" t="e">
            <v>#N/A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-27.342965779467789</v>
          </cell>
          <cell r="F1016">
            <v>81.314068441065075</v>
          </cell>
          <cell r="G1016">
            <v>22.122813688213</v>
          </cell>
          <cell r="H1016">
            <v>22.122813688213</v>
          </cell>
          <cell r="I1016" t="e">
            <v>#N/A</v>
          </cell>
          <cell r="J1016" t="e">
            <v>#N/A</v>
          </cell>
          <cell r="K1016">
            <v>64.799999999999983</v>
          </cell>
          <cell r="L1016">
            <v>29.499999999999993</v>
          </cell>
          <cell r="M1016" t="e">
            <v>#N/A</v>
          </cell>
          <cell r="N1016">
            <v>47.6</v>
          </cell>
          <cell r="O1016" t="e">
            <v>#N/A</v>
          </cell>
          <cell r="P1016" t="str">
            <v/>
          </cell>
          <cell r="Q1016" t="str">
            <v/>
          </cell>
          <cell r="R1016" t="e">
            <v>#N/A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-27.49657794676817</v>
          </cell>
          <cell r="F1017">
            <v>81.40684410646432</v>
          </cell>
          <cell r="G1017">
            <v>22.081368821292848</v>
          </cell>
          <cell r="H1017">
            <v>22.081368821292848</v>
          </cell>
          <cell r="I1017" t="e">
            <v>#N/A</v>
          </cell>
          <cell r="J1017" t="e">
            <v>#N/A</v>
          </cell>
          <cell r="K1017">
            <v>64.799999999999983</v>
          </cell>
          <cell r="L1017">
            <v>29.499999999999993</v>
          </cell>
          <cell r="M1017" t="e">
            <v>#N/A</v>
          </cell>
          <cell r="N1017">
            <v>47.6</v>
          </cell>
          <cell r="O1017" t="e">
            <v>#N/A</v>
          </cell>
          <cell r="P1017" t="str">
            <v/>
          </cell>
          <cell r="Q1017" t="str">
            <v/>
          </cell>
          <cell r="R1017" t="e">
            <v>#N/A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-27.65019011406855</v>
          </cell>
          <cell r="F1018">
            <v>81.499619771863564</v>
          </cell>
          <cell r="G1018">
            <v>22.039923954372696</v>
          </cell>
          <cell r="H1018">
            <v>22.039923954372696</v>
          </cell>
          <cell r="I1018" t="e">
            <v>#N/A</v>
          </cell>
          <cell r="J1018" t="e">
            <v>#N/A</v>
          </cell>
          <cell r="K1018">
            <v>64.799999999999983</v>
          </cell>
          <cell r="L1018">
            <v>29.499999999999993</v>
          </cell>
          <cell r="M1018" t="e">
            <v>#N/A</v>
          </cell>
          <cell r="N1018">
            <v>47.6</v>
          </cell>
          <cell r="O1018" t="e">
            <v>#N/A</v>
          </cell>
          <cell r="P1018" t="str">
            <v/>
          </cell>
          <cell r="Q1018" t="str">
            <v/>
          </cell>
          <cell r="R1018" t="e">
            <v>#N/A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-27.803802281368931</v>
          </cell>
          <cell r="F1019">
            <v>81.592395437262809</v>
          </cell>
          <cell r="G1019">
            <v>21.998479087452544</v>
          </cell>
          <cell r="H1019">
            <v>21.998479087452544</v>
          </cell>
          <cell r="I1019" t="e">
            <v>#N/A</v>
          </cell>
          <cell r="J1019" t="e">
            <v>#N/A</v>
          </cell>
          <cell r="K1019">
            <v>64.799999999999983</v>
          </cell>
          <cell r="L1019">
            <v>29.499999999999993</v>
          </cell>
          <cell r="M1019" t="e">
            <v>#N/A</v>
          </cell>
          <cell r="N1019">
            <v>47.6</v>
          </cell>
          <cell r="O1019" t="e">
            <v>#N/A</v>
          </cell>
          <cell r="P1019" t="str">
            <v/>
          </cell>
          <cell r="Q1019" t="str">
            <v/>
          </cell>
          <cell r="R1019" t="e">
            <v>#N/A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-27.957414448669311</v>
          </cell>
          <cell r="F1020">
            <v>81.685171102662053</v>
          </cell>
          <cell r="G1020">
            <v>21.957034220532393</v>
          </cell>
          <cell r="H1020">
            <v>21.957034220532393</v>
          </cell>
          <cell r="I1020" t="e">
            <v>#N/A</v>
          </cell>
          <cell r="J1020" t="e">
            <v>#N/A</v>
          </cell>
          <cell r="K1020">
            <v>64.799999999999983</v>
          </cell>
          <cell r="L1020">
            <v>29.499999999999993</v>
          </cell>
          <cell r="M1020" t="e">
            <v>#N/A</v>
          </cell>
          <cell r="N1020">
            <v>47.6</v>
          </cell>
          <cell r="O1020" t="e">
            <v>#N/A</v>
          </cell>
          <cell r="P1020" t="str">
            <v/>
          </cell>
          <cell r="Q1020" t="str">
            <v/>
          </cell>
          <cell r="R1020" t="e">
            <v>#N/A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-28.111026615969692</v>
          </cell>
          <cell r="F1021">
            <v>81.777946768061298</v>
          </cell>
          <cell r="G1021">
            <v>21.915589353612241</v>
          </cell>
          <cell r="H1021">
            <v>21.915589353612241</v>
          </cell>
          <cell r="I1021" t="e">
            <v>#N/A</v>
          </cell>
          <cell r="J1021" t="e">
            <v>#N/A</v>
          </cell>
          <cell r="K1021">
            <v>64.799999999999983</v>
          </cell>
          <cell r="L1021">
            <v>29.499999999999993</v>
          </cell>
          <cell r="M1021" t="e">
            <v>#N/A</v>
          </cell>
          <cell r="N1021">
            <v>47.6</v>
          </cell>
          <cell r="O1021" t="e">
            <v>#N/A</v>
          </cell>
          <cell r="P1021" t="str">
            <v/>
          </cell>
          <cell r="Q1021" t="str">
            <v/>
          </cell>
          <cell r="R1021" t="e">
            <v>#N/A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-28.264638783270073</v>
          </cell>
          <cell r="F1022">
            <v>81.870722433460543</v>
          </cell>
          <cell r="G1022">
            <v>21.874144486692089</v>
          </cell>
          <cell r="H1022">
            <v>21.874144486692089</v>
          </cell>
          <cell r="I1022" t="e">
            <v>#N/A</v>
          </cell>
          <cell r="J1022" t="e">
            <v>#N/A</v>
          </cell>
          <cell r="K1022">
            <v>64.799999999999983</v>
          </cell>
          <cell r="L1022">
            <v>29.499999999999993</v>
          </cell>
          <cell r="M1022" t="e">
            <v>#N/A</v>
          </cell>
          <cell r="N1022">
            <v>47.6</v>
          </cell>
          <cell r="O1022" t="e">
            <v>#N/A</v>
          </cell>
          <cell r="P1022" t="str">
            <v/>
          </cell>
          <cell r="Q1022" t="str">
            <v/>
          </cell>
          <cell r="R1022" t="e">
            <v>#N/A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-28.418250950570453</v>
          </cell>
          <cell r="F1023">
            <v>81.963498098859787</v>
          </cell>
          <cell r="G1023">
            <v>21.832699619771937</v>
          </cell>
          <cell r="H1023">
            <v>21.832699619771937</v>
          </cell>
          <cell r="I1023" t="e">
            <v>#N/A</v>
          </cell>
          <cell r="J1023" t="e">
            <v>#N/A</v>
          </cell>
          <cell r="K1023">
            <v>64.799999999999983</v>
          </cell>
          <cell r="L1023">
            <v>29.499999999999993</v>
          </cell>
          <cell r="M1023" t="e">
            <v>#N/A</v>
          </cell>
          <cell r="N1023">
            <v>47.6</v>
          </cell>
          <cell r="O1023" t="e">
            <v>#N/A</v>
          </cell>
          <cell r="P1023" t="str">
            <v/>
          </cell>
          <cell r="Q1023" t="str">
            <v/>
          </cell>
          <cell r="R1023" t="e">
            <v>#N/A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-28.571863117870834</v>
          </cell>
          <cell r="F1024">
            <v>82.056273764259032</v>
          </cell>
          <cell r="G1024">
            <v>21.791254752851785</v>
          </cell>
          <cell r="H1024">
            <v>21.791254752851785</v>
          </cell>
          <cell r="I1024" t="e">
            <v>#N/A</v>
          </cell>
          <cell r="J1024" t="e">
            <v>#N/A</v>
          </cell>
          <cell r="K1024">
            <v>64.799999999999983</v>
          </cell>
          <cell r="L1024">
            <v>29.499999999999993</v>
          </cell>
          <cell r="M1024" t="e">
            <v>#N/A</v>
          </cell>
          <cell r="N1024">
            <v>47.6</v>
          </cell>
          <cell r="O1024" t="e">
            <v>#N/A</v>
          </cell>
          <cell r="P1024" t="str">
            <v/>
          </cell>
          <cell r="Q1024" t="str">
            <v/>
          </cell>
          <cell r="R1024" t="e">
            <v>#N/A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-28.725475285171214</v>
          </cell>
          <cell r="F1025">
            <v>82.149049429658277</v>
          </cell>
          <cell r="G1025">
            <v>21.749809885931633</v>
          </cell>
          <cell r="H1025">
            <v>21.749809885931633</v>
          </cell>
          <cell r="I1025" t="e">
            <v>#N/A</v>
          </cell>
          <cell r="J1025" t="e">
            <v>#N/A</v>
          </cell>
          <cell r="K1025">
            <v>64.799999999999983</v>
          </cell>
          <cell r="L1025">
            <v>29.499999999999993</v>
          </cell>
          <cell r="M1025" t="e">
            <v>#N/A</v>
          </cell>
          <cell r="N1025">
            <v>47.6</v>
          </cell>
          <cell r="O1025" t="e">
            <v>#N/A</v>
          </cell>
          <cell r="P1025" t="str">
            <v/>
          </cell>
          <cell r="Q1025" t="str">
            <v/>
          </cell>
          <cell r="R1025" t="e">
            <v>#N/A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-28.879087452471595</v>
          </cell>
          <cell r="F1026">
            <v>82.241825095057521</v>
          </cell>
          <cell r="G1026">
            <v>21.708365019011481</v>
          </cell>
          <cell r="H1026">
            <v>21.708365019011481</v>
          </cell>
          <cell r="I1026" t="e">
            <v>#N/A</v>
          </cell>
          <cell r="J1026" t="e">
            <v>#N/A</v>
          </cell>
          <cell r="K1026">
            <v>64.799999999999983</v>
          </cell>
          <cell r="L1026">
            <v>29.499999999999993</v>
          </cell>
          <cell r="M1026" t="e">
            <v>#N/A</v>
          </cell>
          <cell r="N1026">
            <v>47.6</v>
          </cell>
          <cell r="O1026" t="e">
            <v>#N/A</v>
          </cell>
          <cell r="P1026" t="str">
            <v/>
          </cell>
          <cell r="Q1026" t="str">
            <v/>
          </cell>
          <cell r="R1026" t="e">
            <v>#N/A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-29.032699619771975</v>
          </cell>
          <cell r="F1027">
            <v>82.334600760456766</v>
          </cell>
          <cell r="G1027">
            <v>21.666920152091329</v>
          </cell>
          <cell r="H1027">
            <v>21.666920152091329</v>
          </cell>
          <cell r="I1027" t="e">
            <v>#N/A</v>
          </cell>
          <cell r="J1027" t="e">
            <v>#N/A</v>
          </cell>
          <cell r="K1027">
            <v>64.799999999999983</v>
          </cell>
          <cell r="L1027">
            <v>29.499999999999993</v>
          </cell>
          <cell r="M1027" t="e">
            <v>#N/A</v>
          </cell>
          <cell r="N1027">
            <v>47.6</v>
          </cell>
          <cell r="O1027" t="e">
            <v>#N/A</v>
          </cell>
          <cell r="P1027" t="str">
            <v/>
          </cell>
          <cell r="Q1027" t="str">
            <v/>
          </cell>
          <cell r="R1027" t="e">
            <v>#N/A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-29.186311787072356</v>
          </cell>
          <cell r="F1028">
            <v>82.427376425856011</v>
          </cell>
          <cell r="G1028">
            <v>21.625475285171177</v>
          </cell>
          <cell r="H1028">
            <v>21.625475285171177</v>
          </cell>
          <cell r="I1028" t="e">
            <v>#N/A</v>
          </cell>
          <cell r="J1028" t="e">
            <v>#N/A</v>
          </cell>
          <cell r="K1028">
            <v>64.799999999999983</v>
          </cell>
          <cell r="L1028">
            <v>29.499999999999993</v>
          </cell>
          <cell r="M1028" t="e">
            <v>#N/A</v>
          </cell>
          <cell r="N1028">
            <v>47.6</v>
          </cell>
          <cell r="O1028" t="e">
            <v>#N/A</v>
          </cell>
          <cell r="P1028" t="str">
            <v/>
          </cell>
          <cell r="Q1028" t="str">
            <v/>
          </cell>
          <cell r="R1028" t="e">
            <v>#N/A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-29.339923954372736</v>
          </cell>
          <cell r="F1029">
            <v>82.520152091255255</v>
          </cell>
          <cell r="G1029">
            <v>21.584030418251025</v>
          </cell>
          <cell r="H1029">
            <v>21.584030418251025</v>
          </cell>
          <cell r="I1029" t="e">
            <v>#N/A</v>
          </cell>
          <cell r="J1029" t="e">
            <v>#N/A</v>
          </cell>
          <cell r="K1029">
            <v>64.799999999999983</v>
          </cell>
          <cell r="L1029">
            <v>29.499999999999993</v>
          </cell>
          <cell r="M1029" t="e">
            <v>#N/A</v>
          </cell>
          <cell r="N1029">
            <v>47.6</v>
          </cell>
          <cell r="O1029" t="e">
            <v>#N/A</v>
          </cell>
          <cell r="P1029" t="str">
            <v/>
          </cell>
          <cell r="Q1029" t="str">
            <v/>
          </cell>
          <cell r="R1029" t="e">
            <v>#N/A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-29.493536121673117</v>
          </cell>
          <cell r="F1030">
            <v>82.6129277566545</v>
          </cell>
          <cell r="G1030">
            <v>21.542585551330873</v>
          </cell>
          <cell r="H1030">
            <v>21.542585551330873</v>
          </cell>
          <cell r="I1030" t="e">
            <v>#N/A</v>
          </cell>
          <cell r="J1030" t="e">
            <v>#N/A</v>
          </cell>
          <cell r="K1030">
            <v>64.799999999999983</v>
          </cell>
          <cell r="L1030">
            <v>29.499999999999993</v>
          </cell>
          <cell r="M1030" t="e">
            <v>#N/A</v>
          </cell>
          <cell r="N1030">
            <v>47.6</v>
          </cell>
          <cell r="O1030" t="e">
            <v>#N/A</v>
          </cell>
          <cell r="P1030" t="str">
            <v/>
          </cell>
          <cell r="Q1030" t="str">
            <v/>
          </cell>
          <cell r="R1030" t="e">
            <v>#N/A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-29.647148288973497</v>
          </cell>
          <cell r="F1031">
            <v>82.705703422053745</v>
          </cell>
          <cell r="G1031">
            <v>21.501140684410721</v>
          </cell>
          <cell r="H1031">
            <v>21.501140684410721</v>
          </cell>
          <cell r="I1031" t="e">
            <v>#N/A</v>
          </cell>
          <cell r="J1031" t="e">
            <v>#N/A</v>
          </cell>
          <cell r="K1031">
            <v>64.799999999999983</v>
          </cell>
          <cell r="L1031">
            <v>29.499999999999993</v>
          </cell>
          <cell r="M1031" t="e">
            <v>#N/A</v>
          </cell>
          <cell r="N1031">
            <v>47.6</v>
          </cell>
          <cell r="O1031" t="e">
            <v>#N/A</v>
          </cell>
          <cell r="P1031" t="str">
            <v/>
          </cell>
          <cell r="Q1031" t="str">
            <v/>
          </cell>
          <cell r="R1031" t="e">
            <v>#N/A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-29.800760456273878</v>
          </cell>
          <cell r="F1032">
            <v>82.798479087452989</v>
          </cell>
          <cell r="G1032">
            <v>21.459695817490569</v>
          </cell>
          <cell r="H1032">
            <v>21.459695817490569</v>
          </cell>
          <cell r="I1032" t="e">
            <v>#N/A</v>
          </cell>
          <cell r="J1032" t="e">
            <v>#N/A</v>
          </cell>
          <cell r="K1032">
            <v>64.799999999999983</v>
          </cell>
          <cell r="L1032">
            <v>29.499999999999993</v>
          </cell>
          <cell r="M1032" t="e">
            <v>#N/A</v>
          </cell>
          <cell r="N1032">
            <v>47.6</v>
          </cell>
          <cell r="O1032" t="e">
            <v>#N/A</v>
          </cell>
          <cell r="P1032" t="str">
            <v/>
          </cell>
          <cell r="Q1032" t="str">
            <v/>
          </cell>
          <cell r="R1032" t="e">
            <v>#N/A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-29.954372623574258</v>
          </cell>
          <cell r="F1033">
            <v>82.891254752852234</v>
          </cell>
          <cell r="G1033">
            <v>21.418250950570418</v>
          </cell>
          <cell r="H1033">
            <v>21.418250950570418</v>
          </cell>
          <cell r="I1033" t="e">
            <v>#N/A</v>
          </cell>
          <cell r="J1033" t="e">
            <v>#N/A</v>
          </cell>
          <cell r="K1033">
            <v>64.799999999999983</v>
          </cell>
          <cell r="L1033">
            <v>29.499999999999993</v>
          </cell>
          <cell r="M1033" t="e">
            <v>#N/A</v>
          </cell>
          <cell r="N1033">
            <v>47.6</v>
          </cell>
          <cell r="O1033" t="e">
            <v>#N/A</v>
          </cell>
          <cell r="P1033" t="str">
            <v/>
          </cell>
          <cell r="Q1033" t="str">
            <v/>
          </cell>
          <cell r="R1033" t="e">
            <v>#N/A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-30.107984790874639</v>
          </cell>
          <cell r="F1034">
            <v>82.984030418251479</v>
          </cell>
          <cell r="G1034">
            <v>21.376806083650266</v>
          </cell>
          <cell r="H1034">
            <v>21.376806083650266</v>
          </cell>
          <cell r="I1034" t="e">
            <v>#N/A</v>
          </cell>
          <cell r="J1034" t="e">
            <v>#N/A</v>
          </cell>
          <cell r="K1034">
            <v>64.799999999999983</v>
          </cell>
          <cell r="L1034">
            <v>29.499999999999993</v>
          </cell>
          <cell r="M1034" t="e">
            <v>#N/A</v>
          </cell>
          <cell r="N1034">
            <v>47.6</v>
          </cell>
          <cell r="O1034" t="e">
            <v>#N/A</v>
          </cell>
          <cell r="P1034" t="str">
            <v/>
          </cell>
          <cell r="Q1034" t="str">
            <v/>
          </cell>
          <cell r="R1034" t="e">
            <v>#N/A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-30.261596958175019</v>
          </cell>
          <cell r="F1035">
            <v>83.076806083650723</v>
          </cell>
          <cell r="G1035">
            <v>21.335361216730114</v>
          </cell>
          <cell r="H1035">
            <v>21.335361216730114</v>
          </cell>
          <cell r="I1035" t="e">
            <v>#N/A</v>
          </cell>
          <cell r="J1035" t="e">
            <v>#N/A</v>
          </cell>
          <cell r="K1035">
            <v>64.799999999999983</v>
          </cell>
          <cell r="L1035">
            <v>29.499999999999993</v>
          </cell>
          <cell r="M1035" t="e">
            <v>#N/A</v>
          </cell>
          <cell r="N1035">
            <v>47.6</v>
          </cell>
          <cell r="O1035" t="e">
            <v>#N/A</v>
          </cell>
          <cell r="P1035" t="str">
            <v/>
          </cell>
          <cell r="Q1035" t="str">
            <v/>
          </cell>
          <cell r="R1035" t="e">
            <v>#N/A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-30.4152091254754</v>
          </cell>
          <cell r="F1036">
            <v>83.169581749049968</v>
          </cell>
          <cell r="G1036">
            <v>21.293916349809962</v>
          </cell>
          <cell r="H1036">
            <v>21.293916349809962</v>
          </cell>
          <cell r="I1036" t="e">
            <v>#N/A</v>
          </cell>
          <cell r="J1036" t="e">
            <v>#N/A</v>
          </cell>
          <cell r="K1036">
            <v>64.799999999999983</v>
          </cell>
          <cell r="L1036">
            <v>29.499999999999993</v>
          </cell>
          <cell r="M1036" t="e">
            <v>#N/A</v>
          </cell>
          <cell r="N1036">
            <v>47.6</v>
          </cell>
          <cell r="O1036" t="e">
            <v>#N/A</v>
          </cell>
          <cell r="P1036" t="str">
            <v/>
          </cell>
          <cell r="Q1036" t="str">
            <v/>
          </cell>
          <cell r="R1036" t="e">
            <v>#N/A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-30.56882129277578</v>
          </cell>
          <cell r="F1037">
            <v>83.262357414449212</v>
          </cell>
          <cell r="G1037">
            <v>21.25247148288981</v>
          </cell>
          <cell r="H1037">
            <v>21.25247148288981</v>
          </cell>
          <cell r="I1037" t="e">
            <v>#N/A</v>
          </cell>
          <cell r="J1037" t="e">
            <v>#N/A</v>
          </cell>
          <cell r="K1037">
            <v>64.799999999999983</v>
          </cell>
          <cell r="L1037">
            <v>29.499999999999993</v>
          </cell>
          <cell r="M1037" t="e">
            <v>#N/A</v>
          </cell>
          <cell r="N1037">
            <v>47.6</v>
          </cell>
          <cell r="O1037" t="e">
            <v>#N/A</v>
          </cell>
          <cell r="P1037" t="str">
            <v/>
          </cell>
          <cell r="Q1037" t="str">
            <v/>
          </cell>
          <cell r="R1037" t="e">
            <v>#N/A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-30.722433460076161</v>
          </cell>
          <cell r="F1038">
            <v>83.355133079848457</v>
          </cell>
          <cell r="G1038">
            <v>21.211026615969658</v>
          </cell>
          <cell r="H1038">
            <v>21.211026615969658</v>
          </cell>
          <cell r="I1038" t="e">
            <v>#N/A</v>
          </cell>
          <cell r="J1038" t="e">
            <v>#N/A</v>
          </cell>
          <cell r="K1038">
            <v>64.799999999999983</v>
          </cell>
          <cell r="L1038">
            <v>29.499999999999993</v>
          </cell>
          <cell r="M1038" t="e">
            <v>#N/A</v>
          </cell>
          <cell r="N1038">
            <v>47.6</v>
          </cell>
          <cell r="O1038" t="e">
            <v>#N/A</v>
          </cell>
          <cell r="P1038" t="str">
            <v/>
          </cell>
          <cell r="Q1038" t="str">
            <v/>
          </cell>
          <cell r="R1038" t="e">
            <v>#N/A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-30.876045627376541</v>
          </cell>
          <cell r="F1039">
            <v>83.447908745247702</v>
          </cell>
          <cell r="G1039">
            <v>21.169581749049506</v>
          </cell>
          <cell r="H1039">
            <v>21.169581749049506</v>
          </cell>
          <cell r="I1039" t="e">
            <v>#N/A</v>
          </cell>
          <cell r="J1039" t="e">
            <v>#N/A</v>
          </cell>
          <cell r="K1039">
            <v>64.799999999999983</v>
          </cell>
          <cell r="L1039">
            <v>29.499999999999993</v>
          </cell>
          <cell r="M1039" t="e">
            <v>#N/A</v>
          </cell>
          <cell r="N1039">
            <v>47.6</v>
          </cell>
          <cell r="O1039" t="e">
            <v>#N/A</v>
          </cell>
          <cell r="P1039" t="str">
            <v/>
          </cell>
          <cell r="Q1039" t="str">
            <v/>
          </cell>
          <cell r="R1039" t="e">
            <v>#N/A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-31.029657794676922</v>
          </cell>
          <cell r="F1040">
            <v>83.540684410646946</v>
          </cell>
          <cell r="G1040">
            <v>21.128136882129354</v>
          </cell>
          <cell r="H1040">
            <v>21.128136882129354</v>
          </cell>
          <cell r="I1040" t="e">
            <v>#N/A</v>
          </cell>
          <cell r="J1040" t="e">
            <v>#N/A</v>
          </cell>
          <cell r="K1040">
            <v>64.799999999999983</v>
          </cell>
          <cell r="L1040">
            <v>29.499999999999993</v>
          </cell>
          <cell r="M1040" t="e">
            <v>#N/A</v>
          </cell>
          <cell r="N1040">
            <v>47.6</v>
          </cell>
          <cell r="O1040" t="e">
            <v>#N/A</v>
          </cell>
          <cell r="P1040" t="str">
            <v/>
          </cell>
          <cell r="Q1040" t="str">
            <v/>
          </cell>
          <cell r="R1040" t="e">
            <v>#N/A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-31.183269961977302</v>
          </cell>
          <cell r="F1041">
            <v>83.633460076046191</v>
          </cell>
          <cell r="G1041">
            <v>21.086692015209202</v>
          </cell>
          <cell r="H1041">
            <v>21.086692015209202</v>
          </cell>
          <cell r="I1041" t="e">
            <v>#N/A</v>
          </cell>
          <cell r="J1041" t="e">
            <v>#N/A</v>
          </cell>
          <cell r="K1041">
            <v>64.799999999999983</v>
          </cell>
          <cell r="L1041">
            <v>29.499999999999993</v>
          </cell>
          <cell r="M1041" t="e">
            <v>#N/A</v>
          </cell>
          <cell r="N1041">
            <v>47.6</v>
          </cell>
          <cell r="O1041" t="e">
            <v>#N/A</v>
          </cell>
          <cell r="P1041" t="str">
            <v/>
          </cell>
          <cell r="Q1041" t="str">
            <v/>
          </cell>
          <cell r="R1041" t="e">
            <v>#N/A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-31.336882129277683</v>
          </cell>
          <cell r="F1042">
            <v>83.726235741445436</v>
          </cell>
          <cell r="G1042">
            <v>21.04524714828905</v>
          </cell>
          <cell r="H1042">
            <v>21.04524714828905</v>
          </cell>
          <cell r="I1042" t="e">
            <v>#N/A</v>
          </cell>
          <cell r="J1042" t="e">
            <v>#N/A</v>
          </cell>
          <cell r="K1042">
            <v>64.799999999999983</v>
          </cell>
          <cell r="L1042">
            <v>29.499999999999993</v>
          </cell>
          <cell r="M1042" t="e">
            <v>#N/A</v>
          </cell>
          <cell r="N1042">
            <v>47.6</v>
          </cell>
          <cell r="O1042" t="e">
            <v>#N/A</v>
          </cell>
          <cell r="P1042" t="str">
            <v/>
          </cell>
          <cell r="Q1042" t="str">
            <v/>
          </cell>
          <cell r="R1042" t="e">
            <v>#N/A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-31.490494296578063</v>
          </cell>
          <cell r="F1043">
            <v>83.81901140684468</v>
          </cell>
          <cell r="G1043">
            <v>21.003802281368898</v>
          </cell>
          <cell r="H1043">
            <v>21.003802281368898</v>
          </cell>
          <cell r="I1043" t="e">
            <v>#N/A</v>
          </cell>
          <cell r="J1043" t="e">
            <v>#N/A</v>
          </cell>
          <cell r="K1043">
            <v>64.799999999999983</v>
          </cell>
          <cell r="L1043">
            <v>29.499999999999993</v>
          </cell>
          <cell r="M1043" t="e">
            <v>#N/A</v>
          </cell>
          <cell r="N1043">
            <v>47.6</v>
          </cell>
          <cell r="O1043" t="e">
            <v>#N/A</v>
          </cell>
          <cell r="P1043" t="str">
            <v/>
          </cell>
          <cell r="Q1043" t="str">
            <v/>
          </cell>
          <cell r="R1043" t="e">
            <v>#N/A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-31.644106463878444</v>
          </cell>
          <cell r="F1044">
            <v>83.911787072243925</v>
          </cell>
          <cell r="G1044">
            <v>20.962357414448746</v>
          </cell>
          <cell r="H1044">
            <v>20.962357414448746</v>
          </cell>
          <cell r="I1044" t="e">
            <v>#N/A</v>
          </cell>
          <cell r="J1044" t="e">
            <v>#N/A</v>
          </cell>
          <cell r="K1044">
            <v>64.799999999999983</v>
          </cell>
          <cell r="L1044">
            <v>29.499999999999993</v>
          </cell>
          <cell r="M1044" t="e">
            <v>#N/A</v>
          </cell>
          <cell r="N1044">
            <v>47.6</v>
          </cell>
          <cell r="O1044" t="e">
            <v>#N/A</v>
          </cell>
          <cell r="P1044" t="str">
            <v/>
          </cell>
          <cell r="Q1044" t="str">
            <v/>
          </cell>
          <cell r="R1044" t="e">
            <v>#N/A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-31.797718631178824</v>
          </cell>
          <cell r="F1045">
            <v>84.00456273764317</v>
          </cell>
          <cell r="G1045">
            <v>20.920912547528594</v>
          </cell>
          <cell r="H1045">
            <v>20.920912547528594</v>
          </cell>
          <cell r="I1045" t="e">
            <v>#N/A</v>
          </cell>
          <cell r="J1045" t="e">
            <v>#N/A</v>
          </cell>
          <cell r="K1045">
            <v>64.799999999999983</v>
          </cell>
          <cell r="L1045">
            <v>29.499999999999993</v>
          </cell>
          <cell r="M1045" t="e">
            <v>#N/A</v>
          </cell>
          <cell r="N1045">
            <v>47.6</v>
          </cell>
          <cell r="O1045" t="e">
            <v>#N/A</v>
          </cell>
          <cell r="P1045" t="str">
            <v/>
          </cell>
          <cell r="Q1045" t="str">
            <v/>
          </cell>
          <cell r="R1045" t="e">
            <v>#N/A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-31.951330798479205</v>
          </cell>
          <cell r="F1046">
            <v>84.097338403042414</v>
          </cell>
          <cell r="G1046">
            <v>20.879467680608442</v>
          </cell>
          <cell r="H1046">
            <v>20.879467680608442</v>
          </cell>
          <cell r="I1046" t="e">
            <v>#N/A</v>
          </cell>
          <cell r="J1046" t="e">
            <v>#N/A</v>
          </cell>
          <cell r="K1046">
            <v>64.799999999999983</v>
          </cell>
          <cell r="L1046">
            <v>29.499999999999993</v>
          </cell>
          <cell r="M1046" t="e">
            <v>#N/A</v>
          </cell>
          <cell r="N1046">
            <v>47.6</v>
          </cell>
          <cell r="O1046" t="e">
            <v>#N/A</v>
          </cell>
          <cell r="P1046" t="str">
            <v/>
          </cell>
          <cell r="Q1046" t="str">
            <v/>
          </cell>
          <cell r="R1046" t="e">
            <v>#N/A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-32.104942965779586</v>
          </cell>
          <cell r="F1047">
            <v>84.190114068441659</v>
          </cell>
          <cell r="G1047">
            <v>20.838022813688291</v>
          </cell>
          <cell r="H1047">
            <v>20.838022813688291</v>
          </cell>
          <cell r="I1047" t="e">
            <v>#N/A</v>
          </cell>
          <cell r="J1047" t="e">
            <v>#N/A</v>
          </cell>
          <cell r="K1047">
            <v>64.799999999999983</v>
          </cell>
          <cell r="L1047">
            <v>29.499999999999993</v>
          </cell>
          <cell r="M1047" t="e">
            <v>#N/A</v>
          </cell>
          <cell r="N1047">
            <v>47.6</v>
          </cell>
          <cell r="O1047" t="e">
            <v>#N/A</v>
          </cell>
          <cell r="P1047" t="str">
            <v/>
          </cell>
          <cell r="Q1047" t="str">
            <v/>
          </cell>
          <cell r="R1047" t="e">
            <v>#N/A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-32.258555133079966</v>
          </cell>
          <cell r="F1048">
            <v>84.282889733840904</v>
          </cell>
          <cell r="G1048">
            <v>20.796577946768139</v>
          </cell>
          <cell r="H1048">
            <v>20.796577946768139</v>
          </cell>
          <cell r="I1048" t="e">
            <v>#N/A</v>
          </cell>
          <cell r="J1048" t="e">
            <v>#N/A</v>
          </cell>
          <cell r="K1048">
            <v>64.799999999999983</v>
          </cell>
          <cell r="L1048">
            <v>29.499999999999993</v>
          </cell>
          <cell r="M1048" t="e">
            <v>#N/A</v>
          </cell>
          <cell r="N1048">
            <v>47.6</v>
          </cell>
          <cell r="O1048" t="e">
            <v>#N/A</v>
          </cell>
          <cell r="P1048" t="str">
            <v/>
          </cell>
          <cell r="Q1048" t="str">
            <v/>
          </cell>
          <cell r="R1048" t="e">
            <v>#N/A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-32.412167300380347</v>
          </cell>
          <cell r="F1049">
            <v>84.375665399240148</v>
          </cell>
          <cell r="G1049">
            <v>20.755133079847987</v>
          </cell>
          <cell r="H1049">
            <v>20.755133079847987</v>
          </cell>
          <cell r="I1049" t="e">
            <v>#N/A</v>
          </cell>
          <cell r="J1049" t="e">
            <v>#N/A</v>
          </cell>
          <cell r="K1049">
            <v>64.799999999999983</v>
          </cell>
          <cell r="L1049">
            <v>29.499999999999993</v>
          </cell>
          <cell r="M1049" t="e">
            <v>#N/A</v>
          </cell>
          <cell r="N1049">
            <v>47.6</v>
          </cell>
          <cell r="O1049" t="e">
            <v>#N/A</v>
          </cell>
          <cell r="P1049" t="str">
            <v/>
          </cell>
          <cell r="Q1049" t="str">
            <v/>
          </cell>
          <cell r="R1049" t="e">
            <v>#N/A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-32.565779467680727</v>
          </cell>
          <cell r="F1050">
            <v>84.468441064639393</v>
          </cell>
          <cell r="G1050">
            <v>20.713688212927835</v>
          </cell>
          <cell r="H1050">
            <v>20.713688212927835</v>
          </cell>
          <cell r="I1050" t="e">
            <v>#N/A</v>
          </cell>
          <cell r="J1050" t="e">
            <v>#N/A</v>
          </cell>
          <cell r="K1050">
            <v>64.799999999999983</v>
          </cell>
          <cell r="L1050">
            <v>29.499999999999993</v>
          </cell>
          <cell r="M1050" t="e">
            <v>#N/A</v>
          </cell>
          <cell r="N1050">
            <v>47.6</v>
          </cell>
          <cell r="O1050" t="e">
            <v>#N/A</v>
          </cell>
          <cell r="P1050" t="str">
            <v/>
          </cell>
          <cell r="Q1050" t="str">
            <v/>
          </cell>
          <cell r="R1050" t="e">
            <v>#N/A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-32.719391634981108</v>
          </cell>
          <cell r="F1051">
            <v>84.561216730038637</v>
          </cell>
          <cell r="G1051">
            <v>20.672243346007683</v>
          </cell>
          <cell r="H1051">
            <v>20.672243346007683</v>
          </cell>
          <cell r="I1051" t="e">
            <v>#N/A</v>
          </cell>
          <cell r="J1051" t="e">
            <v>#N/A</v>
          </cell>
          <cell r="K1051">
            <v>64.799999999999983</v>
          </cell>
          <cell r="L1051">
            <v>29.499999999999993</v>
          </cell>
          <cell r="M1051" t="e">
            <v>#N/A</v>
          </cell>
          <cell r="N1051">
            <v>47.6</v>
          </cell>
          <cell r="O1051" t="e">
            <v>#N/A</v>
          </cell>
          <cell r="P1051" t="str">
            <v/>
          </cell>
          <cell r="Q1051" t="str">
            <v/>
          </cell>
          <cell r="R1051" t="e">
            <v>#N/A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-32.873003802281488</v>
          </cell>
          <cell r="F1052">
            <v>84.653992395437882</v>
          </cell>
          <cell r="G1052">
            <v>20.630798479087531</v>
          </cell>
          <cell r="H1052">
            <v>20.630798479087531</v>
          </cell>
          <cell r="I1052" t="e">
            <v>#N/A</v>
          </cell>
          <cell r="J1052" t="e">
            <v>#N/A</v>
          </cell>
          <cell r="K1052">
            <v>64.799999999999983</v>
          </cell>
          <cell r="L1052">
            <v>29.499999999999993</v>
          </cell>
          <cell r="M1052" t="e">
            <v>#N/A</v>
          </cell>
          <cell r="N1052">
            <v>47.6</v>
          </cell>
          <cell r="O1052" t="e">
            <v>#N/A</v>
          </cell>
          <cell r="P1052" t="str">
            <v/>
          </cell>
          <cell r="Q1052" t="str">
            <v/>
          </cell>
          <cell r="R1052" t="e">
            <v>#N/A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-33.026615969581869</v>
          </cell>
          <cell r="F1053">
            <v>84.746768060837127</v>
          </cell>
          <cell r="G1053">
            <v>20.589353612167379</v>
          </cell>
          <cell r="H1053">
            <v>20.589353612167379</v>
          </cell>
          <cell r="I1053" t="e">
            <v>#N/A</v>
          </cell>
          <cell r="J1053" t="e">
            <v>#N/A</v>
          </cell>
          <cell r="K1053">
            <v>64.799999999999983</v>
          </cell>
          <cell r="L1053">
            <v>29.499999999999993</v>
          </cell>
          <cell r="M1053" t="e">
            <v>#N/A</v>
          </cell>
          <cell r="N1053">
            <v>47.6</v>
          </cell>
          <cell r="O1053" t="e">
            <v>#N/A</v>
          </cell>
          <cell r="P1053" t="str">
            <v/>
          </cell>
          <cell r="Q1053" t="str">
            <v/>
          </cell>
          <cell r="R1053" t="e">
            <v>#N/A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-33.180228136882249</v>
          </cell>
          <cell r="F1054">
            <v>84.839543726236371</v>
          </cell>
          <cell r="G1054">
            <v>20.547908745247227</v>
          </cell>
          <cell r="H1054">
            <v>20.547908745247227</v>
          </cell>
          <cell r="I1054" t="e">
            <v>#N/A</v>
          </cell>
          <cell r="J1054" t="e">
            <v>#N/A</v>
          </cell>
          <cell r="K1054">
            <v>64.799999999999983</v>
          </cell>
          <cell r="L1054">
            <v>29.499999999999993</v>
          </cell>
          <cell r="M1054" t="e">
            <v>#N/A</v>
          </cell>
          <cell r="N1054">
            <v>47.6</v>
          </cell>
          <cell r="O1054" t="e">
            <v>#N/A</v>
          </cell>
          <cell r="P1054" t="str">
            <v/>
          </cell>
          <cell r="Q1054" t="str">
            <v/>
          </cell>
          <cell r="R1054" t="e">
            <v>#N/A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-33.33384030418263</v>
          </cell>
          <cell r="F1055">
            <v>84.932319391635616</v>
          </cell>
          <cell r="G1055">
            <v>20.506463878327075</v>
          </cell>
          <cell r="H1055">
            <v>20.506463878327075</v>
          </cell>
          <cell r="I1055" t="e">
            <v>#N/A</v>
          </cell>
          <cell r="J1055" t="e">
            <v>#N/A</v>
          </cell>
          <cell r="K1055">
            <v>64.799999999999983</v>
          </cell>
          <cell r="L1055">
            <v>29.499999999999993</v>
          </cell>
          <cell r="M1055" t="e">
            <v>#N/A</v>
          </cell>
          <cell r="N1055">
            <v>47.6</v>
          </cell>
          <cell r="O1055" t="e">
            <v>#N/A</v>
          </cell>
          <cell r="P1055" t="str">
            <v/>
          </cell>
          <cell r="Q1055" t="str">
            <v/>
          </cell>
          <cell r="R1055" t="e">
            <v>#N/A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-33.48745247148301</v>
          </cell>
          <cell r="F1056">
            <v>85.025095057034861</v>
          </cell>
          <cell r="G1056">
            <v>20.465019011406923</v>
          </cell>
          <cell r="H1056">
            <v>20.465019011406923</v>
          </cell>
          <cell r="I1056" t="e">
            <v>#N/A</v>
          </cell>
          <cell r="J1056" t="e">
            <v>#N/A</v>
          </cell>
          <cell r="K1056">
            <v>64.799999999999983</v>
          </cell>
          <cell r="L1056">
            <v>29.499999999999993</v>
          </cell>
          <cell r="M1056" t="e">
            <v>#N/A</v>
          </cell>
          <cell r="N1056">
            <v>47.6</v>
          </cell>
          <cell r="O1056" t="e">
            <v>#N/A</v>
          </cell>
          <cell r="P1056" t="str">
            <v/>
          </cell>
          <cell r="Q1056" t="str">
            <v/>
          </cell>
          <cell r="R1056" t="e">
            <v>#N/A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-33.641064638783391</v>
          </cell>
          <cell r="F1057">
            <v>85.117870722434105</v>
          </cell>
          <cell r="G1057">
            <v>20.423574144486771</v>
          </cell>
          <cell r="H1057">
            <v>20.423574144486771</v>
          </cell>
          <cell r="I1057" t="e">
            <v>#N/A</v>
          </cell>
          <cell r="J1057" t="e">
            <v>#N/A</v>
          </cell>
          <cell r="K1057">
            <v>64.799999999999983</v>
          </cell>
          <cell r="L1057">
            <v>29.499999999999993</v>
          </cell>
          <cell r="M1057" t="e">
            <v>#N/A</v>
          </cell>
          <cell r="N1057">
            <v>47.6</v>
          </cell>
          <cell r="O1057" t="e">
            <v>#N/A</v>
          </cell>
          <cell r="P1057" t="str">
            <v/>
          </cell>
          <cell r="Q1057" t="str">
            <v/>
          </cell>
          <cell r="R1057" t="e">
            <v>#N/A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-33.794676806083771</v>
          </cell>
          <cell r="F1058">
            <v>85.21064638783335</v>
          </cell>
          <cell r="G1058">
            <v>20.382129277566619</v>
          </cell>
          <cell r="H1058">
            <v>20.382129277566619</v>
          </cell>
          <cell r="I1058" t="e">
            <v>#N/A</v>
          </cell>
          <cell r="J1058" t="e">
            <v>#N/A</v>
          </cell>
          <cell r="K1058">
            <v>64.799999999999983</v>
          </cell>
          <cell r="L1058">
            <v>29.499999999999993</v>
          </cell>
          <cell r="M1058" t="e">
            <v>#N/A</v>
          </cell>
          <cell r="N1058">
            <v>47.6</v>
          </cell>
          <cell r="O1058" t="e">
            <v>#N/A</v>
          </cell>
          <cell r="P1058" t="str">
            <v/>
          </cell>
          <cell r="Q1058" t="str">
            <v/>
          </cell>
          <cell r="R1058" t="e">
            <v>#N/A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-33.948288973384152</v>
          </cell>
          <cell r="F1059">
            <v>85.303422053232595</v>
          </cell>
          <cell r="G1059">
            <v>20.340684410646467</v>
          </cell>
          <cell r="H1059">
            <v>20.340684410646467</v>
          </cell>
          <cell r="I1059" t="e">
            <v>#N/A</v>
          </cell>
          <cell r="J1059" t="e">
            <v>#N/A</v>
          </cell>
          <cell r="K1059">
            <v>64.799999999999983</v>
          </cell>
          <cell r="L1059">
            <v>29.499999999999993</v>
          </cell>
          <cell r="M1059" t="e">
            <v>#N/A</v>
          </cell>
          <cell r="N1059">
            <v>47.6</v>
          </cell>
          <cell r="O1059" t="e">
            <v>#N/A</v>
          </cell>
          <cell r="P1059" t="str">
            <v/>
          </cell>
          <cell r="Q1059" t="str">
            <v/>
          </cell>
          <cell r="R1059" t="e">
            <v>#N/A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-34.101901140684532</v>
          </cell>
          <cell r="F1060">
            <v>85.396197718631839</v>
          </cell>
          <cell r="G1060">
            <v>20.299239543726316</v>
          </cell>
          <cell r="H1060">
            <v>20.299239543726316</v>
          </cell>
          <cell r="I1060" t="e">
            <v>#N/A</v>
          </cell>
          <cell r="J1060" t="e">
            <v>#N/A</v>
          </cell>
          <cell r="K1060">
            <v>64.799999999999983</v>
          </cell>
          <cell r="L1060">
            <v>29.499999999999993</v>
          </cell>
          <cell r="M1060" t="e">
            <v>#N/A</v>
          </cell>
          <cell r="N1060">
            <v>47.6</v>
          </cell>
          <cell r="O1060" t="e">
            <v>#N/A</v>
          </cell>
          <cell r="P1060" t="str">
            <v/>
          </cell>
          <cell r="Q1060" t="str">
            <v/>
          </cell>
          <cell r="R1060" t="e">
            <v>#N/A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-34.255513307984913</v>
          </cell>
          <cell r="F1061">
            <v>85.488973384031084</v>
          </cell>
          <cell r="G1061">
            <v>20.257794676806164</v>
          </cell>
          <cell r="H1061">
            <v>20.257794676806164</v>
          </cell>
          <cell r="I1061" t="e">
            <v>#N/A</v>
          </cell>
          <cell r="J1061" t="e">
            <v>#N/A</v>
          </cell>
          <cell r="K1061">
            <v>64.799999999999983</v>
          </cell>
          <cell r="L1061">
            <v>29.499999999999993</v>
          </cell>
          <cell r="M1061" t="e">
            <v>#N/A</v>
          </cell>
          <cell r="N1061">
            <v>47.6</v>
          </cell>
          <cell r="O1061" t="e">
            <v>#N/A</v>
          </cell>
          <cell r="P1061" t="str">
            <v/>
          </cell>
          <cell r="Q1061" t="str">
            <v/>
          </cell>
          <cell r="R1061" t="e">
            <v>#N/A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-34.409125475285293</v>
          </cell>
          <cell r="F1062">
            <v>85.581749049430329</v>
          </cell>
          <cell r="G1062">
            <v>20.216349809886012</v>
          </cell>
          <cell r="H1062">
            <v>20.216349809886012</v>
          </cell>
          <cell r="I1062" t="e">
            <v>#N/A</v>
          </cell>
          <cell r="J1062" t="e">
            <v>#N/A</v>
          </cell>
          <cell r="K1062">
            <v>64.799999999999983</v>
          </cell>
          <cell r="L1062">
            <v>29.499999999999993</v>
          </cell>
          <cell r="M1062" t="e">
            <v>#N/A</v>
          </cell>
          <cell r="N1062">
            <v>47.6</v>
          </cell>
          <cell r="O1062" t="e">
            <v>#N/A</v>
          </cell>
          <cell r="P1062" t="str">
            <v/>
          </cell>
          <cell r="Q1062" t="str">
            <v/>
          </cell>
          <cell r="R1062" t="e">
            <v>#N/A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-34.562737642585674</v>
          </cell>
          <cell r="F1063">
            <v>85.674524714829573</v>
          </cell>
          <cell r="G1063">
            <v>20.17490494296586</v>
          </cell>
          <cell r="H1063">
            <v>20.17490494296586</v>
          </cell>
          <cell r="I1063" t="e">
            <v>#N/A</v>
          </cell>
          <cell r="J1063" t="e">
            <v>#N/A</v>
          </cell>
          <cell r="K1063">
            <v>64.799999999999983</v>
          </cell>
          <cell r="L1063">
            <v>29.499999999999993</v>
          </cell>
          <cell r="M1063" t="e">
            <v>#N/A</v>
          </cell>
          <cell r="N1063">
            <v>47.6</v>
          </cell>
          <cell r="O1063" t="e">
            <v>#N/A</v>
          </cell>
          <cell r="P1063" t="str">
            <v/>
          </cell>
          <cell r="Q1063" t="str">
            <v/>
          </cell>
          <cell r="R1063" t="e">
            <v>#N/A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-34.716349809886054</v>
          </cell>
          <cell r="F1064">
            <v>85.767300380228818</v>
          </cell>
          <cell r="G1064">
            <v>20.133460076045708</v>
          </cell>
          <cell r="H1064">
            <v>20.133460076045708</v>
          </cell>
          <cell r="I1064" t="e">
            <v>#N/A</v>
          </cell>
          <cell r="J1064" t="e">
            <v>#N/A</v>
          </cell>
          <cell r="K1064">
            <v>64.799999999999983</v>
          </cell>
          <cell r="L1064">
            <v>29.499999999999993</v>
          </cell>
          <cell r="M1064" t="e">
            <v>#N/A</v>
          </cell>
          <cell r="N1064">
            <v>47.6</v>
          </cell>
          <cell r="O1064" t="e">
            <v>#N/A</v>
          </cell>
          <cell r="P1064" t="str">
            <v/>
          </cell>
          <cell r="Q1064" t="str">
            <v/>
          </cell>
          <cell r="R1064" t="e">
            <v>#N/A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-34.869961977186435</v>
          </cell>
          <cell r="F1065">
            <v>85.860076045628063</v>
          </cell>
          <cell r="G1065">
            <v>20.092015209125556</v>
          </cell>
          <cell r="H1065">
            <v>20.092015209125556</v>
          </cell>
          <cell r="I1065" t="e">
            <v>#N/A</v>
          </cell>
          <cell r="J1065" t="e">
            <v>#N/A</v>
          </cell>
          <cell r="K1065">
            <v>64.799999999999983</v>
          </cell>
          <cell r="L1065">
            <v>29.499999999999993</v>
          </cell>
          <cell r="M1065" t="e">
            <v>#N/A</v>
          </cell>
          <cell r="N1065">
            <v>47.6</v>
          </cell>
          <cell r="O1065" t="e">
            <v>#N/A</v>
          </cell>
          <cell r="P1065" t="str">
            <v/>
          </cell>
          <cell r="Q1065" t="str">
            <v/>
          </cell>
          <cell r="R1065" t="e">
            <v>#N/A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-35.023574144486815</v>
          </cell>
          <cell r="F1066">
            <v>85.952851711027307</v>
          </cell>
          <cell r="G1066">
            <v>20.050570342205404</v>
          </cell>
          <cell r="H1066">
            <v>20.050570342205404</v>
          </cell>
          <cell r="I1066" t="e">
            <v>#N/A</v>
          </cell>
          <cell r="J1066" t="e">
            <v>#N/A</v>
          </cell>
          <cell r="K1066">
            <v>64.799999999999983</v>
          </cell>
          <cell r="L1066">
            <v>29.499999999999993</v>
          </cell>
          <cell r="M1066" t="e">
            <v>#N/A</v>
          </cell>
          <cell r="N1066">
            <v>47.6</v>
          </cell>
          <cell r="O1066" t="e">
            <v>#N/A</v>
          </cell>
          <cell r="P1066" t="str">
            <v/>
          </cell>
          <cell r="Q1066" t="str">
            <v/>
          </cell>
          <cell r="R1066" t="e">
            <v>#N/A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-35.177186311787196</v>
          </cell>
          <cell r="F1067">
            <v>86.045627376426552</v>
          </cell>
          <cell r="G1067">
            <v>20.009125475285252</v>
          </cell>
          <cell r="H1067">
            <v>20.009125475285252</v>
          </cell>
          <cell r="I1067" t="e">
            <v>#N/A</v>
          </cell>
          <cell r="J1067" t="e">
            <v>#N/A</v>
          </cell>
          <cell r="K1067">
            <v>64.799999999999983</v>
          </cell>
          <cell r="L1067">
            <v>29.499999999999993</v>
          </cell>
          <cell r="M1067" t="e">
            <v>#N/A</v>
          </cell>
          <cell r="N1067">
            <v>47.6</v>
          </cell>
          <cell r="O1067" t="e">
            <v>#N/A</v>
          </cell>
          <cell r="P1067" t="str">
            <v/>
          </cell>
          <cell r="Q1067" t="str">
            <v/>
          </cell>
          <cell r="R1067" t="e">
            <v>#N/A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-35.330798479087576</v>
          </cell>
          <cell r="F1068">
            <v>86.138403041825796</v>
          </cell>
          <cell r="G1068">
            <v>19.9676806083651</v>
          </cell>
          <cell r="H1068">
            <v>19.9676806083651</v>
          </cell>
          <cell r="I1068" t="e">
            <v>#N/A</v>
          </cell>
          <cell r="J1068" t="e">
            <v>#N/A</v>
          </cell>
          <cell r="K1068">
            <v>64.799999999999983</v>
          </cell>
          <cell r="L1068">
            <v>29.499999999999993</v>
          </cell>
          <cell r="M1068" t="e">
            <v>#N/A</v>
          </cell>
          <cell r="N1068">
            <v>47.6</v>
          </cell>
          <cell r="O1068" t="e">
            <v>#N/A</v>
          </cell>
          <cell r="P1068" t="str">
            <v/>
          </cell>
          <cell r="Q1068" t="str">
            <v/>
          </cell>
          <cell r="R1068" t="e">
            <v>#N/A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-35.484410646387957</v>
          </cell>
          <cell r="F1069">
            <v>86.231178707225041</v>
          </cell>
          <cell r="G1069">
            <v>19.926235741444948</v>
          </cell>
          <cell r="H1069">
            <v>19.926235741444948</v>
          </cell>
          <cell r="I1069" t="e">
            <v>#N/A</v>
          </cell>
          <cell r="J1069" t="e">
            <v>#N/A</v>
          </cell>
          <cell r="K1069">
            <v>64.799999999999983</v>
          </cell>
          <cell r="L1069">
            <v>29.499999999999993</v>
          </cell>
          <cell r="M1069" t="e">
            <v>#N/A</v>
          </cell>
          <cell r="N1069">
            <v>47.6</v>
          </cell>
          <cell r="O1069" t="e">
            <v>#N/A</v>
          </cell>
          <cell r="P1069" t="str">
            <v/>
          </cell>
          <cell r="Q1069" t="str">
            <v/>
          </cell>
          <cell r="R1069" t="e">
            <v>#N/A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-35.638022813688337</v>
          </cell>
          <cell r="F1070">
            <v>86.323954372624286</v>
          </cell>
          <cell r="G1070">
            <v>19.884790874524796</v>
          </cell>
          <cell r="H1070">
            <v>19.884790874524796</v>
          </cell>
          <cell r="I1070" t="e">
            <v>#N/A</v>
          </cell>
          <cell r="J1070" t="e">
            <v>#N/A</v>
          </cell>
          <cell r="K1070">
            <v>64.799999999999983</v>
          </cell>
          <cell r="L1070">
            <v>29.499999999999993</v>
          </cell>
          <cell r="M1070" t="e">
            <v>#N/A</v>
          </cell>
          <cell r="N1070">
            <v>47.6</v>
          </cell>
          <cell r="O1070" t="e">
            <v>#N/A</v>
          </cell>
          <cell r="P1070" t="str">
            <v/>
          </cell>
          <cell r="Q1070" t="str">
            <v/>
          </cell>
          <cell r="R1070" t="e">
            <v>#N/A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-35.791634980988718</v>
          </cell>
          <cell r="F1071">
            <v>86.41673003802353</v>
          </cell>
          <cell r="G1071">
            <v>19.843346007604644</v>
          </cell>
          <cell r="H1071">
            <v>19.843346007604644</v>
          </cell>
          <cell r="I1071" t="e">
            <v>#N/A</v>
          </cell>
          <cell r="J1071" t="e">
            <v>#N/A</v>
          </cell>
          <cell r="K1071">
            <v>64.799999999999983</v>
          </cell>
          <cell r="L1071">
            <v>29.499999999999993</v>
          </cell>
          <cell r="M1071" t="e">
            <v>#N/A</v>
          </cell>
          <cell r="N1071">
            <v>47.6</v>
          </cell>
          <cell r="O1071" t="e">
            <v>#N/A</v>
          </cell>
          <cell r="P1071" t="str">
            <v/>
          </cell>
          <cell r="Q1071" t="str">
            <v/>
          </cell>
          <cell r="R1071" t="e">
            <v>#N/A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-35.945247148289099</v>
          </cell>
          <cell r="F1072">
            <v>86.509505703422775</v>
          </cell>
          <cell r="G1072">
            <v>19.801901140684492</v>
          </cell>
          <cell r="H1072">
            <v>19.801901140684492</v>
          </cell>
          <cell r="I1072" t="e">
            <v>#N/A</v>
          </cell>
          <cell r="J1072" t="e">
            <v>#N/A</v>
          </cell>
          <cell r="K1072">
            <v>64.799999999999983</v>
          </cell>
          <cell r="L1072">
            <v>29.499999999999993</v>
          </cell>
          <cell r="M1072" t="e">
            <v>#N/A</v>
          </cell>
          <cell r="N1072">
            <v>47.6</v>
          </cell>
          <cell r="O1072" t="e">
            <v>#N/A</v>
          </cell>
          <cell r="P1072" t="str">
            <v/>
          </cell>
          <cell r="Q1072" t="str">
            <v/>
          </cell>
          <cell r="R1072" t="e">
            <v>#N/A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-36.098859315589479</v>
          </cell>
          <cell r="F1073">
            <v>86.60228136882202</v>
          </cell>
          <cell r="G1073">
            <v>19.760456273764341</v>
          </cell>
          <cell r="H1073">
            <v>19.760456273764341</v>
          </cell>
          <cell r="I1073" t="e">
            <v>#N/A</v>
          </cell>
          <cell r="J1073" t="e">
            <v>#N/A</v>
          </cell>
          <cell r="K1073">
            <v>64.799999999999983</v>
          </cell>
          <cell r="L1073">
            <v>29.499999999999993</v>
          </cell>
          <cell r="M1073" t="e">
            <v>#N/A</v>
          </cell>
          <cell r="N1073">
            <v>47.6</v>
          </cell>
          <cell r="O1073" t="e">
            <v>#N/A</v>
          </cell>
          <cell r="P1073" t="str">
            <v/>
          </cell>
          <cell r="Q1073" t="str">
            <v/>
          </cell>
          <cell r="R1073" t="e">
            <v>#N/A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-36.25247148288986</v>
          </cell>
          <cell r="F1074">
            <v>86.695057034221264</v>
          </cell>
          <cell r="G1074">
            <v>19.719011406844189</v>
          </cell>
          <cell r="H1074">
            <v>19.719011406844189</v>
          </cell>
          <cell r="I1074" t="e">
            <v>#N/A</v>
          </cell>
          <cell r="J1074" t="e">
            <v>#N/A</v>
          </cell>
          <cell r="K1074">
            <v>64.799999999999983</v>
          </cell>
          <cell r="L1074">
            <v>29.499999999999993</v>
          </cell>
          <cell r="M1074" t="e">
            <v>#N/A</v>
          </cell>
          <cell r="N1074">
            <v>47.6</v>
          </cell>
          <cell r="O1074" t="e">
            <v>#N/A</v>
          </cell>
          <cell r="P1074" t="str">
            <v/>
          </cell>
          <cell r="Q1074" t="str">
            <v/>
          </cell>
          <cell r="R1074" t="e">
            <v>#N/A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-36.40608365019024</v>
          </cell>
          <cell r="F1075">
            <v>86.787832699620509</v>
          </cell>
          <cell r="G1075">
            <v>19.677566539924037</v>
          </cell>
          <cell r="H1075">
            <v>19.677566539924037</v>
          </cell>
          <cell r="I1075" t="e">
            <v>#N/A</v>
          </cell>
          <cell r="J1075" t="e">
            <v>#N/A</v>
          </cell>
          <cell r="K1075">
            <v>64.799999999999983</v>
          </cell>
          <cell r="L1075">
            <v>29.499999999999993</v>
          </cell>
          <cell r="M1075" t="e">
            <v>#N/A</v>
          </cell>
          <cell r="N1075">
            <v>47.6</v>
          </cell>
          <cell r="O1075" t="e">
            <v>#N/A</v>
          </cell>
          <cell r="P1075" t="str">
            <v/>
          </cell>
          <cell r="Q1075" t="str">
            <v/>
          </cell>
          <cell r="R1075" t="e">
            <v>#N/A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-36.559695817490621</v>
          </cell>
          <cell r="F1076">
            <v>86.880608365019754</v>
          </cell>
          <cell r="G1076">
            <v>19.636121673003885</v>
          </cell>
          <cell r="H1076">
            <v>19.636121673003885</v>
          </cell>
          <cell r="I1076" t="e">
            <v>#N/A</v>
          </cell>
          <cell r="J1076" t="e">
            <v>#N/A</v>
          </cell>
          <cell r="K1076">
            <v>64.799999999999983</v>
          </cell>
          <cell r="L1076">
            <v>29.499999999999993</v>
          </cell>
          <cell r="M1076" t="e">
            <v>#N/A</v>
          </cell>
          <cell r="N1076">
            <v>47.6</v>
          </cell>
          <cell r="O1076" t="e">
            <v>#N/A</v>
          </cell>
          <cell r="P1076" t="str">
            <v/>
          </cell>
          <cell r="Q1076" t="str">
            <v/>
          </cell>
          <cell r="R1076" t="e">
            <v>#N/A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-36.713307984791001</v>
          </cell>
          <cell r="F1077">
            <v>86.973384030418998</v>
          </cell>
          <cell r="G1077">
            <v>19.594676806083733</v>
          </cell>
          <cell r="H1077">
            <v>19.594676806083733</v>
          </cell>
          <cell r="I1077" t="e">
            <v>#N/A</v>
          </cell>
          <cell r="J1077" t="e">
            <v>#N/A</v>
          </cell>
          <cell r="K1077">
            <v>64.799999999999983</v>
          </cell>
          <cell r="L1077">
            <v>29.499999999999993</v>
          </cell>
          <cell r="M1077" t="e">
            <v>#N/A</v>
          </cell>
          <cell r="N1077">
            <v>47.6</v>
          </cell>
          <cell r="O1077" t="e">
            <v>#N/A</v>
          </cell>
          <cell r="P1077" t="str">
            <v/>
          </cell>
          <cell r="Q1077" t="str">
            <v/>
          </cell>
          <cell r="R1077" t="e">
            <v>#N/A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-36.866920152091382</v>
          </cell>
          <cell r="F1078">
            <v>87.066159695818243</v>
          </cell>
          <cell r="G1078">
            <v>19.553231939163581</v>
          </cell>
          <cell r="H1078">
            <v>19.553231939163581</v>
          </cell>
          <cell r="I1078" t="e">
            <v>#N/A</v>
          </cell>
          <cell r="J1078" t="e">
            <v>#N/A</v>
          </cell>
          <cell r="K1078">
            <v>64.799999999999983</v>
          </cell>
          <cell r="L1078">
            <v>29.499999999999993</v>
          </cell>
          <cell r="M1078" t="e">
            <v>#N/A</v>
          </cell>
          <cell r="N1078">
            <v>47.6</v>
          </cell>
          <cell r="O1078" t="e">
            <v>#N/A</v>
          </cell>
          <cell r="P1078" t="str">
            <v/>
          </cell>
          <cell r="Q1078" t="str">
            <v/>
          </cell>
          <cell r="R1078" t="e">
            <v>#N/A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-37.020532319391762</v>
          </cell>
          <cell r="F1079">
            <v>87.158935361217488</v>
          </cell>
          <cell r="G1079">
            <v>19.511787072243429</v>
          </cell>
          <cell r="H1079">
            <v>19.511787072243429</v>
          </cell>
          <cell r="I1079" t="e">
            <v>#N/A</v>
          </cell>
          <cell r="J1079" t="e">
            <v>#N/A</v>
          </cell>
          <cell r="K1079">
            <v>64.799999999999983</v>
          </cell>
          <cell r="L1079">
            <v>29.499999999999993</v>
          </cell>
          <cell r="M1079" t="e">
            <v>#N/A</v>
          </cell>
          <cell r="N1079">
            <v>47.6</v>
          </cell>
          <cell r="O1079" t="e">
            <v>#N/A</v>
          </cell>
          <cell r="P1079" t="str">
            <v/>
          </cell>
          <cell r="Q1079" t="str">
            <v/>
          </cell>
          <cell r="R1079" t="e">
            <v>#N/A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-37.174144486692143</v>
          </cell>
          <cell r="F1080">
            <v>87.251711026616732</v>
          </cell>
          <cell r="G1080">
            <v>19.470342205323277</v>
          </cell>
          <cell r="H1080">
            <v>19.470342205323277</v>
          </cell>
          <cell r="I1080" t="e">
            <v>#N/A</v>
          </cell>
          <cell r="J1080" t="e">
            <v>#N/A</v>
          </cell>
          <cell r="K1080">
            <v>64.799999999999983</v>
          </cell>
          <cell r="L1080">
            <v>29.499999999999993</v>
          </cell>
          <cell r="M1080" t="e">
            <v>#N/A</v>
          </cell>
          <cell r="N1080">
            <v>47.6</v>
          </cell>
          <cell r="O1080" t="e">
            <v>#N/A</v>
          </cell>
          <cell r="P1080" t="str">
            <v/>
          </cell>
          <cell r="Q1080" t="str">
            <v/>
          </cell>
          <cell r="R1080" t="e">
            <v>#N/A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-37.327756653992523</v>
          </cell>
          <cell r="F1081">
            <v>87.344486692015977</v>
          </cell>
          <cell r="G1081">
            <v>19.428897338403125</v>
          </cell>
          <cell r="H1081">
            <v>19.428897338403125</v>
          </cell>
          <cell r="I1081" t="e">
            <v>#N/A</v>
          </cell>
          <cell r="J1081" t="e">
            <v>#N/A</v>
          </cell>
          <cell r="K1081">
            <v>64.799999999999983</v>
          </cell>
          <cell r="L1081">
            <v>29.499999999999993</v>
          </cell>
          <cell r="M1081" t="e">
            <v>#N/A</v>
          </cell>
          <cell r="N1081">
            <v>47.6</v>
          </cell>
          <cell r="O1081" t="e">
            <v>#N/A</v>
          </cell>
          <cell r="P1081" t="str">
            <v/>
          </cell>
          <cell r="Q1081" t="str">
            <v/>
          </cell>
          <cell r="R1081" t="e">
            <v>#N/A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-37.481368821292904</v>
          </cell>
          <cell r="F1082">
            <v>87.437262357415221</v>
          </cell>
          <cell r="G1082">
            <v>19.387452471482973</v>
          </cell>
          <cell r="H1082">
            <v>19.387452471482973</v>
          </cell>
          <cell r="I1082" t="e">
            <v>#N/A</v>
          </cell>
          <cell r="J1082" t="e">
            <v>#N/A</v>
          </cell>
          <cell r="K1082">
            <v>64.799999999999983</v>
          </cell>
          <cell r="L1082">
            <v>29.499999999999993</v>
          </cell>
          <cell r="M1082" t="e">
            <v>#N/A</v>
          </cell>
          <cell r="N1082">
            <v>47.6</v>
          </cell>
          <cell r="O1082" t="e">
            <v>#N/A</v>
          </cell>
          <cell r="P1082" t="str">
            <v/>
          </cell>
          <cell r="Q1082" t="str">
            <v/>
          </cell>
          <cell r="R1082" t="e">
            <v>#N/A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-37.634980988593284</v>
          </cell>
          <cell r="F1083">
            <v>87.530038022814466</v>
          </cell>
          <cell r="G1083">
            <v>19.346007604562821</v>
          </cell>
          <cell r="H1083">
            <v>19.346007604562821</v>
          </cell>
          <cell r="I1083" t="e">
            <v>#N/A</v>
          </cell>
          <cell r="J1083" t="e">
            <v>#N/A</v>
          </cell>
          <cell r="K1083">
            <v>64.799999999999983</v>
          </cell>
          <cell r="L1083">
            <v>29.499999999999993</v>
          </cell>
          <cell r="M1083" t="e">
            <v>#N/A</v>
          </cell>
          <cell r="N1083">
            <v>47.6</v>
          </cell>
          <cell r="O1083" t="e">
            <v>#N/A</v>
          </cell>
          <cell r="P1083" t="str">
            <v/>
          </cell>
          <cell r="Q1083" t="str">
            <v/>
          </cell>
          <cell r="R1083" t="e">
            <v>#N/A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-37.788593155893665</v>
          </cell>
          <cell r="F1084">
            <v>87.622813688213711</v>
          </cell>
          <cell r="G1084">
            <v>19.304562737642669</v>
          </cell>
          <cell r="H1084">
            <v>19.304562737642669</v>
          </cell>
          <cell r="I1084" t="e">
            <v>#N/A</v>
          </cell>
          <cell r="J1084" t="e">
            <v>#N/A</v>
          </cell>
          <cell r="K1084">
            <v>64.799999999999983</v>
          </cell>
          <cell r="L1084">
            <v>29.499999999999993</v>
          </cell>
          <cell r="M1084" t="e">
            <v>#N/A</v>
          </cell>
          <cell r="N1084">
            <v>47.6</v>
          </cell>
          <cell r="O1084" t="e">
            <v>#N/A</v>
          </cell>
          <cell r="P1084" t="str">
            <v/>
          </cell>
          <cell r="Q1084" t="str">
            <v/>
          </cell>
          <cell r="R1084" t="e">
            <v>#N/A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-37.942205323194045</v>
          </cell>
          <cell r="F1085">
            <v>87.715589353612955</v>
          </cell>
          <cell r="G1085">
            <v>19.263117870722517</v>
          </cell>
          <cell r="H1085">
            <v>19.263117870722517</v>
          </cell>
          <cell r="I1085" t="e">
            <v>#N/A</v>
          </cell>
          <cell r="J1085" t="e">
            <v>#N/A</v>
          </cell>
          <cell r="K1085">
            <v>64.799999999999983</v>
          </cell>
          <cell r="L1085">
            <v>29.499999999999993</v>
          </cell>
          <cell r="M1085" t="e">
            <v>#N/A</v>
          </cell>
          <cell r="N1085">
            <v>47.6</v>
          </cell>
          <cell r="O1085" t="e">
            <v>#N/A</v>
          </cell>
          <cell r="P1085" t="str">
            <v/>
          </cell>
          <cell r="Q1085" t="str">
            <v/>
          </cell>
          <cell r="R1085" t="e">
            <v>#N/A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-38.095817490494426</v>
          </cell>
          <cell r="F1086">
            <v>87.8083650190122</v>
          </cell>
          <cell r="G1086">
            <v>19.221673003802366</v>
          </cell>
          <cell r="H1086">
            <v>19.221673003802366</v>
          </cell>
          <cell r="I1086" t="e">
            <v>#N/A</v>
          </cell>
          <cell r="J1086" t="e">
            <v>#N/A</v>
          </cell>
          <cell r="K1086">
            <v>64.799999999999983</v>
          </cell>
          <cell r="L1086">
            <v>29.499999999999993</v>
          </cell>
          <cell r="M1086" t="e">
            <v>#N/A</v>
          </cell>
          <cell r="N1086">
            <v>47.6</v>
          </cell>
          <cell r="O1086" t="e">
            <v>#N/A</v>
          </cell>
          <cell r="P1086" t="str">
            <v/>
          </cell>
          <cell r="Q1086" t="str">
            <v/>
          </cell>
          <cell r="R1086" t="e">
            <v>#N/A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-38.249429657794806</v>
          </cell>
          <cell r="F1087">
            <v>87.901140684411445</v>
          </cell>
          <cell r="G1087">
            <v>19.180228136882214</v>
          </cell>
          <cell r="H1087">
            <v>19.180228136882214</v>
          </cell>
          <cell r="I1087" t="e">
            <v>#N/A</v>
          </cell>
          <cell r="J1087" t="e">
            <v>#N/A</v>
          </cell>
          <cell r="K1087">
            <v>64.799999999999983</v>
          </cell>
          <cell r="L1087">
            <v>29.499999999999993</v>
          </cell>
          <cell r="M1087" t="e">
            <v>#N/A</v>
          </cell>
          <cell r="N1087">
            <v>47.6</v>
          </cell>
          <cell r="O1087" t="e">
            <v>#N/A</v>
          </cell>
          <cell r="P1087" t="str">
            <v/>
          </cell>
          <cell r="Q1087" t="str">
            <v/>
          </cell>
          <cell r="R1087" t="e">
            <v>#N/A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-38.403041825095187</v>
          </cell>
          <cell r="F1088">
            <v>87.993916349810689</v>
          </cell>
          <cell r="G1088">
            <v>19.138783269962062</v>
          </cell>
          <cell r="H1088">
            <v>19.138783269962062</v>
          </cell>
          <cell r="I1088" t="e">
            <v>#N/A</v>
          </cell>
          <cell r="J1088" t="e">
            <v>#N/A</v>
          </cell>
          <cell r="K1088">
            <v>64.799999999999983</v>
          </cell>
          <cell r="L1088">
            <v>29.499999999999993</v>
          </cell>
          <cell r="M1088" t="e">
            <v>#N/A</v>
          </cell>
          <cell r="N1088">
            <v>47.6</v>
          </cell>
          <cell r="O1088" t="e">
            <v>#N/A</v>
          </cell>
          <cell r="P1088" t="str">
            <v/>
          </cell>
          <cell r="Q1088" t="str">
            <v/>
          </cell>
          <cell r="R1088" t="e">
            <v>#N/A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-38.556653992395567</v>
          </cell>
          <cell r="F1089">
            <v>88.086692015209934</v>
          </cell>
          <cell r="G1089">
            <v>19.09733840304191</v>
          </cell>
          <cell r="H1089">
            <v>19.09733840304191</v>
          </cell>
          <cell r="I1089" t="e">
            <v>#N/A</v>
          </cell>
          <cell r="J1089" t="e">
            <v>#N/A</v>
          </cell>
          <cell r="K1089">
            <v>64.799999999999983</v>
          </cell>
          <cell r="L1089">
            <v>29.499999999999993</v>
          </cell>
          <cell r="M1089" t="e">
            <v>#N/A</v>
          </cell>
          <cell r="N1089">
            <v>47.6</v>
          </cell>
          <cell r="O1089" t="e">
            <v>#N/A</v>
          </cell>
          <cell r="P1089" t="str">
            <v/>
          </cell>
          <cell r="Q1089" t="str">
            <v/>
          </cell>
          <cell r="R1089" t="e">
            <v>#N/A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-38.710266159695948</v>
          </cell>
          <cell r="F1090">
            <v>88.179467680609179</v>
          </cell>
          <cell r="G1090">
            <v>19.055893536121758</v>
          </cell>
          <cell r="H1090">
            <v>19.055893536121758</v>
          </cell>
          <cell r="I1090" t="e">
            <v>#N/A</v>
          </cell>
          <cell r="J1090" t="e">
            <v>#N/A</v>
          </cell>
          <cell r="K1090">
            <v>64.799999999999983</v>
          </cell>
          <cell r="L1090">
            <v>29.499999999999993</v>
          </cell>
          <cell r="M1090" t="e">
            <v>#N/A</v>
          </cell>
          <cell r="N1090">
            <v>47.6</v>
          </cell>
          <cell r="O1090" t="e">
            <v>#N/A</v>
          </cell>
          <cell r="P1090" t="str">
            <v/>
          </cell>
          <cell r="Q1090" t="str">
            <v/>
          </cell>
          <cell r="R1090" t="e">
            <v>#N/A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-38.863878326996328</v>
          </cell>
          <cell r="F1091">
            <v>88.272243346008423</v>
          </cell>
          <cell r="G1091">
            <v>19.014448669201606</v>
          </cell>
          <cell r="H1091">
            <v>19.014448669201606</v>
          </cell>
          <cell r="I1091" t="e">
            <v>#N/A</v>
          </cell>
          <cell r="J1091" t="e">
            <v>#N/A</v>
          </cell>
          <cell r="K1091">
            <v>64.799999999999983</v>
          </cell>
          <cell r="L1091">
            <v>29.499999999999993</v>
          </cell>
          <cell r="M1091" t="e">
            <v>#N/A</v>
          </cell>
          <cell r="N1091">
            <v>47.6</v>
          </cell>
          <cell r="O1091" t="e">
            <v>#N/A</v>
          </cell>
          <cell r="P1091" t="str">
            <v/>
          </cell>
          <cell r="Q1091" t="str">
            <v/>
          </cell>
          <cell r="R1091" t="e">
            <v>#N/A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-39.017490494296709</v>
          </cell>
          <cell r="F1092">
            <v>88.365019011407668</v>
          </cell>
          <cell r="G1092">
            <v>18.973003802281454</v>
          </cell>
          <cell r="H1092">
            <v>18.973003802281454</v>
          </cell>
          <cell r="I1092" t="e">
            <v>#N/A</v>
          </cell>
          <cell r="J1092" t="e">
            <v>#N/A</v>
          </cell>
          <cell r="K1092">
            <v>64.799999999999983</v>
          </cell>
          <cell r="L1092">
            <v>29.499999999999993</v>
          </cell>
          <cell r="M1092" t="e">
            <v>#N/A</v>
          </cell>
          <cell r="N1092">
            <v>47.6</v>
          </cell>
          <cell r="O1092" t="e">
            <v>#N/A</v>
          </cell>
          <cell r="P1092" t="str">
            <v/>
          </cell>
          <cell r="Q1092" t="str">
            <v/>
          </cell>
          <cell r="R1092" t="e">
            <v>#N/A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-39.171102661597089</v>
          </cell>
          <cell r="F1093">
            <v>88.457794676806913</v>
          </cell>
          <cell r="G1093">
            <v>18.931558935361302</v>
          </cell>
          <cell r="H1093">
            <v>18.931558935361302</v>
          </cell>
          <cell r="I1093" t="e">
            <v>#N/A</v>
          </cell>
          <cell r="J1093" t="e">
            <v>#N/A</v>
          </cell>
          <cell r="K1093">
            <v>64.799999999999983</v>
          </cell>
          <cell r="L1093">
            <v>29.499999999999993</v>
          </cell>
          <cell r="M1093" t="e">
            <v>#N/A</v>
          </cell>
          <cell r="N1093">
            <v>47.6</v>
          </cell>
          <cell r="O1093" t="e">
            <v>#N/A</v>
          </cell>
          <cell r="P1093" t="str">
            <v/>
          </cell>
          <cell r="Q1093" t="str">
            <v/>
          </cell>
          <cell r="R1093" t="e">
            <v>#N/A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-39.32471482889747</v>
          </cell>
          <cell r="F1094">
            <v>88.550570342206157</v>
          </cell>
          <cell r="G1094">
            <v>18.89011406844115</v>
          </cell>
          <cell r="H1094">
            <v>18.89011406844115</v>
          </cell>
          <cell r="I1094" t="e">
            <v>#N/A</v>
          </cell>
          <cell r="J1094" t="e">
            <v>#N/A</v>
          </cell>
          <cell r="K1094">
            <v>64.799999999999983</v>
          </cell>
          <cell r="L1094">
            <v>29.499999999999993</v>
          </cell>
          <cell r="M1094" t="e">
            <v>#N/A</v>
          </cell>
          <cell r="N1094">
            <v>47.6</v>
          </cell>
          <cell r="O1094" t="e">
            <v>#N/A</v>
          </cell>
          <cell r="P1094" t="str">
            <v/>
          </cell>
          <cell r="Q1094" t="str">
            <v/>
          </cell>
          <cell r="R1094" t="e">
            <v>#N/A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-39.47832699619785</v>
          </cell>
          <cell r="F1095">
            <v>88.643346007605402</v>
          </cell>
          <cell r="G1095">
            <v>18.848669201520998</v>
          </cell>
          <cell r="H1095">
            <v>18.848669201520998</v>
          </cell>
          <cell r="I1095" t="e">
            <v>#N/A</v>
          </cell>
          <cell r="J1095" t="e">
            <v>#N/A</v>
          </cell>
          <cell r="K1095">
            <v>64.799999999999983</v>
          </cell>
          <cell r="L1095">
            <v>29.499999999999993</v>
          </cell>
          <cell r="M1095" t="e">
            <v>#N/A</v>
          </cell>
          <cell r="N1095">
            <v>47.6</v>
          </cell>
          <cell r="O1095" t="e">
            <v>#N/A</v>
          </cell>
          <cell r="P1095" t="str">
            <v/>
          </cell>
          <cell r="Q1095" t="str">
            <v/>
          </cell>
          <cell r="R1095" t="e">
            <v>#N/A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-39.631939163498231</v>
          </cell>
          <cell r="F1096">
            <v>88.736121673004646</v>
          </cell>
          <cell r="G1096">
            <v>18.807224334600846</v>
          </cell>
          <cell r="H1096">
            <v>18.807224334600846</v>
          </cell>
          <cell r="I1096" t="e">
            <v>#N/A</v>
          </cell>
          <cell r="J1096" t="e">
            <v>#N/A</v>
          </cell>
          <cell r="K1096">
            <v>64.799999999999983</v>
          </cell>
          <cell r="L1096">
            <v>29.499999999999993</v>
          </cell>
          <cell r="M1096" t="e">
            <v>#N/A</v>
          </cell>
          <cell r="N1096">
            <v>47.6</v>
          </cell>
          <cell r="O1096" t="e">
            <v>#N/A</v>
          </cell>
          <cell r="P1096" t="str">
            <v/>
          </cell>
          <cell r="Q1096" t="str">
            <v/>
          </cell>
          <cell r="R1096" t="e">
            <v>#N/A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-39.785551330798612</v>
          </cell>
          <cell r="F1097">
            <v>88.828897338403891</v>
          </cell>
          <cell r="G1097">
            <v>18.765779467680694</v>
          </cell>
          <cell r="H1097">
            <v>18.765779467680694</v>
          </cell>
          <cell r="I1097" t="e">
            <v>#N/A</v>
          </cell>
          <cell r="J1097" t="e">
            <v>#N/A</v>
          </cell>
          <cell r="K1097">
            <v>64.799999999999983</v>
          </cell>
          <cell r="L1097">
            <v>29.499999999999993</v>
          </cell>
          <cell r="M1097" t="e">
            <v>#N/A</v>
          </cell>
          <cell r="N1097">
            <v>47.6</v>
          </cell>
          <cell r="O1097" t="e">
            <v>#N/A</v>
          </cell>
          <cell r="P1097" t="str">
            <v/>
          </cell>
          <cell r="Q1097" t="str">
            <v/>
          </cell>
          <cell r="R1097" t="e">
            <v>#N/A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-39.939163498098992</v>
          </cell>
          <cell r="F1098">
            <v>88.921673003803136</v>
          </cell>
          <cell r="G1098">
            <v>18.724334600760542</v>
          </cell>
          <cell r="H1098">
            <v>18.724334600760542</v>
          </cell>
          <cell r="I1098" t="e">
            <v>#N/A</v>
          </cell>
          <cell r="J1098" t="e">
            <v>#N/A</v>
          </cell>
          <cell r="K1098">
            <v>64.799999999999983</v>
          </cell>
          <cell r="L1098">
            <v>29.499999999999993</v>
          </cell>
          <cell r="M1098" t="e">
            <v>#N/A</v>
          </cell>
          <cell r="N1098">
            <v>47.6</v>
          </cell>
          <cell r="O1098" t="e">
            <v>#N/A</v>
          </cell>
          <cell r="P1098" t="str">
            <v/>
          </cell>
          <cell r="Q1098" t="str">
            <v/>
          </cell>
          <cell r="R1098" t="e">
            <v>#N/A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-40.092775665399373</v>
          </cell>
          <cell r="F1099">
            <v>89.01444866920238</v>
          </cell>
          <cell r="G1099">
            <v>18.682889733840391</v>
          </cell>
          <cell r="H1099">
            <v>18.682889733840391</v>
          </cell>
          <cell r="I1099" t="e">
            <v>#N/A</v>
          </cell>
          <cell r="J1099" t="e">
            <v>#N/A</v>
          </cell>
          <cell r="K1099">
            <v>64.799999999999983</v>
          </cell>
          <cell r="L1099">
            <v>29.499999999999993</v>
          </cell>
          <cell r="M1099" t="e">
            <v>#N/A</v>
          </cell>
          <cell r="N1099">
            <v>47.6</v>
          </cell>
          <cell r="O1099" t="e">
            <v>#N/A</v>
          </cell>
          <cell r="P1099" t="str">
            <v/>
          </cell>
          <cell r="Q1099" t="str">
            <v/>
          </cell>
          <cell r="R1099" t="e">
            <v>#N/A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-40.246387832699753</v>
          </cell>
          <cell r="F1100">
            <v>89.107224334601625</v>
          </cell>
          <cell r="G1100">
            <v>18.641444866920239</v>
          </cell>
          <cell r="H1100">
            <v>18.641444866920239</v>
          </cell>
          <cell r="I1100" t="e">
            <v>#N/A</v>
          </cell>
          <cell r="J1100" t="e">
            <v>#N/A</v>
          </cell>
          <cell r="K1100">
            <v>64.799999999999983</v>
          </cell>
          <cell r="L1100">
            <v>29.499999999999993</v>
          </cell>
          <cell r="M1100" t="e">
            <v>#N/A</v>
          </cell>
          <cell r="N1100">
            <v>47.6</v>
          </cell>
          <cell r="O1100" t="e">
            <v>#N/A</v>
          </cell>
          <cell r="P1100" t="str">
            <v/>
          </cell>
          <cell r="Q1100" t="str">
            <v/>
          </cell>
          <cell r="R1100" t="e">
            <v>#N/A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-40.400000000000134</v>
          </cell>
          <cell r="F1101">
            <v>89.20000000000087</v>
          </cell>
          <cell r="G1101">
            <v>18.600000000000087</v>
          </cell>
          <cell r="H1101">
            <v>18.600000000000087</v>
          </cell>
          <cell r="I1101" t="e">
            <v>#N/A</v>
          </cell>
          <cell r="J1101" t="e">
            <v>#N/A</v>
          </cell>
          <cell r="K1101">
            <v>64.799999999999983</v>
          </cell>
          <cell r="L1101">
            <v>29.499999999999993</v>
          </cell>
          <cell r="M1101" t="e">
            <v>#N/A</v>
          </cell>
          <cell r="N1101">
            <v>47.6</v>
          </cell>
          <cell r="O1101" t="e">
            <v>#N/A</v>
          </cell>
          <cell r="P1101" t="str">
            <v/>
          </cell>
          <cell r="Q1101" t="str">
            <v/>
          </cell>
          <cell r="R1101" t="e">
            <v>#N/A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-40.553612167300514</v>
          </cell>
          <cell r="F1102">
            <v>89.292775665400114</v>
          </cell>
          <cell r="G1102">
            <v>18.558555133079935</v>
          </cell>
          <cell r="H1102">
            <v>18.558555133079935</v>
          </cell>
          <cell r="I1102" t="e">
            <v>#N/A</v>
          </cell>
          <cell r="J1102" t="e">
            <v>#N/A</v>
          </cell>
          <cell r="K1102">
            <v>64.799999999999983</v>
          </cell>
          <cell r="L1102">
            <v>29.499999999999993</v>
          </cell>
          <cell r="M1102" t="e">
            <v>#N/A</v>
          </cell>
          <cell r="N1102">
            <v>47.6</v>
          </cell>
          <cell r="O1102" t="e">
            <v>#N/A</v>
          </cell>
          <cell r="P1102" t="str">
            <v/>
          </cell>
          <cell r="Q1102" t="str">
            <v/>
          </cell>
          <cell r="R1102" t="e">
            <v>#N/A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-40.707224334600895</v>
          </cell>
          <cell r="F1103">
            <v>89.385551330799359</v>
          </cell>
          <cell r="G1103">
            <v>18.517110266159783</v>
          </cell>
          <cell r="H1103">
            <v>18.517110266159783</v>
          </cell>
          <cell r="I1103" t="e">
            <v>#N/A</v>
          </cell>
          <cell r="J1103" t="e">
            <v>#N/A</v>
          </cell>
          <cell r="K1103">
            <v>64.799999999999983</v>
          </cell>
          <cell r="L1103">
            <v>29.499999999999993</v>
          </cell>
          <cell r="M1103" t="e">
            <v>#N/A</v>
          </cell>
          <cell r="N1103">
            <v>47.6</v>
          </cell>
          <cell r="O1103" t="e">
            <v>#N/A</v>
          </cell>
          <cell r="P1103" t="str">
            <v/>
          </cell>
          <cell r="Q1103" t="str">
            <v/>
          </cell>
          <cell r="R1103" t="e">
            <v>#N/A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-40.860836501901275</v>
          </cell>
          <cell r="F1104">
            <v>89.478326996198604</v>
          </cell>
          <cell r="G1104">
            <v>18.475665399239631</v>
          </cell>
          <cell r="H1104">
            <v>18.475665399239631</v>
          </cell>
          <cell r="I1104" t="e">
            <v>#N/A</v>
          </cell>
          <cell r="J1104" t="e">
            <v>#N/A</v>
          </cell>
          <cell r="K1104">
            <v>64.799999999999983</v>
          </cell>
          <cell r="L1104">
            <v>29.499999999999993</v>
          </cell>
          <cell r="M1104" t="e">
            <v>#N/A</v>
          </cell>
          <cell r="N1104">
            <v>47.6</v>
          </cell>
          <cell r="O1104" t="e">
            <v>#N/A</v>
          </cell>
          <cell r="P1104" t="str">
            <v/>
          </cell>
          <cell r="Q1104" t="str">
            <v/>
          </cell>
          <cell r="R1104" t="e">
            <v>#N/A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-41.014448669201656</v>
          </cell>
          <cell r="F1105">
            <v>89.571102661597848</v>
          </cell>
          <cell r="G1105">
            <v>18.434220532319479</v>
          </cell>
          <cell r="H1105">
            <v>18.434220532319479</v>
          </cell>
          <cell r="I1105" t="e">
            <v>#N/A</v>
          </cell>
          <cell r="J1105" t="e">
            <v>#N/A</v>
          </cell>
          <cell r="K1105">
            <v>64.799999999999983</v>
          </cell>
          <cell r="L1105">
            <v>29.499999999999993</v>
          </cell>
          <cell r="M1105" t="e">
            <v>#N/A</v>
          </cell>
          <cell r="N1105">
            <v>47.6</v>
          </cell>
          <cell r="O1105" t="e">
            <v>#N/A</v>
          </cell>
          <cell r="P1105" t="str">
            <v/>
          </cell>
          <cell r="Q1105" t="str">
            <v/>
          </cell>
          <cell r="R1105" t="e">
            <v>#N/A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-41.168060836502036</v>
          </cell>
          <cell r="F1106">
            <v>89.663878326997093</v>
          </cell>
          <cell r="G1106">
            <v>18.392775665399327</v>
          </cell>
          <cell r="H1106">
            <v>18.392775665399327</v>
          </cell>
          <cell r="I1106" t="e">
            <v>#N/A</v>
          </cell>
          <cell r="J1106" t="e">
            <v>#N/A</v>
          </cell>
          <cell r="K1106">
            <v>64.799999999999983</v>
          </cell>
          <cell r="L1106">
            <v>29.499999999999993</v>
          </cell>
          <cell r="M1106" t="e">
            <v>#N/A</v>
          </cell>
          <cell r="N1106">
            <v>47.6</v>
          </cell>
          <cell r="O1106" t="e">
            <v>#N/A</v>
          </cell>
          <cell r="P1106" t="str">
            <v/>
          </cell>
          <cell r="Q1106" t="str">
            <v/>
          </cell>
          <cell r="R1106" t="e">
            <v>#N/A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-41.321673003802417</v>
          </cell>
          <cell r="F1107">
            <v>89.756653992396338</v>
          </cell>
          <cell r="G1107">
            <v>18.351330798479175</v>
          </cell>
          <cell r="H1107">
            <v>18.351330798479175</v>
          </cell>
          <cell r="I1107" t="e">
            <v>#N/A</v>
          </cell>
          <cell r="J1107" t="e">
            <v>#N/A</v>
          </cell>
          <cell r="K1107">
            <v>64.799999999999983</v>
          </cell>
          <cell r="L1107">
            <v>29.499999999999993</v>
          </cell>
          <cell r="M1107" t="e">
            <v>#N/A</v>
          </cell>
          <cell r="N1107">
            <v>47.6</v>
          </cell>
          <cell r="O1107" t="e">
            <v>#N/A</v>
          </cell>
          <cell r="P1107" t="str">
            <v/>
          </cell>
          <cell r="Q1107" t="str">
            <v/>
          </cell>
          <cell r="R1107" t="e">
            <v>#N/A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-41.475285171102797</v>
          </cell>
          <cell r="F1108">
            <v>89.849429657795582</v>
          </cell>
          <cell r="G1108">
            <v>18.309885931559023</v>
          </cell>
          <cell r="H1108">
            <v>18.309885931559023</v>
          </cell>
          <cell r="I1108" t="e">
            <v>#N/A</v>
          </cell>
          <cell r="J1108" t="e">
            <v>#N/A</v>
          </cell>
          <cell r="K1108">
            <v>64.799999999999983</v>
          </cell>
          <cell r="L1108">
            <v>29.499999999999993</v>
          </cell>
          <cell r="M1108" t="e">
            <v>#N/A</v>
          </cell>
          <cell r="N1108">
            <v>47.6</v>
          </cell>
          <cell r="O1108" t="e">
            <v>#N/A</v>
          </cell>
          <cell r="P1108" t="str">
            <v/>
          </cell>
          <cell r="Q1108" t="str">
            <v/>
          </cell>
          <cell r="R1108" t="e">
            <v>#N/A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-41.628897338403178</v>
          </cell>
          <cell r="F1109">
            <v>89.942205323194827</v>
          </cell>
          <cell r="G1109">
            <v>18.268441064638871</v>
          </cell>
          <cell r="H1109">
            <v>18.268441064638871</v>
          </cell>
          <cell r="I1109" t="e">
            <v>#N/A</v>
          </cell>
          <cell r="J1109" t="e">
            <v>#N/A</v>
          </cell>
          <cell r="K1109">
            <v>64.799999999999983</v>
          </cell>
          <cell r="L1109">
            <v>29.499999999999993</v>
          </cell>
          <cell r="M1109" t="e">
            <v>#N/A</v>
          </cell>
          <cell r="N1109">
            <v>47.6</v>
          </cell>
          <cell r="O1109" t="e">
            <v>#N/A</v>
          </cell>
          <cell r="P1109" t="str">
            <v/>
          </cell>
          <cell r="Q1109" t="str">
            <v/>
          </cell>
          <cell r="R1109" t="e">
            <v>#N/A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-41.782509505703558</v>
          </cell>
          <cell r="F1110">
            <v>90.034980988594072</v>
          </cell>
          <cell r="G1110">
            <v>18.226996197718719</v>
          </cell>
          <cell r="H1110">
            <v>18.226996197718719</v>
          </cell>
          <cell r="I1110" t="e">
            <v>#N/A</v>
          </cell>
          <cell r="J1110" t="e">
            <v>#N/A</v>
          </cell>
          <cell r="K1110">
            <v>64.799999999999983</v>
          </cell>
          <cell r="L1110">
            <v>29.499999999999993</v>
          </cell>
          <cell r="M1110" t="e">
            <v>#N/A</v>
          </cell>
          <cell r="N1110">
            <v>47.6</v>
          </cell>
          <cell r="O1110" t="e">
            <v>#N/A</v>
          </cell>
          <cell r="P1110" t="str">
            <v/>
          </cell>
          <cell r="Q1110" t="str">
            <v/>
          </cell>
          <cell r="R1110" t="e">
            <v>#N/A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-41.936121673003939</v>
          </cell>
          <cell r="F1111">
            <v>90.127756653993316</v>
          </cell>
          <cell r="G1111">
            <v>18.185551330798567</v>
          </cell>
          <cell r="H1111">
            <v>18.185551330798567</v>
          </cell>
          <cell r="I1111" t="e">
            <v>#N/A</v>
          </cell>
          <cell r="J1111" t="e">
            <v>#N/A</v>
          </cell>
          <cell r="K1111">
            <v>64.799999999999983</v>
          </cell>
          <cell r="L1111">
            <v>29.499999999999993</v>
          </cell>
          <cell r="M1111" t="e">
            <v>#N/A</v>
          </cell>
          <cell r="N1111">
            <v>47.6</v>
          </cell>
          <cell r="O1111" t="e">
            <v>#N/A</v>
          </cell>
          <cell r="P1111" t="str">
            <v/>
          </cell>
          <cell r="Q1111" t="str">
            <v/>
          </cell>
          <cell r="R1111" t="e">
            <v>#N/A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-42.089733840304319</v>
          </cell>
          <cell r="F1112">
            <v>90.220532319392561</v>
          </cell>
          <cell r="G1112">
            <v>18.144106463878416</v>
          </cell>
          <cell r="H1112">
            <v>18.144106463878416</v>
          </cell>
          <cell r="I1112" t="e">
            <v>#N/A</v>
          </cell>
          <cell r="J1112" t="e">
            <v>#N/A</v>
          </cell>
          <cell r="K1112">
            <v>64.799999999999983</v>
          </cell>
          <cell r="L1112">
            <v>29.499999999999993</v>
          </cell>
          <cell r="M1112" t="e">
            <v>#N/A</v>
          </cell>
          <cell r="N1112">
            <v>47.6</v>
          </cell>
          <cell r="O1112" t="e">
            <v>#N/A</v>
          </cell>
          <cell r="P1112" t="str">
            <v/>
          </cell>
          <cell r="Q1112" t="str">
            <v/>
          </cell>
          <cell r="R1112" t="e">
            <v>#N/A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-42.2433460076047</v>
          </cell>
          <cell r="F1113">
            <v>90.313307984791805</v>
          </cell>
          <cell r="G1113">
            <v>18.102661596958264</v>
          </cell>
          <cell r="H1113">
            <v>18.102661596958264</v>
          </cell>
          <cell r="I1113" t="e">
            <v>#N/A</v>
          </cell>
          <cell r="J1113" t="e">
            <v>#N/A</v>
          </cell>
          <cell r="K1113">
            <v>64.799999999999983</v>
          </cell>
          <cell r="L1113">
            <v>29.499999999999993</v>
          </cell>
          <cell r="M1113" t="e">
            <v>#N/A</v>
          </cell>
          <cell r="N1113">
            <v>47.6</v>
          </cell>
          <cell r="O1113" t="e">
            <v>#N/A</v>
          </cell>
          <cell r="P1113" t="str">
            <v/>
          </cell>
          <cell r="Q1113" t="str">
            <v/>
          </cell>
          <cell r="R1113" t="e">
            <v>#N/A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-42.39695817490508</v>
          </cell>
          <cell r="F1114">
            <v>90.40608365019105</v>
          </cell>
          <cell r="G1114">
            <v>18.061216730038112</v>
          </cell>
          <cell r="H1114">
            <v>18.061216730038112</v>
          </cell>
          <cell r="I1114" t="e">
            <v>#N/A</v>
          </cell>
          <cell r="J1114" t="e">
            <v>#N/A</v>
          </cell>
          <cell r="K1114">
            <v>64.799999999999983</v>
          </cell>
          <cell r="L1114">
            <v>29.499999999999993</v>
          </cell>
          <cell r="M1114" t="e">
            <v>#N/A</v>
          </cell>
          <cell r="N1114">
            <v>47.6</v>
          </cell>
          <cell r="O1114" t="e">
            <v>#N/A</v>
          </cell>
          <cell r="P1114" t="str">
            <v/>
          </cell>
          <cell r="Q1114" t="str">
            <v/>
          </cell>
          <cell r="R1114" t="e">
            <v>#N/A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-42.550570342205461</v>
          </cell>
          <cell r="F1115">
            <v>90.498859315590295</v>
          </cell>
          <cell r="G1115">
            <v>18.01977186311796</v>
          </cell>
          <cell r="H1115">
            <v>18.01977186311796</v>
          </cell>
          <cell r="I1115" t="e">
            <v>#N/A</v>
          </cell>
          <cell r="J1115" t="e">
            <v>#N/A</v>
          </cell>
          <cell r="K1115">
            <v>64.799999999999983</v>
          </cell>
          <cell r="L1115">
            <v>29.499999999999993</v>
          </cell>
          <cell r="M1115" t="e">
            <v>#N/A</v>
          </cell>
          <cell r="N1115">
            <v>47.6</v>
          </cell>
          <cell r="O1115" t="e">
            <v>#N/A</v>
          </cell>
          <cell r="P1115" t="str">
            <v/>
          </cell>
          <cell r="Q1115" t="str">
            <v/>
          </cell>
          <cell r="R1115" t="e">
            <v>#N/A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-42.704182509505841</v>
          </cell>
          <cell r="F1116">
            <v>90.591634980989539</v>
          </cell>
          <cell r="G1116">
            <v>17.978326996197808</v>
          </cell>
          <cell r="H1116">
            <v>17.978326996197808</v>
          </cell>
          <cell r="I1116" t="e">
            <v>#N/A</v>
          </cell>
          <cell r="J1116" t="e">
            <v>#N/A</v>
          </cell>
          <cell r="K1116">
            <v>64.799999999999983</v>
          </cell>
          <cell r="L1116">
            <v>29.499999999999993</v>
          </cell>
          <cell r="M1116" t="e">
            <v>#N/A</v>
          </cell>
          <cell r="N1116">
            <v>47.6</v>
          </cell>
          <cell r="O1116" t="e">
            <v>#N/A</v>
          </cell>
          <cell r="P1116" t="str">
            <v/>
          </cell>
          <cell r="Q1116" t="str">
            <v/>
          </cell>
          <cell r="R1116" t="e">
            <v>#N/A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-42.857794676806222</v>
          </cell>
          <cell r="F1117">
            <v>90.684410646388784</v>
          </cell>
          <cell r="G1117">
            <v>17.936882129277656</v>
          </cell>
          <cell r="H1117">
            <v>17.936882129277656</v>
          </cell>
          <cell r="I1117" t="e">
            <v>#N/A</v>
          </cell>
          <cell r="J1117" t="e">
            <v>#N/A</v>
          </cell>
          <cell r="K1117">
            <v>64.799999999999983</v>
          </cell>
          <cell r="L1117">
            <v>29.499999999999993</v>
          </cell>
          <cell r="M1117" t="e">
            <v>#N/A</v>
          </cell>
          <cell r="N1117">
            <v>47.6</v>
          </cell>
          <cell r="O1117" t="e">
            <v>#N/A</v>
          </cell>
          <cell r="P1117" t="str">
            <v/>
          </cell>
          <cell r="Q1117" t="str">
            <v/>
          </cell>
          <cell r="R1117" t="e">
            <v>#N/A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-43.011406844106602</v>
          </cell>
          <cell r="F1118">
            <v>90.777186311788029</v>
          </cell>
          <cell r="G1118">
            <v>17.895437262357504</v>
          </cell>
          <cell r="H1118">
            <v>17.895437262357504</v>
          </cell>
          <cell r="I1118" t="e">
            <v>#N/A</v>
          </cell>
          <cell r="J1118" t="e">
            <v>#N/A</v>
          </cell>
          <cell r="K1118">
            <v>64.799999999999983</v>
          </cell>
          <cell r="L1118">
            <v>29.499999999999993</v>
          </cell>
          <cell r="M1118" t="e">
            <v>#N/A</v>
          </cell>
          <cell r="N1118">
            <v>47.6</v>
          </cell>
          <cell r="O1118" t="e">
            <v>#N/A</v>
          </cell>
          <cell r="P1118" t="str">
            <v/>
          </cell>
          <cell r="Q1118" t="str">
            <v/>
          </cell>
          <cell r="R1118" t="e">
            <v>#N/A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-43.165019011406983</v>
          </cell>
          <cell r="F1119">
            <v>90.869961977187273</v>
          </cell>
          <cell r="G1119">
            <v>17.853992395437352</v>
          </cell>
          <cell r="H1119">
            <v>17.853992395437352</v>
          </cell>
          <cell r="I1119" t="e">
            <v>#N/A</v>
          </cell>
          <cell r="J1119" t="e">
            <v>#N/A</v>
          </cell>
          <cell r="K1119">
            <v>64.799999999999983</v>
          </cell>
          <cell r="L1119">
            <v>29.499999999999993</v>
          </cell>
          <cell r="M1119" t="e">
            <v>#N/A</v>
          </cell>
          <cell r="N1119">
            <v>47.6</v>
          </cell>
          <cell r="O1119" t="e">
            <v>#N/A</v>
          </cell>
          <cell r="P1119" t="str">
            <v/>
          </cell>
          <cell r="Q1119" t="str">
            <v/>
          </cell>
          <cell r="R1119" t="e">
            <v>#N/A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-43.318631178707363</v>
          </cell>
          <cell r="F1120">
            <v>90.962737642586518</v>
          </cell>
          <cell r="G1120">
            <v>17.8125475285172</v>
          </cell>
          <cell r="H1120">
            <v>17.8125475285172</v>
          </cell>
          <cell r="I1120" t="e">
            <v>#N/A</v>
          </cell>
          <cell r="J1120" t="e">
            <v>#N/A</v>
          </cell>
          <cell r="K1120">
            <v>64.799999999999983</v>
          </cell>
          <cell r="L1120">
            <v>29.499999999999993</v>
          </cell>
          <cell r="M1120" t="e">
            <v>#N/A</v>
          </cell>
          <cell r="N1120">
            <v>47.6</v>
          </cell>
          <cell r="O1120" t="e">
            <v>#N/A</v>
          </cell>
          <cell r="P1120" t="str">
            <v/>
          </cell>
          <cell r="Q1120" t="str">
            <v/>
          </cell>
          <cell r="R1120" t="e">
            <v>#N/A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-43.472243346007744</v>
          </cell>
          <cell r="F1121">
            <v>91.055513307985763</v>
          </cell>
          <cell r="G1121">
            <v>17.771102661597048</v>
          </cell>
          <cell r="H1121">
            <v>17.771102661597048</v>
          </cell>
          <cell r="I1121" t="e">
            <v>#N/A</v>
          </cell>
          <cell r="J1121" t="e">
            <v>#N/A</v>
          </cell>
          <cell r="K1121">
            <v>64.799999999999983</v>
          </cell>
          <cell r="L1121">
            <v>29.499999999999993</v>
          </cell>
          <cell r="M1121" t="e">
            <v>#N/A</v>
          </cell>
          <cell r="N1121">
            <v>47.6</v>
          </cell>
          <cell r="O1121" t="e">
            <v>#N/A</v>
          </cell>
          <cell r="P1121" t="str">
            <v/>
          </cell>
          <cell r="Q1121" t="str">
            <v/>
          </cell>
          <cell r="R1121" t="e">
            <v>#N/A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-43.625855513308125</v>
          </cell>
          <cell r="F1122">
            <v>91.148288973385007</v>
          </cell>
          <cell r="G1122">
            <v>17.729657794676896</v>
          </cell>
          <cell r="H1122">
            <v>17.729657794676896</v>
          </cell>
          <cell r="I1122" t="e">
            <v>#N/A</v>
          </cell>
          <cell r="J1122" t="e">
            <v>#N/A</v>
          </cell>
          <cell r="K1122">
            <v>64.799999999999983</v>
          </cell>
          <cell r="L1122">
            <v>29.499999999999993</v>
          </cell>
          <cell r="M1122" t="e">
            <v>#N/A</v>
          </cell>
          <cell r="N1122">
            <v>47.6</v>
          </cell>
          <cell r="O1122" t="e">
            <v>#N/A</v>
          </cell>
          <cell r="P1122" t="str">
            <v/>
          </cell>
          <cell r="Q1122" t="str">
            <v/>
          </cell>
          <cell r="R1122" t="e">
            <v>#N/A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-43.779467680608505</v>
          </cell>
          <cell r="F1123">
            <v>91.241064638784252</v>
          </cell>
          <cell r="G1123">
            <v>17.688212927756744</v>
          </cell>
          <cell r="H1123">
            <v>17.688212927756744</v>
          </cell>
          <cell r="I1123" t="e">
            <v>#N/A</v>
          </cell>
          <cell r="J1123" t="e">
            <v>#N/A</v>
          </cell>
          <cell r="K1123">
            <v>64.799999999999983</v>
          </cell>
          <cell r="L1123">
            <v>29.499999999999993</v>
          </cell>
          <cell r="M1123" t="e">
            <v>#N/A</v>
          </cell>
          <cell r="N1123">
            <v>47.6</v>
          </cell>
          <cell r="O1123" t="e">
            <v>#N/A</v>
          </cell>
          <cell r="P1123" t="str">
            <v/>
          </cell>
          <cell r="Q1123" t="str">
            <v/>
          </cell>
          <cell r="R1123" t="e">
            <v>#N/A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-43.933079847908886</v>
          </cell>
          <cell r="F1124">
            <v>91.333840304183497</v>
          </cell>
          <cell r="G1124">
            <v>17.646768060836592</v>
          </cell>
          <cell r="H1124">
            <v>17.646768060836592</v>
          </cell>
          <cell r="I1124" t="e">
            <v>#N/A</v>
          </cell>
          <cell r="J1124" t="e">
            <v>#N/A</v>
          </cell>
          <cell r="K1124">
            <v>64.799999999999983</v>
          </cell>
          <cell r="L1124">
            <v>29.499999999999993</v>
          </cell>
          <cell r="M1124" t="e">
            <v>#N/A</v>
          </cell>
          <cell r="N1124">
            <v>47.6</v>
          </cell>
          <cell r="O1124" t="e">
            <v>#N/A</v>
          </cell>
          <cell r="P1124" t="str">
            <v/>
          </cell>
          <cell r="Q1124" t="str">
            <v/>
          </cell>
          <cell r="R1124" t="e">
            <v>#N/A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-44.086692015209266</v>
          </cell>
          <cell r="F1125">
            <v>91.426615969582741</v>
          </cell>
          <cell r="G1125">
            <v>17.605323193916441</v>
          </cell>
          <cell r="H1125">
            <v>17.605323193916441</v>
          </cell>
          <cell r="I1125" t="e">
            <v>#N/A</v>
          </cell>
          <cell r="J1125" t="e">
            <v>#N/A</v>
          </cell>
          <cell r="K1125">
            <v>64.799999999999983</v>
          </cell>
          <cell r="L1125">
            <v>29.499999999999993</v>
          </cell>
          <cell r="M1125" t="e">
            <v>#N/A</v>
          </cell>
          <cell r="N1125">
            <v>47.6</v>
          </cell>
          <cell r="O1125" t="e">
            <v>#N/A</v>
          </cell>
          <cell r="P1125" t="str">
            <v/>
          </cell>
          <cell r="Q1125" t="str">
            <v/>
          </cell>
          <cell r="R1125" t="e">
            <v>#N/A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-44.240304182509647</v>
          </cell>
          <cell r="F1126">
            <v>91.519391634981986</v>
          </cell>
          <cell r="G1126">
            <v>17.563878326996289</v>
          </cell>
          <cell r="H1126">
            <v>17.563878326996289</v>
          </cell>
          <cell r="I1126" t="e">
            <v>#N/A</v>
          </cell>
          <cell r="J1126" t="e">
            <v>#N/A</v>
          </cell>
          <cell r="K1126">
            <v>64.799999999999983</v>
          </cell>
          <cell r="L1126">
            <v>29.499999999999993</v>
          </cell>
          <cell r="M1126" t="e">
            <v>#N/A</v>
          </cell>
          <cell r="N1126">
            <v>47.6</v>
          </cell>
          <cell r="O1126" t="e">
            <v>#N/A</v>
          </cell>
          <cell r="P1126" t="str">
            <v/>
          </cell>
          <cell r="Q1126" t="str">
            <v/>
          </cell>
          <cell r="R1126" t="e">
            <v>#N/A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-44.393916349810027</v>
          </cell>
          <cell r="F1127">
            <v>91.61216730038123</v>
          </cell>
          <cell r="G1127">
            <v>17.522433460076137</v>
          </cell>
          <cell r="H1127">
            <v>17.522433460076137</v>
          </cell>
          <cell r="I1127" t="e">
            <v>#N/A</v>
          </cell>
          <cell r="J1127" t="e">
            <v>#N/A</v>
          </cell>
          <cell r="K1127">
            <v>64.799999999999983</v>
          </cell>
          <cell r="L1127">
            <v>29.499999999999993</v>
          </cell>
          <cell r="M1127" t="e">
            <v>#N/A</v>
          </cell>
          <cell r="N1127">
            <v>47.6</v>
          </cell>
          <cell r="O1127" t="e">
            <v>#N/A</v>
          </cell>
          <cell r="P1127" t="str">
            <v/>
          </cell>
          <cell r="Q1127" t="str">
            <v/>
          </cell>
          <cell r="R1127" t="e">
            <v>#N/A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-44.547528517110408</v>
          </cell>
          <cell r="F1128">
            <v>91.704942965780475</v>
          </cell>
          <cell r="G1128">
            <v>17.480988593155985</v>
          </cell>
          <cell r="H1128">
            <v>17.480988593155985</v>
          </cell>
          <cell r="I1128" t="e">
            <v>#N/A</v>
          </cell>
          <cell r="J1128" t="e">
            <v>#N/A</v>
          </cell>
          <cell r="K1128">
            <v>64.799999999999983</v>
          </cell>
          <cell r="L1128">
            <v>29.499999999999993</v>
          </cell>
          <cell r="M1128" t="e">
            <v>#N/A</v>
          </cell>
          <cell r="N1128">
            <v>47.6</v>
          </cell>
          <cell r="O1128" t="e">
            <v>#N/A</v>
          </cell>
          <cell r="P1128" t="str">
            <v/>
          </cell>
          <cell r="Q1128" t="str">
            <v/>
          </cell>
          <cell r="R1128" t="e">
            <v>#N/A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-44.701140684410788</v>
          </cell>
          <cell r="F1129">
            <v>91.79771863117972</v>
          </cell>
          <cell r="G1129">
            <v>17.439543726235833</v>
          </cell>
          <cell r="H1129">
            <v>17.439543726235833</v>
          </cell>
          <cell r="I1129" t="e">
            <v>#N/A</v>
          </cell>
          <cell r="J1129" t="e">
            <v>#N/A</v>
          </cell>
          <cell r="K1129">
            <v>64.799999999999983</v>
          </cell>
          <cell r="L1129">
            <v>29.499999999999993</v>
          </cell>
          <cell r="M1129" t="e">
            <v>#N/A</v>
          </cell>
          <cell r="N1129">
            <v>47.6</v>
          </cell>
          <cell r="O1129" t="e">
            <v>#N/A</v>
          </cell>
          <cell r="P1129" t="str">
            <v/>
          </cell>
          <cell r="Q1129" t="str">
            <v/>
          </cell>
          <cell r="R1129" t="e">
            <v>#N/A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-44.854752851711169</v>
          </cell>
          <cell r="F1130">
            <v>91.890494296578964</v>
          </cell>
          <cell r="G1130">
            <v>17.398098859315681</v>
          </cell>
          <cell r="H1130">
            <v>17.398098859315681</v>
          </cell>
          <cell r="I1130" t="e">
            <v>#N/A</v>
          </cell>
          <cell r="J1130" t="e">
            <v>#N/A</v>
          </cell>
          <cell r="K1130">
            <v>64.799999999999983</v>
          </cell>
          <cell r="L1130">
            <v>29.499999999999993</v>
          </cell>
          <cell r="M1130" t="e">
            <v>#N/A</v>
          </cell>
          <cell r="N1130">
            <v>47.6</v>
          </cell>
          <cell r="O1130" t="e">
            <v>#N/A</v>
          </cell>
          <cell r="P1130" t="str">
            <v/>
          </cell>
          <cell r="Q1130" t="str">
            <v/>
          </cell>
          <cell r="R1130" t="e">
            <v>#N/A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-45.008365019011549</v>
          </cell>
          <cell r="F1131">
            <v>91.983269961978209</v>
          </cell>
          <cell r="G1131">
            <v>17.356653992395529</v>
          </cell>
          <cell r="H1131">
            <v>17.356653992395529</v>
          </cell>
          <cell r="I1131" t="e">
            <v>#N/A</v>
          </cell>
          <cell r="J1131" t="e">
            <v>#N/A</v>
          </cell>
          <cell r="K1131">
            <v>64.799999999999983</v>
          </cell>
          <cell r="L1131">
            <v>29.499999999999993</v>
          </cell>
          <cell r="M1131" t="e">
            <v>#N/A</v>
          </cell>
          <cell r="N1131">
            <v>47.6</v>
          </cell>
          <cell r="O1131" t="e">
            <v>#N/A</v>
          </cell>
          <cell r="P1131" t="str">
            <v/>
          </cell>
          <cell r="Q1131" t="str">
            <v/>
          </cell>
          <cell r="R1131" t="e">
            <v>#N/A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-45.16197718631193</v>
          </cell>
          <cell r="F1132">
            <v>92.076045627377454</v>
          </cell>
          <cell r="G1132">
            <v>17.315209125475377</v>
          </cell>
          <cell r="H1132">
            <v>17.315209125475377</v>
          </cell>
          <cell r="I1132" t="e">
            <v>#N/A</v>
          </cell>
          <cell r="J1132" t="e">
            <v>#N/A</v>
          </cell>
          <cell r="K1132">
            <v>64.799999999999983</v>
          </cell>
          <cell r="L1132">
            <v>29.499999999999993</v>
          </cell>
          <cell r="M1132" t="e">
            <v>#N/A</v>
          </cell>
          <cell r="N1132">
            <v>47.6</v>
          </cell>
          <cell r="O1132" t="e">
            <v>#N/A</v>
          </cell>
          <cell r="P1132" t="str">
            <v/>
          </cell>
          <cell r="Q1132" t="str">
            <v/>
          </cell>
          <cell r="R1132" t="e">
            <v>#N/A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-45.31558935361231</v>
          </cell>
          <cell r="F1133">
            <v>92.168821292776698</v>
          </cell>
          <cell r="G1133">
            <v>17.273764258555225</v>
          </cell>
          <cell r="H1133">
            <v>17.273764258555225</v>
          </cell>
          <cell r="I1133" t="e">
            <v>#N/A</v>
          </cell>
          <cell r="J1133" t="e">
            <v>#N/A</v>
          </cell>
          <cell r="K1133">
            <v>64.799999999999983</v>
          </cell>
          <cell r="L1133">
            <v>29.499999999999993</v>
          </cell>
          <cell r="M1133" t="e">
            <v>#N/A</v>
          </cell>
          <cell r="N1133">
            <v>47.6</v>
          </cell>
          <cell r="O1133" t="e">
            <v>#N/A</v>
          </cell>
          <cell r="P1133" t="str">
            <v/>
          </cell>
          <cell r="Q1133" t="str">
            <v/>
          </cell>
          <cell r="R1133" t="e">
            <v>#N/A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-45.469201520912691</v>
          </cell>
          <cell r="F1134">
            <v>92.261596958175943</v>
          </cell>
          <cell r="G1134">
            <v>17.232319391635073</v>
          </cell>
          <cell r="H1134">
            <v>17.232319391635073</v>
          </cell>
          <cell r="I1134" t="e">
            <v>#N/A</v>
          </cell>
          <cell r="J1134" t="e">
            <v>#N/A</v>
          </cell>
          <cell r="K1134">
            <v>64.799999999999983</v>
          </cell>
          <cell r="L1134">
            <v>29.499999999999993</v>
          </cell>
          <cell r="M1134" t="e">
            <v>#N/A</v>
          </cell>
          <cell r="N1134">
            <v>47.6</v>
          </cell>
          <cell r="O1134" t="e">
            <v>#N/A</v>
          </cell>
          <cell r="P1134" t="str">
            <v/>
          </cell>
          <cell r="Q1134" t="str">
            <v/>
          </cell>
          <cell r="R1134" t="e">
            <v>#N/A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-45.622813688213071</v>
          </cell>
          <cell r="F1135">
            <v>92.354372623575188</v>
          </cell>
          <cell r="G1135">
            <v>17.190874524714921</v>
          </cell>
          <cell r="H1135">
            <v>17.190874524714921</v>
          </cell>
          <cell r="I1135" t="e">
            <v>#N/A</v>
          </cell>
          <cell r="J1135" t="e">
            <v>#N/A</v>
          </cell>
          <cell r="K1135">
            <v>64.799999999999983</v>
          </cell>
          <cell r="L1135">
            <v>29.499999999999993</v>
          </cell>
          <cell r="M1135" t="e">
            <v>#N/A</v>
          </cell>
          <cell r="N1135">
            <v>47.6</v>
          </cell>
          <cell r="O1135" t="e">
            <v>#N/A</v>
          </cell>
          <cell r="P1135" t="str">
            <v/>
          </cell>
          <cell r="Q1135" t="str">
            <v/>
          </cell>
          <cell r="R1135" t="e">
            <v>#N/A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-45.776425855513452</v>
          </cell>
          <cell r="F1136">
            <v>92.447148288974432</v>
          </cell>
          <cell r="G1136">
            <v>17.149429657794769</v>
          </cell>
          <cell r="H1136">
            <v>17.149429657794769</v>
          </cell>
          <cell r="I1136" t="e">
            <v>#N/A</v>
          </cell>
          <cell r="J1136" t="e">
            <v>#N/A</v>
          </cell>
          <cell r="K1136">
            <v>64.799999999999983</v>
          </cell>
          <cell r="L1136">
            <v>29.499999999999993</v>
          </cell>
          <cell r="M1136" t="e">
            <v>#N/A</v>
          </cell>
          <cell r="N1136">
            <v>47.6</v>
          </cell>
          <cell r="O1136" t="e">
            <v>#N/A</v>
          </cell>
          <cell r="P1136" t="str">
            <v/>
          </cell>
          <cell r="Q1136" t="str">
            <v/>
          </cell>
          <cell r="R1136" t="e">
            <v>#N/A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-45.930038022813832</v>
          </cell>
          <cell r="F1137">
            <v>92.539923954373677</v>
          </cell>
          <cell r="G1137">
            <v>17.107984790874617</v>
          </cell>
          <cell r="H1137">
            <v>17.107984790874617</v>
          </cell>
          <cell r="I1137" t="e">
            <v>#N/A</v>
          </cell>
          <cell r="J1137" t="e">
            <v>#N/A</v>
          </cell>
          <cell r="K1137">
            <v>64.799999999999983</v>
          </cell>
          <cell r="L1137">
            <v>29.499999999999993</v>
          </cell>
          <cell r="M1137" t="e">
            <v>#N/A</v>
          </cell>
          <cell r="N1137">
            <v>47.6</v>
          </cell>
          <cell r="O1137" t="e">
            <v>#N/A</v>
          </cell>
          <cell r="P1137" t="str">
            <v/>
          </cell>
          <cell r="Q1137" t="str">
            <v/>
          </cell>
          <cell r="R1137" t="e">
            <v>#N/A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-46.083650190114213</v>
          </cell>
          <cell r="F1138">
            <v>92.632699619772922</v>
          </cell>
          <cell r="G1138">
            <v>17.066539923954466</v>
          </cell>
          <cell r="H1138">
            <v>17.066539923954466</v>
          </cell>
          <cell r="I1138" t="e">
            <v>#N/A</v>
          </cell>
          <cell r="J1138" t="e">
            <v>#N/A</v>
          </cell>
          <cell r="K1138">
            <v>64.799999999999983</v>
          </cell>
          <cell r="L1138">
            <v>29.499999999999993</v>
          </cell>
          <cell r="M1138" t="e">
            <v>#N/A</v>
          </cell>
          <cell r="N1138">
            <v>47.6</v>
          </cell>
          <cell r="O1138" t="e">
            <v>#N/A</v>
          </cell>
          <cell r="P1138" t="str">
            <v/>
          </cell>
          <cell r="Q1138" t="str">
            <v/>
          </cell>
          <cell r="R1138" t="e">
            <v>#N/A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-46.237262357414593</v>
          </cell>
          <cell r="F1139">
            <v>92.725475285172166</v>
          </cell>
          <cell r="G1139">
            <v>17.025095057034314</v>
          </cell>
          <cell r="H1139">
            <v>17.025095057034314</v>
          </cell>
          <cell r="I1139" t="e">
            <v>#N/A</v>
          </cell>
          <cell r="J1139" t="e">
            <v>#N/A</v>
          </cell>
          <cell r="K1139">
            <v>64.799999999999983</v>
          </cell>
          <cell r="L1139">
            <v>29.499999999999993</v>
          </cell>
          <cell r="M1139" t="e">
            <v>#N/A</v>
          </cell>
          <cell r="N1139">
            <v>47.6</v>
          </cell>
          <cell r="O1139" t="e">
            <v>#N/A</v>
          </cell>
          <cell r="P1139" t="str">
            <v/>
          </cell>
          <cell r="Q1139" t="str">
            <v/>
          </cell>
          <cell r="R1139" t="e">
            <v>#N/A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-46.390874524714974</v>
          </cell>
          <cell r="F1140">
            <v>92.818250950571411</v>
          </cell>
          <cell r="G1140">
            <v>16.983650190114162</v>
          </cell>
          <cell r="H1140">
            <v>16.983650190114162</v>
          </cell>
          <cell r="I1140" t="e">
            <v>#N/A</v>
          </cell>
          <cell r="J1140" t="e">
            <v>#N/A</v>
          </cell>
          <cell r="K1140">
            <v>64.799999999999983</v>
          </cell>
          <cell r="L1140">
            <v>29.499999999999993</v>
          </cell>
          <cell r="M1140" t="e">
            <v>#N/A</v>
          </cell>
          <cell r="N1140">
            <v>47.6</v>
          </cell>
          <cell r="O1140" t="e">
            <v>#N/A</v>
          </cell>
          <cell r="P1140" t="str">
            <v/>
          </cell>
          <cell r="Q1140" t="str">
            <v/>
          </cell>
          <cell r="R1140" t="e">
            <v>#N/A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-46.544486692015354</v>
          </cell>
          <cell r="F1141">
            <v>92.911026615970655</v>
          </cell>
          <cell r="G1141">
            <v>16.94220532319401</v>
          </cell>
          <cell r="H1141">
            <v>16.94220532319401</v>
          </cell>
          <cell r="I1141" t="e">
            <v>#N/A</v>
          </cell>
          <cell r="J1141" t="e">
            <v>#N/A</v>
          </cell>
          <cell r="K1141">
            <v>64.799999999999983</v>
          </cell>
          <cell r="L1141">
            <v>29.499999999999993</v>
          </cell>
          <cell r="M1141" t="e">
            <v>#N/A</v>
          </cell>
          <cell r="N1141">
            <v>47.6</v>
          </cell>
          <cell r="O1141" t="e">
            <v>#N/A</v>
          </cell>
          <cell r="P1141" t="str">
            <v/>
          </cell>
          <cell r="Q1141" t="str">
            <v/>
          </cell>
          <cell r="R1141" t="e">
            <v>#N/A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-46.698098859315735</v>
          </cell>
          <cell r="F1142">
            <v>93.0038022813699</v>
          </cell>
          <cell r="G1142">
            <v>16.900760456273858</v>
          </cell>
          <cell r="H1142">
            <v>16.900760456273858</v>
          </cell>
          <cell r="I1142" t="e">
            <v>#N/A</v>
          </cell>
          <cell r="J1142" t="e">
            <v>#N/A</v>
          </cell>
          <cell r="K1142">
            <v>64.799999999999983</v>
          </cell>
          <cell r="L1142">
            <v>29.499999999999993</v>
          </cell>
          <cell r="M1142" t="e">
            <v>#N/A</v>
          </cell>
          <cell r="N1142">
            <v>47.6</v>
          </cell>
          <cell r="O1142" t="e">
            <v>#N/A</v>
          </cell>
          <cell r="P1142" t="str">
            <v/>
          </cell>
          <cell r="Q1142" t="str">
            <v/>
          </cell>
          <cell r="R1142" t="e">
            <v>#N/A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-46.851711026616115</v>
          </cell>
          <cell r="F1143">
            <v>93.096577946769145</v>
          </cell>
          <cell r="G1143">
            <v>16.859315589353706</v>
          </cell>
          <cell r="H1143">
            <v>16.859315589353706</v>
          </cell>
          <cell r="I1143" t="e">
            <v>#N/A</v>
          </cell>
          <cell r="J1143" t="e">
            <v>#N/A</v>
          </cell>
          <cell r="K1143">
            <v>64.799999999999983</v>
          </cell>
          <cell r="L1143">
            <v>29.499999999999993</v>
          </cell>
          <cell r="M1143" t="e">
            <v>#N/A</v>
          </cell>
          <cell r="N1143">
            <v>47.6</v>
          </cell>
          <cell r="O1143" t="e">
            <v>#N/A</v>
          </cell>
          <cell r="P1143" t="str">
            <v/>
          </cell>
          <cell r="Q1143" t="str">
            <v/>
          </cell>
          <cell r="R1143" t="e">
            <v>#N/A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-47.005323193916496</v>
          </cell>
          <cell r="F1144">
            <v>93.189353612168389</v>
          </cell>
          <cell r="G1144">
            <v>16.817870722433554</v>
          </cell>
          <cell r="H1144">
            <v>16.817870722433554</v>
          </cell>
          <cell r="I1144" t="e">
            <v>#N/A</v>
          </cell>
          <cell r="J1144" t="e">
            <v>#N/A</v>
          </cell>
          <cell r="K1144">
            <v>64.799999999999983</v>
          </cell>
          <cell r="L1144">
            <v>29.499999999999993</v>
          </cell>
          <cell r="M1144" t="e">
            <v>#N/A</v>
          </cell>
          <cell r="N1144">
            <v>47.6</v>
          </cell>
          <cell r="O1144" t="e">
            <v>#N/A</v>
          </cell>
          <cell r="P1144" t="str">
            <v/>
          </cell>
          <cell r="Q1144" t="str">
            <v/>
          </cell>
          <cell r="R1144" t="e">
            <v>#N/A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-47.158935361216876</v>
          </cell>
          <cell r="F1145">
            <v>93.282129277567634</v>
          </cell>
          <cell r="G1145">
            <v>16.776425855513402</v>
          </cell>
          <cell r="H1145">
            <v>16.776425855513402</v>
          </cell>
          <cell r="I1145" t="e">
            <v>#N/A</v>
          </cell>
          <cell r="J1145" t="e">
            <v>#N/A</v>
          </cell>
          <cell r="K1145">
            <v>64.799999999999983</v>
          </cell>
          <cell r="L1145">
            <v>29.499999999999993</v>
          </cell>
          <cell r="M1145" t="e">
            <v>#N/A</v>
          </cell>
          <cell r="N1145">
            <v>47.6</v>
          </cell>
          <cell r="O1145" t="e">
            <v>#N/A</v>
          </cell>
          <cell r="P1145" t="str">
            <v/>
          </cell>
          <cell r="Q1145" t="str">
            <v/>
          </cell>
          <cell r="R1145" t="e">
            <v>#N/A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-47.312547528517257</v>
          </cell>
          <cell r="F1146">
            <v>93.374904942966879</v>
          </cell>
          <cell r="G1146">
            <v>16.73498098859325</v>
          </cell>
          <cell r="H1146">
            <v>16.73498098859325</v>
          </cell>
          <cell r="I1146" t="e">
            <v>#N/A</v>
          </cell>
          <cell r="J1146" t="e">
            <v>#N/A</v>
          </cell>
          <cell r="K1146">
            <v>64.799999999999983</v>
          </cell>
          <cell r="L1146">
            <v>29.499999999999993</v>
          </cell>
          <cell r="M1146" t="e">
            <v>#N/A</v>
          </cell>
          <cell r="N1146">
            <v>47.6</v>
          </cell>
          <cell r="O1146" t="e">
            <v>#N/A</v>
          </cell>
          <cell r="P1146" t="str">
            <v/>
          </cell>
          <cell r="Q1146" t="str">
            <v/>
          </cell>
          <cell r="R1146" t="e">
            <v>#N/A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-47.466159695817637</v>
          </cell>
          <cell r="F1147">
            <v>93.467680608366123</v>
          </cell>
          <cell r="G1147">
            <v>16.693536121673098</v>
          </cell>
          <cell r="H1147">
            <v>16.693536121673098</v>
          </cell>
          <cell r="I1147" t="e">
            <v>#N/A</v>
          </cell>
          <cell r="J1147" t="e">
            <v>#N/A</v>
          </cell>
          <cell r="K1147">
            <v>64.799999999999983</v>
          </cell>
          <cell r="L1147">
            <v>29.499999999999993</v>
          </cell>
          <cell r="M1147" t="e">
            <v>#N/A</v>
          </cell>
          <cell r="N1147">
            <v>47.6</v>
          </cell>
          <cell r="O1147" t="e">
            <v>#N/A</v>
          </cell>
          <cell r="P1147" t="str">
            <v/>
          </cell>
          <cell r="Q1147" t="str">
            <v/>
          </cell>
          <cell r="R1147" t="e">
            <v>#N/A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-47.619771863118018</v>
          </cell>
          <cell r="F1148">
            <v>93.560456273765368</v>
          </cell>
          <cell r="G1148">
            <v>16.652091254752946</v>
          </cell>
          <cell r="H1148">
            <v>16.652091254752946</v>
          </cell>
          <cell r="I1148" t="e">
            <v>#N/A</v>
          </cell>
          <cell r="J1148" t="e">
            <v>#N/A</v>
          </cell>
          <cell r="K1148">
            <v>64.799999999999983</v>
          </cell>
          <cell r="L1148">
            <v>29.499999999999993</v>
          </cell>
          <cell r="M1148" t="e">
            <v>#N/A</v>
          </cell>
          <cell r="N1148">
            <v>47.6</v>
          </cell>
          <cell r="O1148" t="e">
            <v>#N/A</v>
          </cell>
          <cell r="P1148" t="str">
            <v/>
          </cell>
          <cell r="Q1148" t="str">
            <v/>
          </cell>
          <cell r="R1148" t="e">
            <v>#N/A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-47.773384030418399</v>
          </cell>
          <cell r="F1149">
            <v>93.653231939164613</v>
          </cell>
          <cell r="G1149">
            <v>16.610646387832794</v>
          </cell>
          <cell r="H1149">
            <v>16.610646387832794</v>
          </cell>
          <cell r="I1149" t="e">
            <v>#N/A</v>
          </cell>
          <cell r="J1149" t="e">
            <v>#N/A</v>
          </cell>
          <cell r="K1149">
            <v>64.799999999999983</v>
          </cell>
          <cell r="L1149">
            <v>29.499999999999993</v>
          </cell>
          <cell r="M1149" t="e">
            <v>#N/A</v>
          </cell>
          <cell r="N1149">
            <v>47.6</v>
          </cell>
          <cell r="O1149" t="e">
            <v>#N/A</v>
          </cell>
          <cell r="P1149" t="str">
            <v/>
          </cell>
          <cell r="Q1149" t="str">
            <v/>
          </cell>
          <cell r="R1149" t="e">
            <v>#N/A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-47.926996197718779</v>
          </cell>
          <cell r="F1150">
            <v>93.746007604563857</v>
          </cell>
          <cell r="G1150">
            <v>16.569201520912642</v>
          </cell>
          <cell r="H1150">
            <v>16.569201520912642</v>
          </cell>
          <cell r="I1150" t="e">
            <v>#N/A</v>
          </cell>
          <cell r="J1150" t="e">
            <v>#N/A</v>
          </cell>
          <cell r="K1150">
            <v>64.799999999999983</v>
          </cell>
          <cell r="L1150">
            <v>29.499999999999993</v>
          </cell>
          <cell r="M1150" t="e">
            <v>#N/A</v>
          </cell>
          <cell r="N1150">
            <v>47.6</v>
          </cell>
          <cell r="O1150" t="e">
            <v>#N/A</v>
          </cell>
          <cell r="P1150" t="str">
            <v/>
          </cell>
          <cell r="Q1150" t="str">
            <v/>
          </cell>
          <cell r="R1150" t="e">
            <v>#N/A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-48.08060836501916</v>
          </cell>
          <cell r="F1151">
            <v>93.838783269963102</v>
          </cell>
          <cell r="G1151">
            <v>16.52775665399249</v>
          </cell>
          <cell r="H1151">
            <v>16.52775665399249</v>
          </cell>
          <cell r="I1151" t="e">
            <v>#N/A</v>
          </cell>
          <cell r="J1151" t="e">
            <v>#N/A</v>
          </cell>
          <cell r="K1151">
            <v>64.799999999999983</v>
          </cell>
          <cell r="L1151">
            <v>29.499999999999993</v>
          </cell>
          <cell r="M1151" t="e">
            <v>#N/A</v>
          </cell>
          <cell r="N1151">
            <v>47.6</v>
          </cell>
          <cell r="O1151" t="e">
            <v>#N/A</v>
          </cell>
          <cell r="P1151" t="str">
            <v/>
          </cell>
          <cell r="Q1151" t="str">
            <v/>
          </cell>
          <cell r="R1151" t="e">
            <v>#N/A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-48.23422053231954</v>
          </cell>
          <cell r="F1152">
            <v>93.931558935362347</v>
          </cell>
          <cell r="G1152">
            <v>16.486311787072339</v>
          </cell>
          <cell r="H1152">
            <v>16.486311787072339</v>
          </cell>
          <cell r="I1152" t="e">
            <v>#N/A</v>
          </cell>
          <cell r="J1152" t="e">
            <v>#N/A</v>
          </cell>
          <cell r="K1152">
            <v>64.799999999999983</v>
          </cell>
          <cell r="L1152">
            <v>29.499999999999993</v>
          </cell>
          <cell r="M1152" t="e">
            <v>#N/A</v>
          </cell>
          <cell r="N1152">
            <v>47.6</v>
          </cell>
          <cell r="O1152" t="e">
            <v>#N/A</v>
          </cell>
          <cell r="P1152" t="str">
            <v/>
          </cell>
          <cell r="Q1152" t="str">
            <v/>
          </cell>
          <cell r="R1152" t="e">
            <v>#N/A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-48.387832699619921</v>
          </cell>
          <cell r="F1153">
            <v>94.024334600761591</v>
          </cell>
          <cell r="G1153">
            <v>16.444866920152187</v>
          </cell>
          <cell r="H1153">
            <v>16.444866920152187</v>
          </cell>
          <cell r="I1153" t="e">
            <v>#N/A</v>
          </cell>
          <cell r="J1153" t="e">
            <v>#N/A</v>
          </cell>
          <cell r="K1153">
            <v>64.799999999999983</v>
          </cell>
          <cell r="L1153">
            <v>29.499999999999993</v>
          </cell>
          <cell r="M1153" t="e">
            <v>#N/A</v>
          </cell>
          <cell r="N1153">
            <v>47.6</v>
          </cell>
          <cell r="O1153" t="e">
            <v>#N/A</v>
          </cell>
          <cell r="P1153" t="str">
            <v/>
          </cell>
          <cell r="Q1153" t="str">
            <v/>
          </cell>
          <cell r="R1153" t="e">
            <v>#N/A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-48.541444866920301</v>
          </cell>
          <cell r="F1154">
            <v>94.117110266160836</v>
          </cell>
          <cell r="G1154">
            <v>16.403422053232035</v>
          </cell>
          <cell r="H1154">
            <v>16.403422053232035</v>
          </cell>
          <cell r="I1154" t="e">
            <v>#N/A</v>
          </cell>
          <cell r="J1154" t="e">
            <v>#N/A</v>
          </cell>
          <cell r="K1154">
            <v>64.799999999999983</v>
          </cell>
          <cell r="L1154">
            <v>29.499999999999993</v>
          </cell>
          <cell r="M1154" t="e">
            <v>#N/A</v>
          </cell>
          <cell r="N1154">
            <v>47.6</v>
          </cell>
          <cell r="O1154" t="e">
            <v>#N/A</v>
          </cell>
          <cell r="P1154" t="str">
            <v/>
          </cell>
          <cell r="Q1154" t="str">
            <v/>
          </cell>
          <cell r="R1154" t="e">
            <v>#N/A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-48.695057034220682</v>
          </cell>
          <cell r="F1155">
            <v>94.209885931560081</v>
          </cell>
          <cell r="G1155">
            <v>16.361977186311883</v>
          </cell>
          <cell r="H1155">
            <v>16.361977186311883</v>
          </cell>
          <cell r="I1155" t="e">
            <v>#N/A</v>
          </cell>
          <cell r="J1155" t="e">
            <v>#N/A</v>
          </cell>
          <cell r="K1155">
            <v>64.799999999999983</v>
          </cell>
          <cell r="L1155">
            <v>29.499999999999993</v>
          </cell>
          <cell r="M1155" t="e">
            <v>#N/A</v>
          </cell>
          <cell r="N1155">
            <v>47.6</v>
          </cell>
          <cell r="O1155" t="e">
            <v>#N/A</v>
          </cell>
          <cell r="P1155" t="str">
            <v/>
          </cell>
          <cell r="Q1155" t="str">
            <v/>
          </cell>
          <cell r="R1155" t="e">
            <v>#N/A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-48.848669201521062</v>
          </cell>
          <cell r="F1156">
            <v>94.302661596959325</v>
          </cell>
          <cell r="G1156">
            <v>16.320532319391731</v>
          </cell>
          <cell r="H1156">
            <v>16.320532319391731</v>
          </cell>
          <cell r="I1156" t="e">
            <v>#N/A</v>
          </cell>
          <cell r="J1156" t="e">
            <v>#N/A</v>
          </cell>
          <cell r="K1156">
            <v>64.799999999999983</v>
          </cell>
          <cell r="L1156">
            <v>29.499999999999993</v>
          </cell>
          <cell r="M1156" t="e">
            <v>#N/A</v>
          </cell>
          <cell r="N1156">
            <v>47.6</v>
          </cell>
          <cell r="O1156" t="e">
            <v>#N/A</v>
          </cell>
          <cell r="P1156" t="str">
            <v/>
          </cell>
          <cell r="Q1156" t="str">
            <v/>
          </cell>
          <cell r="R1156" t="e">
            <v>#N/A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-49.002281368821443</v>
          </cell>
          <cell r="F1157">
            <v>94.39543726235857</v>
          </cell>
          <cell r="G1157">
            <v>16.279087452471579</v>
          </cell>
          <cell r="H1157">
            <v>16.279087452471579</v>
          </cell>
          <cell r="I1157" t="e">
            <v>#N/A</v>
          </cell>
          <cell r="J1157" t="e">
            <v>#N/A</v>
          </cell>
          <cell r="K1157">
            <v>64.799999999999983</v>
          </cell>
          <cell r="L1157">
            <v>29.499999999999993</v>
          </cell>
          <cell r="M1157" t="e">
            <v>#N/A</v>
          </cell>
          <cell r="N1157">
            <v>47.6</v>
          </cell>
          <cell r="O1157" t="e">
            <v>#N/A</v>
          </cell>
          <cell r="P1157" t="str">
            <v/>
          </cell>
          <cell r="Q1157" t="str">
            <v/>
          </cell>
          <cell r="R1157" t="e">
            <v>#N/A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-49.155893536121823</v>
          </cell>
          <cell r="F1158">
            <v>94.488212927757814</v>
          </cell>
          <cell r="G1158">
            <v>16.237642585551427</v>
          </cell>
          <cell r="H1158">
            <v>16.237642585551427</v>
          </cell>
          <cell r="I1158" t="e">
            <v>#N/A</v>
          </cell>
          <cell r="J1158" t="e">
            <v>#N/A</v>
          </cell>
          <cell r="K1158">
            <v>64.799999999999983</v>
          </cell>
          <cell r="L1158">
            <v>29.499999999999993</v>
          </cell>
          <cell r="M1158" t="e">
            <v>#N/A</v>
          </cell>
          <cell r="N1158">
            <v>47.6</v>
          </cell>
          <cell r="O1158" t="e">
            <v>#N/A</v>
          </cell>
          <cell r="P1158" t="str">
            <v/>
          </cell>
          <cell r="Q1158" t="str">
            <v/>
          </cell>
          <cell r="R1158" t="e">
            <v>#N/A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-49.309505703422204</v>
          </cell>
          <cell r="F1159">
            <v>94.580988593157059</v>
          </cell>
          <cell r="G1159">
            <v>16.196197718631275</v>
          </cell>
          <cell r="H1159">
            <v>16.196197718631275</v>
          </cell>
          <cell r="I1159" t="e">
            <v>#N/A</v>
          </cell>
          <cell r="J1159" t="e">
            <v>#N/A</v>
          </cell>
          <cell r="K1159">
            <v>64.799999999999983</v>
          </cell>
          <cell r="L1159">
            <v>29.499999999999993</v>
          </cell>
          <cell r="M1159" t="e">
            <v>#N/A</v>
          </cell>
          <cell r="N1159">
            <v>47.6</v>
          </cell>
          <cell r="O1159" t="e">
            <v>#N/A</v>
          </cell>
          <cell r="P1159" t="str">
            <v/>
          </cell>
          <cell r="Q1159" t="str">
            <v/>
          </cell>
          <cell r="R1159" t="e">
            <v>#N/A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-49.463117870722584</v>
          </cell>
          <cell r="F1160">
            <v>94.673764258556304</v>
          </cell>
          <cell r="G1160">
            <v>16.154752851711123</v>
          </cell>
          <cell r="H1160">
            <v>16.154752851711123</v>
          </cell>
          <cell r="I1160" t="e">
            <v>#N/A</v>
          </cell>
          <cell r="J1160" t="e">
            <v>#N/A</v>
          </cell>
          <cell r="K1160">
            <v>64.799999999999983</v>
          </cell>
          <cell r="L1160">
            <v>29.499999999999993</v>
          </cell>
          <cell r="M1160" t="e">
            <v>#N/A</v>
          </cell>
          <cell r="N1160">
            <v>47.6</v>
          </cell>
          <cell r="O1160" t="e">
            <v>#N/A</v>
          </cell>
          <cell r="P1160" t="str">
            <v/>
          </cell>
          <cell r="Q1160" t="str">
            <v/>
          </cell>
          <cell r="R1160" t="e">
            <v>#N/A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-49.616730038022965</v>
          </cell>
          <cell r="F1161">
            <v>94.766539923955548</v>
          </cell>
          <cell r="G1161">
            <v>16.113307984790971</v>
          </cell>
          <cell r="H1161">
            <v>16.113307984790971</v>
          </cell>
          <cell r="I1161" t="e">
            <v>#N/A</v>
          </cell>
          <cell r="J1161" t="e">
            <v>#N/A</v>
          </cell>
          <cell r="K1161">
            <v>64.799999999999983</v>
          </cell>
          <cell r="L1161">
            <v>29.499999999999993</v>
          </cell>
          <cell r="M1161" t="e">
            <v>#N/A</v>
          </cell>
          <cell r="N1161">
            <v>47.6</v>
          </cell>
          <cell r="O1161" t="e">
            <v>#N/A</v>
          </cell>
          <cell r="P1161" t="str">
            <v/>
          </cell>
          <cell r="Q1161" t="str">
            <v/>
          </cell>
          <cell r="R1161" t="e">
            <v>#N/A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-49.770342205323345</v>
          </cell>
          <cell r="F1162">
            <v>94.859315589354793</v>
          </cell>
          <cell r="G1162">
            <v>16.071863117870819</v>
          </cell>
          <cell r="H1162">
            <v>16.071863117870819</v>
          </cell>
          <cell r="I1162" t="e">
            <v>#N/A</v>
          </cell>
          <cell r="J1162" t="e">
            <v>#N/A</v>
          </cell>
          <cell r="K1162">
            <v>64.799999999999983</v>
          </cell>
          <cell r="L1162">
            <v>29.499999999999993</v>
          </cell>
          <cell r="M1162" t="e">
            <v>#N/A</v>
          </cell>
          <cell r="N1162">
            <v>47.6</v>
          </cell>
          <cell r="O1162" t="e">
            <v>#N/A</v>
          </cell>
          <cell r="P1162" t="str">
            <v/>
          </cell>
          <cell r="Q1162" t="str">
            <v/>
          </cell>
          <cell r="R1162" t="e">
            <v>#N/A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-49.923954372623726</v>
          </cell>
          <cell r="F1163">
            <v>94.952091254754038</v>
          </cell>
          <cell r="G1163">
            <v>16.030418250950667</v>
          </cell>
          <cell r="H1163">
            <v>16.030418250950667</v>
          </cell>
          <cell r="I1163" t="e">
            <v>#N/A</v>
          </cell>
          <cell r="J1163" t="e">
            <v>#N/A</v>
          </cell>
          <cell r="K1163">
            <v>64.799999999999983</v>
          </cell>
          <cell r="L1163">
            <v>29.499999999999993</v>
          </cell>
          <cell r="M1163" t="e">
            <v>#N/A</v>
          </cell>
          <cell r="N1163">
            <v>47.6</v>
          </cell>
          <cell r="O1163" t="e">
            <v>#N/A</v>
          </cell>
          <cell r="P1163" t="str">
            <v/>
          </cell>
          <cell r="Q1163" t="str">
            <v/>
          </cell>
          <cell r="R1163" t="e">
            <v>#N/A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-50.077566539924106</v>
          </cell>
          <cell r="F1164">
            <v>95.044866920153282</v>
          </cell>
          <cell r="G1164">
            <v>15.988973384030515</v>
          </cell>
          <cell r="H1164">
            <v>15.988973384030515</v>
          </cell>
          <cell r="I1164" t="e">
            <v>#N/A</v>
          </cell>
          <cell r="J1164" t="e">
            <v>#N/A</v>
          </cell>
          <cell r="K1164">
            <v>64.799999999999983</v>
          </cell>
          <cell r="L1164">
            <v>29.499999999999993</v>
          </cell>
          <cell r="M1164" t="e">
            <v>#N/A</v>
          </cell>
          <cell r="N1164">
            <v>47.6</v>
          </cell>
          <cell r="O1164" t="e">
            <v>#N/A</v>
          </cell>
          <cell r="P1164" t="str">
            <v/>
          </cell>
          <cell r="Q1164" t="str">
            <v/>
          </cell>
          <cell r="R1164" t="e">
            <v>#N/A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-50.231178707224487</v>
          </cell>
          <cell r="F1165">
            <v>95.137642585552527</v>
          </cell>
          <cell r="G1165">
            <v>15.947528517110364</v>
          </cell>
          <cell r="H1165">
            <v>15.947528517110364</v>
          </cell>
          <cell r="I1165" t="e">
            <v>#N/A</v>
          </cell>
          <cell r="J1165" t="e">
            <v>#N/A</v>
          </cell>
          <cell r="K1165">
            <v>64.799999999999983</v>
          </cell>
          <cell r="L1165">
            <v>29.499999999999993</v>
          </cell>
          <cell r="M1165" t="e">
            <v>#N/A</v>
          </cell>
          <cell r="N1165">
            <v>47.6</v>
          </cell>
          <cell r="O1165" t="e">
            <v>#N/A</v>
          </cell>
          <cell r="P1165" t="str">
            <v/>
          </cell>
          <cell r="Q1165" t="str">
            <v/>
          </cell>
          <cell r="R1165" t="e">
            <v>#N/A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-50.384790874524867</v>
          </cell>
          <cell r="F1166">
            <v>95.230418250951772</v>
          </cell>
          <cell r="G1166">
            <v>15.906083650190212</v>
          </cell>
          <cell r="H1166">
            <v>15.906083650190212</v>
          </cell>
          <cell r="I1166" t="e">
            <v>#N/A</v>
          </cell>
          <cell r="J1166" t="e">
            <v>#N/A</v>
          </cell>
          <cell r="K1166">
            <v>64.799999999999983</v>
          </cell>
          <cell r="L1166">
            <v>29.499999999999993</v>
          </cell>
          <cell r="M1166" t="e">
            <v>#N/A</v>
          </cell>
          <cell r="N1166">
            <v>47.6</v>
          </cell>
          <cell r="O1166" t="e">
            <v>#N/A</v>
          </cell>
          <cell r="P1166" t="str">
            <v/>
          </cell>
          <cell r="Q1166" t="str">
            <v/>
          </cell>
          <cell r="R1166" t="e">
            <v>#N/A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-50.538403041825248</v>
          </cell>
          <cell r="F1167">
            <v>95.323193916351016</v>
          </cell>
          <cell r="G1167">
            <v>15.86463878327006</v>
          </cell>
          <cell r="H1167">
            <v>15.86463878327006</v>
          </cell>
          <cell r="I1167" t="e">
            <v>#N/A</v>
          </cell>
          <cell r="J1167" t="e">
            <v>#N/A</v>
          </cell>
          <cell r="K1167">
            <v>64.799999999999983</v>
          </cell>
          <cell r="L1167">
            <v>29.499999999999993</v>
          </cell>
          <cell r="M1167" t="e">
            <v>#N/A</v>
          </cell>
          <cell r="N1167">
            <v>47.6</v>
          </cell>
          <cell r="O1167" t="e">
            <v>#N/A</v>
          </cell>
          <cell r="P1167" t="str">
            <v/>
          </cell>
          <cell r="Q1167" t="str">
            <v/>
          </cell>
          <cell r="R1167" t="e">
            <v>#N/A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-50.692015209125628</v>
          </cell>
          <cell r="F1168">
            <v>95.415969581750261</v>
          </cell>
          <cell r="G1168">
            <v>15.823193916349908</v>
          </cell>
          <cell r="H1168">
            <v>15.823193916349908</v>
          </cell>
          <cell r="I1168" t="e">
            <v>#N/A</v>
          </cell>
          <cell r="J1168" t="e">
            <v>#N/A</v>
          </cell>
          <cell r="K1168">
            <v>64.799999999999983</v>
          </cell>
          <cell r="L1168">
            <v>29.499999999999993</v>
          </cell>
          <cell r="M1168" t="e">
            <v>#N/A</v>
          </cell>
          <cell r="N1168">
            <v>47.6</v>
          </cell>
          <cell r="O1168" t="e">
            <v>#N/A</v>
          </cell>
          <cell r="P1168" t="str">
            <v/>
          </cell>
          <cell r="Q1168" t="str">
            <v/>
          </cell>
          <cell r="R1168" t="e">
            <v>#N/A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-50.845627376426009</v>
          </cell>
          <cell r="F1169">
            <v>95.508745247149506</v>
          </cell>
          <cell r="G1169">
            <v>15.781749049429756</v>
          </cell>
          <cell r="H1169">
            <v>15.781749049429756</v>
          </cell>
          <cell r="I1169" t="e">
            <v>#N/A</v>
          </cell>
          <cell r="J1169" t="e">
            <v>#N/A</v>
          </cell>
          <cell r="K1169">
            <v>64.799999999999983</v>
          </cell>
          <cell r="L1169">
            <v>29.499999999999993</v>
          </cell>
          <cell r="M1169" t="e">
            <v>#N/A</v>
          </cell>
          <cell r="N1169">
            <v>47.6</v>
          </cell>
          <cell r="O1169" t="e">
            <v>#N/A</v>
          </cell>
          <cell r="P1169" t="str">
            <v/>
          </cell>
          <cell r="Q1169" t="str">
            <v/>
          </cell>
          <cell r="R1169" t="e">
            <v>#N/A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-50.999239543726389</v>
          </cell>
          <cell r="F1170">
            <v>95.60152091254875</v>
          </cell>
          <cell r="G1170">
            <v>15.740304182509604</v>
          </cell>
          <cell r="H1170">
            <v>15.740304182509604</v>
          </cell>
          <cell r="I1170" t="e">
            <v>#N/A</v>
          </cell>
          <cell r="J1170" t="e">
            <v>#N/A</v>
          </cell>
          <cell r="K1170">
            <v>64.799999999999983</v>
          </cell>
          <cell r="L1170">
            <v>29.499999999999993</v>
          </cell>
          <cell r="M1170" t="e">
            <v>#N/A</v>
          </cell>
          <cell r="N1170">
            <v>47.6</v>
          </cell>
          <cell r="O1170" t="e">
            <v>#N/A</v>
          </cell>
          <cell r="P1170" t="str">
            <v/>
          </cell>
          <cell r="Q1170" t="str">
            <v/>
          </cell>
          <cell r="R1170" t="e">
            <v>#N/A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-51.15285171102677</v>
          </cell>
          <cell r="F1171">
            <v>95.694296577947995</v>
          </cell>
          <cell r="G1171">
            <v>15.698859315589452</v>
          </cell>
          <cell r="H1171">
            <v>15.698859315589452</v>
          </cell>
          <cell r="I1171" t="e">
            <v>#N/A</v>
          </cell>
          <cell r="J1171" t="e">
            <v>#N/A</v>
          </cell>
          <cell r="K1171">
            <v>64.799999999999983</v>
          </cell>
          <cell r="L1171">
            <v>29.499999999999993</v>
          </cell>
          <cell r="M1171" t="e">
            <v>#N/A</v>
          </cell>
          <cell r="N1171">
            <v>47.6</v>
          </cell>
          <cell r="O1171" t="e">
            <v>#N/A</v>
          </cell>
          <cell r="P1171" t="str">
            <v/>
          </cell>
          <cell r="Q1171" t="str">
            <v/>
          </cell>
          <cell r="R1171" t="e">
            <v>#N/A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-51.30646387832715</v>
          </cell>
          <cell r="F1172">
            <v>95.787072243347239</v>
          </cell>
          <cell r="G1172">
            <v>15.6574144486693</v>
          </cell>
          <cell r="H1172">
            <v>15.6574144486693</v>
          </cell>
          <cell r="I1172" t="e">
            <v>#N/A</v>
          </cell>
          <cell r="J1172" t="e">
            <v>#N/A</v>
          </cell>
          <cell r="K1172">
            <v>64.799999999999983</v>
          </cell>
          <cell r="L1172">
            <v>29.499999999999993</v>
          </cell>
          <cell r="M1172" t="e">
            <v>#N/A</v>
          </cell>
          <cell r="N1172">
            <v>47.6</v>
          </cell>
          <cell r="O1172" t="e">
            <v>#N/A</v>
          </cell>
          <cell r="P1172" t="str">
            <v/>
          </cell>
          <cell r="Q1172" t="str">
            <v/>
          </cell>
          <cell r="R1172" t="e">
            <v>#N/A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-51.460076045627531</v>
          </cell>
          <cell r="F1173">
            <v>95.879847908746484</v>
          </cell>
          <cell r="G1173">
            <v>15.615969581749148</v>
          </cell>
          <cell r="H1173">
            <v>15.615969581749148</v>
          </cell>
          <cell r="I1173" t="e">
            <v>#N/A</v>
          </cell>
          <cell r="J1173" t="e">
            <v>#N/A</v>
          </cell>
          <cell r="K1173">
            <v>64.799999999999983</v>
          </cell>
          <cell r="L1173">
            <v>29.499999999999993</v>
          </cell>
          <cell r="M1173" t="e">
            <v>#N/A</v>
          </cell>
          <cell r="N1173">
            <v>47.6</v>
          </cell>
          <cell r="O1173" t="e">
            <v>#N/A</v>
          </cell>
          <cell r="P1173" t="str">
            <v/>
          </cell>
          <cell r="Q1173" t="str">
            <v/>
          </cell>
          <cell r="R1173" t="e">
            <v>#N/A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-51.613688212927912</v>
          </cell>
          <cell r="F1174">
            <v>95.972623574145729</v>
          </cell>
          <cell r="G1174">
            <v>15.574524714828996</v>
          </cell>
          <cell r="H1174">
            <v>15.574524714828996</v>
          </cell>
          <cell r="I1174" t="e">
            <v>#N/A</v>
          </cell>
          <cell r="J1174" t="e">
            <v>#N/A</v>
          </cell>
          <cell r="K1174">
            <v>64.799999999999983</v>
          </cell>
          <cell r="L1174">
            <v>29.499999999999993</v>
          </cell>
          <cell r="M1174" t="e">
            <v>#N/A</v>
          </cell>
          <cell r="N1174">
            <v>47.6</v>
          </cell>
          <cell r="O1174" t="e">
            <v>#N/A</v>
          </cell>
          <cell r="P1174" t="str">
            <v/>
          </cell>
          <cell r="Q1174" t="str">
            <v/>
          </cell>
          <cell r="R1174" t="e">
            <v>#N/A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-51.767300380228292</v>
          </cell>
          <cell r="F1175">
            <v>96.065399239544973</v>
          </cell>
          <cell r="G1175">
            <v>15.533079847908844</v>
          </cell>
          <cell r="H1175">
            <v>15.533079847908844</v>
          </cell>
          <cell r="I1175" t="e">
            <v>#N/A</v>
          </cell>
          <cell r="J1175" t="e">
            <v>#N/A</v>
          </cell>
          <cell r="K1175">
            <v>64.799999999999983</v>
          </cell>
          <cell r="L1175">
            <v>29.499999999999993</v>
          </cell>
          <cell r="M1175" t="e">
            <v>#N/A</v>
          </cell>
          <cell r="N1175">
            <v>47.6</v>
          </cell>
          <cell r="O1175" t="e">
            <v>#N/A</v>
          </cell>
          <cell r="P1175" t="str">
            <v/>
          </cell>
          <cell r="Q1175" t="str">
            <v/>
          </cell>
          <cell r="R1175" t="e">
            <v>#N/A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-51.920912547528673</v>
          </cell>
          <cell r="F1176">
            <v>96.158174904944218</v>
          </cell>
          <cell r="G1176">
            <v>15.491634980988692</v>
          </cell>
          <cell r="H1176">
            <v>15.491634980988692</v>
          </cell>
          <cell r="I1176" t="e">
            <v>#N/A</v>
          </cell>
          <cell r="J1176" t="e">
            <v>#N/A</v>
          </cell>
          <cell r="K1176">
            <v>64.799999999999983</v>
          </cell>
          <cell r="L1176">
            <v>29.499999999999993</v>
          </cell>
          <cell r="M1176" t="e">
            <v>#N/A</v>
          </cell>
          <cell r="N1176">
            <v>47.6</v>
          </cell>
          <cell r="O1176" t="e">
            <v>#N/A</v>
          </cell>
          <cell r="P1176" t="str">
            <v/>
          </cell>
          <cell r="Q1176" t="str">
            <v/>
          </cell>
          <cell r="R1176" t="e">
            <v>#N/A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-52.074524714829053</v>
          </cell>
          <cell r="F1177">
            <v>96.250950570343463</v>
          </cell>
          <cell r="G1177">
            <v>15.45019011406854</v>
          </cell>
          <cell r="H1177">
            <v>15.45019011406854</v>
          </cell>
          <cell r="I1177" t="e">
            <v>#N/A</v>
          </cell>
          <cell r="J1177" t="e">
            <v>#N/A</v>
          </cell>
          <cell r="K1177">
            <v>64.799999999999983</v>
          </cell>
          <cell r="L1177">
            <v>29.499999999999993</v>
          </cell>
          <cell r="M1177" t="e">
            <v>#N/A</v>
          </cell>
          <cell r="N1177">
            <v>47.6</v>
          </cell>
          <cell r="O1177" t="e">
            <v>#N/A</v>
          </cell>
          <cell r="P1177" t="str">
            <v/>
          </cell>
          <cell r="Q1177" t="str">
            <v/>
          </cell>
          <cell r="R1177" t="e">
            <v>#N/A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-52.228136882129434</v>
          </cell>
          <cell r="F1178">
            <v>96.343726235742707</v>
          </cell>
          <cell r="G1178">
            <v>15.408745247148389</v>
          </cell>
          <cell r="H1178">
            <v>15.408745247148389</v>
          </cell>
          <cell r="I1178" t="e">
            <v>#N/A</v>
          </cell>
          <cell r="J1178" t="e">
            <v>#N/A</v>
          </cell>
          <cell r="K1178">
            <v>64.799999999999983</v>
          </cell>
          <cell r="L1178">
            <v>29.499999999999993</v>
          </cell>
          <cell r="M1178" t="e">
            <v>#N/A</v>
          </cell>
          <cell r="N1178">
            <v>47.6</v>
          </cell>
          <cell r="O1178" t="e">
            <v>#N/A</v>
          </cell>
          <cell r="P1178" t="str">
            <v/>
          </cell>
          <cell r="Q1178" t="str">
            <v/>
          </cell>
          <cell r="R1178" t="e">
            <v>#N/A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-52.381749049429814</v>
          </cell>
          <cell r="F1179">
            <v>96.436501901141952</v>
          </cell>
          <cell r="G1179">
            <v>15.367300380228237</v>
          </cell>
          <cell r="H1179">
            <v>15.367300380228237</v>
          </cell>
          <cell r="I1179" t="e">
            <v>#N/A</v>
          </cell>
          <cell r="J1179" t="e">
            <v>#N/A</v>
          </cell>
          <cell r="K1179">
            <v>64.799999999999983</v>
          </cell>
          <cell r="L1179">
            <v>29.499999999999993</v>
          </cell>
          <cell r="M1179" t="e">
            <v>#N/A</v>
          </cell>
          <cell r="N1179">
            <v>47.6</v>
          </cell>
          <cell r="O1179" t="e">
            <v>#N/A</v>
          </cell>
          <cell r="P1179" t="str">
            <v/>
          </cell>
          <cell r="Q1179" t="str">
            <v/>
          </cell>
          <cell r="R1179" t="e">
            <v>#N/A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-52.535361216730195</v>
          </cell>
          <cell r="F1180">
            <v>96.529277566541197</v>
          </cell>
          <cell r="G1180">
            <v>15.325855513308085</v>
          </cell>
          <cell r="H1180">
            <v>15.325855513308085</v>
          </cell>
          <cell r="I1180" t="e">
            <v>#N/A</v>
          </cell>
          <cell r="J1180" t="e">
            <v>#N/A</v>
          </cell>
          <cell r="K1180">
            <v>64.799999999999983</v>
          </cell>
          <cell r="L1180">
            <v>29.499999999999993</v>
          </cell>
          <cell r="M1180" t="e">
            <v>#N/A</v>
          </cell>
          <cell r="N1180">
            <v>47.6</v>
          </cell>
          <cell r="O1180" t="e">
            <v>#N/A</v>
          </cell>
          <cell r="P1180" t="str">
            <v/>
          </cell>
          <cell r="Q1180" t="str">
            <v/>
          </cell>
          <cell r="R1180" t="e">
            <v>#N/A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-52.688973384030575</v>
          </cell>
          <cell r="F1181">
            <v>96.622053231940441</v>
          </cell>
          <cell r="G1181">
            <v>15.284410646387933</v>
          </cell>
          <cell r="H1181">
            <v>15.284410646387933</v>
          </cell>
          <cell r="I1181" t="e">
            <v>#N/A</v>
          </cell>
          <cell r="J1181" t="e">
            <v>#N/A</v>
          </cell>
          <cell r="K1181">
            <v>64.799999999999983</v>
          </cell>
          <cell r="L1181">
            <v>29.499999999999993</v>
          </cell>
          <cell r="M1181" t="e">
            <v>#N/A</v>
          </cell>
          <cell r="N1181">
            <v>47.6</v>
          </cell>
          <cell r="O1181" t="e">
            <v>#N/A</v>
          </cell>
          <cell r="P1181" t="str">
            <v/>
          </cell>
          <cell r="Q1181" t="str">
            <v/>
          </cell>
          <cell r="R1181" t="e">
            <v>#N/A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-52.842585551330956</v>
          </cell>
          <cell r="F1182">
            <v>96.714828897339686</v>
          </cell>
          <cell r="G1182">
            <v>15.242965779467781</v>
          </cell>
          <cell r="H1182">
            <v>15.242965779467781</v>
          </cell>
          <cell r="I1182" t="e">
            <v>#N/A</v>
          </cell>
          <cell r="J1182" t="e">
            <v>#N/A</v>
          </cell>
          <cell r="K1182">
            <v>64.799999999999983</v>
          </cell>
          <cell r="L1182">
            <v>29.499999999999993</v>
          </cell>
          <cell r="M1182" t="e">
            <v>#N/A</v>
          </cell>
          <cell r="N1182">
            <v>47.6</v>
          </cell>
          <cell r="O1182" t="e">
            <v>#N/A</v>
          </cell>
          <cell r="P1182" t="str">
            <v/>
          </cell>
          <cell r="Q1182" t="str">
            <v/>
          </cell>
          <cell r="R1182" t="e">
            <v>#N/A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-52.996197718631336</v>
          </cell>
          <cell r="F1183">
            <v>96.807604562738931</v>
          </cell>
          <cell r="G1183">
            <v>15.201520912547629</v>
          </cell>
          <cell r="H1183">
            <v>15.201520912547629</v>
          </cell>
          <cell r="I1183" t="e">
            <v>#N/A</v>
          </cell>
          <cell r="J1183" t="e">
            <v>#N/A</v>
          </cell>
          <cell r="K1183">
            <v>64.799999999999983</v>
          </cell>
          <cell r="L1183">
            <v>29.499999999999993</v>
          </cell>
          <cell r="M1183" t="e">
            <v>#N/A</v>
          </cell>
          <cell r="N1183">
            <v>47.6</v>
          </cell>
          <cell r="O1183" t="e">
            <v>#N/A</v>
          </cell>
          <cell r="P1183" t="str">
            <v/>
          </cell>
          <cell r="Q1183" t="str">
            <v/>
          </cell>
          <cell r="R1183" t="e">
            <v>#N/A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-53.149809885931717</v>
          </cell>
          <cell r="F1184">
            <v>96.900380228138175</v>
          </cell>
          <cell r="G1184">
            <v>15.160076045627477</v>
          </cell>
          <cell r="H1184">
            <v>15.160076045627477</v>
          </cell>
          <cell r="I1184" t="e">
            <v>#N/A</v>
          </cell>
          <cell r="J1184" t="e">
            <v>#N/A</v>
          </cell>
          <cell r="K1184">
            <v>64.799999999999983</v>
          </cell>
          <cell r="L1184">
            <v>29.499999999999993</v>
          </cell>
          <cell r="M1184" t="e">
            <v>#N/A</v>
          </cell>
          <cell r="N1184">
            <v>47.6</v>
          </cell>
          <cell r="O1184" t="e">
            <v>#N/A</v>
          </cell>
          <cell r="P1184" t="str">
            <v/>
          </cell>
          <cell r="Q1184" t="str">
            <v/>
          </cell>
          <cell r="R1184" t="e">
            <v>#N/A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-53.303422053232097</v>
          </cell>
          <cell r="F1185">
            <v>96.99315589353742</v>
          </cell>
          <cell r="G1185">
            <v>15.118631178707325</v>
          </cell>
          <cell r="H1185">
            <v>15.118631178707325</v>
          </cell>
          <cell r="I1185" t="e">
            <v>#N/A</v>
          </cell>
          <cell r="J1185" t="e">
            <v>#N/A</v>
          </cell>
          <cell r="K1185">
            <v>64.799999999999983</v>
          </cell>
          <cell r="L1185">
            <v>29.499999999999993</v>
          </cell>
          <cell r="M1185" t="e">
            <v>#N/A</v>
          </cell>
          <cell r="N1185">
            <v>47.6</v>
          </cell>
          <cell r="O1185" t="e">
            <v>#N/A</v>
          </cell>
          <cell r="P1185" t="str">
            <v/>
          </cell>
          <cell r="Q1185" t="str">
            <v/>
          </cell>
          <cell r="R1185" t="e">
            <v>#N/A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-53.457034220532478</v>
          </cell>
          <cell r="F1186">
            <v>97.085931558936664</v>
          </cell>
          <cell r="G1186">
            <v>15.077186311787173</v>
          </cell>
          <cell r="H1186">
            <v>15.077186311787173</v>
          </cell>
          <cell r="I1186" t="e">
            <v>#N/A</v>
          </cell>
          <cell r="J1186" t="e">
            <v>#N/A</v>
          </cell>
          <cell r="K1186">
            <v>64.799999999999983</v>
          </cell>
          <cell r="L1186">
            <v>29.499999999999993</v>
          </cell>
          <cell r="M1186" t="e">
            <v>#N/A</v>
          </cell>
          <cell r="N1186">
            <v>47.6</v>
          </cell>
          <cell r="O1186" t="e">
            <v>#N/A</v>
          </cell>
          <cell r="P1186" t="str">
            <v/>
          </cell>
          <cell r="Q1186" t="str">
            <v/>
          </cell>
          <cell r="R1186" t="e">
            <v>#N/A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-53.610646387832858</v>
          </cell>
          <cell r="F1187">
            <v>97.178707224335909</v>
          </cell>
          <cell r="G1187">
            <v>15.035741444867021</v>
          </cell>
          <cell r="H1187">
            <v>15.035741444867021</v>
          </cell>
          <cell r="I1187" t="e">
            <v>#N/A</v>
          </cell>
          <cell r="J1187" t="e">
            <v>#N/A</v>
          </cell>
          <cell r="K1187">
            <v>64.799999999999983</v>
          </cell>
          <cell r="L1187">
            <v>29.499999999999993</v>
          </cell>
          <cell r="M1187" t="e">
            <v>#N/A</v>
          </cell>
          <cell r="N1187">
            <v>47.6</v>
          </cell>
          <cell r="O1187" t="e">
            <v>#N/A</v>
          </cell>
          <cell r="P1187" t="str">
            <v/>
          </cell>
          <cell r="Q1187" t="str">
            <v/>
          </cell>
          <cell r="R1187" t="e">
            <v>#N/A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-53.764258555133239</v>
          </cell>
          <cell r="F1188">
            <v>97.271482889735154</v>
          </cell>
          <cell r="G1188">
            <v>14.994296577946869</v>
          </cell>
          <cell r="H1188">
            <v>14.994296577946869</v>
          </cell>
          <cell r="I1188" t="e">
            <v>#N/A</v>
          </cell>
          <cell r="J1188" t="e">
            <v>#N/A</v>
          </cell>
          <cell r="K1188">
            <v>64.799999999999983</v>
          </cell>
          <cell r="L1188">
            <v>29.499999999999993</v>
          </cell>
          <cell r="M1188" t="e">
            <v>#N/A</v>
          </cell>
          <cell r="N1188">
            <v>47.6</v>
          </cell>
          <cell r="O1188" t="e">
            <v>#N/A</v>
          </cell>
          <cell r="P1188" t="str">
            <v/>
          </cell>
          <cell r="Q1188" t="str">
            <v/>
          </cell>
          <cell r="R1188" t="e">
            <v>#N/A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-53.917870722433619</v>
          </cell>
          <cell r="F1189">
            <v>97.364258555134398</v>
          </cell>
          <cell r="G1189">
            <v>14.952851711026717</v>
          </cell>
          <cell r="H1189">
            <v>14.952851711026717</v>
          </cell>
          <cell r="I1189" t="e">
            <v>#N/A</v>
          </cell>
          <cell r="J1189" t="e">
            <v>#N/A</v>
          </cell>
          <cell r="K1189">
            <v>64.799999999999983</v>
          </cell>
          <cell r="L1189">
            <v>29.499999999999993</v>
          </cell>
          <cell r="M1189" t="e">
            <v>#N/A</v>
          </cell>
          <cell r="N1189">
            <v>47.6</v>
          </cell>
          <cell r="O1189" t="e">
            <v>#N/A</v>
          </cell>
          <cell r="P1189" t="str">
            <v/>
          </cell>
          <cell r="Q1189" t="str">
            <v/>
          </cell>
          <cell r="R1189" t="e">
            <v>#N/A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-54.071482889734</v>
          </cell>
          <cell r="F1190">
            <v>97.457034220533643</v>
          </cell>
          <cell r="G1190">
            <v>14.911406844106565</v>
          </cell>
          <cell r="H1190">
            <v>14.911406844106565</v>
          </cell>
          <cell r="I1190" t="e">
            <v>#N/A</v>
          </cell>
          <cell r="J1190" t="e">
            <v>#N/A</v>
          </cell>
          <cell r="K1190">
            <v>64.799999999999983</v>
          </cell>
          <cell r="L1190">
            <v>29.499999999999993</v>
          </cell>
          <cell r="M1190" t="e">
            <v>#N/A</v>
          </cell>
          <cell r="N1190">
            <v>47.6</v>
          </cell>
          <cell r="O1190" t="e">
            <v>#N/A</v>
          </cell>
          <cell r="P1190" t="str">
            <v/>
          </cell>
          <cell r="Q1190" t="str">
            <v/>
          </cell>
          <cell r="R1190" t="e">
            <v>#N/A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-54.22509505703438</v>
          </cell>
          <cell r="F1191">
            <v>97.549809885932888</v>
          </cell>
          <cell r="G1191">
            <v>14.869961977186414</v>
          </cell>
          <cell r="H1191">
            <v>14.869961977186414</v>
          </cell>
          <cell r="I1191" t="e">
            <v>#N/A</v>
          </cell>
          <cell r="J1191" t="e">
            <v>#N/A</v>
          </cell>
          <cell r="K1191">
            <v>64.799999999999983</v>
          </cell>
          <cell r="L1191">
            <v>29.499999999999993</v>
          </cell>
          <cell r="M1191" t="e">
            <v>#N/A</v>
          </cell>
          <cell r="N1191">
            <v>47.6</v>
          </cell>
          <cell r="O1191" t="e">
            <v>#N/A</v>
          </cell>
          <cell r="P1191" t="str">
            <v/>
          </cell>
          <cell r="Q1191" t="str">
            <v/>
          </cell>
          <cell r="R1191" t="e">
            <v>#N/A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-54.378707224334761</v>
          </cell>
          <cell r="F1192">
            <v>97.642585551332132</v>
          </cell>
          <cell r="G1192">
            <v>14.828517110266262</v>
          </cell>
          <cell r="H1192">
            <v>14.828517110266262</v>
          </cell>
          <cell r="I1192" t="e">
            <v>#N/A</v>
          </cell>
          <cell r="J1192" t="e">
            <v>#N/A</v>
          </cell>
          <cell r="K1192">
            <v>64.799999999999983</v>
          </cell>
          <cell r="L1192">
            <v>29.499999999999993</v>
          </cell>
          <cell r="M1192" t="e">
            <v>#N/A</v>
          </cell>
          <cell r="N1192">
            <v>47.6</v>
          </cell>
          <cell r="O1192" t="e">
            <v>#N/A</v>
          </cell>
          <cell r="P1192" t="str">
            <v/>
          </cell>
          <cell r="Q1192" t="str">
            <v/>
          </cell>
          <cell r="R1192" t="e">
            <v>#N/A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-54.532319391635141</v>
          </cell>
          <cell r="F1193">
            <v>97.735361216731377</v>
          </cell>
          <cell r="G1193">
            <v>14.78707224334611</v>
          </cell>
          <cell r="H1193">
            <v>14.78707224334611</v>
          </cell>
          <cell r="I1193" t="e">
            <v>#N/A</v>
          </cell>
          <cell r="J1193" t="e">
            <v>#N/A</v>
          </cell>
          <cell r="K1193">
            <v>64.799999999999983</v>
          </cell>
          <cell r="L1193">
            <v>29.499999999999993</v>
          </cell>
          <cell r="M1193" t="e">
            <v>#N/A</v>
          </cell>
          <cell r="N1193">
            <v>47.6</v>
          </cell>
          <cell r="O1193" t="e">
            <v>#N/A</v>
          </cell>
          <cell r="P1193" t="str">
            <v/>
          </cell>
          <cell r="Q1193" t="str">
            <v/>
          </cell>
          <cell r="R1193" t="e">
            <v>#N/A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-54.685931558935522</v>
          </cell>
          <cell r="F1194">
            <v>97.828136882130622</v>
          </cell>
          <cell r="G1194">
            <v>14.745627376425958</v>
          </cell>
          <cell r="H1194">
            <v>14.745627376425958</v>
          </cell>
          <cell r="I1194" t="e">
            <v>#N/A</v>
          </cell>
          <cell r="J1194" t="e">
            <v>#N/A</v>
          </cell>
          <cell r="K1194">
            <v>64.799999999999983</v>
          </cell>
          <cell r="L1194">
            <v>29.499999999999993</v>
          </cell>
          <cell r="M1194" t="e">
            <v>#N/A</v>
          </cell>
          <cell r="N1194">
            <v>47.6</v>
          </cell>
          <cell r="O1194" t="e">
            <v>#N/A</v>
          </cell>
          <cell r="P1194" t="str">
            <v/>
          </cell>
          <cell r="Q1194" t="str">
            <v/>
          </cell>
          <cell r="R1194" t="e">
            <v>#N/A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-54.839543726235902</v>
          </cell>
          <cell r="F1195">
            <v>97.920912547529866</v>
          </cell>
          <cell r="G1195">
            <v>14.704182509505806</v>
          </cell>
          <cell r="H1195">
            <v>14.704182509505806</v>
          </cell>
          <cell r="I1195" t="e">
            <v>#N/A</v>
          </cell>
          <cell r="J1195" t="e">
            <v>#N/A</v>
          </cell>
          <cell r="K1195">
            <v>64.799999999999983</v>
          </cell>
          <cell r="L1195">
            <v>29.499999999999993</v>
          </cell>
          <cell r="M1195" t="e">
            <v>#N/A</v>
          </cell>
          <cell r="N1195">
            <v>47.6</v>
          </cell>
          <cell r="O1195" t="e">
            <v>#N/A</v>
          </cell>
          <cell r="P1195" t="str">
            <v/>
          </cell>
          <cell r="Q1195" t="str">
            <v/>
          </cell>
          <cell r="R1195" t="e">
            <v>#N/A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-54.993155893536283</v>
          </cell>
          <cell r="F1196">
            <v>98.013688212929111</v>
          </cell>
          <cell r="G1196">
            <v>14.662737642585654</v>
          </cell>
          <cell r="H1196">
            <v>14.662737642585654</v>
          </cell>
          <cell r="I1196" t="e">
            <v>#N/A</v>
          </cell>
          <cell r="J1196" t="e">
            <v>#N/A</v>
          </cell>
          <cell r="K1196">
            <v>64.799999999999983</v>
          </cell>
          <cell r="L1196">
            <v>29.499999999999993</v>
          </cell>
          <cell r="M1196" t="e">
            <v>#N/A</v>
          </cell>
          <cell r="N1196">
            <v>47.6</v>
          </cell>
          <cell r="O1196" t="e">
            <v>#N/A</v>
          </cell>
          <cell r="P1196" t="str">
            <v/>
          </cell>
          <cell r="Q1196" t="str">
            <v/>
          </cell>
          <cell r="R1196" t="e">
            <v>#N/A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-55.146768060836663</v>
          </cell>
          <cell r="F1197">
            <v>98.106463878328356</v>
          </cell>
          <cell r="G1197">
            <v>14.621292775665502</v>
          </cell>
          <cell r="H1197">
            <v>14.621292775665502</v>
          </cell>
          <cell r="I1197" t="e">
            <v>#N/A</v>
          </cell>
          <cell r="J1197" t="e">
            <v>#N/A</v>
          </cell>
          <cell r="K1197">
            <v>64.799999999999983</v>
          </cell>
          <cell r="L1197">
            <v>29.499999999999993</v>
          </cell>
          <cell r="M1197" t="e">
            <v>#N/A</v>
          </cell>
          <cell r="N1197">
            <v>47.6</v>
          </cell>
          <cell r="O1197" t="e">
            <v>#N/A</v>
          </cell>
          <cell r="P1197" t="str">
            <v/>
          </cell>
          <cell r="Q1197" t="str">
            <v/>
          </cell>
          <cell r="R1197" t="e">
            <v>#N/A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-55.300380228137044</v>
          </cell>
          <cell r="F1198">
            <v>98.1992395437276</v>
          </cell>
          <cell r="G1198">
            <v>14.57984790874535</v>
          </cell>
          <cell r="H1198">
            <v>14.57984790874535</v>
          </cell>
          <cell r="I1198" t="e">
            <v>#N/A</v>
          </cell>
          <cell r="J1198" t="e">
            <v>#N/A</v>
          </cell>
          <cell r="K1198">
            <v>64.799999999999983</v>
          </cell>
          <cell r="L1198">
            <v>29.499999999999993</v>
          </cell>
          <cell r="M1198" t="e">
            <v>#N/A</v>
          </cell>
          <cell r="N1198">
            <v>47.6</v>
          </cell>
          <cell r="O1198" t="e">
            <v>#N/A</v>
          </cell>
          <cell r="P1198" t="str">
            <v/>
          </cell>
          <cell r="Q1198" t="str">
            <v/>
          </cell>
          <cell r="R1198" t="e">
            <v>#N/A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-55.453992395437425</v>
          </cell>
          <cell r="F1199">
            <v>98.292015209126845</v>
          </cell>
          <cell r="G1199">
            <v>14.538403041825198</v>
          </cell>
          <cell r="H1199">
            <v>14.538403041825198</v>
          </cell>
          <cell r="I1199" t="e">
            <v>#N/A</v>
          </cell>
          <cell r="J1199" t="e">
            <v>#N/A</v>
          </cell>
          <cell r="K1199">
            <v>64.799999999999983</v>
          </cell>
          <cell r="L1199">
            <v>29.499999999999993</v>
          </cell>
          <cell r="M1199" t="e">
            <v>#N/A</v>
          </cell>
          <cell r="N1199">
            <v>47.6</v>
          </cell>
          <cell r="O1199" t="e">
            <v>#N/A</v>
          </cell>
          <cell r="P1199" t="str">
            <v/>
          </cell>
          <cell r="Q1199" t="str">
            <v/>
          </cell>
          <cell r="R1199" t="e">
            <v>#N/A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-55.607604562737805</v>
          </cell>
          <cell r="F1200">
            <v>98.38479087452609</v>
          </cell>
          <cell r="G1200">
            <v>14.496958174905046</v>
          </cell>
          <cell r="H1200">
            <v>14.496958174905046</v>
          </cell>
          <cell r="I1200" t="e">
            <v>#N/A</v>
          </cell>
          <cell r="J1200" t="e">
            <v>#N/A</v>
          </cell>
          <cell r="K1200">
            <v>64.799999999999983</v>
          </cell>
          <cell r="L1200">
            <v>29.499999999999993</v>
          </cell>
          <cell r="M1200" t="e">
            <v>#N/A</v>
          </cell>
          <cell r="N1200">
            <v>47.6</v>
          </cell>
          <cell r="O1200" t="e">
            <v>#N/A</v>
          </cell>
          <cell r="P1200" t="str">
            <v/>
          </cell>
          <cell r="Q1200" t="str">
            <v/>
          </cell>
          <cell r="R1200" t="e">
            <v>#N/A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-55.761216730038186</v>
          </cell>
          <cell r="F1201">
            <v>98.477566539925334</v>
          </cell>
          <cell r="G1201">
            <v>14.455513307984894</v>
          </cell>
          <cell r="H1201">
            <v>14.455513307984894</v>
          </cell>
          <cell r="I1201" t="e">
            <v>#N/A</v>
          </cell>
          <cell r="J1201" t="e">
            <v>#N/A</v>
          </cell>
          <cell r="K1201">
            <v>64.799999999999983</v>
          </cell>
          <cell r="L1201">
            <v>29.499999999999993</v>
          </cell>
          <cell r="M1201" t="e">
            <v>#N/A</v>
          </cell>
          <cell r="N1201">
            <v>47.6</v>
          </cell>
          <cell r="O1201" t="e">
            <v>#N/A</v>
          </cell>
          <cell r="P1201" t="str">
            <v/>
          </cell>
          <cell r="Q1201" t="str">
            <v/>
          </cell>
          <cell r="R1201" t="e">
            <v>#N/A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-55.914828897338566</v>
          </cell>
          <cell r="F1202">
            <v>98.570342205324579</v>
          </cell>
          <cell r="G1202">
            <v>14.414068441064742</v>
          </cell>
          <cell r="H1202">
            <v>14.414068441064742</v>
          </cell>
          <cell r="I1202" t="e">
            <v>#N/A</v>
          </cell>
          <cell r="J1202" t="e">
            <v>#N/A</v>
          </cell>
          <cell r="K1202">
            <v>64.799999999999983</v>
          </cell>
          <cell r="L1202">
            <v>29.499999999999993</v>
          </cell>
          <cell r="M1202" t="e">
            <v>#N/A</v>
          </cell>
          <cell r="N1202">
            <v>47.6</v>
          </cell>
          <cell r="O1202" t="e">
            <v>#N/A</v>
          </cell>
          <cell r="P1202" t="str">
            <v/>
          </cell>
          <cell r="Q1202" t="str">
            <v/>
          </cell>
          <cell r="R1202" t="e">
            <v>#N/A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-56.068441064638947</v>
          </cell>
          <cell r="F1203">
            <v>98.663117870723823</v>
          </cell>
          <cell r="G1203">
            <v>14.37262357414459</v>
          </cell>
          <cell r="H1203">
            <v>14.37262357414459</v>
          </cell>
          <cell r="I1203" t="e">
            <v>#N/A</v>
          </cell>
          <cell r="J1203" t="e">
            <v>#N/A</v>
          </cell>
          <cell r="K1203">
            <v>64.799999999999983</v>
          </cell>
          <cell r="L1203">
            <v>29.499999999999993</v>
          </cell>
          <cell r="M1203" t="e">
            <v>#N/A</v>
          </cell>
          <cell r="N1203">
            <v>47.6</v>
          </cell>
          <cell r="O1203" t="e">
            <v>#N/A</v>
          </cell>
          <cell r="P1203" t="str">
            <v/>
          </cell>
          <cell r="Q1203" t="str">
            <v/>
          </cell>
          <cell r="R1203" t="e">
            <v>#N/A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-56.222053231939327</v>
          </cell>
          <cell r="F1204">
            <v>98.755893536123068</v>
          </cell>
          <cell r="G1204">
            <v>14.331178707224439</v>
          </cell>
          <cell r="H1204">
            <v>14.331178707224439</v>
          </cell>
          <cell r="I1204" t="e">
            <v>#N/A</v>
          </cell>
          <cell r="J1204" t="e">
            <v>#N/A</v>
          </cell>
          <cell r="K1204">
            <v>64.799999999999983</v>
          </cell>
          <cell r="L1204">
            <v>29.499999999999993</v>
          </cell>
          <cell r="M1204" t="e">
            <v>#N/A</v>
          </cell>
          <cell r="N1204">
            <v>47.6</v>
          </cell>
          <cell r="O1204" t="e">
            <v>#N/A</v>
          </cell>
          <cell r="P1204" t="str">
            <v/>
          </cell>
          <cell r="Q1204" t="str">
            <v/>
          </cell>
          <cell r="R1204" t="e">
            <v>#N/A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-56.375665399239708</v>
          </cell>
          <cell r="F1205">
            <v>98.848669201522313</v>
          </cell>
          <cell r="G1205">
            <v>14.289733840304287</v>
          </cell>
          <cell r="H1205">
            <v>14.289733840304287</v>
          </cell>
          <cell r="I1205" t="e">
            <v>#N/A</v>
          </cell>
          <cell r="J1205" t="e">
            <v>#N/A</v>
          </cell>
          <cell r="K1205">
            <v>64.799999999999983</v>
          </cell>
          <cell r="L1205">
            <v>29.499999999999993</v>
          </cell>
          <cell r="M1205" t="e">
            <v>#N/A</v>
          </cell>
          <cell r="N1205">
            <v>47.6</v>
          </cell>
          <cell r="O1205" t="e">
            <v>#N/A</v>
          </cell>
          <cell r="P1205" t="str">
            <v/>
          </cell>
          <cell r="Q1205" t="str">
            <v/>
          </cell>
          <cell r="R1205" t="e">
            <v>#N/A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-56.529277566540088</v>
          </cell>
          <cell r="F1206">
            <v>98.941444866921557</v>
          </cell>
          <cell r="G1206">
            <v>14.248288973384135</v>
          </cell>
          <cell r="H1206">
            <v>14.248288973384135</v>
          </cell>
          <cell r="I1206" t="e">
            <v>#N/A</v>
          </cell>
          <cell r="J1206" t="e">
            <v>#N/A</v>
          </cell>
          <cell r="K1206">
            <v>64.799999999999983</v>
          </cell>
          <cell r="L1206">
            <v>29.499999999999993</v>
          </cell>
          <cell r="M1206" t="e">
            <v>#N/A</v>
          </cell>
          <cell r="N1206">
            <v>47.6</v>
          </cell>
          <cell r="O1206" t="e">
            <v>#N/A</v>
          </cell>
          <cell r="P1206" t="str">
            <v/>
          </cell>
          <cell r="Q1206" t="str">
            <v/>
          </cell>
          <cell r="R1206" t="e">
            <v>#N/A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-56.682889733840469</v>
          </cell>
          <cell r="F1207">
            <v>99.034220532320802</v>
          </cell>
          <cell r="G1207">
            <v>14.206844106463983</v>
          </cell>
          <cell r="H1207">
            <v>14.206844106463983</v>
          </cell>
          <cell r="I1207" t="e">
            <v>#N/A</v>
          </cell>
          <cell r="J1207" t="e">
            <v>#N/A</v>
          </cell>
          <cell r="K1207">
            <v>64.799999999999983</v>
          </cell>
          <cell r="L1207">
            <v>29.499999999999993</v>
          </cell>
          <cell r="M1207" t="e">
            <v>#N/A</v>
          </cell>
          <cell r="N1207">
            <v>47.6</v>
          </cell>
          <cell r="O1207" t="e">
            <v>#N/A</v>
          </cell>
          <cell r="P1207" t="str">
            <v/>
          </cell>
          <cell r="Q1207" t="str">
            <v/>
          </cell>
          <cell r="R1207" t="e">
            <v>#N/A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-56.836501901140849</v>
          </cell>
          <cell r="F1208">
            <v>99.126996197720047</v>
          </cell>
          <cell r="G1208">
            <v>14.165399239543831</v>
          </cell>
          <cell r="H1208">
            <v>14.165399239543831</v>
          </cell>
          <cell r="I1208" t="e">
            <v>#N/A</v>
          </cell>
          <cell r="J1208" t="e">
            <v>#N/A</v>
          </cell>
          <cell r="K1208">
            <v>64.799999999999983</v>
          </cell>
          <cell r="L1208">
            <v>29.499999999999993</v>
          </cell>
          <cell r="M1208" t="e">
            <v>#N/A</v>
          </cell>
          <cell r="N1208">
            <v>47.6</v>
          </cell>
          <cell r="O1208" t="e">
            <v>#N/A</v>
          </cell>
          <cell r="P1208" t="str">
            <v/>
          </cell>
          <cell r="Q1208" t="str">
            <v/>
          </cell>
          <cell r="R1208" t="e">
            <v>#N/A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-56.99011406844123</v>
          </cell>
          <cell r="F1209">
            <v>99.219771863119291</v>
          </cell>
          <cell r="G1209">
            <v>14.123954372623679</v>
          </cell>
          <cell r="H1209">
            <v>14.123954372623679</v>
          </cell>
          <cell r="I1209" t="e">
            <v>#N/A</v>
          </cell>
          <cell r="J1209" t="e">
            <v>#N/A</v>
          </cell>
          <cell r="K1209">
            <v>64.799999999999983</v>
          </cell>
          <cell r="L1209">
            <v>29.499999999999993</v>
          </cell>
          <cell r="M1209" t="e">
            <v>#N/A</v>
          </cell>
          <cell r="N1209">
            <v>47.6</v>
          </cell>
          <cell r="O1209" t="e">
            <v>#N/A</v>
          </cell>
          <cell r="P1209" t="str">
            <v/>
          </cell>
          <cell r="Q1209" t="str">
            <v/>
          </cell>
          <cell r="R1209" t="e">
            <v>#N/A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-57.14372623574161</v>
          </cell>
          <cell r="F1210">
            <v>99.312547528518536</v>
          </cell>
          <cell r="G1210">
            <v>14.082509505703527</v>
          </cell>
          <cell r="H1210">
            <v>14.082509505703527</v>
          </cell>
          <cell r="I1210" t="e">
            <v>#N/A</v>
          </cell>
          <cell r="J1210" t="e">
            <v>#N/A</v>
          </cell>
          <cell r="K1210">
            <v>64.799999999999983</v>
          </cell>
          <cell r="L1210">
            <v>29.499999999999993</v>
          </cell>
          <cell r="M1210" t="e">
            <v>#N/A</v>
          </cell>
          <cell r="N1210">
            <v>47.6</v>
          </cell>
          <cell r="O1210" t="e">
            <v>#N/A</v>
          </cell>
          <cell r="P1210" t="str">
            <v/>
          </cell>
          <cell r="Q1210" t="str">
            <v/>
          </cell>
          <cell r="R1210" t="e">
            <v>#N/A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-57.297338403041991</v>
          </cell>
          <cell r="F1211">
            <v>99.405323193917781</v>
          </cell>
          <cell r="G1211">
            <v>14.041064638783375</v>
          </cell>
          <cell r="H1211">
            <v>14.041064638783375</v>
          </cell>
          <cell r="I1211" t="e">
            <v>#N/A</v>
          </cell>
          <cell r="J1211" t="e">
            <v>#N/A</v>
          </cell>
          <cell r="K1211">
            <v>64.799999999999983</v>
          </cell>
          <cell r="L1211">
            <v>29.499999999999993</v>
          </cell>
          <cell r="M1211" t="e">
            <v>#N/A</v>
          </cell>
          <cell r="N1211">
            <v>47.6</v>
          </cell>
          <cell r="O1211" t="e">
            <v>#N/A</v>
          </cell>
          <cell r="P1211" t="str">
            <v/>
          </cell>
          <cell r="Q1211" t="str">
            <v/>
          </cell>
          <cell r="R1211" t="e">
            <v>#N/A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-57.450950570342371</v>
          </cell>
          <cell r="F1212">
            <v>99.498098859317025</v>
          </cell>
          <cell r="G1212">
            <v>13.999619771863223</v>
          </cell>
          <cell r="H1212">
            <v>13.999619771863223</v>
          </cell>
          <cell r="I1212" t="e">
            <v>#N/A</v>
          </cell>
          <cell r="J1212" t="e">
            <v>#N/A</v>
          </cell>
          <cell r="K1212">
            <v>64.799999999999983</v>
          </cell>
          <cell r="L1212">
            <v>29.499999999999993</v>
          </cell>
          <cell r="M1212" t="e">
            <v>#N/A</v>
          </cell>
          <cell r="N1212">
            <v>47.6</v>
          </cell>
          <cell r="O1212" t="e">
            <v>#N/A</v>
          </cell>
          <cell r="P1212" t="str">
            <v/>
          </cell>
          <cell r="Q1212" t="str">
            <v/>
          </cell>
          <cell r="R1212" t="e">
            <v>#N/A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-57.604562737642752</v>
          </cell>
          <cell r="F1213">
            <v>99.59087452471627</v>
          </cell>
          <cell r="G1213">
            <v>13.958174904943071</v>
          </cell>
          <cell r="H1213">
            <v>13.958174904943071</v>
          </cell>
          <cell r="I1213" t="e">
            <v>#N/A</v>
          </cell>
          <cell r="J1213" t="e">
            <v>#N/A</v>
          </cell>
          <cell r="K1213">
            <v>64.799999999999983</v>
          </cell>
          <cell r="L1213">
            <v>29.499999999999993</v>
          </cell>
          <cell r="M1213" t="e">
            <v>#N/A</v>
          </cell>
          <cell r="N1213">
            <v>47.6</v>
          </cell>
          <cell r="O1213" t="e">
            <v>#N/A</v>
          </cell>
          <cell r="P1213" t="str">
            <v/>
          </cell>
          <cell r="Q1213" t="str">
            <v/>
          </cell>
          <cell r="R1213" t="e">
            <v>#N/A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-57.758174904943132</v>
          </cell>
          <cell r="F1214">
            <v>99.683650190115515</v>
          </cell>
          <cell r="G1214">
            <v>13.916730038022919</v>
          </cell>
          <cell r="H1214">
            <v>13.916730038022919</v>
          </cell>
          <cell r="I1214" t="e">
            <v>#N/A</v>
          </cell>
          <cell r="J1214" t="e">
            <v>#N/A</v>
          </cell>
          <cell r="K1214">
            <v>64.799999999999983</v>
          </cell>
          <cell r="L1214">
            <v>29.499999999999993</v>
          </cell>
          <cell r="M1214" t="e">
            <v>#N/A</v>
          </cell>
          <cell r="N1214">
            <v>47.6</v>
          </cell>
          <cell r="O1214" t="e">
            <v>#N/A</v>
          </cell>
          <cell r="P1214" t="str">
            <v/>
          </cell>
          <cell r="Q1214" t="str">
            <v/>
          </cell>
          <cell r="R1214" t="e">
            <v>#N/A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-57.911787072243513</v>
          </cell>
          <cell r="F1215">
            <v>99.776425855514759</v>
          </cell>
          <cell r="G1215">
            <v>13.875285171102767</v>
          </cell>
          <cell r="H1215">
            <v>13.875285171102767</v>
          </cell>
          <cell r="I1215" t="e">
            <v>#N/A</v>
          </cell>
          <cell r="J1215" t="e">
            <v>#N/A</v>
          </cell>
          <cell r="K1215">
            <v>64.799999999999983</v>
          </cell>
          <cell r="L1215">
            <v>29.499999999999993</v>
          </cell>
          <cell r="M1215" t="e">
            <v>#N/A</v>
          </cell>
          <cell r="N1215">
            <v>47.6</v>
          </cell>
          <cell r="O1215" t="e">
            <v>#N/A</v>
          </cell>
          <cell r="P1215" t="str">
            <v/>
          </cell>
          <cell r="Q1215" t="str">
            <v/>
          </cell>
          <cell r="R1215" t="e">
            <v>#N/A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-58.065399239543893</v>
          </cell>
          <cell r="F1216">
            <v>99.869201520914004</v>
          </cell>
          <cell r="G1216">
            <v>13.833840304182615</v>
          </cell>
          <cell r="H1216">
            <v>13.833840304182615</v>
          </cell>
          <cell r="I1216" t="e">
            <v>#N/A</v>
          </cell>
          <cell r="J1216" t="e">
            <v>#N/A</v>
          </cell>
          <cell r="K1216">
            <v>64.799999999999983</v>
          </cell>
          <cell r="L1216">
            <v>29.499999999999993</v>
          </cell>
          <cell r="M1216" t="e">
            <v>#N/A</v>
          </cell>
          <cell r="N1216">
            <v>47.6</v>
          </cell>
          <cell r="O1216" t="e">
            <v>#N/A</v>
          </cell>
          <cell r="P1216" t="str">
            <v/>
          </cell>
          <cell r="Q1216" t="str">
            <v/>
          </cell>
          <cell r="R1216" t="e">
            <v>#N/A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-58.219011406844274</v>
          </cell>
          <cell r="F1217">
            <v>99.961977186313248</v>
          </cell>
          <cell r="G1217">
            <v>13.792395437262464</v>
          </cell>
          <cell r="H1217">
            <v>13.792395437262464</v>
          </cell>
          <cell r="I1217" t="e">
            <v>#N/A</v>
          </cell>
          <cell r="J1217" t="e">
            <v>#N/A</v>
          </cell>
          <cell r="K1217">
            <v>64.799999999999983</v>
          </cell>
          <cell r="L1217">
            <v>29.499999999999993</v>
          </cell>
          <cell r="M1217" t="e">
            <v>#N/A</v>
          </cell>
          <cell r="N1217">
            <v>47.6</v>
          </cell>
          <cell r="O1217" t="e">
            <v>#N/A</v>
          </cell>
          <cell r="P1217" t="str">
            <v/>
          </cell>
          <cell r="Q1217" t="str">
            <v/>
          </cell>
          <cell r="R1217" t="e">
            <v>#N/A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-58.372623574144654</v>
          </cell>
          <cell r="F1218">
            <v>100.05475285171249</v>
          </cell>
          <cell r="G1218">
            <v>13.750950570342312</v>
          </cell>
          <cell r="H1218">
            <v>13.750950570342312</v>
          </cell>
          <cell r="I1218" t="e">
            <v>#N/A</v>
          </cell>
          <cell r="J1218" t="e">
            <v>#N/A</v>
          </cell>
          <cell r="K1218">
            <v>64.799999999999983</v>
          </cell>
          <cell r="L1218">
            <v>29.499999999999993</v>
          </cell>
          <cell r="M1218" t="e">
            <v>#N/A</v>
          </cell>
          <cell r="N1218">
            <v>47.6</v>
          </cell>
          <cell r="O1218" t="e">
            <v>#N/A</v>
          </cell>
          <cell r="P1218" t="str">
            <v/>
          </cell>
          <cell r="Q1218" t="str">
            <v/>
          </cell>
          <cell r="R1218" t="e">
            <v>#N/A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-58.526235741445035</v>
          </cell>
          <cell r="F1219">
            <v>100.14752851711174</v>
          </cell>
          <cell r="G1219">
            <v>13.70950570342216</v>
          </cell>
          <cell r="H1219">
            <v>13.70950570342216</v>
          </cell>
          <cell r="I1219" t="e">
            <v>#N/A</v>
          </cell>
          <cell r="J1219" t="e">
            <v>#N/A</v>
          </cell>
          <cell r="K1219">
            <v>64.799999999999983</v>
          </cell>
          <cell r="L1219">
            <v>29.499999999999993</v>
          </cell>
          <cell r="M1219" t="e">
            <v>#N/A</v>
          </cell>
          <cell r="N1219">
            <v>47.6</v>
          </cell>
          <cell r="O1219" t="e">
            <v>#N/A</v>
          </cell>
          <cell r="P1219" t="str">
            <v/>
          </cell>
          <cell r="Q1219" t="str">
            <v/>
          </cell>
          <cell r="R1219" t="e">
            <v>#N/A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-58.679847908745415</v>
          </cell>
          <cell r="F1220">
            <v>100.24030418251098</v>
          </cell>
          <cell r="G1220">
            <v>13.668060836502008</v>
          </cell>
          <cell r="H1220">
            <v>13.668060836502008</v>
          </cell>
          <cell r="I1220" t="e">
            <v>#N/A</v>
          </cell>
          <cell r="J1220" t="e">
            <v>#N/A</v>
          </cell>
          <cell r="K1220">
            <v>64.799999999999983</v>
          </cell>
          <cell r="L1220">
            <v>29.499999999999993</v>
          </cell>
          <cell r="M1220" t="e">
            <v>#N/A</v>
          </cell>
          <cell r="N1220">
            <v>47.6</v>
          </cell>
          <cell r="O1220" t="e">
            <v>#N/A</v>
          </cell>
          <cell r="P1220" t="str">
            <v/>
          </cell>
          <cell r="Q1220" t="str">
            <v/>
          </cell>
          <cell r="R1220" t="e">
            <v>#N/A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-58.833460076045796</v>
          </cell>
          <cell r="F1221">
            <v>100.33307984791023</v>
          </cell>
          <cell r="G1221">
            <v>13.626615969581856</v>
          </cell>
          <cell r="H1221">
            <v>13.626615969581856</v>
          </cell>
          <cell r="I1221" t="e">
            <v>#N/A</v>
          </cell>
          <cell r="J1221" t="e">
            <v>#N/A</v>
          </cell>
          <cell r="K1221">
            <v>64.799999999999983</v>
          </cell>
          <cell r="L1221">
            <v>29.499999999999993</v>
          </cell>
          <cell r="M1221" t="e">
            <v>#N/A</v>
          </cell>
          <cell r="N1221">
            <v>47.6</v>
          </cell>
          <cell r="O1221" t="e">
            <v>#N/A</v>
          </cell>
          <cell r="P1221" t="str">
            <v/>
          </cell>
          <cell r="Q1221" t="str">
            <v/>
          </cell>
          <cell r="R1221" t="e">
            <v>#N/A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-58.987072243346176</v>
          </cell>
          <cell r="F1222">
            <v>100.42585551330947</v>
          </cell>
          <cell r="G1222">
            <v>13.585171102661704</v>
          </cell>
          <cell r="H1222">
            <v>13.585171102661704</v>
          </cell>
          <cell r="I1222" t="e">
            <v>#N/A</v>
          </cell>
          <cell r="J1222" t="e">
            <v>#N/A</v>
          </cell>
          <cell r="K1222">
            <v>64.799999999999983</v>
          </cell>
          <cell r="L1222">
            <v>29.499999999999993</v>
          </cell>
          <cell r="M1222" t="e">
            <v>#N/A</v>
          </cell>
          <cell r="N1222">
            <v>47.6</v>
          </cell>
          <cell r="O1222" t="e">
            <v>#N/A</v>
          </cell>
          <cell r="P1222" t="str">
            <v/>
          </cell>
          <cell r="Q1222" t="str">
            <v/>
          </cell>
          <cell r="R1222" t="e">
            <v>#N/A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-59.140684410646557</v>
          </cell>
          <cell r="F1223">
            <v>100.51863117870872</v>
          </cell>
          <cell r="G1223">
            <v>13.543726235741552</v>
          </cell>
          <cell r="H1223">
            <v>13.543726235741552</v>
          </cell>
          <cell r="I1223" t="e">
            <v>#N/A</v>
          </cell>
          <cell r="J1223" t="e">
            <v>#N/A</v>
          </cell>
          <cell r="K1223">
            <v>64.799999999999983</v>
          </cell>
          <cell r="L1223">
            <v>29.499999999999993</v>
          </cell>
          <cell r="M1223" t="e">
            <v>#N/A</v>
          </cell>
          <cell r="N1223">
            <v>47.6</v>
          </cell>
          <cell r="O1223" t="e">
            <v>#N/A</v>
          </cell>
          <cell r="P1223" t="str">
            <v/>
          </cell>
          <cell r="Q1223" t="str">
            <v/>
          </cell>
          <cell r="R1223" t="e">
            <v>#N/A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-59.294296577946938</v>
          </cell>
          <cell r="F1224">
            <v>100.61140684410796</v>
          </cell>
          <cell r="G1224">
            <v>13.5022813688214</v>
          </cell>
          <cell r="H1224">
            <v>13.5022813688214</v>
          </cell>
          <cell r="I1224" t="e">
            <v>#N/A</v>
          </cell>
          <cell r="J1224" t="e">
            <v>#N/A</v>
          </cell>
          <cell r="K1224">
            <v>64.799999999999983</v>
          </cell>
          <cell r="L1224">
            <v>29.499999999999993</v>
          </cell>
          <cell r="M1224" t="e">
            <v>#N/A</v>
          </cell>
          <cell r="N1224">
            <v>47.6</v>
          </cell>
          <cell r="O1224" t="e">
            <v>#N/A</v>
          </cell>
          <cell r="P1224" t="str">
            <v/>
          </cell>
          <cell r="Q1224" t="str">
            <v/>
          </cell>
          <cell r="R1224" t="e">
            <v>#N/A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-59.447908745247318</v>
          </cell>
          <cell r="F1225">
            <v>100.70418250950721</v>
          </cell>
          <cell r="G1225">
            <v>13.460836501901248</v>
          </cell>
          <cell r="H1225">
            <v>13.460836501901248</v>
          </cell>
          <cell r="I1225" t="e">
            <v>#N/A</v>
          </cell>
          <cell r="J1225" t="e">
            <v>#N/A</v>
          </cell>
          <cell r="K1225">
            <v>64.799999999999983</v>
          </cell>
          <cell r="L1225">
            <v>29.499999999999993</v>
          </cell>
          <cell r="M1225" t="e">
            <v>#N/A</v>
          </cell>
          <cell r="N1225">
            <v>47.6</v>
          </cell>
          <cell r="O1225" t="e">
            <v>#N/A</v>
          </cell>
          <cell r="P1225" t="str">
            <v/>
          </cell>
          <cell r="Q1225" t="str">
            <v/>
          </cell>
          <cell r="R1225" t="e">
            <v>#N/A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-59.601520912547699</v>
          </cell>
          <cell r="F1226">
            <v>100.79695817490645</v>
          </cell>
          <cell r="G1226">
            <v>13.419391634981096</v>
          </cell>
          <cell r="H1226">
            <v>13.419391634981096</v>
          </cell>
          <cell r="I1226" t="e">
            <v>#N/A</v>
          </cell>
          <cell r="J1226" t="e">
            <v>#N/A</v>
          </cell>
          <cell r="K1226">
            <v>64.799999999999983</v>
          </cell>
          <cell r="L1226">
            <v>29.499999999999993</v>
          </cell>
          <cell r="M1226" t="e">
            <v>#N/A</v>
          </cell>
          <cell r="N1226">
            <v>47.6</v>
          </cell>
          <cell r="O1226" t="e">
            <v>#N/A</v>
          </cell>
          <cell r="P1226" t="str">
            <v/>
          </cell>
          <cell r="Q1226" t="str">
            <v/>
          </cell>
          <cell r="R1226" t="e">
            <v>#N/A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-59.755133079848079</v>
          </cell>
          <cell r="F1227">
            <v>100.88973384030569</v>
          </cell>
          <cell r="G1227">
            <v>13.377946768060944</v>
          </cell>
          <cell r="H1227">
            <v>13.377946768060944</v>
          </cell>
          <cell r="I1227" t="e">
            <v>#N/A</v>
          </cell>
          <cell r="J1227" t="e">
            <v>#N/A</v>
          </cell>
          <cell r="K1227">
            <v>64.799999999999983</v>
          </cell>
          <cell r="L1227">
            <v>29.499999999999993</v>
          </cell>
          <cell r="M1227" t="e">
            <v>#N/A</v>
          </cell>
          <cell r="N1227">
            <v>47.6</v>
          </cell>
          <cell r="O1227" t="e">
            <v>#N/A</v>
          </cell>
          <cell r="P1227" t="str">
            <v/>
          </cell>
          <cell r="Q1227" t="str">
            <v/>
          </cell>
          <cell r="R1227" t="e">
            <v>#N/A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-59.90874524714846</v>
          </cell>
          <cell r="F1228">
            <v>100.98250950570494</v>
          </cell>
          <cell r="G1228">
            <v>13.336501901140792</v>
          </cell>
          <cell r="H1228">
            <v>13.336501901140792</v>
          </cell>
          <cell r="I1228" t="e">
            <v>#N/A</v>
          </cell>
          <cell r="J1228" t="e">
            <v>#N/A</v>
          </cell>
          <cell r="K1228">
            <v>64.799999999999983</v>
          </cell>
          <cell r="L1228">
            <v>29.499999999999993</v>
          </cell>
          <cell r="M1228" t="e">
            <v>#N/A</v>
          </cell>
          <cell r="N1228">
            <v>47.6</v>
          </cell>
          <cell r="O1228" t="e">
            <v>#N/A</v>
          </cell>
          <cell r="P1228" t="str">
            <v/>
          </cell>
          <cell r="Q1228" t="str">
            <v/>
          </cell>
          <cell r="R1228" t="e">
            <v>#N/A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-60.06235741444884</v>
          </cell>
          <cell r="F1229">
            <v>101.07528517110418</v>
          </cell>
          <cell r="G1229">
            <v>13.29505703422064</v>
          </cell>
          <cell r="H1229">
            <v>13.29505703422064</v>
          </cell>
          <cell r="I1229" t="e">
            <v>#N/A</v>
          </cell>
          <cell r="J1229" t="e">
            <v>#N/A</v>
          </cell>
          <cell r="K1229">
            <v>64.799999999999983</v>
          </cell>
          <cell r="L1229">
            <v>29.499999999999993</v>
          </cell>
          <cell r="M1229" t="e">
            <v>#N/A</v>
          </cell>
          <cell r="N1229">
            <v>47.6</v>
          </cell>
          <cell r="O1229" t="e">
            <v>#N/A</v>
          </cell>
          <cell r="P1229" t="str">
            <v/>
          </cell>
          <cell r="Q1229" t="str">
            <v/>
          </cell>
          <cell r="R1229" t="e">
            <v>#N/A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-60.215969581749221</v>
          </cell>
          <cell r="F1230">
            <v>101.16806083650343</v>
          </cell>
          <cell r="G1230">
            <v>13.253612167300489</v>
          </cell>
          <cell r="H1230">
            <v>13.253612167300489</v>
          </cell>
          <cell r="I1230" t="e">
            <v>#N/A</v>
          </cell>
          <cell r="J1230" t="e">
            <v>#N/A</v>
          </cell>
          <cell r="K1230">
            <v>64.799999999999983</v>
          </cell>
          <cell r="L1230">
            <v>29.499999999999993</v>
          </cell>
          <cell r="M1230" t="e">
            <v>#N/A</v>
          </cell>
          <cell r="N1230">
            <v>47.6</v>
          </cell>
          <cell r="O1230" t="e">
            <v>#N/A</v>
          </cell>
          <cell r="P1230" t="str">
            <v/>
          </cell>
          <cell r="Q1230" t="str">
            <v/>
          </cell>
          <cell r="R1230" t="e">
            <v>#N/A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-60.369581749049601</v>
          </cell>
          <cell r="F1231">
            <v>101.26083650190267</v>
          </cell>
          <cell r="G1231">
            <v>13.212167300380337</v>
          </cell>
          <cell r="H1231">
            <v>13.212167300380337</v>
          </cell>
          <cell r="I1231" t="e">
            <v>#N/A</v>
          </cell>
          <cell r="J1231" t="e">
            <v>#N/A</v>
          </cell>
          <cell r="K1231">
            <v>64.799999999999983</v>
          </cell>
          <cell r="L1231">
            <v>29.499999999999993</v>
          </cell>
          <cell r="M1231" t="e">
            <v>#N/A</v>
          </cell>
          <cell r="N1231">
            <v>47.6</v>
          </cell>
          <cell r="O1231" t="e">
            <v>#N/A</v>
          </cell>
          <cell r="P1231" t="str">
            <v/>
          </cell>
          <cell r="Q1231" t="str">
            <v/>
          </cell>
          <cell r="R1231" t="e">
            <v>#N/A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-60.523193916349982</v>
          </cell>
          <cell r="F1232">
            <v>101.35361216730192</v>
          </cell>
          <cell r="G1232">
            <v>13.170722433460185</v>
          </cell>
          <cell r="H1232">
            <v>13.170722433460185</v>
          </cell>
          <cell r="I1232" t="e">
            <v>#N/A</v>
          </cell>
          <cell r="J1232" t="e">
            <v>#N/A</v>
          </cell>
          <cell r="K1232">
            <v>64.799999999999983</v>
          </cell>
          <cell r="L1232">
            <v>29.499999999999993</v>
          </cell>
          <cell r="M1232" t="e">
            <v>#N/A</v>
          </cell>
          <cell r="N1232">
            <v>47.6</v>
          </cell>
          <cell r="O1232" t="e">
            <v>#N/A</v>
          </cell>
          <cell r="P1232" t="str">
            <v/>
          </cell>
          <cell r="Q1232" t="str">
            <v/>
          </cell>
          <cell r="R1232" t="e">
            <v>#N/A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-60.676806083650362</v>
          </cell>
          <cell r="F1233">
            <v>101.44638783270116</v>
          </cell>
          <cell r="G1233">
            <v>13.129277566540033</v>
          </cell>
          <cell r="H1233">
            <v>13.129277566540033</v>
          </cell>
          <cell r="I1233" t="e">
            <v>#N/A</v>
          </cell>
          <cell r="J1233" t="e">
            <v>#N/A</v>
          </cell>
          <cell r="K1233">
            <v>64.799999999999983</v>
          </cell>
          <cell r="L1233">
            <v>29.499999999999993</v>
          </cell>
          <cell r="M1233" t="e">
            <v>#N/A</v>
          </cell>
          <cell r="N1233">
            <v>47.6</v>
          </cell>
          <cell r="O1233" t="e">
            <v>#N/A</v>
          </cell>
          <cell r="P1233" t="str">
            <v/>
          </cell>
          <cell r="Q1233" t="str">
            <v/>
          </cell>
          <cell r="R1233" t="e">
            <v>#N/A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-60.830418250950743</v>
          </cell>
          <cell r="F1234">
            <v>101.53916349810041</v>
          </cell>
          <cell r="G1234">
            <v>13.087832699619881</v>
          </cell>
          <cell r="H1234">
            <v>13.087832699619881</v>
          </cell>
          <cell r="I1234" t="e">
            <v>#N/A</v>
          </cell>
          <cell r="J1234" t="e">
            <v>#N/A</v>
          </cell>
          <cell r="K1234">
            <v>64.799999999999983</v>
          </cell>
          <cell r="L1234">
            <v>29.499999999999993</v>
          </cell>
          <cell r="M1234" t="e">
            <v>#N/A</v>
          </cell>
          <cell r="N1234">
            <v>47.6</v>
          </cell>
          <cell r="O1234" t="e">
            <v>#N/A</v>
          </cell>
          <cell r="P1234" t="str">
            <v/>
          </cell>
          <cell r="Q1234" t="str">
            <v/>
          </cell>
          <cell r="R1234" t="e">
            <v>#N/A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-60.984030418251123</v>
          </cell>
          <cell r="F1235">
            <v>101.63193916349965</v>
          </cell>
          <cell r="G1235">
            <v>13.046387832699729</v>
          </cell>
          <cell r="H1235">
            <v>13.046387832699729</v>
          </cell>
          <cell r="I1235" t="e">
            <v>#N/A</v>
          </cell>
          <cell r="J1235" t="e">
            <v>#N/A</v>
          </cell>
          <cell r="K1235">
            <v>64.799999999999983</v>
          </cell>
          <cell r="L1235">
            <v>29.499999999999993</v>
          </cell>
          <cell r="M1235" t="e">
            <v>#N/A</v>
          </cell>
          <cell r="N1235">
            <v>47.6</v>
          </cell>
          <cell r="O1235" t="e">
            <v>#N/A</v>
          </cell>
          <cell r="P1235" t="str">
            <v/>
          </cell>
          <cell r="Q1235" t="str">
            <v/>
          </cell>
          <cell r="R1235" t="e">
            <v>#N/A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-61.137642585551504</v>
          </cell>
          <cell r="F1236">
            <v>101.7247148288989</v>
          </cell>
          <cell r="G1236">
            <v>13.004942965779577</v>
          </cell>
          <cell r="H1236">
            <v>13.004942965779577</v>
          </cell>
          <cell r="I1236" t="e">
            <v>#N/A</v>
          </cell>
          <cell r="J1236" t="e">
            <v>#N/A</v>
          </cell>
          <cell r="K1236">
            <v>64.799999999999983</v>
          </cell>
          <cell r="L1236">
            <v>29.499999999999993</v>
          </cell>
          <cell r="M1236" t="e">
            <v>#N/A</v>
          </cell>
          <cell r="N1236">
            <v>47.6</v>
          </cell>
          <cell r="O1236" t="e">
            <v>#N/A</v>
          </cell>
          <cell r="P1236" t="str">
            <v/>
          </cell>
          <cell r="Q1236" t="str">
            <v/>
          </cell>
          <cell r="R1236" t="e">
            <v>#N/A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-61.291254752851884</v>
          </cell>
          <cell r="F1237">
            <v>101.81749049429814</v>
          </cell>
          <cell r="G1237">
            <v>12.963498098859425</v>
          </cell>
          <cell r="H1237">
            <v>12.963498098859425</v>
          </cell>
          <cell r="I1237" t="e">
            <v>#N/A</v>
          </cell>
          <cell r="J1237" t="e">
            <v>#N/A</v>
          </cell>
          <cell r="K1237">
            <v>64.799999999999983</v>
          </cell>
          <cell r="L1237">
            <v>29.499999999999993</v>
          </cell>
          <cell r="M1237" t="e">
            <v>#N/A</v>
          </cell>
          <cell r="N1237">
            <v>47.6</v>
          </cell>
          <cell r="O1237" t="e">
            <v>#N/A</v>
          </cell>
          <cell r="P1237" t="str">
            <v/>
          </cell>
          <cell r="Q1237" t="str">
            <v/>
          </cell>
          <cell r="R1237" t="e">
            <v>#N/A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-61.444866920152265</v>
          </cell>
          <cell r="F1238">
            <v>101.91026615969739</v>
          </cell>
          <cell r="G1238">
            <v>12.922053231939273</v>
          </cell>
          <cell r="H1238">
            <v>12.922053231939273</v>
          </cell>
          <cell r="I1238" t="e">
            <v>#N/A</v>
          </cell>
          <cell r="J1238" t="e">
            <v>#N/A</v>
          </cell>
          <cell r="K1238">
            <v>64.799999999999983</v>
          </cell>
          <cell r="L1238">
            <v>29.499999999999993</v>
          </cell>
          <cell r="M1238" t="e">
            <v>#N/A</v>
          </cell>
          <cell r="N1238">
            <v>47.6</v>
          </cell>
          <cell r="O1238" t="e">
            <v>#N/A</v>
          </cell>
          <cell r="P1238" t="str">
            <v/>
          </cell>
          <cell r="Q1238" t="str">
            <v/>
          </cell>
          <cell r="R1238" t="e">
            <v>#N/A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-61.598479087452645</v>
          </cell>
          <cell r="F1239">
            <v>102.00304182509663</v>
          </cell>
          <cell r="G1239">
            <v>12.880608365019121</v>
          </cell>
          <cell r="H1239">
            <v>12.880608365019121</v>
          </cell>
          <cell r="I1239" t="e">
            <v>#N/A</v>
          </cell>
          <cell r="J1239" t="e">
            <v>#N/A</v>
          </cell>
          <cell r="K1239">
            <v>64.799999999999983</v>
          </cell>
          <cell r="L1239">
            <v>29.499999999999993</v>
          </cell>
          <cell r="M1239" t="e">
            <v>#N/A</v>
          </cell>
          <cell r="N1239">
            <v>47.6</v>
          </cell>
          <cell r="O1239" t="e">
            <v>#N/A</v>
          </cell>
          <cell r="P1239" t="str">
            <v/>
          </cell>
          <cell r="Q1239" t="str">
            <v/>
          </cell>
          <cell r="R1239" t="e">
            <v>#N/A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-61.752091254753026</v>
          </cell>
          <cell r="F1240">
            <v>102.09581749049588</v>
          </cell>
          <cell r="G1240">
            <v>12.839163498098969</v>
          </cell>
          <cell r="H1240">
            <v>12.839163498098969</v>
          </cell>
          <cell r="I1240" t="e">
            <v>#N/A</v>
          </cell>
          <cell r="J1240" t="e">
            <v>#N/A</v>
          </cell>
          <cell r="K1240">
            <v>64.799999999999983</v>
          </cell>
          <cell r="L1240">
            <v>29.499999999999993</v>
          </cell>
          <cell r="M1240" t="e">
            <v>#N/A</v>
          </cell>
          <cell r="N1240">
            <v>47.6</v>
          </cell>
          <cell r="O1240" t="e">
            <v>#N/A</v>
          </cell>
          <cell r="P1240" t="str">
            <v/>
          </cell>
          <cell r="Q1240" t="str">
            <v/>
          </cell>
          <cell r="R1240" t="e">
            <v>#N/A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-61.905703422053406</v>
          </cell>
          <cell r="F1241">
            <v>102.18859315589512</v>
          </cell>
          <cell r="G1241">
            <v>12.797718631178817</v>
          </cell>
          <cell r="H1241">
            <v>12.797718631178817</v>
          </cell>
          <cell r="I1241" t="e">
            <v>#N/A</v>
          </cell>
          <cell r="J1241" t="e">
            <v>#N/A</v>
          </cell>
          <cell r="K1241">
            <v>64.799999999999983</v>
          </cell>
          <cell r="L1241">
            <v>29.499999999999993</v>
          </cell>
          <cell r="M1241" t="e">
            <v>#N/A</v>
          </cell>
          <cell r="N1241">
            <v>47.6</v>
          </cell>
          <cell r="O1241" t="e">
            <v>#N/A</v>
          </cell>
          <cell r="P1241" t="str">
            <v/>
          </cell>
          <cell r="Q1241" t="str">
            <v/>
          </cell>
          <cell r="R1241" t="e">
            <v>#N/A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-62.059315589353787</v>
          </cell>
          <cell r="F1242">
            <v>102.28136882129436</v>
          </cell>
          <cell r="G1242">
            <v>12.756273764258665</v>
          </cell>
          <cell r="H1242">
            <v>12.756273764258665</v>
          </cell>
          <cell r="I1242" t="e">
            <v>#N/A</v>
          </cell>
          <cell r="J1242" t="e">
            <v>#N/A</v>
          </cell>
          <cell r="K1242">
            <v>64.799999999999983</v>
          </cell>
          <cell r="L1242">
            <v>29.499999999999993</v>
          </cell>
          <cell r="M1242" t="e">
            <v>#N/A</v>
          </cell>
          <cell r="N1242">
            <v>47.6</v>
          </cell>
          <cell r="O1242" t="e">
            <v>#N/A</v>
          </cell>
          <cell r="P1242" t="str">
            <v/>
          </cell>
          <cell r="Q1242" t="str">
            <v/>
          </cell>
          <cell r="R1242" t="e">
            <v>#N/A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-62.212927756654167</v>
          </cell>
          <cell r="F1243">
            <v>102.37414448669361</v>
          </cell>
          <cell r="G1243">
            <v>12.714828897338514</v>
          </cell>
          <cell r="H1243">
            <v>12.714828897338514</v>
          </cell>
          <cell r="I1243" t="e">
            <v>#N/A</v>
          </cell>
          <cell r="J1243" t="e">
            <v>#N/A</v>
          </cell>
          <cell r="K1243">
            <v>64.799999999999983</v>
          </cell>
          <cell r="L1243">
            <v>29.499999999999993</v>
          </cell>
          <cell r="M1243" t="e">
            <v>#N/A</v>
          </cell>
          <cell r="N1243">
            <v>47.6</v>
          </cell>
          <cell r="O1243" t="e">
            <v>#N/A</v>
          </cell>
          <cell r="P1243" t="str">
            <v/>
          </cell>
          <cell r="Q1243" t="str">
            <v/>
          </cell>
          <cell r="R1243" t="e">
            <v>#N/A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-62.366539923954548</v>
          </cell>
          <cell r="F1244">
            <v>102.46692015209285</v>
          </cell>
          <cell r="G1244">
            <v>12.673384030418362</v>
          </cell>
          <cell r="H1244">
            <v>12.673384030418362</v>
          </cell>
          <cell r="I1244" t="e">
            <v>#N/A</v>
          </cell>
          <cell r="J1244" t="e">
            <v>#N/A</v>
          </cell>
          <cell r="K1244">
            <v>64.799999999999983</v>
          </cell>
          <cell r="L1244">
            <v>29.499999999999993</v>
          </cell>
          <cell r="M1244" t="e">
            <v>#N/A</v>
          </cell>
          <cell r="N1244">
            <v>47.6</v>
          </cell>
          <cell r="O1244" t="e">
            <v>#N/A</v>
          </cell>
          <cell r="P1244" t="str">
            <v/>
          </cell>
          <cell r="Q1244" t="str">
            <v/>
          </cell>
          <cell r="R1244" t="e">
            <v>#N/A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-62.520152091254928</v>
          </cell>
          <cell r="F1245">
            <v>102.5596958174921</v>
          </cell>
          <cell r="G1245">
            <v>12.63193916349821</v>
          </cell>
          <cell r="H1245">
            <v>12.63193916349821</v>
          </cell>
          <cell r="I1245" t="e">
            <v>#N/A</v>
          </cell>
          <cell r="J1245" t="e">
            <v>#N/A</v>
          </cell>
          <cell r="K1245">
            <v>64.799999999999983</v>
          </cell>
          <cell r="L1245">
            <v>29.499999999999993</v>
          </cell>
          <cell r="M1245" t="e">
            <v>#N/A</v>
          </cell>
          <cell r="N1245">
            <v>47.6</v>
          </cell>
          <cell r="O1245" t="e">
            <v>#N/A</v>
          </cell>
          <cell r="P1245" t="str">
            <v/>
          </cell>
          <cell r="Q1245" t="str">
            <v/>
          </cell>
          <cell r="R1245" t="e">
            <v>#N/A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-62.673764258555309</v>
          </cell>
          <cell r="F1246">
            <v>102.65247148289134</v>
          </cell>
          <cell r="G1246">
            <v>12.590494296578058</v>
          </cell>
          <cell r="H1246">
            <v>12.590494296578058</v>
          </cell>
          <cell r="I1246" t="e">
            <v>#N/A</v>
          </cell>
          <cell r="J1246" t="e">
            <v>#N/A</v>
          </cell>
          <cell r="K1246">
            <v>64.799999999999983</v>
          </cell>
          <cell r="L1246">
            <v>29.499999999999993</v>
          </cell>
          <cell r="M1246" t="e">
            <v>#N/A</v>
          </cell>
          <cell r="N1246">
            <v>47.6</v>
          </cell>
          <cell r="O1246" t="e">
            <v>#N/A</v>
          </cell>
          <cell r="P1246" t="str">
            <v/>
          </cell>
          <cell r="Q1246" t="str">
            <v/>
          </cell>
          <cell r="R1246" t="e">
            <v>#N/A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-62.827376425855689</v>
          </cell>
          <cell r="F1247">
            <v>102.74524714829059</v>
          </cell>
          <cell r="G1247">
            <v>12.549049429657906</v>
          </cell>
          <cell r="H1247">
            <v>12.549049429657906</v>
          </cell>
          <cell r="I1247" t="e">
            <v>#N/A</v>
          </cell>
          <cell r="J1247" t="e">
            <v>#N/A</v>
          </cell>
          <cell r="K1247">
            <v>64.799999999999983</v>
          </cell>
          <cell r="L1247">
            <v>29.499999999999993</v>
          </cell>
          <cell r="M1247" t="e">
            <v>#N/A</v>
          </cell>
          <cell r="N1247">
            <v>47.6</v>
          </cell>
          <cell r="O1247" t="e">
            <v>#N/A</v>
          </cell>
          <cell r="P1247" t="str">
            <v/>
          </cell>
          <cell r="Q1247" t="str">
            <v/>
          </cell>
          <cell r="R1247" t="e">
            <v>#N/A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-62.98098859315607</v>
          </cell>
          <cell r="F1248">
            <v>102.83802281368983</v>
          </cell>
          <cell r="G1248">
            <v>12.507604562737754</v>
          </cell>
          <cell r="H1248">
            <v>12.507604562737754</v>
          </cell>
          <cell r="I1248" t="e">
            <v>#N/A</v>
          </cell>
          <cell r="J1248" t="e">
            <v>#N/A</v>
          </cell>
          <cell r="K1248">
            <v>64.799999999999983</v>
          </cell>
          <cell r="L1248">
            <v>29.499999999999993</v>
          </cell>
          <cell r="M1248" t="e">
            <v>#N/A</v>
          </cell>
          <cell r="N1248">
            <v>47.6</v>
          </cell>
          <cell r="O1248" t="e">
            <v>#N/A</v>
          </cell>
          <cell r="P1248" t="str">
            <v/>
          </cell>
          <cell r="Q1248" t="str">
            <v/>
          </cell>
          <cell r="R1248" t="e">
            <v>#N/A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-63.134600760456451</v>
          </cell>
          <cell r="F1249">
            <v>102.93079847908908</v>
          </cell>
          <cell r="G1249">
            <v>12.466159695817602</v>
          </cell>
          <cell r="H1249">
            <v>12.466159695817602</v>
          </cell>
          <cell r="I1249" t="e">
            <v>#N/A</v>
          </cell>
          <cell r="J1249" t="e">
            <v>#N/A</v>
          </cell>
          <cell r="K1249">
            <v>64.799999999999983</v>
          </cell>
          <cell r="L1249">
            <v>29.499999999999993</v>
          </cell>
          <cell r="M1249" t="e">
            <v>#N/A</v>
          </cell>
          <cell r="N1249">
            <v>47.6</v>
          </cell>
          <cell r="O1249" t="e">
            <v>#N/A</v>
          </cell>
          <cell r="P1249" t="str">
            <v/>
          </cell>
          <cell r="Q1249" t="str">
            <v/>
          </cell>
          <cell r="R1249" t="e">
            <v>#N/A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-63.288212927756831</v>
          </cell>
          <cell r="F1250">
            <v>103.02357414448832</v>
          </cell>
          <cell r="G1250">
            <v>12.42471482889745</v>
          </cell>
          <cell r="H1250">
            <v>12.42471482889745</v>
          </cell>
          <cell r="I1250" t="e">
            <v>#N/A</v>
          </cell>
          <cell r="J1250" t="e">
            <v>#N/A</v>
          </cell>
          <cell r="K1250">
            <v>64.799999999999983</v>
          </cell>
          <cell r="L1250">
            <v>29.499999999999993</v>
          </cell>
          <cell r="M1250" t="e">
            <v>#N/A</v>
          </cell>
          <cell r="N1250">
            <v>47.6</v>
          </cell>
          <cell r="O1250" t="e">
            <v>#N/A</v>
          </cell>
          <cell r="P1250" t="str">
            <v/>
          </cell>
          <cell r="Q1250" t="str">
            <v/>
          </cell>
          <cell r="R1250" t="e">
            <v>#N/A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-63.441825095057212</v>
          </cell>
          <cell r="F1251">
            <v>103.11634980988757</v>
          </cell>
          <cell r="G1251">
            <v>12.383269961977298</v>
          </cell>
          <cell r="H1251">
            <v>12.383269961977298</v>
          </cell>
          <cell r="I1251" t="e">
            <v>#N/A</v>
          </cell>
          <cell r="J1251" t="e">
            <v>#N/A</v>
          </cell>
          <cell r="K1251">
            <v>64.799999999999983</v>
          </cell>
          <cell r="L1251">
            <v>29.499999999999993</v>
          </cell>
          <cell r="M1251" t="e">
            <v>#N/A</v>
          </cell>
          <cell r="N1251">
            <v>47.6</v>
          </cell>
          <cell r="O1251" t="e">
            <v>#N/A</v>
          </cell>
          <cell r="P1251" t="str">
            <v/>
          </cell>
          <cell r="Q1251" t="str">
            <v/>
          </cell>
          <cell r="R1251" t="e">
            <v>#N/A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-63.595437262357592</v>
          </cell>
          <cell r="F1252">
            <v>103.20912547528681</v>
          </cell>
          <cell r="G1252">
            <v>12.341825095057146</v>
          </cell>
          <cell r="H1252">
            <v>12.341825095057146</v>
          </cell>
          <cell r="I1252" t="e">
            <v>#N/A</v>
          </cell>
          <cell r="J1252" t="e">
            <v>#N/A</v>
          </cell>
          <cell r="K1252">
            <v>64.799999999999983</v>
          </cell>
          <cell r="L1252">
            <v>29.499999999999993</v>
          </cell>
          <cell r="M1252" t="e">
            <v>#N/A</v>
          </cell>
          <cell r="N1252">
            <v>47.6</v>
          </cell>
          <cell r="O1252" t="e">
            <v>#N/A</v>
          </cell>
          <cell r="P1252" t="str">
            <v/>
          </cell>
          <cell r="Q1252" t="str">
            <v/>
          </cell>
          <cell r="R1252" t="e">
            <v>#N/A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25"/>
      <sheetData sheetId="26"/>
      <sheetData sheetId="27"/>
      <sheetData sheetId="28"/>
      <sheetData sheetId="29" refreshError="1"/>
      <sheetData sheetId="3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-Cache"/>
      <sheetName val="Summary"/>
      <sheetName val="MSSB"/>
      <sheetName val="DCF"/>
      <sheetName val="SOP"/>
      <sheetName val="Mid cycle"/>
      <sheetName val="Earnings and Valuation changes"/>
      <sheetName val="Assumptions"/>
      <sheetName val="US"/>
      <sheetName val="Other"/>
      <sheetName val="AsiaPacific"/>
      <sheetName val="AsbestosFunding"/>
      <sheetName val="Financials"/>
      <sheetName val="Corporate"/>
      <sheetName val="Interim"/>
      <sheetName val="mwareInputs"/>
      <sheetName val="mwareDates"/>
      <sheetName val="Open Platform"/>
      <sheetName val="MWA RR"/>
      <sheetName val="mwareSettings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>
        <row r="1">
          <cell r="A1" t="str">
            <v>ASIA PACIFIC</v>
          </cell>
          <cell r="B1">
            <v>36616</v>
          </cell>
          <cell r="C1">
            <v>36981</v>
          </cell>
          <cell r="D1">
            <v>37346</v>
          </cell>
          <cell r="E1">
            <v>37711</v>
          </cell>
          <cell r="F1">
            <v>38077</v>
          </cell>
          <cell r="G1">
            <v>38442</v>
          </cell>
          <cell r="H1">
            <v>38807</v>
          </cell>
          <cell r="I1">
            <v>39172</v>
          </cell>
          <cell r="J1">
            <v>39538</v>
          </cell>
          <cell r="K1">
            <v>39903</v>
          </cell>
          <cell r="L1">
            <v>40268</v>
          </cell>
          <cell r="M1">
            <v>40633</v>
          </cell>
          <cell r="N1">
            <v>40999</v>
          </cell>
          <cell r="O1">
            <v>41364</v>
          </cell>
          <cell r="P1">
            <v>41729</v>
          </cell>
          <cell r="Q1">
            <v>42094</v>
          </cell>
          <cell r="R1">
            <v>42460</v>
          </cell>
          <cell r="S1">
            <v>42825</v>
          </cell>
          <cell r="T1">
            <v>43190</v>
          </cell>
          <cell r="U1">
            <v>43555</v>
          </cell>
          <cell r="V1">
            <v>43921</v>
          </cell>
        </row>
        <row r="3">
          <cell r="A3" t="str">
            <v>SUMMARY</v>
          </cell>
        </row>
        <row r="4">
          <cell r="A4" t="str">
            <v>Volume (mmsf)</v>
          </cell>
          <cell r="B4">
            <v>334.27303370786512</v>
          </cell>
          <cell r="C4">
            <v>318.89999999999998</v>
          </cell>
          <cell r="D4">
            <v>320.7</v>
          </cell>
          <cell r="E4">
            <v>349.9</v>
          </cell>
          <cell r="F4">
            <v>362.1</v>
          </cell>
          <cell r="G4">
            <v>376.9</v>
          </cell>
          <cell r="H4">
            <v>368.3</v>
          </cell>
          <cell r="I4">
            <v>390.8</v>
          </cell>
          <cell r="J4">
            <v>397.2738233116998</v>
          </cell>
          <cell r="K4">
            <v>397.52632784753683</v>
          </cell>
          <cell r="L4">
            <v>405.19438583042643</v>
          </cell>
          <cell r="M4">
            <v>426.2956486023333</v>
          </cell>
          <cell r="N4">
            <v>435.88928170184232</v>
          </cell>
          <cell r="O4">
            <v>429.35329677627135</v>
          </cell>
          <cell r="P4">
            <v>415.26167374834171</v>
          </cell>
          <cell r="Q4">
            <v>410.80520195941153</v>
          </cell>
          <cell r="R4">
            <v>418.78522378611751</v>
          </cell>
          <cell r="S4">
            <v>440.42456407292622</v>
          </cell>
          <cell r="T4">
            <v>448.58813372451431</v>
          </cell>
          <cell r="U4">
            <v>443.1443064051586</v>
          </cell>
          <cell r="V4">
            <v>429.36706605582646</v>
          </cell>
        </row>
        <row r="5">
          <cell r="A5" t="str">
            <v>Average Price (US$'000/msf)</v>
          </cell>
          <cell r="B5">
            <v>608.18546367599663</v>
          </cell>
          <cell r="C5">
            <v>522.42082157416121</v>
          </cell>
          <cell r="D5">
            <v>489.24228250701594</v>
          </cell>
          <cell r="E5">
            <v>555.58731066018868</v>
          </cell>
          <cell r="F5">
            <v>607.01463684065175</v>
          </cell>
          <cell r="G5">
            <v>626.42610772088096</v>
          </cell>
          <cell r="H5">
            <v>656.53000271517783</v>
          </cell>
          <cell r="I5">
            <v>644.06345957011263</v>
          </cell>
          <cell r="J5">
            <v>708.40483980860097</v>
          </cell>
          <cell r="K5">
            <v>734.86576667066913</v>
          </cell>
          <cell r="L5">
            <v>698.27225408012703</v>
          </cell>
          <cell r="M5">
            <v>665.74273979212148</v>
          </cell>
          <cell r="N5">
            <v>656.6723544722322</v>
          </cell>
          <cell r="O5">
            <v>659.2351811879887</v>
          </cell>
          <cell r="P5">
            <v>657.40081555550705</v>
          </cell>
          <cell r="Q5">
            <v>655.14809155806415</v>
          </cell>
          <cell r="R5">
            <v>665.91247709870811</v>
          </cell>
          <cell r="S5">
            <v>680.7296245448199</v>
          </cell>
          <cell r="T5">
            <v>685.10333341811531</v>
          </cell>
          <cell r="U5">
            <v>687.81945190489648</v>
          </cell>
          <cell r="V5">
            <v>685.80903808903952</v>
          </cell>
        </row>
        <row r="6">
          <cell r="A6" t="str">
            <v>Sales (US$m)</v>
          </cell>
          <cell r="B6">
            <v>203.3</v>
          </cell>
          <cell r="C6">
            <v>166.6</v>
          </cell>
          <cell r="D6">
            <v>156.9</v>
          </cell>
          <cell r="E6">
            <v>194.4</v>
          </cell>
          <cell r="F6">
            <v>219.8</v>
          </cell>
          <cell r="G6">
            <v>236.1</v>
          </cell>
          <cell r="H6">
            <v>241.8</v>
          </cell>
          <cell r="I6">
            <v>251.7</v>
          </cell>
          <cell r="J6">
            <v>281.43069916327511</v>
          </cell>
          <cell r="K6">
            <v>292.12848968545592</v>
          </cell>
          <cell r="L6">
            <v>282.93599713442455</v>
          </cell>
          <cell r="M6">
            <v>283.80323306197687</v>
          </cell>
          <cell r="N6">
            <v>286.23644090435886</v>
          </cell>
          <cell r="O6">
            <v>283.04479839396555</v>
          </cell>
          <cell r="P6">
            <v>272.99336299110473</v>
          </cell>
          <cell r="Q6">
            <v>269.13824406583359</v>
          </cell>
          <cell r="R6">
            <v>278.87430574375037</v>
          </cell>
          <cell r="S6">
            <v>299.81004814167903</v>
          </cell>
          <cell r="T6">
            <v>307.32922574647603</v>
          </cell>
          <cell r="U6">
            <v>304.80327394637169</v>
          </cell>
          <cell r="V6">
            <v>294.46381455885944</v>
          </cell>
        </row>
        <row r="7">
          <cell r="A7" t="str">
            <v>% Change</v>
          </cell>
          <cell r="B7">
            <v>0</v>
          </cell>
          <cell r="C7">
            <v>-0.18052139695031977</v>
          </cell>
          <cell r="D7">
            <v>-5.8223289315726179E-2</v>
          </cell>
          <cell r="E7">
            <v>0.2390057361376674</v>
          </cell>
          <cell r="F7">
            <v>0.13065843621399176</v>
          </cell>
          <cell r="G7">
            <v>7.4158325750682375E-2</v>
          </cell>
          <cell r="H7">
            <v>2.414231257941557E-2</v>
          </cell>
          <cell r="I7">
            <v>4.0942928039702231E-2</v>
          </cell>
          <cell r="J7">
            <v>0.11811958348539986</v>
          </cell>
          <cell r="K7">
            <v>3.8012166241943479E-2</v>
          </cell>
          <cell r="L7">
            <v>-3.1467292221067589E-2</v>
          </cell>
          <cell r="M7">
            <v>3.065131112109043E-3</v>
          </cell>
          <cell r="N7">
            <v>8.5735733738121489E-3</v>
          </cell>
          <cell r="O7">
            <v>-1.1150371002061732E-2</v>
          </cell>
          <cell r="P7">
            <v>-3.5511818128769801E-2</v>
          </cell>
          <cell r="Q7">
            <v>-1.4121658061689746E-2</v>
          </cell>
          <cell r="R7">
            <v>3.6174946863126722E-2</v>
          </cell>
          <cell r="S7">
            <v>7.5072324580400362E-2</v>
          </cell>
          <cell r="T7">
            <v>2.5079805201337679E-2</v>
          </cell>
          <cell r="U7">
            <v>-8.2190419540121296E-3</v>
          </cell>
          <cell r="V7">
            <v>-3.3921746487970528E-2</v>
          </cell>
        </row>
        <row r="8">
          <cell r="A8" t="str">
            <v>EBITDA</v>
          </cell>
          <cell r="B8">
            <v>29.700000000000003</v>
          </cell>
          <cell r="C8">
            <v>13.5</v>
          </cell>
          <cell r="D8">
            <v>31.2</v>
          </cell>
          <cell r="E8">
            <v>38.799999999999997</v>
          </cell>
          <cell r="F8">
            <v>47.3</v>
          </cell>
          <cell r="G8">
            <v>56.9</v>
          </cell>
          <cell r="H8">
            <v>51.7</v>
          </cell>
          <cell r="I8">
            <v>49.5</v>
          </cell>
          <cell r="J8">
            <v>55.120930934787019</v>
          </cell>
          <cell r="K8">
            <v>57.975545200738054</v>
          </cell>
          <cell r="L8">
            <v>59.464963088854745</v>
          </cell>
          <cell r="M8">
            <v>64.564995412966653</v>
          </cell>
          <cell r="N8">
            <v>66.515351210092106</v>
          </cell>
          <cell r="O8">
            <v>63.872404465998642</v>
          </cell>
          <cell r="P8">
            <v>57.488097029756148</v>
          </cell>
          <cell r="Q8">
            <v>54.192612553648203</v>
          </cell>
          <cell r="R8">
            <v>59.833915423459899</v>
          </cell>
          <cell r="S8">
            <v>71.148900854080253</v>
          </cell>
          <cell r="T8">
            <v>73.574359614192218</v>
          </cell>
          <cell r="U8">
            <v>70.925335490915728</v>
          </cell>
          <cell r="V8">
            <v>63.878545561075384</v>
          </cell>
        </row>
        <row r="9">
          <cell r="A9" t="str">
            <v>% Change</v>
          </cell>
          <cell r="B9">
            <v>0</v>
          </cell>
          <cell r="C9">
            <v>-0.54545454545454553</v>
          </cell>
          <cell r="D9">
            <v>1.3111111111111109</v>
          </cell>
          <cell r="E9">
            <v>0.24358974358974361</v>
          </cell>
          <cell r="F9">
            <v>0.21907216494845372</v>
          </cell>
          <cell r="G9">
            <v>0.20295983086680769</v>
          </cell>
          <cell r="H9">
            <v>-9.1388400702987593E-2</v>
          </cell>
          <cell r="I9">
            <v>-4.2553191489361764E-2</v>
          </cell>
          <cell r="J9">
            <v>0.11355416029872756</v>
          </cell>
          <cell r="K9">
            <v>5.1788208536033276E-2</v>
          </cell>
          <cell r="L9">
            <v>2.5690450740215365E-2</v>
          </cell>
          <cell r="M9">
            <v>8.5765332377172321E-2</v>
          </cell>
          <cell r="N9">
            <v>3.0207634719877419E-2</v>
          </cell>
          <cell r="O9">
            <v>-3.9734387566346618E-2</v>
          </cell>
          <cell r="P9">
            <v>-9.9954080163696779E-2</v>
          </cell>
          <cell r="Q9">
            <v>-5.7324640166853791E-2</v>
          </cell>
          <cell r="R9">
            <v>0.10409726721012147</v>
          </cell>
          <cell r="S9">
            <v>0.18910655187014447</v>
          </cell>
          <cell r="T9">
            <v>3.408989781987426E-2</v>
          </cell>
          <cell r="U9">
            <v>-3.6004718724938822E-2</v>
          </cell>
          <cell r="V9">
            <v>-9.935504543003415E-2</v>
          </cell>
        </row>
        <row r="10">
          <cell r="A10" t="str">
            <v>EBITDA Margin</v>
          </cell>
          <cell r="B10">
            <v>0.14608952287260207</v>
          </cell>
          <cell r="C10">
            <v>8.1032412965186082E-2</v>
          </cell>
          <cell r="D10">
            <v>0.19885277246653918</v>
          </cell>
          <cell r="E10">
            <v>0.19958847736625512</v>
          </cell>
          <cell r="F10">
            <v>0.21519563239308459</v>
          </cell>
          <cell r="G10">
            <v>0.24099957645065651</v>
          </cell>
          <cell r="H10">
            <v>0.21381306865177832</v>
          </cell>
          <cell r="I10">
            <v>0.19666269368295591</v>
          </cell>
          <cell r="J10">
            <v>0.19585969511736886</v>
          </cell>
          <cell r="K10">
            <v>0.1984590591049924</v>
          </cell>
          <cell r="L10">
            <v>0.2101710764664653</v>
          </cell>
          <cell r="M10">
            <v>0.22749915396089573</v>
          </cell>
          <cell r="N10">
            <v>0.2323790464971478</v>
          </cell>
          <cell r="O10">
            <v>0.22566182042001584</v>
          </cell>
          <cell r="P10">
            <v>0.21058422959399695</v>
          </cell>
          <cell r="Q10">
            <v>0.2013560456327872</v>
          </cell>
          <cell r="R10">
            <v>0.21455513896801801</v>
          </cell>
          <cell r="S10">
            <v>0.23731326316474202</v>
          </cell>
          <cell r="T10">
            <v>0.23939916366719266</v>
          </cell>
          <cell r="U10">
            <v>0.23269217083079827</v>
          </cell>
          <cell r="V10">
            <v>0.21693173287445444</v>
          </cell>
        </row>
        <row r="11">
          <cell r="A11" t="str">
            <v>Depreciation &amp; Amortisation</v>
          </cell>
          <cell r="B11">
            <v>9.9</v>
          </cell>
          <cell r="C11">
            <v>9.1</v>
          </cell>
          <cell r="D11">
            <v>8.8000000000000007</v>
          </cell>
          <cell r="E11">
            <v>8.6999999999999993</v>
          </cell>
          <cell r="F11">
            <v>9.6999999999999993</v>
          </cell>
          <cell r="G11">
            <v>10.1</v>
          </cell>
          <cell r="H11">
            <v>10</v>
          </cell>
          <cell r="I11">
            <v>10.1</v>
          </cell>
          <cell r="J11">
            <v>10.882540828402368</v>
          </cell>
          <cell r="K11">
            <v>10.830893133727812</v>
          </cell>
          <cell r="L11">
            <v>10.834301881576332</v>
          </cell>
          <cell r="M11">
            <v>10.899816549188744</v>
          </cell>
          <cell r="N11">
            <v>10.961232226096739</v>
          </cell>
          <cell r="O11">
            <v>11.943273465977025</v>
          </cell>
          <cell r="P11">
            <v>12.864553418701137</v>
          </cell>
          <cell r="Q11">
            <v>13.789843616377564</v>
          </cell>
          <cell r="R11">
            <v>14.714869137887131</v>
          </cell>
          <cell r="S11">
            <v>15.63991212802371</v>
          </cell>
          <cell r="T11">
            <v>15.5788592906747</v>
          </cell>
          <cell r="U11">
            <v>16.568983452495942</v>
          </cell>
          <cell r="V11">
            <v>17.489729932371954</v>
          </cell>
        </row>
        <row r="12">
          <cell r="A12" t="str">
            <v>EBIT (US$m)</v>
          </cell>
          <cell r="B12">
            <v>19.8</v>
          </cell>
          <cell r="C12">
            <v>4.4000000000000004</v>
          </cell>
          <cell r="D12">
            <v>22.4</v>
          </cell>
          <cell r="E12">
            <v>30.1</v>
          </cell>
          <cell r="F12">
            <v>37.6</v>
          </cell>
          <cell r="G12">
            <v>46.8</v>
          </cell>
          <cell r="H12">
            <v>41.7</v>
          </cell>
          <cell r="I12">
            <v>39.4</v>
          </cell>
          <cell r="J12">
            <v>44.238390106384649</v>
          </cell>
          <cell r="K12">
            <v>47.144652067010242</v>
          </cell>
          <cell r="L12">
            <v>48.630661207278415</v>
          </cell>
          <cell r="M12">
            <v>53.665178863777903</v>
          </cell>
          <cell r="N12">
            <v>55.554118983995366</v>
          </cell>
          <cell r="O12">
            <v>51.92913100002162</v>
          </cell>
          <cell r="P12">
            <v>44.623543611055013</v>
          </cell>
          <cell r="Q12">
            <v>40.402768937270643</v>
          </cell>
          <cell r="R12">
            <v>45.119046285572772</v>
          </cell>
          <cell r="S12">
            <v>55.508988726056543</v>
          </cell>
          <cell r="T12">
            <v>57.995500323517518</v>
          </cell>
          <cell r="U12">
            <v>54.356352038419779</v>
          </cell>
          <cell r="V12">
            <v>46.388815628703426</v>
          </cell>
        </row>
        <row r="13">
          <cell r="A13" t="str">
            <v>% Change</v>
          </cell>
          <cell r="B13">
            <v>0</v>
          </cell>
          <cell r="C13">
            <v>-0.77777777777777779</v>
          </cell>
          <cell r="D13">
            <v>4.0909090909090899</v>
          </cell>
          <cell r="E13">
            <v>0.34375000000000022</v>
          </cell>
          <cell r="F13">
            <v>0.24916943521594681</v>
          </cell>
          <cell r="G13">
            <v>0.24468085106382964</v>
          </cell>
          <cell r="H13">
            <v>-0.10897435897435881</v>
          </cell>
          <cell r="I13">
            <v>-5.5155875299760293E-2</v>
          </cell>
          <cell r="J13">
            <v>0.12280177934986414</v>
          </cell>
          <cell r="K13">
            <v>6.5695472950905387E-2</v>
          </cell>
          <cell r="L13">
            <v>3.152020590068183E-2</v>
          </cell>
          <cell r="M13">
            <v>0.1035255851250072</v>
          </cell>
          <cell r="N13">
            <v>3.5198617804149901E-2</v>
          </cell>
          <cell r="O13">
            <v>-6.5251471002862438E-2</v>
          </cell>
          <cell r="P13">
            <v>-0.14068379825118904</v>
          </cell>
          <cell r="Q13">
            <v>-9.4586272900539337E-2</v>
          </cell>
          <cell r="R13">
            <v>0.11673153777219136</v>
          </cell>
          <cell r="S13">
            <v>0.23027841445766661</v>
          </cell>
          <cell r="T13">
            <v>4.4794755849943524E-2</v>
          </cell>
          <cell r="U13">
            <v>-6.2748804041648065E-2</v>
          </cell>
          <cell r="V13">
            <v>-0.14657967488481927</v>
          </cell>
        </row>
        <row r="14">
          <cell r="A14" t="str">
            <v>EBIT Margin</v>
          </cell>
          <cell r="B14">
            <v>9.7393015248401382E-2</v>
          </cell>
          <cell r="C14">
            <v>2.641056422569028E-2</v>
          </cell>
          <cell r="D14">
            <v>0.14276609305289992</v>
          </cell>
          <cell r="E14">
            <v>0.15483539094650206</v>
          </cell>
          <cell r="F14">
            <v>0.1710646041856233</v>
          </cell>
          <cell r="G14">
            <v>0.19822109275730621</v>
          </cell>
          <cell r="H14">
            <v>0.17245657568238212</v>
          </cell>
          <cell r="I14">
            <v>0.15653555820421136</v>
          </cell>
          <cell r="J14">
            <v>0.15719106066932401</v>
          </cell>
          <cell r="K14">
            <v>0.16138327390721938</v>
          </cell>
          <cell r="L14">
            <v>0.17187866407883653</v>
          </cell>
          <cell r="M14">
            <v>0.18909290879029034</v>
          </cell>
          <cell r="N14">
            <v>0.1940847182436769</v>
          </cell>
          <cell r="O14">
            <v>0.18346612018547781</v>
          </cell>
          <cell r="P14">
            <v>0.16346017764728235</v>
          </cell>
          <cell r="Q14">
            <v>0.15011901811839037</v>
          </cell>
          <cell r="R14">
            <v>0.16178990088470674</v>
          </cell>
          <cell r="S14">
            <v>0.18514719259784471</v>
          </cell>
          <cell r="T14">
            <v>0.18870805463636425</v>
          </cell>
          <cell r="U14">
            <v>0.17833257279245449</v>
          </cell>
          <cell r="V14">
            <v>0.15753655741436071</v>
          </cell>
        </row>
        <row r="16">
          <cell r="A16" t="str">
            <v>Volumes</v>
          </cell>
        </row>
        <row r="17">
          <cell r="A17" t="str">
            <v>Australia</v>
          </cell>
          <cell r="B17">
            <v>245.7</v>
          </cell>
          <cell r="C17">
            <v>219.4</v>
          </cell>
          <cell r="D17">
            <v>219.5</v>
          </cell>
          <cell r="E17">
            <v>254.4</v>
          </cell>
          <cell r="F17">
            <v>249.2</v>
          </cell>
          <cell r="G17">
            <v>241.72399999999999</v>
          </cell>
          <cell r="H17">
            <v>244.08119999999997</v>
          </cell>
          <cell r="I17">
            <v>240</v>
          </cell>
          <cell r="J17">
            <v>245.2057030626022</v>
          </cell>
          <cell r="K17">
            <v>245.43837470644885</v>
          </cell>
          <cell r="L17">
            <v>254.35779406861732</v>
          </cell>
          <cell r="M17">
            <v>275.2549723548089</v>
          </cell>
          <cell r="N17">
            <v>281.8418878560438</v>
          </cell>
          <cell r="O17">
            <v>271.47179467786867</v>
          </cell>
          <cell r="P17">
            <v>254.98429016084199</v>
          </cell>
          <cell r="Q17">
            <v>251.1899212867267</v>
          </cell>
          <cell r="R17">
            <v>260.42115089401392</v>
          </cell>
          <cell r="S17">
            <v>281.81647412228233</v>
          </cell>
          <cell r="T17">
            <v>286.85710636099708</v>
          </cell>
          <cell r="U17">
            <v>277.44018362588008</v>
          </cell>
          <cell r="V17">
            <v>261.16669545255166</v>
          </cell>
        </row>
        <row r="18">
          <cell r="A18" t="str">
            <v>New Zealand</v>
          </cell>
          <cell r="B18">
            <v>41.573033707865164</v>
          </cell>
          <cell r="C18">
            <v>37</v>
          </cell>
          <cell r="D18">
            <v>36.4</v>
          </cell>
          <cell r="E18">
            <v>44.3</v>
          </cell>
          <cell r="F18">
            <v>35</v>
          </cell>
          <cell r="G18">
            <v>41.576000000000022</v>
          </cell>
          <cell r="H18">
            <v>48.500000000000028</v>
          </cell>
          <cell r="I18">
            <v>54.75</v>
          </cell>
          <cell r="J18">
            <v>54.097120249097614</v>
          </cell>
          <cell r="K18">
            <v>53.137243141087986</v>
          </cell>
          <cell r="L18">
            <v>50.896374661809098</v>
          </cell>
          <cell r="M18">
            <v>50.101056976524383</v>
          </cell>
          <cell r="N18">
            <v>52.098378382088519</v>
          </cell>
          <cell r="O18">
            <v>54.912996480055561</v>
          </cell>
          <cell r="P18">
            <v>56.279192912969116</v>
          </cell>
          <cell r="Q18">
            <v>54.577108091408938</v>
          </cell>
          <cell r="R18">
            <v>52.275518585014922</v>
          </cell>
          <cell r="S18">
            <v>51.458650100484348</v>
          </cell>
          <cell r="T18">
            <v>53.510093114856105</v>
          </cell>
          <cell r="U18">
            <v>56.400979188130805</v>
          </cell>
          <cell r="V18">
            <v>57.804195576215584</v>
          </cell>
        </row>
        <row r="19">
          <cell r="A19" t="str">
            <v>Philippines</v>
          </cell>
          <cell r="B19">
            <v>47</v>
          </cell>
          <cell r="C19">
            <v>62.9</v>
          </cell>
          <cell r="D19">
            <v>64.8</v>
          </cell>
          <cell r="E19">
            <v>69.7</v>
          </cell>
          <cell r="F19">
            <v>77.900000000000006</v>
          </cell>
          <cell r="G19">
            <v>93.48</v>
          </cell>
          <cell r="H19">
            <v>75.718800000000002</v>
          </cell>
          <cell r="I19">
            <v>96.050000000000011</v>
          </cell>
          <cell r="J19">
            <v>97.971000000000018</v>
          </cell>
          <cell r="K19">
            <v>98.950710000000015</v>
          </cell>
          <cell r="L19">
            <v>99.940217100000012</v>
          </cell>
          <cell r="M19">
            <v>100.93961927100001</v>
          </cell>
          <cell r="N19">
            <v>101.94901546371001</v>
          </cell>
          <cell r="O19">
            <v>102.96850561834711</v>
          </cell>
          <cell r="P19">
            <v>103.99819067453058</v>
          </cell>
          <cell r="Q19">
            <v>105.03817258127589</v>
          </cell>
          <cell r="R19">
            <v>106.08855430708864</v>
          </cell>
          <cell r="S19">
            <v>107.14943985015952</v>
          </cell>
          <cell r="T19">
            <v>108.22093424866112</v>
          </cell>
          <cell r="U19">
            <v>109.30314359114773</v>
          </cell>
          <cell r="V19">
            <v>110.39617502705921</v>
          </cell>
        </row>
        <row r="20">
          <cell r="A20" t="str">
            <v>Total</v>
          </cell>
          <cell r="B20">
            <v>334.27303370786512</v>
          </cell>
          <cell r="C20">
            <v>318.89999999999998</v>
          </cell>
          <cell r="D20">
            <v>320.7</v>
          </cell>
          <cell r="E20">
            <v>349.9</v>
          </cell>
          <cell r="F20">
            <v>362.1</v>
          </cell>
          <cell r="G20">
            <v>376.9</v>
          </cell>
          <cell r="H20">
            <v>368.3</v>
          </cell>
          <cell r="I20">
            <v>390.8</v>
          </cell>
          <cell r="J20">
            <v>397.2738233116998</v>
          </cell>
          <cell r="K20">
            <v>397.52632784753683</v>
          </cell>
          <cell r="L20">
            <v>405.19438583042643</v>
          </cell>
          <cell r="M20">
            <v>426.2956486023333</v>
          </cell>
          <cell r="N20">
            <v>435.88928170184232</v>
          </cell>
          <cell r="O20">
            <v>429.35329677627135</v>
          </cell>
          <cell r="P20">
            <v>415.26167374834171</v>
          </cell>
          <cell r="Q20">
            <v>410.80520195941153</v>
          </cell>
          <cell r="R20">
            <v>418.78522378611751</v>
          </cell>
          <cell r="S20">
            <v>440.42456407292622</v>
          </cell>
          <cell r="T20">
            <v>448.58813372451431</v>
          </cell>
          <cell r="U20">
            <v>443.1443064051586</v>
          </cell>
          <cell r="V20">
            <v>429.36706605582646</v>
          </cell>
        </row>
        <row r="21">
          <cell r="A21" t="str">
            <v>% Change</v>
          </cell>
          <cell r="B21">
            <v>0</v>
          </cell>
          <cell r="C21">
            <v>-4.5989452207204629E-2</v>
          </cell>
          <cell r="D21">
            <v>5.6444026340545239E-3</v>
          </cell>
          <cell r="E21">
            <v>9.1050826317430555E-2</v>
          </cell>
          <cell r="F21">
            <v>3.4867104887110756E-2</v>
          </cell>
          <cell r="G21">
            <v>4.0872687103010064E-2</v>
          </cell>
          <cell r="H21">
            <v>-2.2817723534093837E-2</v>
          </cell>
          <cell r="I21">
            <v>6.1091501493347744E-2</v>
          </cell>
          <cell r="J21">
            <v>1.6565566304247215E-2</v>
          </cell>
          <cell r="K21">
            <v>6.3559318792294484E-4</v>
          </cell>
          <cell r="L21">
            <v>1.9289434298375596E-2</v>
          </cell>
          <cell r="M21">
            <v>5.2076888303032254E-2</v>
          </cell>
          <cell r="N21">
            <v>2.2504647023639635E-2</v>
          </cell>
          <cell r="O21">
            <v>-1.4994598857885455E-2</v>
          </cell>
          <cell r="P21">
            <v>-3.2820577211667534E-2</v>
          </cell>
          <cell r="Q21">
            <v>-1.0731719469085688E-2</v>
          </cell>
          <cell r="R21">
            <v>1.9425318347099374E-2</v>
          </cell>
          <cell r="S21">
            <v>5.1671690063879616E-2</v>
          </cell>
          <cell r="T21">
            <v>1.8535681970355267E-2</v>
          </cell>
          <cell r="U21">
            <v>-1.2135468841221853E-2</v>
          </cell>
          <cell r="V21">
            <v>-3.1089737925541261E-2</v>
          </cell>
        </row>
        <row r="23">
          <cell r="A23" t="str">
            <v>Average price (US$'000/msf)</v>
          </cell>
        </row>
        <row r="24">
          <cell r="A24" t="str">
            <v>Australia</v>
          </cell>
          <cell r="B24">
            <v>572.64957264957263</v>
          </cell>
          <cell r="C24">
            <v>505.92525068368275</v>
          </cell>
          <cell r="D24">
            <v>458.76993166287019</v>
          </cell>
          <cell r="E24">
            <v>490.17295597484281</v>
          </cell>
          <cell r="F24">
            <v>635.63402889245594</v>
          </cell>
          <cell r="G24">
            <v>663.98040740679448</v>
          </cell>
          <cell r="H24">
            <v>673.95604413613182</v>
          </cell>
          <cell r="I24">
            <v>704.16666666666674</v>
          </cell>
          <cell r="J24">
            <v>789.2505599787338</v>
          </cell>
          <cell r="K24">
            <v>823.92590849468127</v>
          </cell>
          <cell r="L24">
            <v>783.18990687357541</v>
          </cell>
          <cell r="M24">
            <v>742.32013236579007</v>
          </cell>
          <cell r="N24">
            <v>725.39426615549519</v>
          </cell>
          <cell r="O24">
            <v>725.39426615549507</v>
          </cell>
          <cell r="P24">
            <v>725.39426615549519</v>
          </cell>
          <cell r="Q24">
            <v>725.39426615549519</v>
          </cell>
          <cell r="R24">
            <v>743.52912280938267</v>
          </cell>
          <cell r="S24">
            <v>762.11735087961711</v>
          </cell>
          <cell r="T24">
            <v>762.11735087961699</v>
          </cell>
          <cell r="U24">
            <v>762.11735087961711</v>
          </cell>
          <cell r="V24">
            <v>762.11735087961711</v>
          </cell>
        </row>
        <row r="25">
          <cell r="A25" t="str">
            <v>New Zealand</v>
          </cell>
          <cell r="B25">
            <v>1171.4324324324325</v>
          </cell>
          <cell r="C25">
            <v>1027.0270270270269</v>
          </cell>
          <cell r="D25">
            <v>1043.9560439560439</v>
          </cell>
          <cell r="E25">
            <v>1167.0428893905196</v>
          </cell>
          <cell r="F25">
            <v>1160.0000000000002</v>
          </cell>
          <cell r="G25">
            <v>1192.9959592072344</v>
          </cell>
          <cell r="H25">
            <v>1105.1546391752572</v>
          </cell>
          <cell r="I25">
            <v>993.60730593607309</v>
          </cell>
          <cell r="J25">
            <v>1081.8318478406143</v>
          </cell>
          <cell r="K25">
            <v>1129.3616162839025</v>
          </cell>
          <cell r="L25">
            <v>1047.3409402409375</v>
          </cell>
          <cell r="M25">
            <v>968.47490558424033</v>
          </cell>
          <cell r="N25">
            <v>965.32026419797239</v>
          </cell>
          <cell r="O25">
            <v>984.62666948193203</v>
          </cell>
          <cell r="P25">
            <v>984.6266694819318</v>
          </cell>
          <cell r="Q25">
            <v>984.6266694819318</v>
          </cell>
          <cell r="R25">
            <v>984.6266694819318</v>
          </cell>
          <cell r="S25">
            <v>984.62666948193191</v>
          </cell>
          <cell r="T25">
            <v>1004.3192028715706</v>
          </cell>
          <cell r="U25">
            <v>1024.4055869290021</v>
          </cell>
          <cell r="V25">
            <v>1024.4055869290021</v>
          </cell>
        </row>
        <row r="26">
          <cell r="A26" t="str">
            <v>Philippines</v>
          </cell>
          <cell r="B26">
            <v>295.74468085106383</v>
          </cell>
          <cell r="C26">
            <v>279.80922098569158</v>
          </cell>
          <cell r="D26">
            <v>280.8641975308642</v>
          </cell>
          <cell r="E26">
            <v>258.24964131994261</v>
          </cell>
          <cell r="F26">
            <v>267.0089858793325</v>
          </cell>
          <cell r="G26">
            <v>278.1343602909713</v>
          </cell>
          <cell r="H26">
            <v>313.00020602545203</v>
          </cell>
          <cell r="I26">
            <v>294.6382092660071</v>
          </cell>
          <cell r="J26">
            <v>299.86397147319087</v>
          </cell>
          <cell r="K26">
            <v>302.11295125923976</v>
          </cell>
          <cell r="L26">
            <v>304.37879839368412</v>
          </cell>
          <cell r="M26">
            <v>306.66163938163675</v>
          </cell>
          <cell r="N26">
            <v>308.96160167699912</v>
          </cell>
          <cell r="O26">
            <v>311.27881368957657</v>
          </cell>
          <cell r="P26">
            <v>313.61340479224845</v>
          </cell>
          <cell r="Q26">
            <v>315.96550532819032</v>
          </cell>
          <cell r="R26">
            <v>318.33524661815181</v>
          </cell>
          <cell r="S26">
            <v>320.72276096778796</v>
          </cell>
          <cell r="T26">
            <v>323.12818167504639</v>
          </cell>
          <cell r="U26">
            <v>325.55164303760927</v>
          </cell>
          <cell r="V26">
            <v>327.99328036039134</v>
          </cell>
        </row>
        <row r="27">
          <cell r="A27" t="str">
            <v>Total (US$m)</v>
          </cell>
          <cell r="B27">
            <v>608.18546367599663</v>
          </cell>
          <cell r="C27">
            <v>522.42082157416121</v>
          </cell>
          <cell r="D27">
            <v>489.24228250701594</v>
          </cell>
          <cell r="E27">
            <v>555.58731066018868</v>
          </cell>
          <cell r="F27">
            <v>607.01463684065175</v>
          </cell>
          <cell r="G27">
            <v>626.42610772088096</v>
          </cell>
          <cell r="H27">
            <v>656.53000271517783</v>
          </cell>
          <cell r="I27">
            <v>644.06345957011263</v>
          </cell>
          <cell r="J27">
            <v>708.40483980860097</v>
          </cell>
          <cell r="K27">
            <v>734.86576667066913</v>
          </cell>
          <cell r="L27">
            <v>698.27225408012703</v>
          </cell>
          <cell r="M27">
            <v>665.74273979212148</v>
          </cell>
          <cell r="N27">
            <v>656.6723544722322</v>
          </cell>
          <cell r="O27">
            <v>659.2351811879887</v>
          </cell>
          <cell r="P27">
            <v>657.40081555550705</v>
          </cell>
          <cell r="Q27">
            <v>655.14809155806415</v>
          </cell>
          <cell r="R27">
            <v>665.91247709870811</v>
          </cell>
          <cell r="S27">
            <v>680.7296245448199</v>
          </cell>
          <cell r="T27">
            <v>685.10333341811531</v>
          </cell>
          <cell r="U27">
            <v>687.81945190489648</v>
          </cell>
          <cell r="V27">
            <v>685.80903808903952</v>
          </cell>
        </row>
        <row r="28">
          <cell r="A28" t="str">
            <v>% Change</v>
          </cell>
          <cell r="B28">
            <v>0</v>
          </cell>
          <cell r="C28">
            <v>-0.14101725086202566</v>
          </cell>
          <cell r="D28">
            <v>-6.350922033921147E-2</v>
          </cell>
          <cell r="E28">
            <v>0.13560771528822491</v>
          </cell>
          <cell r="F28">
            <v>9.2563896247654487E-2</v>
          </cell>
          <cell r="G28">
            <v>3.197858783317109E-2</v>
          </cell>
          <cell r="H28">
            <v>4.8056577820205337E-2</v>
          </cell>
          <cell r="I28">
            <v>-1.8988535319799493E-2</v>
          </cell>
          <cell r="J28">
            <v>9.9899131494641358E-2</v>
          </cell>
          <cell r="K28">
            <v>3.7352831848547874E-2</v>
          </cell>
          <cell r="L28">
            <v>-4.9796186256341857E-2</v>
          </cell>
          <cell r="M28">
            <v>-4.6585717960193729E-2</v>
          </cell>
          <cell r="N28">
            <v>-1.3624459986933513E-2</v>
          </cell>
          <cell r="O28">
            <v>3.9027479964741651E-3</v>
          </cell>
          <cell r="P28">
            <v>-2.782566350867377E-3</v>
          </cell>
          <cell r="Q28">
            <v>-3.4267131164711362E-3</v>
          </cell>
          <cell r="R28">
            <v>1.6430461569451049E-2</v>
          </cell>
          <cell r="S28">
            <v>2.2250893256525517E-2</v>
          </cell>
          <cell r="T28">
            <v>6.4250309015418949E-3</v>
          </cell>
          <cell r="U28">
            <v>3.9645384196715927E-3</v>
          </cell>
          <cell r="V28">
            <v>-2.9228801399686644E-3</v>
          </cell>
        </row>
        <row r="30">
          <cell r="A30" t="str">
            <v>Sales (US$m)</v>
          </cell>
        </row>
        <row r="31">
          <cell r="A31" t="str">
            <v>Australia</v>
          </cell>
          <cell r="B31">
            <v>140.69999999999999</v>
          </cell>
          <cell r="C31">
            <v>111</v>
          </cell>
          <cell r="D31">
            <v>100.7</v>
          </cell>
          <cell r="E31">
            <v>124.7</v>
          </cell>
          <cell r="F31">
            <v>158.4</v>
          </cell>
          <cell r="G31">
            <v>160.5</v>
          </cell>
          <cell r="H31">
            <v>164.5</v>
          </cell>
          <cell r="I31">
            <v>169</v>
          </cell>
          <cell r="J31">
            <v>193.5287384521379</v>
          </cell>
          <cell r="K31">
            <v>202.22303585946887</v>
          </cell>
          <cell r="L31">
            <v>199.21045704916847</v>
          </cell>
          <cell r="M31">
            <v>204.32730751276364</v>
          </cell>
          <cell r="N31">
            <v>204.44648941321427</v>
          </cell>
          <cell r="O31">
            <v>196.92408328226779</v>
          </cell>
          <cell r="P31">
            <v>184.96414204240384</v>
          </cell>
          <cell r="Q31">
            <v>182.21172861744171</v>
          </cell>
          <cell r="R31">
            <v>193.63070988523606</v>
          </cell>
          <cell r="S31">
            <v>214.77722469230798</v>
          </cell>
          <cell r="T31">
            <v>218.6187779808356</v>
          </cell>
          <cell r="U31">
            <v>211.44197777251026</v>
          </cell>
          <cell r="V31">
            <v>199.03967007628242</v>
          </cell>
        </row>
        <row r="32">
          <cell r="A32" t="str">
            <v>New Zealand</v>
          </cell>
          <cell r="B32">
            <v>48.7</v>
          </cell>
          <cell r="C32">
            <v>38</v>
          </cell>
          <cell r="D32">
            <v>38</v>
          </cell>
          <cell r="E32">
            <v>51.700000000000017</v>
          </cell>
          <cell r="F32">
            <v>40.6</v>
          </cell>
          <cell r="G32">
            <v>49.6</v>
          </cell>
          <cell r="H32">
            <v>53.6</v>
          </cell>
          <cell r="I32">
            <v>54.4</v>
          </cell>
          <cell r="J32">
            <v>58.52398756193719</v>
          </cell>
          <cell r="K32">
            <v>60.011162798689845</v>
          </cell>
          <cell r="L32">
            <v>53.305856893154164</v>
          </cell>
          <cell r="M32">
            <v>48.521616425010095</v>
          </cell>
          <cell r="N32">
            <v>50.291620384083622</v>
          </cell>
          <cell r="O32">
            <v>54.06880083543016</v>
          </cell>
          <cell r="P32">
            <v>55.413994279027918</v>
          </cell>
          <cell r="Q32">
            <v>53.738076169999374</v>
          </cell>
          <cell r="R32">
            <v>51.471869759804072</v>
          </cell>
          <cell r="S32">
            <v>50.667559264475983</v>
          </cell>
          <cell r="T32">
            <v>53.741214062695796</v>
          </cell>
          <cell r="U32">
            <v>57.777478188587565</v>
          </cell>
          <cell r="V32">
            <v>59.214940896211949</v>
          </cell>
        </row>
        <row r="33">
          <cell r="A33" t="str">
            <v>Philippines</v>
          </cell>
          <cell r="B33">
            <v>13.9</v>
          </cell>
          <cell r="C33">
            <v>17.600000000000001</v>
          </cell>
          <cell r="D33">
            <v>18.2</v>
          </cell>
          <cell r="E33">
            <v>18</v>
          </cell>
          <cell r="F33">
            <v>20.8</v>
          </cell>
          <cell r="G33">
            <v>26</v>
          </cell>
          <cell r="H33">
            <v>23.7</v>
          </cell>
          <cell r="I33">
            <v>28.299999999999983</v>
          </cell>
          <cell r="J33">
            <v>29.377973149199988</v>
          </cell>
          <cell r="K33">
            <v>29.894291027297175</v>
          </cell>
          <cell r="L33">
            <v>30.419683192101928</v>
          </cell>
          <cell r="M33">
            <v>30.954309124203117</v>
          </cell>
          <cell r="N33">
            <v>31.498331107060991</v>
          </cell>
          <cell r="O33">
            <v>32.051914276267588</v>
          </cell>
          <cell r="P33">
            <v>32.615226669672992</v>
          </cell>
          <cell r="Q33">
            <v>33.188439278392501</v>
          </cell>
          <cell r="R33">
            <v>33.771726098710253</v>
          </cell>
          <cell r="S33">
            <v>34.365264184895089</v>
          </cell>
          <cell r="T33">
            <v>34.969233702944621</v>
          </cell>
          <cell r="U33">
            <v>35.583817985273875</v>
          </cell>
          <cell r="V33">
            <v>36.209203586365064</v>
          </cell>
        </row>
        <row r="34">
          <cell r="A34" t="str">
            <v>Total (US$m)</v>
          </cell>
          <cell r="B34">
            <v>203.3</v>
          </cell>
          <cell r="C34">
            <v>166.6</v>
          </cell>
          <cell r="D34">
            <v>156.9</v>
          </cell>
          <cell r="E34">
            <v>194.4</v>
          </cell>
          <cell r="F34">
            <v>219.8</v>
          </cell>
          <cell r="G34">
            <v>236.1</v>
          </cell>
          <cell r="H34">
            <v>241.8</v>
          </cell>
          <cell r="I34">
            <v>251.7</v>
          </cell>
          <cell r="J34">
            <v>281.43069916327511</v>
          </cell>
          <cell r="K34">
            <v>292.12848968545592</v>
          </cell>
          <cell r="L34">
            <v>282.93599713442455</v>
          </cell>
          <cell r="M34">
            <v>283.80323306197687</v>
          </cell>
          <cell r="N34">
            <v>286.23644090435886</v>
          </cell>
          <cell r="O34">
            <v>283.04479839396555</v>
          </cell>
          <cell r="P34">
            <v>272.99336299110473</v>
          </cell>
          <cell r="Q34">
            <v>269.13824406583359</v>
          </cell>
          <cell r="R34">
            <v>278.87430574375037</v>
          </cell>
          <cell r="S34">
            <v>299.81004814167903</v>
          </cell>
          <cell r="T34">
            <v>307.32922574647603</v>
          </cell>
          <cell r="U34">
            <v>304.80327394637169</v>
          </cell>
          <cell r="V34">
            <v>294.46381455885944</v>
          </cell>
        </row>
        <row r="35">
          <cell r="A35" t="str">
            <v>% Change</v>
          </cell>
          <cell r="B35">
            <v>0</v>
          </cell>
          <cell r="C35">
            <v>-0.18052139695031977</v>
          </cell>
          <cell r="D35">
            <v>-5.8223289315726179E-2</v>
          </cell>
          <cell r="E35">
            <v>0.2390057361376674</v>
          </cell>
          <cell r="F35">
            <v>0.13065843621399176</v>
          </cell>
          <cell r="G35">
            <v>7.4158325750682375E-2</v>
          </cell>
          <cell r="H35">
            <v>2.414231257941557E-2</v>
          </cell>
          <cell r="I35">
            <v>4.0942928039702231E-2</v>
          </cell>
          <cell r="J35">
            <v>0.11811958348539986</v>
          </cell>
          <cell r="K35">
            <v>3.8012166241943479E-2</v>
          </cell>
          <cell r="L35">
            <v>-3.1467292221067589E-2</v>
          </cell>
          <cell r="M35">
            <v>3.065131112109043E-3</v>
          </cell>
          <cell r="N35">
            <v>8.5735733738121489E-3</v>
          </cell>
          <cell r="O35">
            <v>-1.1150371002061732E-2</v>
          </cell>
          <cell r="P35">
            <v>-3.5511818128769801E-2</v>
          </cell>
          <cell r="Q35">
            <v>-1.4121658061689746E-2</v>
          </cell>
          <cell r="R35">
            <v>3.6174946863126722E-2</v>
          </cell>
          <cell r="S35">
            <v>7.5072324580400362E-2</v>
          </cell>
          <cell r="T35">
            <v>2.5079805201337679E-2</v>
          </cell>
          <cell r="U35">
            <v>-8.2190419540121296E-3</v>
          </cell>
          <cell r="V35">
            <v>-3.3921746487970528E-2</v>
          </cell>
        </row>
        <row r="37">
          <cell r="A37" t="str">
            <v>EBITDA (US$m)</v>
          </cell>
        </row>
        <row r="38">
          <cell r="A38" t="str">
            <v>Australia</v>
          </cell>
          <cell r="B38">
            <v>26.10153846153846</v>
          </cell>
          <cell r="C38">
            <v>10.86</v>
          </cell>
          <cell r="D38">
            <v>23.862068965517238</v>
          </cell>
          <cell r="E38">
            <v>29.17704918032787</v>
          </cell>
          <cell r="F38">
            <v>34.92068965517241</v>
          </cell>
          <cell r="G38">
            <v>39.168965517241375</v>
          </cell>
          <cell r="H38">
            <v>36.028696551724131</v>
          </cell>
          <cell r="I38">
            <v>33.070923076923073</v>
          </cell>
          <cell r="J38">
            <v>38.000588098069429</v>
          </cell>
          <cell r="K38">
            <v>40.934333872722512</v>
          </cell>
          <cell r="L38">
            <v>44.150410742716574</v>
          </cell>
          <cell r="M38">
            <v>50.21619619194702</v>
          </cell>
          <cell r="N38">
            <v>50.650916777971624</v>
          </cell>
          <cell r="O38">
            <v>45.909363209891453</v>
          </cell>
          <cell r="P38">
            <v>39.028455506690356</v>
          </cell>
          <cell r="Q38">
            <v>36.4963033367777</v>
          </cell>
          <cell r="R38">
            <v>43.149546569208688</v>
          </cell>
          <cell r="S38">
            <v>54.871307725134571</v>
          </cell>
          <cell r="T38">
            <v>55.477905164920969</v>
          </cell>
          <cell r="U38">
            <v>50.533403188282662</v>
          </cell>
          <cell r="V38">
            <v>42.938127838450711</v>
          </cell>
        </row>
        <row r="39">
          <cell r="A39" t="str">
            <v>New Zealand</v>
          </cell>
          <cell r="B39">
            <v>8.5707692307692316</v>
          </cell>
          <cell r="C39">
            <v>5.26</v>
          </cell>
          <cell r="D39">
            <v>6.3379310344827591</v>
          </cell>
          <cell r="E39">
            <v>7.304371584699453</v>
          </cell>
          <cell r="F39">
            <v>7.7543103448275863</v>
          </cell>
          <cell r="G39">
            <v>10.806034482758621</v>
          </cell>
          <cell r="H39">
            <v>10.293103448275861</v>
          </cell>
          <cell r="I39">
            <v>9.9567307692307683</v>
          </cell>
          <cell r="J39">
            <v>10.253408288035136</v>
          </cell>
          <cell r="K39">
            <v>9.946498342680183</v>
          </cell>
          <cell r="L39">
            <v>7.9874577582427868</v>
          </cell>
          <cell r="M39">
            <v>6.7846447384358433</v>
          </cell>
          <cell r="N39">
            <v>8.05846566825001</v>
          </cell>
          <cell r="O39">
            <v>9.9104267554959105</v>
          </cell>
          <cell r="P39">
            <v>10.15547178106538</v>
          </cell>
          <cell r="Q39">
            <v>9.1355956935435341</v>
          </cell>
          <cell r="R39">
            <v>7.8620429827262539</v>
          </cell>
          <cell r="S39">
            <v>7.1885053184410896</v>
          </cell>
          <cell r="T39">
            <v>8.7353730830176968</v>
          </cell>
          <cell r="U39">
            <v>10.75354273093776</v>
          </cell>
          <cell r="V39">
            <v>11.019321251332574</v>
          </cell>
        </row>
        <row r="40">
          <cell r="A40" t="str">
            <v>Philippines</v>
          </cell>
          <cell r="B40">
            <v>-4.9723076923076892</v>
          </cell>
          <cell r="C40">
            <v>-2.62</v>
          </cell>
          <cell r="D40">
            <v>1.0000000000000002</v>
          </cell>
          <cell r="E40">
            <v>2.3185792349726779</v>
          </cell>
          <cell r="F40">
            <v>4.625</v>
          </cell>
          <cell r="G40">
            <v>6.9250000000000007</v>
          </cell>
          <cell r="H40">
            <v>5.3782000000000068</v>
          </cell>
          <cell r="I40">
            <v>6.4723461538461526</v>
          </cell>
          <cell r="J40">
            <v>6.8669345486824609</v>
          </cell>
          <cell r="K40">
            <v>7.094712985335355</v>
          </cell>
          <cell r="L40">
            <v>7.3270945878953899</v>
          </cell>
          <cell r="M40">
            <v>7.5641544825837848</v>
          </cell>
          <cell r="N40">
            <v>7.8059687638704691</v>
          </cell>
          <cell r="O40">
            <v>8.0526145006112877</v>
          </cell>
          <cell r="P40">
            <v>8.3041697420004112</v>
          </cell>
          <cell r="Q40">
            <v>8.560713523326978</v>
          </cell>
          <cell r="R40">
            <v>8.82232587152496</v>
          </cell>
          <cell r="S40">
            <v>9.0890878105045942</v>
          </cell>
          <cell r="T40">
            <v>9.3610813662535506</v>
          </cell>
          <cell r="U40">
            <v>9.6383895716952992</v>
          </cell>
          <cell r="V40">
            <v>9.9210964712920919</v>
          </cell>
        </row>
        <row r="41">
          <cell r="A41" t="str">
            <v>Total (US$m)</v>
          </cell>
          <cell r="B41">
            <v>29.700000000000003</v>
          </cell>
          <cell r="C41">
            <v>13.5</v>
          </cell>
          <cell r="D41">
            <v>31.2</v>
          </cell>
          <cell r="E41">
            <v>38.799999999999997</v>
          </cell>
          <cell r="F41">
            <v>47.3</v>
          </cell>
          <cell r="G41">
            <v>56.9</v>
          </cell>
          <cell r="H41">
            <v>51.7</v>
          </cell>
          <cell r="I41">
            <v>49.5</v>
          </cell>
          <cell r="J41">
            <v>55.120930934787019</v>
          </cell>
          <cell r="K41">
            <v>57.975545200738054</v>
          </cell>
          <cell r="L41">
            <v>59.464963088854745</v>
          </cell>
          <cell r="M41">
            <v>64.564995412966653</v>
          </cell>
          <cell r="N41">
            <v>66.515351210092106</v>
          </cell>
          <cell r="O41">
            <v>63.872404465998642</v>
          </cell>
          <cell r="P41">
            <v>57.488097029756148</v>
          </cell>
          <cell r="Q41">
            <v>54.192612553648203</v>
          </cell>
          <cell r="R41">
            <v>59.833915423459899</v>
          </cell>
          <cell r="S41">
            <v>71.148900854080253</v>
          </cell>
          <cell r="T41">
            <v>73.574359614192218</v>
          </cell>
          <cell r="U41">
            <v>70.925335490915728</v>
          </cell>
          <cell r="V41">
            <v>63.878545561075384</v>
          </cell>
        </row>
        <row r="42">
          <cell r="A42" t="str">
            <v>% Change</v>
          </cell>
          <cell r="B42">
            <v>0</v>
          </cell>
          <cell r="C42">
            <v>-0.54545454545454553</v>
          </cell>
          <cell r="D42">
            <v>1.3111111111111109</v>
          </cell>
          <cell r="E42">
            <v>0.24358974358974361</v>
          </cell>
          <cell r="F42">
            <v>0.21907216494845372</v>
          </cell>
          <cell r="G42">
            <v>0.20295983086680769</v>
          </cell>
          <cell r="H42">
            <v>-9.1388400702987593E-2</v>
          </cell>
          <cell r="I42">
            <v>-4.2553191489361764E-2</v>
          </cell>
          <cell r="J42">
            <v>0.11355416029872756</v>
          </cell>
          <cell r="K42">
            <v>5.1788208536033276E-2</v>
          </cell>
          <cell r="L42">
            <v>2.5690450740215365E-2</v>
          </cell>
          <cell r="M42">
            <v>8.5765332377172321E-2</v>
          </cell>
          <cell r="N42">
            <v>3.0207634719877419E-2</v>
          </cell>
          <cell r="O42">
            <v>-3.9734387566346618E-2</v>
          </cell>
          <cell r="P42">
            <v>-9.9954080163696779E-2</v>
          </cell>
          <cell r="Q42">
            <v>-5.7324640166853791E-2</v>
          </cell>
          <cell r="R42">
            <v>0.10409726721012147</v>
          </cell>
          <cell r="S42">
            <v>0.18910655187014447</v>
          </cell>
          <cell r="T42">
            <v>3.408989781987426E-2</v>
          </cell>
          <cell r="U42">
            <v>-3.6004718724938822E-2</v>
          </cell>
          <cell r="V42">
            <v>-9.935504543003415E-2</v>
          </cell>
        </row>
        <row r="44">
          <cell r="A44" t="str">
            <v>EBITDA Margin (%)</v>
          </cell>
        </row>
        <row r="45">
          <cell r="A45" t="str">
            <v>Australia</v>
          </cell>
          <cell r="B45">
            <v>0.18551200043737359</v>
          </cell>
          <cell r="C45">
            <v>9.7837837837837838E-2</v>
          </cell>
          <cell r="D45">
            <v>0.23696195596342837</v>
          </cell>
          <cell r="E45">
            <v>0.23397794049982254</v>
          </cell>
          <cell r="F45">
            <v>0.22045889933820964</v>
          </cell>
          <cell r="G45">
            <v>0.24404339886131698</v>
          </cell>
          <cell r="H45">
            <v>0.21901943192537465</v>
          </cell>
          <cell r="I45">
            <v>0.19568593536640871</v>
          </cell>
          <cell r="J45">
            <v>0.19635630553891847</v>
          </cell>
          <cell r="K45">
            <v>0.20242171569993175</v>
          </cell>
          <cell r="L45">
            <v>0.22162697378792476</v>
          </cell>
          <cell r="M45">
            <v>0.24576350955346574</v>
          </cell>
          <cell r="N45">
            <v>0.24774657135637682</v>
          </cell>
          <cell r="O45">
            <v>0.23313229364681473</v>
          </cell>
          <cell r="P45">
            <v>0.21100552288531099</v>
          </cell>
          <cell r="Q45">
            <v>0.20029612590637699</v>
          </cell>
          <cell r="R45">
            <v>0.22284454049041708</v>
          </cell>
          <cell r="S45">
            <v>0.25548010411133565</v>
          </cell>
          <cell r="T45">
            <v>0.25376550759873073</v>
          </cell>
          <cell r="U45">
            <v>0.23899418516909346</v>
          </cell>
          <cell r="V45">
            <v>0.21572648217309934</v>
          </cell>
        </row>
        <row r="46">
          <cell r="A46" t="str">
            <v>New Zealand</v>
          </cell>
          <cell r="B46">
            <v>0.1759911546359185</v>
          </cell>
          <cell r="C46">
            <v>0.13842105263157894</v>
          </cell>
          <cell r="D46">
            <v>0.16678765880217786</v>
          </cell>
          <cell r="E46">
            <v>0.14128378306962186</v>
          </cell>
          <cell r="F46">
            <v>0.19099286563614745</v>
          </cell>
          <cell r="G46">
            <v>0.21786359844271413</v>
          </cell>
          <cell r="H46">
            <v>0.19203551209469891</v>
          </cell>
          <cell r="I46">
            <v>0.18302813914027147</v>
          </cell>
          <cell r="J46">
            <v>0.17520009683522905</v>
          </cell>
          <cell r="K46">
            <v>0.16574413623755568</v>
          </cell>
          <cell r="L46">
            <v>0.14984202907107907</v>
          </cell>
          <cell r="M46">
            <v>0.13982726129747711</v>
          </cell>
          <cell r="N46">
            <v>0.16023475892616829</v>
          </cell>
          <cell r="O46">
            <v>0.18329288984344949</v>
          </cell>
          <cell r="P46">
            <v>0.18326547135240237</v>
          </cell>
          <cell r="Q46">
            <v>0.17000228412798501</v>
          </cell>
          <cell r="R46">
            <v>0.15274446060372104</v>
          </cell>
          <cell r="S46">
            <v>0.14187589500647393</v>
          </cell>
          <cell r="T46">
            <v>0.16254513850071939</v>
          </cell>
          <cell r="U46">
            <v>0.18611997387351947</v>
          </cell>
          <cell r="V46">
            <v>0.18609021784968957</v>
          </cell>
        </row>
        <row r="47">
          <cell r="A47" t="str">
            <v>Philippines</v>
          </cell>
          <cell r="B47">
            <v>-0.3577199778638625</v>
          </cell>
          <cell r="C47">
            <v>-0.14886363636363636</v>
          </cell>
          <cell r="D47">
            <v>5.4945054945054958E-2</v>
          </cell>
          <cell r="E47">
            <v>0.12880995749848212</v>
          </cell>
          <cell r="F47">
            <v>0.22235576923076922</v>
          </cell>
          <cell r="G47">
            <v>0.2663461538461539</v>
          </cell>
          <cell r="H47">
            <v>0.22692827004219437</v>
          </cell>
          <cell r="I47">
            <v>0.22870481108997021</v>
          </cell>
          <cell r="J47">
            <v>0.2337443265336179</v>
          </cell>
          <cell r="K47">
            <v>0.23732668484618039</v>
          </cell>
          <cell r="L47">
            <v>0.24086689337375394</v>
          </cell>
          <cell r="M47">
            <v>0.24436515291725203</v>
          </cell>
          <cell r="N47">
            <v>0.24782166195848396</v>
          </cell>
          <cell r="O47">
            <v>0.25123661667140235</v>
          </cell>
          <cell r="P47">
            <v>0.25461021093322578</v>
          </cell>
          <cell r="Q47">
            <v>0.25794263633543241</v>
          </cell>
          <cell r="R47">
            <v>0.26123408219462863</v>
          </cell>
          <cell r="S47">
            <v>0.26448473556329044</v>
          </cell>
          <cell r="T47">
            <v>0.26769478124038193</v>
          </cell>
          <cell r="U47">
            <v>0.27086440178184595</v>
          </cell>
          <cell r="V47">
            <v>0.27399377751097459</v>
          </cell>
        </row>
        <row r="48">
          <cell r="A48" t="str">
            <v>Average (%)</v>
          </cell>
          <cell r="B48">
            <v>0.14608952287260207</v>
          </cell>
          <cell r="C48">
            <v>8.1032412965186082E-2</v>
          </cell>
          <cell r="D48">
            <v>0.19885277246653918</v>
          </cell>
          <cell r="E48">
            <v>0.19958847736625512</v>
          </cell>
          <cell r="F48">
            <v>0.21519563239308459</v>
          </cell>
          <cell r="G48">
            <v>0.24099957645065651</v>
          </cell>
          <cell r="H48">
            <v>0.21381306865177832</v>
          </cell>
          <cell r="I48">
            <v>0.19666269368295591</v>
          </cell>
          <cell r="J48">
            <v>0.19585969511736886</v>
          </cell>
          <cell r="K48">
            <v>0.1984590591049924</v>
          </cell>
          <cell r="L48">
            <v>0.2101710764664653</v>
          </cell>
          <cell r="M48">
            <v>0.22749915396089573</v>
          </cell>
          <cell r="N48">
            <v>0.2323790464971478</v>
          </cell>
          <cell r="O48">
            <v>0.22566182042001584</v>
          </cell>
          <cell r="P48">
            <v>0.21058422959399695</v>
          </cell>
          <cell r="Q48">
            <v>0.2013560456327872</v>
          </cell>
          <cell r="R48">
            <v>0.21455513896801801</v>
          </cell>
          <cell r="S48">
            <v>0.23731326316474202</v>
          </cell>
          <cell r="T48">
            <v>0.23939916366719266</v>
          </cell>
          <cell r="U48">
            <v>0.23269217083079827</v>
          </cell>
          <cell r="V48">
            <v>0.21693173287445444</v>
          </cell>
        </row>
        <row r="50">
          <cell r="A50" t="str">
            <v>Depreciation &amp; Amortisation (US$m)</v>
          </cell>
        </row>
        <row r="51">
          <cell r="A51" t="str">
            <v>Australia</v>
          </cell>
          <cell r="B51">
            <v>6.7015384615384619</v>
          </cell>
          <cell r="C51">
            <v>6.16</v>
          </cell>
          <cell r="D51">
            <v>5.4620689655172416</v>
          </cell>
          <cell r="E51">
            <v>5.2770491803278681</v>
          </cell>
          <cell r="F51">
            <v>6.0206896551724132</v>
          </cell>
          <cell r="G51">
            <v>6.2689655172413792</v>
          </cell>
          <cell r="H51">
            <v>6.2068965517241379</v>
          </cell>
          <cell r="I51">
            <v>5.8269230769230758</v>
          </cell>
          <cell r="J51">
            <v>6.2783889394629036</v>
          </cell>
          <cell r="K51">
            <v>6.2485921925352761</v>
          </cell>
          <cell r="L51">
            <v>6.2505587778324987</v>
          </cell>
          <cell r="M51">
            <v>6.3753643966953026</v>
          </cell>
          <cell r="N51">
            <v>6.4955450228721414</v>
          </cell>
          <cell r="O51">
            <v>7.0774953872456443</v>
          </cell>
          <cell r="P51">
            <v>7.6234390629340067</v>
          </cell>
          <cell r="Q51">
            <v>8.1717591800755933</v>
          </cell>
          <cell r="R51">
            <v>8.7199224520812617</v>
          </cell>
          <cell r="S51">
            <v>9.2680960758659019</v>
          </cell>
          <cell r="T51">
            <v>9.2319166166961182</v>
          </cell>
          <cell r="U51">
            <v>9.8186568607383364</v>
          </cell>
          <cell r="V51">
            <v>10.364284404368565</v>
          </cell>
        </row>
        <row r="52">
          <cell r="A52" t="str">
            <v>New Zealand</v>
          </cell>
          <cell r="B52">
            <v>1.370769230769231</v>
          </cell>
          <cell r="C52">
            <v>1.26</v>
          </cell>
          <cell r="D52">
            <v>1.1379310344827589</v>
          </cell>
          <cell r="E52">
            <v>1.2043715846994534</v>
          </cell>
          <cell r="F52">
            <v>1.2543103448275863</v>
          </cell>
          <cell r="G52">
            <v>1.3060344827586208</v>
          </cell>
          <cell r="H52">
            <v>1.2931034482758621</v>
          </cell>
          <cell r="I52">
            <v>1.4567307692307689</v>
          </cell>
          <cell r="J52">
            <v>1.5695972348657259</v>
          </cell>
          <cell r="K52">
            <v>1.562148048133819</v>
          </cell>
          <cell r="L52">
            <v>1.5626396944581247</v>
          </cell>
          <cell r="M52">
            <v>1.5424268701682184</v>
          </cell>
          <cell r="N52">
            <v>1.5223933647356582</v>
          </cell>
          <cell r="O52">
            <v>1.6587879813856981</v>
          </cell>
          <cell r="P52">
            <v>1.786743530375158</v>
          </cell>
          <cell r="Q52">
            <v>1.9152560578302171</v>
          </cell>
          <cell r="R52">
            <v>2.0437318247065459</v>
          </cell>
          <cell r="S52">
            <v>2.172210017781071</v>
          </cell>
          <cell r="T52">
            <v>2.1637304570381528</v>
          </cell>
          <cell r="U52">
            <v>2.3012477017355475</v>
          </cell>
          <cell r="V52">
            <v>2.4291291572738825</v>
          </cell>
        </row>
        <row r="53">
          <cell r="A53" t="str">
            <v>Philippines</v>
          </cell>
          <cell r="B53">
            <v>1.8276923076923079</v>
          </cell>
          <cell r="C53">
            <v>1.68</v>
          </cell>
          <cell r="D53">
            <v>2.2000000000000002</v>
          </cell>
          <cell r="E53">
            <v>2.2185792349726778</v>
          </cell>
          <cell r="F53">
            <v>2.4249999999999998</v>
          </cell>
          <cell r="G53">
            <v>2.5249999999999999</v>
          </cell>
          <cell r="H53">
            <v>2.5</v>
          </cell>
          <cell r="I53">
            <v>2.8163461538461538</v>
          </cell>
          <cell r="J53">
            <v>3.0345546540737374</v>
          </cell>
          <cell r="K53">
            <v>3.0201528930587171</v>
          </cell>
          <cell r="L53">
            <v>3.0211034092857081</v>
          </cell>
          <cell r="M53">
            <v>2.9820252823252225</v>
          </cell>
          <cell r="N53">
            <v>2.9432938384889393</v>
          </cell>
          <cell r="O53">
            <v>3.2069900973456829</v>
          </cell>
          <cell r="P53">
            <v>3.454370825391972</v>
          </cell>
          <cell r="Q53">
            <v>3.7028283784717537</v>
          </cell>
          <cell r="R53">
            <v>3.9512148610993227</v>
          </cell>
          <cell r="S53">
            <v>4.1996060343767372</v>
          </cell>
          <cell r="T53">
            <v>4.1832122169404293</v>
          </cell>
          <cell r="U53">
            <v>4.4490788900220588</v>
          </cell>
          <cell r="V53">
            <v>4.696316370729507</v>
          </cell>
        </row>
        <row r="54">
          <cell r="A54" t="str">
            <v>Total (US$m)</v>
          </cell>
          <cell r="B54">
            <v>9.9</v>
          </cell>
          <cell r="C54">
            <v>9.1</v>
          </cell>
          <cell r="D54">
            <v>8.8000000000000007</v>
          </cell>
          <cell r="E54">
            <v>8.6999999999999993</v>
          </cell>
          <cell r="F54">
            <v>9.6999999999999993</v>
          </cell>
          <cell r="G54">
            <v>10.1</v>
          </cell>
          <cell r="H54">
            <v>10</v>
          </cell>
          <cell r="I54">
            <v>10.1</v>
          </cell>
          <cell r="J54">
            <v>10.882540828402368</v>
          </cell>
          <cell r="K54">
            <v>10.830893133727812</v>
          </cell>
          <cell r="L54">
            <v>10.834301881576332</v>
          </cell>
          <cell r="M54">
            <v>10.899816549188744</v>
          </cell>
          <cell r="N54">
            <v>10.961232226096739</v>
          </cell>
          <cell r="O54">
            <v>11.943273465977025</v>
          </cell>
          <cell r="P54">
            <v>12.864553418701137</v>
          </cell>
          <cell r="Q54">
            <v>13.789843616377564</v>
          </cell>
          <cell r="R54">
            <v>14.714869137887131</v>
          </cell>
          <cell r="S54">
            <v>15.63991212802371</v>
          </cell>
          <cell r="T54">
            <v>15.5788592906747</v>
          </cell>
          <cell r="U54">
            <v>16.568983452495942</v>
          </cell>
          <cell r="V54">
            <v>17.489729932371954</v>
          </cell>
        </row>
        <row r="55">
          <cell r="A55" t="str">
            <v>% Change</v>
          </cell>
          <cell r="B55">
            <v>0</v>
          </cell>
          <cell r="C55">
            <v>-8.0808080808080884E-2</v>
          </cell>
          <cell r="D55">
            <v>-3.296703296703285E-2</v>
          </cell>
          <cell r="E55">
            <v>-1.1363636363636576E-2</v>
          </cell>
          <cell r="F55">
            <v>0.11494252873563227</v>
          </cell>
          <cell r="G55">
            <v>4.1237113402061931E-2</v>
          </cell>
          <cell r="H55">
            <v>-9.9009900990099098E-3</v>
          </cell>
          <cell r="I55">
            <v>1.0000000000000009E-2</v>
          </cell>
          <cell r="J55">
            <v>7.7479289940828533E-2</v>
          </cell>
          <cell r="K55">
            <v>-4.7459224356649621E-3</v>
          </cell>
          <cell r="L55">
            <v>3.1472453900449615E-4</v>
          </cell>
          <cell r="M55">
            <v>6.0469671538152525E-3</v>
          </cell>
          <cell r="N55">
            <v>5.6345606030008266E-3</v>
          </cell>
          <cell r="O55">
            <v>8.9592230109149851E-2</v>
          </cell>
          <cell r="P55">
            <v>7.7137976899597449E-2</v>
          </cell>
          <cell r="Q55">
            <v>7.1925559136109429E-2</v>
          </cell>
          <cell r="R55">
            <v>6.7080203898103541E-2</v>
          </cell>
          <cell r="S55">
            <v>6.2864506742694948E-2</v>
          </cell>
          <cell r="T55">
            <v>-3.9036560339501536E-3</v>
          </cell>
          <cell r="U55">
            <v>6.3555626464507409E-2</v>
          </cell>
          <cell r="V55">
            <v>5.5570487019667603E-2</v>
          </cell>
        </row>
        <row r="57">
          <cell r="A57" t="str">
            <v>EBIT (US$m)</v>
          </cell>
        </row>
        <row r="58">
          <cell r="A58" t="str">
            <v>Australia</v>
          </cell>
          <cell r="B58">
            <v>19.399999999999999</v>
          </cell>
          <cell r="C58">
            <v>4.7</v>
          </cell>
          <cell r="D58">
            <v>18.399999999999999</v>
          </cell>
          <cell r="E58">
            <v>23.900000000000002</v>
          </cell>
          <cell r="F58">
            <v>28.9</v>
          </cell>
          <cell r="G58">
            <v>32.9</v>
          </cell>
          <cell r="H58">
            <v>29.821799999999996</v>
          </cell>
          <cell r="I58">
            <v>27.244</v>
          </cell>
          <cell r="J58">
            <v>31.722199158606522</v>
          </cell>
          <cell r="K58">
            <v>34.685741680187235</v>
          </cell>
          <cell r="L58">
            <v>37.899851964884071</v>
          </cell>
          <cell r="M58">
            <v>43.840831795251717</v>
          </cell>
          <cell r="N58">
            <v>44.15537175509948</v>
          </cell>
          <cell r="O58">
            <v>38.831867822645805</v>
          </cell>
          <cell r="P58">
            <v>31.405016443756352</v>
          </cell>
          <cell r="Q58">
            <v>28.324544156702103</v>
          </cell>
          <cell r="R58">
            <v>34.429624117127425</v>
          </cell>
          <cell r="S58">
            <v>45.603211649268665</v>
          </cell>
          <cell r="T58">
            <v>46.245988548224851</v>
          </cell>
          <cell r="U58">
            <v>40.714746327544326</v>
          </cell>
          <cell r="V58">
            <v>32.57384343408215</v>
          </cell>
        </row>
        <row r="59">
          <cell r="A59" t="str">
            <v>New Zealand</v>
          </cell>
          <cell r="B59">
            <v>7.2</v>
          </cell>
          <cell r="C59">
            <v>4</v>
          </cell>
          <cell r="D59">
            <v>5.2</v>
          </cell>
          <cell r="E59">
            <v>6.1</v>
          </cell>
          <cell r="F59">
            <v>6.5</v>
          </cell>
          <cell r="G59">
            <v>9.5</v>
          </cell>
          <cell r="H59">
            <v>9</v>
          </cell>
          <cell r="I59">
            <v>8.5</v>
          </cell>
          <cell r="J59">
            <v>8.6838110531694088</v>
          </cell>
          <cell r="K59">
            <v>8.3843502945463637</v>
          </cell>
          <cell r="L59">
            <v>6.4248180637846621</v>
          </cell>
          <cell r="M59">
            <v>5.242217868267625</v>
          </cell>
          <cell r="N59">
            <v>6.5360723035143513</v>
          </cell>
          <cell r="O59">
            <v>8.2516387741102122</v>
          </cell>
          <cell r="P59">
            <v>8.3687282506902214</v>
          </cell>
          <cell r="Q59">
            <v>7.2203396357133176</v>
          </cell>
          <cell r="R59">
            <v>5.818311158019708</v>
          </cell>
          <cell r="S59">
            <v>5.0162953006600182</v>
          </cell>
          <cell r="T59">
            <v>6.5716426259795444</v>
          </cell>
          <cell r="U59">
            <v>8.4522950292022117</v>
          </cell>
          <cell r="V59">
            <v>8.5901920940586916</v>
          </cell>
        </row>
        <row r="60">
          <cell r="A60" t="str">
            <v>Philippines</v>
          </cell>
          <cell r="B60">
            <v>-6.7999999999999972</v>
          </cell>
          <cell r="C60">
            <v>-4.3</v>
          </cell>
          <cell r="D60">
            <v>-1.2</v>
          </cell>
          <cell r="E60">
            <v>0.1</v>
          </cell>
          <cell r="F60">
            <v>2.2000000000000002</v>
          </cell>
          <cell r="G60">
            <v>4.4000000000000004</v>
          </cell>
          <cell r="H60">
            <v>2.8782000000000068</v>
          </cell>
          <cell r="I60">
            <v>3.6559999999999988</v>
          </cell>
          <cell r="J60">
            <v>3.8323798946087235</v>
          </cell>
          <cell r="K60">
            <v>4.0745600922766378</v>
          </cell>
          <cell r="L60">
            <v>4.3059911786096823</v>
          </cell>
          <cell r="M60">
            <v>4.5821292002585627</v>
          </cell>
          <cell r="N60">
            <v>4.8626749253815298</v>
          </cell>
          <cell r="O60">
            <v>4.8456244032656057</v>
          </cell>
          <cell r="P60">
            <v>4.8497989166084388</v>
          </cell>
          <cell r="Q60">
            <v>4.8578851448552243</v>
          </cell>
          <cell r="R60">
            <v>4.8711110104256363</v>
          </cell>
          <cell r="S60">
            <v>4.8894817761278571</v>
          </cell>
          <cell r="T60">
            <v>5.1778691493131213</v>
          </cell>
          <cell r="U60">
            <v>5.1893106816732395</v>
          </cell>
          <cell r="V60">
            <v>5.224780100562584</v>
          </cell>
        </row>
        <row r="61">
          <cell r="A61" t="str">
            <v>Total (US$m)</v>
          </cell>
          <cell r="B61">
            <v>19.8</v>
          </cell>
          <cell r="C61">
            <v>4.4000000000000004</v>
          </cell>
          <cell r="D61">
            <v>22.4</v>
          </cell>
          <cell r="E61">
            <v>30.1</v>
          </cell>
          <cell r="F61">
            <v>37.6</v>
          </cell>
          <cell r="G61">
            <v>46.8</v>
          </cell>
          <cell r="H61">
            <v>41.7</v>
          </cell>
          <cell r="I61">
            <v>39.4</v>
          </cell>
          <cell r="J61">
            <v>44.238390106384649</v>
          </cell>
          <cell r="K61">
            <v>47.144652067010242</v>
          </cell>
          <cell r="L61">
            <v>48.630661207278415</v>
          </cell>
          <cell r="M61">
            <v>53.665178863777903</v>
          </cell>
          <cell r="N61">
            <v>55.554118983995366</v>
          </cell>
          <cell r="O61">
            <v>51.92913100002162</v>
          </cell>
          <cell r="P61">
            <v>44.623543611055013</v>
          </cell>
          <cell r="Q61">
            <v>40.402768937270643</v>
          </cell>
          <cell r="R61">
            <v>45.119046285572772</v>
          </cell>
          <cell r="S61">
            <v>55.508988726056543</v>
          </cell>
          <cell r="T61">
            <v>57.995500323517518</v>
          </cell>
          <cell r="U61">
            <v>54.356352038419779</v>
          </cell>
          <cell r="V61">
            <v>46.388815628703426</v>
          </cell>
        </row>
        <row r="62">
          <cell r="A62" t="str">
            <v>% Change</v>
          </cell>
          <cell r="C62">
            <v>-0.77777777777777779</v>
          </cell>
          <cell r="D62">
            <v>4.0909090909090899</v>
          </cell>
          <cell r="E62">
            <v>0.34375000000000022</v>
          </cell>
          <cell r="F62">
            <v>0.24916943521594681</v>
          </cell>
          <cell r="G62">
            <v>0.24468085106382964</v>
          </cell>
          <cell r="H62">
            <v>-0.10897435897435881</v>
          </cell>
          <cell r="I62">
            <v>-5.5155875299760293E-2</v>
          </cell>
          <cell r="J62">
            <v>0.12280177934986414</v>
          </cell>
          <cell r="K62">
            <v>6.5695472950905387E-2</v>
          </cell>
          <cell r="L62">
            <v>3.152020590068183E-2</v>
          </cell>
          <cell r="M62">
            <v>0.1035255851250072</v>
          </cell>
          <cell r="N62">
            <v>3.5198617804149901E-2</v>
          </cell>
          <cell r="O62">
            <v>-6.5251471002862438E-2</v>
          </cell>
          <cell r="P62">
            <v>-0.14068379825118904</v>
          </cell>
          <cell r="Q62">
            <v>-9.4586272900539337E-2</v>
          </cell>
          <cell r="R62">
            <v>0.11673153777219136</v>
          </cell>
          <cell r="S62">
            <v>0.23027841445766661</v>
          </cell>
          <cell r="T62">
            <v>4.4794755849943524E-2</v>
          </cell>
          <cell r="U62">
            <v>-6.2748804041648065E-2</v>
          </cell>
          <cell r="V62">
            <v>-0.14657967488481927</v>
          </cell>
        </row>
        <row r="64">
          <cell r="A64" t="str">
            <v>EBIT Margin (%)</v>
          </cell>
        </row>
        <row r="65">
          <cell r="A65" t="str">
            <v>Australia</v>
          </cell>
          <cell r="B65">
            <v>0.13788201847903342</v>
          </cell>
          <cell r="C65">
            <v>4.2342342342342347E-2</v>
          </cell>
          <cell r="D65">
            <v>0.18272095332671298</v>
          </cell>
          <cell r="E65">
            <v>0.19165998396150763</v>
          </cell>
          <cell r="F65">
            <v>0.18244949494949494</v>
          </cell>
          <cell r="G65">
            <v>0.20498442367601244</v>
          </cell>
          <cell r="H65">
            <v>0.18128753799392094</v>
          </cell>
          <cell r="I65">
            <v>0.16120710059171597</v>
          </cell>
          <cell r="J65">
            <v>0.16391466927508455</v>
          </cell>
          <cell r="K65">
            <v>0.17152220830218098</v>
          </cell>
          <cell r="L65">
            <v>0.19025031379517268</v>
          </cell>
          <cell r="M65">
            <v>0.21456178485840971</v>
          </cell>
          <cell r="N65">
            <v>0.21597520153968233</v>
          </cell>
          <cell r="O65">
            <v>0.19719207105300998</v>
          </cell>
          <cell r="P65">
            <v>0.16978975544652658</v>
          </cell>
          <cell r="Q65">
            <v>0.15544852338331208</v>
          </cell>
          <cell r="R65">
            <v>0.17781076223670145</v>
          </cell>
          <cell r="S65">
            <v>0.21232796780291899</v>
          </cell>
          <cell r="T65">
            <v>0.21153712858224297</v>
          </cell>
          <cell r="U65">
            <v>0.19255753638167911</v>
          </cell>
          <cell r="V65">
            <v>0.16365503128897946</v>
          </cell>
        </row>
        <row r="66">
          <cell r="A66" t="str">
            <v>New Zealand</v>
          </cell>
          <cell r="B66">
            <v>0.14784394250513347</v>
          </cell>
          <cell r="C66">
            <v>0.10526315789473684</v>
          </cell>
          <cell r="D66">
            <v>0.1368421052631579</v>
          </cell>
          <cell r="E66">
            <v>0.11798839458413922</v>
          </cell>
          <cell r="F66">
            <v>0.16009852216748768</v>
          </cell>
          <cell r="G66">
            <v>0.19153225806451613</v>
          </cell>
          <cell r="H66">
            <v>0.16791044776119401</v>
          </cell>
          <cell r="I66">
            <v>0.15625</v>
          </cell>
          <cell r="J66">
            <v>0.14838037213337771</v>
          </cell>
          <cell r="K66">
            <v>0.13971317840769135</v>
          </cell>
          <cell r="L66">
            <v>0.12052743241071082</v>
          </cell>
          <cell r="M66">
            <v>0.10803881351251859</v>
          </cell>
          <cell r="N66">
            <v>0.12996344626793729</v>
          </cell>
          <cell r="O66">
            <v>0.15261368194988864</v>
          </cell>
          <cell r="P66">
            <v>0.15102192793666683</v>
          </cell>
          <cell r="Q66">
            <v>0.13436170682537857</v>
          </cell>
          <cell r="R66">
            <v>0.11303865946916507</v>
          </cell>
          <cell r="S66">
            <v>9.900408414140921E-2</v>
          </cell>
          <cell r="T66">
            <v>0.12228310693377541</v>
          </cell>
          <cell r="U66">
            <v>0.14629048020430463</v>
          </cell>
          <cell r="V66">
            <v>0.14506798392512144</v>
          </cell>
        </row>
        <row r="67">
          <cell r="A67" t="str">
            <v>Philippines</v>
          </cell>
          <cell r="B67">
            <v>-0.48920863309352497</v>
          </cell>
          <cell r="C67">
            <v>-0.2443181818181818</v>
          </cell>
          <cell r="D67">
            <v>-6.5934065934065936E-2</v>
          </cell>
          <cell r="E67">
            <v>5.5555555555555558E-3</v>
          </cell>
          <cell r="F67">
            <v>0.10576923076923077</v>
          </cell>
          <cell r="G67">
            <v>0.16923076923076924</v>
          </cell>
          <cell r="H67">
            <v>0.12144303797468384</v>
          </cell>
          <cell r="I67">
            <v>0.1291872791519435</v>
          </cell>
          <cell r="J67">
            <v>0.13045079301915985</v>
          </cell>
          <cell r="K67">
            <v>0.13629893709658683</v>
          </cell>
          <cell r="L67">
            <v>0.14155279499188461</v>
          </cell>
          <cell r="M67">
            <v>0.1480287988942969</v>
          </cell>
          <cell r="N67">
            <v>0.15437881165365813</v>
          </cell>
          <cell r="O67">
            <v>0.15118049928311095</v>
          </cell>
          <cell r="P67">
            <v>0.14869738498914023</v>
          </cell>
          <cell r="Q67">
            <v>0.14637281084856482</v>
          </cell>
          <cell r="R67">
            <v>0.14423636494587302</v>
          </cell>
          <cell r="S67">
            <v>0.14227976685472363</v>
          </cell>
          <cell r="T67">
            <v>0.14806927693348662</v>
          </cell>
          <cell r="U67">
            <v>0.14583344271322435</v>
          </cell>
          <cell r="V67">
            <v>0.14429425624069861</v>
          </cell>
        </row>
        <row r="68">
          <cell r="A68" t="str">
            <v>Average (%)</v>
          </cell>
          <cell r="B68">
            <v>9.7393015248401382E-2</v>
          </cell>
          <cell r="C68">
            <v>2.641056422569028E-2</v>
          </cell>
          <cell r="D68">
            <v>0.14276609305289992</v>
          </cell>
          <cell r="E68">
            <v>0.15483539094650206</v>
          </cell>
          <cell r="F68">
            <v>0.1710646041856233</v>
          </cell>
          <cell r="G68">
            <v>0.19822109275730621</v>
          </cell>
          <cell r="H68">
            <v>0.17245657568238212</v>
          </cell>
          <cell r="I68">
            <v>0.15653555820421136</v>
          </cell>
          <cell r="J68">
            <v>0.15719106066932401</v>
          </cell>
          <cell r="K68">
            <v>0.16138327390721938</v>
          </cell>
          <cell r="L68">
            <v>0.17187866407883653</v>
          </cell>
          <cell r="M68">
            <v>0.18909290879029034</v>
          </cell>
          <cell r="N68">
            <v>0.1940847182436769</v>
          </cell>
          <cell r="O68">
            <v>0.18346612018547781</v>
          </cell>
          <cell r="P68">
            <v>0.16346017764728235</v>
          </cell>
          <cell r="Q68">
            <v>0.15011901811839037</v>
          </cell>
          <cell r="R68">
            <v>0.16178990088470674</v>
          </cell>
          <cell r="S68">
            <v>0.18514719259784471</v>
          </cell>
          <cell r="T68">
            <v>0.18870805463636425</v>
          </cell>
          <cell r="U68">
            <v>0.17833257279245449</v>
          </cell>
          <cell r="V68">
            <v>0.15753655741436071</v>
          </cell>
        </row>
        <row r="70">
          <cell r="A70" t="str">
            <v>Assumptions</v>
          </cell>
        </row>
        <row r="71">
          <cell r="A71" t="str">
            <v>CPI Aust</v>
          </cell>
          <cell r="B71">
            <v>2.7999999999999997E-2</v>
          </cell>
          <cell r="C71">
            <v>0.06</v>
          </cell>
          <cell r="D71">
            <v>2.8999999999999998E-2</v>
          </cell>
          <cell r="E71">
            <v>3.4000000000000002E-2</v>
          </cell>
          <cell r="F71">
            <v>0.02</v>
          </cell>
          <cell r="G71">
            <v>2.4E-2</v>
          </cell>
          <cell r="H71">
            <v>0.03</v>
          </cell>
          <cell r="I71">
            <v>2.4E-2</v>
          </cell>
          <cell r="J71">
            <v>2.5000000000000001E-2</v>
          </cell>
          <cell r="K71">
            <v>2.5000000000000001E-2</v>
          </cell>
          <cell r="L71">
            <v>2.5000000000000001E-2</v>
          </cell>
          <cell r="M71">
            <v>2.5000000000000001E-2</v>
          </cell>
          <cell r="N71">
            <v>2.5000000000000001E-2</v>
          </cell>
          <cell r="O71">
            <v>2.5000000000000001E-2</v>
          </cell>
          <cell r="P71">
            <v>2.5000000000000001E-2</v>
          </cell>
          <cell r="Q71">
            <v>2.5000000000000001E-2</v>
          </cell>
          <cell r="R71">
            <v>2.5000000000000001E-2</v>
          </cell>
          <cell r="S71">
            <v>2.5000000000000001E-2</v>
          </cell>
          <cell r="T71">
            <v>2.5000000000000001E-2</v>
          </cell>
          <cell r="U71">
            <v>2.5000000000000001E-2</v>
          </cell>
          <cell r="V71">
            <v>2.5000000000000001E-2</v>
          </cell>
        </row>
        <row r="72">
          <cell r="A72" t="str">
            <v>A$/US$</v>
          </cell>
          <cell r="B72">
            <v>0.64455000000000007</v>
          </cell>
          <cell r="C72">
            <v>0.55745</v>
          </cell>
          <cell r="D72">
            <v>0.51441999999999999</v>
          </cell>
          <cell r="E72">
            <v>0.56217000000000006</v>
          </cell>
          <cell r="F72">
            <v>0.69493000000000005</v>
          </cell>
          <cell r="G72">
            <v>0.7397800000000001</v>
          </cell>
          <cell r="H72">
            <v>0.75289000000000006</v>
          </cell>
          <cell r="I72">
            <v>0.76491000000000009</v>
          </cell>
          <cell r="J72">
            <v>0.85733346153846157</v>
          </cell>
          <cell r="K72">
            <v>0.89500000000000002</v>
          </cell>
          <cell r="L72">
            <v>0.83</v>
          </cell>
          <cell r="M72">
            <v>0.76749999999999996</v>
          </cell>
          <cell r="N72">
            <v>0.75</v>
          </cell>
          <cell r="O72">
            <v>0.75</v>
          </cell>
          <cell r="P72">
            <v>0.75</v>
          </cell>
          <cell r="Q72">
            <v>0.75</v>
          </cell>
          <cell r="R72">
            <v>0.75</v>
          </cell>
          <cell r="S72">
            <v>0.75</v>
          </cell>
          <cell r="T72">
            <v>0.75</v>
          </cell>
          <cell r="U72">
            <v>0.75</v>
          </cell>
          <cell r="V72">
            <v>0.75</v>
          </cell>
        </row>
        <row r="73">
          <cell r="A73" t="str">
            <v>A$/NZ$</v>
          </cell>
          <cell r="B73">
            <v>1.2414000000000001</v>
          </cell>
          <cell r="C73">
            <v>1.2653000000000001</v>
          </cell>
          <cell r="D73">
            <v>1.2283000000000002</v>
          </cell>
          <cell r="E73">
            <v>1.1394</v>
          </cell>
          <cell r="F73">
            <v>1.1328</v>
          </cell>
          <cell r="G73">
            <v>1.0971</v>
          </cell>
          <cell r="H73">
            <v>1.0893000000000002</v>
          </cell>
          <cell r="I73">
            <v>1.1657</v>
          </cell>
          <cell r="J73">
            <v>1.2</v>
          </cell>
          <cell r="K73">
            <v>1.2</v>
          </cell>
          <cell r="L73">
            <v>1.2</v>
          </cell>
          <cell r="M73">
            <v>1.2</v>
          </cell>
          <cell r="N73">
            <v>1.2</v>
          </cell>
          <cell r="O73">
            <v>1.2</v>
          </cell>
          <cell r="P73">
            <v>1.2</v>
          </cell>
          <cell r="Q73">
            <v>1.2</v>
          </cell>
          <cell r="R73">
            <v>1.2</v>
          </cell>
          <cell r="S73">
            <v>1.2</v>
          </cell>
          <cell r="T73">
            <v>1.2</v>
          </cell>
          <cell r="U73">
            <v>1.2</v>
          </cell>
          <cell r="V73">
            <v>1.2</v>
          </cell>
        </row>
        <row r="74">
          <cell r="A74" t="str">
            <v>PHP/US$</v>
          </cell>
          <cell r="B74">
            <v>39.576000000000001</v>
          </cell>
          <cell r="C74">
            <v>46.331000000000003</v>
          </cell>
          <cell r="D74">
            <v>51.474000000000004</v>
          </cell>
          <cell r="E74">
            <v>52.291000000000004</v>
          </cell>
          <cell r="F74">
            <v>54.670999999999999</v>
          </cell>
          <cell r="G74">
            <v>55.807000000000002</v>
          </cell>
          <cell r="H74">
            <v>54.303000000000004</v>
          </cell>
          <cell r="I74">
            <v>50.508000000000003</v>
          </cell>
          <cell r="J74">
            <v>50</v>
          </cell>
          <cell r="K74">
            <v>50</v>
          </cell>
          <cell r="L74">
            <v>50</v>
          </cell>
          <cell r="M74">
            <v>50</v>
          </cell>
          <cell r="N74">
            <v>50</v>
          </cell>
          <cell r="O74">
            <v>50</v>
          </cell>
          <cell r="P74">
            <v>50</v>
          </cell>
          <cell r="Q74">
            <v>50</v>
          </cell>
          <cell r="R74">
            <v>50</v>
          </cell>
          <cell r="S74">
            <v>50</v>
          </cell>
          <cell r="T74">
            <v>50</v>
          </cell>
          <cell r="U74">
            <v>50</v>
          </cell>
          <cell r="V74">
            <v>50</v>
          </cell>
        </row>
        <row r="75">
          <cell r="A75" t="str">
            <v xml:space="preserve">Aust. cement index </v>
          </cell>
          <cell r="B75">
            <v>496.5</v>
          </cell>
          <cell r="C75">
            <v>500.2</v>
          </cell>
          <cell r="D75">
            <v>510.4</v>
          </cell>
          <cell r="E75">
            <v>526</v>
          </cell>
          <cell r="F75">
            <v>534.1</v>
          </cell>
          <cell r="G75">
            <v>549</v>
          </cell>
          <cell r="H75">
            <v>581.5</v>
          </cell>
          <cell r="I75">
            <v>620.9</v>
          </cell>
          <cell r="J75">
            <v>636.4224999999999</v>
          </cell>
          <cell r="K75">
            <v>652.33306249999987</v>
          </cell>
          <cell r="L75">
            <v>668.6413890624998</v>
          </cell>
          <cell r="M75">
            <v>668.6413890624998</v>
          </cell>
          <cell r="N75">
            <v>668.6413890624998</v>
          </cell>
          <cell r="O75">
            <v>668.6413890624998</v>
          </cell>
          <cell r="P75">
            <v>668.6413890624998</v>
          </cell>
          <cell r="Q75">
            <v>668.6413890624998</v>
          </cell>
          <cell r="R75">
            <v>668.6413890624998</v>
          </cell>
          <cell r="S75">
            <v>668.6413890624998</v>
          </cell>
          <cell r="T75">
            <v>668.6413890624998</v>
          </cell>
          <cell r="U75">
            <v>668.6413890624998</v>
          </cell>
          <cell r="V75">
            <v>668.6413890624998</v>
          </cell>
        </row>
        <row r="76">
          <cell r="A76" t="str">
            <v>NBSK US delivered (US$/mt)</v>
          </cell>
          <cell r="B76">
            <v>559.27</v>
          </cell>
          <cell r="C76">
            <v>692.06</v>
          </cell>
          <cell r="D76">
            <v>516.55999999999995</v>
          </cell>
          <cell r="E76">
            <v>487.37</v>
          </cell>
          <cell r="F76">
            <v>567.97</v>
          </cell>
          <cell r="G76">
            <v>650.16999999999996</v>
          </cell>
          <cell r="H76">
            <v>643.84</v>
          </cell>
          <cell r="I76">
            <v>743.92</v>
          </cell>
          <cell r="J76">
            <v>805</v>
          </cell>
          <cell r="K76">
            <v>750</v>
          </cell>
          <cell r="L76">
            <v>690</v>
          </cell>
          <cell r="M76">
            <v>650</v>
          </cell>
          <cell r="N76">
            <v>600</v>
          </cell>
          <cell r="O76">
            <v>600</v>
          </cell>
          <cell r="P76">
            <v>600</v>
          </cell>
          <cell r="Q76">
            <v>600</v>
          </cell>
          <cell r="R76">
            <v>600</v>
          </cell>
          <cell r="S76">
            <v>600</v>
          </cell>
          <cell r="T76">
            <v>600</v>
          </cell>
          <cell r="U76">
            <v>600</v>
          </cell>
          <cell r="V76">
            <v>600</v>
          </cell>
        </row>
        <row r="77">
          <cell r="A77" t="str">
            <v>Australia housing commencements ('000 units)</v>
          </cell>
          <cell r="B77">
            <v>167.54499999999999</v>
          </cell>
          <cell r="C77">
            <v>127.575</v>
          </cell>
          <cell r="D77">
            <v>151.125</v>
          </cell>
          <cell r="E77">
            <v>174.92500000000001</v>
          </cell>
          <cell r="F77">
            <v>171.279</v>
          </cell>
          <cell r="G77">
            <v>161.90299999999999</v>
          </cell>
          <cell r="H77">
            <v>154.34200000000001</v>
          </cell>
          <cell r="I77">
            <v>152.32300000000001</v>
          </cell>
          <cell r="J77">
            <v>150.96700000000001</v>
          </cell>
          <cell r="K77">
            <v>150.96700000000001</v>
          </cell>
          <cell r="L77">
            <v>156.62826250000001</v>
          </cell>
          <cell r="M77">
            <v>170.40400124999999</v>
          </cell>
          <cell r="N77">
            <v>174.366885</v>
          </cell>
          <cell r="O77">
            <v>167.82812681250002</v>
          </cell>
          <cell r="P77">
            <v>156.33081033281252</v>
          </cell>
          <cell r="Q77">
            <v>153.22490019375002</v>
          </cell>
          <cell r="R77">
            <v>158.97083395101563</v>
          </cell>
          <cell r="S77">
            <v>172.95260609369532</v>
          </cell>
          <cell r="T77">
            <v>176.97475972378129</v>
          </cell>
          <cell r="U77">
            <v>170.33820623413948</v>
          </cell>
          <cell r="V77">
            <v>158.66893301485263</v>
          </cell>
        </row>
        <row r="78">
          <cell r="A78" t="str">
            <v>Alterations &amp; Additions (A$m)</v>
          </cell>
          <cell r="B78">
            <v>23246</v>
          </cell>
          <cell r="C78">
            <v>20591</v>
          </cell>
          <cell r="D78">
            <v>21586</v>
          </cell>
          <cell r="E78">
            <v>25253</v>
          </cell>
          <cell r="F78">
            <v>27095</v>
          </cell>
          <cell r="G78">
            <v>27578</v>
          </cell>
          <cell r="H78">
            <v>27046</v>
          </cell>
          <cell r="I78">
            <v>27806</v>
          </cell>
          <cell r="J78">
            <v>28171</v>
          </cell>
          <cell r="K78">
            <v>28171</v>
          </cell>
          <cell r="L78">
            <v>29227.412500000002</v>
          </cell>
          <cell r="M78">
            <v>31798.016250000004</v>
          </cell>
          <cell r="N78">
            <v>32537.505000000005</v>
          </cell>
          <cell r="O78">
            <v>31317.348562500003</v>
          </cell>
          <cell r="P78">
            <v>29171.906826562503</v>
          </cell>
          <cell r="Q78">
            <v>28592.332518750005</v>
          </cell>
          <cell r="R78">
            <v>29664.544988203132</v>
          </cell>
          <cell r="S78">
            <v>32273.595330539076</v>
          </cell>
          <cell r="T78">
            <v>33024.144059156264</v>
          </cell>
          <cell r="U78">
            <v>31785.738656937901</v>
          </cell>
          <cell r="V78">
            <v>29608.209158037287</v>
          </cell>
        </row>
        <row r="79">
          <cell r="A79" t="str">
            <v>Non Residential Building (A$m)</v>
          </cell>
          <cell r="B79">
            <v>18.577200000000001</v>
          </cell>
          <cell r="C79">
            <v>16.1907</v>
          </cell>
          <cell r="D79">
            <v>15.7188</v>
          </cell>
          <cell r="E79">
            <v>17.621599999999997</v>
          </cell>
          <cell r="F79">
            <v>18.722900000000003</v>
          </cell>
          <cell r="G79">
            <v>19.5395</v>
          </cell>
          <cell r="H79">
            <v>21.710799999999999</v>
          </cell>
          <cell r="I79">
            <v>24.0318</v>
          </cell>
          <cell r="J79">
            <v>24.045617940592187</v>
          </cell>
          <cell r="K79">
            <v>24.273782839844863</v>
          </cell>
          <cell r="L79">
            <v>24.902660563097154</v>
          </cell>
          <cell r="M79">
            <v>25.649740379990071</v>
          </cell>
          <cell r="N79">
            <v>26.419232591389772</v>
          </cell>
          <cell r="O79">
            <v>25.615028567519836</v>
          </cell>
          <cell r="P79">
            <v>25.851219090674892</v>
          </cell>
          <cell r="Q79">
            <v>26.626755663395137</v>
          </cell>
          <cell r="R79">
            <v>27.425558333296991</v>
          </cell>
          <cell r="S79">
            <v>28.248325083295903</v>
          </cell>
          <cell r="T79">
            <v>27.388443305087996</v>
          </cell>
          <cell r="U79">
            <v>27.640986094005044</v>
          </cell>
          <cell r="V79">
            <v>28.470215676825195</v>
          </cell>
        </row>
        <row r="80">
          <cell r="A80" t="str">
            <v>NZ dwelling consents ('000 units)</v>
          </cell>
          <cell r="B80">
            <v>0</v>
          </cell>
          <cell r="C80">
            <v>0</v>
          </cell>
          <cell r="D80">
            <v>20.539000000000001</v>
          </cell>
          <cell r="E80">
            <v>27.207999999999998</v>
          </cell>
          <cell r="F80">
            <v>29.914000000000001</v>
          </cell>
          <cell r="G80">
            <v>31.422999999999998</v>
          </cell>
          <cell r="H80">
            <v>26.023</v>
          </cell>
          <cell r="I80">
            <v>25.952000000000002</v>
          </cell>
          <cell r="J80">
            <v>25.874549999999999</v>
          </cell>
          <cell r="K80">
            <v>25.874549999999999</v>
          </cell>
          <cell r="L80">
            <v>24.265683749999997</v>
          </cell>
          <cell r="M80">
            <v>23.320267499999996</v>
          </cell>
          <cell r="N80">
            <v>23.903274187499999</v>
          </cell>
          <cell r="O80">
            <v>25.710594918750001</v>
          </cell>
          <cell r="P80">
            <v>26.9349089625</v>
          </cell>
          <cell r="Q80">
            <v>26.2615362384375</v>
          </cell>
          <cell r="R80">
            <v>24.628607382585933</v>
          </cell>
          <cell r="S80">
            <v>23.669051250796873</v>
          </cell>
          <cell r="T80">
            <v>24.260777532066797</v>
          </cell>
          <cell r="U80">
            <v>26.095129004003557</v>
          </cell>
          <cell r="V80">
            <v>27.337754194670392</v>
          </cell>
        </row>
        <row r="81">
          <cell r="A81" t="str">
            <v>Alterations and Additions (NZ$m)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1021</v>
          </cell>
          <cell r="G81">
            <v>1075</v>
          </cell>
          <cell r="H81">
            <v>1192</v>
          </cell>
          <cell r="I81">
            <v>1341</v>
          </cell>
          <cell r="J81">
            <v>1307.4749999999999</v>
          </cell>
          <cell r="K81">
            <v>1242.9393749999999</v>
          </cell>
          <cell r="L81">
            <v>1202.2903125000003</v>
          </cell>
          <cell r="M81">
            <v>1207.8638437500003</v>
          </cell>
          <cell r="N81">
            <v>1284.4600875000003</v>
          </cell>
          <cell r="O81">
            <v>1330.1232328125002</v>
          </cell>
          <cell r="P81">
            <v>1327.0299229687503</v>
          </cell>
          <cell r="Q81">
            <v>1261.5290870273441</v>
          </cell>
          <cell r="R81">
            <v>1220.2720669863284</v>
          </cell>
          <cell r="S81">
            <v>1225.9289573630863</v>
          </cell>
          <cell r="T81">
            <v>1303.6707936836724</v>
          </cell>
          <cell r="U81">
            <v>1350.0168884132527</v>
          </cell>
          <cell r="V81">
            <v>1346.877314254152</v>
          </cell>
        </row>
        <row r="82">
          <cell r="A82" t="str">
            <v>Non Residential Building (NZ$m)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3380</v>
          </cell>
          <cell r="G82">
            <v>4227</v>
          </cell>
          <cell r="H82">
            <v>5206</v>
          </cell>
          <cell r="I82">
            <v>5042</v>
          </cell>
          <cell r="J82">
            <v>5020.1900000000005</v>
          </cell>
          <cell r="K82">
            <v>5120.5938000000006</v>
          </cell>
          <cell r="L82">
            <v>5223.0056760000007</v>
          </cell>
          <cell r="M82">
            <v>5327.4657895199998</v>
          </cell>
          <cell r="N82">
            <v>5434.0151053104</v>
          </cell>
          <cell r="O82">
            <v>5542.6954074166078</v>
          </cell>
          <cell r="P82">
            <v>5653.5493155649401</v>
          </cell>
          <cell r="Q82">
            <v>5766.620301876239</v>
          </cell>
          <cell r="R82">
            <v>5881.9527079137642</v>
          </cell>
          <cell r="S82">
            <v>5999.5917620720393</v>
          </cell>
          <cell r="T82">
            <v>6119.5835973134799</v>
          </cell>
          <cell r="U82">
            <v>6241.9752692597494</v>
          </cell>
          <cell r="V82">
            <v>6366.8147746449449</v>
          </cell>
        </row>
        <row r="84">
          <cell r="A84" t="str">
            <v>AUSTRALIA (A$m)</v>
          </cell>
        </row>
        <row r="86">
          <cell r="A86" t="str">
            <v>Fibre Reinforced Concrete Pipes</v>
          </cell>
        </row>
        <row r="87">
          <cell r="A87" t="str">
            <v>Manufacturing Capacity (tons)</v>
          </cell>
        </row>
        <row r="88">
          <cell r="A88" t="str">
            <v>Brisbane (Meeandah), Qld</v>
          </cell>
          <cell r="B88">
            <v>38500</v>
          </cell>
          <cell r="C88">
            <v>38500</v>
          </cell>
          <cell r="D88">
            <v>38500</v>
          </cell>
          <cell r="E88">
            <v>48500</v>
          </cell>
          <cell r="F88">
            <v>50000</v>
          </cell>
          <cell r="G88">
            <v>50000</v>
          </cell>
          <cell r="H88">
            <v>50000</v>
          </cell>
          <cell r="I88">
            <v>50000</v>
          </cell>
          <cell r="J88">
            <v>50000</v>
          </cell>
          <cell r="K88">
            <v>50000</v>
          </cell>
          <cell r="L88">
            <v>50000</v>
          </cell>
          <cell r="M88">
            <v>50000</v>
          </cell>
          <cell r="N88">
            <v>50000</v>
          </cell>
          <cell r="O88">
            <v>50000</v>
          </cell>
          <cell r="P88">
            <v>50000</v>
          </cell>
          <cell r="Q88">
            <v>50000</v>
          </cell>
          <cell r="R88">
            <v>50000</v>
          </cell>
          <cell r="S88">
            <v>50000</v>
          </cell>
          <cell r="T88">
            <v>50000</v>
          </cell>
          <cell r="U88">
            <v>50000</v>
          </cell>
          <cell r="V88">
            <v>50000</v>
          </cell>
        </row>
        <row r="90">
          <cell r="A90" t="str">
            <v>Fibre Cement Flat Sheet</v>
          </cell>
        </row>
        <row r="91">
          <cell r="A91" t="str">
            <v>Manufacturing Capacity (mmsf)</v>
          </cell>
        </row>
        <row r="92">
          <cell r="A92" t="str">
            <v>Brisbane (Carole Park), Qld</v>
          </cell>
          <cell r="B92">
            <v>180</v>
          </cell>
          <cell r="C92">
            <v>180</v>
          </cell>
          <cell r="D92">
            <v>160</v>
          </cell>
          <cell r="E92">
            <v>153</v>
          </cell>
          <cell r="F92">
            <v>160</v>
          </cell>
          <cell r="G92">
            <v>160</v>
          </cell>
          <cell r="H92">
            <v>160</v>
          </cell>
          <cell r="I92">
            <v>120</v>
          </cell>
          <cell r="J92">
            <v>120</v>
          </cell>
          <cell r="K92">
            <v>120</v>
          </cell>
          <cell r="L92">
            <v>120</v>
          </cell>
          <cell r="M92">
            <v>120</v>
          </cell>
          <cell r="N92">
            <v>120</v>
          </cell>
          <cell r="O92">
            <v>120</v>
          </cell>
          <cell r="P92">
            <v>120</v>
          </cell>
          <cell r="Q92">
            <v>120</v>
          </cell>
          <cell r="R92">
            <v>120</v>
          </cell>
          <cell r="S92">
            <v>120</v>
          </cell>
          <cell r="T92">
            <v>120</v>
          </cell>
          <cell r="U92">
            <v>120</v>
          </cell>
          <cell r="V92">
            <v>120</v>
          </cell>
        </row>
        <row r="93">
          <cell r="A93" t="str">
            <v>Welshpool, WA</v>
          </cell>
          <cell r="B93">
            <v>70</v>
          </cell>
          <cell r="C93">
            <v>70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</row>
        <row r="94">
          <cell r="A94" t="str">
            <v>Rosehill Sydney, NSW</v>
          </cell>
          <cell r="B94">
            <v>190</v>
          </cell>
          <cell r="C94">
            <v>190</v>
          </cell>
          <cell r="D94">
            <v>200</v>
          </cell>
          <cell r="E94">
            <v>180</v>
          </cell>
          <cell r="F94">
            <v>200</v>
          </cell>
          <cell r="G94">
            <v>200</v>
          </cell>
          <cell r="H94">
            <v>200</v>
          </cell>
          <cell r="I94">
            <v>180</v>
          </cell>
          <cell r="J94">
            <v>180</v>
          </cell>
          <cell r="K94">
            <v>180</v>
          </cell>
          <cell r="L94">
            <v>180</v>
          </cell>
          <cell r="M94">
            <v>180</v>
          </cell>
          <cell r="N94">
            <v>180</v>
          </cell>
          <cell r="O94">
            <v>180</v>
          </cell>
          <cell r="P94">
            <v>180</v>
          </cell>
          <cell r="Q94">
            <v>180</v>
          </cell>
          <cell r="R94">
            <v>180</v>
          </cell>
          <cell r="S94">
            <v>180</v>
          </cell>
          <cell r="T94">
            <v>180</v>
          </cell>
          <cell r="U94">
            <v>180</v>
          </cell>
          <cell r="V94">
            <v>180</v>
          </cell>
        </row>
        <row r="95">
          <cell r="A95" t="str">
            <v>New capacity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10</v>
          </cell>
          <cell r="N95">
            <v>20</v>
          </cell>
          <cell r="O95">
            <v>20</v>
          </cell>
          <cell r="P95">
            <v>20</v>
          </cell>
          <cell r="Q95">
            <v>20</v>
          </cell>
          <cell r="R95">
            <v>20</v>
          </cell>
          <cell r="S95">
            <v>20</v>
          </cell>
          <cell r="T95">
            <v>20</v>
          </cell>
          <cell r="U95">
            <v>20</v>
          </cell>
          <cell r="V95">
            <v>20</v>
          </cell>
        </row>
        <row r="96">
          <cell r="A96" t="str">
            <v>Total</v>
          </cell>
          <cell r="B96">
            <v>440</v>
          </cell>
          <cell r="C96">
            <v>440</v>
          </cell>
          <cell r="D96">
            <v>360</v>
          </cell>
          <cell r="E96">
            <v>333</v>
          </cell>
          <cell r="F96">
            <v>360</v>
          </cell>
          <cell r="G96">
            <v>360</v>
          </cell>
          <cell r="H96">
            <v>360</v>
          </cell>
          <cell r="I96">
            <v>300</v>
          </cell>
          <cell r="J96">
            <v>300</v>
          </cell>
          <cell r="K96">
            <v>300</v>
          </cell>
          <cell r="L96">
            <v>300</v>
          </cell>
          <cell r="M96">
            <v>310</v>
          </cell>
          <cell r="N96">
            <v>320</v>
          </cell>
          <cell r="O96">
            <v>320</v>
          </cell>
          <cell r="P96">
            <v>320</v>
          </cell>
          <cell r="Q96">
            <v>320</v>
          </cell>
          <cell r="R96">
            <v>320</v>
          </cell>
          <cell r="S96">
            <v>320</v>
          </cell>
          <cell r="T96">
            <v>320</v>
          </cell>
          <cell r="U96">
            <v>320</v>
          </cell>
          <cell r="V96">
            <v>320</v>
          </cell>
        </row>
        <row r="97">
          <cell r="A97" t="str">
            <v>Utilisation</v>
          </cell>
          <cell r="B97">
            <v>0.55840909090909085</v>
          </cell>
          <cell r="C97">
            <v>0.49863636363636366</v>
          </cell>
          <cell r="D97">
            <v>0.60972222222222228</v>
          </cell>
          <cell r="E97">
            <v>0.76396396396396393</v>
          </cell>
          <cell r="F97">
            <v>0.69222222222222218</v>
          </cell>
          <cell r="G97">
            <v>0.66222222222222216</v>
          </cell>
          <cell r="H97">
            <v>0.65222222222222215</v>
          </cell>
          <cell r="I97">
            <v>0.8</v>
          </cell>
          <cell r="J97">
            <v>0.81735234354200736</v>
          </cell>
          <cell r="K97">
            <v>0.8181279156881629</v>
          </cell>
          <cell r="L97">
            <v>0.84785931356205779</v>
          </cell>
          <cell r="M97">
            <v>0.88791926566067392</v>
          </cell>
          <cell r="N97">
            <v>0.88075589955013689</v>
          </cell>
          <cell r="O97">
            <v>0.84834935836833958</v>
          </cell>
          <cell r="P97">
            <v>0.79682590675263121</v>
          </cell>
          <cell r="Q97">
            <v>0.78496850402102092</v>
          </cell>
          <cell r="R97">
            <v>0.8138160965437935</v>
          </cell>
          <cell r="S97">
            <v>0.8806764816321323</v>
          </cell>
          <cell r="T97">
            <v>0.89642845737811583</v>
          </cell>
          <cell r="U97">
            <v>0.86700057383087525</v>
          </cell>
          <cell r="V97">
            <v>0.81614592328922397</v>
          </cell>
        </row>
        <row r="98">
          <cell r="A98" t="str">
            <v>Volume</v>
          </cell>
          <cell r="B98">
            <v>245.7</v>
          </cell>
          <cell r="C98">
            <v>219.4</v>
          </cell>
          <cell r="D98">
            <v>219.5</v>
          </cell>
          <cell r="E98">
            <v>254.4</v>
          </cell>
          <cell r="F98">
            <v>249.2</v>
          </cell>
          <cell r="G98">
            <v>241.72399999999999</v>
          </cell>
          <cell r="H98">
            <v>234.79999999999998</v>
          </cell>
          <cell r="I98">
            <v>240</v>
          </cell>
          <cell r="J98">
            <v>245.2057030626022</v>
          </cell>
          <cell r="K98">
            <v>245.43837470644885</v>
          </cell>
          <cell r="L98">
            <v>254.35779406861732</v>
          </cell>
          <cell r="M98">
            <v>275.2549723548089</v>
          </cell>
          <cell r="N98">
            <v>281.8418878560438</v>
          </cell>
          <cell r="O98">
            <v>271.47179467786867</v>
          </cell>
          <cell r="P98">
            <v>254.98429016084199</v>
          </cell>
          <cell r="Q98">
            <v>251.1899212867267</v>
          </cell>
          <cell r="R98">
            <v>260.42115089401392</v>
          </cell>
          <cell r="S98">
            <v>281.81647412228233</v>
          </cell>
          <cell r="T98">
            <v>286.85710636099708</v>
          </cell>
          <cell r="U98">
            <v>277.44018362588008</v>
          </cell>
          <cell r="V98">
            <v>261.16669545255166</v>
          </cell>
        </row>
        <row r="99">
          <cell r="A99" t="str">
            <v>Change (%)</v>
          </cell>
          <cell r="C99">
            <v>-0.10704110704110703</v>
          </cell>
          <cell r="D99">
            <v>4.5578851412941823E-4</v>
          </cell>
          <cell r="E99">
            <v>0.15899772209567198</v>
          </cell>
          <cell r="F99">
            <v>-2.0440251572327095E-2</v>
          </cell>
          <cell r="G99">
            <v>-3.0000000000000027E-2</v>
          </cell>
          <cell r="H99">
            <v>-2.864423888401646E-2</v>
          </cell>
          <cell r="I99">
            <v>2.2146507666098936E-2</v>
          </cell>
          <cell r="J99">
            <v>2.1690429427509095E-2</v>
          </cell>
          <cell r="K99">
            <v>9.4888349227040258E-4</v>
          </cell>
          <cell r="L99">
            <v>3.6340769339091139E-2</v>
          </cell>
          <cell r="M99">
            <v>8.2156626506024066E-2</v>
          </cell>
          <cell r="N99">
            <v>2.3930232558139641E-2</v>
          </cell>
          <cell r="O99">
            <v>-3.6794009779950954E-2</v>
          </cell>
          <cell r="P99">
            <v>-6.0733766233766251E-2</v>
          </cell>
          <cell r="Q99">
            <v>-1.4880794701986666E-2</v>
          </cell>
          <cell r="R99">
            <v>3.675000000000006E-2</v>
          </cell>
          <cell r="S99">
            <v>8.2156626506024066E-2</v>
          </cell>
          <cell r="T99">
            <v>1.7886222778188632E-2</v>
          </cell>
          <cell r="U99">
            <v>-3.2827922077921956E-2</v>
          </cell>
          <cell r="V99">
            <v>-5.8655844155844239E-2</v>
          </cell>
        </row>
        <row r="101">
          <cell r="A101" t="str">
            <v>Australia housing commencements ('000 units)</v>
          </cell>
          <cell r="B101">
            <v>167.54499999999999</v>
          </cell>
          <cell r="C101">
            <v>127.575</v>
          </cell>
          <cell r="D101">
            <v>151.125</v>
          </cell>
          <cell r="E101">
            <v>174.92500000000001</v>
          </cell>
          <cell r="F101">
            <v>171.279</v>
          </cell>
          <cell r="G101">
            <v>161.90299999999999</v>
          </cell>
          <cell r="H101">
            <v>154.34200000000001</v>
          </cell>
          <cell r="I101">
            <v>152.32300000000001</v>
          </cell>
          <cell r="J101">
            <v>150.96700000000001</v>
          </cell>
          <cell r="K101">
            <v>150.96700000000001</v>
          </cell>
          <cell r="L101">
            <v>156.62826250000001</v>
          </cell>
          <cell r="M101">
            <v>170.40400124999999</v>
          </cell>
          <cell r="N101">
            <v>174.366885</v>
          </cell>
          <cell r="O101">
            <v>167.82812681250002</v>
          </cell>
          <cell r="P101">
            <v>156.33081033281252</v>
          </cell>
          <cell r="Q101">
            <v>153.22490019375002</v>
          </cell>
          <cell r="R101">
            <v>158.97083395101563</v>
          </cell>
          <cell r="S101">
            <v>172.95260609369532</v>
          </cell>
          <cell r="T101">
            <v>176.97475972378129</v>
          </cell>
          <cell r="U101">
            <v>170.33820623413948</v>
          </cell>
          <cell r="V101">
            <v>158.66893301485263</v>
          </cell>
        </row>
        <row r="102">
          <cell r="A102" t="str">
            <v>Change (%)</v>
          </cell>
          <cell r="C102">
            <v>-0.23856277418007099</v>
          </cell>
          <cell r="D102">
            <v>0.18459729570840677</v>
          </cell>
          <cell r="E102">
            <v>0.15748552522746073</v>
          </cell>
          <cell r="F102">
            <v>-2.0843218522223927E-2</v>
          </cell>
          <cell r="G102">
            <v>-5.4741094938667301E-2</v>
          </cell>
          <cell r="H102">
            <v>-4.6700802332260594E-2</v>
          </cell>
          <cell r="I102">
            <v>-1.3081338844902923E-2</v>
          </cell>
          <cell r="J102">
            <v>-8.9021355934428836E-3</v>
          </cell>
          <cell r="K102">
            <v>0</v>
          </cell>
          <cell r="L102">
            <v>3.7499999999999867E-2</v>
          </cell>
          <cell r="M102">
            <v>8.7951807228915602E-2</v>
          </cell>
          <cell r="N102">
            <v>2.3255813953488413E-2</v>
          </cell>
          <cell r="O102">
            <v>-3.7499999999999867E-2</v>
          </cell>
          <cell r="P102">
            <v>-6.8506493506493515E-2</v>
          </cell>
          <cell r="Q102">
            <v>-1.9867549668874163E-2</v>
          </cell>
          <cell r="R102">
            <v>3.7499999999999867E-2</v>
          </cell>
          <cell r="S102">
            <v>8.7951807228915602E-2</v>
          </cell>
          <cell r="T102">
            <v>2.3255813953488635E-2</v>
          </cell>
          <cell r="U102">
            <v>-3.7500000000000089E-2</v>
          </cell>
          <cell r="V102">
            <v>-6.8506493506493626E-2</v>
          </cell>
        </row>
        <row r="103">
          <cell r="A103" t="str">
            <v>Alterations &amp; Additions (A$m)</v>
          </cell>
          <cell r="B103">
            <v>23246</v>
          </cell>
          <cell r="C103">
            <v>20591</v>
          </cell>
          <cell r="D103">
            <v>21586</v>
          </cell>
          <cell r="E103">
            <v>25253</v>
          </cell>
          <cell r="F103">
            <v>27095</v>
          </cell>
          <cell r="G103">
            <v>27578</v>
          </cell>
          <cell r="H103">
            <v>27046</v>
          </cell>
          <cell r="I103">
            <v>27806</v>
          </cell>
          <cell r="J103">
            <v>28171</v>
          </cell>
          <cell r="K103">
            <v>28171</v>
          </cell>
          <cell r="L103">
            <v>29227.412500000002</v>
          </cell>
          <cell r="M103">
            <v>31798.016250000004</v>
          </cell>
          <cell r="N103">
            <v>32537.505000000005</v>
          </cell>
          <cell r="O103">
            <v>31317.348562500003</v>
          </cell>
          <cell r="P103">
            <v>29171.906826562503</v>
          </cell>
          <cell r="Q103">
            <v>28592.332518750005</v>
          </cell>
          <cell r="R103">
            <v>29664.544988203132</v>
          </cell>
          <cell r="S103">
            <v>32273.595330539076</v>
          </cell>
          <cell r="T103">
            <v>33024.144059156264</v>
          </cell>
          <cell r="U103">
            <v>31785.738656937901</v>
          </cell>
          <cell r="V103">
            <v>29608.209158037287</v>
          </cell>
        </row>
        <row r="104">
          <cell r="A104" t="str">
            <v>Change (%)</v>
          </cell>
          <cell r="C104">
            <v>-0.1142131979695431</v>
          </cell>
          <cell r="D104">
            <v>4.8322082463212013E-2</v>
          </cell>
          <cell r="E104">
            <v>0.16987862503474482</v>
          </cell>
          <cell r="F104">
            <v>7.2941828693620536E-2</v>
          </cell>
          <cell r="G104">
            <v>1.7826167189518349E-2</v>
          </cell>
          <cell r="H104">
            <v>-1.9290738994851009E-2</v>
          </cell>
          <cell r="I104">
            <v>2.8100273607927218E-2</v>
          </cell>
          <cell r="J104">
            <v>1.3126663310077058E-2</v>
          </cell>
          <cell r="K104">
            <v>0</v>
          </cell>
          <cell r="L104">
            <v>3.7500000000000089E-2</v>
          </cell>
          <cell r="M104">
            <v>8.7951807228915824E-2</v>
          </cell>
          <cell r="N104">
            <v>2.3255813953488413E-2</v>
          </cell>
          <cell r="O104">
            <v>-3.7500000000000089E-2</v>
          </cell>
          <cell r="P104">
            <v>-6.8506493506493515E-2</v>
          </cell>
          <cell r="Q104">
            <v>-1.9867549668874052E-2</v>
          </cell>
          <cell r="R104">
            <v>3.7500000000000089E-2</v>
          </cell>
          <cell r="S104">
            <v>8.7951807228915824E-2</v>
          </cell>
          <cell r="T104">
            <v>2.3255813953488413E-2</v>
          </cell>
          <cell r="U104">
            <v>-3.7500000000000089E-2</v>
          </cell>
          <cell r="V104">
            <v>-6.8506493506493404E-2</v>
          </cell>
        </row>
        <row r="105">
          <cell r="A105" t="str">
            <v>Non Residential Building (A$m)</v>
          </cell>
          <cell r="B105">
            <v>18.577200000000001</v>
          </cell>
          <cell r="C105">
            <v>16.1907</v>
          </cell>
          <cell r="D105">
            <v>15.7188</v>
          </cell>
          <cell r="E105">
            <v>17.621599999999997</v>
          </cell>
          <cell r="F105">
            <v>18.722900000000003</v>
          </cell>
          <cell r="G105">
            <v>19.5395</v>
          </cell>
          <cell r="H105">
            <v>21.710799999999999</v>
          </cell>
          <cell r="I105">
            <v>24.0318</v>
          </cell>
          <cell r="J105">
            <v>24.045617940592187</v>
          </cell>
          <cell r="K105">
            <v>24.273782839844863</v>
          </cell>
          <cell r="L105">
            <v>24.902660563097154</v>
          </cell>
          <cell r="M105">
            <v>25.649740379990071</v>
          </cell>
          <cell r="N105">
            <v>26.419232591389772</v>
          </cell>
          <cell r="O105">
            <v>25.615028567519836</v>
          </cell>
          <cell r="P105">
            <v>25.851219090674892</v>
          </cell>
          <cell r="Q105">
            <v>26.626755663395137</v>
          </cell>
          <cell r="R105">
            <v>27.425558333296991</v>
          </cell>
          <cell r="S105">
            <v>28.248325083295903</v>
          </cell>
          <cell r="T105">
            <v>27.388443305087996</v>
          </cell>
          <cell r="U105">
            <v>27.640986094005044</v>
          </cell>
          <cell r="V105">
            <v>28.470215676825195</v>
          </cell>
        </row>
        <row r="106">
          <cell r="A106" t="str">
            <v>Change (%)</v>
          </cell>
          <cell r="C106">
            <v>-0.12846392351915259</v>
          </cell>
          <cell r="D106">
            <v>-2.914636180029273E-2</v>
          </cell>
          <cell r="E106">
            <v>0.12105249764613069</v>
          </cell>
          <cell r="F106">
            <v>6.2497162573206033E-2</v>
          </cell>
          <cell r="G106">
            <v>4.3615038268644213E-2</v>
          </cell>
          <cell r="H106">
            <v>0.11112362138232812</v>
          </cell>
          <cell r="I106">
            <v>0.10690531901173617</v>
          </cell>
          <cell r="J106">
            <v>5.7498566866343026E-4</v>
          </cell>
          <cell r="K106">
            <v>9.4888349227033597E-3</v>
          </cell>
          <cell r="L106">
            <v>2.5907693390912367E-2</v>
          </cell>
          <cell r="M106">
            <v>3.0000000000000027E-2</v>
          </cell>
          <cell r="N106">
            <v>3.0000000000000027E-2</v>
          </cell>
          <cell r="O106">
            <v>-3.0440097799511068E-2</v>
          </cell>
          <cell r="P106">
            <v>9.2207792207792405E-3</v>
          </cell>
          <cell r="Q106">
            <v>3.0000000000000027E-2</v>
          </cell>
          <cell r="R106">
            <v>3.0000000000000027E-2</v>
          </cell>
          <cell r="S106">
            <v>3.0000000000000027E-2</v>
          </cell>
          <cell r="T106">
            <v>-3.0440097799510957E-2</v>
          </cell>
          <cell r="U106">
            <v>9.2207792207792405E-3</v>
          </cell>
          <cell r="V106">
            <v>3.0000000000000027E-2</v>
          </cell>
        </row>
        <row r="108">
          <cell r="A108" t="str">
            <v>Average price (A$'000/msf)</v>
          </cell>
          <cell r="B108">
            <v>888.48188848188863</v>
          </cell>
          <cell r="C108">
            <v>910.20966271649945</v>
          </cell>
          <cell r="D108">
            <v>891.59908883826881</v>
          </cell>
          <cell r="E108">
            <v>869.2915880503142</v>
          </cell>
          <cell r="F108">
            <v>914.67346192056164</v>
          </cell>
          <cell r="G108">
            <v>897.53765633944477</v>
          </cell>
          <cell r="H108">
            <v>930.5426451798694</v>
          </cell>
          <cell r="I108">
            <v>920.58760725662705</v>
          </cell>
          <cell r="J108">
            <v>920.58760725662705</v>
          </cell>
          <cell r="K108">
            <v>920.58760725662705</v>
          </cell>
          <cell r="L108">
            <v>943.60229743804268</v>
          </cell>
          <cell r="M108">
            <v>967.19235487399362</v>
          </cell>
          <cell r="N108">
            <v>967.19235487399362</v>
          </cell>
          <cell r="O108">
            <v>967.19235487399362</v>
          </cell>
          <cell r="P108">
            <v>967.19235487399362</v>
          </cell>
          <cell r="Q108">
            <v>967.19235487399362</v>
          </cell>
          <cell r="R108">
            <v>991.37216374584341</v>
          </cell>
          <cell r="S108">
            <v>1016.1564678394894</v>
          </cell>
          <cell r="T108">
            <v>1016.1564678394894</v>
          </cell>
          <cell r="U108">
            <v>1016.1564678394894</v>
          </cell>
          <cell r="V108">
            <v>1016.1564678394894</v>
          </cell>
        </row>
        <row r="109">
          <cell r="A109" t="str">
            <v>Change (%)</v>
          </cell>
          <cell r="C109">
            <v>2.4454943332312684E-2</v>
          </cell>
          <cell r="D109">
            <v>-2.044646924829141E-2</v>
          </cell>
          <cell r="E109">
            <v>-2.5019654088050625E-2</v>
          </cell>
          <cell r="F109">
            <v>5.2205582676845941E-2</v>
          </cell>
          <cell r="G109">
            <v>-1.8734342139036575E-2</v>
          </cell>
          <cell r="H109">
            <v>3.6772817950651238E-2</v>
          </cell>
          <cell r="I109">
            <v>-1.0698099624781965E-2</v>
          </cell>
          <cell r="J109">
            <v>0</v>
          </cell>
          <cell r="K109">
            <v>0</v>
          </cell>
          <cell r="L109">
            <v>2.4999999999999911E-2</v>
          </cell>
          <cell r="M109">
            <v>2.4999999999999911E-2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2.4999999999999911E-2</v>
          </cell>
          <cell r="S109">
            <v>2.4999999999999911E-2</v>
          </cell>
          <cell r="T109">
            <v>0</v>
          </cell>
          <cell r="U109">
            <v>0</v>
          </cell>
          <cell r="V109">
            <v>0</v>
          </cell>
        </row>
        <row r="110">
          <cell r="A110" t="str">
            <v>Price growth %</v>
          </cell>
          <cell r="J110">
            <v>0</v>
          </cell>
          <cell r="K110">
            <v>0</v>
          </cell>
          <cell r="L110">
            <v>2.5000000000000001E-2</v>
          </cell>
          <cell r="M110">
            <v>2.5000000000000001E-2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2.5000000000000001E-2</v>
          </cell>
          <cell r="S110">
            <v>2.5000000000000001E-2</v>
          </cell>
          <cell r="T110">
            <v>0</v>
          </cell>
          <cell r="U110">
            <v>0</v>
          </cell>
          <cell r="V110">
            <v>0</v>
          </cell>
        </row>
        <row r="111">
          <cell r="A111" t="str">
            <v>Mix benefit %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</row>
        <row r="112">
          <cell r="A112" t="str">
            <v>Sales (A$m)</v>
          </cell>
          <cell r="B112">
            <v>218.3</v>
          </cell>
          <cell r="C112">
            <v>199.7</v>
          </cell>
          <cell r="D112">
            <v>195.70599999999999</v>
          </cell>
          <cell r="E112">
            <v>221.14777999999995</v>
          </cell>
          <cell r="F112">
            <v>227.93662671060395</v>
          </cell>
          <cell r="G112">
            <v>216.95639244099596</v>
          </cell>
          <cell r="H112">
            <v>218.49141308823332</v>
          </cell>
          <cell r="I112">
            <v>220.94102574159049</v>
          </cell>
          <cell r="J112">
            <v>225.73333146807994</v>
          </cell>
          <cell r="K112">
            <v>225.94752609996522</v>
          </cell>
          <cell r="L112">
            <v>240.01259885441985</v>
          </cell>
          <cell r="M112">
            <v>266.22450490262366</v>
          </cell>
          <cell r="N112">
            <v>272.59531921761902</v>
          </cell>
          <cell r="O112">
            <v>262.56544437635705</v>
          </cell>
          <cell r="P112">
            <v>246.61885605653845</v>
          </cell>
          <cell r="Q112">
            <v>242.94897148992229</v>
          </cell>
          <cell r="R112">
            <v>258.17427984698139</v>
          </cell>
          <cell r="S112">
            <v>286.36963292307729</v>
          </cell>
          <cell r="T112">
            <v>291.49170397444749</v>
          </cell>
          <cell r="U112">
            <v>281.92263703001368</v>
          </cell>
          <cell r="V112">
            <v>265.38622676837656</v>
          </cell>
        </row>
        <row r="113">
          <cell r="A113" t="str">
            <v>Change (%)</v>
          </cell>
          <cell r="C113">
            <v>-8.520384791571245E-2</v>
          </cell>
          <cell r="D113">
            <v>-2.0000000000000018E-2</v>
          </cell>
          <cell r="E113">
            <v>0.12999999999999989</v>
          </cell>
          <cell r="F113">
            <v>3.0698235861124079E-2</v>
          </cell>
          <cell r="G113">
            <v>-4.817231187486537E-2</v>
          </cell>
          <cell r="H113">
            <v>7.0752496848178748E-3</v>
          </cell>
          <cell r="I113">
            <v>1.1211482495964153E-2</v>
          </cell>
          <cell r="J113">
            <v>2.1690429427509095E-2</v>
          </cell>
          <cell r="K113">
            <v>9.4888349227040258E-4</v>
          </cell>
          <cell r="L113">
            <v>6.2249288572568284E-2</v>
          </cell>
          <cell r="M113">
            <v>0.10921054216867465</v>
          </cell>
          <cell r="N113">
            <v>2.3930232558139641E-2</v>
          </cell>
          <cell r="O113">
            <v>-3.6794009779951065E-2</v>
          </cell>
          <cell r="P113">
            <v>-6.073376623376614E-2</v>
          </cell>
          <cell r="Q113">
            <v>-1.4880794701986666E-2</v>
          </cell>
          <cell r="R113">
            <v>6.2668750000000051E-2</v>
          </cell>
          <cell r="S113">
            <v>0.10921054216867443</v>
          </cell>
          <cell r="T113">
            <v>1.788622277818841E-2</v>
          </cell>
          <cell r="U113">
            <v>-3.2827922077921845E-2</v>
          </cell>
          <cell r="V113">
            <v>-5.8655844155844239E-2</v>
          </cell>
        </row>
        <row r="115">
          <cell r="A115" t="str">
            <v>COGS</v>
          </cell>
          <cell r="B115">
            <v>169.38133348848035</v>
          </cell>
          <cell r="C115">
            <v>170.20430999999999</v>
          </cell>
          <cell r="D115">
            <v>143.90262179999999</v>
          </cell>
          <cell r="E115">
            <v>160.99832372399996</v>
          </cell>
          <cell r="F115">
            <v>167.71473385808645</v>
          </cell>
          <cell r="G115">
            <v>155.23534023628645</v>
          </cell>
          <cell r="H115">
            <v>160.99347846298926</v>
          </cell>
          <cell r="I115">
            <v>166.79138722202612</v>
          </cell>
          <cell r="J115">
            <v>169.73664132917361</v>
          </cell>
          <cell r="K115">
            <v>167.72192955175771</v>
          </cell>
          <cell r="L115">
            <v>174.3927842486666</v>
          </cell>
          <cell r="M115">
            <v>188.6466240397927</v>
          </cell>
          <cell r="N115">
            <v>192.75380739499519</v>
          </cell>
          <cell r="O115">
            <v>189.29774572660918</v>
          </cell>
          <cell r="P115">
            <v>182.71632903982101</v>
          </cell>
          <cell r="Q115">
            <v>182.60301156198446</v>
          </cell>
          <cell r="R115">
            <v>189.12371577883476</v>
          </cell>
          <cell r="S115">
            <v>201.84234218094292</v>
          </cell>
          <cell r="T115">
            <v>205.51430215346048</v>
          </cell>
          <cell r="U115">
            <v>202.71232274268351</v>
          </cell>
          <cell r="V115">
            <v>196.40735002606419</v>
          </cell>
        </row>
        <row r="116">
          <cell r="A116" t="str">
            <v xml:space="preserve">Fixed </v>
          </cell>
          <cell r="B116">
            <v>33.876266697696074</v>
          </cell>
          <cell r="C116">
            <v>34.040861999999997</v>
          </cell>
          <cell r="D116">
            <v>28.780524360000001</v>
          </cell>
          <cell r="E116">
            <v>32.199664744799996</v>
          </cell>
          <cell r="F116">
            <v>33.542946771617288</v>
          </cell>
          <cell r="G116">
            <v>31.047068047257291</v>
          </cell>
          <cell r="H116">
            <v>32.198695692597852</v>
          </cell>
          <cell r="I116">
            <v>41.697846805506529</v>
          </cell>
          <cell r="J116">
            <v>42.255217758222273</v>
          </cell>
          <cell r="K116">
            <v>42.787027858493509</v>
          </cell>
          <cell r="L116">
            <v>44.231288327602677</v>
          </cell>
          <cell r="M116">
            <v>47.178604260066109</v>
          </cell>
          <cell r="N116">
            <v>49.789747667271008</v>
          </cell>
          <cell r="O116">
            <v>51.593907010688376</v>
          </cell>
          <cell r="P116">
            <v>53.37576307396521</v>
          </cell>
          <cell r="Q116">
            <v>55.187136004905319</v>
          </cell>
          <cell r="R116">
            <v>57.025306795032989</v>
          </cell>
          <cell r="S116">
            <v>58.891173548218951</v>
          </cell>
          <cell r="T116">
            <v>60.006277072169183</v>
          </cell>
          <cell r="U116">
            <v>61.981023770473165</v>
          </cell>
          <cell r="V116">
            <v>63.930764194217346</v>
          </cell>
        </row>
        <row r="117">
          <cell r="A117" t="str">
            <v>Depreciation &amp; Amortisation</v>
          </cell>
          <cell r="B117">
            <v>10.39723599649129</v>
          </cell>
          <cell r="C117">
            <v>11.050318414207553</v>
          </cell>
          <cell r="D117">
            <v>10.617917199014894</v>
          </cell>
          <cell r="E117">
            <v>9.3869277626480727</v>
          </cell>
          <cell r="F117">
            <v>8.66373541964286</v>
          </cell>
          <cell r="G117">
            <v>8.4740943486460552</v>
          </cell>
          <cell r="H117">
            <v>8.24409482357866</v>
          </cell>
          <cell r="I117">
            <v>7.6177891214954379</v>
          </cell>
          <cell r="J117">
            <v>7.3231586321109008</v>
          </cell>
          <cell r="K117">
            <v>6.9816672542293583</v>
          </cell>
          <cell r="L117">
            <v>7.5307937082319265</v>
          </cell>
          <cell r="M117">
            <v>8.3066637090492552</v>
          </cell>
          <cell r="N117">
            <v>8.6607266971628558</v>
          </cell>
          <cell r="O117">
            <v>9.4366605163275263</v>
          </cell>
          <cell r="P117">
            <v>10.164585417245343</v>
          </cell>
          <cell r="Q117">
            <v>10.895678906767458</v>
          </cell>
          <cell r="R117">
            <v>11.626563269441682</v>
          </cell>
          <cell r="S117">
            <v>12.357461434487869</v>
          </cell>
          <cell r="T117">
            <v>12.309222155594824</v>
          </cell>
          <cell r="U117">
            <v>13.091542480984449</v>
          </cell>
          <cell r="V117">
            <v>13.81904587249142</v>
          </cell>
        </row>
        <row r="118">
          <cell r="A118" t="str">
            <v>Variable</v>
          </cell>
          <cell r="B118">
            <v>135.50506679078427</v>
          </cell>
          <cell r="C118">
            <v>136.16344799999999</v>
          </cell>
          <cell r="D118">
            <v>115.12209743999999</v>
          </cell>
          <cell r="E118">
            <v>128.79865897919996</v>
          </cell>
          <cell r="F118">
            <v>134.17178708646915</v>
          </cell>
          <cell r="G118">
            <v>124.18827218902916</v>
          </cell>
          <cell r="H118">
            <v>128.79478277039141</v>
          </cell>
          <cell r="I118">
            <v>125.09354041651959</v>
          </cell>
          <cell r="J118">
            <v>127.48142357095135</v>
          </cell>
          <cell r="K118">
            <v>124.93490169326421</v>
          </cell>
          <cell r="L118">
            <v>130.16149592106393</v>
          </cell>
          <cell r="M118">
            <v>141.4680197797266</v>
          </cell>
          <cell r="N118">
            <v>142.96405972772419</v>
          </cell>
          <cell r="O118">
            <v>137.7038387159208</v>
          </cell>
          <cell r="P118">
            <v>129.3405659658558</v>
          </cell>
          <cell r="Q118">
            <v>127.41587555707913</v>
          </cell>
          <cell r="R118">
            <v>132.09840898380179</v>
          </cell>
          <cell r="S118">
            <v>142.95116863272398</v>
          </cell>
          <cell r="T118">
            <v>145.50802508129129</v>
          </cell>
          <cell r="U118">
            <v>140.73129897221034</v>
          </cell>
          <cell r="V118">
            <v>132.47658583184685</v>
          </cell>
        </row>
        <row r="119">
          <cell r="A119" t="str">
            <v>Pulp (A$m)</v>
          </cell>
          <cell r="B119">
            <v>33.876266697696074</v>
          </cell>
          <cell r="C119">
            <v>34.040861999999997</v>
          </cell>
          <cell r="D119">
            <v>28.780524360000001</v>
          </cell>
          <cell r="E119">
            <v>32.199664744799996</v>
          </cell>
          <cell r="F119">
            <v>33.542946771617288</v>
          </cell>
          <cell r="G119">
            <v>31.047068047257291</v>
          </cell>
          <cell r="H119">
            <v>32.198695692597852</v>
          </cell>
          <cell r="I119">
            <v>33.358277444405225</v>
          </cell>
          <cell r="J119">
            <v>32.904337531147959</v>
          </cell>
          <cell r="K119">
            <v>29.393897347568974</v>
          </cell>
          <cell r="L119">
            <v>30.219865490257568</v>
          </cell>
          <cell r="M119">
            <v>33.3155221452134</v>
          </cell>
          <cell r="N119">
            <v>32.223447673073451</v>
          </cell>
          <cell r="O119">
            <v>31.037817824246648</v>
          </cell>
          <cell r="P119">
            <v>29.152774252102628</v>
          </cell>
          <cell r="Q119">
            <v>28.718957803463727</v>
          </cell>
          <cell r="R119">
            <v>29.77437950274102</v>
          </cell>
          <cell r="S119">
            <v>32.220542078996331</v>
          </cell>
          <cell r="T119">
            <v>32.796845872655261</v>
          </cell>
          <cell r="U119">
            <v>31.720193571946119</v>
          </cell>
          <cell r="V119">
            <v>29.859618841196834</v>
          </cell>
        </row>
        <row r="120">
          <cell r="A120" t="str">
            <v>NBSK US delivered (A$/mt)</v>
          </cell>
          <cell r="B120">
            <v>867.69063687844221</v>
          </cell>
          <cell r="C120">
            <v>1241.4745717104672</v>
          </cell>
          <cell r="D120">
            <v>1004.1600248823918</v>
          </cell>
          <cell r="E120">
            <v>866.94416279773009</v>
          </cell>
          <cell r="F120">
            <v>817.30534010619772</v>
          </cell>
          <cell r="G120">
            <v>878.86939360350357</v>
          </cell>
          <cell r="H120">
            <v>855.15812402874258</v>
          </cell>
          <cell r="I120">
            <v>972.55886313422479</v>
          </cell>
          <cell r="J120">
            <v>938.95786892004594</v>
          </cell>
          <cell r="K120">
            <v>837.98882681564248</v>
          </cell>
          <cell r="L120">
            <v>831.32530120481931</v>
          </cell>
          <cell r="M120">
            <v>846.90553745928344</v>
          </cell>
          <cell r="N120">
            <v>800</v>
          </cell>
          <cell r="O120">
            <v>800</v>
          </cell>
          <cell r="P120">
            <v>800</v>
          </cell>
          <cell r="Q120">
            <v>800</v>
          </cell>
          <cell r="R120">
            <v>800</v>
          </cell>
          <cell r="S120">
            <v>800</v>
          </cell>
          <cell r="T120">
            <v>800</v>
          </cell>
          <cell r="U120">
            <v>800</v>
          </cell>
          <cell r="V120">
            <v>800</v>
          </cell>
        </row>
        <row r="121">
          <cell r="A121" t="str">
            <v>Cement (A$m)</v>
          </cell>
          <cell r="B121">
            <v>33.876266697696074</v>
          </cell>
          <cell r="C121">
            <v>34.040861999999997</v>
          </cell>
          <cell r="D121">
            <v>28.780524360000001</v>
          </cell>
          <cell r="E121">
            <v>32.199664744799996</v>
          </cell>
          <cell r="F121">
            <v>33.542946771617288</v>
          </cell>
          <cell r="G121">
            <v>31.047068047257291</v>
          </cell>
          <cell r="H121">
            <v>32.198695692597852</v>
          </cell>
          <cell r="I121">
            <v>33.358277444405225</v>
          </cell>
          <cell r="J121">
            <v>34.933878627314769</v>
          </cell>
          <cell r="K121">
            <v>35.841202478266837</v>
          </cell>
          <cell r="L121">
            <v>38.072291834124321</v>
          </cell>
          <cell r="M121">
            <v>41.200182894568826</v>
          </cell>
          <cell r="N121">
            <v>42.186112852673745</v>
          </cell>
          <cell r="O121">
            <v>40.633916603794354</v>
          </cell>
          <cell r="P121">
            <v>38.166065811617152</v>
          </cell>
          <cell r="Q121">
            <v>37.598124421691963</v>
          </cell>
          <cell r="R121">
            <v>38.979855494189145</v>
          </cell>
          <cell r="S121">
            <v>42.182308923284033</v>
          </cell>
          <cell r="T121">
            <v>42.936791097984269</v>
          </cell>
          <cell r="U121">
            <v>41.527265465543628</v>
          </cell>
          <cell r="V121">
            <v>39.091448654178329</v>
          </cell>
        </row>
        <row r="122">
          <cell r="A122" t="str">
            <v xml:space="preserve">Aust. cement index </v>
          </cell>
          <cell r="B122">
            <v>496.5</v>
          </cell>
          <cell r="C122">
            <v>500.2</v>
          </cell>
          <cell r="D122">
            <v>510.4</v>
          </cell>
          <cell r="E122">
            <v>526</v>
          </cell>
          <cell r="F122">
            <v>534.1</v>
          </cell>
          <cell r="G122">
            <v>549</v>
          </cell>
          <cell r="H122">
            <v>581.5</v>
          </cell>
          <cell r="I122">
            <v>620.9</v>
          </cell>
          <cell r="J122">
            <v>636.4224999999999</v>
          </cell>
          <cell r="K122">
            <v>652.33306249999987</v>
          </cell>
          <cell r="L122">
            <v>668.6413890624998</v>
          </cell>
          <cell r="M122">
            <v>668.6413890624998</v>
          </cell>
          <cell r="N122">
            <v>668.6413890624998</v>
          </cell>
          <cell r="O122">
            <v>668.6413890624998</v>
          </cell>
          <cell r="P122">
            <v>668.6413890624998</v>
          </cell>
          <cell r="Q122">
            <v>668.6413890624998</v>
          </cell>
          <cell r="R122">
            <v>668.6413890624998</v>
          </cell>
          <cell r="S122">
            <v>668.6413890624998</v>
          </cell>
          <cell r="T122">
            <v>668.6413890624998</v>
          </cell>
          <cell r="U122">
            <v>668.6413890624998</v>
          </cell>
          <cell r="V122">
            <v>668.6413890624998</v>
          </cell>
        </row>
        <row r="123">
          <cell r="A123" t="str">
            <v>SG&amp;A</v>
          </cell>
          <cell r="B123">
            <v>18.821820542971224</v>
          </cell>
          <cell r="C123">
            <v>18.91159</v>
          </cell>
          <cell r="D123">
            <v>15.9891802</v>
          </cell>
          <cell r="E123">
            <v>17.888702635999998</v>
          </cell>
          <cell r="F123">
            <v>18.632423294126117</v>
          </cell>
          <cell r="G123">
            <v>17.256846613321311</v>
          </cell>
          <cell r="H123">
            <v>17.885947010779347</v>
          </cell>
          <cell r="I123">
            <v>18.530801660184974</v>
          </cell>
          <cell r="J123">
            <v>18.538543435099129</v>
          </cell>
          <cell r="K123">
            <v>19.233685972336261</v>
          </cell>
          <cell r="L123">
            <v>19.467593582446256</v>
          </cell>
          <cell r="M123">
            <v>19.751653538572278</v>
          </cell>
          <cell r="N123">
            <v>20.260233313791407</v>
          </cell>
          <cell r="O123">
            <v>20.755979434071715</v>
          </cell>
          <cell r="P123">
            <v>21.258624192113182</v>
          </cell>
          <cell r="Q123">
            <v>21.781765613733942</v>
          </cell>
          <cell r="R123">
            <v>22.32630975407729</v>
          </cell>
          <cell r="S123">
            <v>22.884467497929219</v>
          </cell>
          <cell r="T123">
            <v>23.456579185377446</v>
          </cell>
          <cell r="U123">
            <v>24.042993665011881</v>
          </cell>
          <cell r="V123">
            <v>24.644068506637176</v>
          </cell>
        </row>
        <row r="124">
          <cell r="A124" t="str">
            <v>Gross Profit</v>
          </cell>
          <cell r="B124">
            <v>48.91866651151966</v>
          </cell>
          <cell r="C124">
            <v>29.49569</v>
          </cell>
          <cell r="D124">
            <v>51.803378199999997</v>
          </cell>
          <cell r="E124">
            <v>60.149456275999995</v>
          </cell>
          <cell r="F124">
            <v>60.221892852517513</v>
          </cell>
          <cell r="G124">
            <v>61.721052204709501</v>
          </cell>
          <cell r="H124">
            <v>57.497934625244049</v>
          </cell>
          <cell r="I124">
            <v>54.149638519564391</v>
          </cell>
          <cell r="J124">
            <v>55.996690138906331</v>
          </cell>
          <cell r="K124">
            <v>58.225596548207506</v>
          </cell>
          <cell r="L124">
            <v>65.619814605753248</v>
          </cell>
          <cell r="M124">
            <v>77.577880862830966</v>
          </cell>
          <cell r="N124">
            <v>79.841511822623829</v>
          </cell>
          <cell r="O124">
            <v>73.267698649747871</v>
          </cell>
          <cell r="P124">
            <v>63.902527016717443</v>
          </cell>
          <cell r="Q124">
            <v>60.345959927937827</v>
          </cell>
          <cell r="R124">
            <v>69.050564068146628</v>
          </cell>
          <cell r="S124">
            <v>84.527290742134369</v>
          </cell>
          <cell r="T124">
            <v>85.977401820987012</v>
          </cell>
          <cell r="U124">
            <v>79.210314287330164</v>
          </cell>
          <cell r="V124">
            <v>68.978876742312366</v>
          </cell>
        </row>
        <row r="125">
          <cell r="A125" t="str">
            <v>Margin (%)</v>
          </cell>
          <cell r="B125">
            <v>0.22408917320897689</v>
          </cell>
          <cell r="C125">
            <v>0.1477</v>
          </cell>
          <cell r="D125">
            <v>0.26469999999999999</v>
          </cell>
          <cell r="E125">
            <v>0.27198761061946908</v>
          </cell>
          <cell r="F125">
            <v>0.26420454545454541</v>
          </cell>
          <cell r="G125">
            <v>0.28448598130841118</v>
          </cell>
          <cell r="H125">
            <v>0.26315878419452887</v>
          </cell>
          <cell r="I125">
            <v>0.24508639053254438</v>
          </cell>
          <cell r="J125">
            <v>0.2480656701193665</v>
          </cell>
          <cell r="K125">
            <v>0.25769521602306433</v>
          </cell>
          <cell r="L125">
            <v>0.27340154191470212</v>
          </cell>
          <cell r="M125">
            <v>0.29140022587780362</v>
          </cell>
          <cell r="N125">
            <v>0.29289392074588244</v>
          </cell>
          <cell r="O125">
            <v>0.27904547311536981</v>
          </cell>
          <cell r="P125">
            <v>0.25911452205449981</v>
          </cell>
          <cell r="Q125">
            <v>0.24838944391432019</v>
          </cell>
          <cell r="R125">
            <v>0.26745717702426652</v>
          </cell>
          <cell r="S125">
            <v>0.29516848514744415</v>
          </cell>
          <cell r="T125">
            <v>0.29495659961740761</v>
          </cell>
          <cell r="U125">
            <v>0.28096471827091124</v>
          </cell>
          <cell r="V125">
            <v>0.25991882691981472</v>
          </cell>
        </row>
        <row r="126">
          <cell r="A126" t="str">
            <v>EBIT (A$m)</v>
          </cell>
          <cell r="B126">
            <v>30.081794570287766</v>
          </cell>
          <cell r="C126">
            <v>10.584099999999999</v>
          </cell>
          <cell r="D126">
            <v>35.814197999999998</v>
          </cell>
          <cell r="E126">
            <v>42.260753639999997</v>
          </cell>
          <cell r="F126">
            <v>41.58123808496098</v>
          </cell>
          <cell r="G126">
            <v>44.494533979488338</v>
          </cell>
          <cell r="H126">
            <v>39.604860665353364</v>
          </cell>
          <cell r="I126">
            <v>35.614235759338534</v>
          </cell>
          <cell r="J126">
            <v>43.199148274969055</v>
          </cell>
          <cell r="K126">
            <v>45.988157645424096</v>
          </cell>
          <cell r="L126">
            <v>41.643544113114842</v>
          </cell>
          <cell r="M126">
            <v>48.159007886991922</v>
          </cell>
          <cell r="N126">
            <v>57.249887824581421</v>
          </cell>
          <cell r="O126">
            <v>62.936013596041846</v>
          </cell>
          <cell r="P126">
            <v>59.501444337926877</v>
          </cell>
          <cell r="Q126">
            <v>53.072866268951827</v>
          </cell>
          <cell r="R126">
            <v>48.949023774672739</v>
          </cell>
          <cell r="S126">
            <v>53.474990047960944</v>
          </cell>
          <cell r="T126">
            <v>62.441259279860986</v>
          </cell>
          <cell r="U126">
            <v>71.603068383591662</v>
          </cell>
          <cell r="V126">
            <v>69.532587670607853</v>
          </cell>
        </row>
        <row r="127">
          <cell r="A127" t="str">
            <v>SG&amp;A</v>
          </cell>
          <cell r="B127">
            <v>18.820148165386708</v>
          </cell>
          <cell r="C127">
            <v>18.91159</v>
          </cell>
          <cell r="D127">
            <v>15.9891802</v>
          </cell>
          <cell r="E127">
            <v>17.888702635999998</v>
          </cell>
          <cell r="F127">
            <v>18.634970428676269</v>
          </cell>
          <cell r="G127">
            <v>17.248371137365162</v>
          </cell>
          <cell r="H127">
            <v>17.888164273665474</v>
          </cell>
          <cell r="I127">
            <v>18.532376358002903</v>
          </cell>
          <cell r="J127">
            <v>18.995685766952974</v>
          </cell>
          <cell r="K127">
            <v>19.470577911126796</v>
          </cell>
          <cell r="L127">
            <v>19.957342358904963</v>
          </cell>
          <cell r="M127">
            <v>20.456275917877587</v>
          </cell>
          <cell r="N127">
            <v>20.967682815824524</v>
          </cell>
          <cell r="O127">
            <v>21.491874886220135</v>
          </cell>
          <cell r="P127">
            <v>22.029171758375636</v>
          </cell>
          <cell r="Q127">
            <v>22.579901052335025</v>
          </cell>
          <cell r="R127">
            <v>23.144398578643397</v>
          </cell>
          <cell r="S127">
            <v>23.723008543109479</v>
          </cell>
          <cell r="T127">
            <v>24.316083756687213</v>
          </cell>
          <cell r="U127">
            <v>24.923985850604392</v>
          </cell>
          <cell r="V127">
            <v>25.547085496869499</v>
          </cell>
        </row>
        <row r="128">
          <cell r="A128" t="str">
            <v>Commissioning costs</v>
          </cell>
          <cell r="C128">
            <v>-0.64815596439003431</v>
          </cell>
          <cell r="D128">
            <v>2.3837735849056605</v>
          </cell>
          <cell r="E128">
            <v>0.17999999999999994</v>
          </cell>
          <cell r="F128">
            <v>-1.6079115882019046E-2</v>
          </cell>
          <cell r="G128">
            <v>7.0062750141656638E-2</v>
          </cell>
          <cell r="H128">
            <v>-0.1098937976603841</v>
          </cell>
          <cell r="I128">
            <v>-0.10076098839822101</v>
          </cell>
          <cell r="J128">
            <v>0</v>
          </cell>
          <cell r="K128">
            <v>0</v>
          </cell>
          <cell r="L128">
            <v>0</v>
          </cell>
          <cell r="M128">
            <v>1</v>
          </cell>
          <cell r="N128">
            <v>1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</row>
        <row r="130">
          <cell r="A130" t="str">
            <v>EBIT (A$m)</v>
          </cell>
          <cell r="B130">
            <v>30.098518346132956</v>
          </cell>
          <cell r="C130">
            <v>10.584099999999999</v>
          </cell>
          <cell r="D130">
            <v>35.814197999999998</v>
          </cell>
          <cell r="E130">
            <v>42.260753639999997</v>
          </cell>
          <cell r="F130">
            <v>41.586922423841244</v>
          </cell>
          <cell r="G130">
            <v>44.47268106734434</v>
          </cell>
          <cell r="H130">
            <v>39.609770351578575</v>
          </cell>
          <cell r="I130">
            <v>35.617262161561484</v>
          </cell>
          <cell r="J130">
            <v>37.001004371953357</v>
          </cell>
          <cell r="K130">
            <v>38.75501863708071</v>
          </cell>
          <cell r="L130">
            <v>45.662472246848282</v>
          </cell>
          <cell r="M130">
            <v>57.121604944953376</v>
          </cell>
          <cell r="N130">
            <v>58.873829006799305</v>
          </cell>
          <cell r="O130">
            <v>51.77582376352774</v>
          </cell>
          <cell r="P130">
            <v>41.873355258341803</v>
          </cell>
          <cell r="Q130">
            <v>37.766058875602802</v>
          </cell>
          <cell r="R130">
            <v>45.906165489503231</v>
          </cell>
          <cell r="S130">
            <v>60.80428219902489</v>
          </cell>
          <cell r="T130">
            <v>61.661318064299799</v>
          </cell>
          <cell r="U130">
            <v>54.286328436725768</v>
          </cell>
          <cell r="V130">
            <v>43.431791245442867</v>
          </cell>
        </row>
        <row r="131">
          <cell r="A131" t="str">
            <v>Margin (%)</v>
          </cell>
          <cell r="B131">
            <v>0.13787685912108544</v>
          </cell>
          <cell r="C131">
            <v>5.2999999999999999E-2</v>
          </cell>
          <cell r="D131">
            <v>0.183</v>
          </cell>
          <cell r="E131">
            <v>0.1910973451327434</v>
          </cell>
          <cell r="F131">
            <v>0.18244949494949492</v>
          </cell>
          <cell r="G131">
            <v>0.20498442367601244</v>
          </cell>
          <cell r="H131">
            <v>0.18128753799392094</v>
          </cell>
          <cell r="I131">
            <v>0.16120710059171597</v>
          </cell>
          <cell r="J131">
            <v>0.16391466927508455</v>
          </cell>
          <cell r="K131">
            <v>0.17152220830218098</v>
          </cell>
          <cell r="L131">
            <v>0.19025031379517268</v>
          </cell>
          <cell r="M131">
            <v>0.21456178485840968</v>
          </cell>
          <cell r="N131">
            <v>0.21597520153968233</v>
          </cell>
          <cell r="O131">
            <v>0.19719207105300998</v>
          </cell>
          <cell r="P131">
            <v>0.16978975544652658</v>
          </cell>
          <cell r="Q131">
            <v>0.15544852338331208</v>
          </cell>
          <cell r="R131">
            <v>0.17781076223670145</v>
          </cell>
          <cell r="S131">
            <v>0.21232796780291902</v>
          </cell>
          <cell r="T131">
            <v>0.21153712858224297</v>
          </cell>
          <cell r="U131">
            <v>0.19255753638167911</v>
          </cell>
          <cell r="V131">
            <v>0.16365503128897946</v>
          </cell>
        </row>
        <row r="132">
          <cell r="A132" t="str">
            <v>Change (%)</v>
          </cell>
          <cell r="C132">
            <v>-0.6483514610824741</v>
          </cell>
          <cell r="D132">
            <v>2.3837735849056605</v>
          </cell>
          <cell r="E132">
            <v>0.17999999999999994</v>
          </cell>
          <cell r="F132">
            <v>-1.5944609551898026E-2</v>
          </cell>
          <cell r="G132">
            <v>6.9391012253619655E-2</v>
          </cell>
          <cell r="H132">
            <v>-0.10934602095164736</v>
          </cell>
          <cell r="I132">
            <v>-0.10079604487931537</v>
          </cell>
          <cell r="J132">
            <v>3.8850324994525343E-2</v>
          </cell>
          <cell r="K132">
            <v>4.7404504145214243E-2</v>
          </cell>
          <cell r="L132">
            <v>0.17823378371849197</v>
          </cell>
          <cell r="M132">
            <v>0.250952962777788</v>
          </cell>
          <cell r="N132">
            <v>3.0675329650392325E-2</v>
          </cell>
          <cell r="O132">
            <v>-0.12056299654727431</v>
          </cell>
          <cell r="P132">
            <v>-0.1912566094633823</v>
          </cell>
          <cell r="Q132">
            <v>-9.8088542401215006E-2</v>
          </cell>
          <cell r="R132">
            <v>0.21554027230410866</v>
          </cell>
          <cell r="S132">
            <v>0.32453411324298509</v>
          </cell>
          <cell r="T132">
            <v>1.4094991903196075E-2</v>
          </cell>
          <cell r="U132">
            <v>-0.11960480020688935</v>
          </cell>
          <cell r="V132">
            <v>-0.19994973879905265</v>
          </cell>
        </row>
        <row r="133">
          <cell r="A133" t="str">
            <v>NEW ZEALAND (NZ$m)</v>
          </cell>
        </row>
        <row r="134">
          <cell r="A134" t="str">
            <v>EBITDA (A$m)</v>
          </cell>
          <cell r="B134">
            <v>40.495754342624245</v>
          </cell>
          <cell r="C134">
            <v>21.634418414207552</v>
          </cell>
          <cell r="D134">
            <v>46.432115199014888</v>
          </cell>
          <cell r="E134">
            <v>51.647681402648068</v>
          </cell>
          <cell r="F134">
            <v>50.250657843484106</v>
          </cell>
          <cell r="G134">
            <v>52.946775415990395</v>
          </cell>
          <cell r="H134">
            <v>47.853865175157239</v>
          </cell>
          <cell r="I134">
            <v>43.235051283056919</v>
          </cell>
          <cell r="J134">
            <v>44.32416300406426</v>
          </cell>
          <cell r="K134">
            <v>45.736685891310067</v>
          </cell>
          <cell r="L134">
            <v>53.193265955080207</v>
          </cell>
          <cell r="M134">
            <v>65.428268654002636</v>
          </cell>
          <cell r="N134">
            <v>67.534555703962155</v>
          </cell>
          <cell r="O134">
            <v>61.212484279855268</v>
          </cell>
          <cell r="P134">
            <v>52.037940675587144</v>
          </cell>
          <cell r="Q134">
            <v>48.66173778237026</v>
          </cell>
          <cell r="R134">
            <v>57.532728758944913</v>
          </cell>
          <cell r="S134">
            <v>73.161743633512756</v>
          </cell>
          <cell r="T134">
            <v>73.970540219894616</v>
          </cell>
          <cell r="U134">
            <v>67.377870917710212</v>
          </cell>
          <cell r="V134">
            <v>57.250837117934289</v>
          </cell>
        </row>
        <row r="135">
          <cell r="A135" t="str">
            <v>Margin (%)</v>
          </cell>
          <cell r="B135">
            <v>0.18550505883016144</v>
          </cell>
          <cell r="C135">
            <v>0.10833459396198074</v>
          </cell>
          <cell r="D135">
            <v>0.23725442857661436</v>
          </cell>
          <cell r="E135">
            <v>0.23354374799804944</v>
          </cell>
          <cell r="F135">
            <v>0.22045889933820967</v>
          </cell>
          <cell r="G135">
            <v>0.24404339886131698</v>
          </cell>
          <cell r="H135">
            <v>0.21901943192537471</v>
          </cell>
          <cell r="I135">
            <v>0.19568593536640871</v>
          </cell>
          <cell r="J135">
            <v>0.19635630553891845</v>
          </cell>
          <cell r="K135">
            <v>0.20242171569993175</v>
          </cell>
          <cell r="L135">
            <v>0.22162697378792476</v>
          </cell>
          <cell r="M135">
            <v>0.24576350955346574</v>
          </cell>
          <cell r="N135">
            <v>0.24774657135637676</v>
          </cell>
          <cell r="O135">
            <v>0.23313229364681473</v>
          </cell>
          <cell r="P135">
            <v>0.21100552288531102</v>
          </cell>
          <cell r="Q135">
            <v>0.20029612590637697</v>
          </cell>
          <cell r="R135">
            <v>0.22284454049041708</v>
          </cell>
          <cell r="S135">
            <v>0.25548010411133565</v>
          </cell>
          <cell r="T135">
            <v>0.25376550759873073</v>
          </cell>
          <cell r="U135">
            <v>0.23899418516909346</v>
          </cell>
          <cell r="V135">
            <v>0.21572648217309937</v>
          </cell>
        </row>
        <row r="136">
          <cell r="A136" t="str">
            <v>Auckland</v>
          </cell>
          <cell r="B136">
            <v>90</v>
          </cell>
          <cell r="C136">
            <v>90</v>
          </cell>
          <cell r="D136">
            <v>75</v>
          </cell>
          <cell r="E136">
            <v>76</v>
          </cell>
          <cell r="F136">
            <v>75</v>
          </cell>
          <cell r="G136">
            <v>75</v>
          </cell>
          <cell r="H136">
            <v>75</v>
          </cell>
          <cell r="I136">
            <v>75</v>
          </cell>
          <cell r="J136">
            <v>75</v>
          </cell>
          <cell r="K136">
            <v>75</v>
          </cell>
          <cell r="L136">
            <v>75</v>
          </cell>
          <cell r="M136">
            <v>75</v>
          </cell>
          <cell r="N136">
            <v>75</v>
          </cell>
          <cell r="O136">
            <v>75</v>
          </cell>
          <cell r="P136">
            <v>75</v>
          </cell>
          <cell r="Q136">
            <v>75</v>
          </cell>
          <cell r="R136">
            <v>75</v>
          </cell>
          <cell r="S136">
            <v>75</v>
          </cell>
          <cell r="T136">
            <v>75</v>
          </cell>
          <cell r="U136">
            <v>75</v>
          </cell>
          <cell r="V136">
            <v>75</v>
          </cell>
        </row>
        <row r="137">
          <cell r="A137" t="str">
            <v>NEW ZEALAND (NZ$m)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5</v>
          </cell>
          <cell r="V137">
            <v>5</v>
          </cell>
        </row>
        <row r="138">
          <cell r="A138" t="str">
            <v>Total</v>
          </cell>
          <cell r="B138">
            <v>90</v>
          </cell>
          <cell r="C138">
            <v>90</v>
          </cell>
          <cell r="D138">
            <v>75</v>
          </cell>
          <cell r="E138">
            <v>76</v>
          </cell>
          <cell r="F138">
            <v>75</v>
          </cell>
          <cell r="G138">
            <v>75</v>
          </cell>
          <cell r="H138">
            <v>75</v>
          </cell>
          <cell r="I138">
            <v>75</v>
          </cell>
          <cell r="J138">
            <v>75</v>
          </cell>
          <cell r="K138">
            <v>75</v>
          </cell>
          <cell r="L138">
            <v>75</v>
          </cell>
          <cell r="M138">
            <v>75</v>
          </cell>
          <cell r="N138">
            <v>75</v>
          </cell>
          <cell r="O138">
            <v>75</v>
          </cell>
          <cell r="P138">
            <v>75</v>
          </cell>
          <cell r="Q138">
            <v>75</v>
          </cell>
          <cell r="R138">
            <v>75</v>
          </cell>
          <cell r="S138">
            <v>75</v>
          </cell>
          <cell r="T138">
            <v>75</v>
          </cell>
          <cell r="U138">
            <v>80</v>
          </cell>
          <cell r="V138">
            <v>80</v>
          </cell>
        </row>
        <row r="139">
          <cell r="A139" t="str">
            <v>Manufacturing Capacity (mmsf)</v>
          </cell>
          <cell r="B139">
            <v>0.46192259675405739</v>
          </cell>
          <cell r="C139">
            <v>0.41111111111111109</v>
          </cell>
          <cell r="D139">
            <v>0.48533333333333334</v>
          </cell>
          <cell r="E139">
            <v>0.58289473684210524</v>
          </cell>
          <cell r="F139">
            <v>0.46666666666666667</v>
          </cell>
          <cell r="G139">
            <v>0.55434666666666699</v>
          </cell>
          <cell r="H139">
            <v>0.64666666666666661</v>
          </cell>
          <cell r="I139">
            <v>0.73</v>
          </cell>
          <cell r="J139">
            <v>0.73729999999999996</v>
          </cell>
          <cell r="K139">
            <v>0.68568899999999999</v>
          </cell>
          <cell r="L139">
            <v>0.613995206143368</v>
          </cell>
          <cell r="M139">
            <v>0.69934053979729616</v>
          </cell>
          <cell r="N139">
            <v>0.81658027812694001</v>
          </cell>
          <cell r="O139">
            <v>0.85770886838826221</v>
          </cell>
          <cell r="P139">
            <v>0.83583729224436165</v>
          </cell>
          <cell r="Q139">
            <v>0.78861888691677806</v>
          </cell>
          <cell r="R139">
            <v>0.76856624913907123</v>
          </cell>
          <cell r="S139">
            <v>0.81237452533999843</v>
          </cell>
          <cell r="T139">
            <v>0.88711298167127839</v>
          </cell>
          <cell r="U139">
            <v>0.86086983663417149</v>
          </cell>
          <cell r="V139">
            <v>0.83891765580000011</v>
          </cell>
        </row>
        <row r="140">
          <cell r="A140" t="str">
            <v>Auckland</v>
          </cell>
          <cell r="B140">
            <v>90</v>
          </cell>
          <cell r="C140">
            <v>90</v>
          </cell>
          <cell r="D140">
            <v>75</v>
          </cell>
          <cell r="E140">
            <v>76</v>
          </cell>
          <cell r="F140">
            <v>75</v>
          </cell>
          <cell r="G140">
            <v>75</v>
          </cell>
          <cell r="H140">
            <v>75</v>
          </cell>
          <cell r="I140">
            <v>75</v>
          </cell>
          <cell r="J140">
            <v>75</v>
          </cell>
          <cell r="K140">
            <v>75</v>
          </cell>
          <cell r="L140">
            <v>75</v>
          </cell>
          <cell r="M140">
            <v>75</v>
          </cell>
          <cell r="N140">
            <v>75</v>
          </cell>
          <cell r="O140">
            <v>75</v>
          </cell>
          <cell r="P140">
            <v>75</v>
          </cell>
          <cell r="Q140">
            <v>75</v>
          </cell>
          <cell r="R140">
            <v>75</v>
          </cell>
          <cell r="S140">
            <v>75</v>
          </cell>
          <cell r="T140">
            <v>75</v>
          </cell>
          <cell r="U140">
            <v>75</v>
          </cell>
          <cell r="V140">
            <v>75</v>
          </cell>
        </row>
        <row r="141">
          <cell r="A141" t="str">
            <v>New capacity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</row>
        <row r="142">
          <cell r="A142" t="str">
            <v>Total</v>
          </cell>
          <cell r="B142">
            <v>90</v>
          </cell>
          <cell r="C142">
            <v>90</v>
          </cell>
          <cell r="D142">
            <v>75</v>
          </cell>
          <cell r="E142">
            <v>76</v>
          </cell>
          <cell r="F142">
            <v>75</v>
          </cell>
          <cell r="G142">
            <v>75</v>
          </cell>
          <cell r="H142">
            <v>75</v>
          </cell>
          <cell r="I142">
            <v>75</v>
          </cell>
          <cell r="J142">
            <v>75</v>
          </cell>
          <cell r="K142">
            <v>75</v>
          </cell>
          <cell r="L142">
            <v>75</v>
          </cell>
          <cell r="M142">
            <v>75</v>
          </cell>
          <cell r="N142">
            <v>75</v>
          </cell>
          <cell r="O142">
            <v>75</v>
          </cell>
          <cell r="P142">
            <v>75</v>
          </cell>
          <cell r="Q142">
            <v>75</v>
          </cell>
          <cell r="R142">
            <v>75</v>
          </cell>
          <cell r="S142">
            <v>75</v>
          </cell>
          <cell r="T142">
            <v>75</v>
          </cell>
          <cell r="U142">
            <v>75</v>
          </cell>
          <cell r="V142">
            <v>75</v>
          </cell>
        </row>
        <row r="143">
          <cell r="A143" t="str">
            <v>Utilisation</v>
          </cell>
          <cell r="B143">
            <v>0.46192259675405739</v>
          </cell>
          <cell r="C143">
            <v>0.41111111111111109</v>
          </cell>
          <cell r="D143">
            <v>0.48533333333333334</v>
          </cell>
          <cell r="E143">
            <v>0.58289473684210524</v>
          </cell>
          <cell r="F143">
            <v>0.46666666666666667</v>
          </cell>
          <cell r="G143">
            <v>0.55434666666666699</v>
          </cell>
          <cell r="H143">
            <v>0.64666666666666706</v>
          </cell>
          <cell r="I143">
            <v>0.73</v>
          </cell>
          <cell r="J143">
            <v>0.72129493665463484</v>
          </cell>
          <cell r="K143">
            <v>0.70849657521450649</v>
          </cell>
          <cell r="L143">
            <v>0.67861832882412132</v>
          </cell>
          <cell r="M143">
            <v>0.66801409302032511</v>
          </cell>
          <cell r="N143">
            <v>0.69464504509451364</v>
          </cell>
          <cell r="O143">
            <v>0.73217328640074086</v>
          </cell>
          <cell r="P143">
            <v>0.75038923883958819</v>
          </cell>
          <cell r="Q143">
            <v>0.72769477455211917</v>
          </cell>
          <cell r="R143">
            <v>0.69700691446686558</v>
          </cell>
          <cell r="S143">
            <v>0.68611533467312469</v>
          </cell>
          <cell r="T143">
            <v>0.71346790819808137</v>
          </cell>
          <cell r="U143">
            <v>0.75201305584174405</v>
          </cell>
          <cell r="V143">
            <v>0.77072260768287448</v>
          </cell>
        </row>
        <row r="144">
          <cell r="A144" t="str">
            <v>Volume</v>
          </cell>
          <cell r="B144">
            <v>41.573033707865164</v>
          </cell>
          <cell r="C144">
            <v>37</v>
          </cell>
          <cell r="D144">
            <v>36.4</v>
          </cell>
          <cell r="E144">
            <v>44.3</v>
          </cell>
          <cell r="F144">
            <v>35</v>
          </cell>
          <cell r="G144">
            <v>41.576000000000022</v>
          </cell>
          <cell r="H144">
            <v>48.500000000000028</v>
          </cell>
          <cell r="I144">
            <v>54.75</v>
          </cell>
          <cell r="J144">
            <v>54.097120249097614</v>
          </cell>
          <cell r="K144">
            <v>53.137243141087986</v>
          </cell>
          <cell r="L144">
            <v>50.896374661809098</v>
          </cell>
          <cell r="M144">
            <v>50.101056976524383</v>
          </cell>
          <cell r="N144">
            <v>52.098378382088519</v>
          </cell>
          <cell r="O144">
            <v>54.912996480055561</v>
          </cell>
          <cell r="P144">
            <v>56.279192912969116</v>
          </cell>
          <cell r="Q144">
            <v>54.577108091408938</v>
          </cell>
          <cell r="R144">
            <v>52.275518585014922</v>
          </cell>
          <cell r="S144">
            <v>51.458650100484348</v>
          </cell>
          <cell r="T144">
            <v>53.510093114856105</v>
          </cell>
          <cell r="U144">
            <v>56.400979188130805</v>
          </cell>
          <cell r="V144">
            <v>57.804195576215584</v>
          </cell>
        </row>
        <row r="145">
          <cell r="A145" t="str">
            <v>Change (%)</v>
          </cell>
          <cell r="B145">
            <v>735</v>
          </cell>
          <cell r="C145">
            <v>-0.10999999999999988</v>
          </cell>
          <cell r="D145">
            <v>-1.6216216216216273E-2</v>
          </cell>
          <cell r="E145">
            <v>0.21703296703296693</v>
          </cell>
          <cell r="F145">
            <v>-0.20993227990970653</v>
          </cell>
          <cell r="G145">
            <v>0.18788571428571488</v>
          </cell>
          <cell r="H145">
            <v>0.16653838753126804</v>
          </cell>
          <cell r="I145">
            <v>0.12886597938144262</v>
          </cell>
          <cell r="J145">
            <v>-1.1924744308719371E-2</v>
          </cell>
          <cell r="K145">
            <v>-1.7743589743589694E-2</v>
          </cell>
          <cell r="L145">
            <v>-4.217133495859049E-2</v>
          </cell>
          <cell r="M145">
            <v>-1.5626214844757791E-2</v>
          </cell>
          <cell r="N145">
            <v>3.9865853658536787E-2</v>
          </cell>
          <cell r="O145">
            <v>5.402506153501907E-2</v>
          </cell>
          <cell r="P145">
            <v>2.4879291251384439E-2</v>
          </cell>
          <cell r="Q145">
            <v>-3.0243589743589649E-2</v>
          </cell>
          <cell r="R145">
            <v>-4.2171334958590712E-2</v>
          </cell>
          <cell r="S145">
            <v>-1.5626214844757791E-2</v>
          </cell>
          <cell r="T145">
            <v>3.9865853658536787E-2</v>
          </cell>
          <cell r="U145">
            <v>5.402506153501907E-2</v>
          </cell>
          <cell r="V145">
            <v>2.4879291251384439E-2</v>
          </cell>
        </row>
        <row r="146">
          <cell r="A146" t="str">
            <v>Change (%)</v>
          </cell>
          <cell r="C146">
            <v>-9.9319727891156506E-2</v>
          </cell>
          <cell r="D146">
            <v>0.12235649546827787</v>
          </cell>
          <cell r="E146">
            <v>0.15477792732166895</v>
          </cell>
          <cell r="F146">
            <v>0.18997668997668993</v>
          </cell>
          <cell r="G146">
            <v>5.2889324191968567E-2</v>
          </cell>
          <cell r="H146">
            <v>0.10883720930232554</v>
          </cell>
          <cell r="I146">
            <v>0.125</v>
          </cell>
          <cell r="J146">
            <v>5.5182699478001584E-2</v>
          </cell>
          <cell r="K146">
            <v>-3.3922261484098937E-2</v>
          </cell>
          <cell r="L146">
            <v>4.0965618141916682E-2</v>
          </cell>
          <cell r="M146">
            <v>0.1875</v>
          </cell>
          <cell r="N146">
            <v>0.17105263157894735</v>
          </cell>
          <cell r="O146">
            <v>3.3707865168539186E-2</v>
          </cell>
          <cell r="P146">
            <v>-3.7500000000000089E-2</v>
          </cell>
          <cell r="Q146">
            <v>-6.8506493506493626E-2</v>
          </cell>
          <cell r="R146">
            <v>-1.9867549668874052E-2</v>
          </cell>
          <cell r="S146">
            <v>7.4999999999999956E-2</v>
          </cell>
          <cell r="T146">
            <v>0.10000000000000009</v>
          </cell>
          <cell r="U146">
            <v>2.3255813953488635E-2</v>
          </cell>
          <cell r="V146">
            <v>-3.7500000000000089E-2</v>
          </cell>
        </row>
        <row r="147">
          <cell r="A147" t="str">
            <v>NZ dwelling consents ('000 units)</v>
          </cell>
          <cell r="B147">
            <v>0</v>
          </cell>
          <cell r="C147">
            <v>0</v>
          </cell>
          <cell r="D147">
            <v>20.539000000000001</v>
          </cell>
          <cell r="E147">
            <v>27.207999999999998</v>
          </cell>
          <cell r="F147">
            <v>29.914000000000001</v>
          </cell>
          <cell r="G147">
            <v>31.422999999999998</v>
          </cell>
          <cell r="H147">
            <v>26.023</v>
          </cell>
          <cell r="I147">
            <v>25.952000000000002</v>
          </cell>
          <cell r="J147">
            <v>25.874549999999999</v>
          </cell>
          <cell r="K147">
            <v>25.874549999999999</v>
          </cell>
          <cell r="L147">
            <v>24.265683749999997</v>
          </cell>
          <cell r="M147">
            <v>23.320267499999996</v>
          </cell>
          <cell r="N147">
            <v>23.903274187499999</v>
          </cell>
          <cell r="O147">
            <v>25.710594918750001</v>
          </cell>
          <cell r="P147">
            <v>26.9349089625</v>
          </cell>
          <cell r="Q147">
            <v>26.2615362384375</v>
          </cell>
          <cell r="R147">
            <v>24.628607382585933</v>
          </cell>
          <cell r="S147">
            <v>23.669051250796873</v>
          </cell>
          <cell r="T147">
            <v>24.260777532066797</v>
          </cell>
          <cell r="U147">
            <v>26.095129004003557</v>
          </cell>
          <cell r="V147">
            <v>27.337754194670392</v>
          </cell>
        </row>
        <row r="148">
          <cell r="A148" t="str">
            <v>Change (%)</v>
          </cell>
          <cell r="C148">
            <v>0</v>
          </cell>
          <cell r="D148">
            <v>0</v>
          </cell>
          <cell r="E148">
            <v>0.32469935245143366</v>
          </cell>
          <cell r="F148">
            <v>9.9456042340488215E-2</v>
          </cell>
          <cell r="G148">
            <v>5.0444607875910874E-2</v>
          </cell>
          <cell r="H148">
            <v>-0.17184864589631799</v>
          </cell>
          <cell r="I148">
            <v>-2.7283556853552327E-3</v>
          </cell>
          <cell r="J148">
            <v>-2.9843557336622917E-3</v>
          </cell>
          <cell r="K148">
            <v>0</v>
          </cell>
          <cell r="L148">
            <v>-6.2179487179487292E-2</v>
          </cell>
          <cell r="M148">
            <v>-3.8961038961038974E-2</v>
          </cell>
          <cell r="N148">
            <v>2.5000000000000133E-2</v>
          </cell>
          <cell r="O148">
            <v>7.5609756097561043E-2</v>
          </cell>
          <cell r="P148">
            <v>4.7619047619047672E-2</v>
          </cell>
          <cell r="Q148">
            <v>-2.5000000000000022E-2</v>
          </cell>
          <cell r="R148">
            <v>-6.2179487179487403E-2</v>
          </cell>
          <cell r="S148">
            <v>-3.8961038961038863E-2</v>
          </cell>
          <cell r="T148">
            <v>2.5000000000000133E-2</v>
          </cell>
          <cell r="U148">
            <v>7.5609756097561043E-2</v>
          </cell>
          <cell r="V148">
            <v>4.7619047619047672E-2</v>
          </cell>
        </row>
        <row r="149">
          <cell r="A149" t="str">
            <v>Alterations and Additions (NZ$m)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1021</v>
          </cell>
          <cell r="G149">
            <v>1075</v>
          </cell>
          <cell r="H149">
            <v>1192</v>
          </cell>
          <cell r="I149">
            <v>1341</v>
          </cell>
          <cell r="J149">
            <v>1307.4749999999999</v>
          </cell>
          <cell r="K149">
            <v>1242.9393749999999</v>
          </cell>
          <cell r="L149">
            <v>1202.2903125000003</v>
          </cell>
          <cell r="M149">
            <v>1207.8638437500003</v>
          </cell>
          <cell r="N149">
            <v>1284.4600875000003</v>
          </cell>
          <cell r="O149">
            <v>1330.1232328125002</v>
          </cell>
          <cell r="P149">
            <v>1327.0299229687503</v>
          </cell>
          <cell r="Q149">
            <v>1261.5290870273441</v>
          </cell>
          <cell r="R149">
            <v>1220.2720669863284</v>
          </cell>
          <cell r="S149">
            <v>1225.9289573630863</v>
          </cell>
          <cell r="T149">
            <v>1303.6707936836724</v>
          </cell>
          <cell r="U149">
            <v>1350.0168884132527</v>
          </cell>
          <cell r="V149">
            <v>1346.877314254152</v>
          </cell>
        </row>
        <row r="150">
          <cell r="A150" t="str">
            <v>Change (%)</v>
          </cell>
          <cell r="B150">
            <v>2258.6756756756758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5.2889324191968567E-2</v>
          </cell>
          <cell r="H150">
            <v>0.10883720930232554</v>
          </cell>
          <cell r="I150">
            <v>0.125</v>
          </cell>
          <cell r="J150">
            <v>-2.5000000000000022E-2</v>
          </cell>
          <cell r="K150">
            <v>-4.9358974358974295E-2</v>
          </cell>
          <cell r="L150">
            <v>-3.270397842211703E-2</v>
          </cell>
          <cell r="M150">
            <v>4.6357615894041526E-3</v>
          </cell>
          <cell r="N150">
            <v>6.341463414634152E-2</v>
          </cell>
          <cell r="O150">
            <v>3.5550458715596145E-2</v>
          </cell>
          <cell r="P150">
            <v>-2.3255813953487747E-3</v>
          </cell>
          <cell r="Q150">
            <v>-4.9358974358974295E-2</v>
          </cell>
          <cell r="R150">
            <v>-3.2703978422117364E-2</v>
          </cell>
          <cell r="S150">
            <v>4.6357615894041526E-3</v>
          </cell>
          <cell r="T150">
            <v>6.341463414634152E-2</v>
          </cell>
          <cell r="U150">
            <v>3.5550458715596367E-2</v>
          </cell>
          <cell r="V150">
            <v>-2.3255813953488857E-3</v>
          </cell>
        </row>
        <row r="151">
          <cell r="A151" t="str">
            <v>Non Residential Building (NZ$m)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3380</v>
          </cell>
          <cell r="G151">
            <v>4227</v>
          </cell>
          <cell r="H151">
            <v>5206</v>
          </cell>
          <cell r="I151">
            <v>5042</v>
          </cell>
          <cell r="J151">
            <v>5020.1900000000005</v>
          </cell>
          <cell r="K151">
            <v>5120.5938000000006</v>
          </cell>
          <cell r="L151">
            <v>5223.0056760000007</v>
          </cell>
          <cell r="M151">
            <v>5327.4657895199998</v>
          </cell>
          <cell r="N151">
            <v>5434.0151053104</v>
          </cell>
          <cell r="O151">
            <v>5542.6954074166078</v>
          </cell>
          <cell r="P151">
            <v>5653.5493155649401</v>
          </cell>
          <cell r="Q151">
            <v>5766.620301876239</v>
          </cell>
          <cell r="R151">
            <v>5881.9527079137642</v>
          </cell>
          <cell r="S151">
            <v>5999.5917620720393</v>
          </cell>
          <cell r="T151">
            <v>6119.5835973134799</v>
          </cell>
          <cell r="U151">
            <v>6241.9752692597494</v>
          </cell>
          <cell r="V151">
            <v>6366.8147746449449</v>
          </cell>
        </row>
        <row r="152">
          <cell r="A152" t="str">
            <v>Change (%)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0.25059171597633134</v>
          </cell>
          <cell r="H152">
            <v>0.23160634019399096</v>
          </cell>
          <cell r="I152">
            <v>-3.1502112946600103E-2</v>
          </cell>
          <cell r="J152">
            <v>-4.3256644188812698E-3</v>
          </cell>
          <cell r="K152">
            <v>2.0000000000000018E-2</v>
          </cell>
          <cell r="L152">
            <v>2.0000000000000018E-2</v>
          </cell>
          <cell r="M152">
            <v>1.9999999999999796E-2</v>
          </cell>
          <cell r="N152">
            <v>2.0000000000000018E-2</v>
          </cell>
          <cell r="O152">
            <v>2.0000000000000018E-2</v>
          </cell>
          <cell r="P152">
            <v>2.0000000000000018E-2</v>
          </cell>
          <cell r="Q152">
            <v>2.0000000000000018E-2</v>
          </cell>
          <cell r="R152">
            <v>2.0000000000000018E-2</v>
          </cell>
          <cell r="S152">
            <v>2.0000000000000018E-2</v>
          </cell>
          <cell r="T152">
            <v>2.0000000000000018E-2</v>
          </cell>
          <cell r="U152">
            <v>2.0000000000000018E-2</v>
          </cell>
          <cell r="V152">
            <v>2.0000000000000018E-2</v>
          </cell>
        </row>
        <row r="153">
          <cell r="A153" t="str">
            <v>Mix benefit %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</row>
        <row r="154">
          <cell r="A154" t="str">
            <v>Average price (NZ$'000/mmsf)</v>
          </cell>
          <cell r="B154">
            <v>2258.6756756756758</v>
          </cell>
          <cell r="C154">
            <v>2337.8378378378379</v>
          </cell>
          <cell r="D154">
            <v>2495.1923076923081</v>
          </cell>
          <cell r="E154">
            <v>2378.2618510158018</v>
          </cell>
          <cell r="F154">
            <v>1890.9069978271191</v>
          </cell>
          <cell r="G154">
            <v>1769.2231026065272</v>
          </cell>
          <cell r="H154">
            <v>1598.9652518344085</v>
          </cell>
          <cell r="I154">
            <v>1514.2278654085842</v>
          </cell>
          <cell r="J154">
            <v>1514.2278654085842</v>
          </cell>
          <cell r="K154">
            <v>1514.2278654085842</v>
          </cell>
          <cell r="L154">
            <v>1514.2278654085842</v>
          </cell>
          <cell r="M154">
            <v>1514.2278654085842</v>
          </cell>
          <cell r="N154">
            <v>1544.512422716756</v>
          </cell>
          <cell r="O154">
            <v>1575.402671171091</v>
          </cell>
          <cell r="P154">
            <v>1575.402671171091</v>
          </cell>
          <cell r="Q154">
            <v>1575.402671171091</v>
          </cell>
          <cell r="R154">
            <v>1575.402671171091</v>
          </cell>
          <cell r="S154">
            <v>1575.402671171091</v>
          </cell>
          <cell r="T154">
            <v>1606.9107245945129</v>
          </cell>
          <cell r="U154">
            <v>1639.0489390864032</v>
          </cell>
          <cell r="V154">
            <v>1639.0489390864032</v>
          </cell>
        </row>
        <row r="155">
          <cell r="A155" t="str">
            <v>Change (%)</v>
          </cell>
          <cell r="C155">
            <v>3.504804298141706E-2</v>
          </cell>
          <cell r="D155">
            <v>6.7307692307692513E-2</v>
          </cell>
          <cell r="E155">
            <v>-4.6862302483069995E-2</v>
          </cell>
          <cell r="F155">
            <v>-0.20492060324666272</v>
          </cell>
          <cell r="G155">
            <v>-6.4352131204983398E-2</v>
          </cell>
          <cell r="H155">
            <v>-9.6233115270360492E-2</v>
          </cell>
          <cell r="I155">
            <v>-5.2995139405693448E-2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2.0000000000000018E-2</v>
          </cell>
          <cell r="O155">
            <v>2.0000000000000018E-2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2.0000000000000018E-2</v>
          </cell>
          <cell r="U155">
            <v>2.0000000000000018E-2</v>
          </cell>
          <cell r="V155">
            <v>0</v>
          </cell>
        </row>
        <row r="156">
          <cell r="A156" t="str">
            <v>Price growth %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0.02</v>
          </cell>
          <cell r="O156">
            <v>0.02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0.02</v>
          </cell>
          <cell r="U156">
            <v>0.02</v>
          </cell>
          <cell r="V156">
            <v>0</v>
          </cell>
        </row>
        <row r="157">
          <cell r="A157" t="str">
            <v>Mix benefit %</v>
          </cell>
          <cell r="B157">
            <v>72.733401113853404</v>
          </cell>
          <cell r="C157">
            <v>71.055681002512259</v>
          </cell>
          <cell r="D157">
            <v>72.570169353391549</v>
          </cell>
          <cell r="E157">
            <v>85.373799433993298</v>
          </cell>
          <cell r="F157">
            <v>89.904026286824234</v>
          </cell>
          <cell r="G157">
            <v>103.38289011946355</v>
          </cell>
          <cell r="H157">
            <v>93.092895190243254</v>
          </cell>
          <cell r="I157">
            <v>88.958560642504636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</row>
        <row r="158">
          <cell r="A158" t="str">
            <v>Sales (NZ$m)</v>
          </cell>
          <cell r="B158">
            <v>93.9</v>
          </cell>
          <cell r="C158">
            <v>86.5</v>
          </cell>
          <cell r="D158">
            <v>90.825000000000003</v>
          </cell>
          <cell r="E158">
            <v>105.357</v>
          </cell>
          <cell r="F158">
            <v>66.181744923949168</v>
          </cell>
          <cell r="G158">
            <v>73.557219713969019</v>
          </cell>
          <cell r="H158">
            <v>77.549814713968857</v>
          </cell>
          <cell r="I158">
            <v>82.903975631119977</v>
          </cell>
          <cell r="J158">
            <v>81.915366919542578</v>
          </cell>
          <cell r="K158">
            <v>80.461894255226596</v>
          </cell>
          <cell r="L158">
            <v>77.068708761186741</v>
          </cell>
          <cell r="M158">
            <v>75.864416560276368</v>
          </cell>
          <cell r="N158">
            <v>80.466592614533795</v>
          </cell>
          <cell r="O158">
            <v>86.510081336688245</v>
          </cell>
          <cell r="P158">
            <v>88.662390846444666</v>
          </cell>
          <cell r="Q158">
            <v>85.980921871999001</v>
          </cell>
          <cell r="R158">
            <v>82.354991615686515</v>
          </cell>
          <cell r="S158">
            <v>81.068094823161573</v>
          </cell>
          <cell r="T158">
            <v>85.985942500313271</v>
          </cell>
          <cell r="U158">
            <v>92.443965101740105</v>
          </cell>
          <cell r="V158">
            <v>94.743905433939119</v>
          </cell>
        </row>
        <row r="159">
          <cell r="A159" t="str">
            <v>% Change</v>
          </cell>
          <cell r="B159">
            <v>2.4912036105310138</v>
          </cell>
          <cell r="C159">
            <v>-7.880724174653897E-2</v>
          </cell>
          <cell r="D159">
            <v>5.0000000000000044E-2</v>
          </cell>
          <cell r="E159">
            <v>0.15999999999999992</v>
          </cell>
          <cell r="F159">
            <v>-0.37183343371632482</v>
          </cell>
          <cell r="G159">
            <v>0.1114427369434754</v>
          </cell>
          <cell r="H159">
            <v>5.4278764416671121E-2</v>
          </cell>
          <cell r="I159">
            <v>6.904156943377826E-2</v>
          </cell>
          <cell r="J159">
            <v>-1.192474430871926E-2</v>
          </cell>
          <cell r="K159">
            <v>-1.7743589743589694E-2</v>
          </cell>
          <cell r="L159">
            <v>-4.2171334958590601E-2</v>
          </cell>
          <cell r="M159">
            <v>-1.5626214844757791E-2</v>
          </cell>
          <cell r="N159">
            <v>6.0663170731707572E-2</v>
          </cell>
          <cell r="O159">
            <v>7.5105562765719558E-2</v>
          </cell>
          <cell r="P159">
            <v>2.4879291251384439E-2</v>
          </cell>
          <cell r="Q159">
            <v>-3.0243589743589538E-2</v>
          </cell>
          <cell r="R159">
            <v>-4.2171334958590712E-2</v>
          </cell>
          <cell r="S159">
            <v>-1.5626214844757791E-2</v>
          </cell>
          <cell r="T159">
            <v>6.066317073170735E-2</v>
          </cell>
          <cell r="U159">
            <v>7.5105562765719558E-2</v>
          </cell>
          <cell r="V159">
            <v>2.4879291251384439E-2</v>
          </cell>
        </row>
        <row r="160">
          <cell r="A160" t="str">
            <v>Variable</v>
          </cell>
          <cell r="B160">
            <v>58.186720891082722</v>
          </cell>
          <cell r="C160">
            <v>56.844544802009807</v>
          </cell>
          <cell r="D160">
            <v>58.056135482713238</v>
          </cell>
          <cell r="E160">
            <v>68.299039547194639</v>
          </cell>
          <cell r="F160">
            <v>71.923221029459384</v>
          </cell>
          <cell r="G160">
            <v>82.706312095570837</v>
          </cell>
          <cell r="H160">
            <v>74.474316152194604</v>
          </cell>
          <cell r="I160">
            <v>71.166848514003703</v>
          </cell>
          <cell r="J160">
            <v>77.667299925761796</v>
          </cell>
          <cell r="K160">
            <v>71.978827643529328</v>
          </cell>
          <cell r="L160">
            <v>64.452915413469867</v>
          </cell>
          <cell r="M160">
            <v>73.411870655942181</v>
          </cell>
          <cell r="N160">
            <v>85.718877065848005</v>
          </cell>
          <cell r="O160">
            <v>90.036268346211344</v>
          </cell>
          <cell r="P160">
            <v>87.74034350338296</v>
          </cell>
          <cell r="Q160">
            <v>82.783686099404704</v>
          </cell>
          <cell r="R160">
            <v>80.678700663733892</v>
          </cell>
          <cell r="S160">
            <v>85.277386601566732</v>
          </cell>
          <cell r="T160">
            <v>93.122906168910873</v>
          </cell>
          <cell r="U160">
            <v>96.392623625158379</v>
          </cell>
          <cell r="V160">
            <v>93.934611722716838</v>
          </cell>
        </row>
        <row r="161">
          <cell r="A161" t="str">
            <v>COGS</v>
          </cell>
          <cell r="B161">
            <v>72.029553176634863</v>
          </cell>
          <cell r="C161">
            <v>69.678720064579778</v>
          </cell>
          <cell r="D161">
            <v>70.711272087182707</v>
          </cell>
          <cell r="E161">
            <v>83.45913524979818</v>
          </cell>
          <cell r="F161">
            <v>50.027530830443347</v>
          </cell>
          <cell r="G161">
            <v>53.521775392684319</v>
          </cell>
          <cell r="H161">
            <v>58.075551541393843</v>
          </cell>
          <cell r="I161">
            <v>62.955206494881729</v>
          </cell>
          <cell r="J161">
            <v>62.590835775106029</v>
          </cell>
          <cell r="K161">
            <v>61.871161287715871</v>
          </cell>
          <cell r="L161">
            <v>60.246940545072356</v>
          </cell>
          <cell r="M161">
            <v>59.946918511616957</v>
          </cell>
          <cell r="N161">
            <v>62.094650520851459</v>
          </cell>
          <cell r="O161">
            <v>65.195377229851047</v>
          </cell>
          <cell r="P161">
            <v>66.957541525372932</v>
          </cell>
          <cell r="Q161">
            <v>65.90562223189113</v>
          </cell>
          <cell r="R161">
            <v>64.309868634314256</v>
          </cell>
          <cell r="S161">
            <v>64.087801585351301</v>
          </cell>
          <cell r="T161">
            <v>66.293238023072902</v>
          </cell>
          <cell r="U161">
            <v>69.51276487245164</v>
          </cell>
          <cell r="V161">
            <v>71.356881696316165</v>
          </cell>
        </row>
        <row r="162">
          <cell r="A162" t="str">
            <v xml:space="preserve">Fixed </v>
          </cell>
          <cell r="B162">
            <v>14.405910635326974</v>
          </cell>
          <cell r="C162">
            <v>13.935744012915956</v>
          </cell>
          <cell r="D162">
            <v>14.142254417436542</v>
          </cell>
          <cell r="E162">
            <v>16.691827049959638</v>
          </cell>
          <cell r="F162">
            <v>10.00550616608867</v>
          </cell>
          <cell r="G162">
            <v>10.704355078536864</v>
          </cell>
          <cell r="H162">
            <v>11.615110308278769</v>
          </cell>
          <cell r="I162">
            <v>12.591041298976346</v>
          </cell>
          <cell r="J162">
            <v>12.82725037148392</v>
          </cell>
          <cell r="K162">
            <v>12.990560527665723</v>
          </cell>
          <cell r="L162">
            <v>13.427699972651416</v>
          </cell>
          <cell r="M162">
            <v>13.859285451249068</v>
          </cell>
          <cell r="N162">
            <v>14.169694625430592</v>
          </cell>
          <cell r="O162">
            <v>14.681272643116992</v>
          </cell>
          <cell r="P162">
            <v>15.186681818322624</v>
          </cell>
          <cell r="Q162">
            <v>15.700499166493778</v>
          </cell>
          <cell r="R162">
            <v>16.22196263034504</v>
          </cell>
          <cell r="S162">
            <v>16.75132753203464</v>
          </cell>
          <cell r="T162">
            <v>17.069655022435594</v>
          </cell>
          <cell r="U162">
            <v>17.629874771230789</v>
          </cell>
          <cell r="V162">
            <v>18.183182061303473</v>
          </cell>
        </row>
        <row r="163">
          <cell r="A163" t="str">
            <v>Depreciation &amp; Amortisation</v>
          </cell>
          <cell r="B163">
            <v>2.6400945203272408</v>
          </cell>
          <cell r="C163">
            <v>2.8599479773970766</v>
          </cell>
          <cell r="D163">
            <v>2.7170807699062496</v>
          </cell>
          <cell r="E163">
            <v>2.441007139489046</v>
          </cell>
          <cell r="F163">
            <v>2.0446415590357154</v>
          </cell>
          <cell r="G163">
            <v>1.936860189562414</v>
          </cell>
          <cell r="H163">
            <v>1.8708942690258825</v>
          </cell>
          <cell r="I163">
            <v>2.2200141947318079</v>
          </cell>
          <cell r="J163">
            <v>2.19694758963327</v>
          </cell>
          <cell r="K163">
            <v>2.0945001762688076</v>
          </cell>
          <cell r="L163">
            <v>2.259238112469578</v>
          </cell>
          <cell r="M163">
            <v>2.4116120445626867</v>
          </cell>
          <cell r="N163">
            <v>2.4358293835770533</v>
          </cell>
          <cell r="O163">
            <v>2.6540607702171166</v>
          </cell>
          <cell r="P163">
            <v>2.8587896486002524</v>
          </cell>
          <cell r="Q163">
            <v>3.0644096925283471</v>
          </cell>
          <cell r="R163">
            <v>3.2699709195304734</v>
          </cell>
          <cell r="S163">
            <v>3.4755360284497132</v>
          </cell>
          <cell r="T163">
            <v>3.4619687312610443</v>
          </cell>
          <cell r="U163">
            <v>3.6819963227768762</v>
          </cell>
          <cell r="V163">
            <v>3.8866066516382118</v>
          </cell>
        </row>
        <row r="164">
          <cell r="A164" t="str">
            <v>Variable</v>
          </cell>
          <cell r="B164">
            <v>57.623642541307888</v>
          </cell>
          <cell r="C164">
            <v>55.742976051663824</v>
          </cell>
          <cell r="D164">
            <v>56.569017669746167</v>
          </cell>
          <cell r="E164">
            <v>66.767308199838538</v>
          </cell>
          <cell r="F164">
            <v>40.022024664354674</v>
          </cell>
          <cell r="G164">
            <v>42.817420314147455</v>
          </cell>
          <cell r="H164">
            <v>46.460441233115077</v>
          </cell>
          <cell r="I164">
            <v>50.364165195905386</v>
          </cell>
          <cell r="J164">
            <v>49.763585403622109</v>
          </cell>
          <cell r="K164">
            <v>48.88060076005015</v>
          </cell>
          <cell r="L164">
            <v>46.819240572420938</v>
          </cell>
          <cell r="M164">
            <v>46.087633060367892</v>
          </cell>
          <cell r="N164">
            <v>47.924955895420865</v>
          </cell>
          <cell r="O164">
            <v>50.514104586734057</v>
          </cell>
          <cell r="P164">
            <v>51.770859707050306</v>
          </cell>
          <cell r="Q164">
            <v>50.205123065397345</v>
          </cell>
          <cell r="R164">
            <v>48.087906003969209</v>
          </cell>
          <cell r="S164">
            <v>47.336474053316664</v>
          </cell>
          <cell r="T164">
            <v>49.223583000637305</v>
          </cell>
          <cell r="U164">
            <v>51.882890101220852</v>
          </cell>
          <cell r="V164">
            <v>53.173699635012696</v>
          </cell>
        </row>
        <row r="165">
          <cell r="A165" t="str">
            <v>SG&amp;A</v>
          </cell>
          <cell r="B165">
            <v>8.081489012650378</v>
          </cell>
          <cell r="C165">
            <v>7.8950756669458073</v>
          </cell>
          <cell r="D165">
            <v>8.0633521503768399</v>
          </cell>
          <cell r="E165">
            <v>9.4859777148881452</v>
          </cell>
          <cell r="F165">
            <v>9.9893362540915831</v>
          </cell>
          <cell r="G165">
            <v>11.486987791051506</v>
          </cell>
          <cell r="H165">
            <v>10.34365502113814</v>
          </cell>
          <cell r="I165">
            <v>9.8842845158338495</v>
          </cell>
          <cell r="J165">
            <v>10.78712498968914</v>
          </cell>
          <cell r="K165">
            <v>9.9970593949346309</v>
          </cell>
          <cell r="L165">
            <v>10.118637145271208</v>
          </cell>
          <cell r="M165">
            <v>10.266282492980368</v>
          </cell>
          <cell r="N165">
            <v>10.530626115271014</v>
          </cell>
          <cell r="O165">
            <v>10.788299211128919</v>
          </cell>
          <cell r="P165">
            <v>11.049557999897774</v>
          </cell>
          <cell r="Q165">
            <v>11.321470303728429</v>
          </cell>
          <cell r="R165">
            <v>11.604507061321639</v>
          </cell>
          <cell r="S165">
            <v>11.894619737854679</v>
          </cell>
          <cell r="T165">
            <v>12.191985231301045</v>
          </cell>
          <cell r="U165">
            <v>12.496784862083571</v>
          </cell>
          <cell r="V165">
            <v>12.809204483635659</v>
          </cell>
        </row>
        <row r="166">
          <cell r="A166" t="str">
            <v>Gross Profit</v>
          </cell>
          <cell r="B166">
            <v>21.870446823365139</v>
          </cell>
          <cell r="C166">
            <v>16.821279935420215</v>
          </cell>
          <cell r="D166">
            <v>20.113727912817296</v>
          </cell>
          <cell r="E166">
            <v>21.897864750201812</v>
          </cell>
          <cell r="F166">
            <v>16.154214093505821</v>
          </cell>
          <cell r="G166">
            <v>20.035444321284704</v>
          </cell>
          <cell r="H166">
            <v>19.474263172575014</v>
          </cell>
          <cell r="I166">
            <v>19.948769136238248</v>
          </cell>
          <cell r="J166">
            <v>19.324531144436548</v>
          </cell>
          <cell r="K166">
            <v>18.590732967510725</v>
          </cell>
          <cell r="L166">
            <v>16.821768216114386</v>
          </cell>
          <cell r="M166">
            <v>15.917498048659411</v>
          </cell>
          <cell r="N166">
            <v>18.371942093682335</v>
          </cell>
          <cell r="O166">
            <v>21.314704106837198</v>
          </cell>
          <cell r="P166">
            <v>21.704849321071734</v>
          </cell>
          <cell r="Q166">
            <v>20.075299640107872</v>
          </cell>
          <cell r="R166">
            <v>18.045122981372259</v>
          </cell>
          <cell r="S166">
            <v>16.980293237810272</v>
          </cell>
          <cell r="T166">
            <v>19.692704477240369</v>
          </cell>
          <cell r="U166">
            <v>22.931200229288464</v>
          </cell>
          <cell r="V166">
            <v>23.387023737622954</v>
          </cell>
        </row>
        <row r="167">
          <cell r="A167" t="str">
            <v>Margin (%)</v>
          </cell>
          <cell r="B167">
            <v>0.23291210674510263</v>
          </cell>
          <cell r="C167">
            <v>0.19446566399329729</v>
          </cell>
          <cell r="D167">
            <v>0.221455853705668</v>
          </cell>
          <cell r="E167">
            <v>0.20784442182486035</v>
          </cell>
          <cell r="F167">
            <v>0.24408866995073894</v>
          </cell>
          <cell r="G167">
            <v>0.27237903225806448</v>
          </cell>
          <cell r="H167">
            <v>0.25111940298507462</v>
          </cell>
          <cell r="I167">
            <v>0.24062500000000003</v>
          </cell>
          <cell r="J167">
            <v>0.23590849764998476</v>
          </cell>
          <cell r="K167">
            <v>0.23105015286541206</v>
          </cell>
          <cell r="L167">
            <v>0.21826975547546926</v>
          </cell>
          <cell r="M167">
            <v>0.2098150723404367</v>
          </cell>
          <cell r="N167">
            <v>0.22831763464486521</v>
          </cell>
          <cell r="O167">
            <v>0.24638404885879814</v>
          </cell>
          <cell r="P167">
            <v>0.24480333897901074</v>
          </cell>
          <cell r="Q167">
            <v>0.23348551286754346</v>
          </cell>
          <cell r="R167">
            <v>0.21911389494859868</v>
          </cell>
          <cell r="S167">
            <v>0.20945716406497955</v>
          </cell>
          <cell r="T167">
            <v>0.22902237161811215</v>
          </cell>
          <cell r="U167">
            <v>0.2480551348490008</v>
          </cell>
          <cell r="V167">
            <v>0.24684462425849363</v>
          </cell>
        </row>
        <row r="168">
          <cell r="A168" t="str">
            <v>EBIT (NZ$m)</v>
          </cell>
          <cell r="B168">
            <v>13.085109873496233</v>
          </cell>
          <cell r="C168">
            <v>7.5492433305419295</v>
          </cell>
          <cell r="D168">
            <v>10.191478496231605</v>
          </cell>
          <cell r="E168">
            <v>10.497222851118554</v>
          </cell>
          <cell r="F168">
            <v>19.04125678932413</v>
          </cell>
          <cell r="G168">
            <v>27.213562098501072</v>
          </cell>
          <cell r="H168">
            <v>20.872846455211491</v>
          </cell>
          <cell r="I168">
            <v>18.304230584877498</v>
          </cell>
          <cell r="J168">
            <v>16.652508560412052</v>
          </cell>
          <cell r="K168">
            <v>13.486758037011302</v>
          </cell>
          <cell r="L168">
            <v>8.7429144239719676</v>
          </cell>
          <cell r="M168">
            <v>14.542709349528563</v>
          </cell>
          <cell r="N168">
            <v>23.883749888308451</v>
          </cell>
          <cell r="O168">
            <v>28.676365084338396</v>
          </cell>
          <cell r="P168">
            <v>26.410556404669578</v>
          </cell>
          <cell r="Q168">
            <v>22.372347855287362</v>
          </cell>
          <cell r="R168">
            <v>20.176814553098836</v>
          </cell>
          <cell r="S168">
            <v>25.185604754428656</v>
          </cell>
          <cell r="T168">
            <v>32.887460397119838</v>
          </cell>
          <cell r="U168">
            <v>36.432862042512454</v>
          </cell>
          <cell r="V168">
            <v>33.65064168579115</v>
          </cell>
        </row>
        <row r="169">
          <cell r="A169" t="str">
            <v>SG&amp;A</v>
          </cell>
          <cell r="B169">
            <v>8.0032836862927645</v>
          </cell>
          <cell r="C169">
            <v>7.7420800071755309</v>
          </cell>
          <cell r="D169">
            <v>7.8568080096869686</v>
          </cell>
          <cell r="E169">
            <v>9.2732372499775764</v>
          </cell>
          <cell r="F169">
            <v>5.5586145367159281</v>
          </cell>
          <cell r="G169">
            <v>5.9468639325204791</v>
          </cell>
          <cell r="H169">
            <v>6.4528390601548722</v>
          </cell>
          <cell r="I169">
            <v>6.9950229438757479</v>
          </cell>
          <cell r="J169">
            <v>7.1698985174726406</v>
          </cell>
          <cell r="K169">
            <v>7.3491459804094559</v>
          </cell>
          <cell r="L169">
            <v>7.532874629919692</v>
          </cell>
          <cell r="M169">
            <v>7.7211964956676837</v>
          </cell>
          <cell r="N169">
            <v>7.9142264080593749</v>
          </cell>
          <cell r="O169">
            <v>8.1120820682608592</v>
          </cell>
          <cell r="P169">
            <v>8.3148841199673793</v>
          </cell>
          <cell r="Q169">
            <v>8.5227562229665637</v>
          </cell>
          <cell r="R169">
            <v>8.7358251285407267</v>
          </cell>
          <cell r="S169">
            <v>8.9542207567542444</v>
          </cell>
          <cell r="T169">
            <v>9.1780762756730994</v>
          </cell>
          <cell r="U169">
            <v>9.407528182564926</v>
          </cell>
          <cell r="V169">
            <v>9.6427163871290489</v>
          </cell>
        </row>
        <row r="170">
          <cell r="A170" t="str">
            <v>Commissioning costs</v>
          </cell>
          <cell r="C170">
            <v>-0.42306611075289091</v>
          </cell>
          <cell r="D170">
            <v>0.35000000000000009</v>
          </cell>
          <cell r="E170">
            <v>3.0000000000000027E-2</v>
          </cell>
          <cell r="F170">
            <v>0.81393279531025176</v>
          </cell>
          <cell r="G170">
            <v>0.4291893859526601</v>
          </cell>
          <cell r="H170">
            <v>-0.23299837119223832</v>
          </cell>
          <cell r="I170">
            <v>-0.12306016219904048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</row>
        <row r="172">
          <cell r="A172" t="str">
            <v>EBIT (NZ$m)</v>
          </cell>
          <cell r="B172">
            <v>13.867163137072374</v>
          </cell>
          <cell r="C172">
            <v>9.0791999282446856</v>
          </cell>
          <cell r="D172">
            <v>12.256919903130326</v>
          </cell>
          <cell r="E172">
            <v>12.624627500224236</v>
          </cell>
          <cell r="F172">
            <v>10.595599556789892</v>
          </cell>
          <cell r="G172">
            <v>14.088580388764225</v>
          </cell>
          <cell r="H172">
            <v>13.021424112420142</v>
          </cell>
          <cell r="I172">
            <v>12.953746192362498</v>
          </cell>
          <cell r="J172">
            <v>12.154632626963908</v>
          </cell>
          <cell r="K172">
            <v>11.241586987101268</v>
          </cell>
          <cell r="L172">
            <v>9.2888935861946926</v>
          </cell>
          <cell r="M172">
            <v>8.1963015529917271</v>
          </cell>
          <cell r="N172">
            <v>10.457715685622961</v>
          </cell>
          <cell r="O172">
            <v>13.202622038576338</v>
          </cell>
          <cell r="P172">
            <v>13.389965201104355</v>
          </cell>
          <cell r="Q172">
            <v>11.552543417141308</v>
          </cell>
          <cell r="R172">
            <v>9.3092978528315324</v>
          </cell>
          <cell r="S172">
            <v>8.026072481056028</v>
          </cell>
          <cell r="T172">
            <v>10.51462820156727</v>
          </cell>
          <cell r="U172">
            <v>13.523672046723538</v>
          </cell>
          <cell r="V172">
            <v>13.744307350493905</v>
          </cell>
        </row>
        <row r="173">
          <cell r="A173" t="str">
            <v>Margin (%)</v>
          </cell>
          <cell r="B173">
            <v>0.15407959041191527</v>
          </cell>
          <cell r="C173">
            <v>0.10087999920271873</v>
          </cell>
          <cell r="D173">
            <v>0.16342559870840434</v>
          </cell>
          <cell r="E173">
            <v>0.16611351973979258</v>
          </cell>
          <cell r="F173">
            <v>0.14127466075719858</v>
          </cell>
          <cell r="G173">
            <v>0.18784773851685632</v>
          </cell>
          <cell r="H173">
            <v>0.1736189881656019</v>
          </cell>
          <cell r="I173">
            <v>0.17271661589816664</v>
          </cell>
          <cell r="J173">
            <v>0.16206176835951877</v>
          </cell>
          <cell r="K173">
            <v>0.14988782649468357</v>
          </cell>
          <cell r="L173">
            <v>0.1238519144825959</v>
          </cell>
          <cell r="M173">
            <v>0.10928402070655636</v>
          </cell>
          <cell r="N173">
            <v>0.13943620914163948</v>
          </cell>
          <cell r="O173">
            <v>0.17603496051435119</v>
          </cell>
          <cell r="P173">
            <v>0.17853286934805807</v>
          </cell>
          <cell r="Q173">
            <v>0.15403391222855078</v>
          </cell>
          <cell r="R173">
            <v>0.12412397137108711</v>
          </cell>
          <cell r="S173">
            <v>0.10701429974741371</v>
          </cell>
          <cell r="T173">
            <v>0.14019504268756358</v>
          </cell>
          <cell r="U173">
            <v>0.18031562728964717</v>
          </cell>
          <cell r="V173">
            <v>0.18325743133991873</v>
          </cell>
          <cell r="X173" t="str">
            <v>Methodology</v>
          </cell>
          <cell r="Y173" t="str">
            <v>US$/Share</v>
          </cell>
          <cell r="Z173" t="str">
            <v>A$/US$</v>
          </cell>
          <cell r="AA173" t="str">
            <v>A$/Share</v>
          </cell>
        </row>
        <row r="174">
          <cell r="A174" t="str">
            <v>Change (%)</v>
          </cell>
          <cell r="C174">
            <v>-0.34527344645045555</v>
          </cell>
          <cell r="D174">
            <v>0.35000000000000009</v>
          </cell>
          <cell r="E174">
            <v>3.0000000000000027E-2</v>
          </cell>
          <cell r="F174">
            <v>-0.16071982665613727</v>
          </cell>
          <cell r="G174">
            <v>0.32966334875650838</v>
          </cell>
          <cell r="H174">
            <v>-7.5746189246657547E-2</v>
          </cell>
          <cell r="I174">
            <v>-5.1974284435671869E-3</v>
          </cell>
          <cell r="J174">
            <v>-6.1689765534370777E-2</v>
          </cell>
          <cell r="K174">
            <v>-7.511914739711123E-2</v>
          </cell>
          <cell r="L174">
            <v>-0.17370264564488269</v>
          </cell>
          <cell r="M174">
            <v>-0.11762348476322237</v>
          </cell>
          <cell r="N174">
            <v>0.27590665350834942</v>
          </cell>
          <cell r="O174">
            <v>0.26247666655606383</v>
          </cell>
          <cell r="P174">
            <v>1.418984516716626E-2</v>
          </cell>
          <cell r="Q174">
            <v>-0.13722379082893377</v>
          </cell>
          <cell r="R174">
            <v>-0.19417763546175615</v>
          </cell>
          <cell r="S174">
            <v>-0.13784341118543075</v>
          </cell>
          <cell r="T174">
            <v>0.31005896425493162</v>
          </cell>
          <cell r="U174">
            <v>0.28617691348399288</v>
          </cell>
          <cell r="V174">
            <v>1.6314748169586224E-2</v>
          </cell>
          <cell r="X174" t="str">
            <v>Sum-of-the-parts</v>
          </cell>
        </row>
        <row r="175">
          <cell r="A175" t="str">
            <v>PHILIPPINES (PHPm)</v>
          </cell>
          <cell r="X175" t="str">
            <v>P/E</v>
          </cell>
        </row>
        <row r="176">
          <cell r="A176" t="str">
            <v>EBITDA (NZ$m)</v>
          </cell>
          <cell r="B176">
            <v>16.507257657399617</v>
          </cell>
          <cell r="C176">
            <v>11.939147905641763</v>
          </cell>
          <cell r="D176">
            <v>14.974000673036576</v>
          </cell>
          <cell r="E176">
            <v>15.065634639713281</v>
          </cell>
          <cell r="F176">
            <v>12.640241115825608</v>
          </cell>
          <cell r="G176">
            <v>16.025440578326638</v>
          </cell>
          <cell r="H176">
            <v>14.892318381446024</v>
          </cell>
          <cell r="I176">
            <v>15.173760387094307</v>
          </cell>
          <cell r="J176">
            <v>14.351580216597178</v>
          </cell>
          <cell r="K176">
            <v>13.336087163370076</v>
          </cell>
          <cell r="L176">
            <v>11.548131698664271</v>
          </cell>
          <cell r="M176">
            <v>10.607913597554415</v>
          </cell>
          <cell r="N176">
            <v>12.893545069200014</v>
          </cell>
          <cell r="O176">
            <v>15.856682808793455</v>
          </cell>
          <cell r="P176">
            <v>16.248754849704607</v>
          </cell>
          <cell r="Q176">
            <v>14.616953109669655</v>
          </cell>
          <cell r="R176">
            <v>12.579268772362006</v>
          </cell>
          <cell r="S176">
            <v>11.501608509505742</v>
          </cell>
          <cell r="T176">
            <v>13.976596932828315</v>
          </cell>
          <cell r="U176">
            <v>17.205668369500415</v>
          </cell>
          <cell r="V176">
            <v>17.630914002132116</v>
          </cell>
          <cell r="X176" t="str">
            <v>DCF</v>
          </cell>
        </row>
        <row r="177">
          <cell r="A177" t="str">
            <v>Margin (%)</v>
          </cell>
          <cell r="B177">
            <v>0.17579614118636439</v>
          </cell>
          <cell r="C177">
            <v>0.13802483127909551</v>
          </cell>
          <cell r="D177">
            <v>0.16486650892415716</v>
          </cell>
          <cell r="E177">
            <v>0.14299604810039468</v>
          </cell>
          <cell r="F177">
            <v>0.19099286563614748</v>
          </cell>
          <cell r="G177">
            <v>0.21786359844271408</v>
          </cell>
          <cell r="H177">
            <v>0.19203551209469888</v>
          </cell>
          <cell r="I177">
            <v>0.18302813914027152</v>
          </cell>
          <cell r="J177">
            <v>0.17520009683522905</v>
          </cell>
          <cell r="K177">
            <v>0.16574413623755568</v>
          </cell>
          <cell r="L177">
            <v>0.14984202907107907</v>
          </cell>
          <cell r="M177">
            <v>0.13982726129747713</v>
          </cell>
          <cell r="N177">
            <v>0.16023475892616826</v>
          </cell>
          <cell r="O177">
            <v>0.18329288984344949</v>
          </cell>
          <cell r="P177">
            <v>0.18326547135240237</v>
          </cell>
          <cell r="Q177">
            <v>0.17000228412798501</v>
          </cell>
          <cell r="R177">
            <v>0.15274446060372104</v>
          </cell>
          <cell r="S177">
            <v>0.14187589500647391</v>
          </cell>
          <cell r="T177">
            <v>0.16254513850071939</v>
          </cell>
          <cell r="U177">
            <v>0.18611997387351947</v>
          </cell>
          <cell r="V177">
            <v>0.18609021784968954</v>
          </cell>
          <cell r="X177" t="str">
            <v>Methodology</v>
          </cell>
          <cell r="Y177" t="str">
            <v>US$/Share</v>
          </cell>
          <cell r="Z177" t="str">
            <v>A$/US$</v>
          </cell>
          <cell r="AA177" t="str">
            <v>A$/Share</v>
          </cell>
        </row>
        <row r="178">
          <cell r="A178" t="str">
            <v>Manila</v>
          </cell>
          <cell r="B178">
            <v>120</v>
          </cell>
          <cell r="C178">
            <v>120</v>
          </cell>
          <cell r="D178">
            <v>145</v>
          </cell>
          <cell r="E178">
            <v>140</v>
          </cell>
          <cell r="F178">
            <v>145</v>
          </cell>
          <cell r="G178">
            <v>145</v>
          </cell>
          <cell r="H178">
            <v>145</v>
          </cell>
          <cell r="I178">
            <v>145</v>
          </cell>
          <cell r="J178">
            <v>145</v>
          </cell>
          <cell r="K178">
            <v>145</v>
          </cell>
          <cell r="L178">
            <v>145</v>
          </cell>
          <cell r="M178">
            <v>145</v>
          </cell>
          <cell r="N178">
            <v>145</v>
          </cell>
          <cell r="O178">
            <v>145</v>
          </cell>
          <cell r="P178">
            <v>145</v>
          </cell>
          <cell r="Q178">
            <v>145</v>
          </cell>
          <cell r="R178">
            <v>145</v>
          </cell>
          <cell r="S178">
            <v>145</v>
          </cell>
          <cell r="T178">
            <v>145</v>
          </cell>
          <cell r="U178">
            <v>145</v>
          </cell>
          <cell r="V178">
            <v>145</v>
          </cell>
          <cell r="X178" t="str">
            <v>Sum-of-the-parts</v>
          </cell>
        </row>
        <row r="179">
          <cell r="A179" t="str">
            <v>PHILIPPINES (PHPm)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X179" t="str">
            <v>P/E</v>
          </cell>
        </row>
        <row r="180">
          <cell r="A180" t="str">
            <v>Total</v>
          </cell>
          <cell r="B180">
            <v>120</v>
          </cell>
          <cell r="C180">
            <v>120</v>
          </cell>
          <cell r="D180">
            <v>145</v>
          </cell>
          <cell r="E180">
            <v>140</v>
          </cell>
          <cell r="F180">
            <v>145</v>
          </cell>
          <cell r="G180">
            <v>145</v>
          </cell>
          <cell r="H180">
            <v>145</v>
          </cell>
          <cell r="I180">
            <v>145</v>
          </cell>
          <cell r="J180">
            <v>145</v>
          </cell>
          <cell r="K180">
            <v>145</v>
          </cell>
          <cell r="L180">
            <v>145</v>
          </cell>
          <cell r="M180">
            <v>145</v>
          </cell>
          <cell r="N180">
            <v>145</v>
          </cell>
          <cell r="O180">
            <v>145</v>
          </cell>
          <cell r="P180">
            <v>145</v>
          </cell>
          <cell r="Q180">
            <v>145</v>
          </cell>
          <cell r="R180">
            <v>145</v>
          </cell>
          <cell r="S180">
            <v>145</v>
          </cell>
          <cell r="T180">
            <v>145</v>
          </cell>
          <cell r="U180">
            <v>145</v>
          </cell>
          <cell r="V180">
            <v>145</v>
          </cell>
          <cell r="X180" t="str">
            <v>DCF</v>
          </cell>
        </row>
        <row r="181">
          <cell r="A181" t="str">
            <v>Manufacturing Capacity (mmsf)</v>
          </cell>
          <cell r="B181">
            <v>0.39166666666666666</v>
          </cell>
          <cell r="C181">
            <v>0.52416666666666667</v>
          </cell>
          <cell r="D181">
            <v>0.44689655172413789</v>
          </cell>
          <cell r="E181">
            <v>0.49785714285714289</v>
          </cell>
          <cell r="F181">
            <v>0.53724137931034488</v>
          </cell>
          <cell r="G181">
            <v>0.64468965517241383</v>
          </cell>
          <cell r="H181">
            <v>0.52219862068965517</v>
          </cell>
          <cell r="I181">
            <v>0.66241379310344828</v>
          </cell>
          <cell r="J181">
            <v>0.67656896551724111</v>
          </cell>
          <cell r="K181">
            <v>0.68461603448275887</v>
          </cell>
          <cell r="L181">
            <v>0.69146219482758653</v>
          </cell>
          <cell r="M181">
            <v>0.69837681677586227</v>
          </cell>
          <cell r="N181">
            <v>0.70536058494362086</v>
          </cell>
          <cell r="O181">
            <v>0.71241419079305712</v>
          </cell>
          <cell r="P181">
            <v>0.71953833270098766</v>
          </cell>
          <cell r="Q181">
            <v>0.72673371602799752</v>
          </cell>
          <cell r="R181">
            <v>0.73400105318827757</v>
          </cell>
          <cell r="S181">
            <v>0.74134106372016029</v>
          </cell>
          <cell r="T181">
            <v>0.74875447435736198</v>
          </cell>
          <cell r="U181">
            <v>0.75624201910093558</v>
          </cell>
          <cell r="V181">
            <v>0.76380443929194497</v>
          </cell>
          <cell r="X181" t="str">
            <v>Average</v>
          </cell>
        </row>
        <row r="182">
          <cell r="A182" t="str">
            <v>Manila</v>
          </cell>
          <cell r="B182">
            <v>120</v>
          </cell>
          <cell r="C182">
            <v>120</v>
          </cell>
          <cell r="D182">
            <v>145</v>
          </cell>
          <cell r="E182">
            <v>140</v>
          </cell>
          <cell r="F182">
            <v>145</v>
          </cell>
          <cell r="G182">
            <v>145</v>
          </cell>
          <cell r="H182">
            <v>145</v>
          </cell>
          <cell r="I182">
            <v>145</v>
          </cell>
          <cell r="J182">
            <v>145</v>
          </cell>
          <cell r="K182">
            <v>145</v>
          </cell>
          <cell r="L182">
            <v>145</v>
          </cell>
          <cell r="M182">
            <v>145</v>
          </cell>
          <cell r="N182">
            <v>145</v>
          </cell>
          <cell r="O182">
            <v>145</v>
          </cell>
          <cell r="P182">
            <v>145</v>
          </cell>
          <cell r="Q182">
            <v>145</v>
          </cell>
          <cell r="R182">
            <v>145</v>
          </cell>
          <cell r="S182">
            <v>145</v>
          </cell>
          <cell r="T182">
            <v>145</v>
          </cell>
          <cell r="U182">
            <v>145</v>
          </cell>
          <cell r="V182">
            <v>145</v>
          </cell>
          <cell r="X182" t="str">
            <v>Target Price</v>
          </cell>
        </row>
        <row r="183">
          <cell r="A183" t="str">
            <v>New capacity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</row>
        <row r="184">
          <cell r="A184" t="str">
            <v>Total</v>
          </cell>
          <cell r="B184">
            <v>120</v>
          </cell>
          <cell r="C184">
            <v>120</v>
          </cell>
          <cell r="D184">
            <v>145</v>
          </cell>
          <cell r="E184">
            <v>140</v>
          </cell>
          <cell r="F184">
            <v>145</v>
          </cell>
          <cell r="G184">
            <v>145</v>
          </cell>
          <cell r="H184">
            <v>145</v>
          </cell>
          <cell r="I184">
            <v>145</v>
          </cell>
          <cell r="J184">
            <v>145</v>
          </cell>
          <cell r="K184">
            <v>145</v>
          </cell>
          <cell r="L184">
            <v>145</v>
          </cell>
          <cell r="M184">
            <v>145</v>
          </cell>
          <cell r="N184">
            <v>145</v>
          </cell>
          <cell r="O184">
            <v>145</v>
          </cell>
          <cell r="P184">
            <v>145</v>
          </cell>
          <cell r="Q184">
            <v>145</v>
          </cell>
          <cell r="R184">
            <v>145</v>
          </cell>
          <cell r="S184">
            <v>145</v>
          </cell>
          <cell r="T184">
            <v>145</v>
          </cell>
          <cell r="U184">
            <v>145</v>
          </cell>
          <cell r="V184">
            <v>145</v>
          </cell>
        </row>
        <row r="185">
          <cell r="A185" t="str">
            <v>Utilisation</v>
          </cell>
          <cell r="B185">
            <v>0.39166666666666666</v>
          </cell>
          <cell r="C185">
            <v>0.52416666666666667</v>
          </cell>
          <cell r="D185">
            <v>0.44689655172413789</v>
          </cell>
          <cell r="E185">
            <v>0.49785714285714289</v>
          </cell>
          <cell r="F185">
            <v>0.53724137931034488</v>
          </cell>
          <cell r="G185">
            <v>0.64468965517241383</v>
          </cell>
          <cell r="H185">
            <v>0.52219862068965517</v>
          </cell>
          <cell r="I185">
            <v>0.66241379310344839</v>
          </cell>
          <cell r="J185">
            <v>0.67566206896551739</v>
          </cell>
          <cell r="K185">
            <v>0.68241868965517249</v>
          </cell>
          <cell r="L185">
            <v>0.68924287655172423</v>
          </cell>
          <cell r="M185">
            <v>0.69613530531724144</v>
          </cell>
          <cell r="N185">
            <v>0.70309665837041391</v>
          </cell>
          <cell r="O185">
            <v>0.71012762495411796</v>
          </cell>
          <cell r="P185">
            <v>0.71722890120365912</v>
          </cell>
          <cell r="Q185">
            <v>0.72440119021569582</v>
          </cell>
          <cell r="R185">
            <v>0.73164520211785267</v>
          </cell>
          <cell r="S185">
            <v>0.73896165413903125</v>
          </cell>
          <cell r="T185">
            <v>0.74635127068042151</v>
          </cell>
          <cell r="U185">
            <v>0.75381478338722574</v>
          </cell>
          <cell r="V185">
            <v>0.76135293122109804</v>
          </cell>
        </row>
        <row r="186">
          <cell r="A186" t="str">
            <v>Volume</v>
          </cell>
          <cell r="B186">
            <v>47</v>
          </cell>
          <cell r="C186">
            <v>62.9</v>
          </cell>
          <cell r="D186">
            <v>64.8</v>
          </cell>
          <cell r="E186">
            <v>69.7</v>
          </cell>
          <cell r="F186">
            <v>77.900000000000006</v>
          </cell>
          <cell r="G186">
            <v>93.48</v>
          </cell>
          <cell r="H186">
            <v>75.718800000000002</v>
          </cell>
          <cell r="I186">
            <v>96.050000000000011</v>
          </cell>
          <cell r="J186">
            <v>97.971000000000018</v>
          </cell>
          <cell r="K186">
            <v>98.950710000000015</v>
          </cell>
          <cell r="L186">
            <v>99.940217100000012</v>
          </cell>
          <cell r="M186">
            <v>100.93961927100001</v>
          </cell>
          <cell r="N186">
            <v>101.94901546371001</v>
          </cell>
          <cell r="O186">
            <v>102.96850561834711</v>
          </cell>
          <cell r="P186">
            <v>103.99819067453058</v>
          </cell>
          <cell r="Q186">
            <v>105.03817258127589</v>
          </cell>
          <cell r="R186">
            <v>106.08855430708864</v>
          </cell>
          <cell r="S186">
            <v>107.14943985015952</v>
          </cell>
          <cell r="T186">
            <v>108.22093424866112</v>
          </cell>
          <cell r="U186">
            <v>109.30314359114773</v>
          </cell>
          <cell r="V186">
            <v>110.39617502705921</v>
          </cell>
        </row>
        <row r="187">
          <cell r="A187" t="str">
            <v>Change (%)</v>
          </cell>
          <cell r="C187">
            <v>0.33829787234042552</v>
          </cell>
          <cell r="D187">
            <v>3.0206677265500748E-2</v>
          </cell>
          <cell r="E187">
            <v>7.5617283950617287E-2</v>
          </cell>
          <cell r="F187">
            <v>0.11764705882352944</v>
          </cell>
          <cell r="G187">
            <v>0.19999999999999996</v>
          </cell>
          <cell r="H187">
            <v>-0.19000000000000006</v>
          </cell>
          <cell r="I187">
            <v>0.2685092737866952</v>
          </cell>
          <cell r="J187">
            <v>0.02</v>
          </cell>
          <cell r="K187">
            <v>0.01</v>
          </cell>
          <cell r="L187">
            <v>0.01</v>
          </cell>
          <cell r="M187">
            <v>0.01</v>
          </cell>
          <cell r="N187">
            <v>0.01</v>
          </cell>
          <cell r="O187">
            <v>0.01</v>
          </cell>
          <cell r="P187">
            <v>0.01</v>
          </cell>
          <cell r="Q187">
            <v>0.01</v>
          </cell>
          <cell r="R187">
            <v>0.01</v>
          </cell>
          <cell r="S187">
            <v>0.01</v>
          </cell>
          <cell r="T187">
            <v>0.01</v>
          </cell>
          <cell r="U187">
            <v>0.01</v>
          </cell>
          <cell r="V187">
            <v>0.01</v>
          </cell>
        </row>
        <row r="188">
          <cell r="A188" t="str">
            <v>Mix benefit %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</row>
        <row r="189">
          <cell r="A189" t="str">
            <v>Average price (PHPm/mmsf)</v>
          </cell>
          <cell r="B189">
            <v>11.689361702127659</v>
          </cell>
          <cell r="C189">
            <v>12.988871224165342</v>
          </cell>
          <cell r="D189">
            <v>14.499228395061728</v>
          </cell>
          <cell r="E189">
            <v>13.479913916786225</v>
          </cell>
          <cell r="F189">
            <v>14.714390243902438</v>
          </cell>
          <cell r="G189">
            <v>15.572729674796747</v>
          </cell>
          <cell r="H189">
            <v>17.110777050085314</v>
          </cell>
          <cell r="I189">
            <v>14.881586673607487</v>
          </cell>
          <cell r="J189">
            <v>14.993198573659544</v>
          </cell>
          <cell r="K189">
            <v>15.105647562961991</v>
          </cell>
          <cell r="L189">
            <v>15.218939919684207</v>
          </cell>
          <cell r="M189">
            <v>15.333081969081839</v>
          </cell>
          <cell r="N189">
            <v>15.448080083849954</v>
          </cell>
          <cell r="O189">
            <v>15.56394068447883</v>
          </cell>
          <cell r="P189">
            <v>15.680670239612422</v>
          </cell>
          <cell r="Q189">
            <v>15.798275266409515</v>
          </cell>
          <cell r="R189">
            <v>15.916762330907588</v>
          </cell>
          <cell r="S189">
            <v>16.036138048389397</v>
          </cell>
          <cell r="T189">
            <v>16.156409083752319</v>
          </cell>
          <cell r="U189">
            <v>16.277582151880463</v>
          </cell>
          <cell r="V189">
            <v>16.399664018019568</v>
          </cell>
        </row>
        <row r="190">
          <cell r="A190" t="str">
            <v>Change (%)</v>
          </cell>
          <cell r="C190">
            <v>0.11117027218014397</v>
          </cell>
          <cell r="D190">
            <v>0.11628086419753081</v>
          </cell>
          <cell r="E190">
            <v>-7.030129124820661E-2</v>
          </cell>
          <cell r="F190">
            <v>9.1578947368420982E-2</v>
          </cell>
          <cell r="G190">
            <v>5.8333333333333348E-2</v>
          </cell>
          <cell r="H190">
            <v>9.8765432098765427E-2</v>
          </cell>
          <cell r="I190">
            <v>-0.13027990312495552</v>
          </cell>
          <cell r="J190">
            <v>7.5000000000000622E-3</v>
          </cell>
          <cell r="K190">
            <v>7.5000000000000622E-3</v>
          </cell>
          <cell r="L190">
            <v>7.5000000000000622E-3</v>
          </cell>
          <cell r="M190">
            <v>7.5000000000000622E-3</v>
          </cell>
          <cell r="N190">
            <v>7.5000000000000622E-3</v>
          </cell>
          <cell r="O190">
            <v>7.5000000000000622E-3</v>
          </cell>
          <cell r="P190">
            <v>7.5000000000000622E-3</v>
          </cell>
          <cell r="Q190">
            <v>7.5000000000000622E-3</v>
          </cell>
          <cell r="R190">
            <v>7.5000000000000622E-3</v>
          </cell>
          <cell r="S190">
            <v>7.5000000000000622E-3</v>
          </cell>
          <cell r="T190">
            <v>7.5000000000000622E-3</v>
          </cell>
          <cell r="U190">
            <v>7.5000000000000622E-3</v>
          </cell>
          <cell r="V190">
            <v>7.5000000000000622E-3</v>
          </cell>
        </row>
        <row r="191">
          <cell r="A191" t="str">
            <v>Price growth %</v>
          </cell>
          <cell r="J191">
            <v>7.4999999999999997E-3</v>
          </cell>
          <cell r="K191">
            <v>7.4999999999999997E-3</v>
          </cell>
          <cell r="L191">
            <v>7.4999999999999997E-3</v>
          </cell>
          <cell r="M191">
            <v>7.4999999999999997E-3</v>
          </cell>
          <cell r="N191">
            <v>7.4999999999999997E-3</v>
          </cell>
          <cell r="O191">
            <v>7.4999999999999997E-3</v>
          </cell>
          <cell r="P191">
            <v>7.4999999999999997E-3</v>
          </cell>
          <cell r="Q191">
            <v>7.4999999999999997E-3</v>
          </cell>
          <cell r="R191">
            <v>7.4999999999999997E-3</v>
          </cell>
          <cell r="S191">
            <v>7.4999999999999997E-3</v>
          </cell>
          <cell r="T191">
            <v>7.4999999999999997E-3</v>
          </cell>
          <cell r="U191">
            <v>7.4999999999999997E-3</v>
          </cell>
          <cell r="V191">
            <v>7.4999999999999997E-3</v>
          </cell>
        </row>
        <row r="192">
          <cell r="A192" t="str">
            <v>Mix benefit %</v>
          </cell>
          <cell r="B192">
            <v>736.66511999999989</v>
          </cell>
          <cell r="C192">
            <v>914.60096999999996</v>
          </cell>
          <cell r="D192">
            <v>901.18691999999999</v>
          </cell>
          <cell r="E192">
            <v>840.88880999999992</v>
          </cell>
          <cell r="F192">
            <v>923.37731999999994</v>
          </cell>
          <cell r="G192">
            <v>1089.1691729999998</v>
          </cell>
          <cell r="H192">
            <v>1025.3813496299995</v>
          </cell>
          <cell r="I192">
            <v>871.59008854530009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</row>
        <row r="193">
          <cell r="A193" t="str">
            <v>Sales (PHPm)</v>
          </cell>
          <cell r="B193">
            <v>549.4</v>
          </cell>
          <cell r="C193">
            <v>817</v>
          </cell>
          <cell r="D193">
            <v>939.55</v>
          </cell>
          <cell r="E193">
            <v>939.55</v>
          </cell>
          <cell r="F193">
            <v>1146.251</v>
          </cell>
          <cell r="G193">
            <v>1455.7387699999999</v>
          </cell>
          <cell r="H193">
            <v>1295.6075053</v>
          </cell>
          <cell r="I193">
            <v>1429.3763999999992</v>
          </cell>
          <cell r="J193">
            <v>1468.8986574599994</v>
          </cell>
          <cell r="K193">
            <v>1494.7145513648588</v>
          </cell>
          <cell r="L193">
            <v>1520.9841596050965</v>
          </cell>
          <cell r="M193">
            <v>1547.7154562101559</v>
          </cell>
          <cell r="N193">
            <v>1574.9165553530495</v>
          </cell>
          <cell r="O193">
            <v>1602.5957138133795</v>
          </cell>
          <cell r="P193">
            <v>1630.7613334836497</v>
          </cell>
          <cell r="Q193">
            <v>1659.4219639196249</v>
          </cell>
          <cell r="R193">
            <v>1688.5863049355125</v>
          </cell>
          <cell r="S193">
            <v>1718.2632092447543</v>
          </cell>
          <cell r="T193">
            <v>1748.461685147231</v>
          </cell>
          <cell r="U193">
            <v>1779.1908992636936</v>
          </cell>
          <cell r="V193">
            <v>1810.4601793182533</v>
          </cell>
        </row>
        <row r="194">
          <cell r="A194" t="str">
            <v>% Change</v>
          </cell>
          <cell r="B194">
            <v>72.332750769230785</v>
          </cell>
          <cell r="C194">
            <v>0.48707681106661815</v>
          </cell>
          <cell r="D194">
            <v>0.14999999999999991</v>
          </cell>
          <cell r="E194">
            <v>0</v>
          </cell>
          <cell r="F194">
            <v>0.21999999999999997</v>
          </cell>
          <cell r="G194">
            <v>0.27</v>
          </cell>
          <cell r="H194">
            <v>-0.10999999999999999</v>
          </cell>
          <cell r="I194">
            <v>0.10324800848465676</v>
          </cell>
          <cell r="J194">
            <v>2.7650000000000174E-2</v>
          </cell>
          <cell r="K194">
            <v>1.7574999999999896E-2</v>
          </cell>
          <cell r="L194">
            <v>1.7575000000000118E-2</v>
          </cell>
          <cell r="M194">
            <v>1.7574999999999896E-2</v>
          </cell>
          <cell r="N194">
            <v>1.7575000000000118E-2</v>
          </cell>
          <cell r="O194">
            <v>1.7575000000000118E-2</v>
          </cell>
          <cell r="P194">
            <v>1.7575000000000118E-2</v>
          </cell>
          <cell r="Q194">
            <v>1.7575000000000118E-2</v>
          </cell>
          <cell r="R194">
            <v>1.7575000000000118E-2</v>
          </cell>
          <cell r="S194">
            <v>1.7575000000000118E-2</v>
          </cell>
          <cell r="T194">
            <v>1.7575000000000118E-2</v>
          </cell>
          <cell r="U194">
            <v>1.7574999999999896E-2</v>
          </cell>
          <cell r="V194">
            <v>1.7575000000000118E-2</v>
          </cell>
        </row>
        <row r="195">
          <cell r="A195" t="str">
            <v>Variable</v>
          </cell>
          <cell r="B195">
            <v>589.33209599999986</v>
          </cell>
          <cell r="C195">
            <v>731.68077599999992</v>
          </cell>
          <cell r="D195">
            <v>720.94953599999997</v>
          </cell>
          <cell r="E195">
            <v>672.71104799999989</v>
          </cell>
          <cell r="F195">
            <v>738.70185599999991</v>
          </cell>
          <cell r="G195">
            <v>871.33533839999984</v>
          </cell>
          <cell r="H195">
            <v>820.30507970399958</v>
          </cell>
          <cell r="I195">
            <v>697.27207083624012</v>
          </cell>
          <cell r="J195">
            <v>618.79742996265338</v>
          </cell>
          <cell r="K195">
            <v>534.89496998456104</v>
          </cell>
          <cell r="L195">
            <v>540.24391968440659</v>
          </cell>
          <cell r="M195">
            <v>545.64635888125065</v>
          </cell>
          <cell r="N195">
            <v>551.10282247006319</v>
          </cell>
          <cell r="O195">
            <v>556.61385069476376</v>
          </cell>
          <cell r="P195">
            <v>562.17998920171146</v>
          </cell>
          <cell r="Q195">
            <v>567.80178909372853</v>
          </cell>
          <cell r="R195">
            <v>573.47980698466586</v>
          </cell>
          <cell r="S195">
            <v>579.2146050545125</v>
          </cell>
          <cell r="T195">
            <v>585.00675110505756</v>
          </cell>
          <cell r="U195">
            <v>590.85681861610817</v>
          </cell>
          <cell r="V195">
            <v>596.76538680226929</v>
          </cell>
        </row>
        <row r="196">
          <cell r="A196" t="str">
            <v>COGS</v>
          </cell>
          <cell r="B196">
            <v>736.66511999999989</v>
          </cell>
          <cell r="C196">
            <v>914.60096999999996</v>
          </cell>
          <cell r="D196">
            <v>901.18691999999999</v>
          </cell>
          <cell r="E196">
            <v>840.88880999999992</v>
          </cell>
          <cell r="F196">
            <v>923.37731999999994</v>
          </cell>
          <cell r="G196">
            <v>1089.1691729999998</v>
          </cell>
          <cell r="H196">
            <v>1025.3813496299995</v>
          </cell>
          <cell r="I196">
            <v>1120.2472367999994</v>
          </cell>
          <cell r="J196">
            <v>1149.6959496495633</v>
          </cell>
          <cell r="K196">
            <v>1160.213240844027</v>
          </cell>
          <cell r="L196">
            <v>1171.6419621199375</v>
          </cell>
          <cell r="M196">
            <v>1181.2152916786861</v>
          </cell>
          <cell r="N196">
            <v>1190.9542619524677</v>
          </cell>
          <cell r="O196">
            <v>1215.9652328403063</v>
          </cell>
          <cell r="P196">
            <v>1240.31339532319</v>
          </cell>
          <cell r="Q196">
            <v>1264.870764538575</v>
          </cell>
          <cell r="R196">
            <v>1289.5823887224849</v>
          </cell>
          <cell r="S196">
            <v>1314.454545604322</v>
          </cell>
          <cell r="T196">
            <v>1326.2502884766845</v>
          </cell>
          <cell r="U196">
            <v>1352.324477495019</v>
          </cell>
          <cell r="V196">
            <v>1377.6352644129861</v>
          </cell>
        </row>
        <row r="197">
          <cell r="A197" t="str">
            <v xml:space="preserve">Fixed </v>
          </cell>
          <cell r="B197">
            <v>147.33302399999999</v>
          </cell>
          <cell r="C197">
            <v>182.92019400000001</v>
          </cell>
          <cell r="D197">
            <v>180.23738400000002</v>
          </cell>
          <cell r="E197">
            <v>168.177762</v>
          </cell>
          <cell r="F197">
            <v>184.67546400000001</v>
          </cell>
          <cell r="G197">
            <v>217.83383459999996</v>
          </cell>
          <cell r="H197">
            <v>205.0762699259999</v>
          </cell>
          <cell r="I197">
            <v>224.0494473599999</v>
          </cell>
          <cell r="J197">
            <v>235.57420442076364</v>
          </cell>
          <cell r="K197">
            <v>236.95027816293953</v>
          </cell>
          <cell r="L197">
            <v>239.14636981203915</v>
          </cell>
          <cell r="M197">
            <v>239.39474344770872</v>
          </cell>
          <cell r="N197">
            <v>239.71550823918074</v>
          </cell>
          <cell r="O197">
            <v>255.21409158988624</v>
          </cell>
          <cell r="P197">
            <v>269.95474266026577</v>
          </cell>
          <cell r="Q197">
            <v>284.80852534902152</v>
          </cell>
          <cell r="R197">
            <v>299.71952714103583</v>
          </cell>
          <cell r="S197">
            <v>314.6930554070583</v>
          </cell>
          <cell r="T197">
            <v>316.49118337744841</v>
          </cell>
          <cell r="U197">
            <v>332.46778134479052</v>
          </cell>
          <cell r="V197">
            <v>347.58000130125509</v>
          </cell>
        </row>
        <row r="198">
          <cell r="A198" t="str">
            <v>Depreciation &amp; Amortisation</v>
          </cell>
          <cell r="B198">
            <v>72.332750769230785</v>
          </cell>
          <cell r="C198">
            <v>77.836079999999995</v>
          </cell>
          <cell r="D198">
            <v>113.24280000000002</v>
          </cell>
          <cell r="E198">
            <v>116.0117267759563</v>
          </cell>
          <cell r="F198">
            <v>132.57717499999998</v>
          </cell>
          <cell r="G198">
            <v>140.91267500000001</v>
          </cell>
          <cell r="H198">
            <v>135.75750000000002</v>
          </cell>
          <cell r="I198">
            <v>142.24801153846155</v>
          </cell>
          <cell r="J198">
            <v>151.72773270368685</v>
          </cell>
          <cell r="K198">
            <v>151.00764465293585</v>
          </cell>
          <cell r="L198">
            <v>151.0551704642854</v>
          </cell>
          <cell r="M198">
            <v>149.10126411626112</v>
          </cell>
          <cell r="N198">
            <v>147.16469192444697</v>
          </cell>
          <cell r="O198">
            <v>160.34950486728414</v>
          </cell>
          <cell r="P198">
            <v>172.7185412695986</v>
          </cell>
          <cell r="Q198">
            <v>185.14141892358768</v>
          </cell>
          <cell r="R198">
            <v>197.56074305496614</v>
          </cell>
          <cell r="S198">
            <v>209.98030171883687</v>
          </cell>
          <cell r="T198">
            <v>209.16061084702147</v>
          </cell>
          <cell r="U198">
            <v>222.45394450110294</v>
          </cell>
          <cell r="V198">
            <v>234.81581853647535</v>
          </cell>
        </row>
        <row r="199">
          <cell r="A199" t="str">
            <v>Variable</v>
          </cell>
          <cell r="B199">
            <v>589.33209599999986</v>
          </cell>
          <cell r="C199">
            <v>731.68077599999992</v>
          </cell>
          <cell r="D199">
            <v>720.94953599999997</v>
          </cell>
          <cell r="E199">
            <v>672.71104799999989</v>
          </cell>
          <cell r="F199">
            <v>738.70185599999991</v>
          </cell>
          <cell r="G199">
            <v>871.33533839999984</v>
          </cell>
          <cell r="H199">
            <v>820.30507970399958</v>
          </cell>
          <cell r="I199">
            <v>896.1977894399995</v>
          </cell>
          <cell r="J199">
            <v>914.12174522879957</v>
          </cell>
          <cell r="K199">
            <v>923.26296268108752</v>
          </cell>
          <cell r="L199">
            <v>932.49559230789839</v>
          </cell>
          <cell r="M199">
            <v>941.82054823097735</v>
          </cell>
          <cell r="N199">
            <v>951.23875371328711</v>
          </cell>
          <cell r="O199">
            <v>960.75114125042001</v>
          </cell>
          <cell r="P199">
            <v>970.35865266292421</v>
          </cell>
          <cell r="Q199">
            <v>980.06223918955357</v>
          </cell>
          <cell r="R199">
            <v>989.86286158144912</v>
          </cell>
          <cell r="S199">
            <v>999.76149019726358</v>
          </cell>
          <cell r="T199">
            <v>1009.7591050992362</v>
          </cell>
          <cell r="U199">
            <v>1019.8566961502286</v>
          </cell>
          <cell r="V199">
            <v>1030.0552631117309</v>
          </cell>
        </row>
        <row r="200">
          <cell r="A200" t="str">
            <v>SG&amp;A</v>
          </cell>
          <cell r="B200">
            <v>81.851679999999988</v>
          </cell>
          <cell r="C200">
            <v>101.62233000000001</v>
          </cell>
          <cell r="D200">
            <v>100.13188000000001</v>
          </cell>
          <cell r="E200">
            <v>93.432090000000002</v>
          </cell>
          <cell r="F200">
            <v>102.59748</v>
          </cell>
          <cell r="G200">
            <v>121.01879700000001</v>
          </cell>
          <cell r="H200">
            <v>113.93126106999996</v>
          </cell>
          <cell r="I200">
            <v>96.843343171700013</v>
          </cell>
          <cell r="J200">
            <v>85.94408749481299</v>
          </cell>
          <cell r="K200">
            <v>74.290968053411262</v>
          </cell>
          <cell r="L200">
            <v>75.194446607398518</v>
          </cell>
          <cell r="M200">
            <v>76.29164082987694</v>
          </cell>
          <cell r="N200">
            <v>78.25605284574111</v>
          </cell>
          <cell r="O200">
            <v>80.170894298248896</v>
          </cell>
          <cell r="P200">
            <v>82.112382046129454</v>
          </cell>
          <cell r="Q200">
            <v>84.133039069278482</v>
          </cell>
          <cell r="R200">
            <v>86.236365046010434</v>
          </cell>
          <cell r="S200">
            <v>88.392274172160683</v>
          </cell>
          <cell r="T200">
            <v>90.602081026464688</v>
          </cell>
          <cell r="U200">
            <v>92.867133052126292</v>
          </cell>
          <cell r="V200">
            <v>95.188811378429435</v>
          </cell>
        </row>
        <row r="201">
          <cell r="A201" t="str">
            <v>Gross Profit</v>
          </cell>
          <cell r="B201">
            <v>-187.26511999999991</v>
          </cell>
          <cell r="C201">
            <v>-97.60096999999999</v>
          </cell>
          <cell r="D201">
            <v>38.363080000000011</v>
          </cell>
          <cell r="E201">
            <v>98.661190000000005</v>
          </cell>
          <cell r="F201">
            <v>222.87368000000001</v>
          </cell>
          <cell r="G201">
            <v>366.56959700000004</v>
          </cell>
          <cell r="H201">
            <v>270.22615567000037</v>
          </cell>
          <cell r="I201">
            <v>309.12916319999988</v>
          </cell>
          <cell r="J201">
            <v>319.2027078104361</v>
          </cell>
          <cell r="K201">
            <v>334.50131052083179</v>
          </cell>
          <cell r="L201">
            <v>349.34219748515898</v>
          </cell>
          <cell r="M201">
            <v>366.50016453146986</v>
          </cell>
          <cell r="N201">
            <v>383.96229340058176</v>
          </cell>
          <cell r="O201">
            <v>386.63048097307319</v>
          </cell>
          <cell r="P201">
            <v>390.44793816045967</v>
          </cell>
          <cell r="Q201">
            <v>394.55119938104986</v>
          </cell>
          <cell r="R201">
            <v>399.00391621302765</v>
          </cell>
          <cell r="S201">
            <v>403.80866364043231</v>
          </cell>
          <cell r="T201">
            <v>422.21139667054649</v>
          </cell>
          <cell r="U201">
            <v>426.86642176867463</v>
          </cell>
          <cell r="V201">
            <v>432.82491490526718</v>
          </cell>
        </row>
        <row r="202">
          <cell r="A202" t="str">
            <v>Margin (%)</v>
          </cell>
          <cell r="B202">
            <v>-0.34085387695667985</v>
          </cell>
          <cell r="C202">
            <v>-0.11946263157894736</v>
          </cell>
          <cell r="D202">
            <v>4.0831334149326819E-2</v>
          </cell>
          <cell r="E202">
            <v>0.105008983023788</v>
          </cell>
          <cell r="F202">
            <v>0.1944370648313502</v>
          </cell>
          <cell r="G202">
            <v>0.25181001190206681</v>
          </cell>
          <cell r="H202">
            <v>0.20857100207012855</v>
          </cell>
          <cell r="I202">
            <v>0.21626855123674915</v>
          </cell>
          <cell r="J202">
            <v>0.21730750871703927</v>
          </cell>
          <cell r="K202">
            <v>0.22378942535575827</v>
          </cell>
          <cell r="L202">
            <v>0.22968168029827549</v>
          </cell>
          <cell r="M202">
            <v>0.23680073947759606</v>
          </cell>
          <cell r="N202">
            <v>0.24379849973353593</v>
          </cell>
          <cell r="O202">
            <v>0.24125266131723594</v>
          </cell>
          <cell r="P202">
            <v>0.23942678192300565</v>
          </cell>
          <cell r="Q202">
            <v>0.23776423836713792</v>
          </cell>
          <cell r="R202">
            <v>0.23629465372708069</v>
          </cell>
          <cell r="S202">
            <v>0.23500978282478763</v>
          </cell>
          <cell r="T202">
            <v>0.24147592152412178</v>
          </cell>
          <cell r="U202">
            <v>0.23992165312071373</v>
          </cell>
          <cell r="V202">
            <v>0.23906900568685896</v>
          </cell>
        </row>
        <row r="203">
          <cell r="A203" t="str">
            <v>Margin (%)</v>
          </cell>
          <cell r="B203">
            <v>-0.48983764106297761</v>
          </cell>
          <cell r="C203">
            <v>-0.24384736842105262</v>
          </cell>
          <cell r="D203">
            <v>-6.5742962056303547E-2</v>
          </cell>
          <cell r="E203">
            <v>5.5655366930977609E-3</v>
          </cell>
          <cell r="F203">
            <v>0.10493007203483357</v>
          </cell>
          <cell r="G203">
            <v>0.16867779100229641</v>
          </cell>
          <cell r="H203">
            <v>0.12063444674458725</v>
          </cell>
          <cell r="I203">
            <v>0.16014113308531805</v>
          </cell>
          <cell r="J203">
            <v>0.16254296264618046</v>
          </cell>
          <cell r="K203">
            <v>0.18662177370157684</v>
          </cell>
          <cell r="L203">
            <v>0.19278404231860391</v>
          </cell>
          <cell r="M203">
            <v>0.19869726185935993</v>
          </cell>
          <cell r="N203">
            <v>0.20361305287465886</v>
          </cell>
          <cell r="O203">
            <v>0.20859727812944856</v>
          </cell>
          <cell r="P203">
            <v>0.21356257838651474</v>
          </cell>
          <cell r="Q203">
            <v>0.21845282723947776</v>
          </cell>
          <cell r="R203">
            <v>0.22326732749039116</v>
          </cell>
          <cell r="S203">
            <v>0.22804023712614882</v>
          </cell>
          <cell r="T203">
            <v>0.23277156266187035</v>
          </cell>
          <cell r="U203">
            <v>0.23746131690405953</v>
          </cell>
          <cell r="V203">
            <v>0.24210951873253472</v>
          </cell>
        </row>
        <row r="204">
          <cell r="A204" t="str">
            <v>SG&amp;A</v>
          </cell>
          <cell r="B204">
            <v>81.851679999999988</v>
          </cell>
          <cell r="C204">
            <v>101.62233000000001</v>
          </cell>
          <cell r="D204">
            <v>100.13188000000001</v>
          </cell>
          <cell r="E204">
            <v>93.432090000000002</v>
          </cell>
          <cell r="F204">
            <v>102.59748</v>
          </cell>
          <cell r="G204">
            <v>121.01879700000001</v>
          </cell>
          <cell r="H204">
            <v>113.93126106999996</v>
          </cell>
          <cell r="I204">
            <v>124.47191519999993</v>
          </cell>
          <cell r="J204">
            <v>127.58371307999991</v>
          </cell>
          <cell r="K204">
            <v>130.77330590699989</v>
          </cell>
          <cell r="L204">
            <v>134.04263855467488</v>
          </cell>
          <cell r="M204">
            <v>137.39370451854174</v>
          </cell>
          <cell r="N204">
            <v>140.82854713150527</v>
          </cell>
          <cell r="O204">
            <v>144.3492608097929</v>
          </cell>
          <cell r="P204">
            <v>147.95799233003771</v>
          </cell>
          <cell r="Q204">
            <v>151.65694213828863</v>
          </cell>
          <cell r="R204">
            <v>155.44836569174583</v>
          </cell>
          <cell r="S204">
            <v>159.33457483403947</v>
          </cell>
          <cell r="T204">
            <v>163.31793920489045</v>
          </cell>
          <cell r="U204">
            <v>167.40088768501269</v>
          </cell>
          <cell r="V204">
            <v>171.58590987713799</v>
          </cell>
        </row>
        <row r="206">
          <cell r="A206" t="str">
            <v>EBIT (PHPm)</v>
          </cell>
          <cell r="B206">
            <v>-269.1167999999999</v>
          </cell>
          <cell r="C206">
            <v>-199.22329999999999</v>
          </cell>
          <cell r="D206">
            <v>-61.768799999999999</v>
          </cell>
          <cell r="E206">
            <v>5.2291000000000007</v>
          </cell>
          <cell r="F206">
            <v>120.2762</v>
          </cell>
          <cell r="G206">
            <v>245.55080000000004</v>
          </cell>
          <cell r="H206">
            <v>156.29489460000039</v>
          </cell>
          <cell r="I206">
            <v>184.65724799999995</v>
          </cell>
          <cell r="J206">
            <v>191.61899473043619</v>
          </cell>
          <cell r="K206">
            <v>203.7280046138319</v>
          </cell>
          <cell r="L206">
            <v>215.2995589304841</v>
          </cell>
          <cell r="M206">
            <v>229.10646001292812</v>
          </cell>
          <cell r="N206">
            <v>243.13374626907648</v>
          </cell>
          <cell r="O206">
            <v>242.2812201632803</v>
          </cell>
          <cell r="P206">
            <v>242.48994583042196</v>
          </cell>
          <cell r="Q206">
            <v>242.89425724276123</v>
          </cell>
          <cell r="R206">
            <v>243.55555052128182</v>
          </cell>
          <cell r="S206">
            <v>244.47408880639284</v>
          </cell>
          <cell r="T206">
            <v>258.89345746565607</v>
          </cell>
          <cell r="U206">
            <v>259.46553408366196</v>
          </cell>
          <cell r="V206">
            <v>261.23900502812921</v>
          </cell>
        </row>
        <row r="207">
          <cell r="A207" t="str">
            <v>Margin (%)</v>
          </cell>
          <cell r="B207">
            <v>-0.48983764106297761</v>
          </cell>
          <cell r="C207">
            <v>-0.24384736842105262</v>
          </cell>
          <cell r="D207">
            <v>-6.5742962056303547E-2</v>
          </cell>
          <cell r="E207">
            <v>5.5655366930977609E-3</v>
          </cell>
          <cell r="F207">
            <v>0.10493007203483357</v>
          </cell>
          <cell r="G207">
            <v>0.16867779100229641</v>
          </cell>
          <cell r="H207">
            <v>0.12063444674458725</v>
          </cell>
          <cell r="I207">
            <v>0.1291872791519435</v>
          </cell>
          <cell r="J207">
            <v>0.13045079301915985</v>
          </cell>
          <cell r="K207">
            <v>0.13629893709658683</v>
          </cell>
          <cell r="L207">
            <v>0.14155279499188458</v>
          </cell>
          <cell r="M207">
            <v>0.14802879889429688</v>
          </cell>
          <cell r="N207">
            <v>0.15437881165365813</v>
          </cell>
          <cell r="O207">
            <v>0.15118049928311095</v>
          </cell>
          <cell r="P207">
            <v>0.14869738498914023</v>
          </cell>
          <cell r="Q207">
            <v>0.14637281084856482</v>
          </cell>
          <cell r="R207">
            <v>0.14423636494587302</v>
          </cell>
          <cell r="S207">
            <v>0.14227976685472363</v>
          </cell>
          <cell r="T207">
            <v>0.14806927693348665</v>
          </cell>
          <cell r="U207">
            <v>0.14583344271322435</v>
          </cell>
          <cell r="V207">
            <v>0.14429425624069861</v>
          </cell>
        </row>
        <row r="208">
          <cell r="A208" t="str">
            <v>Change (%)</v>
          </cell>
          <cell r="C208">
            <v>-0.25971436937418968</v>
          </cell>
          <cell r="D208">
            <v>-0.68995192831360597</v>
          </cell>
          <cell r="E208">
            <v>-1.0846560075636891</v>
          </cell>
          <cell r="F208">
            <v>22.001319538735153</v>
          </cell>
          <cell r="G208">
            <v>1.0415576814033036</v>
          </cell>
          <cell r="H208">
            <v>-0.36349262718752962</v>
          </cell>
          <cell r="I208">
            <v>0.18146692169687473</v>
          </cell>
          <cell r="J208">
            <v>3.7700912397634401E-2</v>
          </cell>
          <cell r="K208">
            <v>6.3193160471540333E-2</v>
          </cell>
          <cell r="L208">
            <v>5.6799036237488165E-2</v>
          </cell>
          <cell r="M208">
            <v>6.412879409057215E-2</v>
          </cell>
          <cell r="N208">
            <v>6.1226061697940759E-2</v>
          </cell>
          <cell r="O208">
            <v>-3.5064079704208995E-3</v>
          </cell>
          <cell r="P208">
            <v>8.615016343445081E-4</v>
          </cell>
          <cell r="Q208">
            <v>1.6673326844733882E-3</v>
          </cell>
          <cell r="R208">
            <v>2.7225562515447166E-3</v>
          </cell>
          <cell r="S208">
            <v>3.7713707741213742E-3</v>
          </cell>
          <cell r="T208">
            <v>5.8981173545481047E-2</v>
          </cell>
          <cell r="U208">
            <v>2.2096990152089546E-3</v>
          </cell>
          <cell r="V208">
            <v>6.8350925710827237E-3</v>
          </cell>
        </row>
        <row r="210">
          <cell r="A210" t="str">
            <v>EBITDA (PHPm)</v>
          </cell>
          <cell r="B210">
            <v>-196.78404923076911</v>
          </cell>
          <cell r="C210">
            <v>-121.38722</v>
          </cell>
          <cell r="D210">
            <v>51.474000000000018</v>
          </cell>
          <cell r="E210">
            <v>121.24082677595631</v>
          </cell>
          <cell r="F210">
            <v>252.85337499999997</v>
          </cell>
          <cell r="G210">
            <v>386.46347500000002</v>
          </cell>
          <cell r="H210">
            <v>292.05239460000041</v>
          </cell>
          <cell r="I210">
            <v>326.90525953846151</v>
          </cell>
          <cell r="J210">
            <v>343.34672743412307</v>
          </cell>
          <cell r="K210">
            <v>354.73564926676772</v>
          </cell>
          <cell r="L210">
            <v>366.35472939476949</v>
          </cell>
          <cell r="M210">
            <v>378.20772412918927</v>
          </cell>
          <cell r="N210">
            <v>390.29843819352345</v>
          </cell>
          <cell r="O210">
            <v>402.63072503056446</v>
          </cell>
          <cell r="P210">
            <v>415.20848710002053</v>
          </cell>
          <cell r="Q210">
            <v>428.03567616634894</v>
          </cell>
          <cell r="R210">
            <v>441.11629357624793</v>
          </cell>
          <cell r="S210">
            <v>454.45439052522971</v>
          </cell>
          <cell r="T210">
            <v>468.05406831267754</v>
          </cell>
          <cell r="U210">
            <v>481.91947858476487</v>
          </cell>
          <cell r="V210">
            <v>496.05482356460459</v>
          </cell>
        </row>
        <row r="211">
          <cell r="A211" t="str">
            <v>Margin (%)</v>
          </cell>
          <cell r="B211">
            <v>-0.35817992215283784</v>
          </cell>
          <cell r="C211">
            <v>-0.14857676866585068</v>
          </cell>
          <cell r="D211">
            <v>5.478580171358631E-2</v>
          </cell>
          <cell r="E211">
            <v>0.12904137808094973</v>
          </cell>
          <cell r="F211">
            <v>0.22059162870959326</v>
          </cell>
          <cell r="G211">
            <v>0.26547584152065967</v>
          </cell>
          <cell r="H211">
            <v>0.22541733773946857</v>
          </cell>
          <cell r="I211">
            <v>0.22870481108997021</v>
          </cell>
          <cell r="J211">
            <v>0.2337443265336179</v>
          </cell>
          <cell r="K211">
            <v>0.23732668484618036</v>
          </cell>
          <cell r="L211">
            <v>0.24086689337375392</v>
          </cell>
          <cell r="M211">
            <v>0.24436515291725205</v>
          </cell>
          <cell r="N211">
            <v>0.24782166195848399</v>
          </cell>
          <cell r="O211">
            <v>0.25123661667140235</v>
          </cell>
          <cell r="P211">
            <v>0.25461021093322572</v>
          </cell>
          <cell r="Q211">
            <v>0.25794263633543246</v>
          </cell>
          <cell r="R211">
            <v>0.26123408219462863</v>
          </cell>
          <cell r="S211">
            <v>0.2644847355632905</v>
          </cell>
          <cell r="T211">
            <v>0.26769478124038193</v>
          </cell>
          <cell r="U211">
            <v>0.27086440178184595</v>
          </cell>
          <cell r="V211">
            <v>0.27399377751097453</v>
          </cell>
        </row>
      </sheetData>
      <sheetData sheetId="11"/>
      <sheetData sheetId="12"/>
      <sheetData sheetId="13"/>
      <sheetData sheetId="14" refreshError="1">
        <row r="1">
          <cell r="A1" t="str">
            <v>James Hardie Industries N.V.</v>
          </cell>
          <cell r="B1">
            <v>36341</v>
          </cell>
          <cell r="C1">
            <v>36433</v>
          </cell>
          <cell r="D1">
            <v>36525</v>
          </cell>
          <cell r="E1">
            <v>36616</v>
          </cell>
          <cell r="F1">
            <v>36616</v>
          </cell>
          <cell r="G1">
            <v>36707</v>
          </cell>
          <cell r="H1">
            <v>36799</v>
          </cell>
          <cell r="I1">
            <v>36891</v>
          </cell>
          <cell r="J1">
            <v>36981</v>
          </cell>
          <cell r="K1">
            <v>36981</v>
          </cell>
          <cell r="L1">
            <v>37072</v>
          </cell>
          <cell r="M1">
            <v>37164</v>
          </cell>
          <cell r="N1">
            <v>37256</v>
          </cell>
          <cell r="O1">
            <v>37346</v>
          </cell>
          <cell r="P1">
            <v>37346</v>
          </cell>
          <cell r="Q1">
            <v>37437</v>
          </cell>
          <cell r="R1">
            <v>37529</v>
          </cell>
          <cell r="S1">
            <v>37621</v>
          </cell>
          <cell r="T1">
            <v>37711</v>
          </cell>
          <cell r="U1">
            <v>37711</v>
          </cell>
          <cell r="V1">
            <v>37802</v>
          </cell>
          <cell r="W1">
            <v>37894</v>
          </cell>
          <cell r="X1">
            <v>37986</v>
          </cell>
          <cell r="Y1">
            <v>38077</v>
          </cell>
          <cell r="Z1">
            <v>38077</v>
          </cell>
          <cell r="AA1">
            <v>38168</v>
          </cell>
          <cell r="AB1">
            <v>38260</v>
          </cell>
          <cell r="AC1">
            <v>38352</v>
          </cell>
          <cell r="AD1">
            <v>38442</v>
          </cell>
          <cell r="AE1">
            <v>38442</v>
          </cell>
          <cell r="AF1">
            <v>38533</v>
          </cell>
          <cell r="AG1">
            <v>38625</v>
          </cell>
          <cell r="AH1">
            <v>38717</v>
          </cell>
          <cell r="AI1">
            <v>38807</v>
          </cell>
          <cell r="AJ1">
            <v>38807</v>
          </cell>
          <cell r="AK1">
            <v>38898</v>
          </cell>
          <cell r="AL1">
            <v>38990</v>
          </cell>
          <cell r="AM1">
            <v>39082</v>
          </cell>
          <cell r="AN1">
            <v>39172</v>
          </cell>
          <cell r="AO1">
            <v>39172</v>
          </cell>
          <cell r="AP1">
            <v>39263</v>
          </cell>
          <cell r="AQ1">
            <v>39355</v>
          </cell>
          <cell r="AR1">
            <v>39447</v>
          </cell>
          <cell r="AS1">
            <v>39538</v>
          </cell>
          <cell r="AT1">
            <v>39538</v>
          </cell>
          <cell r="AU1">
            <v>39629</v>
          </cell>
          <cell r="AV1">
            <v>39721</v>
          </cell>
          <cell r="AW1">
            <v>39813</v>
          </cell>
          <cell r="AX1">
            <v>39903</v>
          </cell>
          <cell r="AY1">
            <v>39903</v>
          </cell>
          <cell r="AZ1">
            <v>39629</v>
          </cell>
          <cell r="BA1">
            <v>39721</v>
          </cell>
          <cell r="BB1">
            <v>39813</v>
          </cell>
          <cell r="BC1">
            <v>39903</v>
          </cell>
          <cell r="BD1">
            <v>39903</v>
          </cell>
        </row>
        <row r="2">
          <cell r="A2" t="str">
            <v>FULL YEAR RESULTS</v>
          </cell>
          <cell r="B2" t="str">
            <v>Q1FY99</v>
          </cell>
          <cell r="C2" t="str">
            <v>Q2FY99</v>
          </cell>
          <cell r="D2" t="str">
            <v>Q3FY99</v>
          </cell>
          <cell r="E2" t="str">
            <v>Q4FY00</v>
          </cell>
          <cell r="F2" t="str">
            <v>FY00</v>
          </cell>
          <cell r="G2" t="str">
            <v>Q1FY00</v>
          </cell>
          <cell r="H2" t="str">
            <v>Q2FY00</v>
          </cell>
          <cell r="I2" t="str">
            <v>Q3FY00</v>
          </cell>
          <cell r="J2" t="str">
            <v>Q4FY01</v>
          </cell>
          <cell r="K2" t="str">
            <v>FY01</v>
          </cell>
          <cell r="L2" t="str">
            <v>Q1FY01</v>
          </cell>
          <cell r="M2" t="str">
            <v>Q2FY01</v>
          </cell>
          <cell r="N2" t="str">
            <v>Q3FY01</v>
          </cell>
          <cell r="O2" t="str">
            <v>Q4FY02</v>
          </cell>
          <cell r="P2" t="str">
            <v>FY02</v>
          </cell>
          <cell r="Q2" t="str">
            <v>Q1FY02</v>
          </cell>
          <cell r="R2" t="str">
            <v>Q2FY02</v>
          </cell>
          <cell r="S2" t="str">
            <v>Q3FY02</v>
          </cell>
          <cell r="T2" t="str">
            <v>Q4FY03</v>
          </cell>
          <cell r="U2" t="str">
            <v>FY03</v>
          </cell>
          <cell r="V2" t="str">
            <v>Q1FY03</v>
          </cell>
          <cell r="W2" t="str">
            <v>Q2FY03</v>
          </cell>
          <cell r="X2" t="str">
            <v>Q3FY03</v>
          </cell>
          <cell r="Y2" t="str">
            <v>Q4FY04</v>
          </cell>
          <cell r="Z2" t="str">
            <v>FY04</v>
          </cell>
          <cell r="AA2" t="str">
            <v>Q1FY04</v>
          </cell>
          <cell r="AB2" t="str">
            <v>Q2FY04</v>
          </cell>
          <cell r="AC2" t="str">
            <v>Q3FY04</v>
          </cell>
          <cell r="AD2" t="str">
            <v>Q4FY05</v>
          </cell>
          <cell r="AE2" t="str">
            <v>FY05</v>
          </cell>
          <cell r="AF2" t="str">
            <v>Q1FY05</v>
          </cell>
          <cell r="AG2" t="str">
            <v>Q2FY05</v>
          </cell>
          <cell r="AH2" t="str">
            <v>Q3FY05</v>
          </cell>
          <cell r="AI2" t="str">
            <v>Q4FY06</v>
          </cell>
          <cell r="AJ2" t="str">
            <v>FY06</v>
          </cell>
          <cell r="AK2" t="str">
            <v>Q1FY06</v>
          </cell>
          <cell r="AL2" t="str">
            <v>Q2FY06</v>
          </cell>
          <cell r="AM2" t="str">
            <v>Q3FY06</v>
          </cell>
          <cell r="AN2" t="str">
            <v>Q4FY07</v>
          </cell>
          <cell r="AO2" t="str">
            <v>FY07</v>
          </cell>
          <cell r="AP2" t="str">
            <v>Q1FY07</v>
          </cell>
          <cell r="AQ2" t="str">
            <v>Q2FY07</v>
          </cell>
          <cell r="AR2" t="str">
            <v>Q3FY07</v>
          </cell>
          <cell r="AS2" t="str">
            <v>Q4FY08</v>
          </cell>
          <cell r="AT2" t="str">
            <v>FY08</v>
          </cell>
          <cell r="AU2" t="str">
            <v>Q1FY09</v>
          </cell>
          <cell r="AV2" t="str">
            <v>Q2FY09</v>
          </cell>
          <cell r="AW2" t="str">
            <v>Q3FY09</v>
          </cell>
          <cell r="AX2" t="str">
            <v>Q4FY09</v>
          </cell>
          <cell r="AY2" t="str">
            <v>FY09</v>
          </cell>
          <cell r="AZ2" t="str">
            <v>Q1FY09</v>
          </cell>
          <cell r="BA2" t="str">
            <v>Q2FY09</v>
          </cell>
          <cell r="BB2" t="str">
            <v>Q3FY09</v>
          </cell>
          <cell r="BC2" t="str">
            <v>Q4FY09</v>
          </cell>
          <cell r="BD2" t="str">
            <v>FY09</v>
          </cell>
        </row>
        <row r="4">
          <cell r="A4" t="str">
            <v>Currency</v>
          </cell>
        </row>
        <row r="5">
          <cell r="A5" t="str">
            <v xml:space="preserve">AUD/USD </v>
          </cell>
          <cell r="B5">
            <v>0.65309000000000006</v>
          </cell>
          <cell r="C5">
            <v>0.65049000000000001</v>
          </cell>
          <cell r="D5">
            <v>0.64383000000000001</v>
          </cell>
          <cell r="E5">
            <v>0.63136000000000003</v>
          </cell>
          <cell r="F5">
            <v>0.64455000000000007</v>
          </cell>
          <cell r="G5">
            <v>0.58988000000000007</v>
          </cell>
          <cell r="H5">
            <v>0.57506000000000002</v>
          </cell>
          <cell r="I5">
            <v>0.53314000000000006</v>
          </cell>
          <cell r="J5">
            <v>0.53170000000000006</v>
          </cell>
          <cell r="K5">
            <v>0.55745</v>
          </cell>
          <cell r="L5">
            <v>0.51334000000000002</v>
          </cell>
          <cell r="M5">
            <v>0.51411000000000007</v>
          </cell>
          <cell r="N5">
            <v>0.51132</v>
          </cell>
          <cell r="O5">
            <v>0.51837</v>
          </cell>
          <cell r="P5">
            <v>0.51441999999999999</v>
          </cell>
          <cell r="Q5">
            <v>0.55056000000000005</v>
          </cell>
          <cell r="R5">
            <v>0.54780000000000006</v>
          </cell>
          <cell r="S5">
            <v>0.55798000000000003</v>
          </cell>
          <cell r="T5">
            <v>0.59254000000000007</v>
          </cell>
          <cell r="U5">
            <v>0.56217000000000006</v>
          </cell>
          <cell r="V5">
            <v>0.64046000000000003</v>
          </cell>
          <cell r="W5">
            <v>0.65873000000000004</v>
          </cell>
          <cell r="X5">
            <v>0.71623000000000003</v>
          </cell>
          <cell r="Y5">
            <v>0.76485000000000003</v>
          </cell>
          <cell r="Z5">
            <v>0.69493000000000005</v>
          </cell>
          <cell r="AA5">
            <v>0.71549000000000007</v>
          </cell>
          <cell r="AB5">
            <v>0.70955000000000001</v>
          </cell>
          <cell r="AC5">
            <v>0.75745000000000007</v>
          </cell>
          <cell r="AD5">
            <v>0.77719000000000005</v>
          </cell>
          <cell r="AE5">
            <v>0.7397800000000001</v>
          </cell>
          <cell r="AF5">
            <v>0.76851000000000003</v>
          </cell>
          <cell r="AG5">
            <v>0.75987000000000005</v>
          </cell>
          <cell r="AH5">
            <v>0.74392000000000003</v>
          </cell>
          <cell r="AI5">
            <v>0.73913000000000006</v>
          </cell>
          <cell r="AJ5">
            <v>0.75289000000000006</v>
          </cell>
          <cell r="AK5">
            <v>0.74670000000000003</v>
          </cell>
          <cell r="AL5">
            <v>0.75661000000000012</v>
          </cell>
          <cell r="AM5">
            <v>0.77018000000000009</v>
          </cell>
          <cell r="AN5">
            <v>0.78637000000000001</v>
          </cell>
          <cell r="AO5">
            <v>0.76491000000000009</v>
          </cell>
          <cell r="AP5">
            <v>0.8305800000000001</v>
          </cell>
          <cell r="AQ5">
            <v>0.84774000000000005</v>
          </cell>
          <cell r="AR5">
            <v>0.88962575757575735</v>
          </cell>
          <cell r="AS5">
            <v>0.90547999999999995</v>
          </cell>
          <cell r="AT5">
            <v>0.86882500000000007</v>
          </cell>
          <cell r="AU5">
            <v>0.94413999999999998</v>
          </cell>
          <cell r="AV5">
            <v>0.88800000000000001</v>
          </cell>
          <cell r="AW5">
            <v>0.67230000000000001</v>
          </cell>
          <cell r="AX5">
            <v>0.66507108999999998</v>
          </cell>
          <cell r="AY5">
            <v>0.79165000000000008</v>
          </cell>
          <cell r="BD5">
            <v>0.8</v>
          </cell>
        </row>
        <row r="6">
          <cell r="A6" t="str">
            <v>Volumes</v>
          </cell>
        </row>
        <row r="7">
          <cell r="A7" t="str">
            <v>USA Fibre Cement</v>
          </cell>
          <cell r="B7">
            <v>185.3</v>
          </cell>
          <cell r="C7">
            <v>183.1</v>
          </cell>
          <cell r="D7">
            <v>169.1</v>
          </cell>
          <cell r="E7">
            <v>187.4</v>
          </cell>
          <cell r="F7">
            <v>724.9</v>
          </cell>
          <cell r="G7">
            <v>219.8</v>
          </cell>
          <cell r="H7">
            <v>223.5</v>
          </cell>
          <cell r="I7">
            <v>204.9</v>
          </cell>
          <cell r="J7">
            <v>201.9</v>
          </cell>
          <cell r="K7">
            <v>850.1</v>
          </cell>
          <cell r="L7">
            <v>244</v>
          </cell>
          <cell r="M7">
            <v>252.5</v>
          </cell>
          <cell r="N7">
            <v>226.8</v>
          </cell>
          <cell r="O7">
            <v>265.2</v>
          </cell>
          <cell r="P7">
            <v>988.5</v>
          </cell>
          <cell r="Q7">
            <v>339.8</v>
          </cell>
          <cell r="R7">
            <v>337.7</v>
          </cell>
          <cell r="S7">
            <v>298.2</v>
          </cell>
          <cell r="T7">
            <v>297.89999999999998</v>
          </cell>
          <cell r="U7">
            <v>1273.5999999999999</v>
          </cell>
          <cell r="V7">
            <v>387.5</v>
          </cell>
          <cell r="W7">
            <v>390.5</v>
          </cell>
          <cell r="X7">
            <v>358.3</v>
          </cell>
          <cell r="Y7">
            <v>383.6</v>
          </cell>
          <cell r="Z7">
            <v>1519.9</v>
          </cell>
          <cell r="AA7">
            <v>490.4</v>
          </cell>
          <cell r="AB7">
            <v>459.7</v>
          </cell>
          <cell r="AC7">
            <v>432.4</v>
          </cell>
          <cell r="AD7">
            <v>472.6</v>
          </cell>
          <cell r="AE7">
            <v>1855.1</v>
          </cell>
          <cell r="AF7">
            <v>523.4</v>
          </cell>
          <cell r="AG7">
            <v>556.79999999999995</v>
          </cell>
          <cell r="AH7">
            <v>527.5</v>
          </cell>
          <cell r="AI7">
            <v>575.1</v>
          </cell>
          <cell r="AJ7">
            <v>2182.7999999999997</v>
          </cell>
          <cell r="AK7">
            <v>605.70000000000005</v>
          </cell>
          <cell r="AL7">
            <v>573.4</v>
          </cell>
          <cell r="AM7">
            <v>484</v>
          </cell>
          <cell r="AN7">
            <v>484.9</v>
          </cell>
          <cell r="AO7">
            <v>2148</v>
          </cell>
          <cell r="AP7">
            <v>573.4</v>
          </cell>
          <cell r="AR7">
            <v>-0.14481141293726785</v>
          </cell>
          <cell r="AS7" t="e">
            <v>#REF!</v>
          </cell>
          <cell r="AT7" t="e">
            <v>#REF!</v>
          </cell>
        </row>
        <row r="8">
          <cell r="A8" t="str">
            <v>Gypsum</v>
          </cell>
          <cell r="B8">
            <v>598.79999999999995</v>
          </cell>
          <cell r="C8">
            <v>568.70000000000005</v>
          </cell>
          <cell r="D8">
            <v>567.20000000000005</v>
          </cell>
          <cell r="E8">
            <v>552.29999999999995</v>
          </cell>
          <cell r="F8">
            <v>2181.3000000000002</v>
          </cell>
          <cell r="G8">
            <v>580.29999999999995</v>
          </cell>
          <cell r="H8">
            <v>571.4</v>
          </cell>
          <cell r="I8">
            <v>536.4</v>
          </cell>
          <cell r="J8">
            <v>520</v>
          </cell>
          <cell r="K8">
            <v>2203.9</v>
          </cell>
          <cell r="L8">
            <v>542.70000000000005</v>
          </cell>
          <cell r="M8">
            <v>620.70000000000005</v>
          </cell>
          <cell r="N8">
            <v>528.79999999999995</v>
          </cell>
          <cell r="O8">
            <v>265.2</v>
          </cell>
          <cell r="P8">
            <v>1692.2</v>
          </cell>
          <cell r="Q8">
            <v>339.8</v>
          </cell>
          <cell r="R8">
            <v>337.7</v>
          </cell>
          <cell r="S8">
            <v>298.2</v>
          </cell>
          <cell r="T8">
            <v>297.89999999999998</v>
          </cell>
          <cell r="U8">
            <v>0</v>
          </cell>
          <cell r="V8">
            <v>387.5</v>
          </cell>
          <cell r="W8">
            <v>390.5</v>
          </cell>
          <cell r="X8">
            <v>358.3</v>
          </cell>
          <cell r="Y8">
            <v>383.6</v>
          </cell>
          <cell r="Z8">
            <v>1519.9</v>
          </cell>
          <cell r="AA8">
            <v>0.26435232602016062</v>
          </cell>
          <cell r="AB8">
            <v>0.24780335291898012</v>
          </cell>
          <cell r="AC8">
            <v>0.23308716511239286</v>
          </cell>
          <cell r="AD8">
            <v>0.25475715594846643</v>
          </cell>
          <cell r="AE8">
            <v>1855.1</v>
          </cell>
          <cell r="AF8">
            <v>0.2397837639728789</v>
          </cell>
          <cell r="AG8">
            <v>0.25508521165475539</v>
          </cell>
          <cell r="AH8">
            <v>0.24166208539490566</v>
          </cell>
          <cell r="AI8">
            <v>0.26346893897746021</v>
          </cell>
          <cell r="AJ8">
            <v>2182.7999999999997</v>
          </cell>
          <cell r="AK8">
            <v>0.28198324022346372</v>
          </cell>
          <cell r="AL8">
            <v>0.26694599627560522</v>
          </cell>
          <cell r="AM8">
            <v>0.22532588454376165</v>
          </cell>
          <cell r="AN8">
            <v>0.22574487895716944</v>
          </cell>
          <cell r="AO8">
            <v>2148</v>
          </cell>
          <cell r="AP8">
            <v>573.4</v>
          </cell>
          <cell r="AQ8">
            <v>511.7</v>
          </cell>
          <cell r="AR8">
            <v>437.6</v>
          </cell>
          <cell r="AS8">
            <v>393.9</v>
          </cell>
          <cell r="AT8">
            <v>1916.6</v>
          </cell>
          <cell r="AU8">
            <v>462.6</v>
          </cell>
          <cell r="AV8">
            <v>424.6</v>
          </cell>
          <cell r="AW8">
            <v>316.60000000000002</v>
          </cell>
          <cell r="AX8">
            <v>305.09999999999991</v>
          </cell>
          <cell r="AY8">
            <v>1508.9</v>
          </cell>
          <cell r="BD8">
            <v>1091.697579148479</v>
          </cell>
          <cell r="BE8">
            <v>1091.697579148479</v>
          </cell>
          <cell r="BI8" t="str">
            <v>Q3</v>
          </cell>
          <cell r="BJ8" t="str">
            <v>Q4</v>
          </cell>
        </row>
        <row r="9">
          <cell r="A9" t="str">
            <v>Asia Pacific Fibre Cement</v>
          </cell>
          <cell r="B9">
            <v>598.79999999999995</v>
          </cell>
          <cell r="C9">
            <v>568.70000000000005</v>
          </cell>
          <cell r="D9">
            <v>567.20000000000005</v>
          </cell>
          <cell r="E9">
            <v>552.29999999999995</v>
          </cell>
          <cell r="F9">
            <v>2181.3000000000002</v>
          </cell>
          <cell r="G9">
            <v>91.3</v>
          </cell>
          <cell r="H9">
            <v>571.4</v>
          </cell>
          <cell r="I9">
            <v>536.4</v>
          </cell>
          <cell r="J9">
            <v>520</v>
          </cell>
          <cell r="K9">
            <v>2203.9</v>
          </cell>
          <cell r="L9">
            <v>74.7</v>
          </cell>
          <cell r="M9">
            <v>83.5</v>
          </cell>
          <cell r="N9">
            <v>80.2</v>
          </cell>
          <cell r="O9">
            <v>82.3</v>
          </cell>
          <cell r="P9">
            <v>320.7</v>
          </cell>
          <cell r="Q9">
            <v>87.4</v>
          </cell>
          <cell r="R9">
            <v>95.5</v>
          </cell>
          <cell r="S9">
            <v>93.4</v>
          </cell>
          <cell r="T9">
            <v>92</v>
          </cell>
          <cell r="U9">
            <v>368.3</v>
          </cell>
          <cell r="V9">
            <v>98.2</v>
          </cell>
          <cell r="W9">
            <v>104.5</v>
          </cell>
          <cell r="X9">
            <v>98.3</v>
          </cell>
          <cell r="Y9">
            <v>101.1</v>
          </cell>
          <cell r="Z9">
            <v>402.1</v>
          </cell>
          <cell r="AA9">
            <v>94.2</v>
          </cell>
          <cell r="AB9">
            <v>102.6</v>
          </cell>
          <cell r="AC9">
            <v>90.6</v>
          </cell>
          <cell r="AD9">
            <v>89.5</v>
          </cell>
          <cell r="AE9">
            <v>376.9</v>
          </cell>
          <cell r="AF9">
            <v>92</v>
          </cell>
          <cell r="AG9">
            <v>93.7</v>
          </cell>
          <cell r="AH9">
            <v>92.3</v>
          </cell>
          <cell r="AI9">
            <v>90.3</v>
          </cell>
          <cell r="AJ9">
            <v>368.3</v>
          </cell>
          <cell r="AK9">
            <v>91.8</v>
          </cell>
          <cell r="AL9">
            <v>100.7</v>
          </cell>
          <cell r="AM9">
            <v>100.1</v>
          </cell>
          <cell r="AN9">
            <v>98.2</v>
          </cell>
          <cell r="AO9">
            <v>390.8</v>
          </cell>
          <cell r="AP9">
            <v>98</v>
          </cell>
          <cell r="AQ9">
            <v>-0.10760376700383678</v>
          </cell>
          <cell r="AR9">
            <v>-9.5867768595041314E-2</v>
          </cell>
          <cell r="AS9">
            <v>-0.18766756032171583</v>
          </cell>
          <cell r="AT9">
            <v>-0.10772811918063319</v>
          </cell>
          <cell r="AU9">
            <v>-0.19323334495988831</v>
          </cell>
          <cell r="AV9">
            <v>-0.17021692397889387</v>
          </cell>
          <cell r="AW9">
            <v>-0.27650822669104203</v>
          </cell>
          <cell r="AX9">
            <v>-0.22543792840822563</v>
          </cell>
          <cell r="AY9">
            <v>-0.21272044245017208</v>
          </cell>
          <cell r="AZ9">
            <v>-1</v>
          </cell>
          <cell r="BA9">
            <v>-1</v>
          </cell>
          <cell r="BB9">
            <v>-1</v>
          </cell>
          <cell r="BC9">
            <v>-1</v>
          </cell>
          <cell r="BD9">
            <v>1.3599169458462579</v>
          </cell>
          <cell r="BE9">
            <v>-0.43039884214312896</v>
          </cell>
          <cell r="BH9" t="str">
            <v>Volumes</v>
          </cell>
          <cell r="BI9">
            <v>-0.27650822669104203</v>
          </cell>
          <cell r="BJ9">
            <v>-0.22543792840822563</v>
          </cell>
        </row>
        <row r="10">
          <cell r="A10" t="str">
            <v>Australia and New Zealland Pacific Fibre Cement</v>
          </cell>
          <cell r="B10">
            <v>68.900000000000006</v>
          </cell>
          <cell r="C10">
            <v>74.2</v>
          </cell>
          <cell r="D10">
            <v>75.900000000000006</v>
          </cell>
          <cell r="E10">
            <v>67.8</v>
          </cell>
          <cell r="F10">
            <v>286.8</v>
          </cell>
          <cell r="G10">
            <v>77.2</v>
          </cell>
          <cell r="H10">
            <v>65.599999999999994</v>
          </cell>
          <cell r="I10">
            <v>58.2</v>
          </cell>
          <cell r="J10">
            <v>54.8</v>
          </cell>
          <cell r="K10">
            <v>255.8</v>
          </cell>
          <cell r="L10">
            <v>59.599999999999994</v>
          </cell>
          <cell r="M10">
            <v>65.600000000000009</v>
          </cell>
          <cell r="N10">
            <v>67.400000000000006</v>
          </cell>
          <cell r="O10">
            <v>63.300000000000004</v>
          </cell>
          <cell r="P10">
            <v>255.90000000000003</v>
          </cell>
          <cell r="Q10">
            <v>70.099999999999994</v>
          </cell>
          <cell r="R10">
            <v>79.599999999999994</v>
          </cell>
          <cell r="S10">
            <v>76.399999999999991</v>
          </cell>
          <cell r="T10">
            <v>72.600000000000009</v>
          </cell>
          <cell r="U10">
            <v>298.7</v>
          </cell>
          <cell r="V10">
            <v>74.3</v>
          </cell>
          <cell r="W10">
            <v>78.2</v>
          </cell>
          <cell r="X10">
            <v>77.099999999999994</v>
          </cell>
          <cell r="Y10">
            <v>73.400000000000006</v>
          </cell>
          <cell r="Z10">
            <v>303</v>
          </cell>
          <cell r="AA10">
            <v>73.099999999999994</v>
          </cell>
          <cell r="AB10">
            <v>77.7</v>
          </cell>
          <cell r="AC10">
            <v>68.2</v>
          </cell>
          <cell r="AD10">
            <v>64.400000000000006</v>
          </cell>
          <cell r="AE10">
            <v>283.39999999999998</v>
          </cell>
          <cell r="AF10">
            <v>92</v>
          </cell>
          <cell r="AG10">
            <v>93.7</v>
          </cell>
          <cell r="AH10">
            <v>92.3</v>
          </cell>
          <cell r="AI10">
            <v>90.3</v>
          </cell>
          <cell r="AJ10">
            <v>368.3</v>
          </cell>
          <cell r="AK10">
            <v>91.8</v>
          </cell>
          <cell r="AL10">
            <v>100.7</v>
          </cell>
          <cell r="AM10">
            <v>100.1</v>
          </cell>
          <cell r="AN10">
            <v>98.2</v>
          </cell>
          <cell r="AO10">
            <v>390.8</v>
          </cell>
          <cell r="AP10">
            <v>98</v>
          </cell>
          <cell r="AQ10">
            <v>104.5</v>
          </cell>
          <cell r="AR10">
            <v>100.4</v>
          </cell>
          <cell r="AS10" t="e">
            <v>#REF!</v>
          </cell>
          <cell r="AT10" t="e">
            <v>#REF!</v>
          </cell>
          <cell r="AU10">
            <v>101.9</v>
          </cell>
          <cell r="AV10">
            <v>102</v>
          </cell>
          <cell r="AW10">
            <v>97.5</v>
          </cell>
          <cell r="AX10">
            <v>89.200000000000045</v>
          </cell>
          <cell r="AY10">
            <v>390.6</v>
          </cell>
          <cell r="BD10">
            <v>371.1306871784127</v>
          </cell>
          <cell r="BH10" t="str">
            <v>Starts (3 month lag)</v>
          </cell>
          <cell r="BI10">
            <v>-0.32500000000000001</v>
          </cell>
          <cell r="BJ10">
            <v>-0.43</v>
          </cell>
        </row>
        <row r="11">
          <cell r="A11" t="str">
            <v>Australia</v>
          </cell>
          <cell r="B11">
            <v>68.900000000000006</v>
          </cell>
          <cell r="C11">
            <v>74.2</v>
          </cell>
          <cell r="D11">
            <v>75.900000000000006</v>
          </cell>
          <cell r="E11">
            <v>58.3</v>
          </cell>
          <cell r="F11">
            <v>286.8</v>
          </cell>
          <cell r="G11">
            <v>68.099999999999994</v>
          </cell>
          <cell r="H11">
            <v>56.1</v>
          </cell>
          <cell r="I11">
            <v>48.5</v>
          </cell>
          <cell r="J11">
            <v>46.6</v>
          </cell>
          <cell r="K11">
            <v>219.29999999999998</v>
          </cell>
          <cell r="L11">
            <v>50.9</v>
          </cell>
          <cell r="M11">
            <v>56.2</v>
          </cell>
          <cell r="N11">
            <v>57.7</v>
          </cell>
          <cell r="O11">
            <v>54.7</v>
          </cell>
          <cell r="P11">
            <v>219.5</v>
          </cell>
          <cell r="Q11">
            <v>59.5</v>
          </cell>
          <cell r="R11">
            <v>68.099999999999994</v>
          </cell>
          <cell r="S11">
            <v>65.099999999999994</v>
          </cell>
          <cell r="T11">
            <v>61.7</v>
          </cell>
          <cell r="U11">
            <v>254.39999999999998</v>
          </cell>
          <cell r="V11">
            <v>63.4</v>
          </cell>
          <cell r="W11">
            <v>78.2</v>
          </cell>
          <cell r="X11">
            <v>77.099999999999994</v>
          </cell>
          <cell r="Y11">
            <v>73.400000000000006</v>
          </cell>
          <cell r="Z11">
            <v>303</v>
          </cell>
          <cell r="AA11">
            <v>73.099999999999994</v>
          </cell>
          <cell r="AB11">
            <v>77.7</v>
          </cell>
          <cell r="AC11">
            <v>68.2</v>
          </cell>
          <cell r="AD11">
            <v>64.400000000000006</v>
          </cell>
          <cell r="AE11">
            <v>283.39999999999998</v>
          </cell>
          <cell r="AS11">
            <v>-2.9531568228105987E-2</v>
          </cell>
          <cell r="AU11">
            <v>3.9795918367347083E-2</v>
          </cell>
          <cell r="AV11">
            <v>-2.3923444976076569E-2</v>
          </cell>
          <cell r="AW11">
            <v>-2.8884462151394508E-2</v>
          </cell>
          <cell r="AX11">
            <v>-6.4008394543546232E-2</v>
          </cell>
          <cell r="AZ11">
            <v>-1</v>
          </cell>
          <cell r="BA11">
            <v>-1</v>
          </cell>
          <cell r="BB11">
            <v>-1</v>
          </cell>
          <cell r="BC11">
            <v>-1</v>
          </cell>
          <cell r="BH11" t="str">
            <v>Penetration</v>
          </cell>
          <cell r="BI11">
            <v>0</v>
          </cell>
          <cell r="BJ11">
            <v>0</v>
          </cell>
        </row>
        <row r="12">
          <cell r="A12" t="str">
            <v>New Zealand</v>
          </cell>
          <cell r="E12">
            <v>9.5</v>
          </cell>
          <cell r="G12">
            <v>9.1000000000000085</v>
          </cell>
          <cell r="H12">
            <v>9.4999999999999929</v>
          </cell>
          <cell r="I12">
            <v>9.7000000000000028</v>
          </cell>
          <cell r="J12">
            <v>8.1999999999999957</v>
          </cell>
          <cell r="K12">
            <v>36.5</v>
          </cell>
          <cell r="L12">
            <v>8.6999999999999993</v>
          </cell>
          <cell r="M12">
            <v>9.4</v>
          </cell>
          <cell r="N12">
            <v>9.6999999999999993</v>
          </cell>
          <cell r="O12">
            <v>8.6</v>
          </cell>
          <cell r="P12">
            <v>36.4</v>
          </cell>
          <cell r="Q12">
            <v>10.6</v>
          </cell>
          <cell r="R12">
            <v>11.5</v>
          </cell>
          <cell r="S12">
            <v>11.3</v>
          </cell>
          <cell r="T12">
            <v>10.9</v>
          </cell>
          <cell r="U12">
            <v>44.300000000000004</v>
          </cell>
          <cell r="V12">
            <v>10.9</v>
          </cell>
          <cell r="BH12" t="str">
            <v>Exposure</v>
          </cell>
          <cell r="BI12">
            <v>0.45</v>
          </cell>
          <cell r="BJ12">
            <v>0.4</v>
          </cell>
        </row>
        <row r="13">
          <cell r="A13" t="str">
            <v>Philippine Fibre Cement</v>
          </cell>
          <cell r="B13">
            <v>10.9</v>
          </cell>
          <cell r="C13">
            <v>10</v>
          </cell>
          <cell r="D13">
            <v>10.6</v>
          </cell>
          <cell r="E13">
            <v>15.5</v>
          </cell>
          <cell r="F13">
            <v>47</v>
          </cell>
          <cell r="G13">
            <v>14.1</v>
          </cell>
          <cell r="H13">
            <v>14.6</v>
          </cell>
          <cell r="I13">
            <v>16.5</v>
          </cell>
          <cell r="J13">
            <v>17.7</v>
          </cell>
          <cell r="K13">
            <v>62.9</v>
          </cell>
          <cell r="L13">
            <v>15.1</v>
          </cell>
          <cell r="M13">
            <v>18</v>
          </cell>
          <cell r="N13">
            <v>12.8</v>
          </cell>
          <cell r="O13">
            <v>19</v>
          </cell>
          <cell r="P13">
            <v>64.900000000000006</v>
          </cell>
          <cell r="Q13">
            <v>17.3</v>
          </cell>
          <cell r="R13">
            <v>16.100000000000001</v>
          </cell>
          <cell r="S13">
            <v>16.8</v>
          </cell>
          <cell r="T13">
            <v>19.5</v>
          </cell>
          <cell r="U13">
            <v>69.7</v>
          </cell>
          <cell r="V13">
            <v>23.8</v>
          </cell>
          <cell r="W13">
            <v>26.4</v>
          </cell>
          <cell r="X13">
            <v>21.1</v>
          </cell>
          <cell r="Y13">
            <v>27.8</v>
          </cell>
          <cell r="Z13">
            <v>99.100000000000009</v>
          </cell>
          <cell r="AA13">
            <v>21.100000000000009</v>
          </cell>
          <cell r="AB13">
            <v>24.899999999999991</v>
          </cell>
          <cell r="AC13">
            <v>22.5</v>
          </cell>
          <cell r="AD13">
            <v>22.5</v>
          </cell>
          <cell r="AE13">
            <v>21.1</v>
          </cell>
          <cell r="BH13" t="str">
            <v>Total New Dwelling Demand</v>
          </cell>
          <cell r="BI13">
            <v>-0.14625000000000002</v>
          </cell>
          <cell r="BJ13">
            <v>-0.17200000000000001</v>
          </cell>
        </row>
        <row r="14">
          <cell r="A14" t="str">
            <v>Total Volumes</v>
          </cell>
          <cell r="B14">
            <v>863.89999999999986</v>
          </cell>
          <cell r="C14">
            <v>836.00000000000011</v>
          </cell>
          <cell r="D14">
            <v>822.80000000000007</v>
          </cell>
          <cell r="E14">
            <v>890.79999999999984</v>
          </cell>
          <cell r="F14">
            <v>3240.0000000000005</v>
          </cell>
          <cell r="G14">
            <v>1059.8999999999996</v>
          </cell>
          <cell r="H14">
            <v>940.7</v>
          </cell>
          <cell r="I14">
            <v>874.2</v>
          </cell>
          <cell r="J14">
            <v>849.2</v>
          </cell>
          <cell r="K14">
            <v>3628.5000000000005</v>
          </cell>
          <cell r="L14">
            <v>861.40000000000009</v>
          </cell>
          <cell r="M14">
            <v>956.7</v>
          </cell>
          <cell r="N14">
            <v>835.8</v>
          </cell>
          <cell r="O14">
            <v>493.1</v>
          </cell>
          <cell r="P14">
            <v>3578.1</v>
          </cell>
          <cell r="Q14">
            <v>584.70000000000005</v>
          </cell>
          <cell r="R14">
            <v>608.5</v>
          </cell>
          <cell r="S14">
            <v>561.19999999999993</v>
          </cell>
          <cell r="T14">
            <v>554.6</v>
          </cell>
          <cell r="U14">
            <v>2309</v>
          </cell>
          <cell r="V14">
            <v>658.09999999999991</v>
          </cell>
          <cell r="W14">
            <v>599.6</v>
          </cell>
          <cell r="X14">
            <v>554.80000000000007</v>
          </cell>
          <cell r="Y14">
            <v>585.9</v>
          </cell>
          <cell r="Z14">
            <v>2324.1</v>
          </cell>
          <cell r="AA14">
            <v>679.06435232602018</v>
          </cell>
          <cell r="AB14">
            <v>665.14780335291903</v>
          </cell>
          <cell r="AC14">
            <v>613.9330871651124</v>
          </cell>
          <cell r="AD14">
            <v>649.25475715594848</v>
          </cell>
          <cell r="AE14">
            <v>2536.5</v>
          </cell>
          <cell r="AF14">
            <v>615.6397837639729</v>
          </cell>
          <cell r="AG14">
            <v>650.75508521165477</v>
          </cell>
          <cell r="AH14">
            <v>620.04166208539482</v>
          </cell>
          <cell r="AI14">
            <v>665.66346893897742</v>
          </cell>
          <cell r="AJ14">
            <v>2551.1</v>
          </cell>
          <cell r="AK14">
            <v>697.78198324022344</v>
          </cell>
          <cell r="AL14">
            <v>674.3669459962756</v>
          </cell>
          <cell r="AM14">
            <v>584.32532588454376</v>
          </cell>
          <cell r="AN14">
            <v>583.32574487895715</v>
          </cell>
          <cell r="AO14">
            <v>2538.8000000000002</v>
          </cell>
          <cell r="AP14">
            <v>671.4</v>
          </cell>
          <cell r="AQ14">
            <v>0</v>
          </cell>
          <cell r="AR14">
            <v>0</v>
          </cell>
          <cell r="AS14" t="e">
            <v>#REF!</v>
          </cell>
          <cell r="AT14" t="e">
            <v>#REF!</v>
          </cell>
          <cell r="BH14" t="str">
            <v>R&amp;R</v>
          </cell>
          <cell r="BI14">
            <v>-0.23683313943825818</v>
          </cell>
          <cell r="BJ14">
            <v>-8.9063214013709369E-2</v>
          </cell>
        </row>
        <row r="15">
          <cell r="A15" t="str">
            <v>Total Volumes</v>
          </cell>
          <cell r="B15">
            <v>863.89999999999986</v>
          </cell>
          <cell r="C15">
            <v>836.00000000000011</v>
          </cell>
          <cell r="D15">
            <v>822.80000000000007</v>
          </cell>
          <cell r="E15">
            <v>890.79999999999984</v>
          </cell>
          <cell r="F15">
            <v>3240.0000000000005</v>
          </cell>
          <cell r="G15">
            <v>1059.8999999999996</v>
          </cell>
          <cell r="H15">
            <v>940.7</v>
          </cell>
          <cell r="I15">
            <v>874.2</v>
          </cell>
          <cell r="J15">
            <v>849.2</v>
          </cell>
          <cell r="K15">
            <v>3628.5000000000005</v>
          </cell>
          <cell r="L15">
            <v>861.40000000000009</v>
          </cell>
          <cell r="M15">
            <v>956.7</v>
          </cell>
          <cell r="N15">
            <v>835.8</v>
          </cell>
          <cell r="O15">
            <v>493.1</v>
          </cell>
          <cell r="P15">
            <v>3578.1</v>
          </cell>
          <cell r="Q15">
            <v>584.70000000000005</v>
          </cell>
          <cell r="R15">
            <v>608.5</v>
          </cell>
          <cell r="S15">
            <v>561.19999999999993</v>
          </cell>
          <cell r="T15">
            <v>554.6</v>
          </cell>
          <cell r="U15">
            <v>2309</v>
          </cell>
          <cell r="V15">
            <v>658.09999999999991</v>
          </cell>
          <cell r="W15">
            <v>599.6</v>
          </cell>
          <cell r="X15">
            <v>554.80000000000007</v>
          </cell>
          <cell r="Y15">
            <v>585.9</v>
          </cell>
          <cell r="Z15">
            <v>2324.1</v>
          </cell>
          <cell r="AA15">
            <v>679.06435232602018</v>
          </cell>
          <cell r="AB15">
            <v>665.14780335291903</v>
          </cell>
          <cell r="AC15">
            <v>613.9330871651124</v>
          </cell>
          <cell r="AD15">
            <v>649.25475715594848</v>
          </cell>
          <cell r="AE15">
            <v>2536.5</v>
          </cell>
          <cell r="AF15">
            <v>615.6397837639729</v>
          </cell>
          <cell r="AG15">
            <v>650.75508521165477</v>
          </cell>
          <cell r="AH15">
            <v>620.04166208539482</v>
          </cell>
          <cell r="AI15">
            <v>665.66346893897742</v>
          </cell>
          <cell r="AJ15">
            <v>2551.1</v>
          </cell>
          <cell r="AK15">
            <v>697.5</v>
          </cell>
          <cell r="AL15">
            <v>674.1</v>
          </cell>
          <cell r="AM15">
            <v>584.1</v>
          </cell>
          <cell r="AN15">
            <v>582.94315771170227</v>
          </cell>
          <cell r="AO15">
            <v>2538.7840571742718</v>
          </cell>
          <cell r="AP15">
            <v>671.34667327059594</v>
          </cell>
          <cell r="AQ15">
            <v>616.09239623299618</v>
          </cell>
          <cell r="AR15">
            <v>537.90413223140501</v>
          </cell>
          <cell r="AS15">
            <v>488.98280087145019</v>
          </cell>
          <cell r="AT15">
            <v>2314.6922718808191</v>
          </cell>
          <cell r="AU15">
            <v>564.5</v>
          </cell>
          <cell r="AV15">
            <v>526.6</v>
          </cell>
          <cell r="AW15">
            <v>414.1</v>
          </cell>
          <cell r="AX15">
            <v>394.29999999999995</v>
          </cell>
          <cell r="AY15">
            <v>1899.2872795575499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1464.1881832727379</v>
          </cell>
          <cell r="BH15" t="str">
            <v>Penetration</v>
          </cell>
          <cell r="BI15">
            <v>0</v>
          </cell>
          <cell r="BJ15">
            <v>0</v>
          </cell>
        </row>
        <row r="16">
          <cell r="A16" t="str">
            <v>Average Prices</v>
          </cell>
          <cell r="BH16" t="str">
            <v>Exposure</v>
          </cell>
          <cell r="BI16">
            <v>0.55000000000000004</v>
          </cell>
          <cell r="BJ16">
            <v>0.6</v>
          </cell>
        </row>
        <row r="17">
          <cell r="A17" t="str">
            <v>USA Fibre Cement (US$)</v>
          </cell>
          <cell r="B17">
            <v>421</v>
          </cell>
          <cell r="C17">
            <v>428</v>
          </cell>
          <cell r="D17">
            <v>430</v>
          </cell>
          <cell r="E17">
            <v>434</v>
          </cell>
          <cell r="F17">
            <v>428</v>
          </cell>
          <cell r="G17">
            <v>428</v>
          </cell>
          <cell r="H17">
            <v>438</v>
          </cell>
          <cell r="I17">
            <v>443</v>
          </cell>
          <cell r="J17">
            <v>443</v>
          </cell>
          <cell r="K17">
            <v>438</v>
          </cell>
          <cell r="L17">
            <v>456</v>
          </cell>
          <cell r="M17">
            <v>452</v>
          </cell>
          <cell r="N17">
            <v>451</v>
          </cell>
          <cell r="O17">
            <v>442</v>
          </cell>
          <cell r="P17">
            <v>450.25</v>
          </cell>
          <cell r="Q17">
            <v>449</v>
          </cell>
          <cell r="R17">
            <v>458</v>
          </cell>
          <cell r="S17">
            <v>491</v>
          </cell>
          <cell r="T17">
            <v>491</v>
          </cell>
          <cell r="U17">
            <v>472.25</v>
          </cell>
          <cell r="V17">
            <v>482</v>
          </cell>
          <cell r="W17">
            <v>490</v>
          </cell>
          <cell r="X17">
            <v>489</v>
          </cell>
          <cell r="Y17">
            <v>483</v>
          </cell>
          <cell r="Z17">
            <v>486</v>
          </cell>
          <cell r="AA17">
            <v>491</v>
          </cell>
          <cell r="AB17">
            <v>503</v>
          </cell>
          <cell r="AC17">
            <v>509</v>
          </cell>
          <cell r="AD17">
            <v>523</v>
          </cell>
          <cell r="AE17">
            <v>506.5</v>
          </cell>
          <cell r="AF17">
            <v>549</v>
          </cell>
          <cell r="AG17">
            <v>552</v>
          </cell>
          <cell r="AH17">
            <v>565</v>
          </cell>
          <cell r="AI17">
            <v>566</v>
          </cell>
          <cell r="AJ17">
            <v>558</v>
          </cell>
          <cell r="AK17">
            <v>576</v>
          </cell>
          <cell r="AL17">
            <v>591</v>
          </cell>
          <cell r="AM17">
            <v>588</v>
          </cell>
          <cell r="AN17">
            <v>598</v>
          </cell>
          <cell r="AO17">
            <v>598</v>
          </cell>
          <cell r="AP17">
            <v>604</v>
          </cell>
          <cell r="AS17" t="e">
            <v>#REF!</v>
          </cell>
          <cell r="AT17" t="e">
            <v>#REF!</v>
          </cell>
          <cell r="BH17" t="str">
            <v>Total R&amp;R Demand</v>
          </cell>
          <cell r="BI17">
            <v>-0.13025822669104201</v>
          </cell>
          <cell r="BJ17">
            <v>-5.3437928408225616E-2</v>
          </cell>
        </row>
        <row r="18">
          <cell r="A18" t="str">
            <v>Gypsum (US$)</v>
          </cell>
          <cell r="B18">
            <v>153</v>
          </cell>
          <cell r="C18">
            <v>137</v>
          </cell>
          <cell r="D18">
            <v>146</v>
          </cell>
          <cell r="E18">
            <v>138</v>
          </cell>
          <cell r="F18">
            <v>138</v>
          </cell>
          <cell r="G18">
            <v>149</v>
          </cell>
          <cell r="H18">
            <v>100</v>
          </cell>
          <cell r="I18">
            <v>82</v>
          </cell>
          <cell r="J18">
            <v>78</v>
          </cell>
          <cell r="K18">
            <v>96</v>
          </cell>
          <cell r="L18">
            <v>64</v>
          </cell>
          <cell r="M18">
            <v>74</v>
          </cell>
          <cell r="N18">
            <v>84</v>
          </cell>
          <cell r="O18">
            <v>442</v>
          </cell>
          <cell r="P18">
            <v>74</v>
          </cell>
          <cell r="Q18">
            <v>449</v>
          </cell>
          <cell r="R18">
            <v>458</v>
          </cell>
          <cell r="S18">
            <v>491</v>
          </cell>
          <cell r="T18">
            <v>491</v>
          </cell>
          <cell r="U18">
            <v>472.25</v>
          </cell>
          <cell r="V18">
            <v>482</v>
          </cell>
          <cell r="W18">
            <v>490</v>
          </cell>
          <cell r="X18">
            <v>489</v>
          </cell>
          <cell r="Y18">
            <v>483</v>
          </cell>
          <cell r="Z18">
            <v>486</v>
          </cell>
          <cell r="AA18">
            <v>491</v>
          </cell>
          <cell r="AB18">
            <v>503</v>
          </cell>
          <cell r="AC18">
            <v>509</v>
          </cell>
          <cell r="AD18">
            <v>523</v>
          </cell>
          <cell r="AE18">
            <v>506.5</v>
          </cell>
          <cell r="AF18">
            <v>549</v>
          </cell>
          <cell r="AG18">
            <v>552</v>
          </cell>
          <cell r="AH18">
            <v>565</v>
          </cell>
          <cell r="AI18">
            <v>566</v>
          </cell>
          <cell r="AJ18">
            <v>558</v>
          </cell>
          <cell r="AK18">
            <v>576</v>
          </cell>
          <cell r="AL18">
            <v>591</v>
          </cell>
          <cell r="AM18">
            <v>588</v>
          </cell>
          <cell r="AN18">
            <v>598</v>
          </cell>
          <cell r="AO18">
            <v>598</v>
          </cell>
          <cell r="AP18">
            <v>604</v>
          </cell>
          <cell r="AQ18">
            <v>602</v>
          </cell>
          <cell r="AR18">
            <v>590</v>
          </cell>
          <cell r="AS18">
            <v>590</v>
          </cell>
          <cell r="AT18">
            <v>597</v>
          </cell>
          <cell r="AU18">
            <v>597</v>
          </cell>
          <cell r="AV18">
            <v>606</v>
          </cell>
          <cell r="AW18">
            <v>607</v>
          </cell>
          <cell r="AX18">
            <v>667.46640445755452</v>
          </cell>
          <cell r="AY18">
            <v>615.87911723772277</v>
          </cell>
          <cell r="BD18">
            <v>629.79200678118696</v>
          </cell>
        </row>
        <row r="19">
          <cell r="A19" t="str">
            <v>Asia Pacific Fibre Cement (A$)</v>
          </cell>
          <cell r="B19">
            <v>153</v>
          </cell>
          <cell r="C19">
            <v>137</v>
          </cell>
          <cell r="D19">
            <v>146</v>
          </cell>
          <cell r="E19">
            <v>138</v>
          </cell>
          <cell r="F19">
            <v>138</v>
          </cell>
          <cell r="G19">
            <v>149</v>
          </cell>
          <cell r="H19">
            <v>100</v>
          </cell>
          <cell r="I19">
            <v>82</v>
          </cell>
          <cell r="J19">
            <v>78</v>
          </cell>
          <cell r="K19">
            <v>96</v>
          </cell>
          <cell r="L19">
            <v>852</v>
          </cell>
          <cell r="M19">
            <v>851</v>
          </cell>
          <cell r="N19">
            <v>860</v>
          </cell>
          <cell r="O19">
            <v>879</v>
          </cell>
          <cell r="P19">
            <v>860.5</v>
          </cell>
          <cell r="Q19">
            <v>843</v>
          </cell>
          <cell r="R19">
            <v>860</v>
          </cell>
          <cell r="S19">
            <v>851</v>
          </cell>
          <cell r="T19">
            <v>816</v>
          </cell>
          <cell r="U19">
            <v>842.5</v>
          </cell>
          <cell r="V19">
            <v>796</v>
          </cell>
          <cell r="W19">
            <v>795</v>
          </cell>
          <cell r="X19">
            <v>800</v>
          </cell>
          <cell r="Y19">
            <v>761</v>
          </cell>
          <cell r="Z19">
            <v>788</v>
          </cell>
          <cell r="AA19">
            <v>851</v>
          </cell>
          <cell r="AB19">
            <v>850</v>
          </cell>
          <cell r="AC19">
            <v>851</v>
          </cell>
          <cell r="AD19">
            <v>834</v>
          </cell>
          <cell r="AE19">
            <v>846.5</v>
          </cell>
          <cell r="AF19">
            <v>873</v>
          </cell>
          <cell r="AG19">
            <v>891</v>
          </cell>
          <cell r="AH19">
            <v>865</v>
          </cell>
          <cell r="AI19">
            <v>859</v>
          </cell>
          <cell r="AJ19">
            <v>872</v>
          </cell>
          <cell r="AK19">
            <v>862</v>
          </cell>
          <cell r="AL19">
            <v>837</v>
          </cell>
          <cell r="AM19">
            <v>836</v>
          </cell>
          <cell r="AN19">
            <v>833</v>
          </cell>
          <cell r="AO19">
            <v>833</v>
          </cell>
          <cell r="AP19">
            <v>873</v>
          </cell>
          <cell r="AQ19">
            <v>1.8612521150592309E-2</v>
          </cell>
          <cell r="AR19">
            <v>3.4013605442175798E-3</v>
          </cell>
          <cell r="AS19">
            <v>-1.3377926421404673E-2</v>
          </cell>
          <cell r="AT19">
            <v>-1.6722408026755842E-3</v>
          </cell>
          <cell r="AU19">
            <v>-1.1589403973509937E-2</v>
          </cell>
          <cell r="AV19">
            <v>6.6445182724252927E-3</v>
          </cell>
          <cell r="AW19">
            <v>2.8813559322033999E-2</v>
          </cell>
          <cell r="AX19">
            <v>0.13129899060602468</v>
          </cell>
          <cell r="AY19">
            <v>3.1623311955984557E-2</v>
          </cell>
          <cell r="AZ19">
            <v>-1</v>
          </cell>
          <cell r="BA19">
            <v>-1</v>
          </cell>
          <cell r="BB19">
            <v>-1</v>
          </cell>
          <cell r="BC19">
            <v>-1</v>
          </cell>
          <cell r="BD19">
            <v>5.4927984558102105E-2</v>
          </cell>
        </row>
        <row r="20">
          <cell r="A20" t="str">
            <v>Australia &amp; New Zealand (A$)</v>
          </cell>
          <cell r="B20">
            <v>890</v>
          </cell>
          <cell r="C20">
            <v>949</v>
          </cell>
          <cell r="D20">
            <v>925</v>
          </cell>
          <cell r="E20">
            <v>938</v>
          </cell>
          <cell r="F20">
            <v>926</v>
          </cell>
          <cell r="G20">
            <v>944</v>
          </cell>
          <cell r="H20">
            <v>931</v>
          </cell>
          <cell r="I20">
            <v>954</v>
          </cell>
          <cell r="J20">
            <v>956</v>
          </cell>
          <cell r="K20">
            <v>946</v>
          </cell>
          <cell r="L20">
            <v>1057.0469798657721</v>
          </cell>
          <cell r="M20">
            <v>851</v>
          </cell>
          <cell r="N20">
            <v>860</v>
          </cell>
          <cell r="O20">
            <v>879</v>
          </cell>
          <cell r="P20">
            <v>1057.0469798657721</v>
          </cell>
          <cell r="Q20">
            <v>843</v>
          </cell>
          <cell r="R20">
            <v>860</v>
          </cell>
          <cell r="S20">
            <v>851</v>
          </cell>
          <cell r="T20">
            <v>816</v>
          </cell>
          <cell r="U20">
            <v>842.5</v>
          </cell>
          <cell r="V20">
            <v>796</v>
          </cell>
          <cell r="W20">
            <v>795</v>
          </cell>
          <cell r="X20">
            <v>800</v>
          </cell>
          <cell r="Y20">
            <v>761</v>
          </cell>
          <cell r="Z20">
            <v>788</v>
          </cell>
          <cell r="AA20">
            <v>851</v>
          </cell>
          <cell r="AB20">
            <v>850</v>
          </cell>
          <cell r="AC20">
            <v>851</v>
          </cell>
          <cell r="AD20">
            <v>834</v>
          </cell>
          <cell r="AE20">
            <v>846.5</v>
          </cell>
          <cell r="AF20">
            <v>873</v>
          </cell>
          <cell r="AG20">
            <v>891</v>
          </cell>
          <cell r="AH20">
            <v>865</v>
          </cell>
          <cell r="AI20">
            <v>859</v>
          </cell>
          <cell r="AJ20">
            <v>872</v>
          </cell>
          <cell r="AK20">
            <v>862</v>
          </cell>
          <cell r="AL20">
            <v>837</v>
          </cell>
          <cell r="AM20">
            <v>836</v>
          </cell>
          <cell r="AN20">
            <v>833</v>
          </cell>
          <cell r="AO20">
            <v>833</v>
          </cell>
          <cell r="AP20">
            <v>873</v>
          </cell>
          <cell r="AQ20">
            <v>859</v>
          </cell>
          <cell r="AR20">
            <v>866</v>
          </cell>
          <cell r="AS20" t="e">
            <v>#REF!</v>
          </cell>
          <cell r="AT20" t="e">
            <v>#REF!</v>
          </cell>
          <cell r="AU20">
            <v>867</v>
          </cell>
          <cell r="AV20">
            <v>869</v>
          </cell>
          <cell r="AW20">
            <v>897</v>
          </cell>
          <cell r="AX20">
            <v>905.66727125810564</v>
          </cell>
          <cell r="AY20">
            <v>883.8410665545905</v>
          </cell>
          <cell r="BD20">
            <v>883.98636563771879</v>
          </cell>
          <cell r="BE20">
            <v>220.92044107200002</v>
          </cell>
        </row>
        <row r="21">
          <cell r="A21" t="str">
            <v>Australia (A$)</v>
          </cell>
          <cell r="B21">
            <v>890</v>
          </cell>
          <cell r="C21">
            <v>949</v>
          </cell>
          <cell r="D21">
            <v>925</v>
          </cell>
          <cell r="E21">
            <v>910.80617495711851</v>
          </cell>
          <cell r="F21">
            <v>926</v>
          </cell>
          <cell r="G21">
            <v>916.29955947136568</v>
          </cell>
          <cell r="H21">
            <v>896.61319073083769</v>
          </cell>
          <cell r="I21">
            <v>921.64948453608258</v>
          </cell>
          <cell r="J21">
            <v>912.01716738197422</v>
          </cell>
          <cell r="K21">
            <v>911.64485053006501</v>
          </cell>
          <cell r="L21">
            <v>889.98035363457757</v>
          </cell>
          <cell r="P21">
            <v>889.98035363457757</v>
          </cell>
          <cell r="AP21">
            <v>1.2761020881670637E-2</v>
          </cell>
          <cell r="AQ21">
            <v>2.6284348864993978E-2</v>
          </cell>
          <cell r="AR21">
            <v>3.5885167464114742E-2</v>
          </cell>
          <cell r="AS21">
            <v>1.8007202881152429E-2</v>
          </cell>
          <cell r="AT21">
            <v>3.4813925570227999E-2</v>
          </cell>
          <cell r="AU21">
            <v>-6.8728522336769515E-3</v>
          </cell>
          <cell r="AV21">
            <v>1.1641443538998875E-2</v>
          </cell>
          <cell r="AW21">
            <v>3.5796766743648956E-2</v>
          </cell>
          <cell r="AX21">
            <v>6.8003857615690722E-2</v>
          </cell>
          <cell r="AY21">
            <v>2.5337664216462219E-2</v>
          </cell>
          <cell r="AZ21">
            <v>-1</v>
          </cell>
          <cell r="BA21">
            <v>-1</v>
          </cell>
          <cell r="BB21">
            <v>-1</v>
          </cell>
          <cell r="BC21">
            <v>-1</v>
          </cell>
          <cell r="BD21">
            <v>1.9592117229202843E-2</v>
          </cell>
          <cell r="BE21">
            <v>216.35794500000003</v>
          </cell>
        </row>
        <row r="22">
          <cell r="A22" t="str">
            <v>New Zealand (NZ$)</v>
          </cell>
          <cell r="E22">
            <v>2357.894736842105</v>
          </cell>
          <cell r="G22">
            <v>2318.6813186813165</v>
          </cell>
          <cell r="H22">
            <v>2357.8947368421068</v>
          </cell>
          <cell r="I22">
            <v>2371.134020618556</v>
          </cell>
          <cell r="J22">
            <v>2414.6341463414647</v>
          </cell>
          <cell r="K22">
            <v>2365.5860556208609</v>
          </cell>
          <cell r="L22">
            <v>2517.2413793103447</v>
          </cell>
          <cell r="P22">
            <v>2517.2413793103447</v>
          </cell>
          <cell r="BE22">
            <v>51.149059103138846</v>
          </cell>
        </row>
        <row r="23">
          <cell r="A23" t="str">
            <v>Philippine Fibre Cement (PHP)</v>
          </cell>
          <cell r="B23">
            <v>11394</v>
          </cell>
          <cell r="C23">
            <v>11580</v>
          </cell>
          <cell r="D23">
            <v>11264</v>
          </cell>
          <cell r="E23">
            <v>12258</v>
          </cell>
          <cell r="F23">
            <v>11689</v>
          </cell>
          <cell r="G23">
            <v>12830</v>
          </cell>
          <cell r="H23">
            <v>13110</v>
          </cell>
          <cell r="I23">
            <v>13024</v>
          </cell>
          <cell r="J23">
            <v>12983</v>
          </cell>
          <cell r="K23">
            <v>12989</v>
          </cell>
          <cell r="L23">
            <v>14245.033112582782</v>
          </cell>
          <cell r="P23">
            <v>14245.033112582782</v>
          </cell>
          <cell r="AX23">
            <v>392.18317639013452</v>
          </cell>
          <cell r="BC23" t="e">
            <v>#DIV/0!</v>
          </cell>
        </row>
        <row r="24">
          <cell r="A24" t="str">
            <v>Philippine Fibre Cement (PHP)</v>
          </cell>
          <cell r="B24">
            <v>11394</v>
          </cell>
          <cell r="C24">
            <v>11580</v>
          </cell>
          <cell r="D24">
            <v>11264</v>
          </cell>
          <cell r="E24">
            <v>12258</v>
          </cell>
          <cell r="F24">
            <v>11689</v>
          </cell>
          <cell r="G24">
            <v>12830</v>
          </cell>
          <cell r="H24">
            <v>13110</v>
          </cell>
          <cell r="I24">
            <v>13024</v>
          </cell>
          <cell r="J24">
            <v>12983</v>
          </cell>
          <cell r="K24">
            <v>12989</v>
          </cell>
          <cell r="L24">
            <v>14245.033112582782</v>
          </cell>
          <cell r="P24">
            <v>14245.033112582782</v>
          </cell>
        </row>
        <row r="25">
          <cell r="A25" t="str">
            <v>Segment Sales</v>
          </cell>
        </row>
        <row r="26">
          <cell r="A26" t="str">
            <v>USA Fibre Cement</v>
          </cell>
          <cell r="F26">
            <v>310.5</v>
          </cell>
          <cell r="K26">
            <v>373</v>
          </cell>
          <cell r="L26">
            <v>111.2</v>
          </cell>
          <cell r="M26">
            <v>114.1</v>
          </cell>
          <cell r="N26">
            <v>102.2</v>
          </cell>
          <cell r="O26">
            <v>117.30000000000001</v>
          </cell>
          <cell r="P26">
            <v>444.8</v>
          </cell>
          <cell r="Q26">
            <v>152.5</v>
          </cell>
          <cell r="R26">
            <v>154.69999999999999</v>
          </cell>
          <cell r="S26">
            <v>146.30000000000001</v>
          </cell>
          <cell r="T26">
            <v>146.20000000000005</v>
          </cell>
          <cell r="U26">
            <v>599.70000000000005</v>
          </cell>
          <cell r="V26">
            <v>186.8</v>
          </cell>
          <cell r="W26">
            <v>191.4</v>
          </cell>
          <cell r="X26">
            <v>175.3</v>
          </cell>
          <cell r="Y26">
            <v>185.10000000000002</v>
          </cell>
          <cell r="Z26">
            <v>738.6</v>
          </cell>
          <cell r="AA26">
            <v>240.7</v>
          </cell>
          <cell r="AB26">
            <v>231</v>
          </cell>
          <cell r="AC26">
            <v>220.3</v>
          </cell>
          <cell r="AD26">
            <v>247.20000000000005</v>
          </cell>
          <cell r="AE26">
            <v>939.2</v>
          </cell>
          <cell r="AF26">
            <v>287.5</v>
          </cell>
          <cell r="AG26">
            <v>307.39999999999998</v>
          </cell>
          <cell r="AH26">
            <v>297.89999999999998</v>
          </cell>
          <cell r="AI26">
            <v>325.60000000000014</v>
          </cell>
          <cell r="AJ26">
            <v>1218.4000000000001</v>
          </cell>
          <cell r="AK26">
            <v>348.9</v>
          </cell>
          <cell r="AL26">
            <v>339</v>
          </cell>
          <cell r="AM26">
            <v>284.5</v>
          </cell>
          <cell r="AN26">
            <v>289.89999999999998</v>
          </cell>
          <cell r="AO26">
            <v>1262.3</v>
          </cell>
          <cell r="AP26">
            <v>346.1</v>
          </cell>
          <cell r="AS26">
            <v>864.63493035210411</v>
          </cell>
          <cell r="AT26">
            <v>1210.7349303521041</v>
          </cell>
        </row>
        <row r="27">
          <cell r="A27" t="str">
            <v>Gypsum</v>
          </cell>
          <cell r="F27">
            <v>310.5</v>
          </cell>
          <cell r="K27">
            <v>373</v>
          </cell>
          <cell r="L27">
            <v>111.2</v>
          </cell>
          <cell r="M27">
            <v>114.1</v>
          </cell>
          <cell r="N27">
            <v>102.2</v>
          </cell>
          <cell r="O27">
            <v>117.30000000000001</v>
          </cell>
          <cell r="P27">
            <v>444.8</v>
          </cell>
          <cell r="Q27">
            <v>152.5</v>
          </cell>
          <cell r="R27">
            <v>154.69999999999999</v>
          </cell>
          <cell r="S27">
            <v>146.30000000000001</v>
          </cell>
          <cell r="T27">
            <v>146.20000000000005</v>
          </cell>
          <cell r="U27">
            <v>599.70000000000005</v>
          </cell>
          <cell r="V27">
            <v>186.8</v>
          </cell>
          <cell r="W27">
            <v>191.4</v>
          </cell>
          <cell r="X27">
            <v>175.3</v>
          </cell>
          <cell r="Y27">
            <v>185.10000000000002</v>
          </cell>
          <cell r="Z27">
            <v>738.6</v>
          </cell>
          <cell r="AA27">
            <v>240.7</v>
          </cell>
          <cell r="AB27">
            <v>231</v>
          </cell>
          <cell r="AC27">
            <v>220.3</v>
          </cell>
          <cell r="AD27">
            <v>247.20000000000005</v>
          </cell>
          <cell r="AE27">
            <v>939.2</v>
          </cell>
          <cell r="AF27">
            <v>287.5</v>
          </cell>
          <cell r="AG27">
            <v>307.39999999999998</v>
          </cell>
          <cell r="AH27">
            <v>297.89999999999998</v>
          </cell>
          <cell r="AI27">
            <v>325.60000000000014</v>
          </cell>
          <cell r="AJ27">
            <v>1218.4000000000001</v>
          </cell>
          <cell r="AK27">
            <v>348.9</v>
          </cell>
          <cell r="AL27">
            <v>339</v>
          </cell>
          <cell r="AM27">
            <v>284.5</v>
          </cell>
          <cell r="AN27">
            <v>289.89999999999998</v>
          </cell>
          <cell r="AO27">
            <v>1262.3</v>
          </cell>
          <cell r="AP27">
            <v>346.1</v>
          </cell>
          <cell r="AQ27">
            <v>308</v>
          </cell>
          <cell r="AR27">
            <v>258.2</v>
          </cell>
          <cell r="AS27">
            <v>232.5</v>
          </cell>
          <cell r="AT27">
            <v>1144.8</v>
          </cell>
          <cell r="AU27">
            <v>281.7</v>
          </cell>
          <cell r="AV27">
            <v>263</v>
          </cell>
          <cell r="AW27">
            <v>195.6</v>
          </cell>
          <cell r="AX27">
            <v>188.99999999999989</v>
          </cell>
          <cell r="AY27">
            <v>929.3</v>
          </cell>
          <cell r="BC27">
            <v>687.54240917008428</v>
          </cell>
          <cell r="BD27">
            <v>687.54240917008428</v>
          </cell>
        </row>
        <row r="28">
          <cell r="A28" t="str">
            <v>Asia Pacific Fibre Cement</v>
          </cell>
          <cell r="F28">
            <v>203.3</v>
          </cell>
          <cell r="K28">
            <v>166.6</v>
          </cell>
          <cell r="L28">
            <v>36.6</v>
          </cell>
          <cell r="M28">
            <v>40.200000000000003</v>
          </cell>
          <cell r="N28">
            <v>41.1</v>
          </cell>
          <cell r="O28">
            <v>39</v>
          </cell>
          <cell r="P28">
            <v>156.9</v>
          </cell>
          <cell r="Q28">
            <v>46.3</v>
          </cell>
          <cell r="R28">
            <v>50.4</v>
          </cell>
          <cell r="S28">
            <v>49.2</v>
          </cell>
          <cell r="T28">
            <v>48.500000000000028</v>
          </cell>
          <cell r="U28">
            <v>194.4</v>
          </cell>
          <cell r="V28">
            <v>50.1</v>
          </cell>
          <cell r="W28">
            <v>54.8</v>
          </cell>
          <cell r="X28">
            <v>55.9</v>
          </cell>
          <cell r="Y28">
            <v>59</v>
          </cell>
          <cell r="Z28">
            <v>219.8</v>
          </cell>
          <cell r="AA28">
            <v>57.3</v>
          </cell>
          <cell r="AB28">
            <v>62.5</v>
          </cell>
          <cell r="AC28">
            <v>58.1</v>
          </cell>
          <cell r="AD28">
            <v>58.199999999999989</v>
          </cell>
          <cell r="AE28">
            <v>236.1</v>
          </cell>
          <cell r="AF28">
            <v>61.7</v>
          </cell>
          <cell r="AG28">
            <v>63.5</v>
          </cell>
          <cell r="AH28">
            <v>59.4</v>
          </cell>
          <cell r="AI28">
            <v>57.200000000000017</v>
          </cell>
          <cell r="AJ28">
            <v>241.8</v>
          </cell>
          <cell r="AK28">
            <v>59.2</v>
          </cell>
          <cell r="AL28">
            <v>63.8</v>
          </cell>
          <cell r="AM28">
            <v>64.400000000000006</v>
          </cell>
          <cell r="AN28">
            <v>64.299999999999983</v>
          </cell>
          <cell r="AO28">
            <v>251.7</v>
          </cell>
          <cell r="AP28">
            <v>71.2</v>
          </cell>
          <cell r="AQ28">
            <v>76.099999999999994</v>
          </cell>
          <cell r="AR28">
            <v>77.5</v>
          </cell>
          <cell r="AS28">
            <v>210.23069916327512</v>
          </cell>
          <cell r="AT28">
            <v>281.43069916327511</v>
          </cell>
          <cell r="AU28">
            <v>83.3</v>
          </cell>
          <cell r="AV28">
            <v>78.900000000000006</v>
          </cell>
          <cell r="AW28">
            <v>58.5</v>
          </cell>
          <cell r="AX28">
            <v>52.600000000000023</v>
          </cell>
          <cell r="AY28">
            <v>273.3</v>
          </cell>
          <cell r="BC28">
            <v>262.45957386837938</v>
          </cell>
          <cell r="BD28">
            <v>262.45957386837938</v>
          </cell>
        </row>
        <row r="29">
          <cell r="A29" t="str">
            <v xml:space="preserve">Other </v>
          </cell>
          <cell r="F29">
            <v>0</v>
          </cell>
          <cell r="K29">
            <v>0</v>
          </cell>
          <cell r="L29">
            <v>0.6</v>
          </cell>
          <cell r="M29">
            <v>0.9</v>
          </cell>
          <cell r="N29">
            <v>1.2</v>
          </cell>
          <cell r="O29">
            <v>1.5</v>
          </cell>
          <cell r="P29">
            <v>4.2</v>
          </cell>
          <cell r="Q29">
            <v>1.4</v>
          </cell>
          <cell r="R29">
            <v>2.5</v>
          </cell>
          <cell r="S29">
            <v>1.9</v>
          </cell>
          <cell r="T29">
            <v>3.8</v>
          </cell>
          <cell r="U29">
            <v>9.6</v>
          </cell>
          <cell r="V29">
            <v>4.5999999999999996</v>
          </cell>
          <cell r="W29">
            <v>5.4</v>
          </cell>
          <cell r="X29">
            <v>6.3</v>
          </cell>
          <cell r="Y29">
            <v>7.1999999999999993</v>
          </cell>
          <cell r="Z29">
            <v>23.5</v>
          </cell>
          <cell r="AA29">
            <v>8.1</v>
          </cell>
          <cell r="AB29">
            <v>7.4</v>
          </cell>
          <cell r="AC29">
            <v>8.6</v>
          </cell>
          <cell r="AD29">
            <v>11</v>
          </cell>
          <cell r="AE29">
            <v>35.1</v>
          </cell>
          <cell r="AF29">
            <v>10.199999999999999</v>
          </cell>
          <cell r="AG29">
            <v>5.7</v>
          </cell>
          <cell r="AH29">
            <v>5.4</v>
          </cell>
          <cell r="AI29">
            <v>7.0000000000000036</v>
          </cell>
          <cell r="AJ29">
            <v>28.3</v>
          </cell>
          <cell r="AK29">
            <v>7.4</v>
          </cell>
          <cell r="AL29">
            <v>8.6</v>
          </cell>
          <cell r="AM29">
            <v>6.2</v>
          </cell>
          <cell r="AN29">
            <v>6.6999999999999993</v>
          </cell>
          <cell r="AO29">
            <v>28.9</v>
          </cell>
          <cell r="AP29">
            <v>7.1</v>
          </cell>
          <cell r="AQ29">
            <v>6</v>
          </cell>
          <cell r="AR29">
            <v>5.7</v>
          </cell>
          <cell r="AS29">
            <v>20.354999999999997</v>
          </cell>
          <cell r="AT29">
            <v>27.454999999999998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</row>
        <row r="30">
          <cell r="A30" t="str">
            <v>General Corporate</v>
          </cell>
          <cell r="F30">
            <v>2</v>
          </cell>
          <cell r="K30">
            <v>1.3</v>
          </cell>
          <cell r="L30">
            <v>0.2</v>
          </cell>
          <cell r="M30">
            <v>0.3</v>
          </cell>
          <cell r="N30">
            <v>0.3</v>
          </cell>
          <cell r="O30">
            <v>0.19999999999999996</v>
          </cell>
          <cell r="P30">
            <v>1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</row>
        <row r="31">
          <cell r="A31" t="str">
            <v>Total Sales</v>
          </cell>
          <cell r="F31">
            <v>515.79999999999995</v>
          </cell>
          <cell r="K31">
            <v>540.9</v>
          </cell>
          <cell r="L31">
            <v>148.6</v>
          </cell>
          <cell r="M31">
            <v>155.50000000000003</v>
          </cell>
          <cell r="N31">
            <v>144.80000000000001</v>
          </cell>
          <cell r="O31">
            <v>158</v>
          </cell>
          <cell r="P31">
            <v>606.90000000000009</v>
          </cell>
          <cell r="Q31">
            <v>200.20000000000002</v>
          </cell>
          <cell r="R31">
            <v>207.6</v>
          </cell>
          <cell r="S31">
            <v>197.4</v>
          </cell>
          <cell r="T31">
            <v>198.50000000000009</v>
          </cell>
          <cell r="U31">
            <v>803.7</v>
          </cell>
          <cell r="V31">
            <v>241.5</v>
          </cell>
          <cell r="W31">
            <v>251.6</v>
          </cell>
          <cell r="X31">
            <v>237.50000000000003</v>
          </cell>
          <cell r="Y31">
            <v>251.3</v>
          </cell>
          <cell r="Z31">
            <v>981.90000000000009</v>
          </cell>
          <cell r="AA31">
            <v>306.10000000000002</v>
          </cell>
          <cell r="AB31">
            <v>300.89999999999998</v>
          </cell>
          <cell r="AC31">
            <v>287.00000000000006</v>
          </cell>
          <cell r="AD31">
            <v>316.40000000000003</v>
          </cell>
          <cell r="AE31">
            <v>1210.3999999999999</v>
          </cell>
          <cell r="AF31">
            <v>359.4</v>
          </cell>
          <cell r="AG31">
            <v>376.59999999999997</v>
          </cell>
          <cell r="AH31">
            <v>362.69999999999993</v>
          </cell>
          <cell r="AI31">
            <v>389.80000000000018</v>
          </cell>
          <cell r="AJ31">
            <v>1488.5</v>
          </cell>
          <cell r="AK31">
            <v>415.49999999999994</v>
          </cell>
          <cell r="AL31">
            <v>411.40000000000003</v>
          </cell>
          <cell r="AM31">
            <v>355.09999999999997</v>
          </cell>
          <cell r="AN31">
            <v>360.89999999999992</v>
          </cell>
          <cell r="AO31">
            <v>1542.9</v>
          </cell>
          <cell r="AP31">
            <v>424.40000000000003</v>
          </cell>
          <cell r="AQ31">
            <v>390.1</v>
          </cell>
          <cell r="AR31">
            <v>341.4</v>
          </cell>
          <cell r="AS31">
            <v>1095.2206295153792</v>
          </cell>
          <cell r="AT31">
            <v>1519.6206295153793</v>
          </cell>
          <cell r="AU31">
            <v>365</v>
          </cell>
          <cell r="AV31">
            <v>341.9</v>
          </cell>
          <cell r="AW31">
            <v>254.1</v>
          </cell>
          <cell r="AX31">
            <v>241.59999999999991</v>
          </cell>
          <cell r="AY31">
            <v>1202.5999999999999</v>
          </cell>
          <cell r="AZ31">
            <v>0</v>
          </cell>
          <cell r="BA31">
            <v>0</v>
          </cell>
          <cell r="BB31">
            <v>0</v>
          </cell>
          <cell r="BC31">
            <v>950.00198303846366</v>
          </cell>
          <cell r="BD31">
            <v>950.00198303846366</v>
          </cell>
        </row>
        <row r="33">
          <cell r="A33" t="str">
            <v>EBITDA</v>
          </cell>
          <cell r="F33">
            <v>79.899999999999991</v>
          </cell>
          <cell r="K33">
            <v>63.3</v>
          </cell>
          <cell r="L33">
            <v>18.200000000000003</v>
          </cell>
          <cell r="M33">
            <v>30.4</v>
          </cell>
          <cell r="N33">
            <v>7.2000000000000037</v>
          </cell>
          <cell r="O33">
            <v>14.399999999999995</v>
          </cell>
          <cell r="P33">
            <v>70.199999999999989</v>
          </cell>
          <cell r="Q33">
            <v>46.29999999999999</v>
          </cell>
          <cell r="R33">
            <v>40.599999999999994</v>
          </cell>
          <cell r="S33">
            <v>37.699999999999989</v>
          </cell>
          <cell r="T33">
            <v>35.1</v>
          </cell>
          <cell r="U33">
            <v>159.69999999999999</v>
          </cell>
          <cell r="V33">
            <v>55.6</v>
          </cell>
          <cell r="W33">
            <v>53.400000000000006</v>
          </cell>
          <cell r="X33">
            <v>51.100000000000009</v>
          </cell>
          <cell r="Y33">
            <v>51.999999999999986</v>
          </cell>
          <cell r="Z33">
            <v>212.1</v>
          </cell>
          <cell r="AA33">
            <v>67.199999999999989</v>
          </cell>
          <cell r="AB33">
            <v>47.099999999999994</v>
          </cell>
          <cell r="AC33">
            <v>42.400000000000006</v>
          </cell>
          <cell r="AD33">
            <v>74.5</v>
          </cell>
          <cell r="AE33">
            <v>231.2</v>
          </cell>
          <cell r="AF33">
            <v>96.3</v>
          </cell>
          <cell r="AG33">
            <v>89.5</v>
          </cell>
          <cell r="AH33">
            <v>75.7</v>
          </cell>
          <cell r="AI33">
            <v>64.500000000000057</v>
          </cell>
          <cell r="AJ33">
            <v>326.00000000000006</v>
          </cell>
          <cell r="AK33">
            <v>79.899999999999991</v>
          </cell>
          <cell r="AL33">
            <v>54.199999999999989</v>
          </cell>
          <cell r="AM33">
            <v>32.1</v>
          </cell>
          <cell r="AN33">
            <v>204.29999999999995</v>
          </cell>
          <cell r="AO33">
            <v>370.49999999999994</v>
          </cell>
          <cell r="AP33">
            <v>118.33000000000003</v>
          </cell>
          <cell r="AQ33">
            <v>88.2</v>
          </cell>
          <cell r="AR33">
            <v>71.8</v>
          </cell>
          <cell r="AS33">
            <v>227.91006878962017</v>
          </cell>
          <cell r="AT33">
            <v>346.24006878962024</v>
          </cell>
          <cell r="AU33">
            <v>77.999999999999986</v>
          </cell>
          <cell r="AV33">
            <v>66.3</v>
          </cell>
          <cell r="AW33">
            <v>38.799999999999997</v>
          </cell>
          <cell r="AX33">
            <v>30.200000000000021</v>
          </cell>
          <cell r="AY33">
            <v>213.3</v>
          </cell>
          <cell r="AZ33">
            <v>0</v>
          </cell>
          <cell r="BA33">
            <v>0</v>
          </cell>
          <cell r="BB33">
            <v>0</v>
          </cell>
          <cell r="BC33">
            <v>163.66545600331679</v>
          </cell>
          <cell r="BD33">
            <v>163.66545600331679</v>
          </cell>
        </row>
        <row r="34">
          <cell r="A34" t="str">
            <v>Depreciation and amortisation</v>
          </cell>
          <cell r="F34">
            <v>21.3</v>
          </cell>
          <cell r="K34">
            <v>20.8</v>
          </cell>
          <cell r="L34">
            <v>8.1</v>
          </cell>
          <cell r="M34">
            <v>12.1</v>
          </cell>
          <cell r="N34">
            <v>10.100000000000003</v>
          </cell>
          <cell r="O34">
            <v>-6.600000000000005</v>
          </cell>
          <cell r="P34">
            <v>23.7</v>
          </cell>
          <cell r="Q34">
            <v>10.1</v>
          </cell>
          <cell r="R34">
            <v>4.4000000000000004</v>
          </cell>
          <cell r="S34">
            <v>6.7999999999999989</v>
          </cell>
          <cell r="T34">
            <v>6.1000000000000014</v>
          </cell>
          <cell r="U34">
            <v>27.4</v>
          </cell>
          <cell r="V34">
            <v>7.3</v>
          </cell>
          <cell r="W34">
            <v>8.7999999999999989</v>
          </cell>
          <cell r="X34">
            <v>10</v>
          </cell>
          <cell r="Y34">
            <v>10.3</v>
          </cell>
          <cell r="Z34">
            <v>36.4</v>
          </cell>
          <cell r="AA34">
            <v>8.8999999999999986</v>
          </cell>
          <cell r="AB34">
            <v>9</v>
          </cell>
          <cell r="AC34">
            <v>8.7000000000000011</v>
          </cell>
          <cell r="AD34">
            <v>9.6999999999999957</v>
          </cell>
          <cell r="AE34">
            <v>36.299999999999997</v>
          </cell>
          <cell r="AF34">
            <v>9.4</v>
          </cell>
          <cell r="AG34">
            <v>13.099999999999998</v>
          </cell>
          <cell r="AH34">
            <v>11.299999999999999</v>
          </cell>
          <cell r="AI34">
            <v>11.5</v>
          </cell>
          <cell r="AJ34">
            <v>45.3</v>
          </cell>
          <cell r="AK34">
            <v>11</v>
          </cell>
          <cell r="AL34">
            <v>13.2</v>
          </cell>
          <cell r="AM34">
            <v>12.799999999999999</v>
          </cell>
          <cell r="AN34">
            <v>13.700000000000003</v>
          </cell>
          <cell r="AO34">
            <v>50.7</v>
          </cell>
          <cell r="AP34">
            <v>14.2</v>
          </cell>
          <cell r="AQ34">
            <v>13.500000000000002</v>
          </cell>
          <cell r="AR34">
            <v>14.4</v>
          </cell>
          <cell r="AS34">
            <v>40.428200000000004</v>
          </cell>
          <cell r="AT34">
            <v>54.628200000000007</v>
          </cell>
          <cell r="AU34">
            <v>14</v>
          </cell>
          <cell r="AV34">
            <v>14.6</v>
          </cell>
          <cell r="AW34">
            <v>13</v>
          </cell>
          <cell r="AX34">
            <v>14.799999999999997</v>
          </cell>
          <cell r="AY34">
            <v>56.4</v>
          </cell>
          <cell r="BC34">
            <v>60.431585279999993</v>
          </cell>
          <cell r="BD34">
            <v>60.431585279999993</v>
          </cell>
        </row>
        <row r="36">
          <cell r="A36" t="str">
            <v>Segment EBIT</v>
          </cell>
          <cell r="L36">
            <v>99.180327868852459</v>
          </cell>
          <cell r="M36">
            <v>111.68316831683168</v>
          </cell>
          <cell r="N36">
            <v>40.564373897707227</v>
          </cell>
          <cell r="O36">
            <v>91.251885369532431</v>
          </cell>
          <cell r="P36">
            <v>86.798179059180583</v>
          </cell>
          <cell r="Q36">
            <v>114.18481459682164</v>
          </cell>
          <cell r="R36">
            <v>120.5211726384365</v>
          </cell>
          <cell r="S36">
            <v>126.76056338028168</v>
          </cell>
          <cell r="T36">
            <v>126.88821752265861</v>
          </cell>
          <cell r="U36">
            <v>121.78077889447236</v>
          </cell>
          <cell r="V36">
            <v>139.61290322580646</v>
          </cell>
          <cell r="W36">
            <v>137.51600512163893</v>
          </cell>
          <cell r="X36">
            <v>124.47669550655876</v>
          </cell>
          <cell r="Y36">
            <v>112.61730969760163</v>
          </cell>
          <cell r="Z36">
            <v>128.69267714981248</v>
          </cell>
          <cell r="AA36">
            <v>128.67047308319741</v>
          </cell>
          <cell r="AB36">
            <v>106.59125516641288</v>
          </cell>
          <cell r="AC36">
            <v>120.95282146160962</v>
          </cell>
          <cell r="AD36">
            <v>163.14007617435468</v>
          </cell>
          <cell r="AE36">
            <v>130.18166136596409</v>
          </cell>
          <cell r="AF36">
            <v>179.78601452044327</v>
          </cell>
          <cell r="AG36">
            <v>154.63362068965517</v>
          </cell>
          <cell r="AH36">
            <v>151.09004739336493</v>
          </cell>
          <cell r="AI36">
            <v>143.80107807337862</v>
          </cell>
          <cell r="AJ36">
            <v>156.95437053326006</v>
          </cell>
          <cell r="AK36">
            <v>170.54647515271586</v>
          </cell>
          <cell r="AL36">
            <v>170.56156260899897</v>
          </cell>
          <cell r="AM36">
            <v>158.47107438016531</v>
          </cell>
          <cell r="AN36">
            <v>174.46896267271597</v>
          </cell>
          <cell r="AO36">
            <v>168.71508379888266</v>
          </cell>
          <cell r="AP36">
            <v>199.511684687827</v>
          </cell>
          <cell r="AQ36">
            <v>164.74496775454367</v>
          </cell>
          <cell r="AR36">
            <v>147.62340036563069</v>
          </cell>
          <cell r="AS36">
            <v>127.6973851231277</v>
          </cell>
          <cell r="AT36">
            <v>163.62308254200144</v>
          </cell>
          <cell r="BE36">
            <v>130.4498370573516</v>
          </cell>
          <cell r="BG36" t="str">
            <v>F2009</v>
          </cell>
          <cell r="BJ36" t="e">
            <v>#DIV/0!</v>
          </cell>
          <cell r="BK36">
            <v>0</v>
          </cell>
        </row>
        <row r="37">
          <cell r="A37" t="str">
            <v>USA Fibre Cement</v>
          </cell>
          <cell r="F37">
            <v>72.3</v>
          </cell>
          <cell r="K37">
            <v>73.5</v>
          </cell>
          <cell r="L37">
            <v>24.2</v>
          </cell>
          <cell r="M37">
            <v>28.2</v>
          </cell>
          <cell r="N37">
            <v>9.1999999999999993</v>
          </cell>
          <cell r="O37">
            <v>24.200000000000003</v>
          </cell>
          <cell r="P37">
            <v>85.8</v>
          </cell>
          <cell r="Q37">
            <v>38.799999999999997</v>
          </cell>
          <cell r="R37">
            <v>40.700000000000003</v>
          </cell>
          <cell r="S37">
            <v>37.799999999999997</v>
          </cell>
          <cell r="T37">
            <v>37.799999999999997</v>
          </cell>
          <cell r="U37">
            <v>155.1</v>
          </cell>
          <cell r="V37">
            <v>54.1</v>
          </cell>
          <cell r="W37">
            <v>53.7</v>
          </cell>
          <cell r="X37">
            <v>44.6</v>
          </cell>
          <cell r="Y37">
            <v>43.199999999999989</v>
          </cell>
          <cell r="Z37">
            <v>195.6</v>
          </cell>
          <cell r="AA37">
            <v>63.1</v>
          </cell>
          <cell r="AB37">
            <v>49</v>
          </cell>
          <cell r="AC37">
            <v>52.3</v>
          </cell>
          <cell r="AD37">
            <v>77.100000000000023</v>
          </cell>
          <cell r="AE37">
            <v>241.5</v>
          </cell>
          <cell r="AF37">
            <v>94.1</v>
          </cell>
          <cell r="AG37">
            <v>86.1</v>
          </cell>
          <cell r="AH37">
            <v>79.7</v>
          </cell>
          <cell r="AI37">
            <v>82.700000000000045</v>
          </cell>
          <cell r="AJ37">
            <v>342.6</v>
          </cell>
          <cell r="AK37">
            <v>103.3</v>
          </cell>
          <cell r="AL37">
            <v>97.8</v>
          </cell>
          <cell r="AM37">
            <v>76.7</v>
          </cell>
          <cell r="AN37">
            <v>84.599999999999966</v>
          </cell>
          <cell r="AO37">
            <v>362.4</v>
          </cell>
          <cell r="AP37">
            <v>114.4</v>
          </cell>
          <cell r="AQ37">
            <v>84.3</v>
          </cell>
          <cell r="AR37">
            <v>64.599999999999994</v>
          </cell>
          <cell r="AS37">
            <v>213.88796964194123</v>
          </cell>
          <cell r="AT37">
            <v>328.28796964194123</v>
          </cell>
          <cell r="AU37">
            <v>65.599999999999994</v>
          </cell>
          <cell r="AV37">
            <v>61.1</v>
          </cell>
          <cell r="AW37">
            <v>40.299999999999997</v>
          </cell>
          <cell r="AX37">
            <v>32.300000000000011</v>
          </cell>
          <cell r="AY37">
            <v>199.3</v>
          </cell>
          <cell r="BC37">
            <v>142.4117713158243</v>
          </cell>
          <cell r="BD37">
            <v>142.4117713158243</v>
          </cell>
          <cell r="BE37">
            <v>142.4117713158243</v>
          </cell>
          <cell r="BG37" t="str">
            <v>F2008</v>
          </cell>
          <cell r="BH37">
            <v>0</v>
          </cell>
          <cell r="BI37">
            <v>0</v>
          </cell>
          <cell r="BJ37">
            <v>0</v>
          </cell>
          <cell r="BK37">
            <v>127.6973851231277</v>
          </cell>
        </row>
        <row r="38">
          <cell r="A38" t="str">
            <v>Asia Pacific Fibre Cement</v>
          </cell>
          <cell r="F38">
            <v>19.8</v>
          </cell>
          <cell r="K38">
            <v>4.4000000000000004</v>
          </cell>
          <cell r="L38">
            <v>3.3</v>
          </cell>
          <cell r="M38">
            <v>6.7</v>
          </cell>
          <cell r="N38">
            <v>5.8</v>
          </cell>
          <cell r="O38">
            <v>6.5999999999999979</v>
          </cell>
          <cell r="P38">
            <v>22.4</v>
          </cell>
          <cell r="Q38">
            <v>8.3000000000000007</v>
          </cell>
          <cell r="R38">
            <v>8.9</v>
          </cell>
          <cell r="S38">
            <v>8</v>
          </cell>
          <cell r="T38">
            <v>4.8999999999999986</v>
          </cell>
          <cell r="U38">
            <v>30.1</v>
          </cell>
          <cell r="V38">
            <v>8.6</v>
          </cell>
          <cell r="W38">
            <v>9.4</v>
          </cell>
          <cell r="X38">
            <v>11.3</v>
          </cell>
          <cell r="Y38">
            <v>8.3000000000000007</v>
          </cell>
          <cell r="Z38">
            <v>37.6</v>
          </cell>
          <cell r="AA38">
            <v>12</v>
          </cell>
          <cell r="AB38">
            <v>12.3</v>
          </cell>
          <cell r="AC38">
            <v>10.199999999999999</v>
          </cell>
          <cell r="AD38">
            <v>12.299999999999997</v>
          </cell>
          <cell r="AE38">
            <v>46.8</v>
          </cell>
          <cell r="AF38">
            <v>12.4</v>
          </cell>
          <cell r="AG38">
            <v>12</v>
          </cell>
          <cell r="AH38">
            <v>8</v>
          </cell>
          <cell r="AI38">
            <v>9.3000000000000043</v>
          </cell>
          <cell r="AJ38">
            <v>41.7</v>
          </cell>
          <cell r="AK38">
            <v>10.3</v>
          </cell>
          <cell r="AL38">
            <v>11.5</v>
          </cell>
          <cell r="AM38">
            <v>8.8000000000000007</v>
          </cell>
          <cell r="AN38">
            <v>8.7999999999999972</v>
          </cell>
          <cell r="AO38">
            <v>39.4</v>
          </cell>
          <cell r="AP38">
            <v>12.43</v>
          </cell>
          <cell r="AQ38">
            <v>12.4</v>
          </cell>
          <cell r="AR38">
            <v>14.8</v>
          </cell>
          <cell r="AS38">
            <v>31.80839010638465</v>
          </cell>
          <cell r="AT38">
            <v>44.238390106384649</v>
          </cell>
          <cell r="AU38">
            <v>15.8</v>
          </cell>
          <cell r="AV38">
            <v>14.1</v>
          </cell>
          <cell r="AW38">
            <v>10.5</v>
          </cell>
          <cell r="AX38">
            <v>6.7000000000000028</v>
          </cell>
          <cell r="AY38">
            <v>47.1</v>
          </cell>
          <cell r="BC38">
            <v>42.278619802027634</v>
          </cell>
          <cell r="BD38">
            <v>42.278619802027634</v>
          </cell>
          <cell r="BG38" t="str">
            <v>F2007</v>
          </cell>
          <cell r="BH38">
            <v>199.511684687827</v>
          </cell>
          <cell r="BI38">
            <v>164.74496775454367</v>
          </cell>
          <cell r="BJ38">
            <v>147.62340036563069</v>
          </cell>
          <cell r="BK38">
            <v>174.46896267271597</v>
          </cell>
        </row>
        <row r="39">
          <cell r="A39" t="str">
            <v xml:space="preserve">Other </v>
          </cell>
          <cell r="F39">
            <v>0</v>
          </cell>
          <cell r="K39">
            <v>-2.9</v>
          </cell>
          <cell r="L39">
            <v>-2.5</v>
          </cell>
          <cell r="M39">
            <v>-1.9</v>
          </cell>
          <cell r="N39">
            <v>-1.6</v>
          </cell>
          <cell r="O39">
            <v>-2.1999999999999993</v>
          </cell>
          <cell r="P39">
            <v>-8.1999999999999993</v>
          </cell>
          <cell r="Q39">
            <v>-2.2000000000000002</v>
          </cell>
          <cell r="R39">
            <v>-2.1</v>
          </cell>
          <cell r="S39">
            <v>-3.1</v>
          </cell>
          <cell r="T39">
            <v>-3.2999999999999989</v>
          </cell>
          <cell r="U39">
            <v>-10.7</v>
          </cell>
          <cell r="V39">
            <v>-3.7</v>
          </cell>
          <cell r="W39">
            <v>-4.3</v>
          </cell>
          <cell r="X39">
            <v>-3.8</v>
          </cell>
          <cell r="Y39">
            <v>-4.0999999999999996</v>
          </cell>
          <cell r="Z39">
            <v>-15.9</v>
          </cell>
          <cell r="AA39">
            <v>-3.3</v>
          </cell>
          <cell r="AB39">
            <v>-4.2</v>
          </cell>
          <cell r="AC39">
            <v>-2.6</v>
          </cell>
          <cell r="AD39">
            <v>-1.7000000000000011</v>
          </cell>
          <cell r="AE39">
            <v>-11.8</v>
          </cell>
          <cell r="AF39">
            <v>-3.5</v>
          </cell>
          <cell r="AG39">
            <v>-2.6</v>
          </cell>
          <cell r="AH39">
            <v>-3.2</v>
          </cell>
          <cell r="AI39">
            <v>-17.2</v>
          </cell>
          <cell r="AJ39">
            <v>-26.5</v>
          </cell>
          <cell r="AK39">
            <v>-2.7</v>
          </cell>
          <cell r="AL39">
            <v>-1.5</v>
          </cell>
          <cell r="AM39">
            <v>-2.4</v>
          </cell>
          <cell r="AN39">
            <v>-2.7000000000000011</v>
          </cell>
          <cell r="AO39">
            <v>-9.3000000000000007</v>
          </cell>
          <cell r="AP39">
            <v>-1.3</v>
          </cell>
          <cell r="AQ39">
            <v>-1.9</v>
          </cell>
          <cell r="AR39">
            <v>-1.3</v>
          </cell>
          <cell r="AS39">
            <v>-5.1649420118343166</v>
          </cell>
          <cell r="AT39">
            <v>-6.4649420118343164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BC39">
            <v>0</v>
          </cell>
          <cell r="BD39">
            <v>0</v>
          </cell>
          <cell r="BG39" t="str">
            <v>F2006</v>
          </cell>
          <cell r="BH39">
            <v>170.54647515271586</v>
          </cell>
          <cell r="BI39">
            <v>170.56156260899897</v>
          </cell>
          <cell r="BJ39">
            <v>158.47107438016531</v>
          </cell>
          <cell r="BK39">
            <v>143.80107807337862</v>
          </cell>
        </row>
        <row r="40">
          <cell r="A40" t="str">
            <v>General Corporate</v>
          </cell>
          <cell r="F40">
            <v>-22.9</v>
          </cell>
          <cell r="K40">
            <v>-29.3</v>
          </cell>
          <cell r="L40">
            <v>-11.1</v>
          </cell>
          <cell r="M40">
            <v>-13.2</v>
          </cell>
          <cell r="N40">
            <v>-13.6</v>
          </cell>
          <cell r="O40">
            <v>-5.2000000000000028</v>
          </cell>
          <cell r="P40">
            <v>-43.1</v>
          </cell>
          <cell r="Q40">
            <v>-6.5</v>
          </cell>
          <cell r="R40">
            <v>-8.1999999999999993</v>
          </cell>
          <cell r="S40">
            <v>-8.3000000000000007</v>
          </cell>
          <cell r="T40">
            <v>-6.8999999999999986</v>
          </cell>
          <cell r="U40">
            <v>-29.9</v>
          </cell>
          <cell r="V40">
            <v>-7.4</v>
          </cell>
          <cell r="W40">
            <v>-6.8</v>
          </cell>
          <cell r="X40">
            <v>-6.3</v>
          </cell>
          <cell r="Y40">
            <v>-7</v>
          </cell>
          <cell r="Z40">
            <v>-27.5</v>
          </cell>
          <cell r="AA40">
            <v>-9.4</v>
          </cell>
          <cell r="AB40">
            <v>-13.7</v>
          </cell>
          <cell r="AC40">
            <v>-22.7</v>
          </cell>
          <cell r="AD40">
            <v>-17</v>
          </cell>
          <cell r="AE40">
            <v>-62.8</v>
          </cell>
          <cell r="AF40">
            <v>-12.9</v>
          </cell>
          <cell r="AG40">
            <v>-15.1</v>
          </cell>
          <cell r="AH40">
            <v>-15.5</v>
          </cell>
          <cell r="AI40">
            <v>-1.3999999999999986</v>
          </cell>
          <cell r="AJ40">
            <v>-44.9</v>
          </cell>
          <cell r="AK40">
            <v>-10.199999999999999</v>
          </cell>
          <cell r="AL40">
            <v>-15.5</v>
          </cell>
          <cell r="AM40">
            <v>-14.1</v>
          </cell>
          <cell r="AN40">
            <v>-3.2000000000000028</v>
          </cell>
          <cell r="AO40">
            <v>-43</v>
          </cell>
          <cell r="AP40">
            <v>-46.4</v>
          </cell>
          <cell r="AQ40">
            <v>-15.3</v>
          </cell>
          <cell r="AR40">
            <v>-16.5</v>
          </cell>
          <cell r="AS40">
            <v>-10.522048946871401</v>
          </cell>
          <cell r="AT40">
            <v>-56.922048946871399</v>
          </cell>
          <cell r="AU40">
            <v>-12.4</v>
          </cell>
          <cell r="AV40">
            <v>-18.5</v>
          </cell>
          <cell r="AW40">
            <v>-20.3</v>
          </cell>
          <cell r="AX40">
            <v>-19.399999999999991</v>
          </cell>
          <cell r="AY40">
            <v>-70.599999999999994</v>
          </cell>
          <cell r="BC40">
            <v>-62.098821640440732</v>
          </cell>
          <cell r="BD40">
            <v>-62.098821640440732</v>
          </cell>
          <cell r="BG40" t="str">
            <v>F2005</v>
          </cell>
          <cell r="BH40">
            <v>179.78601452044327</v>
          </cell>
          <cell r="BI40">
            <v>154.63362068965517</v>
          </cell>
          <cell r="BJ40">
            <v>151.09004739336493</v>
          </cell>
          <cell r="BK40">
            <v>163.14007617435468</v>
          </cell>
        </row>
        <row r="41">
          <cell r="A41" t="str">
            <v>R&amp;D/Other</v>
          </cell>
          <cell r="F41">
            <v>-10.600000000000001</v>
          </cell>
          <cell r="K41">
            <v>-3.2</v>
          </cell>
          <cell r="L41">
            <v>-3.8</v>
          </cell>
          <cell r="M41">
            <v>-1.5</v>
          </cell>
          <cell r="N41">
            <v>-2.7</v>
          </cell>
          <cell r="O41">
            <v>-2.4000000000000004</v>
          </cell>
          <cell r="P41">
            <v>-10.4</v>
          </cell>
          <cell r="Q41">
            <v>-2.2000000000000002</v>
          </cell>
          <cell r="R41">
            <v>-3.1</v>
          </cell>
          <cell r="S41">
            <v>-3.5</v>
          </cell>
          <cell r="T41">
            <v>-3.5</v>
          </cell>
          <cell r="U41">
            <v>-12.3</v>
          </cell>
          <cell r="V41">
            <v>-3.3</v>
          </cell>
          <cell r="W41">
            <v>-7.3999999999999995</v>
          </cell>
          <cell r="X41">
            <v>-4.6999999999999993</v>
          </cell>
          <cell r="Y41">
            <v>1.2999999999999972</v>
          </cell>
          <cell r="Z41">
            <v>-14.100000000000001</v>
          </cell>
          <cell r="AA41">
            <v>-4.0999999999999996</v>
          </cell>
          <cell r="AB41">
            <v>-5.3</v>
          </cell>
          <cell r="AC41">
            <v>-3.5</v>
          </cell>
          <cell r="AD41">
            <v>-5.9000000000000021</v>
          </cell>
          <cell r="AE41">
            <v>-18.8</v>
          </cell>
          <cell r="AF41">
            <v>-3.2</v>
          </cell>
          <cell r="AG41">
            <v>-4</v>
          </cell>
          <cell r="AH41">
            <v>-4.5999999999999996</v>
          </cell>
          <cell r="AI41">
            <v>-20.400000000000002</v>
          </cell>
          <cell r="AJ41">
            <v>-32.200000000000003</v>
          </cell>
          <cell r="AK41">
            <v>-31.799999999999997</v>
          </cell>
          <cell r="AL41">
            <v>-51.300000000000004</v>
          </cell>
          <cell r="AM41">
            <v>-49.699999999999996</v>
          </cell>
          <cell r="AN41">
            <v>103.09999999999998</v>
          </cell>
          <cell r="AO41">
            <v>-29.700000000000003</v>
          </cell>
          <cell r="AP41">
            <v>25</v>
          </cell>
          <cell r="AQ41">
            <v>-4.8</v>
          </cell>
          <cell r="AR41">
            <v>-4.2</v>
          </cell>
          <cell r="AS41">
            <v>-42.527500000000003</v>
          </cell>
          <cell r="AT41">
            <v>-17.5275</v>
          </cell>
          <cell r="AU41">
            <v>-5</v>
          </cell>
          <cell r="AV41">
            <v>-5</v>
          </cell>
          <cell r="AW41">
            <v>-4.7</v>
          </cell>
          <cell r="AX41">
            <v>-4.1999999999999993</v>
          </cell>
          <cell r="AY41">
            <v>-18.899999999999999</v>
          </cell>
          <cell r="BC41">
            <v>-19.357698754094404</v>
          </cell>
          <cell r="BD41">
            <v>-19.357698754094404</v>
          </cell>
          <cell r="BG41" t="str">
            <v>Average</v>
          </cell>
          <cell r="BH41">
            <v>128.67047308319741</v>
          </cell>
          <cell r="BI41">
            <v>106.59125516641288</v>
          </cell>
          <cell r="BJ41">
            <v>120.95282146160962</v>
          </cell>
          <cell r="BK41">
            <v>152.27687551089423</v>
          </cell>
        </row>
        <row r="42">
          <cell r="A42" t="str">
            <v>Total EBIT</v>
          </cell>
          <cell r="F42">
            <v>58.599999999999987</v>
          </cell>
          <cell r="K42">
            <v>42.5</v>
          </cell>
          <cell r="L42">
            <v>10.100000000000001</v>
          </cell>
          <cell r="M42">
            <v>18.3</v>
          </cell>
          <cell r="N42">
            <v>-2.8999999999999995</v>
          </cell>
          <cell r="O42">
            <v>21</v>
          </cell>
          <cell r="P42">
            <v>46.499999999999986</v>
          </cell>
          <cell r="Q42">
            <v>36.199999999999989</v>
          </cell>
          <cell r="R42">
            <v>36.199999999999996</v>
          </cell>
          <cell r="S42">
            <v>30.899999999999991</v>
          </cell>
          <cell r="T42">
            <v>29</v>
          </cell>
          <cell r="U42">
            <v>132.29999999999998</v>
          </cell>
          <cell r="V42">
            <v>48.300000000000004</v>
          </cell>
          <cell r="W42">
            <v>44.600000000000009</v>
          </cell>
          <cell r="X42">
            <v>41.100000000000009</v>
          </cell>
          <cell r="Y42">
            <v>41.699999999999982</v>
          </cell>
          <cell r="Z42">
            <v>175.7</v>
          </cell>
          <cell r="AA42">
            <v>58.3</v>
          </cell>
          <cell r="AB42">
            <v>38.099999999999994</v>
          </cell>
          <cell r="AC42">
            <v>33.700000000000003</v>
          </cell>
          <cell r="AD42">
            <v>64.800000000000011</v>
          </cell>
          <cell r="AE42">
            <v>194.89999999999998</v>
          </cell>
          <cell r="AF42">
            <v>86.899999999999991</v>
          </cell>
          <cell r="AG42">
            <v>76.400000000000006</v>
          </cell>
          <cell r="AH42">
            <v>64.400000000000006</v>
          </cell>
          <cell r="AI42">
            <v>53.000000000000057</v>
          </cell>
          <cell r="AJ42">
            <v>280.70000000000005</v>
          </cell>
          <cell r="AK42">
            <v>68.899999999999991</v>
          </cell>
          <cell r="AL42">
            <v>40.999999999999993</v>
          </cell>
          <cell r="AM42">
            <v>19.300000000000004</v>
          </cell>
          <cell r="AN42">
            <v>190.59999999999994</v>
          </cell>
          <cell r="AO42">
            <v>319.79999999999995</v>
          </cell>
          <cell r="AP42">
            <v>104.13000000000002</v>
          </cell>
          <cell r="AQ42">
            <v>74.7</v>
          </cell>
          <cell r="AR42">
            <v>57.399999999999991</v>
          </cell>
          <cell r="AS42">
            <v>187.48186878962017</v>
          </cell>
          <cell r="AT42">
            <v>291.61186878962025</v>
          </cell>
          <cell r="AU42">
            <v>63.999999999999986</v>
          </cell>
          <cell r="AV42">
            <v>51.7</v>
          </cell>
          <cell r="AW42">
            <v>25.799999999999997</v>
          </cell>
          <cell r="AX42">
            <v>15.400000000000023</v>
          </cell>
          <cell r="AY42">
            <v>156.9</v>
          </cell>
          <cell r="AZ42">
            <v>0</v>
          </cell>
          <cell r="BA42">
            <v>0</v>
          </cell>
          <cell r="BB42">
            <v>0</v>
          </cell>
          <cell r="BC42">
            <v>103.2338707233168</v>
          </cell>
          <cell r="BD42">
            <v>103.2338707233168</v>
          </cell>
          <cell r="BH42">
            <v>135.7029294888367</v>
          </cell>
          <cell r="BI42">
            <v>119.30628124392213</v>
          </cell>
          <cell r="BJ42">
            <v>115.6274687201541</v>
          </cell>
        </row>
        <row r="43">
          <cell r="N43">
            <v>-1.1584699453551912</v>
          </cell>
          <cell r="O43">
            <v>0.14754098360655732</v>
          </cell>
          <cell r="S43">
            <v>-0.14640883977900565</v>
          </cell>
          <cell r="T43">
            <v>-0.19889502762430933</v>
          </cell>
          <cell r="X43">
            <v>-7.847533632286996E-2</v>
          </cell>
          <cell r="Y43">
            <v>-6.5022421524664309E-2</v>
          </cell>
          <cell r="AC43">
            <v>-0.11548556430446177</v>
          </cell>
          <cell r="AD43">
            <v>0.70078740157480368</v>
          </cell>
          <cell r="AH43">
            <v>-0.15706806282722507</v>
          </cell>
          <cell r="AI43">
            <v>-0.3062827225130883</v>
          </cell>
          <cell r="AM43">
            <v>-0.52926829268292663</v>
          </cell>
          <cell r="AN43">
            <v>3.6487804878048777</v>
          </cell>
          <cell r="BJ43">
            <v>-3.0835028008681986E-2</v>
          </cell>
        </row>
        <row r="44">
          <cell r="A44" t="str">
            <v>Net Interest Expense</v>
          </cell>
          <cell r="F44">
            <v>20.5</v>
          </cell>
          <cell r="K44">
            <v>13.2</v>
          </cell>
          <cell r="L44">
            <v>5.3</v>
          </cell>
          <cell r="M44">
            <v>4.0999999999999996</v>
          </cell>
          <cell r="N44">
            <v>3.3</v>
          </cell>
          <cell r="O44">
            <v>3.2999999999999989</v>
          </cell>
          <cell r="P44">
            <v>15.999999999999998</v>
          </cell>
          <cell r="Q44">
            <v>2.9</v>
          </cell>
          <cell r="R44">
            <v>2.5</v>
          </cell>
          <cell r="S44">
            <v>12.4</v>
          </cell>
          <cell r="T44">
            <v>2.1700000000000017</v>
          </cell>
          <cell r="U44">
            <v>19.970000000000002</v>
          </cell>
          <cell r="V44">
            <v>2.2999999999999998</v>
          </cell>
          <cell r="W44">
            <v>2.4</v>
          </cell>
          <cell r="X44">
            <v>2.8</v>
          </cell>
          <cell r="Y44">
            <v>2.5000000000000009</v>
          </cell>
          <cell r="Z44">
            <v>10</v>
          </cell>
          <cell r="AA44">
            <v>2.5</v>
          </cell>
          <cell r="AB44">
            <v>1.3</v>
          </cell>
          <cell r="AC44">
            <v>0.7</v>
          </cell>
          <cell r="AD44">
            <v>0.59999999999999964</v>
          </cell>
          <cell r="AE44">
            <v>5.0999999999999996</v>
          </cell>
          <cell r="AF44">
            <v>0.7</v>
          </cell>
          <cell r="AG44">
            <v>1</v>
          </cell>
          <cell r="AH44">
            <v>-0.8</v>
          </cell>
          <cell r="AI44">
            <v>-0.69999999999999973</v>
          </cell>
          <cell r="AJ44">
            <v>0.20000000000000018</v>
          </cell>
          <cell r="AK44">
            <v>2</v>
          </cell>
          <cell r="AL44">
            <v>-1</v>
          </cell>
          <cell r="AM44">
            <v>1.3</v>
          </cell>
          <cell r="AN44">
            <v>4.2</v>
          </cell>
          <cell r="AO44">
            <v>6.5</v>
          </cell>
          <cell r="AP44">
            <v>-0.5</v>
          </cell>
          <cell r="AQ44">
            <v>0.60000000000000009</v>
          </cell>
          <cell r="AR44">
            <v>1.9999999999999998</v>
          </cell>
          <cell r="AS44">
            <v>6.6560000000000006</v>
          </cell>
          <cell r="AT44">
            <v>6.1560000000000006</v>
          </cell>
          <cell r="AU44">
            <v>2</v>
          </cell>
          <cell r="AV44">
            <v>2</v>
          </cell>
          <cell r="AW44">
            <v>2.7</v>
          </cell>
          <cell r="AX44">
            <v>2.7</v>
          </cell>
          <cell r="AY44">
            <v>9.4</v>
          </cell>
          <cell r="BC44">
            <v>12.96</v>
          </cell>
          <cell r="BD44">
            <v>12.96</v>
          </cell>
        </row>
        <row r="45">
          <cell r="A45" t="str">
            <v>PBT</v>
          </cell>
          <cell r="F45">
            <v>38.099999999999987</v>
          </cell>
          <cell r="K45">
            <v>29.3</v>
          </cell>
          <cell r="L45">
            <v>4.8000000000000016</v>
          </cell>
          <cell r="M45">
            <v>14.200000000000001</v>
          </cell>
          <cell r="N45">
            <v>-6.1999999999999993</v>
          </cell>
          <cell r="O45">
            <v>17.699999999999982</v>
          </cell>
          <cell r="P45">
            <v>30.499999999999986</v>
          </cell>
          <cell r="Q45">
            <v>33.29999999999999</v>
          </cell>
          <cell r="R45">
            <v>33.699999999999996</v>
          </cell>
          <cell r="S45">
            <v>18.499999999999993</v>
          </cell>
          <cell r="T45">
            <v>26.830000000000013</v>
          </cell>
          <cell r="U45">
            <v>112.32999999999998</v>
          </cell>
          <cell r="V45">
            <v>46.000000000000007</v>
          </cell>
          <cell r="W45">
            <v>42.20000000000001</v>
          </cell>
          <cell r="X45">
            <v>38.300000000000011</v>
          </cell>
          <cell r="Y45">
            <v>39.19999999999996</v>
          </cell>
          <cell r="Z45">
            <v>165.7</v>
          </cell>
          <cell r="AA45">
            <v>55.8</v>
          </cell>
          <cell r="AB45">
            <v>36.799999999999997</v>
          </cell>
          <cell r="AC45">
            <v>33</v>
          </cell>
          <cell r="AD45">
            <v>64.199999999999989</v>
          </cell>
          <cell r="AE45">
            <v>189.79999999999998</v>
          </cell>
          <cell r="AF45">
            <v>86.199999999999989</v>
          </cell>
          <cell r="AG45">
            <v>75.400000000000006</v>
          </cell>
          <cell r="AH45">
            <v>65.2</v>
          </cell>
          <cell r="AI45">
            <v>53.700000000000045</v>
          </cell>
          <cell r="AJ45">
            <v>280.50000000000006</v>
          </cell>
          <cell r="AK45">
            <v>66.899999999999991</v>
          </cell>
          <cell r="AL45">
            <v>41.999999999999993</v>
          </cell>
          <cell r="AM45">
            <v>18.000000000000004</v>
          </cell>
          <cell r="AN45">
            <v>186.39999999999998</v>
          </cell>
          <cell r="AO45">
            <v>313.29999999999995</v>
          </cell>
          <cell r="AP45">
            <v>104.63000000000002</v>
          </cell>
          <cell r="AQ45">
            <v>74.100000000000009</v>
          </cell>
          <cell r="AR45">
            <v>55.399999999999991</v>
          </cell>
          <cell r="AS45">
            <v>180.82586878962022</v>
          </cell>
          <cell r="AT45">
            <v>285.45586878962024</v>
          </cell>
          <cell r="AU45">
            <v>61.999999999999986</v>
          </cell>
          <cell r="AV45">
            <v>49.7</v>
          </cell>
          <cell r="AW45">
            <v>23.099999999999998</v>
          </cell>
          <cell r="AX45">
            <v>12.700000000000024</v>
          </cell>
          <cell r="AY45">
            <v>147.5</v>
          </cell>
          <cell r="BC45">
            <v>90.273870723316804</v>
          </cell>
          <cell r="BD45">
            <v>90.273870723316804</v>
          </cell>
        </row>
        <row r="46">
          <cell r="A46" t="str">
            <v>Tax Pre Sigs</v>
          </cell>
          <cell r="F46">
            <v>13.5</v>
          </cell>
          <cell r="K46">
            <v>-0.3</v>
          </cell>
          <cell r="L46">
            <v>1.2</v>
          </cell>
          <cell r="M46">
            <v>3.7</v>
          </cell>
          <cell r="N46">
            <v>-5.8</v>
          </cell>
          <cell r="O46">
            <v>4.7999999999999989</v>
          </cell>
          <cell r="P46">
            <v>3.9</v>
          </cell>
          <cell r="Q46">
            <v>10.3</v>
          </cell>
          <cell r="R46">
            <v>10.199999999999999</v>
          </cell>
          <cell r="S46">
            <v>3</v>
          </cell>
          <cell r="T46">
            <v>3.5</v>
          </cell>
          <cell r="U46">
            <v>27</v>
          </cell>
          <cell r="V46">
            <v>13.1</v>
          </cell>
          <cell r="W46">
            <v>9.4</v>
          </cell>
          <cell r="X46">
            <v>10</v>
          </cell>
          <cell r="Y46">
            <v>7.8999999999999986</v>
          </cell>
          <cell r="Z46">
            <v>40.4</v>
          </cell>
          <cell r="AA46">
            <v>18.7</v>
          </cell>
          <cell r="AB46">
            <v>12.1</v>
          </cell>
          <cell r="AC46">
            <v>13.2</v>
          </cell>
          <cell r="AD46">
            <v>17.899999999999999</v>
          </cell>
          <cell r="AE46">
            <v>61.9</v>
          </cell>
          <cell r="AF46">
            <v>30.3</v>
          </cell>
          <cell r="AG46">
            <v>27.8</v>
          </cell>
          <cell r="AH46">
            <v>24.5</v>
          </cell>
          <cell r="AI46">
            <v>-11</v>
          </cell>
          <cell r="AJ46">
            <v>71.599999999999994</v>
          </cell>
          <cell r="AK46">
            <v>32.299999999999997</v>
          </cell>
          <cell r="AL46">
            <v>28.3</v>
          </cell>
          <cell r="AM46">
            <v>26</v>
          </cell>
          <cell r="AN46">
            <v>4.5</v>
          </cell>
          <cell r="AO46">
            <v>91.1</v>
          </cell>
          <cell r="AP46">
            <v>36</v>
          </cell>
          <cell r="AQ46">
            <v>27.6</v>
          </cell>
          <cell r="AR46">
            <v>21.299999999999997</v>
          </cell>
          <cell r="AS46">
            <v>63.554995388470871</v>
          </cell>
          <cell r="AT46">
            <v>99.554995388470871</v>
          </cell>
          <cell r="AU46">
            <v>20.399999999999999</v>
          </cell>
          <cell r="AV46">
            <v>18.5</v>
          </cell>
          <cell r="AW46">
            <v>10.9</v>
          </cell>
          <cell r="AX46">
            <v>6.7</v>
          </cell>
          <cell r="AY46">
            <v>61</v>
          </cell>
          <cell r="BB46" t="e">
            <v>#REF!</v>
          </cell>
          <cell r="BC46">
            <v>38.693116045927717</v>
          </cell>
          <cell r="BD46">
            <v>38.693116045927717</v>
          </cell>
          <cell r="BS46" t="e">
            <v>#REF!</v>
          </cell>
        </row>
        <row r="47">
          <cell r="A47" t="str">
            <v>Minorities</v>
          </cell>
          <cell r="F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BB47" t="e">
            <v>#REF!</v>
          </cell>
          <cell r="BC47">
            <v>0</v>
          </cell>
          <cell r="BD47">
            <v>0</v>
          </cell>
          <cell r="BS47" t="e">
            <v>#REF!</v>
          </cell>
        </row>
        <row r="48">
          <cell r="BB48" t="e">
            <v>#REF!</v>
          </cell>
          <cell r="BS48" t="e">
            <v>#REF!</v>
          </cell>
        </row>
        <row r="49">
          <cell r="A49" t="str">
            <v>NPAT (pre sigs.)</v>
          </cell>
          <cell r="F49">
            <v>24.599999999999987</v>
          </cell>
          <cell r="K49">
            <v>29.6</v>
          </cell>
          <cell r="L49">
            <v>3.6000000000000014</v>
          </cell>
          <cell r="M49">
            <v>10.5</v>
          </cell>
          <cell r="N49">
            <v>-0.39999999999999947</v>
          </cell>
          <cell r="O49">
            <v>12.899999999999984</v>
          </cell>
          <cell r="P49">
            <v>26.599999999999987</v>
          </cell>
          <cell r="Q49">
            <v>22.999999999999989</v>
          </cell>
          <cell r="R49">
            <v>23.499999999999996</v>
          </cell>
          <cell r="S49">
            <v>15.499999999999993</v>
          </cell>
          <cell r="T49">
            <v>23.330000000000005</v>
          </cell>
          <cell r="U49">
            <v>85.329999999999984</v>
          </cell>
          <cell r="V49">
            <v>32.900000000000006</v>
          </cell>
          <cell r="W49">
            <v>32.800000000000011</v>
          </cell>
          <cell r="X49">
            <v>28.300000000000011</v>
          </cell>
          <cell r="Y49">
            <v>31.299999999999955</v>
          </cell>
          <cell r="Z49">
            <v>125.29999999999998</v>
          </cell>
          <cell r="AA49">
            <v>37.099999999999994</v>
          </cell>
          <cell r="AB49">
            <v>24.699999999999996</v>
          </cell>
          <cell r="AC49">
            <v>19.8</v>
          </cell>
          <cell r="AD49">
            <v>46.299999999999983</v>
          </cell>
          <cell r="AE49">
            <v>127.89999999999998</v>
          </cell>
          <cell r="AF49">
            <v>55.899999999999991</v>
          </cell>
          <cell r="AG49">
            <v>47.600000000000009</v>
          </cell>
          <cell r="AH49">
            <v>40.700000000000003</v>
          </cell>
          <cell r="AI49">
            <v>64.700000000000074</v>
          </cell>
          <cell r="AJ49">
            <v>208.90000000000006</v>
          </cell>
          <cell r="AK49">
            <v>34.599999999999994</v>
          </cell>
          <cell r="AL49">
            <v>13.699999999999992</v>
          </cell>
          <cell r="AM49">
            <v>-7.9999999999999964</v>
          </cell>
          <cell r="AN49">
            <v>181.89999999999998</v>
          </cell>
          <cell r="AO49">
            <v>222.19999999999996</v>
          </cell>
          <cell r="AP49">
            <v>68.630000000000024</v>
          </cell>
          <cell r="AQ49">
            <v>46.500000000000007</v>
          </cell>
          <cell r="AR49">
            <v>34.099999999999994</v>
          </cell>
          <cell r="AS49">
            <v>117.27087340114934</v>
          </cell>
          <cell r="AT49">
            <v>185.90087340114937</v>
          </cell>
          <cell r="AU49">
            <v>41.599999999999987</v>
          </cell>
          <cell r="AV49">
            <v>31.200000000000003</v>
          </cell>
          <cell r="AW49">
            <v>12.199999999999998</v>
          </cell>
          <cell r="AX49">
            <v>6.000000000000024</v>
          </cell>
          <cell r="AY49">
            <v>86.5</v>
          </cell>
          <cell r="AZ49">
            <v>0</v>
          </cell>
          <cell r="BA49">
            <v>0</v>
          </cell>
          <cell r="BB49" t="e">
            <v>#REF!</v>
          </cell>
          <cell r="BC49">
            <v>51.580754677389088</v>
          </cell>
          <cell r="BD49">
            <v>51.580754677389088</v>
          </cell>
          <cell r="BS49" t="e">
            <v>#REF!</v>
          </cell>
        </row>
        <row r="50">
          <cell r="BB50" t="e">
            <v>#REF!</v>
          </cell>
          <cell r="BS50" t="e">
            <v>#REF!</v>
          </cell>
        </row>
        <row r="51">
          <cell r="A51" t="str">
            <v>Significant Items (pre tax)</v>
          </cell>
          <cell r="F51">
            <v>92.4</v>
          </cell>
          <cell r="K51">
            <v>24.199999999999996</v>
          </cell>
          <cell r="L51">
            <v>0.8999999999999998</v>
          </cell>
          <cell r="M51">
            <v>0.5</v>
          </cell>
          <cell r="N51">
            <v>-8.3000000000000007</v>
          </cell>
          <cell r="O51">
            <v>55.3</v>
          </cell>
          <cell r="P51">
            <v>48.4</v>
          </cell>
          <cell r="Q51">
            <v>83</v>
          </cell>
          <cell r="R51">
            <v>-1</v>
          </cell>
          <cell r="S51">
            <v>0</v>
          </cell>
          <cell r="T51">
            <v>49.099999999999994</v>
          </cell>
          <cell r="U51">
            <v>131.1</v>
          </cell>
          <cell r="V51">
            <v>1.8</v>
          </cell>
          <cell r="W51">
            <v>0</v>
          </cell>
          <cell r="X51">
            <v>-2.5</v>
          </cell>
          <cell r="Y51">
            <v>0.2999999999999996</v>
          </cell>
          <cell r="Z51">
            <v>-0.40000000000000036</v>
          </cell>
          <cell r="AA51">
            <v>-0.8</v>
          </cell>
          <cell r="AB51">
            <v>0.1</v>
          </cell>
          <cell r="AC51">
            <v>-0.5</v>
          </cell>
          <cell r="AD51">
            <v>5.2</v>
          </cell>
          <cell r="AE51">
            <v>4</v>
          </cell>
          <cell r="AF51">
            <v>0</v>
          </cell>
          <cell r="AG51">
            <v>0</v>
          </cell>
          <cell r="AH51">
            <v>0</v>
          </cell>
          <cell r="AI51">
            <v>-715.6</v>
          </cell>
          <cell r="AJ51">
            <v>-715.6</v>
          </cell>
          <cell r="AK51">
            <v>1.3</v>
          </cell>
          <cell r="AL51">
            <v>0</v>
          </cell>
          <cell r="AM51">
            <v>0</v>
          </cell>
          <cell r="AN51">
            <v>-406.8</v>
          </cell>
          <cell r="AO51">
            <v>-405.5</v>
          </cell>
          <cell r="AP51">
            <v>-29.1</v>
          </cell>
          <cell r="AQ51">
            <v>-27.4</v>
          </cell>
          <cell r="AR51">
            <v>-32.200000000000003</v>
          </cell>
          <cell r="AS51">
            <v>-41.185702252747184</v>
          </cell>
          <cell r="AT51">
            <v>-70.285702252747186</v>
          </cell>
          <cell r="AU51">
            <v>-40.200000000000003</v>
          </cell>
          <cell r="AV51">
            <v>142.80000000000001</v>
          </cell>
          <cell r="AW51">
            <v>94.699999999999989</v>
          </cell>
          <cell r="AX51">
            <v>-189</v>
          </cell>
          <cell r="AY51">
            <v>8.3000000000000007</v>
          </cell>
          <cell r="BB51" t="e">
            <v>#REF!</v>
          </cell>
          <cell r="BC51">
            <v>-212.05714285714279</v>
          </cell>
          <cell r="BD51">
            <v>-212.05714285714279</v>
          </cell>
          <cell r="BS51" t="e">
            <v>#REF!</v>
          </cell>
        </row>
        <row r="52">
          <cell r="A52" t="str">
            <v>Significant Items (post tax)</v>
          </cell>
          <cell r="F52">
            <v>93.2</v>
          </cell>
          <cell r="K52">
            <v>8.5999999999999961</v>
          </cell>
          <cell r="L52">
            <v>4.5</v>
          </cell>
          <cell r="M52">
            <v>9.9999999999999978E-2</v>
          </cell>
          <cell r="N52">
            <v>-5</v>
          </cell>
          <cell r="O52">
            <v>3.1000000000000032</v>
          </cell>
          <cell r="P52">
            <v>2.7000000000000028</v>
          </cell>
          <cell r="Q52">
            <v>52.9</v>
          </cell>
          <cell r="R52">
            <v>1.1000000000000001</v>
          </cell>
          <cell r="S52">
            <v>0</v>
          </cell>
          <cell r="T52">
            <v>31.099999999999994</v>
          </cell>
          <cell r="U52">
            <v>85.1</v>
          </cell>
          <cell r="V52">
            <v>1.8</v>
          </cell>
          <cell r="W52">
            <v>0</v>
          </cell>
          <cell r="X52">
            <v>1.8</v>
          </cell>
          <cell r="Y52">
            <v>0.69999999999999973</v>
          </cell>
          <cell r="Z52">
            <v>4.3</v>
          </cell>
          <cell r="AA52">
            <v>-0.8</v>
          </cell>
          <cell r="AB52">
            <v>0.1</v>
          </cell>
          <cell r="AC52">
            <v>-0.3</v>
          </cell>
          <cell r="AD52">
            <v>0</v>
          </cell>
          <cell r="AE52">
            <v>-1</v>
          </cell>
          <cell r="AF52">
            <v>0</v>
          </cell>
          <cell r="AG52">
            <v>0</v>
          </cell>
          <cell r="AH52">
            <v>0</v>
          </cell>
          <cell r="AI52">
            <v>-715.6</v>
          </cell>
          <cell r="AJ52">
            <v>-715.6</v>
          </cell>
          <cell r="AK52">
            <v>0.9</v>
          </cell>
          <cell r="AL52">
            <v>0</v>
          </cell>
          <cell r="AM52">
            <v>0</v>
          </cell>
          <cell r="AN52">
            <v>-71.400000000000006</v>
          </cell>
          <cell r="AO52">
            <v>-70.5</v>
          </cell>
          <cell r="AP52">
            <v>-29.5</v>
          </cell>
          <cell r="AQ52">
            <v>-27.4</v>
          </cell>
          <cell r="AR52">
            <v>-17</v>
          </cell>
          <cell r="AS52">
            <v>-19.699991576923026</v>
          </cell>
          <cell r="AT52">
            <v>-49.199991576923026</v>
          </cell>
          <cell r="AU52">
            <v>-40.200000000000003</v>
          </cell>
          <cell r="AV52">
            <v>122.30000000000001</v>
          </cell>
          <cell r="AW52">
            <v>98.799999999999983</v>
          </cell>
          <cell r="AX52">
            <v>-135.60000000000002</v>
          </cell>
          <cell r="AY52">
            <v>49.8</v>
          </cell>
          <cell r="BB52" t="e">
            <v>#REF!</v>
          </cell>
          <cell r="BC52">
            <v>-212.05714285714279</v>
          </cell>
          <cell r="BD52">
            <v>-212.05714285714279</v>
          </cell>
          <cell r="BS52" t="e">
            <v>#REF!</v>
          </cell>
        </row>
        <row r="53">
          <cell r="BB53" t="e">
            <v>#REF!</v>
          </cell>
          <cell r="BS53" t="e">
            <v>#REF!</v>
          </cell>
        </row>
        <row r="54">
          <cell r="A54" t="str">
            <v>NPAT (post sigs.)</v>
          </cell>
          <cell r="F54">
            <v>117.79999999999998</v>
          </cell>
          <cell r="K54">
            <v>38.199999999999996</v>
          </cell>
          <cell r="L54">
            <v>-0.89999999999999858</v>
          </cell>
          <cell r="M54">
            <v>10.4</v>
          </cell>
          <cell r="N54">
            <v>4.6000000000000005</v>
          </cell>
          <cell r="O54">
            <v>15.199999999999989</v>
          </cell>
          <cell r="P54">
            <v>29.29999999999999</v>
          </cell>
          <cell r="Q54">
            <v>75.899999999999991</v>
          </cell>
          <cell r="R54">
            <v>24.599999999999998</v>
          </cell>
          <cell r="S54">
            <v>15.499999999999993</v>
          </cell>
          <cell r="T54">
            <v>54.430000000000007</v>
          </cell>
          <cell r="U54">
            <v>170.42999999999998</v>
          </cell>
          <cell r="V54">
            <v>34.700000000000003</v>
          </cell>
          <cell r="W54">
            <v>32.800000000000011</v>
          </cell>
          <cell r="X54">
            <v>30.100000000000012</v>
          </cell>
          <cell r="Y54">
            <v>31.999999999999972</v>
          </cell>
          <cell r="Z54">
            <v>129.6</v>
          </cell>
          <cell r="AA54">
            <v>36.299999999999997</v>
          </cell>
          <cell r="AB54">
            <v>24.799999999999997</v>
          </cell>
          <cell r="AC54">
            <v>19.5</v>
          </cell>
          <cell r="AD54">
            <v>46.299999999999983</v>
          </cell>
          <cell r="AE54">
            <v>126.89999999999998</v>
          </cell>
          <cell r="AF54">
            <v>55.899999999999991</v>
          </cell>
          <cell r="AG54">
            <v>47.600000000000009</v>
          </cell>
          <cell r="AH54">
            <v>40.700000000000003</v>
          </cell>
          <cell r="AI54">
            <v>-650.89999999999986</v>
          </cell>
          <cell r="AJ54">
            <v>-506.69999999999993</v>
          </cell>
          <cell r="AK54">
            <v>35.499999999999993</v>
          </cell>
          <cell r="AL54">
            <v>13.699999999999992</v>
          </cell>
          <cell r="AM54">
            <v>-7.9999999999999964</v>
          </cell>
          <cell r="AN54">
            <v>110.49999999999997</v>
          </cell>
          <cell r="AO54">
            <v>151.69999999999996</v>
          </cell>
          <cell r="AP54">
            <v>39.130000000000024</v>
          </cell>
          <cell r="AQ54">
            <v>19.100000000000009</v>
          </cell>
          <cell r="AR54">
            <v>17.099999999999994</v>
          </cell>
          <cell r="AS54">
            <v>97.570881824226319</v>
          </cell>
          <cell r="AT54">
            <v>136.70088182422634</v>
          </cell>
          <cell r="AU54">
            <v>1.3999999999999844</v>
          </cell>
          <cell r="AV54">
            <v>153.5</v>
          </cell>
          <cell r="AW54">
            <v>110.99999999999999</v>
          </cell>
          <cell r="AX54">
            <v>-129.6</v>
          </cell>
          <cell r="AY54">
            <v>136.30000000000001</v>
          </cell>
          <cell r="AZ54">
            <v>0</v>
          </cell>
          <cell r="BA54">
            <v>0</v>
          </cell>
          <cell r="BB54">
            <v>31</v>
          </cell>
          <cell r="BC54">
            <v>-160.47638817975371</v>
          </cell>
          <cell r="BD54">
            <v>-160.47638817975371</v>
          </cell>
          <cell r="BS54">
            <v>31</v>
          </cell>
        </row>
        <row r="56">
          <cell r="A56" t="str">
            <v>Segment EBIT Margin %</v>
          </cell>
          <cell r="BB56">
            <v>33</v>
          </cell>
          <cell r="BS56">
            <v>33</v>
          </cell>
        </row>
        <row r="57">
          <cell r="A57" t="str">
            <v>USA Fibre Cement</v>
          </cell>
          <cell r="E57">
            <v>0</v>
          </cell>
          <cell r="F57">
            <v>0.2328502415458937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0.1970509383378016</v>
          </cell>
          <cell r="L57">
            <v>0.21762589928057552</v>
          </cell>
          <cell r="M57">
            <v>0.24715162138475022</v>
          </cell>
          <cell r="N57">
            <v>9.0019569471624261E-2</v>
          </cell>
          <cell r="O57">
            <v>0.20630861040068202</v>
          </cell>
          <cell r="P57">
            <v>0.1928956834532374</v>
          </cell>
          <cell r="Q57">
            <v>0.25442622950819671</v>
          </cell>
          <cell r="R57">
            <v>0.26308985132514551</v>
          </cell>
          <cell r="S57">
            <v>0.25837320574162675</v>
          </cell>
          <cell r="T57">
            <v>0.25854993160054712</v>
          </cell>
          <cell r="U57">
            <v>0.25862931465732864</v>
          </cell>
          <cell r="V57">
            <v>0.28961456102783723</v>
          </cell>
          <cell r="W57">
            <v>0.28056426332288403</v>
          </cell>
          <cell r="X57">
            <v>0.25442099258414147</v>
          </cell>
          <cell r="Y57">
            <v>0.23338735818476491</v>
          </cell>
          <cell r="Z57">
            <v>0.26482534524776602</v>
          </cell>
          <cell r="AA57">
            <v>0.26215205650186957</v>
          </cell>
          <cell r="AB57">
            <v>0.21212121212121213</v>
          </cell>
          <cell r="AC57">
            <v>0.2374035406264185</v>
          </cell>
          <cell r="AD57">
            <v>0.31189320388349517</v>
          </cell>
          <cell r="AE57">
            <v>0.25713373083475299</v>
          </cell>
          <cell r="AF57">
            <v>0.32730434782608692</v>
          </cell>
          <cell r="AG57">
            <v>0.2800910865322056</v>
          </cell>
          <cell r="AH57">
            <v>0.26753944276602892</v>
          </cell>
          <cell r="AI57">
            <v>0.25399262899262903</v>
          </cell>
          <cell r="AJ57">
            <v>0.28118844386080105</v>
          </cell>
          <cell r="AK57">
            <v>0.29607337345944396</v>
          </cell>
          <cell r="AL57">
            <v>0.28849557522123892</v>
          </cell>
          <cell r="AM57">
            <v>0.26959578207381374</v>
          </cell>
          <cell r="AN57">
            <v>0.29182476716108996</v>
          </cell>
          <cell r="AO57">
            <v>0.28709498534421296</v>
          </cell>
          <cell r="AP57">
            <v>0.33054030626986419</v>
          </cell>
          <cell r="AQ57">
            <v>0</v>
          </cell>
          <cell r="AR57">
            <v>0</v>
          </cell>
          <cell r="AS57">
            <v>0.24737373211933494</v>
          </cell>
          <cell r="AT57">
            <v>0.2711476818022166</v>
          </cell>
          <cell r="AU57">
            <v>0.23287184948526801</v>
          </cell>
          <cell r="AV57">
            <v>0.232319391634981</v>
          </cell>
          <cell r="AW57">
            <v>0.20603271983640081</v>
          </cell>
          <cell r="AX57">
            <v>0.17089947089947105</v>
          </cell>
          <cell r="AY57">
            <v>43</v>
          </cell>
          <cell r="AZ57">
            <v>38</v>
          </cell>
          <cell r="BA57">
            <v>0</v>
          </cell>
          <cell r="BB57">
            <v>34</v>
          </cell>
          <cell r="BC57">
            <v>0.20713161750665837</v>
          </cell>
          <cell r="BD57">
            <v>0</v>
          </cell>
          <cell r="BH57">
            <v>42</v>
          </cell>
          <cell r="BI57">
            <v>43</v>
          </cell>
          <cell r="BJ57">
            <v>44</v>
          </cell>
          <cell r="BK57">
            <v>45</v>
          </cell>
          <cell r="BL57">
            <v>46</v>
          </cell>
          <cell r="BM57">
            <v>47</v>
          </cell>
          <cell r="BN57">
            <v>48</v>
          </cell>
          <cell r="BO57">
            <v>49</v>
          </cell>
          <cell r="BP57">
            <v>50</v>
          </cell>
          <cell r="BQ57">
            <v>51</v>
          </cell>
          <cell r="BS57">
            <v>34</v>
          </cell>
        </row>
        <row r="58">
          <cell r="A58" t="str">
            <v>Asia Pacific Fibre Cement</v>
          </cell>
          <cell r="E58">
            <v>0</v>
          </cell>
          <cell r="F58">
            <v>9.7393015248401382E-2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2.641056422569028E-2</v>
          </cell>
          <cell r="L58">
            <v>9.0163934426229497E-2</v>
          </cell>
          <cell r="M58">
            <v>0.16666666666666666</v>
          </cell>
          <cell r="N58">
            <v>0.14111922141119221</v>
          </cell>
          <cell r="O58">
            <v>0.16923076923076918</v>
          </cell>
          <cell r="P58">
            <v>0.14276609305289992</v>
          </cell>
          <cell r="Q58">
            <v>0.17926565874730024</v>
          </cell>
          <cell r="R58">
            <v>0.1765873015873016</v>
          </cell>
          <cell r="S58">
            <v>0.16260162601626016</v>
          </cell>
          <cell r="T58">
            <v>0.10103092783505145</v>
          </cell>
          <cell r="U58">
            <v>0.15483539094650206</v>
          </cell>
          <cell r="V58">
            <v>0.17165668662674649</v>
          </cell>
          <cell r="W58">
            <v>0.17153284671532848</v>
          </cell>
          <cell r="X58">
            <v>0.20214669051878356</v>
          </cell>
          <cell r="Y58">
            <v>0.14067796610169492</v>
          </cell>
          <cell r="Z58">
            <v>0.1710646041856233</v>
          </cell>
          <cell r="AA58">
            <v>0.20942408376963351</v>
          </cell>
          <cell r="AB58">
            <v>0.1968</v>
          </cell>
          <cell r="AC58">
            <v>0.17555938037865748</v>
          </cell>
          <cell r="AD58">
            <v>0.21134020618556701</v>
          </cell>
          <cell r="AE58">
            <v>0.19822109275730621</v>
          </cell>
          <cell r="AF58">
            <v>0.20097244732576985</v>
          </cell>
          <cell r="AG58">
            <v>0.1889763779527559</v>
          </cell>
          <cell r="AH58">
            <v>0.13468013468013468</v>
          </cell>
          <cell r="AI58">
            <v>0.16258741258741261</v>
          </cell>
          <cell r="AJ58">
            <v>0.17245657568238212</v>
          </cell>
          <cell r="AK58">
            <v>0.17398648648648649</v>
          </cell>
          <cell r="AL58">
            <v>0.18025078369905956</v>
          </cell>
          <cell r="AM58">
            <v>0.13664596273291926</v>
          </cell>
          <cell r="AN58">
            <v>0.13685847589424571</v>
          </cell>
          <cell r="AO58">
            <v>0.15653555820421136</v>
          </cell>
          <cell r="AP58">
            <v>0.17457865168539324</v>
          </cell>
          <cell r="AQ58">
            <v>0</v>
          </cell>
          <cell r="AR58">
            <v>0</v>
          </cell>
          <cell r="AS58">
            <v>0.15130230852574364</v>
          </cell>
          <cell r="AT58">
            <v>0.15719106066932401</v>
          </cell>
          <cell r="AU58">
            <v>0.18967587034813926</v>
          </cell>
          <cell r="AV58">
            <v>0.17870722433460073</v>
          </cell>
          <cell r="AW58">
            <v>0.17948717948717949</v>
          </cell>
          <cell r="AX58" t="str">
            <v>UPDATE</v>
          </cell>
          <cell r="AY58" t="str">
            <v>Q2FY07</v>
          </cell>
          <cell r="AZ58" t="str">
            <v>Q2FY06</v>
          </cell>
          <cell r="BA58">
            <v>0</v>
          </cell>
          <cell r="BB58">
            <v>0</v>
          </cell>
          <cell r="BC58">
            <v>0.16108621674143958</v>
          </cell>
          <cell r="BD58">
            <v>0.16108621674143958</v>
          </cell>
          <cell r="BG58" t="str">
            <v>UPDATE</v>
          </cell>
          <cell r="BH58" t="str">
            <v>Q1FY08</v>
          </cell>
          <cell r="BI58" t="str">
            <v>Q2FY08</v>
          </cell>
          <cell r="BJ58" t="str">
            <v>Q3FY08</v>
          </cell>
          <cell r="BK58" t="str">
            <v>Q4FY08</v>
          </cell>
          <cell r="BL58" t="str">
            <v>FY08</v>
          </cell>
          <cell r="BM58" t="str">
            <v>Q1FY09</v>
          </cell>
          <cell r="BN58" t="str">
            <v>Q2FY09</v>
          </cell>
          <cell r="BO58" t="str">
            <v>Q3FY09</v>
          </cell>
          <cell r="BP58" t="str">
            <v>Q4FY09</v>
          </cell>
          <cell r="BQ58" t="str">
            <v>FY09</v>
          </cell>
        </row>
        <row r="59">
          <cell r="A59" t="str">
            <v xml:space="preserve">Other 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-4.166666666666667</v>
          </cell>
          <cell r="M59">
            <v>-2.1111111111111112</v>
          </cell>
          <cell r="N59">
            <v>-1.3333333333333335</v>
          </cell>
          <cell r="O59">
            <v>-1.4666666666666661</v>
          </cell>
          <cell r="P59">
            <v>-1.9523809523809521</v>
          </cell>
          <cell r="Q59">
            <v>-1.5714285714285716</v>
          </cell>
          <cell r="R59">
            <v>-0.84000000000000008</v>
          </cell>
          <cell r="S59">
            <v>-1.6315789473684212</v>
          </cell>
          <cell r="T59">
            <v>-0.86842105263157876</v>
          </cell>
          <cell r="U59">
            <v>-1.1145833333333333</v>
          </cell>
          <cell r="V59">
            <v>-0.80434782608695665</v>
          </cell>
          <cell r="W59">
            <v>-0.79629629629629617</v>
          </cell>
          <cell r="X59">
            <v>-0.60317460317460314</v>
          </cell>
          <cell r="Y59">
            <v>-0.56944444444444442</v>
          </cell>
          <cell r="Z59">
            <v>-0.67659574468085104</v>
          </cell>
          <cell r="AA59">
            <v>-0.40740740740740738</v>
          </cell>
          <cell r="AB59">
            <v>-0.56756756756756754</v>
          </cell>
          <cell r="AC59">
            <v>-0.30232558139534887</v>
          </cell>
          <cell r="AD59">
            <v>-0.15454545454545465</v>
          </cell>
          <cell r="AE59">
            <v>-0.33618233618233617</v>
          </cell>
          <cell r="AF59">
            <v>-0.34313725490196079</v>
          </cell>
          <cell r="AG59">
            <v>-0.45614035087719296</v>
          </cell>
          <cell r="AH59">
            <v>-0.59259259259259256</v>
          </cell>
          <cell r="AI59">
            <v>-2.457142857142856</v>
          </cell>
          <cell r="AJ59">
            <v>-0.93639575971731448</v>
          </cell>
          <cell r="AK59">
            <v>-0.36486486486486486</v>
          </cell>
          <cell r="AL59">
            <v>-0.1744186046511628</v>
          </cell>
          <cell r="AM59">
            <v>-0.38709677419354838</v>
          </cell>
          <cell r="AN59">
            <v>-0.40298507462686589</v>
          </cell>
          <cell r="AO59">
            <v>-0.32179930795847755</v>
          </cell>
          <cell r="AP59">
            <v>-0.18309859154929578</v>
          </cell>
          <cell r="AQ59">
            <v>0</v>
          </cell>
          <cell r="AR59">
            <v>0</v>
          </cell>
          <cell r="AS59">
            <v>-0.25374315951040616</v>
          </cell>
          <cell r="AT59">
            <v>-0.23547412172042675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 t="str">
            <v>6 months ended 31 March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G59" t="str">
            <v>March Y/E</v>
          </cell>
          <cell r="BH59" t="str">
            <v>Q1 F2008</v>
          </cell>
          <cell r="BI59" t="str">
            <v>Q2 F2008</v>
          </cell>
          <cell r="BJ59" t="str">
            <v>Q3 F2008</v>
          </cell>
          <cell r="BK59" t="str">
            <v>Q4 F2008</v>
          </cell>
          <cell r="BL59" t="str">
            <v>F2008</v>
          </cell>
          <cell r="BM59" t="str">
            <v>Q1 F2009</v>
          </cell>
          <cell r="BN59" t="str">
            <v>Q2 F2009</v>
          </cell>
          <cell r="BO59" t="str">
            <v>Q3 F2009</v>
          </cell>
          <cell r="BP59" t="str">
            <v>Q4 F2009</v>
          </cell>
          <cell r="BQ59" t="str">
            <v>F2009</v>
          </cell>
        </row>
        <row r="60">
          <cell r="A60" t="str">
            <v>General Corporate</v>
          </cell>
          <cell r="E60">
            <v>0</v>
          </cell>
          <cell r="F60">
            <v>-11.45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-22.538461538461537</v>
          </cell>
          <cell r="L60">
            <v>-55.499999999999993</v>
          </cell>
          <cell r="M60">
            <v>-44</v>
          </cell>
          <cell r="N60">
            <v>-45.333333333333336</v>
          </cell>
          <cell r="O60">
            <v>-26.000000000000021</v>
          </cell>
          <cell r="P60">
            <v>-43.1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 t="str">
            <v>Half Yearly Forecasts</v>
          </cell>
          <cell r="AX60">
            <v>0</v>
          </cell>
          <cell r="AY60" t="str">
            <v>2007</v>
          </cell>
          <cell r="AZ60" t="str">
            <v>2006</v>
          </cell>
          <cell r="BA60" t="str">
            <v>Change (%)</v>
          </cell>
          <cell r="BB60">
            <v>24</v>
          </cell>
          <cell r="BC60">
            <v>0</v>
          </cell>
          <cell r="BD60">
            <v>0</v>
          </cell>
          <cell r="BF60" t="str">
            <v>Half Yearly Forecasts</v>
          </cell>
          <cell r="BG60" t="str">
            <v>Segment Sales</v>
          </cell>
          <cell r="BS60">
            <v>26</v>
          </cell>
        </row>
        <row r="61">
          <cell r="A61" t="str">
            <v>R&amp;D/Asbestos/Other</v>
          </cell>
          <cell r="E61">
            <v>0</v>
          </cell>
          <cell r="F61">
            <v>-2.0550601008142697E-2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-5.9160658162322058E-3</v>
          </cell>
          <cell r="L61">
            <v>-2.5572005383580079E-2</v>
          </cell>
          <cell r="M61">
            <v>-9.6463022508038575E-3</v>
          </cell>
          <cell r="N61">
            <v>-1.8646408839779006E-2</v>
          </cell>
          <cell r="O61">
            <v>-1.5189873417721522E-2</v>
          </cell>
          <cell r="P61">
            <v>-1.7136266271214368E-2</v>
          </cell>
          <cell r="Q61">
            <v>-1.0989010989010988E-2</v>
          </cell>
          <cell r="R61">
            <v>-1.4932562620423893E-2</v>
          </cell>
          <cell r="S61">
            <v>-1.7730496453900707E-2</v>
          </cell>
          <cell r="T61">
            <v>-1.7632241813602009E-2</v>
          </cell>
          <cell r="U61">
            <v>-1.530421799178798E-2</v>
          </cell>
          <cell r="V61">
            <v>-1.3664596273291925E-2</v>
          </cell>
          <cell r="W61">
            <v>-2.9411764705882353E-2</v>
          </cell>
          <cell r="X61">
            <v>-1.978947368421052E-2</v>
          </cell>
          <cell r="Y61">
            <v>5.1730998806207608E-3</v>
          </cell>
          <cell r="Z61">
            <v>-1.435991445157348E-2</v>
          </cell>
          <cell r="AA61">
            <v>-1.3394315583142762E-2</v>
          </cell>
          <cell r="AB61">
            <v>-1.7613825191093387E-2</v>
          </cell>
          <cell r="AC61">
            <v>-1.2195121951219509E-2</v>
          </cell>
          <cell r="AD61">
            <v>-1.864728192161821E-2</v>
          </cell>
          <cell r="AE61">
            <v>-1.5532055518836751E-2</v>
          </cell>
          <cell r="AF61">
            <v>-8.9037284362826936E-3</v>
          </cell>
          <cell r="AG61">
            <v>-1.0621348911311737E-2</v>
          </cell>
          <cell r="AH61">
            <v>-1.2682657843948168E-2</v>
          </cell>
          <cell r="AI61">
            <v>-5.2334530528476121E-2</v>
          </cell>
          <cell r="AJ61">
            <v>-2.1632515955660063E-2</v>
          </cell>
          <cell r="AK61">
            <v>-7.6534296028880872E-2</v>
          </cell>
          <cell r="AL61">
            <v>-0.12469615945551775</v>
          </cell>
          <cell r="AM61">
            <v>-0.13996057448606028</v>
          </cell>
          <cell r="AN61">
            <v>0.285674702133555</v>
          </cell>
          <cell r="AO61">
            <v>-1.924946529263076E-2</v>
          </cell>
          <cell r="AP61">
            <v>5.8906691800188496E-2</v>
          </cell>
          <cell r="AQ61">
            <v>0</v>
          </cell>
          <cell r="AR61">
            <v>0</v>
          </cell>
          <cell r="AS61">
            <v>-3.8830075743567637E-2</v>
          </cell>
          <cell r="AT61">
            <v>-1.1534128755273399E-2</v>
          </cell>
          <cell r="AU61">
            <v>-1.3698630136986301E-2</v>
          </cell>
          <cell r="AV61">
            <v>-1.4624159110851126E-2</v>
          </cell>
          <cell r="AW61">
            <v>-1.8496654860291225E-2</v>
          </cell>
          <cell r="AX61">
            <v>-1.7384105960264903E-2</v>
          </cell>
          <cell r="AY61">
            <v>-5.8706136703808413E-2</v>
          </cell>
          <cell r="AZ61">
            <v>0</v>
          </cell>
          <cell r="BA61">
            <v>0</v>
          </cell>
          <cell r="BB61">
            <v>25</v>
          </cell>
          <cell r="BC61">
            <v>-2.0376482470258854E-2</v>
          </cell>
          <cell r="BD61">
            <v>-6.5367044226397664E-2</v>
          </cell>
          <cell r="BG61" t="str">
            <v>USA Fibre Cement</v>
          </cell>
          <cell r="BH61">
            <v>346.1</v>
          </cell>
          <cell r="BI61">
            <v>308</v>
          </cell>
          <cell r="BJ61">
            <v>258.2</v>
          </cell>
          <cell r="BK61">
            <v>232.5</v>
          </cell>
          <cell r="BL61">
            <v>1144.8</v>
          </cell>
          <cell r="BM61">
            <v>281.7</v>
          </cell>
          <cell r="BN61">
            <v>263</v>
          </cell>
          <cell r="BO61">
            <v>195.6</v>
          </cell>
          <cell r="BP61">
            <v>188.99999999999989</v>
          </cell>
          <cell r="BQ61">
            <v>929.3</v>
          </cell>
          <cell r="BR61">
            <v>12.370129870129887</v>
          </cell>
          <cell r="BS61">
            <v>27</v>
          </cell>
        </row>
        <row r="62">
          <cell r="A62" t="str">
            <v>Total EBIT Margin %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0.17534246575342463</v>
          </cell>
          <cell r="AV62">
            <v>0.15121380520620067</v>
          </cell>
          <cell r="AW62" t="str">
            <v>Segment Sales</v>
          </cell>
          <cell r="AX62">
            <v>6.3741721854304753E-2</v>
          </cell>
          <cell r="AY62">
            <v>0.13046732080492268</v>
          </cell>
          <cell r="AZ62">
            <v>0</v>
          </cell>
          <cell r="BA62">
            <v>0</v>
          </cell>
          <cell r="BB62">
            <v>26</v>
          </cell>
          <cell r="BC62">
            <v>0.10866700550785804</v>
          </cell>
          <cell r="BD62">
            <v>0.10866700550785804</v>
          </cell>
          <cell r="BF62" t="str">
            <v>Segment Sales</v>
          </cell>
          <cell r="BG62" t="str">
            <v>Asia Pacific Fibre Cement</v>
          </cell>
          <cell r="BH62">
            <v>71.2</v>
          </cell>
          <cell r="BI62">
            <v>76.099999999999994</v>
          </cell>
          <cell r="BJ62">
            <v>77.5</v>
          </cell>
          <cell r="BK62">
            <v>73.5</v>
          </cell>
          <cell r="BL62">
            <v>298.3</v>
          </cell>
          <cell r="BM62">
            <v>83.3</v>
          </cell>
          <cell r="BN62">
            <v>78.900000000000006</v>
          </cell>
          <cell r="BO62">
            <v>58.5</v>
          </cell>
          <cell r="BP62">
            <v>52.600000000000023</v>
          </cell>
          <cell r="BQ62">
            <v>273.3</v>
          </cell>
          <cell r="BR62">
            <v>-6.4388961892246961</v>
          </cell>
          <cell r="BS62">
            <v>28</v>
          </cell>
        </row>
        <row r="63">
          <cell r="AW63" t="str">
            <v>USA Fibre Cement</v>
          </cell>
          <cell r="AY63">
            <v>0</v>
          </cell>
          <cell r="AZ63">
            <v>0</v>
          </cell>
          <cell r="BA63" t="str">
            <v>-</v>
          </cell>
          <cell r="BB63">
            <v>27</v>
          </cell>
          <cell r="BF63" t="str">
            <v>USA Fibre Cement</v>
          </cell>
          <cell r="BG63" t="str">
            <v xml:space="preserve">Other </v>
          </cell>
          <cell r="BH63">
            <v>7.1</v>
          </cell>
          <cell r="BI63">
            <v>6</v>
          </cell>
          <cell r="BJ63">
            <v>5.7</v>
          </cell>
          <cell r="BK63">
            <v>6.9</v>
          </cell>
          <cell r="BL63">
            <v>25.700000000000003</v>
          </cell>
          <cell r="BM63">
            <v>0</v>
          </cell>
          <cell r="BN63">
            <v>0</v>
          </cell>
          <cell r="BO63">
            <v>0</v>
          </cell>
          <cell r="BP63">
            <v>0</v>
          </cell>
          <cell r="BQ63">
            <v>0</v>
          </cell>
          <cell r="BR63">
            <v>18.333333333333336</v>
          </cell>
          <cell r="BS63">
            <v>29</v>
          </cell>
        </row>
        <row r="64">
          <cell r="A64" t="str">
            <v>Balance Sheet</v>
          </cell>
          <cell r="AW64" t="str">
            <v>Asia Pacific Fibre Cement</v>
          </cell>
          <cell r="AY64">
            <v>0</v>
          </cell>
          <cell r="AZ64">
            <v>63.8</v>
          </cell>
          <cell r="BA64">
            <v>-100</v>
          </cell>
          <cell r="BB64">
            <v>28</v>
          </cell>
          <cell r="BF64" t="str">
            <v>Asia Pacific Fibre Cement</v>
          </cell>
          <cell r="BG64" t="str">
            <v>General Corporate</v>
          </cell>
          <cell r="BH64">
            <v>0</v>
          </cell>
          <cell r="BI64">
            <v>0</v>
          </cell>
          <cell r="BJ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P64">
            <v>0</v>
          </cell>
          <cell r="BQ64">
            <v>0</v>
          </cell>
          <cell r="BR64" t="str">
            <v>-</v>
          </cell>
          <cell r="BS64">
            <v>30</v>
          </cell>
        </row>
        <row r="65">
          <cell r="A65" t="str">
            <v>Cash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75.099999999999994</v>
          </cell>
          <cell r="K65">
            <v>75.099999999999994</v>
          </cell>
          <cell r="L65">
            <v>0.25</v>
          </cell>
          <cell r="M65">
            <v>0.25651978417266186</v>
          </cell>
          <cell r="N65">
            <v>0.2297661870503597</v>
          </cell>
          <cell r="O65">
            <v>31.1</v>
          </cell>
          <cell r="P65">
            <v>31.1</v>
          </cell>
          <cell r="Q65">
            <v>307.3</v>
          </cell>
          <cell r="R65">
            <v>321.8</v>
          </cell>
          <cell r="S65">
            <v>109.5</v>
          </cell>
          <cell r="T65">
            <v>55.1</v>
          </cell>
          <cell r="U65">
            <v>55.1</v>
          </cell>
          <cell r="V65">
            <v>70.599999999999994</v>
          </cell>
          <cell r="W65">
            <v>54.55</v>
          </cell>
          <cell r="X65">
            <v>38.5</v>
          </cell>
          <cell r="Y65">
            <v>72.3</v>
          </cell>
          <cell r="Z65">
            <v>72.3</v>
          </cell>
          <cell r="AA65">
            <v>112.9</v>
          </cell>
          <cell r="AB65">
            <v>114.8</v>
          </cell>
          <cell r="AC65">
            <v>73.5</v>
          </cell>
          <cell r="AD65">
            <v>113.5</v>
          </cell>
          <cell r="AE65">
            <v>113.5</v>
          </cell>
          <cell r="AF65">
            <v>161.6</v>
          </cell>
          <cell r="AG65">
            <v>170.9</v>
          </cell>
          <cell r="AH65">
            <v>149</v>
          </cell>
          <cell r="AI65">
            <v>315.10000000000002</v>
          </cell>
          <cell r="AJ65">
            <v>315.10000000000002</v>
          </cell>
          <cell r="AK65">
            <v>175.4</v>
          </cell>
          <cell r="AL65">
            <v>52.3</v>
          </cell>
          <cell r="AM65">
            <v>70.3</v>
          </cell>
          <cell r="AN65">
            <v>34.1</v>
          </cell>
          <cell r="AO65">
            <v>34.1</v>
          </cell>
          <cell r="AP65">
            <v>230.29999999999998</v>
          </cell>
          <cell r="AQ65">
            <v>0.26904262753319358</v>
          </cell>
          <cell r="AR65">
            <v>0.22554157931516422</v>
          </cell>
          <cell r="AS65">
            <v>34.100000000000193</v>
          </cell>
          <cell r="AT65">
            <v>34.100000000000193</v>
          </cell>
          <cell r="AU65">
            <v>0.30313138921769073</v>
          </cell>
          <cell r="AV65">
            <v>0.28300871623802865</v>
          </cell>
          <cell r="AW65" t="str">
            <v xml:space="preserve">Other </v>
          </cell>
          <cell r="AX65">
            <v>0.20337888733455278</v>
          </cell>
          <cell r="AY65">
            <v>0</v>
          </cell>
          <cell r="AZ65">
            <v>8.6</v>
          </cell>
          <cell r="BA65">
            <v>-100</v>
          </cell>
          <cell r="BB65">
            <v>29</v>
          </cell>
          <cell r="BC65">
            <v>1</v>
          </cell>
          <cell r="BD65">
            <v>1</v>
          </cell>
          <cell r="BF65" t="str">
            <v xml:space="preserve">Other </v>
          </cell>
          <cell r="BG65" t="str">
            <v>Total Sales</v>
          </cell>
          <cell r="BH65">
            <v>424.40000000000003</v>
          </cell>
          <cell r="BI65">
            <v>390.1</v>
          </cell>
          <cell r="BJ65">
            <v>341.4</v>
          </cell>
          <cell r="BK65">
            <v>312.89999999999998</v>
          </cell>
          <cell r="BL65">
            <v>1468.8</v>
          </cell>
          <cell r="BM65">
            <v>365</v>
          </cell>
          <cell r="BN65">
            <v>341.9</v>
          </cell>
          <cell r="BO65">
            <v>254.1</v>
          </cell>
          <cell r="BP65">
            <v>241.59999999999991</v>
          </cell>
          <cell r="BQ65">
            <v>1202.5999999999999</v>
          </cell>
          <cell r="BR65">
            <v>8.7926172776211295</v>
          </cell>
          <cell r="BS65">
            <v>31</v>
          </cell>
        </row>
        <row r="66">
          <cell r="A66" t="str">
            <v>Receivables</v>
          </cell>
          <cell r="E66">
            <v>0</v>
          </cell>
          <cell r="F66">
            <v>0</v>
          </cell>
          <cell r="J66">
            <v>47.7</v>
          </cell>
          <cell r="K66">
            <v>47.7</v>
          </cell>
          <cell r="O66">
            <v>80.3</v>
          </cell>
          <cell r="P66">
            <v>80.3</v>
          </cell>
          <cell r="Q66">
            <v>87.8</v>
          </cell>
          <cell r="R66">
            <v>86.6</v>
          </cell>
          <cell r="S66">
            <v>77.7</v>
          </cell>
          <cell r="T66">
            <v>91.4</v>
          </cell>
          <cell r="U66">
            <v>91.4</v>
          </cell>
          <cell r="V66">
            <v>96.1</v>
          </cell>
          <cell r="W66">
            <v>93.85</v>
          </cell>
          <cell r="X66">
            <v>91.6</v>
          </cell>
          <cell r="Y66">
            <v>118.4</v>
          </cell>
          <cell r="Z66">
            <v>118.4</v>
          </cell>
          <cell r="AA66">
            <v>117.2</v>
          </cell>
          <cell r="AB66">
            <v>112.4</v>
          </cell>
          <cell r="AC66">
            <v>106.3</v>
          </cell>
          <cell r="AD66">
            <v>127.2</v>
          </cell>
          <cell r="AE66">
            <v>127.2</v>
          </cell>
          <cell r="AF66">
            <v>139</v>
          </cell>
          <cell r="AG66">
            <v>131.9</v>
          </cell>
          <cell r="AH66">
            <v>125.1</v>
          </cell>
          <cell r="AI66">
            <v>153.19999999999999</v>
          </cell>
          <cell r="AJ66">
            <v>153.19999999999999</v>
          </cell>
          <cell r="AK66">
            <v>158</v>
          </cell>
          <cell r="AL66">
            <v>157.6</v>
          </cell>
          <cell r="AM66">
            <v>123.3</v>
          </cell>
          <cell r="AN66">
            <v>163.4</v>
          </cell>
          <cell r="AO66">
            <v>163.4</v>
          </cell>
          <cell r="AP66">
            <v>168.2</v>
          </cell>
          <cell r="AS66">
            <v>160.93461070893318</v>
          </cell>
          <cell r="AT66">
            <v>160.93461070893318</v>
          </cell>
          <cell r="AW66" t="str">
            <v>General Corporate</v>
          </cell>
          <cell r="AY66">
            <v>0</v>
          </cell>
          <cell r="AZ66">
            <v>0</v>
          </cell>
          <cell r="BA66" t="str">
            <v>-</v>
          </cell>
          <cell r="BB66">
            <v>30</v>
          </cell>
          <cell r="BF66" t="str">
            <v>General Corporate</v>
          </cell>
          <cell r="BS66">
            <v>46</v>
          </cell>
        </row>
        <row r="67">
          <cell r="A67" t="str">
            <v>Inventories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69.5</v>
          </cell>
          <cell r="K67">
            <v>69.5</v>
          </cell>
          <cell r="L67">
            <v>0.2332695984703633</v>
          </cell>
          <cell r="M67">
            <v>0.25621414913957935</v>
          </cell>
          <cell r="N67">
            <v>0.26195028680688337</v>
          </cell>
          <cell r="O67">
            <v>65.400000000000006</v>
          </cell>
          <cell r="P67">
            <v>65.400000000000006</v>
          </cell>
          <cell r="Q67">
            <v>50.8</v>
          </cell>
          <cell r="R67">
            <v>50.6</v>
          </cell>
          <cell r="S67">
            <v>60.2</v>
          </cell>
          <cell r="T67">
            <v>75.2</v>
          </cell>
          <cell r="U67">
            <v>75.2</v>
          </cell>
          <cell r="V67">
            <v>73.400000000000006</v>
          </cell>
          <cell r="W67">
            <v>81.900000000000006</v>
          </cell>
          <cell r="X67">
            <v>90.4</v>
          </cell>
          <cell r="Y67">
            <v>103.2</v>
          </cell>
          <cell r="Z67">
            <v>103.2</v>
          </cell>
          <cell r="AA67">
            <v>91.3</v>
          </cell>
          <cell r="AB67">
            <v>89.5</v>
          </cell>
          <cell r="AC67">
            <v>93.3</v>
          </cell>
          <cell r="AD67">
            <v>99.9</v>
          </cell>
          <cell r="AE67">
            <v>99.9</v>
          </cell>
          <cell r="AF67">
            <v>104.1</v>
          </cell>
          <cell r="AG67">
            <v>109.7</v>
          </cell>
          <cell r="AH67">
            <v>114.3</v>
          </cell>
          <cell r="AI67">
            <v>124</v>
          </cell>
          <cell r="AJ67">
            <v>124</v>
          </cell>
          <cell r="AK67">
            <v>136.9</v>
          </cell>
          <cell r="AL67">
            <v>142.19999999999999</v>
          </cell>
          <cell r="AM67">
            <v>152.80000000000001</v>
          </cell>
          <cell r="AN67">
            <v>147.6</v>
          </cell>
          <cell r="AO67">
            <v>147.6</v>
          </cell>
          <cell r="AP67">
            <v>133.6</v>
          </cell>
          <cell r="AQ67">
            <v>0.25511230305062016</v>
          </cell>
          <cell r="AR67">
            <v>0.25980556486758294</v>
          </cell>
          <cell r="AS67">
            <v>145.37300208469114</v>
          </cell>
          <cell r="AT67">
            <v>145.37300208469114</v>
          </cell>
          <cell r="AU67">
            <v>0.30479326747164287</v>
          </cell>
          <cell r="AV67">
            <v>0.28869374313940727</v>
          </cell>
          <cell r="AW67" t="str">
            <v>Total Sales</v>
          </cell>
          <cell r="AX67">
            <v>0.19246249542627158</v>
          </cell>
          <cell r="AY67">
            <v>0</v>
          </cell>
          <cell r="AZ67">
            <v>411.40000000000003</v>
          </cell>
          <cell r="BA67">
            <v>-100</v>
          </cell>
          <cell r="BB67">
            <v>31</v>
          </cell>
          <cell r="BC67">
            <v>1</v>
          </cell>
          <cell r="BD67">
            <v>1</v>
          </cell>
          <cell r="BF67" t="str">
            <v>Total Sales</v>
          </cell>
          <cell r="BG67" t="str">
            <v>EBITDA</v>
          </cell>
          <cell r="BH67">
            <v>119.90000000000002</v>
          </cell>
          <cell r="BI67">
            <v>88.2</v>
          </cell>
          <cell r="BJ67">
            <v>71.8</v>
          </cell>
          <cell r="BK67">
            <v>55.1</v>
          </cell>
          <cell r="BL67">
            <v>334.99999999999994</v>
          </cell>
          <cell r="BM67">
            <v>77.999999999999986</v>
          </cell>
          <cell r="BN67">
            <v>66.3</v>
          </cell>
          <cell r="BO67">
            <v>38.799999999999997</v>
          </cell>
          <cell r="BP67">
            <v>30.200000000000021</v>
          </cell>
          <cell r="BQ67">
            <v>213.3</v>
          </cell>
          <cell r="BR67">
            <v>35.941043083900247</v>
          </cell>
          <cell r="BS67">
            <v>33</v>
          </cell>
        </row>
        <row r="68">
          <cell r="A68" t="str">
            <v>Other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65.400000000000006</v>
          </cell>
          <cell r="K68">
            <v>65.400000000000006</v>
          </cell>
          <cell r="L68">
            <v>0.14285714285714285</v>
          </cell>
          <cell r="M68">
            <v>0.21428571428571427</v>
          </cell>
          <cell r="N68">
            <v>0.2857142857142857</v>
          </cell>
          <cell r="O68">
            <v>61.300000000000004</v>
          </cell>
          <cell r="P68">
            <v>61.300000000000004</v>
          </cell>
          <cell r="Q68">
            <v>24.199999999999989</v>
          </cell>
          <cell r="R68">
            <v>29.800000000000011</v>
          </cell>
          <cell r="S68">
            <v>28.400000000000034</v>
          </cell>
          <cell r="T68">
            <v>50.1</v>
          </cell>
          <cell r="U68">
            <v>50.1</v>
          </cell>
          <cell r="V68">
            <v>71.3</v>
          </cell>
          <cell r="W68">
            <v>71.3</v>
          </cell>
          <cell r="X68">
            <v>0.26808510638297872</v>
          </cell>
          <cell r="Y68">
            <v>71.3</v>
          </cell>
          <cell r="Z68">
            <v>71.3</v>
          </cell>
          <cell r="AA68">
            <v>40.999999999999943</v>
          </cell>
          <cell r="AB68">
            <v>51</v>
          </cell>
          <cell r="AC68">
            <v>56.199999999999989</v>
          </cell>
          <cell r="AD68">
            <v>38</v>
          </cell>
          <cell r="AE68">
            <v>38</v>
          </cell>
          <cell r="AF68">
            <v>56.699999999999932</v>
          </cell>
          <cell r="AG68">
            <v>40.600000000000023</v>
          </cell>
          <cell r="AH68">
            <v>40.999999999999943</v>
          </cell>
          <cell r="AI68">
            <v>64.5</v>
          </cell>
          <cell r="AJ68">
            <v>64.5</v>
          </cell>
          <cell r="AK68">
            <v>66.800000000000068</v>
          </cell>
          <cell r="AL68">
            <v>74.100000000000023</v>
          </cell>
          <cell r="AM68">
            <v>74.5</v>
          </cell>
          <cell r="AN68">
            <v>231.5</v>
          </cell>
          <cell r="AO68">
            <v>231.5</v>
          </cell>
          <cell r="AP68">
            <v>89.199999999999932</v>
          </cell>
          <cell r="AQ68">
            <v>0.23346303501945523</v>
          </cell>
          <cell r="AR68">
            <v>0.22178988326848248</v>
          </cell>
          <cell r="AS68">
            <v>231.5</v>
          </cell>
          <cell r="AT68">
            <v>231.5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46</v>
          </cell>
          <cell r="BC68">
            <v>0</v>
          </cell>
          <cell r="BD68">
            <v>0</v>
          </cell>
          <cell r="BG68" t="str">
            <v>Depreciation and amortisation</v>
          </cell>
          <cell r="BH68">
            <v>14.2</v>
          </cell>
          <cell r="BI68">
            <v>13.500000000000002</v>
          </cell>
          <cell r="BJ68">
            <v>14.4</v>
          </cell>
          <cell r="BK68">
            <v>14.4</v>
          </cell>
          <cell r="BL68">
            <v>56.5</v>
          </cell>
          <cell r="BM68">
            <v>14</v>
          </cell>
          <cell r="BN68">
            <v>14.6</v>
          </cell>
          <cell r="BO68">
            <v>13</v>
          </cell>
          <cell r="BP68">
            <v>14.799999999999997</v>
          </cell>
          <cell r="BQ68">
            <v>56.4</v>
          </cell>
          <cell r="BR68">
            <v>5.1851851851851594</v>
          </cell>
          <cell r="BS68">
            <v>34</v>
          </cell>
        </row>
        <row r="69">
          <cell r="A69" t="str">
            <v>Current Assets</v>
          </cell>
          <cell r="E69">
            <v>0</v>
          </cell>
          <cell r="F69">
            <v>0</v>
          </cell>
          <cell r="J69">
            <v>257.70000000000005</v>
          </cell>
          <cell r="K69">
            <v>257.70000000000005</v>
          </cell>
          <cell r="O69">
            <v>238.10000000000002</v>
          </cell>
          <cell r="P69">
            <v>238.10000000000002</v>
          </cell>
          <cell r="Q69">
            <v>470.1</v>
          </cell>
          <cell r="R69">
            <v>488.8</v>
          </cell>
          <cell r="S69">
            <v>275.8</v>
          </cell>
          <cell r="T69">
            <v>271.8</v>
          </cell>
          <cell r="U69">
            <v>271.8</v>
          </cell>
          <cell r="V69">
            <v>294.8</v>
          </cell>
          <cell r="W69">
            <v>280.05</v>
          </cell>
          <cell r="X69">
            <v>265.3</v>
          </cell>
          <cell r="Y69">
            <v>365.2</v>
          </cell>
          <cell r="Z69">
            <v>365.2</v>
          </cell>
          <cell r="AA69">
            <v>362.4</v>
          </cell>
          <cell r="AB69">
            <v>367.7</v>
          </cell>
          <cell r="AC69">
            <v>329.3</v>
          </cell>
          <cell r="AD69">
            <v>378.6</v>
          </cell>
          <cell r="AE69">
            <v>378.6</v>
          </cell>
          <cell r="AF69">
            <v>461.4</v>
          </cell>
          <cell r="AG69">
            <v>453.1</v>
          </cell>
          <cell r="AH69">
            <v>429.4</v>
          </cell>
          <cell r="AI69">
            <v>656.8</v>
          </cell>
          <cell r="AJ69">
            <v>656.8</v>
          </cell>
          <cell r="AK69">
            <v>537.1</v>
          </cell>
          <cell r="AL69">
            <v>426.2</v>
          </cell>
          <cell r="AM69">
            <v>420.9</v>
          </cell>
          <cell r="AN69">
            <v>576.6</v>
          </cell>
          <cell r="AO69">
            <v>576.6</v>
          </cell>
          <cell r="AP69">
            <v>621.29999999999995</v>
          </cell>
          <cell r="AS69">
            <v>571.90761279362448</v>
          </cell>
          <cell r="AT69">
            <v>571.90761279362448</v>
          </cell>
          <cell r="AW69" t="str">
            <v>EBITDA</v>
          </cell>
          <cell r="AY69">
            <v>0</v>
          </cell>
          <cell r="AZ69">
            <v>54.199999999999989</v>
          </cell>
          <cell r="BA69">
            <v>-100</v>
          </cell>
          <cell r="BB69">
            <v>33</v>
          </cell>
          <cell r="BF69" t="str">
            <v>EBITDA</v>
          </cell>
          <cell r="BS69">
            <v>49</v>
          </cell>
        </row>
        <row r="70">
          <cell r="A70" t="str">
            <v>Total Sales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1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1</v>
          </cell>
          <cell r="L70">
            <v>0.24485088152908219</v>
          </cell>
          <cell r="M70">
            <v>0.25622013511286867</v>
          </cell>
          <cell r="N70">
            <v>0.23858955346844618</v>
          </cell>
          <cell r="O70">
            <v>0.26033942988960285</v>
          </cell>
          <cell r="P70">
            <v>1</v>
          </cell>
          <cell r="Q70">
            <v>0.24909792211024015</v>
          </cell>
          <cell r="R70">
            <v>0.25830533781261661</v>
          </cell>
          <cell r="S70">
            <v>0.24561403508771928</v>
          </cell>
          <cell r="T70">
            <v>0.24698270498942401</v>
          </cell>
          <cell r="U70">
            <v>1</v>
          </cell>
          <cell r="V70">
            <v>0.24595172624503511</v>
          </cell>
          <cell r="W70">
            <v>0.25623790610041752</v>
          </cell>
          <cell r="X70">
            <v>0.24187799164884408</v>
          </cell>
          <cell r="Y70">
            <v>0.25593237600570323</v>
          </cell>
          <cell r="Z70">
            <v>1</v>
          </cell>
          <cell r="AA70">
            <v>0.25289160608063455</v>
          </cell>
          <cell r="AB70">
            <v>0.24859550561797752</v>
          </cell>
          <cell r="AC70">
            <v>0.23711169861202916</v>
          </cell>
          <cell r="AD70">
            <v>0.26140118968935894</v>
          </cell>
          <cell r="AE70">
            <v>1</v>
          </cell>
          <cell r="AF70">
            <v>0.24145112529392004</v>
          </cell>
          <cell r="AG70">
            <v>0.25300638226402417</v>
          </cell>
          <cell r="AH70">
            <v>0.2436681222707423</v>
          </cell>
          <cell r="AI70">
            <v>0.26187437017131354</v>
          </cell>
          <cell r="AJ70">
            <v>1</v>
          </cell>
          <cell r="AK70">
            <v>0.2692980750534707</v>
          </cell>
          <cell r="AL70">
            <v>0.26664074146088534</v>
          </cell>
          <cell r="AM70">
            <v>0.23015101432367616</v>
          </cell>
          <cell r="AN70">
            <v>0.23391016916196766</v>
          </cell>
          <cell r="AO70">
            <v>1</v>
          </cell>
          <cell r="AP70">
            <v>0.28894335511982572</v>
          </cell>
          <cell r="AQ70">
            <v>0.26559095860566451</v>
          </cell>
          <cell r="AR70">
            <v>0.2324346405228758</v>
          </cell>
          <cell r="AS70">
            <v>0.21303104575163398</v>
          </cell>
          <cell r="AT70">
            <v>1</v>
          </cell>
          <cell r="AU70">
            <v>0.30350906369532682</v>
          </cell>
          <cell r="AV70">
            <v>0.28430068185597873</v>
          </cell>
          <cell r="AW70" t="str">
            <v>Depreciation and amortisation</v>
          </cell>
          <cell r="AX70">
            <v>0.20089805421586557</v>
          </cell>
          <cell r="AY70">
            <v>0</v>
          </cell>
          <cell r="AZ70">
            <v>13.2</v>
          </cell>
          <cell r="BA70">
            <v>-100</v>
          </cell>
          <cell r="BB70">
            <v>34</v>
          </cell>
          <cell r="BC70">
            <v>1</v>
          </cell>
          <cell r="BD70">
            <v>1</v>
          </cell>
          <cell r="BF70" t="str">
            <v>Depreciation and amortisation</v>
          </cell>
          <cell r="BG70" t="str">
            <v>Segment EBIT</v>
          </cell>
        </row>
        <row r="71">
          <cell r="A71" t="str">
            <v xml:space="preserve">PPE </v>
          </cell>
          <cell r="E71">
            <v>0</v>
          </cell>
          <cell r="F71">
            <v>0</v>
          </cell>
          <cell r="J71">
            <v>391.6</v>
          </cell>
          <cell r="K71">
            <v>391.6</v>
          </cell>
          <cell r="O71">
            <v>451</v>
          </cell>
          <cell r="P71">
            <v>451</v>
          </cell>
          <cell r="Q71">
            <v>456.7</v>
          </cell>
          <cell r="R71">
            <v>463.4</v>
          </cell>
          <cell r="S71">
            <v>496.1</v>
          </cell>
          <cell r="T71">
            <v>521.29999999999995</v>
          </cell>
          <cell r="U71">
            <v>521.29999999999995</v>
          </cell>
          <cell r="V71">
            <v>540.1</v>
          </cell>
          <cell r="W71">
            <v>553.79999999999995</v>
          </cell>
          <cell r="X71">
            <v>567.5</v>
          </cell>
          <cell r="Y71">
            <v>567.1</v>
          </cell>
          <cell r="Z71">
            <v>567.1</v>
          </cell>
          <cell r="AA71">
            <v>584.79999999999995</v>
          </cell>
          <cell r="AB71">
            <v>629.5</v>
          </cell>
          <cell r="AC71">
            <v>670.2</v>
          </cell>
          <cell r="AD71">
            <v>685.7</v>
          </cell>
          <cell r="AE71">
            <v>685.7</v>
          </cell>
          <cell r="AF71">
            <v>700.6</v>
          </cell>
          <cell r="AG71">
            <v>727.9</v>
          </cell>
          <cell r="AH71">
            <v>764.3</v>
          </cell>
          <cell r="AI71">
            <v>775.6</v>
          </cell>
          <cell r="AJ71">
            <v>775.6</v>
          </cell>
          <cell r="AK71">
            <v>801.8</v>
          </cell>
          <cell r="AL71">
            <v>816.1</v>
          </cell>
          <cell r="AM71">
            <v>825.5</v>
          </cell>
          <cell r="AN71">
            <v>827.7</v>
          </cell>
          <cell r="AO71">
            <v>827.7</v>
          </cell>
          <cell r="AP71">
            <v>839.6</v>
          </cell>
          <cell r="AS71">
            <v>823.7718000000001</v>
          </cell>
          <cell r="AT71">
            <v>823.7718000000001</v>
          </cell>
          <cell r="BB71">
            <v>49</v>
          </cell>
          <cell r="BG71" t="str">
            <v>USA Fibre Cement</v>
          </cell>
          <cell r="BH71">
            <v>114.4</v>
          </cell>
          <cell r="BI71">
            <v>84.3</v>
          </cell>
          <cell r="BJ71">
            <v>64.599999999999994</v>
          </cell>
          <cell r="BK71">
            <v>50.3</v>
          </cell>
          <cell r="BL71">
            <v>313.59999999999997</v>
          </cell>
          <cell r="BM71">
            <v>65.599999999999994</v>
          </cell>
          <cell r="BN71">
            <v>61.1</v>
          </cell>
          <cell r="BO71">
            <v>40.299999999999997</v>
          </cell>
          <cell r="BP71">
            <v>32.300000000000011</v>
          </cell>
          <cell r="BQ71">
            <v>199.3</v>
          </cell>
          <cell r="BR71">
            <v>35.705812574139983</v>
          </cell>
          <cell r="BS71">
            <v>37</v>
          </cell>
        </row>
        <row r="72">
          <cell r="A72" t="str">
            <v>Other</v>
          </cell>
          <cell r="E72">
            <v>0</v>
          </cell>
          <cell r="F72">
            <v>0</v>
          </cell>
          <cell r="J72">
            <v>253</v>
          </cell>
          <cell r="K72">
            <v>253</v>
          </cell>
          <cell r="O72">
            <v>224.39999999999998</v>
          </cell>
          <cell r="P72">
            <v>224.39999999999998</v>
          </cell>
          <cell r="Q72">
            <v>30.400000000000034</v>
          </cell>
          <cell r="R72">
            <v>27.000000000000057</v>
          </cell>
          <cell r="S72">
            <v>24.800000000000068</v>
          </cell>
          <cell r="T72">
            <v>34.5</v>
          </cell>
          <cell r="U72">
            <v>34.5</v>
          </cell>
          <cell r="V72">
            <v>37.800000000000068</v>
          </cell>
          <cell r="W72">
            <v>33.949999999999989</v>
          </cell>
          <cell r="X72">
            <v>30.099999999999909</v>
          </cell>
          <cell r="Y72">
            <v>38.899999999999977</v>
          </cell>
          <cell r="Z72">
            <v>38.899999999999977</v>
          </cell>
          <cell r="AA72">
            <v>34.500000000000114</v>
          </cell>
          <cell r="AB72">
            <v>32</v>
          </cell>
          <cell r="AC72">
            <v>35.599999999999909</v>
          </cell>
          <cell r="AD72">
            <v>24.600000000000023</v>
          </cell>
          <cell r="AE72">
            <v>24.600000000000023</v>
          </cell>
          <cell r="AF72">
            <v>20.5</v>
          </cell>
          <cell r="AG72">
            <v>19.5</v>
          </cell>
          <cell r="AH72">
            <v>19.000000000000114</v>
          </cell>
          <cell r="AI72">
            <v>13</v>
          </cell>
          <cell r="AJ72">
            <v>13</v>
          </cell>
          <cell r="AK72">
            <v>13.300000000000068</v>
          </cell>
          <cell r="AL72">
            <v>153.99999999999989</v>
          </cell>
          <cell r="AM72">
            <v>163.80000000000007</v>
          </cell>
          <cell r="AN72">
            <v>723.8</v>
          </cell>
          <cell r="AO72">
            <v>723.8</v>
          </cell>
          <cell r="AP72">
            <v>756.9000000000002</v>
          </cell>
          <cell r="AS72">
            <v>723.80000000000007</v>
          </cell>
          <cell r="AT72">
            <v>723.80000000000007</v>
          </cell>
          <cell r="AW72" t="str">
            <v>Segment EBIT</v>
          </cell>
          <cell r="BF72" t="str">
            <v>Segment EBIT</v>
          </cell>
          <cell r="BG72" t="str">
            <v>Asia Pacific Fibre Cement</v>
          </cell>
          <cell r="BH72">
            <v>12.4</v>
          </cell>
          <cell r="BI72">
            <v>12.4</v>
          </cell>
          <cell r="BJ72">
            <v>14.8</v>
          </cell>
          <cell r="BK72">
            <v>10.7</v>
          </cell>
          <cell r="BL72">
            <v>50.3</v>
          </cell>
          <cell r="BM72">
            <v>15.8</v>
          </cell>
          <cell r="BN72">
            <v>14.1</v>
          </cell>
          <cell r="BO72">
            <v>10.5</v>
          </cell>
          <cell r="BP72">
            <v>6.7000000000000028</v>
          </cell>
          <cell r="BQ72">
            <v>47.1</v>
          </cell>
          <cell r="BR72">
            <v>0</v>
          </cell>
          <cell r="BS72">
            <v>38</v>
          </cell>
        </row>
        <row r="73">
          <cell r="A73" t="str">
            <v>Non Current Assets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644.6</v>
          </cell>
          <cell r="K73">
            <v>644.6</v>
          </cell>
          <cell r="L73">
            <v>0.28205128205128205</v>
          </cell>
          <cell r="M73">
            <v>0.3286713286713287</v>
          </cell>
          <cell r="N73">
            <v>0.10722610722610722</v>
          </cell>
          <cell r="O73">
            <v>675.4</v>
          </cell>
          <cell r="P73">
            <v>675.4</v>
          </cell>
          <cell r="Q73">
            <v>487.1</v>
          </cell>
          <cell r="R73">
            <v>490.40000000000003</v>
          </cell>
          <cell r="S73">
            <v>520.90000000000009</v>
          </cell>
          <cell r="T73">
            <v>555.79999999999995</v>
          </cell>
          <cell r="U73">
            <v>555.79999999999995</v>
          </cell>
          <cell r="V73">
            <v>577.90000000000009</v>
          </cell>
          <cell r="W73">
            <v>587.75</v>
          </cell>
          <cell r="X73">
            <v>597.59999999999991</v>
          </cell>
          <cell r="Y73">
            <v>606</v>
          </cell>
          <cell r="Z73">
            <v>606</v>
          </cell>
          <cell r="AA73">
            <v>619.30000000000007</v>
          </cell>
          <cell r="AB73">
            <v>661.5</v>
          </cell>
          <cell r="AC73">
            <v>705.8</v>
          </cell>
          <cell r="AD73">
            <v>710.30000000000007</v>
          </cell>
          <cell r="AE73">
            <v>710.30000000000007</v>
          </cell>
          <cell r="AF73">
            <v>721.1</v>
          </cell>
          <cell r="AG73">
            <v>747.4</v>
          </cell>
          <cell r="AH73">
            <v>783.30000000000007</v>
          </cell>
          <cell r="AI73">
            <v>788.6</v>
          </cell>
          <cell r="AJ73">
            <v>788.6</v>
          </cell>
          <cell r="AK73">
            <v>815.1</v>
          </cell>
          <cell r="AL73">
            <v>970.09999999999991</v>
          </cell>
          <cell r="AM73">
            <v>989.30000000000007</v>
          </cell>
          <cell r="AN73">
            <v>1551.5</v>
          </cell>
          <cell r="AO73">
            <v>1551.5</v>
          </cell>
          <cell r="AP73">
            <v>1596.5000000000002</v>
          </cell>
          <cell r="AQ73">
            <v>0.26881377551020408</v>
          </cell>
          <cell r="AR73">
            <v>0.20599489795918369</v>
          </cell>
          <cell r="AS73">
            <v>1547.5718000000002</v>
          </cell>
          <cell r="AT73">
            <v>1547.5718000000002</v>
          </cell>
          <cell r="AU73">
            <v>0</v>
          </cell>
          <cell r="AV73">
            <v>0</v>
          </cell>
          <cell r="AW73" t="str">
            <v>Mining Services</v>
          </cell>
          <cell r="AX73">
            <v>0</v>
          </cell>
          <cell r="AY73">
            <v>0</v>
          </cell>
          <cell r="AZ73">
            <v>13.2</v>
          </cell>
          <cell r="BA73">
            <v>-100</v>
          </cell>
          <cell r="BB73">
            <v>34</v>
          </cell>
          <cell r="BC73">
            <v>0</v>
          </cell>
          <cell r="BD73">
            <v>0</v>
          </cell>
          <cell r="BF73" t="str">
            <v>USA Fibre Cement</v>
          </cell>
          <cell r="BG73" t="str">
            <v xml:space="preserve">Other </v>
          </cell>
          <cell r="BH73">
            <v>-1.3</v>
          </cell>
          <cell r="BI73">
            <v>-1.9</v>
          </cell>
          <cell r="BJ73">
            <v>-1.3</v>
          </cell>
          <cell r="BK73">
            <v>-2.8</v>
          </cell>
          <cell r="BL73">
            <v>-7.3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BR73">
            <v>-31.578947368421051</v>
          </cell>
          <cell r="BS73">
            <v>39</v>
          </cell>
        </row>
        <row r="74">
          <cell r="A74" t="str">
            <v>Asia Pacific Fibre Cement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</v>
          </cell>
          <cell r="L74">
            <v>0.14732142857142858</v>
          </cell>
          <cell r="M74">
            <v>0.2991071428571429</v>
          </cell>
          <cell r="N74">
            <v>0.25892857142857145</v>
          </cell>
          <cell r="O74">
            <v>0.29464285714285704</v>
          </cell>
          <cell r="P74">
            <v>1</v>
          </cell>
          <cell r="Q74">
            <v>0.27574750830564787</v>
          </cell>
          <cell r="R74">
            <v>0.29568106312292358</v>
          </cell>
          <cell r="S74">
            <v>0.26578073089700993</v>
          </cell>
          <cell r="T74">
            <v>0.16279069767441856</v>
          </cell>
          <cell r="U74">
            <v>1</v>
          </cell>
          <cell r="V74">
            <v>0.22872340425531912</v>
          </cell>
          <cell r="W74">
            <v>0.25</v>
          </cell>
          <cell r="X74">
            <v>0.30053191489361702</v>
          </cell>
          <cell r="Y74">
            <v>0.22074468085106383</v>
          </cell>
          <cell r="Z74">
            <v>1</v>
          </cell>
          <cell r="AA74">
            <v>0.25641025641025644</v>
          </cell>
          <cell r="AB74">
            <v>0.26282051282051283</v>
          </cell>
          <cell r="AC74">
            <v>0.21794871794871795</v>
          </cell>
          <cell r="AD74">
            <v>0.26282051282051277</v>
          </cell>
          <cell r="AE74">
            <v>1</v>
          </cell>
          <cell r="AF74">
            <v>0.29736211031175058</v>
          </cell>
          <cell r="AG74">
            <v>0.28776978417266186</v>
          </cell>
          <cell r="AH74">
            <v>0.19184652278177458</v>
          </cell>
          <cell r="AI74">
            <v>0.22302158273381303</v>
          </cell>
          <cell r="AJ74">
            <v>1</v>
          </cell>
          <cell r="AK74">
            <v>0.26142131979695432</v>
          </cell>
          <cell r="AL74">
            <v>0.29187817258883247</v>
          </cell>
          <cell r="AM74">
            <v>0.22335025380710663</v>
          </cell>
          <cell r="AN74">
            <v>0.22335025380710655</v>
          </cell>
          <cell r="AO74">
            <v>1</v>
          </cell>
          <cell r="AP74">
            <v>0.24652087475149106</v>
          </cell>
          <cell r="AQ74">
            <v>0.24652087475149106</v>
          </cell>
          <cell r="AR74">
            <v>0.29423459244532807</v>
          </cell>
          <cell r="AS74">
            <v>0.21272365805168986</v>
          </cell>
          <cell r="AT74">
            <v>1</v>
          </cell>
          <cell r="AU74">
            <v>0.3354564755838641</v>
          </cell>
          <cell r="AV74">
            <v>0.29936305732484075</v>
          </cell>
          <cell r="AW74" t="str">
            <v>Fertilisers</v>
          </cell>
          <cell r="AX74">
            <v>0.14225053078556268</v>
          </cell>
          <cell r="AY74">
            <v>0</v>
          </cell>
          <cell r="AZ74">
            <v>0</v>
          </cell>
          <cell r="BA74" t="str">
            <v>-</v>
          </cell>
          <cell r="BB74">
            <v>35</v>
          </cell>
          <cell r="BC74">
            <v>1</v>
          </cell>
          <cell r="BD74">
            <v>1</v>
          </cell>
          <cell r="BF74" t="str">
            <v>Asia Pacific Fibre Cement</v>
          </cell>
          <cell r="BG74" t="str">
            <v>General Corporate</v>
          </cell>
          <cell r="BH74">
            <v>-15.7</v>
          </cell>
          <cell r="BI74">
            <v>-15.3</v>
          </cell>
          <cell r="BJ74">
            <v>-16.5</v>
          </cell>
          <cell r="BK74">
            <v>-5</v>
          </cell>
          <cell r="BL74">
            <v>-52.5</v>
          </cell>
          <cell r="BM74">
            <v>-12.4</v>
          </cell>
          <cell r="BN74">
            <v>-18.5</v>
          </cell>
          <cell r="BO74">
            <v>-20.3</v>
          </cell>
          <cell r="BP74">
            <v>-19.399999999999991</v>
          </cell>
          <cell r="BQ74">
            <v>-70.599999999999994</v>
          </cell>
          <cell r="BR74">
            <v>2.614379084967311</v>
          </cell>
          <cell r="BS74">
            <v>40</v>
          </cell>
        </row>
        <row r="75">
          <cell r="A75" t="str">
            <v>TOTAL ASSETS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902.30000000000007</v>
          </cell>
          <cell r="K75">
            <v>902.30000000000007</v>
          </cell>
          <cell r="L75">
            <v>0.30487804878048785</v>
          </cell>
          <cell r="M75">
            <v>0.23170731707317074</v>
          </cell>
          <cell r="N75">
            <v>0.19512195121951223</v>
          </cell>
          <cell r="O75">
            <v>913.5</v>
          </cell>
          <cell r="P75">
            <v>913.5</v>
          </cell>
          <cell r="Q75">
            <v>957.2</v>
          </cell>
          <cell r="R75">
            <v>979.2</v>
          </cell>
          <cell r="S75">
            <v>796.7</v>
          </cell>
          <cell r="T75">
            <v>827.59999999999991</v>
          </cell>
          <cell r="U75">
            <v>827.59999999999991</v>
          </cell>
          <cell r="V75">
            <v>872.7</v>
          </cell>
          <cell r="W75">
            <v>867.8</v>
          </cell>
          <cell r="X75">
            <v>862.9</v>
          </cell>
          <cell r="Y75">
            <v>971.2</v>
          </cell>
          <cell r="Z75">
            <v>971.2</v>
          </cell>
          <cell r="AA75">
            <v>981.7</v>
          </cell>
          <cell r="AB75">
            <v>1029.2</v>
          </cell>
          <cell r="AC75">
            <v>1035.0999999999999</v>
          </cell>
          <cell r="AD75">
            <v>1088.9000000000001</v>
          </cell>
          <cell r="AE75">
            <v>1088.9000000000001</v>
          </cell>
          <cell r="AF75">
            <v>1182.5</v>
          </cell>
          <cell r="AG75">
            <v>1200.5</v>
          </cell>
          <cell r="AH75">
            <v>1212.7</v>
          </cell>
          <cell r="AI75">
            <v>1445.4</v>
          </cell>
          <cell r="AJ75">
            <v>1445.4</v>
          </cell>
          <cell r="AK75">
            <v>1352.2</v>
          </cell>
          <cell r="AL75">
            <v>1396.3</v>
          </cell>
          <cell r="AM75">
            <v>1410.2</v>
          </cell>
          <cell r="AN75">
            <v>2128.1</v>
          </cell>
          <cell r="AO75">
            <v>2128.1</v>
          </cell>
          <cell r="AP75">
            <v>2217.8000000000002</v>
          </cell>
          <cell r="AQ75">
            <v>0.26027397260273971</v>
          </cell>
          <cell r="AR75">
            <v>0.17808219178082194</v>
          </cell>
          <cell r="AS75">
            <v>2119.4794127936248</v>
          </cell>
          <cell r="AT75">
            <v>2119.4794127936248</v>
          </cell>
          <cell r="AU75">
            <v>0</v>
          </cell>
          <cell r="AV75">
            <v>0</v>
          </cell>
          <cell r="AW75" t="str">
            <v>Consumer Products</v>
          </cell>
          <cell r="AX75">
            <v>0</v>
          </cell>
          <cell r="AY75">
            <v>0</v>
          </cell>
          <cell r="AZ75">
            <v>0</v>
          </cell>
          <cell r="BA75" t="str">
            <v>-</v>
          </cell>
          <cell r="BB75">
            <v>36</v>
          </cell>
          <cell r="BC75">
            <v>0</v>
          </cell>
          <cell r="BD75">
            <v>0</v>
          </cell>
          <cell r="BF75" t="str">
            <v xml:space="preserve">Other </v>
          </cell>
          <cell r="BG75" t="str">
            <v>R&amp;D/Other</v>
          </cell>
          <cell r="BH75">
            <v>-4.0999999999999996</v>
          </cell>
          <cell r="BI75">
            <v>-4.8</v>
          </cell>
          <cell r="BJ75">
            <v>-4.2</v>
          </cell>
          <cell r="BK75">
            <v>-12.5</v>
          </cell>
          <cell r="BL75">
            <v>-25.599999999999998</v>
          </cell>
          <cell r="BM75">
            <v>-5</v>
          </cell>
          <cell r="BN75">
            <v>-5</v>
          </cell>
          <cell r="BO75">
            <v>-4.7</v>
          </cell>
          <cell r="BP75">
            <v>-4.1999999999999993</v>
          </cell>
          <cell r="BQ75">
            <v>-18.899999999999999</v>
          </cell>
          <cell r="BR75">
            <v>-14.583333333333337</v>
          </cell>
          <cell r="BS75">
            <v>41</v>
          </cell>
        </row>
        <row r="76">
          <cell r="A76" t="str">
            <v>General Corporate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1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</v>
          </cell>
          <cell r="L76">
            <v>0.25754060324825984</v>
          </cell>
          <cell r="M76">
            <v>0.30626450116009279</v>
          </cell>
          <cell r="N76">
            <v>0.31554524361948955</v>
          </cell>
          <cell r="O76">
            <v>0.12064965197215784</v>
          </cell>
          <cell r="P76">
            <v>1</v>
          </cell>
          <cell r="Q76">
            <v>0.21739130434782611</v>
          </cell>
          <cell r="R76">
            <v>0.27424749163879597</v>
          </cell>
          <cell r="S76">
            <v>0.27759197324414719</v>
          </cell>
          <cell r="T76">
            <v>0.23076923076923073</v>
          </cell>
          <cell r="U76">
            <v>1</v>
          </cell>
          <cell r="V76">
            <v>0.2690909090909091</v>
          </cell>
          <cell r="W76">
            <v>0.24727272727272726</v>
          </cell>
          <cell r="X76">
            <v>0.2290909090909091</v>
          </cell>
          <cell r="Y76">
            <v>0.25454545454545452</v>
          </cell>
          <cell r="Z76">
            <v>1</v>
          </cell>
          <cell r="AA76">
            <v>0.1496815286624204</v>
          </cell>
          <cell r="AB76">
            <v>0.21815286624203822</v>
          </cell>
          <cell r="AC76">
            <v>0.36146496815286627</v>
          </cell>
          <cell r="AD76">
            <v>0.27070063694267515</v>
          </cell>
          <cell r="AE76">
            <v>1</v>
          </cell>
          <cell r="AF76">
            <v>0.28730512249443207</v>
          </cell>
          <cell r="AG76">
            <v>0.33630289532293989</v>
          </cell>
          <cell r="AH76">
            <v>0.3452115812917595</v>
          </cell>
          <cell r="AI76">
            <v>3.1180400890868567E-2</v>
          </cell>
          <cell r="AJ76">
            <v>1</v>
          </cell>
          <cell r="AK76">
            <v>0.18345323741007191</v>
          </cell>
          <cell r="AL76">
            <v>0.27877697841726617</v>
          </cell>
          <cell r="AM76">
            <v>0.25359712230215825</v>
          </cell>
          <cell r="AN76">
            <v>0.30035971223021579</v>
          </cell>
          <cell r="AO76">
            <v>1</v>
          </cell>
          <cell r="AP76">
            <v>0.29904761904761901</v>
          </cell>
          <cell r="AQ76">
            <v>0.29142857142857143</v>
          </cell>
          <cell r="AR76">
            <v>0.31428571428571428</v>
          </cell>
          <cell r="AS76">
            <v>9.5238095238095233E-2</v>
          </cell>
          <cell r="AT76">
            <v>1</v>
          </cell>
          <cell r="AU76">
            <v>0.65608465608465616</v>
          </cell>
          <cell r="AV76">
            <v>0.97883597883597895</v>
          </cell>
          <cell r="AW76" t="str">
            <v>Chemicals Services</v>
          </cell>
          <cell r="AX76">
            <v>1.0264550264550261</v>
          </cell>
          <cell r="AY76">
            <v>0</v>
          </cell>
          <cell r="AZ76">
            <v>97.8</v>
          </cell>
          <cell r="BA76">
            <v>-100</v>
          </cell>
          <cell r="BB76">
            <v>37</v>
          </cell>
          <cell r="BC76">
            <v>3.2079650804208342</v>
          </cell>
          <cell r="BD76">
            <v>1</v>
          </cell>
          <cell r="BF76" t="str">
            <v>General Corporate</v>
          </cell>
          <cell r="BG76" t="str">
            <v>Total EBIT</v>
          </cell>
          <cell r="BH76">
            <v>105.70000000000002</v>
          </cell>
          <cell r="BI76">
            <v>74.7</v>
          </cell>
          <cell r="BJ76">
            <v>57.399999999999991</v>
          </cell>
          <cell r="BK76">
            <v>40.700000000000003</v>
          </cell>
          <cell r="BL76">
            <v>278.49999999999994</v>
          </cell>
          <cell r="BM76">
            <v>63.999999999999986</v>
          </cell>
          <cell r="BN76">
            <v>51.7</v>
          </cell>
          <cell r="BO76">
            <v>25.799999999999997</v>
          </cell>
          <cell r="BP76">
            <v>15.400000000000023</v>
          </cell>
          <cell r="BQ76">
            <v>156.9</v>
          </cell>
          <cell r="BR76">
            <v>41.499330655957188</v>
          </cell>
          <cell r="BS76">
            <v>42</v>
          </cell>
        </row>
        <row r="77">
          <cell r="A77" t="str">
            <v>Payables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63.5</v>
          </cell>
          <cell r="K77">
            <v>63.5</v>
          </cell>
          <cell r="L77">
            <v>0.36538461538461536</v>
          </cell>
          <cell r="M77">
            <v>0.14423076923076922</v>
          </cell>
          <cell r="N77">
            <v>0.25961538461538464</v>
          </cell>
          <cell r="O77">
            <v>59.7</v>
          </cell>
          <cell r="P77">
            <v>59.7</v>
          </cell>
          <cell r="Q77">
            <v>60.8</v>
          </cell>
          <cell r="R77">
            <v>74.3</v>
          </cell>
          <cell r="S77">
            <v>65</v>
          </cell>
          <cell r="T77">
            <v>75.2</v>
          </cell>
          <cell r="U77">
            <v>75.2</v>
          </cell>
          <cell r="V77">
            <v>72.099999999999994</v>
          </cell>
          <cell r="W77">
            <v>68.849999999999994</v>
          </cell>
          <cell r="X77">
            <v>65.599999999999994</v>
          </cell>
          <cell r="Y77">
            <v>78.5</v>
          </cell>
          <cell r="Z77">
            <v>78.5</v>
          </cell>
          <cell r="AA77">
            <v>86.5</v>
          </cell>
          <cell r="AB77">
            <v>100.7</v>
          </cell>
          <cell r="AC77">
            <v>85.1</v>
          </cell>
          <cell r="AD77">
            <v>94</v>
          </cell>
          <cell r="AE77">
            <v>94</v>
          </cell>
          <cell r="AF77">
            <v>104.3</v>
          </cell>
          <cell r="AG77">
            <v>120.3</v>
          </cell>
          <cell r="AH77">
            <v>107.8</v>
          </cell>
          <cell r="AI77">
            <v>117.8</v>
          </cell>
          <cell r="AJ77">
            <v>117.8</v>
          </cell>
          <cell r="AK77">
            <v>114.5</v>
          </cell>
          <cell r="AL77">
            <v>116.5</v>
          </cell>
          <cell r="AM77">
            <v>96.2</v>
          </cell>
          <cell r="AN77">
            <v>100.8</v>
          </cell>
          <cell r="AO77">
            <v>100.8</v>
          </cell>
          <cell r="AP77">
            <v>125.8</v>
          </cell>
          <cell r="AQ77">
            <v>0.1875</v>
          </cell>
          <cell r="AR77">
            <v>0.16406250000000003</v>
          </cell>
          <cell r="AS77">
            <v>99.279123374911023</v>
          </cell>
          <cell r="AT77">
            <v>99.279123374911023</v>
          </cell>
          <cell r="AU77">
            <v>7.0821529745042494E-2</v>
          </cell>
          <cell r="AV77">
            <v>7.0821529745042494E-2</v>
          </cell>
          <cell r="AW77" t="str">
            <v>Chemnet</v>
          </cell>
          <cell r="AX77">
            <v>5.9490084985835689E-2</v>
          </cell>
          <cell r="AY77">
            <v>0</v>
          </cell>
          <cell r="AZ77">
            <v>11.5</v>
          </cell>
          <cell r="BA77">
            <v>-100</v>
          </cell>
          <cell r="BB77">
            <v>38</v>
          </cell>
          <cell r="BC77">
            <v>0.31172409141960356</v>
          </cell>
          <cell r="BD77">
            <v>1</v>
          </cell>
          <cell r="BF77" t="str">
            <v>R&amp;D/Other</v>
          </cell>
        </row>
        <row r="78">
          <cell r="A78" t="str">
            <v>Interest Bearing Liabilities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74.8</v>
          </cell>
          <cell r="K78">
            <v>74.8</v>
          </cell>
          <cell r="L78">
            <v>0.21720430107526892</v>
          </cell>
          <cell r="M78">
            <v>0.39354838709677431</v>
          </cell>
          <cell r="N78">
            <v>-6.2365591397849467E-2</v>
          </cell>
          <cell r="O78">
            <v>4.9000000000000004</v>
          </cell>
          <cell r="P78">
            <v>4.9000000000000004</v>
          </cell>
          <cell r="Q78">
            <v>13.7</v>
          </cell>
          <cell r="R78">
            <v>6.1</v>
          </cell>
          <cell r="S78">
            <v>7.7</v>
          </cell>
          <cell r="T78">
            <v>8.8000000000000007</v>
          </cell>
          <cell r="U78">
            <v>8.8000000000000007</v>
          </cell>
          <cell r="V78">
            <v>9.5</v>
          </cell>
          <cell r="W78">
            <v>19.200000000000003</v>
          </cell>
          <cell r="X78">
            <v>28.900000000000002</v>
          </cell>
          <cell r="Y78">
            <v>28.400000000000002</v>
          </cell>
          <cell r="Z78">
            <v>28.400000000000002</v>
          </cell>
          <cell r="AA78">
            <v>28.1</v>
          </cell>
          <cell r="AB78">
            <v>28.6</v>
          </cell>
          <cell r="AC78">
            <v>38.200000000000003</v>
          </cell>
          <cell r="AD78">
            <v>37.6</v>
          </cell>
          <cell r="AE78">
            <v>37.6</v>
          </cell>
          <cell r="AF78">
            <v>25.7</v>
          </cell>
          <cell r="AG78">
            <v>25.7</v>
          </cell>
          <cell r="AH78">
            <v>27.1</v>
          </cell>
          <cell r="AI78">
            <v>302.7</v>
          </cell>
          <cell r="AJ78">
            <v>302.7</v>
          </cell>
          <cell r="AK78">
            <v>137</v>
          </cell>
          <cell r="AL78">
            <v>135</v>
          </cell>
          <cell r="AM78">
            <v>88</v>
          </cell>
          <cell r="AN78">
            <v>83</v>
          </cell>
          <cell r="AO78">
            <v>83</v>
          </cell>
          <cell r="AP78">
            <v>60</v>
          </cell>
          <cell r="AQ78">
            <v>0.2682226211849193</v>
          </cell>
          <cell r="AR78">
            <v>0.20610412926391383</v>
          </cell>
          <cell r="AS78">
            <v>83</v>
          </cell>
          <cell r="AT78">
            <v>83</v>
          </cell>
          <cell r="AU78">
            <v>0.40790312300828541</v>
          </cell>
          <cell r="AV78">
            <v>0.32950924155513067</v>
          </cell>
          <cell r="AW78" t="str">
            <v>Minova</v>
          </cell>
          <cell r="AX78">
            <v>9.8151688973868847E-2</v>
          </cell>
          <cell r="AY78">
            <v>0</v>
          </cell>
          <cell r="AZ78">
            <v>-1.5</v>
          </cell>
          <cell r="BA78">
            <v>-100</v>
          </cell>
          <cell r="BB78">
            <v>39</v>
          </cell>
          <cell r="BC78">
            <v>1</v>
          </cell>
          <cell r="BD78">
            <v>1</v>
          </cell>
          <cell r="BF78" t="str">
            <v>Total EBIT</v>
          </cell>
          <cell r="BG78" t="str">
            <v>Net Interest Expense</v>
          </cell>
          <cell r="BH78">
            <v>1.1000000000000001</v>
          </cell>
          <cell r="BI78">
            <v>0.60000000000000009</v>
          </cell>
          <cell r="BJ78">
            <v>1.9999999999999998</v>
          </cell>
          <cell r="BK78">
            <v>4.5999999999999996</v>
          </cell>
          <cell r="BL78">
            <v>8.3000000000000007</v>
          </cell>
          <cell r="BM78">
            <v>2</v>
          </cell>
          <cell r="BN78">
            <v>2</v>
          </cell>
          <cell r="BO78">
            <v>2.7</v>
          </cell>
          <cell r="BP78">
            <v>2.7</v>
          </cell>
          <cell r="BQ78">
            <v>9.4</v>
          </cell>
          <cell r="BR78">
            <v>83.333333333333329</v>
          </cell>
          <cell r="BS78">
            <v>44</v>
          </cell>
        </row>
        <row r="79">
          <cell r="A79" t="str">
            <v>Other</v>
          </cell>
          <cell r="E79">
            <v>0</v>
          </cell>
          <cell r="F79">
            <v>0</v>
          </cell>
          <cell r="J79">
            <v>34.5</v>
          </cell>
          <cell r="K79">
            <v>34.5</v>
          </cell>
          <cell r="O79">
            <v>58.5</v>
          </cell>
          <cell r="P79">
            <v>58.5</v>
          </cell>
          <cell r="Q79">
            <v>78.300000000000011</v>
          </cell>
          <cell r="R79">
            <v>95.2</v>
          </cell>
          <cell r="S79">
            <v>68.2</v>
          </cell>
          <cell r="T79">
            <v>52.599999999999994</v>
          </cell>
          <cell r="U79">
            <v>52.599999999999994</v>
          </cell>
          <cell r="V79">
            <v>69.800000000000011</v>
          </cell>
          <cell r="W79">
            <v>68.45</v>
          </cell>
          <cell r="X79">
            <v>67.099999999999994</v>
          </cell>
          <cell r="Y79">
            <v>62.400000000000006</v>
          </cell>
          <cell r="Z79">
            <v>62.400000000000006</v>
          </cell>
          <cell r="AA79">
            <v>67.099999999999994</v>
          </cell>
          <cell r="AB79">
            <v>62.899999999999977</v>
          </cell>
          <cell r="AC79">
            <v>56.7</v>
          </cell>
          <cell r="AD79">
            <v>66.800000000000011</v>
          </cell>
          <cell r="AE79">
            <v>66.800000000000011</v>
          </cell>
          <cell r="AF79">
            <v>124.30000000000001</v>
          </cell>
          <cell r="AG79">
            <v>72.5</v>
          </cell>
          <cell r="AH79">
            <v>91.1</v>
          </cell>
          <cell r="AI79">
            <v>85.5</v>
          </cell>
          <cell r="AJ79">
            <v>85.5</v>
          </cell>
          <cell r="AK79">
            <v>99.800000000000011</v>
          </cell>
          <cell r="AL79">
            <v>66.100000000000023</v>
          </cell>
          <cell r="AM79">
            <v>100.60000000000002</v>
          </cell>
          <cell r="AN79">
            <v>133.80000000000001</v>
          </cell>
          <cell r="AO79">
            <v>133.80000000000001</v>
          </cell>
          <cell r="AP79">
            <v>225.2</v>
          </cell>
          <cell r="AS79">
            <v>139.46484691027547</v>
          </cell>
          <cell r="AT79">
            <v>139.46484691027547</v>
          </cell>
          <cell r="AW79" t="str">
            <v>Other Operations</v>
          </cell>
          <cell r="AY79">
            <v>0</v>
          </cell>
          <cell r="AZ79">
            <v>-15.5</v>
          </cell>
          <cell r="BA79">
            <v>-100</v>
          </cell>
          <cell r="BB79">
            <v>40</v>
          </cell>
          <cell r="BG79" t="str">
            <v>PBT</v>
          </cell>
          <cell r="BH79">
            <v>104.60000000000002</v>
          </cell>
          <cell r="BI79">
            <v>74.100000000000009</v>
          </cell>
          <cell r="BJ79">
            <v>55.399999999999991</v>
          </cell>
          <cell r="BK79">
            <v>36.1</v>
          </cell>
          <cell r="BL79">
            <v>270.19999999999993</v>
          </cell>
          <cell r="BM79">
            <v>61.999999999999986</v>
          </cell>
          <cell r="BN79">
            <v>49.7</v>
          </cell>
          <cell r="BO79">
            <v>23.099999999999998</v>
          </cell>
          <cell r="BP79">
            <v>12.700000000000024</v>
          </cell>
          <cell r="BQ79">
            <v>147.5</v>
          </cell>
          <cell r="BR79">
            <v>41.160593792172762</v>
          </cell>
          <cell r="BS79">
            <v>45</v>
          </cell>
        </row>
        <row r="80">
          <cell r="A80" t="str">
            <v>Current Liabilities</v>
          </cell>
          <cell r="E80">
            <v>0</v>
          </cell>
          <cell r="F80">
            <v>0</v>
          </cell>
          <cell r="J80">
            <v>172.8</v>
          </cell>
          <cell r="K80">
            <v>172.8</v>
          </cell>
          <cell r="O80">
            <v>123.10000000000001</v>
          </cell>
          <cell r="P80">
            <v>123.10000000000001</v>
          </cell>
          <cell r="Q80">
            <v>152.80000000000001</v>
          </cell>
          <cell r="R80">
            <v>175.6</v>
          </cell>
          <cell r="S80">
            <v>140.9</v>
          </cell>
          <cell r="T80">
            <v>136.6</v>
          </cell>
          <cell r="U80">
            <v>136.6</v>
          </cell>
          <cell r="V80">
            <v>151.4</v>
          </cell>
          <cell r="W80">
            <v>156.5</v>
          </cell>
          <cell r="X80">
            <v>161.6</v>
          </cell>
          <cell r="Y80">
            <v>169.3</v>
          </cell>
          <cell r="Z80">
            <v>169.3</v>
          </cell>
          <cell r="AA80">
            <v>181.7</v>
          </cell>
          <cell r="AB80">
            <v>192.2</v>
          </cell>
          <cell r="AC80">
            <v>180</v>
          </cell>
          <cell r="AD80">
            <v>198.4</v>
          </cell>
          <cell r="AE80">
            <v>198.4</v>
          </cell>
          <cell r="AF80">
            <v>254.3</v>
          </cell>
          <cell r="AG80">
            <v>218.5</v>
          </cell>
          <cell r="AH80">
            <v>226</v>
          </cell>
          <cell r="AI80">
            <v>506</v>
          </cell>
          <cell r="AJ80">
            <v>506</v>
          </cell>
          <cell r="AK80">
            <v>351.3</v>
          </cell>
          <cell r="AL80">
            <v>317.60000000000002</v>
          </cell>
          <cell r="AM80">
            <v>284.8</v>
          </cell>
          <cell r="AN80">
            <v>317.60000000000002</v>
          </cell>
          <cell r="AO80">
            <v>317.60000000000002</v>
          </cell>
          <cell r="AP80">
            <v>411</v>
          </cell>
          <cell r="AS80">
            <v>321.74397028518649</v>
          </cell>
          <cell r="AT80">
            <v>321.74397028518649</v>
          </cell>
          <cell r="AW80" t="str">
            <v>Corporate and Support Services</v>
          </cell>
          <cell r="AY80">
            <v>0</v>
          </cell>
          <cell r="AZ80">
            <v>-51.300000000000004</v>
          </cell>
          <cell r="BA80">
            <v>-100</v>
          </cell>
          <cell r="BB80">
            <v>41</v>
          </cell>
          <cell r="BF80" t="str">
            <v>Net Interest Expense</v>
          </cell>
          <cell r="BG80" t="str">
            <v>Tax Pre Sigs</v>
          </cell>
          <cell r="BH80">
            <v>36</v>
          </cell>
          <cell r="BI80">
            <v>27.6</v>
          </cell>
          <cell r="BJ80">
            <v>21.299999999999997</v>
          </cell>
          <cell r="BK80">
            <v>16.000000000000004</v>
          </cell>
          <cell r="BL80">
            <v>100.49999999999999</v>
          </cell>
          <cell r="BM80">
            <v>20.399999999999999</v>
          </cell>
          <cell r="BN80">
            <v>18.5</v>
          </cell>
          <cell r="BO80">
            <v>10.9</v>
          </cell>
          <cell r="BP80">
            <v>6.7</v>
          </cell>
          <cell r="BQ80">
            <v>61</v>
          </cell>
          <cell r="BR80">
            <v>30.434782608695656</v>
          </cell>
          <cell r="BS80">
            <v>46</v>
          </cell>
        </row>
        <row r="81">
          <cell r="A81" t="str">
            <v>Cash</v>
          </cell>
          <cell r="E81">
            <v>0</v>
          </cell>
          <cell r="F81">
            <v>0</v>
          </cell>
          <cell r="J81">
            <v>75.099999999999994</v>
          </cell>
          <cell r="K81">
            <v>75.099999999999994</v>
          </cell>
          <cell r="O81">
            <v>31.1</v>
          </cell>
          <cell r="P81">
            <v>31.1</v>
          </cell>
          <cell r="Q81">
            <v>307.3</v>
          </cell>
          <cell r="R81">
            <v>321.8</v>
          </cell>
          <cell r="S81">
            <v>109.5</v>
          </cell>
          <cell r="T81">
            <v>55.1</v>
          </cell>
          <cell r="U81">
            <v>55.1</v>
          </cell>
          <cell r="V81">
            <v>70.599999999999994</v>
          </cell>
          <cell r="W81">
            <v>54.55</v>
          </cell>
          <cell r="X81">
            <v>38.5</v>
          </cell>
          <cell r="Y81">
            <v>72.3</v>
          </cell>
          <cell r="Z81">
            <v>72.3</v>
          </cell>
          <cell r="AA81">
            <v>112.9</v>
          </cell>
          <cell r="AB81">
            <v>114.8</v>
          </cell>
          <cell r="AC81">
            <v>73.5</v>
          </cell>
          <cell r="AD81">
            <v>113.5</v>
          </cell>
          <cell r="AE81">
            <v>113.5</v>
          </cell>
          <cell r="AF81">
            <v>161.6</v>
          </cell>
          <cell r="AG81">
            <v>170.9</v>
          </cell>
          <cell r="AH81">
            <v>149</v>
          </cell>
          <cell r="AI81">
            <v>315.10000000000002</v>
          </cell>
          <cell r="AJ81">
            <v>315.10000000000002</v>
          </cell>
          <cell r="AK81">
            <v>175.4</v>
          </cell>
          <cell r="AL81">
            <v>52.3</v>
          </cell>
          <cell r="AM81">
            <v>70.3</v>
          </cell>
          <cell r="AN81">
            <v>34.1</v>
          </cell>
          <cell r="AO81">
            <v>34.1</v>
          </cell>
          <cell r="AP81">
            <v>230.29999999999998</v>
          </cell>
          <cell r="AQ81">
            <v>33.1</v>
          </cell>
          <cell r="AR81">
            <v>69.900000000000006</v>
          </cell>
          <cell r="AS81">
            <v>35.4</v>
          </cell>
          <cell r="AT81">
            <v>35.4</v>
          </cell>
          <cell r="AU81">
            <v>230.29999999999998</v>
          </cell>
          <cell r="AV81">
            <v>274.09999999999997</v>
          </cell>
          <cell r="AW81" t="str">
            <v>Total EBIT</v>
          </cell>
          <cell r="AX81">
            <v>42.4</v>
          </cell>
          <cell r="AY81">
            <v>0</v>
          </cell>
          <cell r="AZ81">
            <v>40.999999999999993</v>
          </cell>
          <cell r="BA81">
            <v>-100</v>
          </cell>
          <cell r="BB81">
            <v>42</v>
          </cell>
          <cell r="BD81">
            <v>42.400000000000269</v>
          </cell>
          <cell r="BF81" t="str">
            <v>PBT</v>
          </cell>
          <cell r="BG81" t="str">
            <v>Minorities</v>
          </cell>
          <cell r="BH81">
            <v>0</v>
          </cell>
          <cell r="BI81">
            <v>0</v>
          </cell>
          <cell r="BJ81">
            <v>0</v>
          </cell>
          <cell r="BK81">
            <v>0</v>
          </cell>
          <cell r="BL81">
            <v>0</v>
          </cell>
          <cell r="BM81">
            <v>0</v>
          </cell>
          <cell r="BN81">
            <v>0</v>
          </cell>
          <cell r="BO81">
            <v>0</v>
          </cell>
          <cell r="BP81">
            <v>0</v>
          </cell>
          <cell r="BQ81">
            <v>0</v>
          </cell>
          <cell r="BR81" t="str">
            <v>-</v>
          </cell>
          <cell r="BS81">
            <v>47</v>
          </cell>
        </row>
        <row r="82">
          <cell r="A82" t="str">
            <v>Interest Bearing Liabilities</v>
          </cell>
          <cell r="E82">
            <v>0</v>
          </cell>
          <cell r="F82">
            <v>0</v>
          </cell>
          <cell r="J82">
            <v>357.3</v>
          </cell>
          <cell r="K82">
            <v>357.3</v>
          </cell>
          <cell r="O82">
            <v>325</v>
          </cell>
          <cell r="P82">
            <v>325</v>
          </cell>
          <cell r="Q82">
            <v>225</v>
          </cell>
          <cell r="R82">
            <v>225</v>
          </cell>
          <cell r="S82">
            <v>165</v>
          </cell>
          <cell r="T82">
            <v>165</v>
          </cell>
          <cell r="U82">
            <v>165</v>
          </cell>
          <cell r="V82">
            <v>165</v>
          </cell>
          <cell r="W82">
            <v>156.19999999999999</v>
          </cell>
          <cell r="X82">
            <v>147.4</v>
          </cell>
          <cell r="Y82">
            <v>147.4</v>
          </cell>
          <cell r="Z82">
            <v>147.4</v>
          </cell>
          <cell r="AA82">
            <v>147.4</v>
          </cell>
          <cell r="AB82">
            <v>147.4</v>
          </cell>
          <cell r="AC82">
            <v>121.7</v>
          </cell>
          <cell r="AD82">
            <v>121.7</v>
          </cell>
          <cell r="AE82">
            <v>121.7</v>
          </cell>
          <cell r="AF82">
            <v>121.7</v>
          </cell>
          <cell r="AG82">
            <v>212.7</v>
          </cell>
          <cell r="AH82">
            <v>94.6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105</v>
          </cell>
          <cell r="AO82">
            <v>105</v>
          </cell>
          <cell r="AP82">
            <v>65</v>
          </cell>
          <cell r="AQ82">
            <v>171.1</v>
          </cell>
          <cell r="AR82">
            <v>131.80000000000001</v>
          </cell>
          <cell r="AS82">
            <v>223.98329853228859</v>
          </cell>
          <cell r="AT82">
            <v>223.98329853228859</v>
          </cell>
          <cell r="AU82">
            <v>168.2</v>
          </cell>
          <cell r="AV82">
            <v>124.8</v>
          </cell>
          <cell r="AW82">
            <v>88.9</v>
          </cell>
          <cell r="AX82">
            <v>111.4</v>
          </cell>
          <cell r="AY82">
            <v>111.4</v>
          </cell>
          <cell r="AZ82">
            <v>168.2</v>
          </cell>
          <cell r="BA82">
            <v>124.8</v>
          </cell>
          <cell r="BB82">
            <v>88.9</v>
          </cell>
          <cell r="BD82">
            <v>109.31529667839855</v>
          </cell>
          <cell r="BF82" t="str">
            <v>Tax Pre Sigs</v>
          </cell>
        </row>
        <row r="83">
          <cell r="A83" t="str">
            <v>Other</v>
          </cell>
          <cell r="E83">
            <v>0</v>
          </cell>
          <cell r="F83">
            <v>0</v>
          </cell>
          <cell r="J83">
            <v>91.099999999999966</v>
          </cell>
          <cell r="K83">
            <v>91.099999999999966</v>
          </cell>
          <cell r="O83">
            <v>95</v>
          </cell>
          <cell r="P83">
            <v>95</v>
          </cell>
          <cell r="Q83">
            <v>112.89999999999998</v>
          </cell>
          <cell r="R83">
            <v>111.69999999999993</v>
          </cell>
          <cell r="S83">
            <v>107.89999999999998</v>
          </cell>
          <cell r="T83">
            <v>91.300000000000011</v>
          </cell>
          <cell r="U83">
            <v>91.300000000000011</v>
          </cell>
          <cell r="V83">
            <v>88.200000000000017</v>
          </cell>
          <cell r="W83">
            <v>89.15000000000002</v>
          </cell>
          <cell r="X83">
            <v>90.100000000000023</v>
          </cell>
          <cell r="Y83">
            <v>149.80000000000004</v>
          </cell>
          <cell r="Z83">
            <v>149.80000000000004</v>
          </cell>
          <cell r="AA83">
            <v>135.4</v>
          </cell>
          <cell r="AB83">
            <v>126.9</v>
          </cell>
          <cell r="AC83">
            <v>150.30000000000001</v>
          </cell>
          <cell r="AD83">
            <v>144.10000000000002</v>
          </cell>
          <cell r="AE83">
            <v>144.10000000000002</v>
          </cell>
          <cell r="AF83">
            <v>147.79999999999995</v>
          </cell>
          <cell r="AG83">
            <v>56.600000000000023</v>
          </cell>
          <cell r="AH83">
            <v>152.1</v>
          </cell>
          <cell r="AI83">
            <v>844.5</v>
          </cell>
          <cell r="AJ83">
            <v>844.5</v>
          </cell>
          <cell r="AK83">
            <v>888.10000000000014</v>
          </cell>
          <cell r="AL83">
            <v>937.99999999999989</v>
          </cell>
          <cell r="AM83">
            <v>986.60000000000014</v>
          </cell>
          <cell r="AN83">
            <v>660.69999999999993</v>
          </cell>
          <cell r="AO83">
            <v>660.69999999999993</v>
          </cell>
          <cell r="AP83">
            <v>1594.1</v>
          </cell>
          <cell r="AQ83">
            <v>136.19999999999999</v>
          </cell>
          <cell r="AR83">
            <v>156.19999999999999</v>
          </cell>
          <cell r="AS83">
            <v>1495.9999915769231</v>
          </cell>
          <cell r="AT83">
            <v>1495.9999915769231</v>
          </cell>
          <cell r="AU83">
            <v>133.6</v>
          </cell>
          <cell r="AV83">
            <v>159</v>
          </cell>
          <cell r="AW83" t="str">
            <v>Net Interest Expense</v>
          </cell>
          <cell r="AX83">
            <v>128.9</v>
          </cell>
          <cell r="AY83">
            <v>0</v>
          </cell>
          <cell r="AZ83">
            <v>-1</v>
          </cell>
          <cell r="BA83">
            <v>-100</v>
          </cell>
          <cell r="BB83">
            <v>44</v>
          </cell>
          <cell r="BD83">
            <v>106.71255151938907</v>
          </cell>
          <cell r="BF83" t="str">
            <v>Minorities</v>
          </cell>
          <cell r="BG83" t="str">
            <v>NPAT (pre sigs.)</v>
          </cell>
          <cell r="BH83">
            <v>68.600000000000023</v>
          </cell>
          <cell r="BI83">
            <v>46.500000000000007</v>
          </cell>
          <cell r="BJ83">
            <v>34.099999999999994</v>
          </cell>
          <cell r="BK83">
            <v>20.099999999999998</v>
          </cell>
          <cell r="BL83">
            <v>169.69999999999993</v>
          </cell>
          <cell r="BM83">
            <v>41.599999999999987</v>
          </cell>
          <cell r="BN83">
            <v>31.200000000000003</v>
          </cell>
          <cell r="BO83">
            <v>12.199999999999998</v>
          </cell>
          <cell r="BP83">
            <v>6.000000000000024</v>
          </cell>
          <cell r="BQ83">
            <v>86.5</v>
          </cell>
          <cell r="BR83">
            <v>47.52688172043014</v>
          </cell>
          <cell r="BS83">
            <v>49</v>
          </cell>
        </row>
        <row r="84">
          <cell r="A84" t="str">
            <v>Non Current Liabilities</v>
          </cell>
          <cell r="E84">
            <v>0</v>
          </cell>
          <cell r="F84">
            <v>0</v>
          </cell>
          <cell r="J84">
            <v>448.4</v>
          </cell>
          <cell r="K84">
            <v>448.4</v>
          </cell>
          <cell r="O84">
            <v>420</v>
          </cell>
          <cell r="P84">
            <v>420</v>
          </cell>
          <cell r="Q84">
            <v>337.9</v>
          </cell>
          <cell r="R84">
            <v>336.69999999999993</v>
          </cell>
          <cell r="S84">
            <v>272.89999999999998</v>
          </cell>
          <cell r="T84">
            <v>256.3</v>
          </cell>
          <cell r="U84">
            <v>256.3</v>
          </cell>
          <cell r="V84">
            <v>253.20000000000002</v>
          </cell>
          <cell r="W84">
            <v>245.35000000000002</v>
          </cell>
          <cell r="X84">
            <v>237.50000000000003</v>
          </cell>
          <cell r="Y84">
            <v>297.20000000000005</v>
          </cell>
          <cell r="Z84">
            <v>297.20000000000005</v>
          </cell>
          <cell r="AA84">
            <v>282.8</v>
          </cell>
          <cell r="AB84">
            <v>274.3</v>
          </cell>
          <cell r="AC84">
            <v>272</v>
          </cell>
          <cell r="AD84">
            <v>265.8</v>
          </cell>
          <cell r="AE84">
            <v>265.8</v>
          </cell>
          <cell r="AF84">
            <v>269.49999999999994</v>
          </cell>
          <cell r="AG84">
            <v>269.3</v>
          </cell>
          <cell r="AH84">
            <v>246.7</v>
          </cell>
          <cell r="AI84">
            <v>844.5</v>
          </cell>
          <cell r="AJ84">
            <v>844.5</v>
          </cell>
          <cell r="AK84">
            <v>888.10000000000014</v>
          </cell>
          <cell r="AL84">
            <v>937.99999999999989</v>
          </cell>
          <cell r="AM84">
            <v>986.60000000000014</v>
          </cell>
          <cell r="AN84">
            <v>1551.8</v>
          </cell>
          <cell r="AO84">
            <v>1551.8</v>
          </cell>
          <cell r="AP84">
            <v>1659.1</v>
          </cell>
          <cell r="AQ84">
            <v>230.5</v>
          </cell>
          <cell r="AR84">
            <v>211.20000000000005</v>
          </cell>
          <cell r="AS84">
            <v>1719.9832901092116</v>
          </cell>
          <cell r="AT84">
            <v>1719.9832901092116</v>
          </cell>
          <cell r="AU84">
            <v>89.199999999999932</v>
          </cell>
          <cell r="AV84">
            <v>52.100000000000023</v>
          </cell>
          <cell r="AW84" t="str">
            <v>PBT</v>
          </cell>
          <cell r="AX84">
            <v>182</v>
          </cell>
          <cell r="AY84">
            <v>0</v>
          </cell>
          <cell r="AZ84">
            <v>41.999999999999993</v>
          </cell>
          <cell r="BA84">
            <v>-100</v>
          </cell>
          <cell r="BB84">
            <v>45</v>
          </cell>
          <cell r="BD84">
            <v>182</v>
          </cell>
        </row>
        <row r="85">
          <cell r="A85" t="str">
            <v>Current Assets</v>
          </cell>
          <cell r="E85">
            <v>0</v>
          </cell>
          <cell r="F85">
            <v>0</v>
          </cell>
          <cell r="J85">
            <v>257.70000000000005</v>
          </cell>
          <cell r="K85">
            <v>257.70000000000005</v>
          </cell>
          <cell r="O85">
            <v>238.10000000000002</v>
          </cell>
          <cell r="P85">
            <v>238.10000000000002</v>
          </cell>
          <cell r="Q85">
            <v>470.1</v>
          </cell>
          <cell r="R85">
            <v>488.8</v>
          </cell>
          <cell r="S85">
            <v>275.8</v>
          </cell>
          <cell r="T85">
            <v>271.8</v>
          </cell>
          <cell r="U85">
            <v>271.8</v>
          </cell>
          <cell r="V85">
            <v>294.8</v>
          </cell>
          <cell r="W85">
            <v>280.05</v>
          </cell>
          <cell r="X85">
            <v>265.3</v>
          </cell>
          <cell r="Y85">
            <v>365.2</v>
          </cell>
          <cell r="Z85">
            <v>365.2</v>
          </cell>
          <cell r="AA85">
            <v>362.4</v>
          </cell>
          <cell r="AB85">
            <v>367.7</v>
          </cell>
          <cell r="AC85">
            <v>329.3</v>
          </cell>
          <cell r="AD85">
            <v>378.6</v>
          </cell>
          <cell r="AE85">
            <v>378.6</v>
          </cell>
          <cell r="AF85">
            <v>461.4</v>
          </cell>
          <cell r="AG85">
            <v>453.1</v>
          </cell>
          <cell r="AH85">
            <v>429.4</v>
          </cell>
          <cell r="AI85">
            <v>656.8</v>
          </cell>
          <cell r="AJ85">
            <v>656.8</v>
          </cell>
          <cell r="AK85">
            <v>537.1</v>
          </cell>
          <cell r="AL85">
            <v>426.2</v>
          </cell>
          <cell r="AM85">
            <v>420.9</v>
          </cell>
          <cell r="AN85">
            <v>576.6</v>
          </cell>
          <cell r="AO85">
            <v>576.6</v>
          </cell>
          <cell r="AP85">
            <v>621.29999999999995</v>
          </cell>
          <cell r="AQ85">
            <v>570.9</v>
          </cell>
          <cell r="AR85">
            <v>569.1</v>
          </cell>
          <cell r="AS85">
            <v>532.9</v>
          </cell>
          <cell r="AT85">
            <v>532.9</v>
          </cell>
          <cell r="AU85">
            <v>621.29999999999995</v>
          </cell>
          <cell r="AV85">
            <v>610</v>
          </cell>
          <cell r="AW85" t="str">
            <v>Tax Pre Sigs</v>
          </cell>
          <cell r="AX85">
            <v>464.70000000000005</v>
          </cell>
          <cell r="AY85">
            <v>0</v>
          </cell>
          <cell r="AZ85">
            <v>28.3</v>
          </cell>
          <cell r="BA85">
            <v>-100</v>
          </cell>
          <cell r="BB85">
            <v>46</v>
          </cell>
          <cell r="BD85">
            <v>440.42784819778791</v>
          </cell>
          <cell r="BF85" t="str">
            <v>NPAT (pre sigs.)</v>
          </cell>
          <cell r="BG85" t="str">
            <v>Sig Items (pre tax)</v>
          </cell>
          <cell r="BH85">
            <v>-29.1</v>
          </cell>
          <cell r="BI85">
            <v>-27.4</v>
          </cell>
          <cell r="BJ85">
            <v>-32.200000000000003</v>
          </cell>
          <cell r="BK85">
            <v>-224.70000000000002</v>
          </cell>
          <cell r="BL85">
            <v>-318.3</v>
          </cell>
          <cell r="BM85">
            <v>-40.200000000000003</v>
          </cell>
          <cell r="BN85">
            <v>142.80000000000001</v>
          </cell>
          <cell r="BO85">
            <v>94.699999999999989</v>
          </cell>
          <cell r="BP85">
            <v>-189</v>
          </cell>
          <cell r="BQ85">
            <v>8.3000000000000007</v>
          </cell>
          <cell r="BR85">
            <v>6.2043795620438047</v>
          </cell>
          <cell r="BS85">
            <v>51</v>
          </cell>
        </row>
        <row r="86">
          <cell r="A86" t="str">
            <v>TOTAL LIABILITIES</v>
          </cell>
          <cell r="E86">
            <v>0</v>
          </cell>
          <cell r="F86">
            <v>0</v>
          </cell>
          <cell r="J86">
            <v>621.20000000000005</v>
          </cell>
          <cell r="K86">
            <v>621.20000000000005</v>
          </cell>
          <cell r="O86">
            <v>543.1</v>
          </cell>
          <cell r="P86">
            <v>543.1</v>
          </cell>
          <cell r="Q86">
            <v>490.7</v>
          </cell>
          <cell r="R86">
            <v>512.29999999999995</v>
          </cell>
          <cell r="S86">
            <v>413.8</v>
          </cell>
          <cell r="T86">
            <v>392.9</v>
          </cell>
          <cell r="U86">
            <v>392.9</v>
          </cell>
          <cell r="V86">
            <v>404.6</v>
          </cell>
          <cell r="W86">
            <v>401.85</v>
          </cell>
          <cell r="X86">
            <v>399.1</v>
          </cell>
          <cell r="Y86">
            <v>466.50000000000006</v>
          </cell>
          <cell r="Z86">
            <v>466.50000000000006</v>
          </cell>
          <cell r="AA86">
            <v>464.5</v>
          </cell>
          <cell r="AB86">
            <v>466.5</v>
          </cell>
          <cell r="AC86">
            <v>452</v>
          </cell>
          <cell r="AD86">
            <v>464.20000000000005</v>
          </cell>
          <cell r="AE86">
            <v>464.20000000000005</v>
          </cell>
          <cell r="AF86">
            <v>523.79999999999995</v>
          </cell>
          <cell r="AG86">
            <v>487.8</v>
          </cell>
          <cell r="AH86">
            <v>472.7</v>
          </cell>
          <cell r="AI86">
            <v>1350.5</v>
          </cell>
          <cell r="AJ86">
            <v>1350.5</v>
          </cell>
          <cell r="AK86">
            <v>1239.4000000000001</v>
          </cell>
          <cell r="AL86">
            <v>1255.5999999999999</v>
          </cell>
          <cell r="AM86">
            <v>1271.4000000000001</v>
          </cell>
          <cell r="AN86">
            <v>1869.4</v>
          </cell>
          <cell r="AO86">
            <v>1869.4</v>
          </cell>
          <cell r="AP86">
            <v>2070.1</v>
          </cell>
          <cell r="AS86">
            <v>2041.7272603943979</v>
          </cell>
          <cell r="AT86">
            <v>2041.7272603943979</v>
          </cell>
          <cell r="AW86" t="str">
            <v>Minorities</v>
          </cell>
          <cell r="AY86">
            <v>0</v>
          </cell>
          <cell r="AZ86">
            <v>0</v>
          </cell>
          <cell r="BA86" t="str">
            <v>-</v>
          </cell>
          <cell r="BB86">
            <v>47</v>
          </cell>
          <cell r="BG86" t="str">
            <v>Sig. Items (post tax)</v>
          </cell>
          <cell r="BH86">
            <v>-29.5</v>
          </cell>
          <cell r="BI86">
            <v>-27.4</v>
          </cell>
          <cell r="BJ86">
            <v>-17</v>
          </cell>
          <cell r="BK86">
            <v>-167</v>
          </cell>
          <cell r="BL86">
            <v>-241.29999999999998</v>
          </cell>
          <cell r="BM86">
            <v>-40.200000000000003</v>
          </cell>
          <cell r="BN86">
            <v>122.30000000000001</v>
          </cell>
          <cell r="BO86">
            <v>98.799999999999983</v>
          </cell>
          <cell r="BP86">
            <v>-135.60000000000002</v>
          </cell>
          <cell r="BQ86">
            <v>49.8</v>
          </cell>
          <cell r="BR86">
            <v>7.6642335766423431</v>
          </cell>
          <cell r="BS86">
            <v>52</v>
          </cell>
        </row>
        <row r="87">
          <cell r="A87" t="str">
            <v xml:space="preserve">PPE </v>
          </cell>
          <cell r="E87">
            <v>0</v>
          </cell>
          <cell r="F87">
            <v>0</v>
          </cell>
          <cell r="J87">
            <v>391.6</v>
          </cell>
          <cell r="K87">
            <v>391.6</v>
          </cell>
          <cell r="O87">
            <v>451</v>
          </cell>
          <cell r="P87">
            <v>451</v>
          </cell>
          <cell r="Q87">
            <v>456.7</v>
          </cell>
          <cell r="R87">
            <v>463.4</v>
          </cell>
          <cell r="S87">
            <v>496.1</v>
          </cell>
          <cell r="T87">
            <v>521.29999999999995</v>
          </cell>
          <cell r="U87">
            <v>521.29999999999995</v>
          </cell>
          <cell r="V87">
            <v>540.1</v>
          </cell>
          <cell r="W87">
            <v>553.79999999999995</v>
          </cell>
          <cell r="X87">
            <v>567.5</v>
          </cell>
          <cell r="Y87">
            <v>567.1</v>
          </cell>
          <cell r="Z87">
            <v>567.1</v>
          </cell>
          <cell r="AA87">
            <v>584.79999999999995</v>
          </cell>
          <cell r="AB87">
            <v>629.5</v>
          </cell>
          <cell r="AC87">
            <v>670.2</v>
          </cell>
          <cell r="AD87">
            <v>685.7</v>
          </cell>
          <cell r="AE87">
            <v>685.7</v>
          </cell>
          <cell r="AF87">
            <v>700.6</v>
          </cell>
          <cell r="AG87">
            <v>727.9</v>
          </cell>
          <cell r="AH87">
            <v>764.3</v>
          </cell>
          <cell r="AI87">
            <v>775.6</v>
          </cell>
          <cell r="AJ87">
            <v>775.6</v>
          </cell>
          <cell r="AK87">
            <v>801.8</v>
          </cell>
          <cell r="AL87">
            <v>816.1</v>
          </cell>
          <cell r="AM87">
            <v>825.5</v>
          </cell>
          <cell r="AN87">
            <v>827.7</v>
          </cell>
          <cell r="AO87">
            <v>827.7</v>
          </cell>
          <cell r="AP87">
            <v>839.6</v>
          </cell>
          <cell r="AQ87">
            <v>839</v>
          </cell>
          <cell r="AR87">
            <v>799.8</v>
          </cell>
          <cell r="AS87">
            <v>756.4</v>
          </cell>
          <cell r="AT87">
            <v>756.4</v>
          </cell>
          <cell r="AU87">
            <v>839.6</v>
          </cell>
          <cell r="AV87">
            <v>722.4</v>
          </cell>
          <cell r="AW87">
            <v>707.5</v>
          </cell>
          <cell r="AX87">
            <v>700.8</v>
          </cell>
          <cell r="AY87">
            <v>700.8</v>
          </cell>
          <cell r="AZ87">
            <v>839.6</v>
          </cell>
          <cell r="BA87">
            <v>722.4</v>
          </cell>
          <cell r="BB87">
            <v>707.5</v>
          </cell>
          <cell r="BD87">
            <v>709.69641471999989</v>
          </cell>
          <cell r="BF87" t="str">
            <v>Significant Items (pre tax)</v>
          </cell>
        </row>
        <row r="88">
          <cell r="A88" t="str">
            <v>NET ASSETS</v>
          </cell>
          <cell r="E88">
            <v>0</v>
          </cell>
          <cell r="F88">
            <v>0</v>
          </cell>
          <cell r="J88">
            <v>281.10000000000002</v>
          </cell>
          <cell r="K88">
            <v>281.10000000000002</v>
          </cell>
          <cell r="O88">
            <v>370.4</v>
          </cell>
          <cell r="P88">
            <v>370.4</v>
          </cell>
          <cell r="Q88">
            <v>466.50000000000006</v>
          </cell>
          <cell r="R88">
            <v>466.90000000000009</v>
          </cell>
          <cell r="S88">
            <v>382.90000000000003</v>
          </cell>
          <cell r="T88">
            <v>434.69999999999993</v>
          </cell>
          <cell r="U88">
            <v>434.69999999999993</v>
          </cell>
          <cell r="V88">
            <v>468.1</v>
          </cell>
          <cell r="W88">
            <v>465.95</v>
          </cell>
          <cell r="X88">
            <v>463.79999999999995</v>
          </cell>
          <cell r="Y88">
            <v>504.7</v>
          </cell>
          <cell r="Z88">
            <v>504.7</v>
          </cell>
          <cell r="AA88">
            <v>517.20000000000005</v>
          </cell>
          <cell r="AB88">
            <v>562.70000000000005</v>
          </cell>
          <cell r="AC88">
            <v>583.09999999999991</v>
          </cell>
          <cell r="AD88">
            <v>624.70000000000005</v>
          </cell>
          <cell r="AE88">
            <v>624.70000000000005</v>
          </cell>
          <cell r="AF88">
            <v>658.7</v>
          </cell>
          <cell r="AG88">
            <v>712.7</v>
          </cell>
          <cell r="AH88">
            <v>740</v>
          </cell>
          <cell r="AI88">
            <v>94.900000000000091</v>
          </cell>
          <cell r="AJ88">
            <v>94.900000000000091</v>
          </cell>
          <cell r="AK88">
            <v>112.79999999999995</v>
          </cell>
          <cell r="AL88">
            <v>140.70000000000005</v>
          </cell>
          <cell r="AM88">
            <v>138.79999999999995</v>
          </cell>
          <cell r="AN88">
            <v>258.69999999999982</v>
          </cell>
          <cell r="AO88">
            <v>258.69999999999982</v>
          </cell>
          <cell r="AP88">
            <v>147.70000000000027</v>
          </cell>
          <cell r="AQ88">
            <v>788</v>
          </cell>
          <cell r="AR88">
            <v>787.00000000000023</v>
          </cell>
          <cell r="AS88">
            <v>77.752152399226816</v>
          </cell>
          <cell r="AT88">
            <v>77.752152399226816</v>
          </cell>
          <cell r="AU88">
            <v>756.9000000000002</v>
          </cell>
          <cell r="AV88">
            <v>808.6</v>
          </cell>
          <cell r="AW88" t="str">
            <v>NPAT (pre sigs.)</v>
          </cell>
          <cell r="AX88">
            <v>733.2</v>
          </cell>
          <cell r="AY88">
            <v>0</v>
          </cell>
          <cell r="AZ88">
            <v>13.699999999999992</v>
          </cell>
          <cell r="BA88">
            <v>-100</v>
          </cell>
          <cell r="BB88">
            <v>49</v>
          </cell>
          <cell r="BD88">
            <v>723.77142857142849</v>
          </cell>
          <cell r="BF88" t="str">
            <v>Significant Items (post tax)</v>
          </cell>
          <cell r="BG88" t="str">
            <v>NPAT (post sigs.)</v>
          </cell>
          <cell r="BH88">
            <v>39.100000000000023</v>
          </cell>
          <cell r="BI88">
            <v>19.100000000000009</v>
          </cell>
          <cell r="BJ88">
            <v>17.099999999999994</v>
          </cell>
          <cell r="BK88">
            <v>-146.9</v>
          </cell>
          <cell r="BL88">
            <v>-71.600000000000051</v>
          </cell>
          <cell r="BM88">
            <v>1.3999999999999844</v>
          </cell>
          <cell r="BN88">
            <v>153.5</v>
          </cell>
          <cell r="BO88">
            <v>110.99999999999999</v>
          </cell>
          <cell r="BP88">
            <v>-129.6</v>
          </cell>
          <cell r="BQ88">
            <v>136.30000000000001</v>
          </cell>
          <cell r="BR88">
            <v>104.71204188481677</v>
          </cell>
          <cell r="BS88">
            <v>54</v>
          </cell>
        </row>
        <row r="89">
          <cell r="A89" t="str">
            <v>Non Current Assets</v>
          </cell>
          <cell r="E89">
            <v>0</v>
          </cell>
          <cell r="F89">
            <v>0</v>
          </cell>
          <cell r="J89">
            <v>644.6</v>
          </cell>
          <cell r="K89">
            <v>644.6</v>
          </cell>
          <cell r="O89">
            <v>675.4</v>
          </cell>
          <cell r="P89">
            <v>675.4</v>
          </cell>
          <cell r="Q89">
            <v>487.1</v>
          </cell>
          <cell r="R89">
            <v>490.40000000000003</v>
          </cell>
          <cell r="S89">
            <v>520.90000000000009</v>
          </cell>
          <cell r="T89">
            <v>555.79999999999995</v>
          </cell>
          <cell r="U89">
            <v>555.79999999999995</v>
          </cell>
          <cell r="V89">
            <v>577.90000000000009</v>
          </cell>
          <cell r="W89">
            <v>587.75</v>
          </cell>
          <cell r="X89">
            <v>597.59999999999991</v>
          </cell>
          <cell r="Y89">
            <v>606</v>
          </cell>
          <cell r="Z89">
            <v>606</v>
          </cell>
          <cell r="AA89">
            <v>619.30000000000007</v>
          </cell>
          <cell r="AB89">
            <v>661.5</v>
          </cell>
          <cell r="AC89">
            <v>705.8</v>
          </cell>
          <cell r="AD89">
            <v>710.30000000000007</v>
          </cell>
          <cell r="AE89">
            <v>710.30000000000007</v>
          </cell>
          <cell r="AF89">
            <v>721.1</v>
          </cell>
          <cell r="AG89">
            <v>747.4</v>
          </cell>
          <cell r="AH89">
            <v>783.30000000000007</v>
          </cell>
          <cell r="AI89">
            <v>788.6</v>
          </cell>
          <cell r="AJ89">
            <v>788.6</v>
          </cell>
          <cell r="AK89">
            <v>815.1</v>
          </cell>
          <cell r="AL89">
            <v>970.09999999999991</v>
          </cell>
          <cell r="AM89">
            <v>989.30000000000007</v>
          </cell>
          <cell r="AN89">
            <v>1551.5</v>
          </cell>
          <cell r="AO89">
            <v>1551.5</v>
          </cell>
          <cell r="AP89">
            <v>1596.5000000000002</v>
          </cell>
          <cell r="AQ89">
            <v>1627</v>
          </cell>
          <cell r="AR89">
            <v>1586.8000000000002</v>
          </cell>
          <cell r="AS89">
            <v>1647</v>
          </cell>
          <cell r="AT89">
            <v>1647</v>
          </cell>
          <cell r="AU89">
            <v>1596.5000000000002</v>
          </cell>
          <cell r="AV89">
            <v>1531</v>
          </cell>
          <cell r="AW89">
            <v>1378.6</v>
          </cell>
          <cell r="AX89">
            <v>1434</v>
          </cell>
          <cell r="AY89">
            <v>1434</v>
          </cell>
          <cell r="AZ89">
            <v>1596.5000000000002</v>
          </cell>
          <cell r="BA89">
            <v>1531</v>
          </cell>
          <cell r="BB89">
            <v>1378.6</v>
          </cell>
          <cell r="BD89">
            <v>1433.4678432914284</v>
          </cell>
        </row>
        <row r="90">
          <cell r="A90" t="str">
            <v>Shareholders Equity</v>
          </cell>
          <cell r="E90">
            <v>0</v>
          </cell>
          <cell r="F90">
            <v>0</v>
          </cell>
          <cell r="J90">
            <v>281.09999999999997</v>
          </cell>
          <cell r="K90">
            <v>281.09999999999997</v>
          </cell>
          <cell r="O90">
            <v>370.4</v>
          </cell>
          <cell r="P90">
            <v>370.4</v>
          </cell>
          <cell r="Q90">
            <v>466.5</v>
          </cell>
          <cell r="R90">
            <v>466.9</v>
          </cell>
          <cell r="S90">
            <v>382.9</v>
          </cell>
          <cell r="T90">
            <v>434.7</v>
          </cell>
          <cell r="U90">
            <v>434.7</v>
          </cell>
          <cell r="V90">
            <v>468.1</v>
          </cell>
          <cell r="W90">
            <v>465.95000000000005</v>
          </cell>
          <cell r="X90">
            <v>463.8</v>
          </cell>
          <cell r="Y90">
            <v>504.69999999999993</v>
          </cell>
          <cell r="Z90">
            <v>504.69999999999993</v>
          </cell>
          <cell r="AA90">
            <v>981.7</v>
          </cell>
          <cell r="AB90">
            <v>1029.2</v>
          </cell>
          <cell r="AC90">
            <v>1035.0999999999999</v>
          </cell>
          <cell r="AD90">
            <v>624.70000000000005</v>
          </cell>
          <cell r="AE90">
            <v>624.70000000000005</v>
          </cell>
          <cell r="AF90">
            <v>1182.5</v>
          </cell>
          <cell r="AG90">
            <v>1200.5</v>
          </cell>
          <cell r="AH90">
            <v>1212.7</v>
          </cell>
          <cell r="AI90">
            <v>94.899999999999991</v>
          </cell>
          <cell r="AJ90">
            <v>94.899999999999991</v>
          </cell>
          <cell r="AK90">
            <v>1352.2</v>
          </cell>
          <cell r="AL90">
            <v>1396.3</v>
          </cell>
          <cell r="AM90">
            <v>1410.2</v>
          </cell>
          <cell r="AN90">
            <v>258.7</v>
          </cell>
          <cell r="AO90">
            <v>258.7</v>
          </cell>
          <cell r="AP90">
            <v>147.69999999999999</v>
          </cell>
          <cell r="AS90">
            <v>77.752152399226318</v>
          </cell>
          <cell r="AT90">
            <v>77.752152399226318</v>
          </cell>
          <cell r="AW90" t="str">
            <v>Significant Items (pre tax)</v>
          </cell>
          <cell r="AY90">
            <v>0</v>
          </cell>
          <cell r="AZ90">
            <v>0</v>
          </cell>
          <cell r="BA90" t="str">
            <v>-</v>
          </cell>
          <cell r="BB90">
            <v>51</v>
          </cell>
          <cell r="BF90" t="str">
            <v>NPAT (post sigs.)</v>
          </cell>
        </row>
        <row r="91">
          <cell r="A91" t="str">
            <v>Outside Equity Interests</v>
          </cell>
          <cell r="E91">
            <v>0</v>
          </cell>
          <cell r="F91">
            <v>0</v>
          </cell>
          <cell r="J91">
            <v>0</v>
          </cell>
          <cell r="K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2197.9</v>
          </cell>
          <cell r="AR91">
            <v>2155.9</v>
          </cell>
          <cell r="AS91">
            <v>0</v>
          </cell>
          <cell r="AT91">
            <v>0</v>
          </cell>
          <cell r="AU91">
            <v>2217.8000000000002</v>
          </cell>
          <cell r="AV91">
            <v>2357.3000000000002</v>
          </cell>
          <cell r="AW91" t="str">
            <v>Significant Items (post tax)</v>
          </cell>
          <cell r="AX91">
            <v>1898.7</v>
          </cell>
          <cell r="AY91">
            <v>0</v>
          </cell>
          <cell r="AZ91">
            <v>0</v>
          </cell>
          <cell r="BA91" t="str">
            <v>-</v>
          </cell>
          <cell r="BB91">
            <v>52</v>
          </cell>
          <cell r="BD91">
            <v>1873.8956914892162</v>
          </cell>
        </row>
        <row r="92">
          <cell r="A92" t="str">
            <v>TOTAL EQUITY</v>
          </cell>
          <cell r="E92">
            <v>0</v>
          </cell>
          <cell r="F92">
            <v>0</v>
          </cell>
          <cell r="J92">
            <v>281.09999999999997</v>
          </cell>
          <cell r="K92">
            <v>281.09999999999997</v>
          </cell>
          <cell r="O92">
            <v>370.4</v>
          </cell>
          <cell r="P92">
            <v>370.4</v>
          </cell>
          <cell r="Q92">
            <v>466.5</v>
          </cell>
          <cell r="R92">
            <v>466.9</v>
          </cell>
          <cell r="S92">
            <v>382.9</v>
          </cell>
          <cell r="T92">
            <v>434.7</v>
          </cell>
          <cell r="U92">
            <v>434.7</v>
          </cell>
          <cell r="V92">
            <v>468.1</v>
          </cell>
          <cell r="W92">
            <v>465.95000000000005</v>
          </cell>
          <cell r="X92">
            <v>463.8</v>
          </cell>
          <cell r="Y92">
            <v>504.69999999999993</v>
          </cell>
          <cell r="Z92">
            <v>504.69999999999993</v>
          </cell>
          <cell r="AA92">
            <v>981.7</v>
          </cell>
          <cell r="AB92">
            <v>1029.2</v>
          </cell>
          <cell r="AC92">
            <v>1035.0999999999999</v>
          </cell>
          <cell r="AD92">
            <v>624.70000000000005</v>
          </cell>
          <cell r="AE92">
            <v>624.70000000000005</v>
          </cell>
          <cell r="AF92">
            <v>1182.5</v>
          </cell>
          <cell r="AG92">
            <v>1200.5</v>
          </cell>
          <cell r="AH92">
            <v>1212.7</v>
          </cell>
          <cell r="AI92">
            <v>94.899999999999991</v>
          </cell>
          <cell r="AJ92">
            <v>94.899999999999991</v>
          </cell>
          <cell r="AK92">
            <v>1352.2</v>
          </cell>
          <cell r="AL92">
            <v>1396.3</v>
          </cell>
          <cell r="AM92">
            <v>1410.2</v>
          </cell>
          <cell r="AN92">
            <v>258.7</v>
          </cell>
          <cell r="AO92">
            <v>258.7</v>
          </cell>
          <cell r="AP92">
            <v>147.69999999999999</v>
          </cell>
          <cell r="AS92">
            <v>77.752152399226318</v>
          </cell>
          <cell r="AT92">
            <v>77.752152399226318</v>
          </cell>
        </row>
        <row r="93">
          <cell r="A93" t="str">
            <v>Payables</v>
          </cell>
          <cell r="E93">
            <v>0</v>
          </cell>
          <cell r="F93">
            <v>0</v>
          </cell>
          <cell r="J93">
            <v>63.5</v>
          </cell>
          <cell r="K93">
            <v>63.5</v>
          </cell>
          <cell r="O93">
            <v>59.7</v>
          </cell>
          <cell r="P93">
            <v>59.7</v>
          </cell>
          <cell r="Q93">
            <v>60.8</v>
          </cell>
          <cell r="R93">
            <v>74.3</v>
          </cell>
          <cell r="S93">
            <v>65</v>
          </cell>
          <cell r="T93">
            <v>75.2</v>
          </cell>
          <cell r="U93">
            <v>75.2</v>
          </cell>
          <cell r="V93">
            <v>72.099999999999994</v>
          </cell>
          <cell r="W93">
            <v>68.849999999999994</v>
          </cell>
          <cell r="X93">
            <v>65.599999999999994</v>
          </cell>
          <cell r="Y93">
            <v>78.5</v>
          </cell>
          <cell r="Z93">
            <v>78.5</v>
          </cell>
          <cell r="AA93">
            <v>86.5</v>
          </cell>
          <cell r="AB93">
            <v>100.7</v>
          </cell>
          <cell r="AC93">
            <v>85.1</v>
          </cell>
          <cell r="AD93">
            <v>94</v>
          </cell>
          <cell r="AE93">
            <v>94</v>
          </cell>
          <cell r="AF93">
            <v>104.3</v>
          </cell>
          <cell r="AG93">
            <v>120.3</v>
          </cell>
          <cell r="AH93">
            <v>107.8</v>
          </cell>
          <cell r="AI93">
            <v>117.8</v>
          </cell>
          <cell r="AJ93">
            <v>117.8</v>
          </cell>
          <cell r="AK93">
            <v>114.5</v>
          </cell>
          <cell r="AL93">
            <v>116.5</v>
          </cell>
          <cell r="AM93">
            <v>96.2</v>
          </cell>
          <cell r="AN93">
            <v>100.8</v>
          </cell>
          <cell r="AO93">
            <v>100.8</v>
          </cell>
          <cell r="AP93">
            <v>125.8</v>
          </cell>
          <cell r="AQ93">
            <v>150.9</v>
          </cell>
          <cell r="AR93">
            <v>114.2</v>
          </cell>
          <cell r="AS93">
            <v>107.6</v>
          </cell>
          <cell r="AT93">
            <v>107.6</v>
          </cell>
          <cell r="AU93">
            <v>125.8</v>
          </cell>
          <cell r="AV93">
            <v>108.2</v>
          </cell>
          <cell r="AW93" t="str">
            <v>NPAT (post sigs.)</v>
          </cell>
          <cell r="AX93">
            <v>89.1</v>
          </cell>
          <cell r="AY93">
            <v>0</v>
          </cell>
          <cell r="AZ93">
            <v>13.699999999999992</v>
          </cell>
          <cell r="BA93">
            <v>-100</v>
          </cell>
          <cell r="BB93">
            <v>54</v>
          </cell>
          <cell r="BD93">
            <v>65.068628975237232</v>
          </cell>
        </row>
        <row r="94">
          <cell r="A94" t="str">
            <v>Weighted Average Number of Shares</v>
          </cell>
          <cell r="E94">
            <v>0</v>
          </cell>
          <cell r="F94">
            <v>407</v>
          </cell>
          <cell r="J94">
            <v>74.8</v>
          </cell>
          <cell r="K94">
            <v>409.6</v>
          </cell>
          <cell r="L94">
            <v>415.8</v>
          </cell>
          <cell r="M94">
            <v>435.6</v>
          </cell>
          <cell r="N94">
            <v>452.6</v>
          </cell>
          <cell r="O94">
            <v>446.5</v>
          </cell>
          <cell r="P94">
            <v>440.4</v>
          </cell>
          <cell r="Q94">
            <v>458.2</v>
          </cell>
          <cell r="R94">
            <v>456.5</v>
          </cell>
          <cell r="S94">
            <v>459.6</v>
          </cell>
          <cell r="T94">
            <v>459.5</v>
          </cell>
          <cell r="U94">
            <v>459.4</v>
          </cell>
          <cell r="V94">
            <v>460.4</v>
          </cell>
          <cell r="W94">
            <v>461.5</v>
          </cell>
          <cell r="X94">
            <v>461.9</v>
          </cell>
          <cell r="Y94">
            <v>461.65</v>
          </cell>
          <cell r="Z94">
            <v>461.4</v>
          </cell>
          <cell r="AA94">
            <v>460.8</v>
          </cell>
          <cell r="AB94">
            <v>460.4</v>
          </cell>
          <cell r="AC94">
            <v>461.1</v>
          </cell>
          <cell r="AD94">
            <v>461.05</v>
          </cell>
          <cell r="AE94">
            <v>461</v>
          </cell>
          <cell r="AF94">
            <v>462.7</v>
          </cell>
          <cell r="AG94">
            <v>466.8</v>
          </cell>
          <cell r="AH94">
            <v>466.8</v>
          </cell>
          <cell r="AI94">
            <v>464.25</v>
          </cell>
          <cell r="AJ94">
            <v>461.7</v>
          </cell>
          <cell r="AK94">
            <v>466.9</v>
          </cell>
          <cell r="AL94">
            <v>465.1</v>
          </cell>
          <cell r="AM94">
            <v>464.7</v>
          </cell>
          <cell r="AN94">
            <v>465.54999999999995</v>
          </cell>
          <cell r="AO94">
            <v>466.4</v>
          </cell>
          <cell r="AP94">
            <v>469.4</v>
          </cell>
          <cell r="AQ94">
            <v>93</v>
          </cell>
          <cell r="AR94">
            <v>106</v>
          </cell>
          <cell r="AS94">
            <v>90</v>
          </cell>
          <cell r="AT94">
            <v>448.57539099999997</v>
          </cell>
          <cell r="AU94">
            <v>60</v>
          </cell>
          <cell r="AV94">
            <v>104.7</v>
          </cell>
          <cell r="AW94">
            <v>97.2</v>
          </cell>
          <cell r="AX94">
            <v>93.3</v>
          </cell>
          <cell r="AY94">
            <v>93.3</v>
          </cell>
          <cell r="AZ94">
            <v>60</v>
          </cell>
          <cell r="BA94">
            <v>104.7</v>
          </cell>
          <cell r="BB94">
            <v>97.2</v>
          </cell>
          <cell r="BD94">
            <v>93.3</v>
          </cell>
        </row>
        <row r="95">
          <cell r="A95" t="str">
            <v>Other</v>
          </cell>
          <cell r="E95">
            <v>0</v>
          </cell>
          <cell r="F95">
            <v>0</v>
          </cell>
          <cell r="J95">
            <v>34.5</v>
          </cell>
          <cell r="K95">
            <v>34.5</v>
          </cell>
          <cell r="O95">
            <v>58.5</v>
          </cell>
          <cell r="P95">
            <v>58.5</v>
          </cell>
          <cell r="Q95">
            <v>78.300000000000011</v>
          </cell>
          <cell r="R95">
            <v>95.2</v>
          </cell>
          <cell r="S95">
            <v>68.2</v>
          </cell>
          <cell r="T95">
            <v>52.599999999999994</v>
          </cell>
          <cell r="U95">
            <v>52.599999999999994</v>
          </cell>
          <cell r="V95">
            <v>69.800000000000011</v>
          </cell>
          <cell r="W95">
            <v>68.45</v>
          </cell>
          <cell r="X95">
            <v>67.099999999999994</v>
          </cell>
          <cell r="Y95">
            <v>62.400000000000006</v>
          </cell>
          <cell r="Z95">
            <v>62.400000000000006</v>
          </cell>
          <cell r="AA95">
            <v>67.099999999999994</v>
          </cell>
          <cell r="AB95">
            <v>62.899999999999977</v>
          </cell>
          <cell r="AC95">
            <v>56.7</v>
          </cell>
          <cell r="AD95">
            <v>66.800000000000011</v>
          </cell>
          <cell r="AE95">
            <v>66.800000000000011</v>
          </cell>
          <cell r="AF95">
            <v>124.30000000000001</v>
          </cell>
          <cell r="AG95">
            <v>72.5</v>
          </cell>
          <cell r="AH95">
            <v>91.1</v>
          </cell>
          <cell r="AI95">
            <v>85.5</v>
          </cell>
          <cell r="AJ95">
            <v>85.5</v>
          </cell>
          <cell r="AK95">
            <v>99.800000000000011</v>
          </cell>
          <cell r="AL95">
            <v>66.100000000000023</v>
          </cell>
          <cell r="AM95">
            <v>100.60000000000002</v>
          </cell>
          <cell r="AN95">
            <v>133.80000000000001</v>
          </cell>
          <cell r="AO95">
            <v>133.80000000000001</v>
          </cell>
          <cell r="AP95">
            <v>225.2</v>
          </cell>
          <cell r="AQ95">
            <v>144.49999999999997</v>
          </cell>
          <cell r="AR95">
            <v>147.5</v>
          </cell>
          <cell r="AS95">
            <v>151.6</v>
          </cell>
          <cell r="AT95">
            <v>151.6</v>
          </cell>
          <cell r="AU95">
            <v>225.2</v>
          </cell>
          <cell r="AV95">
            <v>212.79999999999998</v>
          </cell>
          <cell r="AW95" t="str">
            <v>Hybrid distribution</v>
          </cell>
          <cell r="AX95">
            <v>132.60000000000002</v>
          </cell>
          <cell r="AY95" t="e">
            <v>#N/A</v>
          </cell>
          <cell r="AZ95" t="e">
            <v>#N/A</v>
          </cell>
          <cell r="BA95" t="str">
            <v>-</v>
          </cell>
          <cell r="BB95" t="e">
            <v>#N/A</v>
          </cell>
          <cell r="BD95">
            <v>132.60000000000002</v>
          </cell>
        </row>
        <row r="96">
          <cell r="A96" t="str">
            <v>Net Working Capital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53.7</v>
          </cell>
          <cell r="K96">
            <v>53.7</v>
          </cell>
          <cell r="L96">
            <v>0</v>
          </cell>
          <cell r="M96">
            <v>0</v>
          </cell>
          <cell r="N96">
            <v>0</v>
          </cell>
          <cell r="O96">
            <v>85.999999999999986</v>
          </cell>
          <cell r="P96">
            <v>85.999999999999986</v>
          </cell>
          <cell r="Q96">
            <v>77.8</v>
          </cell>
          <cell r="R96">
            <v>62.899999999999991</v>
          </cell>
          <cell r="S96">
            <v>72.900000000000006</v>
          </cell>
          <cell r="T96">
            <v>91.40000000000002</v>
          </cell>
          <cell r="U96">
            <v>91.40000000000002</v>
          </cell>
          <cell r="V96">
            <v>97.4</v>
          </cell>
          <cell r="W96">
            <v>106.9</v>
          </cell>
          <cell r="X96">
            <v>116.4</v>
          </cell>
          <cell r="Y96">
            <v>143.10000000000002</v>
          </cell>
          <cell r="Z96">
            <v>143.10000000000002</v>
          </cell>
          <cell r="AA96">
            <v>122</v>
          </cell>
          <cell r="AB96">
            <v>101.2</v>
          </cell>
          <cell r="AC96">
            <v>114.5</v>
          </cell>
          <cell r="AD96">
            <v>133.10000000000002</v>
          </cell>
          <cell r="AE96">
            <v>133.10000000000002</v>
          </cell>
          <cell r="AF96">
            <v>138.80000000000001</v>
          </cell>
          <cell r="AG96">
            <v>121.30000000000003</v>
          </cell>
          <cell r="AH96">
            <v>131.59999999999997</v>
          </cell>
          <cell r="AI96">
            <v>159.39999999999998</v>
          </cell>
          <cell r="AJ96">
            <v>159.39999999999998</v>
          </cell>
          <cell r="AK96">
            <v>180.39999999999998</v>
          </cell>
          <cell r="AL96">
            <v>183.29999999999995</v>
          </cell>
          <cell r="AM96">
            <v>179.90000000000003</v>
          </cell>
          <cell r="AN96">
            <v>210.2</v>
          </cell>
          <cell r="AO96">
            <v>210.2</v>
          </cell>
          <cell r="AP96">
            <v>175.99999999999994</v>
          </cell>
          <cell r="AQ96">
            <v>0</v>
          </cell>
          <cell r="AR96">
            <v>0</v>
          </cell>
          <cell r="AS96">
            <v>207.02848941871332</v>
          </cell>
          <cell r="AT96">
            <v>207.02848941871332</v>
          </cell>
          <cell r="AU96">
            <v>411</v>
          </cell>
          <cell r="AV96">
            <v>425.7</v>
          </cell>
          <cell r="AW96">
            <v>388.2</v>
          </cell>
          <cell r="AX96">
            <v>315</v>
          </cell>
          <cell r="AY96">
            <v>315</v>
          </cell>
          <cell r="AZ96">
            <v>411</v>
          </cell>
          <cell r="BA96">
            <v>425.7</v>
          </cell>
          <cell r="BB96">
            <v>388.2</v>
          </cell>
          <cell r="BD96">
            <v>290.96862897523727</v>
          </cell>
        </row>
        <row r="97">
          <cell r="A97" t="str">
            <v>Net Debt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357</v>
          </cell>
          <cell r="K97">
            <v>357</v>
          </cell>
          <cell r="L97">
            <v>0</v>
          </cell>
          <cell r="M97">
            <v>0</v>
          </cell>
          <cell r="N97">
            <v>0</v>
          </cell>
          <cell r="O97">
            <v>298.79999999999995</v>
          </cell>
          <cell r="P97">
            <v>298.79999999999995</v>
          </cell>
          <cell r="Q97">
            <v>-68.600000000000023</v>
          </cell>
          <cell r="R97">
            <v>-90.700000000000017</v>
          </cell>
          <cell r="S97">
            <v>63.199999999999989</v>
          </cell>
          <cell r="T97">
            <v>118.70000000000002</v>
          </cell>
          <cell r="U97">
            <v>118.70000000000002</v>
          </cell>
          <cell r="V97">
            <v>103.9</v>
          </cell>
          <cell r="W97">
            <v>120.84999999999998</v>
          </cell>
          <cell r="X97">
            <v>137.80000000000001</v>
          </cell>
          <cell r="Y97">
            <v>103.50000000000001</v>
          </cell>
          <cell r="Z97">
            <v>103.50000000000001</v>
          </cell>
          <cell r="AA97">
            <v>62.599999999999994</v>
          </cell>
          <cell r="AB97">
            <v>61.2</v>
          </cell>
          <cell r="AC97">
            <v>86.4</v>
          </cell>
          <cell r="AD97">
            <v>45.800000000000011</v>
          </cell>
          <cell r="AE97">
            <v>45.800000000000011</v>
          </cell>
          <cell r="AF97">
            <v>-14.199999999999989</v>
          </cell>
          <cell r="AG97">
            <v>67.499999999999972</v>
          </cell>
          <cell r="AH97">
            <v>-27.300000000000011</v>
          </cell>
          <cell r="AI97">
            <v>-12.400000000000034</v>
          </cell>
          <cell r="AJ97">
            <v>-12.400000000000034</v>
          </cell>
          <cell r="AK97">
            <v>-38.400000000000006</v>
          </cell>
          <cell r="AL97">
            <v>82.7</v>
          </cell>
          <cell r="AM97">
            <v>17.700000000000003</v>
          </cell>
          <cell r="AN97">
            <v>153.9</v>
          </cell>
          <cell r="AO97">
            <v>153.9</v>
          </cell>
          <cell r="AP97">
            <v>-105.29999999999998</v>
          </cell>
          <cell r="AQ97">
            <v>0</v>
          </cell>
          <cell r="AR97">
            <v>0</v>
          </cell>
          <cell r="AS97">
            <v>272.88329853228839</v>
          </cell>
          <cell r="AT97">
            <v>272.88329853228839</v>
          </cell>
          <cell r="AW97" t="str">
            <v>NPAT (post hybrid pre sigs)</v>
          </cell>
          <cell r="AY97" t="e">
            <v>#N/A</v>
          </cell>
          <cell r="AZ97" t="e">
            <v>#N/A</v>
          </cell>
          <cell r="BA97" t="str">
            <v>-</v>
          </cell>
          <cell r="BB97" t="e">
            <v>#N/A</v>
          </cell>
        </row>
        <row r="98">
          <cell r="A98" t="str">
            <v>Interest Bearing Liabilities</v>
          </cell>
          <cell r="E98">
            <v>0</v>
          </cell>
          <cell r="F98">
            <v>0</v>
          </cell>
          <cell r="J98">
            <v>357.3</v>
          </cell>
          <cell r="K98">
            <v>357.3</v>
          </cell>
          <cell r="O98">
            <v>325</v>
          </cell>
          <cell r="P98">
            <v>325</v>
          </cell>
          <cell r="Q98">
            <v>225</v>
          </cell>
          <cell r="R98">
            <v>225</v>
          </cell>
          <cell r="S98">
            <v>165</v>
          </cell>
          <cell r="T98">
            <v>165</v>
          </cell>
          <cell r="U98">
            <v>165</v>
          </cell>
          <cell r="V98">
            <v>165</v>
          </cell>
          <cell r="W98">
            <v>156.19999999999999</v>
          </cell>
          <cell r="X98">
            <v>147.4</v>
          </cell>
          <cell r="Y98">
            <v>147.4</v>
          </cell>
          <cell r="Z98">
            <v>147.4</v>
          </cell>
          <cell r="AA98">
            <v>147.4</v>
          </cell>
          <cell r="AB98">
            <v>147.4</v>
          </cell>
          <cell r="AC98">
            <v>121.7</v>
          </cell>
          <cell r="AD98">
            <v>121.7</v>
          </cell>
          <cell r="AE98">
            <v>121.7</v>
          </cell>
          <cell r="AF98">
            <v>121.7</v>
          </cell>
          <cell r="AG98">
            <v>212.7</v>
          </cell>
          <cell r="AH98">
            <v>94.6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105</v>
          </cell>
          <cell r="AO98">
            <v>105</v>
          </cell>
          <cell r="AP98">
            <v>65</v>
          </cell>
          <cell r="AQ98">
            <v>30</v>
          </cell>
          <cell r="AR98">
            <v>196.5</v>
          </cell>
          <cell r="AS98">
            <v>174.5</v>
          </cell>
          <cell r="AT98">
            <v>174.5</v>
          </cell>
          <cell r="AU98">
            <v>65</v>
          </cell>
          <cell r="AV98">
            <v>161.5</v>
          </cell>
          <cell r="AW98">
            <v>201</v>
          </cell>
          <cell r="AX98">
            <v>230.7</v>
          </cell>
          <cell r="AY98">
            <v>230.7</v>
          </cell>
          <cell r="AZ98">
            <v>65</v>
          </cell>
          <cell r="BA98">
            <v>161.5</v>
          </cell>
          <cell r="BB98">
            <v>201</v>
          </cell>
          <cell r="BD98">
            <v>193.29192008581828</v>
          </cell>
        </row>
        <row r="99">
          <cell r="A99" t="str">
            <v>Cash flow</v>
          </cell>
          <cell r="E99">
            <v>0</v>
          </cell>
          <cell r="F99">
            <v>0</v>
          </cell>
          <cell r="J99">
            <v>91.099999999999966</v>
          </cell>
          <cell r="K99">
            <v>91.099999999999966</v>
          </cell>
          <cell r="O99">
            <v>95</v>
          </cell>
          <cell r="P99">
            <v>95</v>
          </cell>
          <cell r="Q99">
            <v>112.89999999999998</v>
          </cell>
          <cell r="R99">
            <v>111.69999999999993</v>
          </cell>
          <cell r="S99">
            <v>107.89999999999998</v>
          </cell>
          <cell r="T99">
            <v>91.300000000000011</v>
          </cell>
          <cell r="U99">
            <v>91.300000000000011</v>
          </cell>
          <cell r="V99">
            <v>88.200000000000017</v>
          </cell>
          <cell r="W99">
            <v>89.15000000000002</v>
          </cell>
          <cell r="X99">
            <v>90.100000000000023</v>
          </cell>
          <cell r="Y99">
            <v>149.80000000000004</v>
          </cell>
          <cell r="Z99">
            <v>149.80000000000004</v>
          </cell>
          <cell r="AA99">
            <v>135.4</v>
          </cell>
          <cell r="AB99">
            <v>126.9</v>
          </cell>
          <cell r="AC99">
            <v>150.30000000000001</v>
          </cell>
          <cell r="AD99">
            <v>144.10000000000002</v>
          </cell>
          <cell r="AE99">
            <v>144.10000000000002</v>
          </cell>
          <cell r="AF99">
            <v>147.79999999999995</v>
          </cell>
          <cell r="AG99">
            <v>56.600000000000023</v>
          </cell>
          <cell r="AH99">
            <v>152.1</v>
          </cell>
          <cell r="AI99">
            <v>844.5</v>
          </cell>
          <cell r="AJ99">
            <v>844.5</v>
          </cell>
          <cell r="AK99">
            <v>888.10000000000014</v>
          </cell>
          <cell r="AL99">
            <v>937.99999999999989</v>
          </cell>
          <cell r="AM99">
            <v>986.60000000000014</v>
          </cell>
          <cell r="AN99">
            <v>660.69999999999993</v>
          </cell>
          <cell r="AO99">
            <v>660.69999999999993</v>
          </cell>
          <cell r="AP99">
            <v>1594.1</v>
          </cell>
          <cell r="AQ99">
            <v>1667.1</v>
          </cell>
          <cell r="AR99">
            <v>1644.3</v>
          </cell>
          <cell r="AS99">
            <v>1858.8</v>
          </cell>
          <cell r="AT99">
            <v>1858.8</v>
          </cell>
          <cell r="AU99">
            <v>1594.1</v>
          </cell>
          <cell r="AV99">
            <v>182.00000000000006</v>
          </cell>
          <cell r="AW99">
            <v>1275.3</v>
          </cell>
          <cell r="AX99">
            <v>1461.6999999999998</v>
          </cell>
          <cell r="AY99">
            <v>1461.6999999999998</v>
          </cell>
          <cell r="AZ99">
            <v>1594.1</v>
          </cell>
          <cell r="BA99">
            <v>182.00000000000006</v>
          </cell>
          <cell r="BB99">
            <v>1275.3</v>
          </cell>
          <cell r="BD99">
            <v>1658.8115306079142</v>
          </cell>
        </row>
        <row r="100">
          <cell r="A100" t="str">
            <v>Operating Cash Flow</v>
          </cell>
          <cell r="E100">
            <v>146.30000000000001</v>
          </cell>
          <cell r="F100">
            <v>146.30000000000001</v>
          </cell>
          <cell r="J100">
            <v>94.6</v>
          </cell>
          <cell r="K100">
            <v>94.6</v>
          </cell>
          <cell r="L100">
            <v>-38.200000000000003</v>
          </cell>
          <cell r="M100">
            <v>54.5</v>
          </cell>
          <cell r="N100">
            <v>32.5</v>
          </cell>
          <cell r="O100">
            <v>27.800000000000011</v>
          </cell>
          <cell r="P100">
            <v>76.600000000000009</v>
          </cell>
          <cell r="Q100">
            <v>35.1</v>
          </cell>
          <cell r="R100">
            <v>37.499999999999993</v>
          </cell>
          <cell r="S100">
            <v>-77.8</v>
          </cell>
          <cell r="T100">
            <v>29.699999999999996</v>
          </cell>
          <cell r="U100">
            <v>64.8</v>
          </cell>
          <cell r="V100">
            <v>31</v>
          </cell>
          <cell r="W100">
            <v>60</v>
          </cell>
          <cell r="X100">
            <v>31.700000000000003</v>
          </cell>
          <cell r="Y100">
            <v>39.899999999999963</v>
          </cell>
          <cell r="Z100">
            <v>162.59999999999997</v>
          </cell>
          <cell r="AA100">
            <v>71</v>
          </cell>
          <cell r="AB100">
            <v>136.9</v>
          </cell>
          <cell r="AC100">
            <v>-56</v>
          </cell>
          <cell r="AD100">
            <v>148.80000000000001</v>
          </cell>
          <cell r="AE100">
            <v>219.8</v>
          </cell>
          <cell r="AF100">
            <v>76.599999999999994</v>
          </cell>
          <cell r="AG100">
            <v>146.5</v>
          </cell>
          <cell r="AH100">
            <v>-7.2999999999999829</v>
          </cell>
          <cell r="AI100">
            <v>164.00000000000009</v>
          </cell>
          <cell r="AJ100">
            <v>240.60000000000008</v>
          </cell>
          <cell r="AK100">
            <v>60.7</v>
          </cell>
          <cell r="AL100">
            <v>-22.3</v>
          </cell>
          <cell r="AM100">
            <v>6.2999999999999972</v>
          </cell>
          <cell r="AN100">
            <v>-127.79999999999997</v>
          </cell>
          <cell r="AO100">
            <v>-67.099999999999966</v>
          </cell>
          <cell r="AP100">
            <v>131.5</v>
          </cell>
          <cell r="AQ100">
            <v>1697.1</v>
          </cell>
          <cell r="AR100">
            <v>1840.8</v>
          </cell>
          <cell r="AS100">
            <v>117.8654308927114</v>
          </cell>
          <cell r="AT100">
            <v>249.3654308927114</v>
          </cell>
          <cell r="AU100">
            <v>1659.1</v>
          </cell>
          <cell r="AV100">
            <v>343.50000000000006</v>
          </cell>
          <cell r="AW100">
            <v>1476.3</v>
          </cell>
          <cell r="AX100">
            <v>1692.3999999999999</v>
          </cell>
          <cell r="AY100">
            <v>1692.3999999999999</v>
          </cell>
          <cell r="AZ100">
            <v>1659.1</v>
          </cell>
          <cell r="BA100">
            <v>343.50000000000006</v>
          </cell>
          <cell r="BB100">
            <v>1476.3</v>
          </cell>
          <cell r="BD100">
            <v>1852.1034506937324</v>
          </cell>
        </row>
        <row r="102">
          <cell r="A102" t="str">
            <v>Per Share Data</v>
          </cell>
          <cell r="E102">
            <v>0</v>
          </cell>
          <cell r="F102">
            <v>0</v>
          </cell>
          <cell r="J102">
            <v>621.20000000000005</v>
          </cell>
          <cell r="K102">
            <v>621.20000000000005</v>
          </cell>
          <cell r="O102">
            <v>543.1</v>
          </cell>
          <cell r="P102">
            <v>543.1</v>
          </cell>
          <cell r="Q102">
            <v>490.7</v>
          </cell>
          <cell r="R102">
            <v>512.29999999999995</v>
          </cell>
          <cell r="S102">
            <v>413.8</v>
          </cell>
          <cell r="T102">
            <v>392.9</v>
          </cell>
          <cell r="U102">
            <v>392.9</v>
          </cell>
          <cell r="V102">
            <v>404.6</v>
          </cell>
          <cell r="W102">
            <v>401.85</v>
          </cell>
          <cell r="X102">
            <v>399.1</v>
          </cell>
          <cell r="Y102">
            <v>466.50000000000006</v>
          </cell>
          <cell r="Z102">
            <v>466.50000000000006</v>
          </cell>
          <cell r="AA102">
            <v>464.5</v>
          </cell>
          <cell r="AB102">
            <v>466.5</v>
          </cell>
          <cell r="AC102">
            <v>452</v>
          </cell>
          <cell r="AD102">
            <v>464.20000000000005</v>
          </cell>
          <cell r="AE102">
            <v>464.20000000000005</v>
          </cell>
          <cell r="AF102">
            <v>523.79999999999995</v>
          </cell>
          <cell r="AG102">
            <v>487.8</v>
          </cell>
          <cell r="AH102">
            <v>472.7</v>
          </cell>
          <cell r="AI102">
            <v>1350.5</v>
          </cell>
          <cell r="AJ102">
            <v>1350.5</v>
          </cell>
          <cell r="AK102">
            <v>1239.4000000000001</v>
          </cell>
          <cell r="AL102">
            <v>1255.5999999999999</v>
          </cell>
          <cell r="AM102">
            <v>1271.4000000000001</v>
          </cell>
          <cell r="AN102">
            <v>1869.4</v>
          </cell>
          <cell r="AO102">
            <v>1869.4</v>
          </cell>
          <cell r="AP102">
            <v>2070.1</v>
          </cell>
          <cell r="AQ102">
            <v>2085.5</v>
          </cell>
          <cell r="AR102">
            <v>2208.5</v>
          </cell>
          <cell r="AS102">
            <v>2382.5</v>
          </cell>
          <cell r="AT102">
            <v>2382.5</v>
          </cell>
          <cell r="AU102">
            <v>2070.1</v>
          </cell>
          <cell r="AV102">
            <v>769.2</v>
          </cell>
          <cell r="AW102">
            <v>1864.5</v>
          </cell>
          <cell r="AX102">
            <v>2007.3999999999999</v>
          </cell>
          <cell r="AY102">
            <v>2007.3999999999999</v>
          </cell>
          <cell r="AZ102">
            <v>2070.1</v>
          </cell>
          <cell r="BA102">
            <v>769.2</v>
          </cell>
          <cell r="BB102">
            <v>1864.5</v>
          </cell>
          <cell r="BD102">
            <v>2143.0720796689698</v>
          </cell>
        </row>
        <row r="103">
          <cell r="A103" t="str">
            <v>EPS (cps)</v>
          </cell>
          <cell r="E103">
            <v>28.4</v>
          </cell>
          <cell r="F103">
            <v>6.0687960687960691</v>
          </cell>
          <cell r="J103">
            <v>11.6</v>
          </cell>
          <cell r="K103">
            <v>7.2509765625</v>
          </cell>
          <cell r="L103">
            <v>1</v>
          </cell>
          <cell r="M103">
            <v>2</v>
          </cell>
          <cell r="N103">
            <v>0</v>
          </cell>
          <cell r="O103">
            <v>3.0853769300635792</v>
          </cell>
          <cell r="P103">
            <v>6.0853769300635792</v>
          </cell>
          <cell r="Q103">
            <v>5</v>
          </cell>
          <cell r="R103">
            <v>5</v>
          </cell>
          <cell r="S103">
            <v>6</v>
          </cell>
          <cell r="T103">
            <v>62.4</v>
          </cell>
          <cell r="U103">
            <v>18.632999564649548</v>
          </cell>
          <cell r="V103">
            <v>7</v>
          </cell>
          <cell r="X103">
            <v>6</v>
          </cell>
          <cell r="Y103">
            <v>74.8</v>
          </cell>
          <cell r="Z103">
            <v>27.264846120502817</v>
          </cell>
          <cell r="AA103">
            <v>8.1</v>
          </cell>
          <cell r="AB103">
            <v>5.3000000000000007</v>
          </cell>
          <cell r="AC103">
            <v>12.399999999999999</v>
          </cell>
          <cell r="AD103">
            <v>77.7</v>
          </cell>
          <cell r="AE103">
            <v>27.744034707158345</v>
          </cell>
          <cell r="AF103">
            <v>12.1</v>
          </cell>
          <cell r="AG103">
            <v>4.5</v>
          </cell>
          <cell r="AH103">
            <v>12</v>
          </cell>
          <cell r="AI103">
            <v>13.936456650511595</v>
          </cell>
          <cell r="AJ103">
            <v>45.245830625947598</v>
          </cell>
          <cell r="AK103">
            <v>13.4</v>
          </cell>
          <cell r="AL103">
            <v>13.1</v>
          </cell>
          <cell r="AM103">
            <v>10.199999999999999</v>
          </cell>
          <cell r="AN103">
            <v>39.07206529910858</v>
          </cell>
          <cell r="AO103">
            <v>47.641509433962248</v>
          </cell>
          <cell r="AP103">
            <v>14.6</v>
          </cell>
          <cell r="AT103">
            <v>41.442503786648729</v>
          </cell>
        </row>
        <row r="104">
          <cell r="A104" t="str">
            <v>Dividend (cps)</v>
          </cell>
          <cell r="E104">
            <v>19</v>
          </cell>
          <cell r="F104">
            <v>21.3</v>
          </cell>
          <cell r="J104">
            <v>8</v>
          </cell>
          <cell r="K104">
            <v>10.4</v>
          </cell>
          <cell r="L104">
            <v>0</v>
          </cell>
          <cell r="M104">
            <v>9.5</v>
          </cell>
          <cell r="N104">
            <v>0</v>
          </cell>
          <cell r="O104">
            <v>9.9999999999999645E-2</v>
          </cell>
          <cell r="P104">
            <v>9.6</v>
          </cell>
          <cell r="Q104">
            <v>0</v>
          </cell>
          <cell r="R104">
            <v>466.90000000000009</v>
          </cell>
          <cell r="S104">
            <v>382.90000000000003</v>
          </cell>
          <cell r="T104">
            <v>34</v>
          </cell>
          <cell r="U104">
            <v>7.5</v>
          </cell>
          <cell r="V104">
            <v>468.1</v>
          </cell>
          <cell r="W104">
            <v>465.95</v>
          </cell>
          <cell r="X104">
            <v>463.79999999999995</v>
          </cell>
          <cell r="Y104">
            <v>45</v>
          </cell>
          <cell r="Z104">
            <v>5</v>
          </cell>
          <cell r="AA104">
            <v>0</v>
          </cell>
          <cell r="AB104">
            <v>0</v>
          </cell>
          <cell r="AC104">
            <v>3</v>
          </cell>
          <cell r="AD104">
            <v>46</v>
          </cell>
          <cell r="AE104">
            <v>3</v>
          </cell>
          <cell r="AF104">
            <v>0</v>
          </cell>
          <cell r="AG104">
            <v>6</v>
          </cell>
          <cell r="AH104">
            <v>4</v>
          </cell>
          <cell r="AI104">
            <v>0</v>
          </cell>
          <cell r="AJ104">
            <v>10</v>
          </cell>
          <cell r="AK104">
            <v>0</v>
          </cell>
          <cell r="AL104">
            <v>4</v>
          </cell>
          <cell r="AM104">
            <v>0</v>
          </cell>
          <cell r="AN104">
            <v>5</v>
          </cell>
          <cell r="AO104">
            <v>9</v>
          </cell>
          <cell r="AP104">
            <v>0</v>
          </cell>
          <cell r="AQ104">
            <v>112.40000000000009</v>
          </cell>
          <cell r="AR104">
            <v>-52.599999999999909</v>
          </cell>
          <cell r="AS104">
            <v>-202.59999999999991</v>
          </cell>
          <cell r="AT104">
            <v>26</v>
          </cell>
          <cell r="AU104">
            <v>147.70000000000027</v>
          </cell>
          <cell r="AV104">
            <v>1588.1000000000001</v>
          </cell>
          <cell r="AW104">
            <v>-37.5</v>
          </cell>
          <cell r="AX104">
            <v>-108.69999999999982</v>
          </cell>
          <cell r="AY104">
            <v>-108.69999999999982</v>
          </cell>
          <cell r="AZ104">
            <v>147.70000000000027</v>
          </cell>
          <cell r="BA104">
            <v>1588.1000000000001</v>
          </cell>
          <cell r="BB104">
            <v>-37.5</v>
          </cell>
          <cell r="BD104">
            <v>-269.17638817975353</v>
          </cell>
        </row>
        <row r="105">
          <cell r="A105" t="str">
            <v>Franking</v>
          </cell>
          <cell r="E105">
            <v>0.25</v>
          </cell>
          <cell r="F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0.2586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0.191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0.46666000000000002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0.32600000000000001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T105">
            <v>0</v>
          </cell>
        </row>
        <row r="106">
          <cell r="A106" t="str">
            <v>Payout Ratio</v>
          </cell>
          <cell r="E106">
            <v>0.66901408450704225</v>
          </cell>
          <cell r="F106">
            <v>3.5240243902439019</v>
          </cell>
          <cell r="J106">
            <v>0.68965517241379315</v>
          </cell>
          <cell r="K106">
            <v>1.4391351351351351</v>
          </cell>
          <cell r="L106">
            <v>0</v>
          </cell>
          <cell r="M106">
            <v>4.75</v>
          </cell>
          <cell r="N106" t="e">
            <v>#DIV/0!</v>
          </cell>
          <cell r="O106">
            <v>3.2410950838975446E-2</v>
          </cell>
          <cell r="P106">
            <v>1.5821954887218044</v>
          </cell>
          <cell r="Q106">
            <v>0</v>
          </cell>
          <cell r="R106">
            <v>0</v>
          </cell>
          <cell r="S106">
            <v>0</v>
          </cell>
          <cell r="T106">
            <v>0.54487179487179493</v>
          </cell>
          <cell r="U106">
            <v>0.40108313817330205</v>
          </cell>
          <cell r="V106">
            <v>0</v>
          </cell>
          <cell r="W106" t="e">
            <v>#DIV/0!</v>
          </cell>
          <cell r="X106">
            <v>0</v>
          </cell>
          <cell r="Y106">
            <v>0.60160427807486638</v>
          </cell>
          <cell r="Z106">
            <v>0.18338632750397457</v>
          </cell>
          <cell r="AA106">
            <v>0</v>
          </cell>
          <cell r="AB106">
            <v>0</v>
          </cell>
          <cell r="AC106">
            <v>0.24193548387096778</v>
          </cell>
          <cell r="AD106">
            <v>0.59202059202059198</v>
          </cell>
          <cell r="AE106">
            <v>0.10763878029710713</v>
          </cell>
          <cell r="AF106">
            <v>0</v>
          </cell>
          <cell r="AG106">
            <v>1.3333333333333333</v>
          </cell>
          <cell r="AH106">
            <v>0.33333333333333331</v>
          </cell>
          <cell r="AI106">
            <v>0</v>
          </cell>
          <cell r="AJ106">
            <v>0.22101483963618951</v>
          </cell>
          <cell r="AK106">
            <v>0</v>
          </cell>
          <cell r="AL106">
            <v>0.30534351145038169</v>
          </cell>
          <cell r="AM106">
            <v>0</v>
          </cell>
          <cell r="AN106">
            <v>0.12796866410115448</v>
          </cell>
          <cell r="AO106">
            <v>0.18818181818181826</v>
          </cell>
          <cell r="AP106">
            <v>0</v>
          </cell>
          <cell r="AQ106">
            <v>112.4</v>
          </cell>
          <cell r="AR106">
            <v>-52.6</v>
          </cell>
          <cell r="AS106">
            <v>-202.60000000000002</v>
          </cell>
          <cell r="AT106">
            <v>0.625</v>
          </cell>
          <cell r="AU106">
            <v>147.69999999999999</v>
          </cell>
          <cell r="AV106">
            <v>761.8</v>
          </cell>
          <cell r="AW106">
            <v>-37.5</v>
          </cell>
          <cell r="AX106">
            <v>-108.70000000000002</v>
          </cell>
          <cell r="AY106">
            <v>-108.70000000000002</v>
          </cell>
          <cell r="AZ106">
            <v>147.69999999999999</v>
          </cell>
          <cell r="BA106">
            <v>761.8</v>
          </cell>
          <cell r="BB106">
            <v>-37.5</v>
          </cell>
          <cell r="BD106">
            <v>-269.1763881797537</v>
          </cell>
        </row>
        <row r="107">
          <cell r="A107" t="str">
            <v>Outside Equity Interests</v>
          </cell>
          <cell r="E107">
            <v>0</v>
          </cell>
          <cell r="F107">
            <v>0</v>
          </cell>
          <cell r="J107">
            <v>0</v>
          </cell>
          <cell r="K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D107">
            <v>0</v>
          </cell>
        </row>
        <row r="108">
          <cell r="A108" t="str">
            <v>DuPont Analysis</v>
          </cell>
          <cell r="E108">
            <v>0</v>
          </cell>
          <cell r="F108">
            <v>0</v>
          </cell>
          <cell r="J108">
            <v>281.09999999999997</v>
          </cell>
          <cell r="K108">
            <v>281.09999999999997</v>
          </cell>
          <cell r="O108">
            <v>370.4</v>
          </cell>
          <cell r="P108">
            <v>370.4</v>
          </cell>
          <cell r="Q108">
            <v>466.5</v>
          </cell>
          <cell r="R108">
            <v>466.9</v>
          </cell>
          <cell r="S108">
            <v>382.9</v>
          </cell>
          <cell r="T108">
            <v>434.7</v>
          </cell>
          <cell r="U108">
            <v>434.7</v>
          </cell>
          <cell r="V108">
            <v>468.1</v>
          </cell>
          <cell r="W108">
            <v>465.95000000000005</v>
          </cell>
          <cell r="X108">
            <v>463.8</v>
          </cell>
          <cell r="Y108">
            <v>504.69999999999993</v>
          </cell>
          <cell r="Z108">
            <v>504.69999999999993</v>
          </cell>
          <cell r="AA108">
            <v>981.7</v>
          </cell>
          <cell r="AB108">
            <v>1029.2</v>
          </cell>
          <cell r="AC108">
            <v>1035.0999999999999</v>
          </cell>
          <cell r="AD108">
            <v>624.70000000000005</v>
          </cell>
          <cell r="AE108">
            <v>624.70000000000005</v>
          </cell>
          <cell r="AF108">
            <v>1182.5</v>
          </cell>
          <cell r="AG108">
            <v>1200.5</v>
          </cell>
          <cell r="AH108">
            <v>1212.7</v>
          </cell>
          <cell r="AI108">
            <v>94.899999999999991</v>
          </cell>
          <cell r="AJ108">
            <v>94.899999999999991</v>
          </cell>
          <cell r="AK108">
            <v>1352.2</v>
          </cell>
          <cell r="AL108">
            <v>1396.3</v>
          </cell>
          <cell r="AM108">
            <v>1410.2</v>
          </cell>
          <cell r="AN108">
            <v>258.7</v>
          </cell>
          <cell r="AO108">
            <v>258.7</v>
          </cell>
          <cell r="AP108">
            <v>147.69999999999999</v>
          </cell>
          <cell r="AQ108">
            <v>112.4</v>
          </cell>
          <cell r="AR108">
            <v>-52.6</v>
          </cell>
          <cell r="AS108">
            <v>-202.60000000000002</v>
          </cell>
          <cell r="AT108">
            <v>-202.60000000000002</v>
          </cell>
          <cell r="AU108">
            <v>147.69999999999999</v>
          </cell>
          <cell r="AV108">
            <v>761.8</v>
          </cell>
          <cell r="AW108">
            <v>-37.5</v>
          </cell>
          <cell r="AX108">
            <v>-108.70000000000002</v>
          </cell>
          <cell r="AY108">
            <v>-108.70000000000002</v>
          </cell>
          <cell r="AZ108">
            <v>147.69999999999999</v>
          </cell>
          <cell r="BA108">
            <v>761.8</v>
          </cell>
          <cell r="BB108">
            <v>-37.5</v>
          </cell>
          <cell r="BD108">
            <v>-269.1763881797537</v>
          </cell>
        </row>
        <row r="109">
          <cell r="A109" t="str">
            <v>EBIT/Sales</v>
          </cell>
          <cell r="B109" t="str">
            <v/>
          </cell>
          <cell r="C109" t="str">
            <v/>
          </cell>
          <cell r="D109" t="str">
            <v/>
          </cell>
          <cell r="E109" t="str">
            <v/>
          </cell>
          <cell r="F109">
            <v>0.11360992632803411</v>
          </cell>
          <cell r="G109" t="str">
            <v/>
          </cell>
          <cell r="H109" t="str">
            <v/>
          </cell>
          <cell r="I109" t="str">
            <v/>
          </cell>
          <cell r="J109" t="str">
            <v/>
          </cell>
          <cell r="K109">
            <v>7.8572749121833985E-2</v>
          </cell>
          <cell r="L109">
            <v>6.7967698519515493E-2</v>
          </cell>
          <cell r="M109">
            <v>0.11768488745980706</v>
          </cell>
          <cell r="N109">
            <v>-2.0027624309392259E-2</v>
          </cell>
          <cell r="O109">
            <v>0.13291139240506328</v>
          </cell>
          <cell r="P109">
            <v>7.6618882847256514E-2</v>
          </cell>
          <cell r="Q109">
            <v>0.18081918081918075</v>
          </cell>
          <cell r="R109">
            <v>0.17437379576107898</v>
          </cell>
          <cell r="S109">
            <v>0.15653495440729479</v>
          </cell>
          <cell r="T109">
            <v>0.14609571788413092</v>
          </cell>
          <cell r="U109">
            <v>0.16461366181410972</v>
          </cell>
          <cell r="V109">
            <v>0.2</v>
          </cell>
          <cell r="W109">
            <v>0.1772655007949126</v>
          </cell>
          <cell r="X109">
            <v>0.17305263157894737</v>
          </cell>
          <cell r="Y109">
            <v>0.16593712693991236</v>
          </cell>
          <cell r="Z109">
            <v>0.1789387921376922</v>
          </cell>
          <cell r="AA109">
            <v>0.19046063377981048</v>
          </cell>
          <cell r="AB109">
            <v>0.12662013958125623</v>
          </cell>
          <cell r="AC109">
            <v>0.11742160278745643</v>
          </cell>
          <cell r="AD109">
            <v>0.20480404551201012</v>
          </cell>
          <cell r="AE109">
            <v>0.16102115003304693</v>
          </cell>
          <cell r="AF109">
            <v>0.24179187534780189</v>
          </cell>
          <cell r="AG109">
            <v>0.20286776420605421</v>
          </cell>
          <cell r="AH109">
            <v>0.17755720981527437</v>
          </cell>
          <cell r="AI109">
            <v>0.13596716264751163</v>
          </cell>
          <cell r="AJ109">
            <v>0.18857910648303663</v>
          </cell>
          <cell r="AK109">
            <v>0.16582430806257523</v>
          </cell>
          <cell r="AL109">
            <v>9.9659698590179854E-2</v>
          </cell>
          <cell r="AM109">
            <v>5.4350887074063658E-2</v>
          </cell>
          <cell r="AN109">
            <v>0.52812413410917147</v>
          </cell>
          <cell r="AO109">
            <v>0.20727202022166047</v>
          </cell>
          <cell r="AP109">
            <v>0.24535815268614519</v>
          </cell>
          <cell r="AQ109" t="str">
            <v/>
          </cell>
          <cell r="AR109" t="str">
            <v/>
          </cell>
          <cell r="AS109">
            <v>0.17118182742099958</v>
          </cell>
          <cell r="AT109">
            <v>0.19189780865413619</v>
          </cell>
        </row>
        <row r="110">
          <cell r="A110" t="str">
            <v>Sales/Total Assets (x)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 t="str">
            <v/>
          </cell>
          <cell r="G110" t="str">
            <v/>
          </cell>
          <cell r="H110" t="str">
            <v/>
          </cell>
          <cell r="I110" t="str">
            <v/>
          </cell>
          <cell r="J110">
            <v>0</v>
          </cell>
          <cell r="K110">
            <v>0.59946802615538064</v>
          </cell>
          <cell r="L110" t="str">
            <v/>
          </cell>
          <cell r="M110" t="str">
            <v/>
          </cell>
          <cell r="N110" t="str">
            <v/>
          </cell>
          <cell r="O110">
            <v>0.17296113847837985</v>
          </cell>
          <cell r="P110">
            <v>0.66436781609195417</v>
          </cell>
          <cell r="Q110">
            <v>0.20915169243627246</v>
          </cell>
          <cell r="R110">
            <v>0.21200980392156862</v>
          </cell>
          <cell r="S110">
            <v>0.24777205974645411</v>
          </cell>
          <cell r="T110">
            <v>0.23985016916384741</v>
          </cell>
          <cell r="U110">
            <v>0.97112131464475604</v>
          </cell>
          <cell r="V110">
            <v>0.2767273977311791</v>
          </cell>
          <cell r="W110">
            <v>0.28992855496658215</v>
          </cell>
          <cell r="X110">
            <v>0.27523467377448146</v>
          </cell>
          <cell r="Y110">
            <v>0.25875205930807249</v>
          </cell>
          <cell r="Z110">
            <v>1.0110172981878089</v>
          </cell>
          <cell r="AA110">
            <v>0.3118060507283284</v>
          </cell>
          <cell r="AB110">
            <v>0.29236300038865132</v>
          </cell>
          <cell r="AC110">
            <v>0.27726789682156322</v>
          </cell>
          <cell r="AD110">
            <v>0.29056846358710625</v>
          </cell>
          <cell r="AE110">
            <v>1.1115804940765908</v>
          </cell>
          <cell r="AF110">
            <v>0.30393234672304437</v>
          </cell>
          <cell r="AG110">
            <v>0.3137026239067055</v>
          </cell>
          <cell r="AH110">
            <v>0.29908468706192787</v>
          </cell>
          <cell r="AI110">
            <v>0.26968313269683142</v>
          </cell>
          <cell r="AJ110">
            <v>1.0298187352981873</v>
          </cell>
          <cell r="AK110">
            <v>0.30727703002514417</v>
          </cell>
          <cell r="AL110">
            <v>0.29463582324715321</v>
          </cell>
          <cell r="AM110">
            <v>0.25180825414834773</v>
          </cell>
          <cell r="AN110">
            <v>0.1695878953056717</v>
          </cell>
          <cell r="AO110">
            <v>0.72501292232507875</v>
          </cell>
          <cell r="AP110">
            <v>0.19136080800793578</v>
          </cell>
          <cell r="AQ110" t="str">
            <v/>
          </cell>
          <cell r="AR110" t="str">
            <v/>
          </cell>
          <cell r="AS110">
            <v>0.5167403952614007</v>
          </cell>
          <cell r="AT110">
            <v>0.71697824491364659</v>
          </cell>
          <cell r="AU110">
            <v>432.2</v>
          </cell>
          <cell r="AV110">
            <v>432.2</v>
          </cell>
          <cell r="AW110">
            <v>432.2</v>
          </cell>
          <cell r="AY110">
            <v>434.5</v>
          </cell>
          <cell r="AZ110">
            <v>432.2</v>
          </cell>
          <cell r="BA110">
            <v>432.2</v>
          </cell>
          <cell r="BB110">
            <v>432.2</v>
          </cell>
          <cell r="BD110">
            <v>432.3</v>
          </cell>
        </row>
        <row r="111">
          <cell r="A111" t="str">
            <v>Net Interest/Total Assets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>
            <v>0</v>
          </cell>
          <cell r="K111">
            <v>1.462928072703092E-2</v>
          </cell>
          <cell r="L111" t="str">
            <v/>
          </cell>
          <cell r="M111" t="str">
            <v/>
          </cell>
          <cell r="N111" t="str">
            <v/>
          </cell>
          <cell r="O111">
            <v>3.6124794745484388E-3</v>
          </cell>
          <cell r="P111">
            <v>1.7515051997810616E-2</v>
          </cell>
          <cell r="Q111">
            <v>3.029669870455495E-3</v>
          </cell>
          <cell r="R111">
            <v>2.5531045751633987E-3</v>
          </cell>
          <cell r="S111">
            <v>1.556420233463035E-2</v>
          </cell>
          <cell r="T111">
            <v>2.6220396326727909E-3</v>
          </cell>
          <cell r="U111">
            <v>2.4130014499758344E-2</v>
          </cell>
          <cell r="V111">
            <v>2.6354990260112291E-3</v>
          </cell>
          <cell r="W111">
            <v>2.7656141968195437E-3</v>
          </cell>
          <cell r="X111">
            <v>3.2448719434465174E-3</v>
          </cell>
          <cell r="Y111">
            <v>2.5741350906095558E-3</v>
          </cell>
          <cell r="Z111">
            <v>1.029654036243822E-2</v>
          </cell>
          <cell r="AA111">
            <v>2.5466028318223487E-3</v>
          </cell>
          <cell r="AB111">
            <v>1.2631169840652933E-3</v>
          </cell>
          <cell r="AC111">
            <v>6.7626316297942225E-4</v>
          </cell>
          <cell r="AD111">
            <v>5.5101478556341223E-4</v>
          </cell>
          <cell r="AE111">
            <v>4.6836256772890064E-3</v>
          </cell>
          <cell r="AF111">
            <v>5.9196617336152216E-4</v>
          </cell>
          <cell r="AG111">
            <v>8.3298625572678054E-4</v>
          </cell>
          <cell r="AH111">
            <v>-6.5968500041230314E-4</v>
          </cell>
          <cell r="AI111">
            <v>-4.8429500484294981E-4</v>
          </cell>
          <cell r="AJ111">
            <v>1.3837000138370014E-4</v>
          </cell>
          <cell r="AK111">
            <v>1.4790711433219938E-3</v>
          </cell>
          <cell r="AL111">
            <v>-7.1617847167514148E-4</v>
          </cell>
          <cell r="AM111">
            <v>9.2185505602042264E-4</v>
          </cell>
          <cell r="AN111">
            <v>1.9735914665664207E-3</v>
          </cell>
          <cell r="AO111">
            <v>3.0543677458766036E-3</v>
          </cell>
          <cell r="AP111">
            <v>-2.2544864279917034E-4</v>
          </cell>
          <cell r="AQ111" t="str">
            <v/>
          </cell>
          <cell r="AR111" t="str">
            <v/>
          </cell>
          <cell r="AS111">
            <v>3.1403937966195759E-3</v>
          </cell>
          <cell r="AT111">
            <v>2.9044868106956295E-3</v>
          </cell>
        </row>
        <row r="112">
          <cell r="A112" t="str">
            <v>Total Assets/Equity (x)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>
            <v>3.2098897189612243</v>
          </cell>
          <cell r="K112">
            <v>3.2098897189612243</v>
          </cell>
          <cell r="L112" t="str">
            <v/>
          </cell>
          <cell r="M112" t="str">
            <v/>
          </cell>
          <cell r="N112" t="str">
            <v/>
          </cell>
          <cell r="O112">
            <v>2.4662526997840173</v>
          </cell>
          <cell r="P112">
            <v>2.4662526997840173</v>
          </cell>
          <cell r="Q112">
            <v>2.0518756698821008</v>
          </cell>
          <cell r="R112">
            <v>2.0972370957378454</v>
          </cell>
          <cell r="S112">
            <v>2.0806999216505617</v>
          </cell>
          <cell r="T112">
            <v>1.9038417299286863</v>
          </cell>
          <cell r="U112">
            <v>1.9038417299286863</v>
          </cell>
          <cell r="V112">
            <v>1.8643452253791926</v>
          </cell>
          <cell r="W112">
            <v>1.8624315913724645</v>
          </cell>
          <cell r="X112">
            <v>1.8605002156101766</v>
          </cell>
          <cell r="Y112">
            <v>1.9243114721616805</v>
          </cell>
          <cell r="Z112">
            <v>1.9243114721616805</v>
          </cell>
          <cell r="AA112">
            <v>1</v>
          </cell>
          <cell r="AB112">
            <v>1</v>
          </cell>
          <cell r="AC112">
            <v>1</v>
          </cell>
          <cell r="AD112">
            <v>1.7430766768048664</v>
          </cell>
          <cell r="AE112">
            <v>1.7430766768048664</v>
          </cell>
          <cell r="AF112">
            <v>1</v>
          </cell>
          <cell r="AG112">
            <v>1</v>
          </cell>
          <cell r="AH112">
            <v>1</v>
          </cell>
          <cell r="AI112">
            <v>15.230769230769234</v>
          </cell>
          <cell r="AJ112">
            <v>15.230769230769234</v>
          </cell>
          <cell r="AK112">
            <v>1</v>
          </cell>
          <cell r="AL112">
            <v>1</v>
          </cell>
          <cell r="AM112">
            <v>1</v>
          </cell>
          <cell r="AN112">
            <v>8.2261306532663312</v>
          </cell>
          <cell r="AO112">
            <v>8.2261306532663312</v>
          </cell>
          <cell r="AP112">
            <v>15.015572105619501</v>
          </cell>
          <cell r="AQ112" t="str">
            <v/>
          </cell>
          <cell r="AR112" t="str">
            <v/>
          </cell>
          <cell r="AS112">
            <v>27.259430734610955</v>
          </cell>
          <cell r="AT112">
            <v>27.259430734610955</v>
          </cell>
          <cell r="AU112">
            <v>175.99999999999994</v>
          </cell>
          <cell r="AV112">
            <v>175.60000000000002</v>
          </cell>
          <cell r="AW112">
            <v>128.19999999999999</v>
          </cell>
          <cell r="AX112">
            <v>151.20000000000002</v>
          </cell>
          <cell r="AY112">
            <v>151.20000000000002</v>
          </cell>
          <cell r="AZ112">
            <v>175.99999999999994</v>
          </cell>
          <cell r="BA112">
            <v>175.60000000000002</v>
          </cell>
          <cell r="BB112">
            <v>128.19999999999999</v>
          </cell>
          <cell r="BD112">
            <v>150.95921922255039</v>
          </cell>
        </row>
        <row r="113">
          <cell r="A113" t="str">
            <v>(1-t)</v>
          </cell>
          <cell r="B113" t="str">
            <v/>
          </cell>
          <cell r="C113" t="str">
            <v/>
          </cell>
          <cell r="D113" t="str">
            <v/>
          </cell>
          <cell r="E113" t="str">
            <v/>
          </cell>
          <cell r="F113">
            <v>0.64566929133858253</v>
          </cell>
          <cell r="G113" t="str">
            <v/>
          </cell>
          <cell r="H113" t="str">
            <v/>
          </cell>
          <cell r="I113" t="str">
            <v/>
          </cell>
          <cell r="J113" t="str">
            <v/>
          </cell>
          <cell r="K113">
            <v>1.0102389078498293</v>
          </cell>
          <cell r="L113">
            <v>0.75</v>
          </cell>
          <cell r="M113">
            <v>0.73943661971830976</v>
          </cell>
          <cell r="N113">
            <v>6.4516129032257979E-2</v>
          </cell>
          <cell r="O113">
            <v>0.72881355932203373</v>
          </cell>
          <cell r="P113">
            <v>0.87213114754098364</v>
          </cell>
          <cell r="Q113">
            <v>0.69069069069069056</v>
          </cell>
          <cell r="R113">
            <v>0.69732937685459939</v>
          </cell>
          <cell r="S113">
            <v>0.83783783783783783</v>
          </cell>
          <cell r="T113">
            <v>0.8695490122996643</v>
          </cell>
          <cell r="U113">
            <v>0.75963678447431671</v>
          </cell>
          <cell r="V113">
            <v>0.7152173913043478</v>
          </cell>
          <cell r="W113">
            <v>0.77725118483412325</v>
          </cell>
          <cell r="X113">
            <v>0.7389033942558747</v>
          </cell>
          <cell r="Y113">
            <v>0.79846938775510168</v>
          </cell>
          <cell r="Z113">
            <v>0.75618587809293902</v>
          </cell>
          <cell r="AA113">
            <v>0.66487455197132606</v>
          </cell>
          <cell r="AB113">
            <v>0.67119565217391297</v>
          </cell>
          <cell r="AC113">
            <v>0.6</v>
          </cell>
          <cell r="AD113">
            <v>0.72118380062305287</v>
          </cell>
          <cell r="AE113">
            <v>0.6738672286617492</v>
          </cell>
          <cell r="AF113">
            <v>0.64849187935034802</v>
          </cell>
          <cell r="AG113">
            <v>0.63129973474801071</v>
          </cell>
          <cell r="AH113">
            <v>0.62423312883435589</v>
          </cell>
          <cell r="AI113">
            <v>1.2048417132216018</v>
          </cell>
          <cell r="AJ113">
            <v>0.74474153297682721</v>
          </cell>
          <cell r="AK113">
            <v>0.51718983557548581</v>
          </cell>
          <cell r="AL113">
            <v>0.32619047619047609</v>
          </cell>
          <cell r="AM113">
            <v>-0.44444444444444414</v>
          </cell>
          <cell r="AN113">
            <v>0.97585836909871249</v>
          </cell>
          <cell r="AO113">
            <v>0.70922438557293321</v>
          </cell>
          <cell r="AP113">
            <v>0.65593042148523373</v>
          </cell>
          <cell r="AQ113" t="str">
            <v/>
          </cell>
          <cell r="AR113" t="str">
            <v/>
          </cell>
          <cell r="AS113">
            <v>0.64852929609085297</v>
          </cell>
          <cell r="AT113">
            <v>0.65124207881729534</v>
          </cell>
          <cell r="AU113">
            <v>-105.29999999999998</v>
          </cell>
          <cell r="AV113">
            <v>-7.8999999999999773</v>
          </cell>
          <cell r="AW113">
            <v>234.6</v>
          </cell>
          <cell r="AX113">
            <v>281.60000000000002</v>
          </cell>
          <cell r="AY113">
            <v>281.60000000000002</v>
          </cell>
          <cell r="AZ113">
            <v>-105.29999999999998</v>
          </cell>
          <cell r="BA113">
            <v>-7.8999999999999773</v>
          </cell>
          <cell r="BB113">
            <v>234.6</v>
          </cell>
          <cell r="BD113">
            <v>244.19192008581803</v>
          </cell>
        </row>
        <row r="114">
          <cell r="A114" t="str">
            <v>OEI/Equity</v>
          </cell>
          <cell r="B114" t="str">
            <v/>
          </cell>
          <cell r="C114" t="str">
            <v/>
          </cell>
          <cell r="D114" t="str">
            <v/>
          </cell>
          <cell r="E114">
            <v>0</v>
          </cell>
          <cell r="F114">
            <v>0</v>
          </cell>
          <cell r="G114" t="str">
            <v/>
          </cell>
          <cell r="H114" t="str">
            <v/>
          </cell>
          <cell r="I114" t="str">
            <v/>
          </cell>
          <cell r="J114">
            <v>0</v>
          </cell>
          <cell r="K114">
            <v>0</v>
          </cell>
          <cell r="L114" t="str">
            <v/>
          </cell>
          <cell r="M114" t="str">
            <v/>
          </cell>
          <cell r="N114" t="str">
            <v/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 t="str">
            <v/>
          </cell>
          <cell r="AR114" t="str">
            <v/>
          </cell>
          <cell r="AS114">
            <v>0</v>
          </cell>
          <cell r="AT114">
            <v>0</v>
          </cell>
        </row>
        <row r="115">
          <cell r="A115" t="str">
            <v>ROE</v>
          </cell>
          <cell r="B115" t="str">
            <v/>
          </cell>
          <cell r="C115" t="str">
            <v/>
          </cell>
          <cell r="D115" t="str">
            <v/>
          </cell>
          <cell r="E115" t="str">
            <v/>
          </cell>
          <cell r="F115" t="str">
            <v/>
          </cell>
          <cell r="G115" t="str">
            <v/>
          </cell>
          <cell r="H115" t="str">
            <v/>
          </cell>
          <cell r="I115" t="str">
            <v/>
          </cell>
          <cell r="J115" t="str">
            <v/>
          </cell>
          <cell r="K115">
            <v>0.10530060476698684</v>
          </cell>
          <cell r="L115" t="str">
            <v/>
          </cell>
          <cell r="M115" t="str">
            <v/>
          </cell>
          <cell r="N115" t="str">
            <v/>
          </cell>
          <cell r="O115">
            <v>3.4827213822894151E-2</v>
          </cell>
          <cell r="P115">
            <v>7.181425485961121E-2</v>
          </cell>
          <cell r="Q115">
            <v>4.9303322615219684E-2</v>
          </cell>
          <cell r="R115">
            <v>5.0331976868708501E-2</v>
          </cell>
          <cell r="S115">
            <v>4.048054322277355E-2</v>
          </cell>
          <cell r="T115">
            <v>5.3669197147458013E-2</v>
          </cell>
          <cell r="U115">
            <v>0.19629629629629625</v>
          </cell>
          <cell r="V115">
            <v>7.0284127323221535E-2</v>
          </cell>
          <cell r="W115">
            <v>7.0393819079300354E-2</v>
          </cell>
          <cell r="X115">
            <v>6.1017680034497646E-2</v>
          </cell>
          <cell r="Y115">
            <v>6.2017039825638942E-2</v>
          </cell>
          <cell r="Z115">
            <v>0.24826629680998613</v>
          </cell>
          <cell r="AA115">
            <v>3.7791586024243644E-2</v>
          </cell>
          <cell r="AB115">
            <v>2.3999222697240568E-2</v>
          </cell>
          <cell r="AC115">
            <v>1.9128586609989374E-2</v>
          </cell>
          <cell r="AD115">
            <v>7.4115575476228587E-2</v>
          </cell>
          <cell r="AE115">
            <v>0.20473827437169839</v>
          </cell>
          <cell r="AF115">
            <v>4.7272727272727272E-2</v>
          </cell>
          <cell r="AG115">
            <v>3.9650145772594764E-2</v>
          </cell>
          <cell r="AH115">
            <v>3.3561474395975927E-2</v>
          </cell>
          <cell r="AI115">
            <v>0.68177028451001154</v>
          </cell>
          <cell r="AJ115">
            <v>2.2012644889357227</v>
          </cell>
          <cell r="AK115">
            <v>2.5587930779470493E-2</v>
          </cell>
          <cell r="AL115">
            <v>9.8116450619494325E-3</v>
          </cell>
          <cell r="AM115">
            <v>-5.6729541908949067E-3</v>
          </cell>
          <cell r="AN115">
            <v>0.70313103981445668</v>
          </cell>
          <cell r="AO115">
            <v>0.8589099342868185</v>
          </cell>
          <cell r="AP115">
            <v>0.46465809072444164</v>
          </cell>
          <cell r="AQ115" t="str">
            <v/>
          </cell>
          <cell r="AR115" t="str">
            <v/>
          </cell>
          <cell r="AS115">
            <v>1.5082652991908196</v>
          </cell>
          <cell r="AT115">
            <v>2.3909418281647365</v>
          </cell>
        </row>
        <row r="116">
          <cell r="A116" t="str">
            <v>Operating Cash Flow</v>
          </cell>
          <cell r="E116">
            <v>146.30000000000001</v>
          </cell>
          <cell r="F116">
            <v>146.30000000000001</v>
          </cell>
          <cell r="J116">
            <v>94.6</v>
          </cell>
          <cell r="K116">
            <v>94.6</v>
          </cell>
          <cell r="L116">
            <v>-38.200000000000003</v>
          </cell>
          <cell r="M116">
            <v>54.5</v>
          </cell>
          <cell r="N116">
            <v>32.5</v>
          </cell>
          <cell r="O116">
            <v>27.800000000000011</v>
          </cell>
          <cell r="P116">
            <v>76.600000000000009</v>
          </cell>
          <cell r="Q116">
            <v>35.1</v>
          </cell>
          <cell r="R116">
            <v>37.499999999999993</v>
          </cell>
          <cell r="S116">
            <v>-77.8</v>
          </cell>
          <cell r="T116">
            <v>29.699999999999996</v>
          </cell>
          <cell r="U116">
            <v>64.8</v>
          </cell>
          <cell r="V116">
            <v>31</v>
          </cell>
          <cell r="W116">
            <v>60</v>
          </cell>
          <cell r="X116">
            <v>31.700000000000003</v>
          </cell>
          <cell r="Y116">
            <v>39.899999999999963</v>
          </cell>
          <cell r="Z116">
            <v>162.59999999999997</v>
          </cell>
          <cell r="AA116">
            <v>71</v>
          </cell>
          <cell r="AB116">
            <v>136.9</v>
          </cell>
          <cell r="AC116">
            <v>-56</v>
          </cell>
          <cell r="AD116">
            <v>148.80000000000001</v>
          </cell>
          <cell r="AE116">
            <v>219.8</v>
          </cell>
          <cell r="AF116">
            <v>76.599999999999994</v>
          </cell>
          <cell r="AG116">
            <v>146.5</v>
          </cell>
          <cell r="AH116">
            <v>-7.2999999999999829</v>
          </cell>
          <cell r="AI116">
            <v>164.00000000000009</v>
          </cell>
          <cell r="AJ116">
            <v>240.60000000000008</v>
          </cell>
          <cell r="AK116">
            <v>60.7</v>
          </cell>
          <cell r="AL116">
            <v>-22.3</v>
          </cell>
          <cell r="AM116">
            <v>6.2999999999999972</v>
          </cell>
          <cell r="AN116">
            <v>-127.79999999999997</v>
          </cell>
          <cell r="AO116">
            <v>-67.099999999999966</v>
          </cell>
          <cell r="AP116">
            <v>131.5</v>
          </cell>
          <cell r="AQ116">
            <v>231</v>
          </cell>
          <cell r="AR116">
            <v>279.39999999999998</v>
          </cell>
          <cell r="AS116">
            <v>187.79999999999995</v>
          </cell>
          <cell r="AT116">
            <v>319.29999999999995</v>
          </cell>
          <cell r="AU116">
            <v>131.5</v>
          </cell>
          <cell r="AV116">
            <v>100.3</v>
          </cell>
          <cell r="AW116">
            <v>101.3</v>
          </cell>
          <cell r="AX116">
            <v>-176.7</v>
          </cell>
          <cell r="AY116">
            <v>-45.2</v>
          </cell>
          <cell r="AZ116">
            <v>131.5</v>
          </cell>
          <cell r="BA116">
            <v>100.3</v>
          </cell>
          <cell r="BB116">
            <v>101.3</v>
          </cell>
          <cell r="BD116">
            <v>66.736079914181715</v>
          </cell>
        </row>
        <row r="117">
          <cell r="A117" t="str">
            <v>Sales/Total Assets (x)</v>
          </cell>
          <cell r="C117" t="str">
            <v/>
          </cell>
          <cell r="D117" t="str">
            <v/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>
            <v>0</v>
          </cell>
          <cell r="K117">
            <v>0.59946802615538064</v>
          </cell>
          <cell r="L117" t="str">
            <v/>
          </cell>
          <cell r="M117" t="str">
            <v/>
          </cell>
          <cell r="N117" t="str">
            <v/>
          </cell>
          <cell r="O117">
            <v>0.17296113847837985</v>
          </cell>
          <cell r="P117">
            <v>0.66436781609195417</v>
          </cell>
          <cell r="Q117">
            <v>0.20915169243627246</v>
          </cell>
          <cell r="R117">
            <v>0.21200980392156862</v>
          </cell>
          <cell r="S117">
            <v>0.24777205974645411</v>
          </cell>
          <cell r="T117">
            <v>0.23985016916384741</v>
          </cell>
          <cell r="U117">
            <v>0.97112131464475604</v>
          </cell>
          <cell r="V117">
            <v>0.2767273977311791</v>
          </cell>
          <cell r="W117">
            <v>0.28992855496658215</v>
          </cell>
          <cell r="X117">
            <v>0.27523467377448146</v>
          </cell>
          <cell r="Y117">
            <v>0.25875205930807249</v>
          </cell>
          <cell r="Z117">
            <v>1.0110172981878089</v>
          </cell>
          <cell r="AA117">
            <v>0.3118060507283284</v>
          </cell>
          <cell r="AB117">
            <v>0.29236300038865132</v>
          </cell>
          <cell r="AC117">
            <v>0.27726789682156322</v>
          </cell>
          <cell r="AD117">
            <v>0.29056846358710625</v>
          </cell>
          <cell r="AE117">
            <v>1.1115804940765908</v>
          </cell>
          <cell r="AF117">
            <v>0.30393234672304437</v>
          </cell>
          <cell r="AG117">
            <v>0.3137026239067055</v>
          </cell>
          <cell r="AH117">
            <v>0.29908468706192787</v>
          </cell>
          <cell r="AI117">
            <v>0.26968313269683142</v>
          </cell>
          <cell r="AJ117">
            <v>1.0298187352981873</v>
          </cell>
          <cell r="AK117">
            <v>0.30727703002514417</v>
          </cell>
          <cell r="AL117">
            <v>0.29463582324715321</v>
          </cell>
          <cell r="AM117">
            <v>0.25180825414834773</v>
          </cell>
          <cell r="AN117">
            <v>0.1695878953056717</v>
          </cell>
          <cell r="AO117">
            <v>0.72501292232507875</v>
          </cell>
          <cell r="AP117">
            <v>0.19136080800793578</v>
          </cell>
          <cell r="AQ117" t="str">
            <v/>
          </cell>
          <cell r="AR117" t="str">
            <v/>
          </cell>
          <cell r="AS117">
            <v>0.5167403952614007</v>
          </cell>
          <cell r="AT117">
            <v>0.71697824491364659</v>
          </cell>
        </row>
        <row r="118">
          <cell r="A118" t="str">
            <v>EBIT/Sales</v>
          </cell>
          <cell r="C118" t="str">
            <v/>
          </cell>
          <cell r="D118" t="str">
            <v/>
          </cell>
          <cell r="E118" t="str">
            <v/>
          </cell>
          <cell r="F118">
            <v>0.11360992632803411</v>
          </cell>
          <cell r="G118" t="str">
            <v/>
          </cell>
          <cell r="H118" t="str">
            <v/>
          </cell>
          <cell r="I118" t="str">
            <v/>
          </cell>
          <cell r="J118" t="str">
            <v/>
          </cell>
          <cell r="K118">
            <v>7.8572749121833985E-2</v>
          </cell>
          <cell r="L118">
            <v>6.7967698519515493E-2</v>
          </cell>
          <cell r="M118">
            <v>0.11768488745980706</v>
          </cell>
          <cell r="N118">
            <v>-2.0027624309392259E-2</v>
          </cell>
          <cell r="O118">
            <v>0.13291139240506328</v>
          </cell>
          <cell r="P118">
            <v>7.6618882847256514E-2</v>
          </cell>
          <cell r="Q118">
            <v>0.18081918081918075</v>
          </cell>
          <cell r="R118">
            <v>0.17437379576107898</v>
          </cell>
          <cell r="S118">
            <v>0.15653495440729479</v>
          </cell>
          <cell r="T118">
            <v>0.14609571788413092</v>
          </cell>
          <cell r="U118">
            <v>0.16461366181410972</v>
          </cell>
          <cell r="V118">
            <v>0.2</v>
          </cell>
          <cell r="W118">
            <v>0.1772655007949126</v>
          </cell>
          <cell r="X118">
            <v>0.17305263157894737</v>
          </cell>
          <cell r="Y118">
            <v>0.16593712693991236</v>
          </cell>
          <cell r="Z118">
            <v>0.1789387921376922</v>
          </cell>
          <cell r="AA118">
            <v>0.19046063377981048</v>
          </cell>
          <cell r="AB118">
            <v>0.12662013958125623</v>
          </cell>
          <cell r="AC118">
            <v>0.11742160278745643</v>
          </cell>
          <cell r="AD118">
            <v>0.20480404551201012</v>
          </cell>
          <cell r="AE118">
            <v>0.16102115003304693</v>
          </cell>
          <cell r="AF118">
            <v>0.24179187534780189</v>
          </cell>
          <cell r="AG118">
            <v>0.20286776420605421</v>
          </cell>
          <cell r="AH118">
            <v>0.17755720981527437</v>
          </cell>
          <cell r="AI118">
            <v>0.13596716264751163</v>
          </cell>
          <cell r="AJ118">
            <v>0.18857910648303663</v>
          </cell>
          <cell r="AK118">
            <v>0.16582430806257523</v>
          </cell>
          <cell r="AL118">
            <v>9.9659698590179854E-2</v>
          </cell>
          <cell r="AM118">
            <v>5.4350887074063658E-2</v>
          </cell>
          <cell r="AN118">
            <v>0.52812413410917147</v>
          </cell>
          <cell r="AO118">
            <v>0.20727202022166047</v>
          </cell>
          <cell r="AP118">
            <v>0.24535815268614519</v>
          </cell>
          <cell r="AQ118" t="str">
            <v/>
          </cell>
          <cell r="AR118" t="str">
            <v/>
          </cell>
          <cell r="AS118">
            <v>0.17118182742099958</v>
          </cell>
          <cell r="AT118">
            <v>0.19189780865413619</v>
          </cell>
        </row>
        <row r="119">
          <cell r="A119" t="str">
            <v>ROA</v>
          </cell>
          <cell r="C119" t="str">
            <v/>
          </cell>
          <cell r="D119" t="str">
            <v/>
          </cell>
          <cell r="E119" t="str">
            <v/>
          </cell>
          <cell r="F119" t="str">
            <v/>
          </cell>
          <cell r="G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>
            <v>4.7101850825667736E-2</v>
          </cell>
          <cell r="L119" t="str">
            <v/>
          </cell>
          <cell r="M119" t="str">
            <v/>
          </cell>
          <cell r="N119" t="str">
            <v/>
          </cell>
          <cell r="O119">
            <v>2.2988505747126433E-2</v>
          </cell>
          <cell r="P119">
            <v>5.0903119868637096E-2</v>
          </cell>
          <cell r="Q119">
            <v>3.7818637693272025E-2</v>
          </cell>
          <cell r="R119">
            <v>3.6968954248366007E-2</v>
          </cell>
          <cell r="S119">
            <v>3.8784988075812717E-2</v>
          </cell>
          <cell r="T119">
            <v>3.5041082648622532E-2</v>
          </cell>
          <cell r="U119">
            <v>0.15985983566940551</v>
          </cell>
          <cell r="V119">
            <v>5.5345479546235823E-2</v>
          </cell>
          <cell r="W119">
            <v>5.1394330490896527E-2</v>
          </cell>
          <cell r="X119">
            <v>4.7630084598447107E-2</v>
          </cell>
          <cell r="Y119">
            <v>4.2936573311367354E-2</v>
          </cell>
          <cell r="Z119">
            <v>0.18091021416803951</v>
          </cell>
          <cell r="AA119">
            <v>5.9386778038097165E-2</v>
          </cell>
          <cell r="AB119">
            <v>3.7019043917605902E-2</v>
          </cell>
          <cell r="AC119">
            <v>3.2557240846295049E-2</v>
          </cell>
          <cell r="AD119">
            <v>5.9509596840848562E-2</v>
          </cell>
          <cell r="AE119">
            <v>0.17898796951051515</v>
          </cell>
          <cell r="AF119">
            <v>7.3488372093023252E-2</v>
          </cell>
          <cell r="AG119">
            <v>6.3640149937526036E-2</v>
          </cell>
          <cell r="AH119">
            <v>5.3104642533190402E-2</v>
          </cell>
          <cell r="AI119">
            <v>3.6668050366680541E-2</v>
          </cell>
          <cell r="AJ119">
            <v>0.19420229694202298</v>
          </cell>
          <cell r="AK119">
            <v>5.0954000887442681E-2</v>
          </cell>
          <cell r="AL119">
            <v>2.9363317338680795E-2</v>
          </cell>
          <cell r="AM119">
            <v>1.368600198553397E-2</v>
          </cell>
          <cell r="AN119">
            <v>8.9563460363704689E-2</v>
          </cell>
          <cell r="AO119">
            <v>0.15027489309712888</v>
          </cell>
          <cell r="AP119">
            <v>4.6951934349355226E-2</v>
          </cell>
          <cell r="AQ119" t="str">
            <v/>
          </cell>
          <cell r="AR119" t="str">
            <v/>
          </cell>
          <cell r="AS119">
            <v>8.8456565163096204E-2</v>
          </cell>
          <cell r="AT119">
            <v>0.13758655405161735</v>
          </cell>
          <cell r="AU119">
            <v>9.6</v>
          </cell>
          <cell r="AV119">
            <v>7.2188801480795943</v>
          </cell>
          <cell r="AW119">
            <v>2.8227672373900967</v>
          </cell>
          <cell r="AX119">
            <v>17.25835261453031</v>
          </cell>
          <cell r="AY119">
            <v>36.9</v>
          </cell>
          <cell r="AZ119">
            <v>9.6</v>
          </cell>
          <cell r="BA119">
            <v>0</v>
          </cell>
          <cell r="BB119">
            <v>0</v>
          </cell>
          <cell r="BD119">
            <v>36.9</v>
          </cell>
        </row>
        <row r="120">
          <cell r="A120" t="str">
            <v>Dividend (cps)</v>
          </cell>
          <cell r="E120">
            <v>19</v>
          </cell>
          <cell r="F120">
            <v>21.3</v>
          </cell>
          <cell r="J120">
            <v>8</v>
          </cell>
          <cell r="K120">
            <v>10.4</v>
          </cell>
          <cell r="L120">
            <v>0</v>
          </cell>
          <cell r="M120">
            <v>9.5</v>
          </cell>
          <cell r="N120">
            <v>0</v>
          </cell>
          <cell r="O120">
            <v>9.9999999999999645E-2</v>
          </cell>
          <cell r="P120">
            <v>9.6</v>
          </cell>
          <cell r="Q120">
            <v>0</v>
          </cell>
          <cell r="T120">
            <v>34</v>
          </cell>
          <cell r="U120">
            <v>7.5</v>
          </cell>
          <cell r="Y120">
            <v>45</v>
          </cell>
          <cell r="Z120">
            <v>5</v>
          </cell>
          <cell r="AA120">
            <v>0</v>
          </cell>
          <cell r="AB120">
            <v>0</v>
          </cell>
          <cell r="AC120">
            <v>3</v>
          </cell>
          <cell r="AD120">
            <v>46</v>
          </cell>
          <cell r="AE120">
            <v>3</v>
          </cell>
          <cell r="AF120">
            <v>0</v>
          </cell>
          <cell r="AG120">
            <v>6</v>
          </cell>
          <cell r="AH120">
            <v>4</v>
          </cell>
          <cell r="AI120">
            <v>0</v>
          </cell>
          <cell r="AJ120">
            <v>10</v>
          </cell>
          <cell r="AK120">
            <v>0</v>
          </cell>
          <cell r="AL120">
            <v>4</v>
          </cell>
          <cell r="AM120">
            <v>0</v>
          </cell>
          <cell r="AN120">
            <v>16</v>
          </cell>
          <cell r="AO120">
            <v>20</v>
          </cell>
          <cell r="AP120">
            <v>0</v>
          </cell>
          <cell r="AQ120">
            <v>12</v>
          </cell>
          <cell r="AR120">
            <v>0</v>
          </cell>
          <cell r="AS120">
            <v>8</v>
          </cell>
          <cell r="AT120">
            <v>20</v>
          </cell>
          <cell r="AU120">
            <v>0</v>
          </cell>
          <cell r="AV120">
            <v>0</v>
          </cell>
          <cell r="AW120">
            <v>0</v>
          </cell>
          <cell r="AX120">
            <v>8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D120">
            <v>0</v>
          </cell>
        </row>
        <row r="121">
          <cell r="A121" t="str">
            <v>Check</v>
          </cell>
          <cell r="E121">
            <v>0.25</v>
          </cell>
          <cell r="F121">
            <v>0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0.2586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0.191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0.46666000000000002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0.32600000000000001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D121">
            <v>0</v>
          </cell>
        </row>
        <row r="122">
          <cell r="A122" t="str">
            <v>ROE</v>
          </cell>
          <cell r="C122" t="str">
            <v/>
          </cell>
          <cell r="D122" t="str">
            <v/>
          </cell>
          <cell r="E122" t="str">
            <v/>
          </cell>
          <cell r="F122" t="str">
            <v/>
          </cell>
          <cell r="G122" t="str">
            <v/>
          </cell>
          <cell r="H122" t="str">
            <v/>
          </cell>
          <cell r="I122" t="str">
            <v/>
          </cell>
          <cell r="J122">
            <v>0</v>
          </cell>
          <cell r="K122">
            <v>0.10423336890786199</v>
          </cell>
          <cell r="L122" t="str">
            <v/>
          </cell>
          <cell r="M122" t="str">
            <v/>
          </cell>
          <cell r="N122" t="str">
            <v/>
          </cell>
          <cell r="O122">
            <v>3.4827213822894131E-2</v>
          </cell>
          <cell r="P122">
            <v>7.1814254859611196E-2</v>
          </cell>
          <cell r="Q122">
            <v>4.9303322615219698E-2</v>
          </cell>
          <cell r="R122">
            <v>5.0331976868708495E-2</v>
          </cell>
          <cell r="S122">
            <v>4.0480543222773557E-2</v>
          </cell>
          <cell r="T122">
            <v>5.3669197147458034E-2</v>
          </cell>
          <cell r="U122">
            <v>0.19629629629629627</v>
          </cell>
          <cell r="V122">
            <v>7.0284127323221549E-2</v>
          </cell>
          <cell r="W122">
            <v>7.0393819079300368E-2</v>
          </cell>
          <cell r="X122">
            <v>6.1017680034497652E-2</v>
          </cell>
          <cell r="Y122">
            <v>6.2017039825638914E-2</v>
          </cell>
          <cell r="Z122">
            <v>0.24826629680998613</v>
          </cell>
          <cell r="AA122">
            <v>3.7791586024243651E-2</v>
          </cell>
          <cell r="AB122">
            <v>2.3999222697240571E-2</v>
          </cell>
          <cell r="AC122">
            <v>1.9128586609989374E-2</v>
          </cell>
          <cell r="AD122">
            <v>7.411557547622856E-2</v>
          </cell>
          <cell r="AE122">
            <v>0.20473827437169836</v>
          </cell>
          <cell r="AF122">
            <v>4.7272727272727265E-2</v>
          </cell>
          <cell r="AG122">
            <v>3.9650145772594757E-2</v>
          </cell>
          <cell r="AH122">
            <v>3.356147439597592E-2</v>
          </cell>
          <cell r="AI122">
            <v>0.68177028451001143</v>
          </cell>
          <cell r="AJ122">
            <v>2.2012644889357227</v>
          </cell>
          <cell r="AK122">
            <v>2.5587930779470486E-2</v>
          </cell>
          <cell r="AL122">
            <v>9.8116450619494325E-3</v>
          </cell>
          <cell r="AM122">
            <v>-5.6729541908949058E-3</v>
          </cell>
          <cell r="AN122">
            <v>0.70313103981445679</v>
          </cell>
          <cell r="AO122">
            <v>0.85890993428681861</v>
          </cell>
          <cell r="AP122">
            <v>0.46465809072444164</v>
          </cell>
          <cell r="AQ122" t="str">
            <v/>
          </cell>
          <cell r="AR122" t="str">
            <v/>
          </cell>
          <cell r="AS122">
            <v>1.5082652991908203</v>
          </cell>
          <cell r="AT122">
            <v>2.3909418281647365</v>
          </cell>
          <cell r="AU122">
            <v>0</v>
          </cell>
          <cell r="AV122">
            <v>0</v>
          </cell>
          <cell r="AW122">
            <v>0</v>
          </cell>
          <cell r="AX122">
            <v>0.39838415680960843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D122">
            <v>0</v>
          </cell>
        </row>
        <row r="123">
          <cell r="A123" t="str">
            <v>ROA</v>
          </cell>
          <cell r="C123" t="str">
            <v/>
          </cell>
          <cell r="D123" t="str">
            <v/>
          </cell>
          <cell r="E123" t="str">
            <v/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>
            <v>0</v>
          </cell>
          <cell r="K123">
            <v>4.7101850825667736E-2</v>
          </cell>
          <cell r="L123" t="str">
            <v/>
          </cell>
          <cell r="M123" t="str">
            <v/>
          </cell>
          <cell r="N123" t="str">
            <v/>
          </cell>
          <cell r="O123">
            <v>2.2988505747126436E-2</v>
          </cell>
          <cell r="P123">
            <v>5.0903119868637096E-2</v>
          </cell>
          <cell r="Q123">
            <v>3.7818637693272032E-2</v>
          </cell>
          <cell r="R123">
            <v>3.6968954248366007E-2</v>
          </cell>
          <cell r="S123">
            <v>3.8784988075812717E-2</v>
          </cell>
          <cell r="T123">
            <v>3.5041082648622525E-2</v>
          </cell>
          <cell r="U123">
            <v>0.15985983566940551</v>
          </cell>
          <cell r="V123">
            <v>5.5345479546235823E-2</v>
          </cell>
          <cell r="W123">
            <v>5.1394330490896534E-2</v>
          </cell>
          <cell r="X123">
            <v>4.7630084598447107E-2</v>
          </cell>
          <cell r="Y123">
            <v>4.2936573311367361E-2</v>
          </cell>
          <cell r="Z123">
            <v>0.18091021416803951</v>
          </cell>
          <cell r="AA123">
            <v>5.9386778038097172E-2</v>
          </cell>
          <cell r="AB123">
            <v>3.7019043917605902E-2</v>
          </cell>
          <cell r="AC123">
            <v>3.2557240846295049E-2</v>
          </cell>
          <cell r="AD123">
            <v>5.9509596840848569E-2</v>
          </cell>
          <cell r="AE123">
            <v>0.17898796951051515</v>
          </cell>
          <cell r="AF123">
            <v>7.3488372093023252E-2</v>
          </cell>
          <cell r="AG123">
            <v>6.3640149937526036E-2</v>
          </cell>
          <cell r="AH123">
            <v>5.3104642533190402E-2</v>
          </cell>
          <cell r="AI123">
            <v>3.6668050366680541E-2</v>
          </cell>
          <cell r="AJ123">
            <v>0.19420229694202298</v>
          </cell>
          <cell r="AK123">
            <v>5.0954000887442681E-2</v>
          </cell>
          <cell r="AL123">
            <v>2.9363317338680795E-2</v>
          </cell>
          <cell r="AM123">
            <v>1.368600198553397E-2</v>
          </cell>
          <cell r="AN123">
            <v>8.9563460363704689E-2</v>
          </cell>
          <cell r="AO123">
            <v>0.15027489309712888</v>
          </cell>
          <cell r="AP123">
            <v>4.6951934349355226E-2</v>
          </cell>
          <cell r="AQ123" t="str">
            <v/>
          </cell>
          <cell r="AR123" t="str">
            <v/>
          </cell>
          <cell r="AS123">
            <v>8.8456565163096218E-2</v>
          </cell>
          <cell r="AT123">
            <v>0.13758655405161735</v>
          </cell>
        </row>
        <row r="124">
          <cell r="A124" t="str">
            <v>ROE Asbestos Adjusted</v>
          </cell>
          <cell r="K124">
            <v>0.10423336890786199</v>
          </cell>
          <cell r="L124" t="str">
            <v/>
          </cell>
          <cell r="M124" t="str">
            <v/>
          </cell>
          <cell r="N124" t="str">
            <v/>
          </cell>
          <cell r="O124">
            <v>3.4827213822894131E-2</v>
          </cell>
          <cell r="P124">
            <v>7.1814254859611196E-2</v>
          </cell>
          <cell r="Q124">
            <v>4.9303322615219698E-2</v>
          </cell>
          <cell r="R124">
            <v>5.0331976868708495E-2</v>
          </cell>
          <cell r="S124">
            <v>4.0480543222773557E-2</v>
          </cell>
          <cell r="T124">
            <v>5.3669197147458034E-2</v>
          </cell>
          <cell r="U124">
            <v>0.19629629629629627</v>
          </cell>
          <cell r="V124">
            <v>7.0284127323221549E-2</v>
          </cell>
          <cell r="W124">
            <v>7.0393819079300368E-2</v>
          </cell>
          <cell r="X124">
            <v>6.1017680034497652E-2</v>
          </cell>
          <cell r="Y124">
            <v>6.2017039825638914E-2</v>
          </cell>
          <cell r="Z124">
            <v>0.24826629680998613</v>
          </cell>
          <cell r="AA124">
            <v>3.7791586024243651E-2</v>
          </cell>
          <cell r="AB124">
            <v>2.3999222697240571E-2</v>
          </cell>
          <cell r="AC124">
            <v>1.9128586609989374E-2</v>
          </cell>
          <cell r="AD124">
            <v>0.10981271010084839</v>
          </cell>
          <cell r="AE124">
            <v>0.24043540899631818</v>
          </cell>
          <cell r="AJ124">
            <v>0.28278840222085139</v>
          </cell>
          <cell r="AO124">
            <v>0.22013782542113319</v>
          </cell>
        </row>
        <row r="125">
          <cell r="A125" t="str">
            <v>Balance Sheet Ratios</v>
          </cell>
          <cell r="B125" t="str">
            <v/>
          </cell>
          <cell r="C125" t="str">
            <v/>
          </cell>
          <cell r="D125" t="str">
            <v/>
          </cell>
          <cell r="E125" t="str">
            <v/>
          </cell>
          <cell r="F125">
            <v>0.11360992632803411</v>
          </cell>
          <cell r="G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>
            <v>7.8572749121833985E-2</v>
          </cell>
          <cell r="L125">
            <v>6.7967698519515493E-2</v>
          </cell>
          <cell r="M125">
            <v>0.11768488745980706</v>
          </cell>
          <cell r="N125">
            <v>-2.0027624309392259E-2</v>
          </cell>
          <cell r="O125">
            <v>0.13291139240506328</v>
          </cell>
          <cell r="P125">
            <v>7.6618882847256514E-2</v>
          </cell>
          <cell r="Q125">
            <v>0.18081918081918075</v>
          </cell>
          <cell r="R125">
            <v>0.17437379576107898</v>
          </cell>
          <cell r="S125">
            <v>0.15653495440729479</v>
          </cell>
          <cell r="T125">
            <v>0.14609571788413092</v>
          </cell>
          <cell r="U125">
            <v>0.16461366181410972</v>
          </cell>
          <cell r="V125">
            <v>0.2</v>
          </cell>
          <cell r="W125">
            <v>0.1772655007949126</v>
          </cell>
          <cell r="X125">
            <v>0.17305263157894737</v>
          </cell>
          <cell r="Y125">
            <v>0.16593712693991236</v>
          </cell>
          <cell r="Z125">
            <v>0.1789387921376922</v>
          </cell>
          <cell r="AA125">
            <v>0.19046063377981048</v>
          </cell>
          <cell r="AB125">
            <v>0.12662013958125623</v>
          </cell>
          <cell r="AC125">
            <v>0.11742160278745643</v>
          </cell>
          <cell r="AD125">
            <v>0.20480404551201012</v>
          </cell>
          <cell r="AE125">
            <v>0.16102115003304693</v>
          </cell>
          <cell r="AF125">
            <v>0.24179187534780189</v>
          </cell>
          <cell r="AG125">
            <v>0.20286776420605421</v>
          </cell>
          <cell r="AH125">
            <v>0.17755720981527437</v>
          </cell>
          <cell r="AI125">
            <v>0.13596716264751163</v>
          </cell>
          <cell r="AJ125">
            <v>0.18857910648303663</v>
          </cell>
          <cell r="AK125">
            <v>0.23128760529482553</v>
          </cell>
          <cell r="AL125">
            <v>0.21438988818667962</v>
          </cell>
          <cell r="AM125">
            <v>0.18051253168121656</v>
          </cell>
          <cell r="AN125">
            <v>0.19534497090606809</v>
          </cell>
          <cell r="AO125">
            <v>0.20727202022166044</v>
          </cell>
          <cell r="AP125">
            <v>0.249057492931197</v>
          </cell>
          <cell r="AQ125">
            <v>0.19148936170212766</v>
          </cell>
          <cell r="AR125">
            <v>0.16813122437024017</v>
          </cell>
          <cell r="AS125">
            <v>0.13007350591243211</v>
          </cell>
          <cell r="AT125">
            <v>0.1896105664488017</v>
          </cell>
          <cell r="AU125">
            <v>0.17534246575342463</v>
          </cell>
          <cell r="AV125">
            <v>0.15121380520620067</v>
          </cell>
          <cell r="AW125">
            <v>0.10153482880755607</v>
          </cell>
          <cell r="AX125">
            <v>6.3741721854304753E-2</v>
          </cell>
          <cell r="AY125">
            <v>0.13046732080492268</v>
          </cell>
          <cell r="AZ125" t="str">
            <v/>
          </cell>
          <cell r="BA125" t="str">
            <v/>
          </cell>
          <cell r="BB125" t="str">
            <v/>
          </cell>
          <cell r="BD125">
            <v>0.10866700550785804</v>
          </cell>
        </row>
        <row r="126">
          <cell r="A126" t="str">
            <v>Days Debtors</v>
          </cell>
          <cell r="B126" t="str">
            <v/>
          </cell>
          <cell r="C126" t="str">
            <v/>
          </cell>
          <cell r="D126" t="str">
            <v/>
          </cell>
          <cell r="E126" t="str">
            <v/>
          </cell>
          <cell r="F126" t="str">
            <v/>
          </cell>
          <cell r="G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>
            <v>32.188019966722131</v>
          </cell>
          <cell r="L126" t="str">
            <v/>
          </cell>
          <cell r="M126" t="str">
            <v/>
          </cell>
          <cell r="N126" t="str">
            <v/>
          </cell>
          <cell r="O126">
            <v>185.50316455696202</v>
          </cell>
          <cell r="P126">
            <v>48.293788103476679</v>
          </cell>
          <cell r="Q126">
            <v>160.07492507492506</v>
          </cell>
          <cell r="R126">
            <v>152.25915221579962</v>
          </cell>
          <cell r="S126">
            <v>143.67021276595744</v>
          </cell>
          <cell r="T126">
            <v>168.06549118387903</v>
          </cell>
          <cell r="U126">
            <v>41.509269627970639</v>
          </cell>
          <cell r="V126">
            <v>145.24430641821945</v>
          </cell>
          <cell r="W126">
            <v>136.14964228934818</v>
          </cell>
          <cell r="X126">
            <v>140.77473684210523</v>
          </cell>
          <cell r="Y126">
            <v>171.96975726223636</v>
          </cell>
          <cell r="Z126">
            <v>44.012628577248194</v>
          </cell>
          <cell r="AA126">
            <v>139.75171512577589</v>
          </cell>
          <cell r="AB126">
            <v>136.34430043203724</v>
          </cell>
          <cell r="AC126">
            <v>135.18989547038325</v>
          </cell>
          <cell r="AD126">
            <v>146.73830594184577</v>
          </cell>
          <cell r="AE126">
            <v>38.357567746199607</v>
          </cell>
          <cell r="AF126">
            <v>141.16583194212578</v>
          </cell>
          <cell r="AG126">
            <v>127.83722782793416</v>
          </cell>
          <cell r="AH126">
            <v>125.89330024813897</v>
          </cell>
          <cell r="AI126">
            <v>143.45305284761409</v>
          </cell>
          <cell r="AJ126">
            <v>37.566677863621095</v>
          </cell>
          <cell r="AK126">
            <v>138.79663056558365</v>
          </cell>
          <cell r="AL126">
            <v>139.82498784637821</v>
          </cell>
          <cell r="AM126">
            <v>126.7375387214869</v>
          </cell>
          <cell r="AN126">
            <v>165.25630368523142</v>
          </cell>
          <cell r="AO126">
            <v>38.655129950093972</v>
          </cell>
          <cell r="AP126">
            <v>144.65834118755888</v>
          </cell>
          <cell r="AQ126" t="str">
            <v/>
          </cell>
          <cell r="AR126" t="str">
            <v/>
          </cell>
          <cell r="AS126">
            <v>53.634063608492106</v>
          </cell>
          <cell r="AT126">
            <v>38.655129950093979</v>
          </cell>
          <cell r="AU126">
            <v>0.16457750924339434</v>
          </cell>
          <cell r="AV126">
            <v>0.14503881559411189</v>
          </cell>
          <cell r="AW126">
            <v>0.13908045977011493</v>
          </cell>
          <cell r="AX126">
            <v>0.12724495707589398</v>
          </cell>
          <cell r="AY126">
            <v>0.63338073418654861</v>
          </cell>
          <cell r="AZ126">
            <v>0</v>
          </cell>
          <cell r="BA126">
            <v>0</v>
          </cell>
          <cell r="BB126">
            <v>0</v>
          </cell>
          <cell r="BD126">
            <v>0.50696630946596666</v>
          </cell>
        </row>
        <row r="127">
          <cell r="A127" t="str">
            <v>Days Inventories</v>
          </cell>
          <cell r="B127" t="str">
            <v/>
          </cell>
          <cell r="C127" t="str">
            <v/>
          </cell>
          <cell r="D127" t="str">
            <v/>
          </cell>
          <cell r="E127" t="str">
            <v/>
          </cell>
          <cell r="F127" t="str">
            <v/>
          </cell>
          <cell r="G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>
            <v>46.898687372897022</v>
          </cell>
          <cell r="L127" t="str">
            <v/>
          </cell>
          <cell r="M127" t="str">
            <v/>
          </cell>
          <cell r="N127" t="str">
            <v/>
          </cell>
          <cell r="O127">
            <v>151.08227848101268</v>
          </cell>
          <cell r="P127">
            <v>39.332674246169049</v>
          </cell>
          <cell r="Q127">
            <v>92.617382617382603</v>
          </cell>
          <cell r="R127">
            <v>88.964354527938355</v>
          </cell>
          <cell r="S127">
            <v>111.31205673758865</v>
          </cell>
          <cell r="T127">
            <v>138.27707808564224</v>
          </cell>
          <cell r="U127">
            <v>34.152046783625728</v>
          </cell>
          <cell r="V127">
            <v>110.93581780538302</v>
          </cell>
          <cell r="W127">
            <v>118.81359300476949</v>
          </cell>
          <cell r="X127">
            <v>138.93052631578948</v>
          </cell>
          <cell r="Y127">
            <v>149.89255869478711</v>
          </cell>
          <cell r="Z127">
            <v>38.362358692331192</v>
          </cell>
          <cell r="AA127">
            <v>108.86801698791244</v>
          </cell>
          <cell r="AB127">
            <v>108.56596876038552</v>
          </cell>
          <cell r="AC127">
            <v>118.65679442508709</v>
          </cell>
          <cell r="AD127">
            <v>115.24494310998735</v>
          </cell>
          <cell r="AE127">
            <v>30.125165234633183</v>
          </cell>
          <cell r="AF127">
            <v>105.7220367278798</v>
          </cell>
          <cell r="AG127">
            <v>106.32103027084442</v>
          </cell>
          <cell r="AH127">
            <v>115.02481389578165</v>
          </cell>
          <cell r="AI127">
            <v>116.11082606464849</v>
          </cell>
          <cell r="AJ127">
            <v>30.406449445750756</v>
          </cell>
          <cell r="AK127">
            <v>120.26113116726836</v>
          </cell>
          <cell r="AL127">
            <v>126.16188624210012</v>
          </cell>
          <cell r="AM127">
            <v>157.05998310335121</v>
          </cell>
          <cell r="AN127">
            <v>149.27680798004988</v>
          </cell>
          <cell r="AO127">
            <v>34.917363406572036</v>
          </cell>
          <cell r="AP127">
            <v>114.90103675777567</v>
          </cell>
          <cell r="AQ127" t="str">
            <v/>
          </cell>
          <cell r="AR127" t="str">
            <v/>
          </cell>
          <cell r="AS127">
            <v>48.44790568306874</v>
          </cell>
          <cell r="AT127">
            <v>34.917363406572036</v>
          </cell>
          <cell r="AU127">
            <v>9.0179457119668135E-4</v>
          </cell>
          <cell r="AV127">
            <v>8.4842828659907512E-4</v>
          </cell>
          <cell r="AW127">
            <v>1.477832512315271E-3</v>
          </cell>
          <cell r="AX127">
            <v>1.4220255964607364E-3</v>
          </cell>
          <cell r="AY127">
            <v>4.950755780270712E-3</v>
          </cell>
          <cell r="AZ127">
            <v>0</v>
          </cell>
          <cell r="BA127">
            <v>0</v>
          </cell>
          <cell r="BB127">
            <v>0</v>
          </cell>
          <cell r="BD127">
            <v>6.9160733219363309E-3</v>
          </cell>
        </row>
        <row r="128">
          <cell r="A128" t="str">
            <v>Days Creditors</v>
          </cell>
          <cell r="B128" t="str">
            <v/>
          </cell>
          <cell r="C128" t="str">
            <v/>
          </cell>
          <cell r="D128" t="str">
            <v/>
          </cell>
          <cell r="E128" t="str">
            <v/>
          </cell>
          <cell r="F128" t="str">
            <v/>
          </cell>
          <cell r="G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>
            <v>42.849879829913107</v>
          </cell>
          <cell r="L128" t="str">
            <v/>
          </cell>
          <cell r="M128" t="str">
            <v/>
          </cell>
          <cell r="N128" t="str">
            <v/>
          </cell>
          <cell r="O128">
            <v>137.91455696202533</v>
          </cell>
          <cell r="P128">
            <v>35.904597132970835</v>
          </cell>
          <cell r="Q128">
            <v>110.84915084915083</v>
          </cell>
          <cell r="R128">
            <v>130.63342967244699</v>
          </cell>
          <cell r="S128">
            <v>120.18743667679837</v>
          </cell>
          <cell r="T128">
            <v>138.27707808564224</v>
          </cell>
          <cell r="U128">
            <v>34.152046783625728</v>
          </cell>
          <cell r="V128">
            <v>108.97101449275361</v>
          </cell>
          <cell r="W128">
            <v>99.881756756756744</v>
          </cell>
          <cell r="X128">
            <v>100.81684210526313</v>
          </cell>
          <cell r="Y128">
            <v>114.01711102268206</v>
          </cell>
          <cell r="Z128">
            <v>29.18067012934107</v>
          </cell>
          <cell r="AA128">
            <v>103.14439725579875</v>
          </cell>
          <cell r="AB128">
            <v>122.15187770023265</v>
          </cell>
          <cell r="AC128">
            <v>108.22822299651565</v>
          </cell>
          <cell r="AD128">
            <v>108.43868520859671</v>
          </cell>
          <cell r="AE128">
            <v>28.346001321877068</v>
          </cell>
          <cell r="AF128">
            <v>105.9251530328325</v>
          </cell>
          <cell r="AG128">
            <v>116.59453000531069</v>
          </cell>
          <cell r="AH128">
            <v>108.48359525778883</v>
          </cell>
          <cell r="AI128">
            <v>110.30528476141605</v>
          </cell>
          <cell r="AJ128">
            <v>28.88612697346322</v>
          </cell>
          <cell r="AK128">
            <v>100.58363417569194</v>
          </cell>
          <cell r="AL128">
            <v>103.36047642197373</v>
          </cell>
          <cell r="AM128">
            <v>98.882005068994673</v>
          </cell>
          <cell r="AN128">
            <v>101.94513715710724</v>
          </cell>
          <cell r="AO128">
            <v>23.846004277658952</v>
          </cell>
          <cell r="AP128">
            <v>108.1927426955702</v>
          </cell>
          <cell r="AQ128" t="str">
            <v/>
          </cell>
          <cell r="AR128" t="str">
            <v/>
          </cell>
          <cell r="AS128">
            <v>33.086374612827434</v>
          </cell>
          <cell r="AT128">
            <v>23.846004277658952</v>
          </cell>
          <cell r="AU128">
            <v>15.015572105619501</v>
          </cell>
          <cell r="AV128">
            <v>3.09438172748753</v>
          </cell>
          <cell r="AW128">
            <v>-48.72</v>
          </cell>
          <cell r="AX128">
            <v>-17.467341306347745</v>
          </cell>
          <cell r="AY128">
            <v>-17.467341306347745</v>
          </cell>
          <cell r="AZ128">
            <v>15.015572105619501</v>
          </cell>
          <cell r="BA128">
            <v>3.09438172748753</v>
          </cell>
          <cell r="BB128">
            <v>-48.72</v>
          </cell>
          <cell r="BD128">
            <v>-6.9615901460043537</v>
          </cell>
        </row>
        <row r="129">
          <cell r="A129" t="str">
            <v>Net Working Capital Days</v>
          </cell>
          <cell r="B129" t="str">
            <v/>
          </cell>
          <cell r="C129" t="str">
            <v/>
          </cell>
          <cell r="D129" t="str">
            <v/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>
            <v>36.236827509706046</v>
          </cell>
          <cell r="L129" t="str">
            <v/>
          </cell>
          <cell r="M129" t="str">
            <v/>
          </cell>
          <cell r="N129" t="str">
            <v/>
          </cell>
          <cell r="O129">
            <v>198.67088607594937</v>
          </cell>
          <cell r="P129">
            <v>51.721865216674885</v>
          </cell>
          <cell r="Q129">
            <v>141.84315684315686</v>
          </cell>
          <cell r="R129">
            <v>110.59007707129098</v>
          </cell>
          <cell r="S129">
            <v>134.79483282674772</v>
          </cell>
          <cell r="T129">
            <v>168.06549118387903</v>
          </cell>
          <cell r="U129">
            <v>41.509269627970646</v>
          </cell>
          <cell r="V129">
            <v>147.20910973084887</v>
          </cell>
          <cell r="W129">
            <v>155.08147853736094</v>
          </cell>
          <cell r="X129">
            <v>178.88842105263157</v>
          </cell>
          <cell r="Y129">
            <v>207.84520493434144</v>
          </cell>
          <cell r="Z129">
            <v>53.194317140238311</v>
          </cell>
          <cell r="AA129">
            <v>145.47533485788955</v>
          </cell>
          <cell r="AB129">
            <v>122.75839149219011</v>
          </cell>
          <cell r="AC129">
            <v>145.61846689895467</v>
          </cell>
          <cell r="AD129">
            <v>153.5445638432364</v>
          </cell>
          <cell r="AE129">
            <v>40.136731658955725</v>
          </cell>
          <cell r="AF129">
            <v>140.96271563717306</v>
          </cell>
          <cell r="AG129">
            <v>117.56372809346787</v>
          </cell>
          <cell r="AH129">
            <v>132.43451888613177</v>
          </cell>
          <cell r="AI129">
            <v>149.25859415084653</v>
          </cell>
          <cell r="AJ129">
            <v>39.087000335908627</v>
          </cell>
          <cell r="AK129">
            <v>158.47412755716005</v>
          </cell>
          <cell r="AL129">
            <v>162.6263976665046</v>
          </cell>
          <cell r="AM129">
            <v>184.91551675584344</v>
          </cell>
          <cell r="AN129">
            <v>212.58797450817406</v>
          </cell>
          <cell r="AO129">
            <v>49.726489079007052</v>
          </cell>
          <cell r="AP129">
            <v>151.36663524976433</v>
          </cell>
          <cell r="AQ129" t="str">
            <v/>
          </cell>
          <cell r="AR129" t="str">
            <v/>
          </cell>
          <cell r="AS129">
            <v>68.995594678733426</v>
          </cell>
          <cell r="AT129">
            <v>49.726489079007067</v>
          </cell>
          <cell r="AU129">
            <v>0.67096774193548381</v>
          </cell>
          <cell r="AV129">
            <v>0.62776659959758552</v>
          </cell>
          <cell r="AW129">
            <v>0.52813852813852813</v>
          </cell>
          <cell r="AX129">
            <v>0.47244094488189076</v>
          </cell>
          <cell r="AY129">
            <v>0.58644067796610166</v>
          </cell>
          <cell r="AZ129" t="str">
            <v/>
          </cell>
          <cell r="BA129" t="str">
            <v/>
          </cell>
          <cell r="BB129" t="str">
            <v/>
          </cell>
          <cell r="BD129">
            <v>0.5713807801094577</v>
          </cell>
        </row>
        <row r="130">
          <cell r="A130" t="str">
            <v>Net Working Capital/Sales</v>
          </cell>
          <cell r="B130" t="str">
            <v/>
          </cell>
          <cell r="C130" t="str">
            <v/>
          </cell>
          <cell r="D130" t="str">
            <v/>
          </cell>
          <cell r="E130" t="str">
            <v/>
          </cell>
          <cell r="F130">
            <v>0</v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>
            <v>9.9278979478646709E-2</v>
          </cell>
          <cell r="L130">
            <v>0</v>
          </cell>
          <cell r="M130">
            <v>0</v>
          </cell>
          <cell r="N130">
            <v>0</v>
          </cell>
          <cell r="O130">
            <v>0.54430379746835433</v>
          </cell>
          <cell r="P130">
            <v>0.14170374031965724</v>
          </cell>
          <cell r="Q130">
            <v>0.38861138861138855</v>
          </cell>
          <cell r="R130">
            <v>0.30298651252408476</v>
          </cell>
          <cell r="S130">
            <v>0.36930091185410335</v>
          </cell>
          <cell r="T130">
            <v>0.46045340050377825</v>
          </cell>
          <cell r="U130">
            <v>0.11372402637800176</v>
          </cell>
          <cell r="V130">
            <v>0.40331262939958595</v>
          </cell>
          <cell r="W130">
            <v>0.42488076311605727</v>
          </cell>
          <cell r="X130">
            <v>0.49010526315789471</v>
          </cell>
          <cell r="Y130">
            <v>0.56943891762833276</v>
          </cell>
          <cell r="Z130">
            <v>0.14573785517873511</v>
          </cell>
          <cell r="AA130">
            <v>0.39856256125449196</v>
          </cell>
          <cell r="AB130">
            <v>0.33632436025257562</v>
          </cell>
          <cell r="AC130">
            <v>0.39895470383275256</v>
          </cell>
          <cell r="AD130">
            <v>0.42067003792667512</v>
          </cell>
          <cell r="AE130">
            <v>0.10996364838070062</v>
          </cell>
          <cell r="AF130">
            <v>0.38619922092376185</v>
          </cell>
          <cell r="AG130">
            <v>0.3220924057355285</v>
          </cell>
          <cell r="AH130">
            <v>0.36283429831816927</v>
          </cell>
          <cell r="AI130">
            <v>0.40892765520779861</v>
          </cell>
          <cell r="AJ130">
            <v>0.10708767215317432</v>
          </cell>
          <cell r="AK130">
            <v>0.43417569193742478</v>
          </cell>
          <cell r="AL130">
            <v>0.44555177442877963</v>
          </cell>
          <cell r="AM130">
            <v>0.50661785412559857</v>
          </cell>
          <cell r="AN130">
            <v>0.58243280687170973</v>
          </cell>
          <cell r="AO130">
            <v>0.13623695638084127</v>
          </cell>
          <cell r="AP130">
            <v>0.4147031102733269</v>
          </cell>
          <cell r="AQ130" t="str">
            <v/>
          </cell>
          <cell r="AR130" t="str">
            <v/>
          </cell>
          <cell r="AS130">
            <v>0.18902902651707787</v>
          </cell>
          <cell r="AT130">
            <v>0.1362369563808413</v>
          </cell>
          <cell r="AU130">
            <v>0</v>
          </cell>
          <cell r="AV130">
            <v>1</v>
          </cell>
          <cell r="AW130">
            <v>2</v>
          </cell>
          <cell r="AX130">
            <v>3</v>
          </cell>
          <cell r="AY130">
            <v>0</v>
          </cell>
          <cell r="AZ130">
            <v>0</v>
          </cell>
          <cell r="BA130">
            <v>1</v>
          </cell>
          <cell r="BB130">
            <v>2</v>
          </cell>
          <cell r="BD130">
            <v>0</v>
          </cell>
        </row>
        <row r="131">
          <cell r="A131" t="str">
            <v>ROE</v>
          </cell>
          <cell r="B131" t="str">
            <v/>
          </cell>
          <cell r="C131" t="str">
            <v/>
          </cell>
          <cell r="D131" t="str">
            <v/>
          </cell>
          <cell r="E131" t="str">
            <v/>
          </cell>
          <cell r="F131" t="str">
            <v/>
          </cell>
          <cell r="G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>
            <v>0.10530060476698684</v>
          </cell>
          <cell r="L131" t="str">
            <v/>
          </cell>
          <cell r="M131" t="str">
            <v/>
          </cell>
          <cell r="N131" t="str">
            <v/>
          </cell>
          <cell r="O131">
            <v>3.4827213822894151E-2</v>
          </cell>
          <cell r="P131">
            <v>7.181425485961121E-2</v>
          </cell>
          <cell r="Q131">
            <v>4.9303322615219684E-2</v>
          </cell>
          <cell r="R131">
            <v>5.0331976868708501E-2</v>
          </cell>
          <cell r="S131">
            <v>4.048054322277355E-2</v>
          </cell>
          <cell r="T131">
            <v>5.3669197147458013E-2</v>
          </cell>
          <cell r="U131">
            <v>0.19629629629629625</v>
          </cell>
          <cell r="V131">
            <v>7.0284127323221535E-2</v>
          </cell>
          <cell r="W131">
            <v>7.0393819079300354E-2</v>
          </cell>
          <cell r="X131">
            <v>6.1017680034497646E-2</v>
          </cell>
          <cell r="Y131">
            <v>6.2017039825638942E-2</v>
          </cell>
          <cell r="Z131">
            <v>0.24826629680998613</v>
          </cell>
          <cell r="AA131">
            <v>3.7791586024243644E-2</v>
          </cell>
          <cell r="AB131">
            <v>2.3999222697240568E-2</v>
          </cell>
          <cell r="AC131">
            <v>1.9128586609989374E-2</v>
          </cell>
          <cell r="AD131">
            <v>7.4115575476228587E-2</v>
          </cell>
          <cell r="AE131">
            <v>0.20473827437169839</v>
          </cell>
          <cell r="AF131">
            <v>4.7272727272727272E-2</v>
          </cell>
          <cell r="AG131">
            <v>3.9650145772594764E-2</v>
          </cell>
          <cell r="AH131">
            <v>3.3561474395975927E-2</v>
          </cell>
          <cell r="AI131">
            <v>0.68177028451001154</v>
          </cell>
          <cell r="AJ131">
            <v>2.2012644889357227</v>
          </cell>
          <cell r="AK131">
            <v>4.5703298328649611E-2</v>
          </cell>
          <cell r="AL131">
            <v>4.8914989615412165E-2</v>
          </cell>
          <cell r="AM131">
            <v>2.6095589278116574E-2</v>
          </cell>
          <cell r="AN131">
            <v>0.21028218013142627</v>
          </cell>
          <cell r="AO131">
            <v>0.85890993428681828</v>
          </cell>
          <cell r="AP131">
            <v>0.46445497630331761</v>
          </cell>
          <cell r="AQ131">
            <v>0.41370106761565839</v>
          </cell>
          <cell r="AR131">
            <v>-0.64828897338403035</v>
          </cell>
          <cell r="AS131">
            <v>-9.9210266535044417E-2</v>
          </cell>
          <cell r="AT131">
            <v>-0.83761105626850885</v>
          </cell>
          <cell r="AU131">
            <v>0.28165199729180768</v>
          </cell>
          <cell r="AV131">
            <v>-0.95904436860068254</v>
          </cell>
          <cell r="AW131">
            <v>-2.325333333333333</v>
          </cell>
          <cell r="AX131">
            <v>-3.0551977920883169</v>
          </cell>
          <cell r="AY131">
            <v>-0.79576816927322902</v>
          </cell>
          <cell r="AZ131" t="str">
            <v/>
          </cell>
          <cell r="BA131" t="str">
            <v/>
          </cell>
          <cell r="BB131" t="str">
            <v/>
          </cell>
          <cell r="BD131">
            <v>-0.19162436581526562</v>
          </cell>
        </row>
        <row r="132">
          <cell r="A132" t="str">
            <v>Net Debt / Equity (asbestos adjusted)</v>
          </cell>
          <cell r="K132">
            <v>0.5594734367653974</v>
          </cell>
          <cell r="L132" t="str">
            <v/>
          </cell>
          <cell r="M132" t="str">
            <v/>
          </cell>
          <cell r="N132" t="str">
            <v/>
          </cell>
          <cell r="O132">
            <v>0.44650328750747159</v>
          </cell>
          <cell r="P132">
            <v>0.44650328750747159</v>
          </cell>
          <cell r="Q132">
            <v>-0.17240512691631069</v>
          </cell>
          <cell r="R132">
            <v>-0.24109516214779381</v>
          </cell>
          <cell r="S132">
            <v>0.14167227079130237</v>
          </cell>
          <cell r="T132">
            <v>0.21449222985182512</v>
          </cell>
          <cell r="U132">
            <v>0.21449222985182512</v>
          </cell>
          <cell r="V132">
            <v>0.18164335664335665</v>
          </cell>
          <cell r="W132">
            <v>0.20594751192910696</v>
          </cell>
          <cell r="X132">
            <v>0.22905585106382981</v>
          </cell>
          <cell r="Y132">
            <v>0.17017428477474519</v>
          </cell>
          <cell r="Z132">
            <v>0.17017428477474519</v>
          </cell>
          <cell r="AA132">
            <v>5.9944460404098433E-2</v>
          </cell>
          <cell r="AB132">
            <v>5.6126192223037413E-2</v>
          </cell>
          <cell r="AC132">
            <v>7.7039679001337499E-2</v>
          </cell>
          <cell r="AD132">
            <v>6.8307233407904566E-2</v>
          </cell>
          <cell r="AE132">
            <v>6.8307233407904566E-2</v>
          </cell>
          <cell r="AF132">
            <v>-1.2154412394076854E-2</v>
          </cell>
          <cell r="AG132">
            <v>5.3233438485804391E-2</v>
          </cell>
          <cell r="AH132">
            <v>-2.3030200776109337E-2</v>
          </cell>
          <cell r="AI132">
            <v>-1.5536900137827384E-2</v>
          </cell>
          <cell r="AJ132">
            <v>-1.5536900137827384E-2</v>
          </cell>
          <cell r="AK132">
            <v>-2.9228193027858129E-2</v>
          </cell>
          <cell r="AL132">
            <v>5.5916159567275185E-2</v>
          </cell>
          <cell r="AM132">
            <v>1.2395826038237972E-2</v>
          </cell>
          <cell r="AN132">
            <v>0.12838908817886044</v>
          </cell>
          <cell r="AO132">
            <v>0.12838908817885999</v>
          </cell>
        </row>
        <row r="133">
          <cell r="A133" t="str">
            <v>Net Debt/Equity</v>
          </cell>
          <cell r="C133" t="str">
            <v/>
          </cell>
          <cell r="D133" t="str">
            <v/>
          </cell>
          <cell r="E133" t="str">
            <v/>
          </cell>
          <cell r="F133" t="str">
            <v/>
          </cell>
          <cell r="G133" t="str">
            <v/>
          </cell>
          <cell r="H133" t="str">
            <v/>
          </cell>
          <cell r="I133" t="str">
            <v/>
          </cell>
          <cell r="J133">
            <v>1.2700106723585913</v>
          </cell>
          <cell r="K133">
            <v>1.2700106723585913</v>
          </cell>
          <cell r="L133" t="str">
            <v/>
          </cell>
          <cell r="M133" t="str">
            <v/>
          </cell>
          <cell r="N133" t="str">
            <v/>
          </cell>
          <cell r="O133">
            <v>0.80669546436285089</v>
          </cell>
          <cell r="P133">
            <v>0.80669546436285089</v>
          </cell>
          <cell r="Q133">
            <v>-0.14705251875669886</v>
          </cell>
          <cell r="R133">
            <v>-0.19426001285071753</v>
          </cell>
          <cell r="S133">
            <v>0.16505615043092189</v>
          </cell>
          <cell r="T133">
            <v>0.27306188175753399</v>
          </cell>
          <cell r="U133">
            <v>0.27306188175753399</v>
          </cell>
          <cell r="V133">
            <v>0.22196111941892757</v>
          </cell>
          <cell r="W133">
            <v>0.25936259255284894</v>
          </cell>
          <cell r="X133">
            <v>0.29711082363087538</v>
          </cell>
          <cell r="Y133">
            <v>0.20507232019021207</v>
          </cell>
          <cell r="Z133">
            <v>0.20507232019021207</v>
          </cell>
          <cell r="AA133">
            <v>6.3766934908831605E-2</v>
          </cell>
          <cell r="AB133">
            <v>5.9463661095996892E-2</v>
          </cell>
          <cell r="AC133">
            <v>8.3470196116317272E-2</v>
          </cell>
          <cell r="AD133">
            <v>7.3315191291820084E-2</v>
          </cell>
          <cell r="AE133">
            <v>7.3315191291820084E-2</v>
          </cell>
          <cell r="AF133">
            <v>-1.2008456659619441E-2</v>
          </cell>
          <cell r="AG133">
            <v>5.622657226155766E-2</v>
          </cell>
          <cell r="AH133">
            <v>-2.2511750639069853E-2</v>
          </cell>
          <cell r="AI133">
            <v>-0.13066385669125433</v>
          </cell>
          <cell r="AJ133">
            <v>-0.13066385669125433</v>
          </cell>
          <cell r="AK133">
            <v>-2.8398165951782284E-2</v>
          </cell>
          <cell r="AL133">
            <v>5.92279596075342E-2</v>
          </cell>
          <cell r="AM133">
            <v>1.2551411147354986E-2</v>
          </cell>
          <cell r="AN133">
            <v>0.59489756474681099</v>
          </cell>
          <cell r="AO133">
            <v>0.59489756474681099</v>
          </cell>
          <cell r="AP133">
            <v>-0.71293161814488826</v>
          </cell>
          <cell r="AQ133" t="str">
            <v/>
          </cell>
          <cell r="AR133" t="str">
            <v/>
          </cell>
          <cell r="AS133">
            <v>3.5096558759060636</v>
          </cell>
          <cell r="AT133">
            <v>3.5096558759060636</v>
          </cell>
          <cell r="AU133">
            <v>0.16457750924339434</v>
          </cell>
          <cell r="AV133">
            <v>0.14503881559411189</v>
          </cell>
          <cell r="AW133">
            <v>0.13908045977011493</v>
          </cell>
          <cell r="AX133">
            <v>0.12724495707589398</v>
          </cell>
          <cell r="AY133">
            <v>0.63338073418654861</v>
          </cell>
          <cell r="AZ133">
            <v>0</v>
          </cell>
          <cell r="BA133">
            <v>0</v>
          </cell>
          <cell r="BB133">
            <v>0</v>
          </cell>
          <cell r="BD133">
            <v>0.50696630946596666</v>
          </cell>
        </row>
        <row r="134">
          <cell r="A134" t="str">
            <v>Net Debt/Net Debt+Equity</v>
          </cell>
          <cell r="C134" t="str">
            <v/>
          </cell>
          <cell r="D134" t="str">
            <v/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>
            <v>0.5594734367653974</v>
          </cell>
          <cell r="K134">
            <v>0.5594734367653974</v>
          </cell>
          <cell r="L134" t="str">
            <v/>
          </cell>
          <cell r="M134" t="str">
            <v/>
          </cell>
          <cell r="N134" t="str">
            <v/>
          </cell>
          <cell r="O134">
            <v>0.44650328750747159</v>
          </cell>
          <cell r="P134">
            <v>0.44650328750747159</v>
          </cell>
          <cell r="Q134">
            <v>-0.17240512691631069</v>
          </cell>
          <cell r="R134">
            <v>-0.24109516214779381</v>
          </cell>
          <cell r="S134">
            <v>0.14167227079130237</v>
          </cell>
          <cell r="T134">
            <v>0.21449222985182512</v>
          </cell>
          <cell r="U134">
            <v>0.21449222985182512</v>
          </cell>
          <cell r="V134">
            <v>0.18164335664335665</v>
          </cell>
          <cell r="W134">
            <v>0.20594751192910696</v>
          </cell>
          <cell r="X134">
            <v>0.22905585106382981</v>
          </cell>
          <cell r="Y134">
            <v>0.17017428477474519</v>
          </cell>
          <cell r="Z134">
            <v>0.17017428477474519</v>
          </cell>
          <cell r="AA134">
            <v>5.9944460404098433E-2</v>
          </cell>
          <cell r="AB134">
            <v>5.6126192223037413E-2</v>
          </cell>
          <cell r="AC134">
            <v>7.7039679001337499E-2</v>
          </cell>
          <cell r="AD134">
            <v>6.8307233407904566E-2</v>
          </cell>
          <cell r="AE134">
            <v>6.8307233407904566E-2</v>
          </cell>
          <cell r="AF134">
            <v>-1.2154412394076854E-2</v>
          </cell>
          <cell r="AG134">
            <v>5.3233438485804391E-2</v>
          </cell>
          <cell r="AH134">
            <v>-2.3030200776109337E-2</v>
          </cell>
          <cell r="AI134">
            <v>-0.1503030303030308</v>
          </cell>
          <cell r="AJ134">
            <v>-0.1503030303030308</v>
          </cell>
          <cell r="AK134">
            <v>-2.9228193027858129E-2</v>
          </cell>
          <cell r="AL134">
            <v>5.5916159567275185E-2</v>
          </cell>
          <cell r="AM134">
            <v>1.2395826038237972E-2</v>
          </cell>
          <cell r="AN134">
            <v>0.3730004847309743</v>
          </cell>
          <cell r="AO134">
            <v>0.3730004847309743</v>
          </cell>
          <cell r="AP134">
            <v>-2.4834905660377351</v>
          </cell>
          <cell r="AQ134" t="str">
            <v/>
          </cell>
          <cell r="AR134" t="str">
            <v/>
          </cell>
          <cell r="AS134">
            <v>0.77825359018129436</v>
          </cell>
          <cell r="AT134">
            <v>0.77825359018129436</v>
          </cell>
          <cell r="AU134">
            <v>0.17534246575342463</v>
          </cell>
          <cell r="AV134">
            <v>0.15121380520620067</v>
          </cell>
          <cell r="AW134">
            <v>0.10153482880755607</v>
          </cell>
          <cell r="AX134">
            <v>6.3741721854304753E-2</v>
          </cell>
          <cell r="AY134">
            <v>0.13046732080492268</v>
          </cell>
          <cell r="AZ134" t="str">
            <v/>
          </cell>
          <cell r="BA134" t="str">
            <v/>
          </cell>
          <cell r="BB134" t="str">
            <v/>
          </cell>
          <cell r="BD134">
            <v>0.10866700550785804</v>
          </cell>
        </row>
        <row r="135">
          <cell r="A135" t="str">
            <v>Interest Cover (x)</v>
          </cell>
          <cell r="C135" t="str">
            <v/>
          </cell>
          <cell r="D135" t="str">
            <v/>
          </cell>
          <cell r="E135" t="str">
            <v/>
          </cell>
          <cell r="F135">
            <v>2.8585365853658531</v>
          </cell>
          <cell r="G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>
            <v>3.2196969696969697</v>
          </cell>
          <cell r="L135">
            <v>1.9056603773584908</v>
          </cell>
          <cell r="M135">
            <v>4.4634146341463419</v>
          </cell>
          <cell r="N135">
            <v>-0.87878787878787867</v>
          </cell>
          <cell r="O135">
            <v>6.363636363636366</v>
          </cell>
          <cell r="P135">
            <v>2.9062499999999996</v>
          </cell>
          <cell r="Q135">
            <v>12.482758620689651</v>
          </cell>
          <cell r="R135">
            <v>14.479999999999999</v>
          </cell>
          <cell r="S135">
            <v>2.4919354838709671</v>
          </cell>
          <cell r="T135">
            <v>13.36405529953916</v>
          </cell>
          <cell r="U135">
            <v>6.6249374061091624</v>
          </cell>
          <cell r="V135">
            <v>21.000000000000004</v>
          </cell>
          <cell r="W135">
            <v>18.583333333333339</v>
          </cell>
          <cell r="X135">
            <v>14.678571428571432</v>
          </cell>
          <cell r="Y135">
            <v>16.679999999999986</v>
          </cell>
          <cell r="Z135">
            <v>17.57</v>
          </cell>
          <cell r="AA135">
            <v>23.32</v>
          </cell>
          <cell r="AB135">
            <v>29.307692307692303</v>
          </cell>
          <cell r="AC135">
            <v>48.142857142857153</v>
          </cell>
          <cell r="AD135">
            <v>108.00000000000009</v>
          </cell>
          <cell r="AE135">
            <v>38.2156862745098</v>
          </cell>
          <cell r="AF135">
            <v>124.14285714285714</v>
          </cell>
          <cell r="AG135">
            <v>76.400000000000006</v>
          </cell>
          <cell r="AH135">
            <v>-80.5</v>
          </cell>
          <cell r="AI135">
            <v>-75.714285714285822</v>
          </cell>
          <cell r="AJ135">
            <v>1403.4999999999991</v>
          </cell>
          <cell r="AK135">
            <v>34.449999999999996</v>
          </cell>
          <cell r="AL135">
            <v>-40.999999999999993</v>
          </cell>
          <cell r="AM135">
            <v>14.846153846153848</v>
          </cell>
          <cell r="AN135">
            <v>45.380952380952365</v>
          </cell>
          <cell r="AO135">
            <v>49.199999999999996</v>
          </cell>
          <cell r="AP135">
            <v>-208.26000000000005</v>
          </cell>
          <cell r="AQ135" t="str">
            <v/>
          </cell>
          <cell r="AR135" t="str">
            <v/>
          </cell>
          <cell r="AS135">
            <v>28.167348075363606</v>
          </cell>
          <cell r="AT135">
            <v>47.370349056143638</v>
          </cell>
          <cell r="AU135">
            <v>2.88574262782938E-2</v>
          </cell>
          <cell r="AV135">
            <v>2.1931871208586095E-2</v>
          </cell>
          <cell r="AW135">
            <v>1.4121510673234808E-2</v>
          </cell>
          <cell r="AX135">
            <v>8.1108126612945818E-3</v>
          </cell>
          <cell r="AY135">
            <v>8.26354874387739E-2</v>
          </cell>
          <cell r="AZ135" t="str">
            <v/>
          </cell>
          <cell r="BA135" t="str">
            <v/>
          </cell>
          <cell r="BB135" t="str">
            <v/>
          </cell>
          <cell r="BD135">
            <v>5.5090510743036662E-2</v>
          </cell>
        </row>
        <row r="136">
          <cell r="A136" t="str">
            <v>Net Debt/EBITDA</v>
          </cell>
          <cell r="K136">
            <v>5.6398104265402846</v>
          </cell>
          <cell r="P136">
            <v>4.2564102564102564</v>
          </cell>
          <cell r="Q136">
            <v>-1.4816414686825061</v>
          </cell>
          <cell r="R136">
            <v>-2.2339901477832518</v>
          </cell>
          <cell r="S136">
            <v>1.6763925729442972</v>
          </cell>
          <cell r="T136">
            <v>3.3817663817663823</v>
          </cell>
          <cell r="U136">
            <v>0.74326862867877286</v>
          </cell>
          <cell r="V136">
            <v>1.8687050359712232</v>
          </cell>
          <cell r="W136">
            <v>2.263108614232209</v>
          </cell>
          <cell r="X136">
            <v>2.6966731898238745</v>
          </cell>
          <cell r="Y136">
            <v>1.9903846153846163</v>
          </cell>
          <cell r="Z136">
            <v>0.48797736916548806</v>
          </cell>
          <cell r="AA136">
            <v>0.93154761904761907</v>
          </cell>
          <cell r="AB136">
            <v>1.2993630573248409</v>
          </cell>
          <cell r="AC136">
            <v>2.0377358490566038</v>
          </cell>
          <cell r="AD136">
            <v>0.6147651006711411</v>
          </cell>
          <cell r="AE136">
            <v>0.19809688581314885</v>
          </cell>
          <cell r="AF136">
            <v>-0.1474558670820352</v>
          </cell>
          <cell r="AG136">
            <v>0.75418994413407792</v>
          </cell>
          <cell r="AH136">
            <v>-0.36063408190224583</v>
          </cell>
          <cell r="AI136">
            <v>-0.19224806201550423</v>
          </cell>
          <cell r="AJ136">
            <v>-3.803680981595102E-2</v>
          </cell>
          <cell r="AK136">
            <v>-0.48060075093867344</v>
          </cell>
          <cell r="AL136">
            <v>1.5258302583025833</v>
          </cell>
          <cell r="AM136">
            <v>0.55140186915887857</v>
          </cell>
          <cell r="AN136">
            <v>0.75330396475770944</v>
          </cell>
          <cell r="AO136">
            <v>0.41538461538461546</v>
          </cell>
          <cell r="AP136">
            <v>-0.88988422209076279</v>
          </cell>
          <cell r="AQ136" t="e">
            <v>#DIV/0!</v>
          </cell>
          <cell r="AR136" t="e">
            <v>#DIV/0!</v>
          </cell>
          <cell r="AS136">
            <v>1.1973288410710026</v>
          </cell>
          <cell r="AT136">
            <v>0.78813321487090993</v>
          </cell>
        </row>
        <row r="137">
          <cell r="A137" t="str">
            <v>Check</v>
          </cell>
        </row>
        <row r="138">
          <cell r="A138" t="str">
            <v>Effective tax rate</v>
          </cell>
          <cell r="C138" t="str">
            <v/>
          </cell>
          <cell r="D138" t="str">
            <v/>
          </cell>
          <cell r="E138" t="str">
            <v/>
          </cell>
          <cell r="F138">
            <v>0.35433070866141742</v>
          </cell>
          <cell r="G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>
            <v>-1.0238907849829351E-2</v>
          </cell>
          <cell r="L138">
            <v>0.24999999999999992</v>
          </cell>
          <cell r="M138">
            <v>0.26056338028169013</v>
          </cell>
          <cell r="N138">
            <v>0.93548387096774199</v>
          </cell>
          <cell r="O138">
            <v>0.27118644067796632</v>
          </cell>
          <cell r="P138">
            <v>0.12786885245901644</v>
          </cell>
          <cell r="Q138">
            <v>0.30930930930930944</v>
          </cell>
          <cell r="R138">
            <v>0.30267062314540061</v>
          </cell>
          <cell r="S138">
            <v>0.16216216216216223</v>
          </cell>
          <cell r="T138">
            <v>0.13045098770033539</v>
          </cell>
          <cell r="U138">
            <v>0.24036321552568329</v>
          </cell>
          <cell r="V138">
            <v>0.28478260869565214</v>
          </cell>
          <cell r="W138">
            <v>0.22274881516587675</v>
          </cell>
          <cell r="X138">
            <v>0.26109660574412524</v>
          </cell>
          <cell r="Y138">
            <v>0.20153061224489813</v>
          </cell>
          <cell r="Z138">
            <v>0.24381412190706095</v>
          </cell>
          <cell r="AA138">
            <v>0.33512544802867383</v>
          </cell>
          <cell r="AB138">
            <v>0.32880434782608697</v>
          </cell>
          <cell r="AC138">
            <v>0.39999999999999997</v>
          </cell>
          <cell r="AD138">
            <v>0.27881619937694707</v>
          </cell>
          <cell r="AE138">
            <v>0.3261327713382508</v>
          </cell>
          <cell r="AF138">
            <v>0.35150812064965203</v>
          </cell>
          <cell r="AG138">
            <v>0.36870026525198935</v>
          </cell>
          <cell r="AH138">
            <v>0.37576687116564417</v>
          </cell>
          <cell r="AI138">
            <v>-0.20484171322160133</v>
          </cell>
          <cell r="AJ138">
            <v>0.25525846702317284</v>
          </cell>
          <cell r="AK138">
            <v>0.48281016442451424</v>
          </cell>
          <cell r="AL138">
            <v>0.67380952380952397</v>
          </cell>
          <cell r="AM138">
            <v>1.4444444444444442</v>
          </cell>
          <cell r="AN138">
            <v>2.4141630901287556E-2</v>
          </cell>
          <cell r="AO138">
            <v>0.29077561442706673</v>
          </cell>
          <cell r="AP138">
            <v>0.34406957851476622</v>
          </cell>
          <cell r="AQ138" t="str">
            <v/>
          </cell>
          <cell r="AR138" t="str">
            <v/>
          </cell>
          <cell r="AS138">
            <v>0.35147070390914698</v>
          </cell>
          <cell r="AT138">
            <v>0.34875792118270471</v>
          </cell>
          <cell r="AU138">
            <v>0.28165199729180768</v>
          </cell>
          <cell r="AV138">
            <v>4.0955631399317412E-2</v>
          </cell>
          <cell r="AW138">
            <v>-0.32533333333333325</v>
          </cell>
          <cell r="AX138">
            <v>-5.5197792088316676E-2</v>
          </cell>
          <cell r="AY138">
            <v>-0.79576816927322891</v>
          </cell>
          <cell r="AZ138">
            <v>0</v>
          </cell>
          <cell r="BA138">
            <v>0</v>
          </cell>
          <cell r="BB138">
            <v>0</v>
          </cell>
          <cell r="BD138">
            <v>-0.19162436581526571</v>
          </cell>
        </row>
        <row r="139">
          <cell r="A139" t="str">
            <v>ROA</v>
          </cell>
          <cell r="C139" t="str">
            <v/>
          </cell>
          <cell r="D139" t="str">
            <v/>
          </cell>
          <cell r="E139" t="str">
            <v/>
          </cell>
          <cell r="F139" t="str">
            <v/>
          </cell>
          <cell r="G139" t="str">
            <v/>
          </cell>
          <cell r="H139" t="str">
            <v/>
          </cell>
          <cell r="I139" t="str">
            <v/>
          </cell>
          <cell r="J139">
            <v>0</v>
          </cell>
          <cell r="K139">
            <v>4.7101850825667736E-2</v>
          </cell>
          <cell r="L139" t="str">
            <v/>
          </cell>
          <cell r="M139" t="str">
            <v/>
          </cell>
          <cell r="N139" t="str">
            <v/>
          </cell>
          <cell r="O139">
            <v>2.2988505747126436E-2</v>
          </cell>
          <cell r="P139">
            <v>5.0903119868637096E-2</v>
          </cell>
          <cell r="Q139">
            <v>3.7818637693272032E-2</v>
          </cell>
          <cell r="R139">
            <v>3.6968954248366007E-2</v>
          </cell>
          <cell r="S139">
            <v>3.8784988075812717E-2</v>
          </cell>
          <cell r="T139">
            <v>3.5041082648622525E-2</v>
          </cell>
          <cell r="U139">
            <v>0.15985983566940551</v>
          </cell>
          <cell r="V139">
            <v>5.5345479546235823E-2</v>
          </cell>
          <cell r="W139">
            <v>5.1394330490896534E-2</v>
          </cell>
          <cell r="X139">
            <v>4.7630084598447107E-2</v>
          </cell>
          <cell r="Y139">
            <v>4.2936573311367361E-2</v>
          </cell>
          <cell r="Z139">
            <v>0.18091021416803951</v>
          </cell>
          <cell r="AA139">
            <v>5.9386778038097172E-2</v>
          </cell>
          <cell r="AB139">
            <v>3.7019043917605902E-2</v>
          </cell>
          <cell r="AC139">
            <v>3.2557240846295049E-2</v>
          </cell>
          <cell r="AD139">
            <v>5.9509596840848569E-2</v>
          </cell>
          <cell r="AE139">
            <v>0.17898796951051515</v>
          </cell>
          <cell r="AF139">
            <v>7.3488372093023252E-2</v>
          </cell>
          <cell r="AG139">
            <v>6.3640149937526036E-2</v>
          </cell>
          <cell r="AH139">
            <v>5.3104642533190402E-2</v>
          </cell>
          <cell r="AI139">
            <v>3.6668050366680541E-2</v>
          </cell>
          <cell r="AJ139">
            <v>0.19420229694202298</v>
          </cell>
          <cell r="AK139">
            <v>7.1069368436621788E-2</v>
          </cell>
          <cell r="AL139">
            <v>6.3166941201747484E-2</v>
          </cell>
          <cell r="AM139">
            <v>4.5454545454545449E-2</v>
          </cell>
          <cell r="AN139">
            <v>3.3128142474507759E-2</v>
          </cell>
          <cell r="AO139">
            <v>0.15027489309712885</v>
          </cell>
          <cell r="AP139">
            <v>4.7659843087744617E-2</v>
          </cell>
          <cell r="AQ139">
            <v>3.3986987579052733E-2</v>
          </cell>
          <cell r="AR139">
            <v>2.6624611531147081E-2</v>
          </cell>
          <cell r="AS139">
            <v>1.8670581219321986E-2</v>
          </cell>
          <cell r="AT139">
            <v>0.12775815404376345</v>
          </cell>
          <cell r="AU139">
            <v>2.8857426278293796E-2</v>
          </cell>
          <cell r="AV139">
            <v>2.1931871208586095E-2</v>
          </cell>
          <cell r="AW139">
            <v>1.412151067323481E-2</v>
          </cell>
          <cell r="AX139">
            <v>8.1108126612945818E-3</v>
          </cell>
          <cell r="AY139">
            <v>8.26354874387739E-2</v>
          </cell>
          <cell r="AZ139">
            <v>0</v>
          </cell>
          <cell r="BA139">
            <v>0</v>
          </cell>
          <cell r="BB139">
            <v>0</v>
          </cell>
          <cell r="BD139">
            <v>5.5090510743036669E-2</v>
          </cell>
        </row>
        <row r="140">
          <cell r="A140" t="str">
            <v>Identifiable Assets</v>
          </cell>
          <cell r="K140">
            <v>0.10423336890786199</v>
          </cell>
          <cell r="L140" t="str">
            <v/>
          </cell>
          <cell r="M140" t="str">
            <v/>
          </cell>
          <cell r="N140" t="str">
            <v/>
          </cell>
          <cell r="O140">
            <v>3.4827213822894131E-2</v>
          </cell>
          <cell r="P140">
            <v>7.1814254859611196E-2</v>
          </cell>
          <cell r="Q140">
            <v>4.9303322615219698E-2</v>
          </cell>
          <cell r="R140">
            <v>5.0331976868708495E-2</v>
          </cell>
          <cell r="S140">
            <v>4.0480543222773557E-2</v>
          </cell>
          <cell r="T140">
            <v>5.3669197147458034E-2</v>
          </cell>
          <cell r="U140">
            <v>0.19629629629629627</v>
          </cell>
          <cell r="V140">
            <v>7.0284127323221549E-2</v>
          </cell>
          <cell r="W140">
            <v>7.0393819079300368E-2</v>
          </cell>
          <cell r="X140">
            <v>6.1017680034497652E-2</v>
          </cell>
          <cell r="Y140">
            <v>6.2017039825638914E-2</v>
          </cell>
          <cell r="Z140">
            <v>0.24826629680998613</v>
          </cell>
          <cell r="AA140">
            <v>3.7791586024243651E-2</v>
          </cell>
          <cell r="AB140">
            <v>2.3999222697240571E-2</v>
          </cell>
          <cell r="AC140">
            <v>1.9128586609989374E-2</v>
          </cell>
          <cell r="AD140">
            <v>0.10981271010084839</v>
          </cell>
          <cell r="AE140">
            <v>0.24043540899631818</v>
          </cell>
          <cell r="AJ140">
            <v>0.28278840222085139</v>
          </cell>
        </row>
        <row r="141">
          <cell r="A141" t="str">
            <v>USA Fibre Cement</v>
          </cell>
          <cell r="AA141">
            <v>576.4</v>
          </cell>
          <cell r="AB141">
            <v>597</v>
          </cell>
          <cell r="AC141">
            <v>616.5</v>
          </cell>
          <cell r="AD141">
            <v>670.1</v>
          </cell>
          <cell r="AE141">
            <v>670.1</v>
          </cell>
          <cell r="AF141">
            <v>716.8</v>
          </cell>
          <cell r="AG141">
            <v>721.9</v>
          </cell>
          <cell r="AH141">
            <v>761.7</v>
          </cell>
          <cell r="AI141">
            <v>826</v>
          </cell>
          <cell r="AJ141">
            <v>826</v>
          </cell>
          <cell r="AK141">
            <v>868.9</v>
          </cell>
          <cell r="AL141">
            <v>881.3</v>
          </cell>
          <cell r="AM141">
            <v>876.3</v>
          </cell>
          <cell r="AN141">
            <v>893</v>
          </cell>
          <cell r="AO141">
            <v>893</v>
          </cell>
          <cell r="AP141">
            <v>884.5</v>
          </cell>
        </row>
        <row r="142">
          <cell r="A142" t="str">
            <v>Asia Pacific Fibre Cement</v>
          </cell>
          <cell r="C142" t="str">
            <v/>
          </cell>
          <cell r="D142" t="str">
            <v/>
          </cell>
          <cell r="E142" t="str">
            <v/>
          </cell>
          <cell r="F142" t="str">
            <v/>
          </cell>
          <cell r="G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>
            <v>32.188019966722131</v>
          </cell>
          <cell r="L142" t="str">
            <v/>
          </cell>
          <cell r="M142" t="str">
            <v/>
          </cell>
          <cell r="N142" t="str">
            <v/>
          </cell>
          <cell r="O142">
            <v>185.50316455696202</v>
          </cell>
          <cell r="P142">
            <v>48.293788103476679</v>
          </cell>
          <cell r="Q142">
            <v>160.07492507492506</v>
          </cell>
          <cell r="R142">
            <v>152.25915221579962</v>
          </cell>
          <cell r="S142">
            <v>143.67021276595744</v>
          </cell>
          <cell r="T142">
            <v>168.06549118387903</v>
          </cell>
          <cell r="U142">
            <v>41.509269627970639</v>
          </cell>
          <cell r="V142">
            <v>145.24430641821945</v>
          </cell>
          <cell r="W142">
            <v>136.14964228934818</v>
          </cell>
          <cell r="X142">
            <v>140.77473684210523</v>
          </cell>
          <cell r="Y142">
            <v>171.96975726223636</v>
          </cell>
          <cell r="Z142">
            <v>44.012628577248194</v>
          </cell>
          <cell r="AA142">
            <v>166.8</v>
          </cell>
          <cell r="AB142">
            <v>181</v>
          </cell>
          <cell r="AC142">
            <v>190.9</v>
          </cell>
          <cell r="AD142">
            <v>181.4</v>
          </cell>
          <cell r="AE142">
            <v>181.4</v>
          </cell>
          <cell r="AF142">
            <v>183.8</v>
          </cell>
          <cell r="AG142">
            <v>189.1</v>
          </cell>
          <cell r="AH142">
            <v>177.9</v>
          </cell>
          <cell r="AI142">
            <v>170.4</v>
          </cell>
          <cell r="AJ142">
            <v>170.4</v>
          </cell>
          <cell r="AK142">
            <v>173</v>
          </cell>
          <cell r="AL142">
            <v>188.2</v>
          </cell>
          <cell r="AM142">
            <v>195.7</v>
          </cell>
          <cell r="AN142">
            <v>199.3</v>
          </cell>
          <cell r="AO142">
            <v>199.3</v>
          </cell>
          <cell r="AP142">
            <v>206.8</v>
          </cell>
          <cell r="AQ142">
            <v>160.09100230710072</v>
          </cell>
          <cell r="AR142">
            <v>140.91095489162277</v>
          </cell>
          <cell r="AS142">
            <v>153.27900287631834</v>
          </cell>
          <cell r="AT142">
            <v>32.653186274509807</v>
          </cell>
          <cell r="AU142">
            <v>168.2</v>
          </cell>
          <cell r="AV142">
            <v>133.23193916349811</v>
          </cell>
          <cell r="AW142">
            <v>127.69972451790635</v>
          </cell>
          <cell r="AX142">
            <v>168.29884105960272</v>
          </cell>
          <cell r="AY142">
            <v>33.810909695659412</v>
          </cell>
          <cell r="AZ142" t="str">
            <v/>
          </cell>
          <cell r="BA142" t="str">
            <v/>
          </cell>
          <cell r="BB142" t="str">
            <v/>
          </cell>
          <cell r="BD142">
            <v>41.999999999999993</v>
          </cell>
        </row>
        <row r="143">
          <cell r="A143" t="str">
            <v xml:space="preserve">Other </v>
          </cell>
          <cell r="C143" t="str">
            <v/>
          </cell>
          <cell r="D143" t="str">
            <v/>
          </cell>
          <cell r="E143" t="str">
            <v/>
          </cell>
          <cell r="F143" t="str">
            <v/>
          </cell>
          <cell r="G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>
            <v>46.898687372897022</v>
          </cell>
          <cell r="L143" t="str">
            <v/>
          </cell>
          <cell r="M143" t="str">
            <v/>
          </cell>
          <cell r="N143" t="str">
            <v/>
          </cell>
          <cell r="O143">
            <v>151.08227848101268</v>
          </cell>
          <cell r="P143">
            <v>39.332674246169049</v>
          </cell>
          <cell r="Q143">
            <v>92.617382617382603</v>
          </cell>
          <cell r="R143">
            <v>88.964354527938355</v>
          </cell>
          <cell r="S143">
            <v>111.31205673758865</v>
          </cell>
          <cell r="T143">
            <v>138.27707808564224</v>
          </cell>
          <cell r="U143">
            <v>34.152046783625728</v>
          </cell>
          <cell r="V143">
            <v>110.93581780538302</v>
          </cell>
          <cell r="W143">
            <v>118.81359300476949</v>
          </cell>
          <cell r="X143">
            <v>138.93052631578948</v>
          </cell>
          <cell r="Y143">
            <v>149.89255869478711</v>
          </cell>
          <cell r="Z143">
            <v>38.362358692331192</v>
          </cell>
          <cell r="AA143">
            <v>75.5</v>
          </cell>
          <cell r="AB143">
            <v>78.400000000000006</v>
          </cell>
          <cell r="AC143">
            <v>82.6</v>
          </cell>
          <cell r="AD143">
            <v>81.599999999999994</v>
          </cell>
          <cell r="AE143">
            <v>81.599999999999994</v>
          </cell>
          <cell r="AF143">
            <v>83.2</v>
          </cell>
          <cell r="AG143">
            <v>66.3</v>
          </cell>
          <cell r="AH143">
            <v>65.8</v>
          </cell>
          <cell r="AI143">
            <v>54.8</v>
          </cell>
          <cell r="AJ143">
            <v>54.8</v>
          </cell>
          <cell r="AK143">
            <v>56.7</v>
          </cell>
          <cell r="AL143">
            <v>56.5</v>
          </cell>
          <cell r="AM143">
            <v>54</v>
          </cell>
          <cell r="AN143">
            <v>52.5</v>
          </cell>
          <cell r="AO143">
            <v>52.5</v>
          </cell>
          <cell r="AP143">
            <v>53.7</v>
          </cell>
          <cell r="AQ143">
            <v>127.43655472955649</v>
          </cell>
          <cell r="AR143">
            <v>166.99765670767428</v>
          </cell>
          <cell r="AS143">
            <v>209.62128475551296</v>
          </cell>
          <cell r="AT143">
            <v>44.655841503267965</v>
          </cell>
          <cell r="AU143">
            <v>133.6</v>
          </cell>
          <cell r="AV143">
            <v>169.742614799649</v>
          </cell>
          <cell r="AW143">
            <v>208.57142857142858</v>
          </cell>
          <cell r="AX143">
            <v>194.73716887417228</v>
          </cell>
          <cell r="AY143">
            <v>39.122318310327628</v>
          </cell>
          <cell r="AZ143" t="str">
            <v/>
          </cell>
          <cell r="BA143" t="str">
            <v/>
          </cell>
          <cell r="BB143" t="str">
            <v/>
          </cell>
          <cell r="BD143">
            <v>41</v>
          </cell>
        </row>
        <row r="144">
          <cell r="A144" t="str">
            <v>General Corporate</v>
          </cell>
          <cell r="C144" t="str">
            <v/>
          </cell>
          <cell r="D144" t="str">
            <v/>
          </cell>
          <cell r="E144" t="str">
            <v/>
          </cell>
          <cell r="F144" t="str">
            <v/>
          </cell>
          <cell r="G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>
            <v>42.849879829913107</v>
          </cell>
          <cell r="L144" t="str">
            <v/>
          </cell>
          <cell r="M144" t="str">
            <v/>
          </cell>
          <cell r="N144" t="str">
            <v/>
          </cell>
          <cell r="O144">
            <v>137.91455696202533</v>
          </cell>
          <cell r="P144">
            <v>35.904597132970835</v>
          </cell>
          <cell r="Q144">
            <v>110.84915084915083</v>
          </cell>
          <cell r="R144">
            <v>130.63342967244699</v>
          </cell>
          <cell r="S144">
            <v>120.18743667679837</v>
          </cell>
          <cell r="T144">
            <v>138.27707808564224</v>
          </cell>
          <cell r="U144">
            <v>34.152046783625728</v>
          </cell>
          <cell r="V144">
            <v>108.97101449275361</v>
          </cell>
          <cell r="W144">
            <v>99.881756756756744</v>
          </cell>
          <cell r="X144">
            <v>100.81684210526313</v>
          </cell>
          <cell r="Y144">
            <v>114.01711102268206</v>
          </cell>
          <cell r="Z144">
            <v>29.18067012934107</v>
          </cell>
          <cell r="AA144">
            <v>163</v>
          </cell>
          <cell r="AB144">
            <v>172.8</v>
          </cell>
          <cell r="AC144">
            <v>145.1</v>
          </cell>
          <cell r="AD144">
            <v>155.80000000000001</v>
          </cell>
          <cell r="AE144">
            <v>155.80000000000001</v>
          </cell>
          <cell r="AF144">
            <v>198.7</v>
          </cell>
          <cell r="AG144">
            <v>223.2</v>
          </cell>
          <cell r="AH144">
            <v>207.3</v>
          </cell>
          <cell r="AI144">
            <v>394.2</v>
          </cell>
          <cell r="AJ144">
            <v>394.2</v>
          </cell>
          <cell r="AK144">
            <v>253.6</v>
          </cell>
          <cell r="AL144">
            <v>270.3</v>
          </cell>
          <cell r="AM144">
            <v>284.2</v>
          </cell>
          <cell r="AN144">
            <v>983.3</v>
          </cell>
          <cell r="AO144">
            <v>983.3</v>
          </cell>
          <cell r="AP144">
            <v>1072.8</v>
          </cell>
          <cell r="AQ144">
            <v>141.19072032812099</v>
          </cell>
          <cell r="AR144">
            <v>122.09431751611014</v>
          </cell>
          <cell r="AS144">
            <v>125.51613934164271</v>
          </cell>
          <cell r="AT144">
            <v>26.738834422657952</v>
          </cell>
          <cell r="AU144">
            <v>125.8</v>
          </cell>
          <cell r="AV144">
            <v>115.51038315296871</v>
          </cell>
          <cell r="AW144">
            <v>152.11924439197168</v>
          </cell>
          <cell r="AX144">
            <v>134.60885761589407</v>
          </cell>
          <cell r="AY144">
            <v>27.042657575253617</v>
          </cell>
          <cell r="AZ144" t="str">
            <v/>
          </cell>
          <cell r="BA144" t="str">
            <v/>
          </cell>
          <cell r="BB144" t="str">
            <v/>
          </cell>
          <cell r="BD144">
            <v>24.999999999999996</v>
          </cell>
        </row>
        <row r="145">
          <cell r="A145" t="str">
            <v>Total Assets</v>
          </cell>
          <cell r="C145" t="str">
            <v/>
          </cell>
          <cell r="D145" t="str">
            <v/>
          </cell>
          <cell r="E145" t="str">
            <v/>
          </cell>
          <cell r="F145" t="str">
            <v/>
          </cell>
          <cell r="G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>
            <v>36.236827509706046</v>
          </cell>
          <cell r="L145" t="str">
            <v/>
          </cell>
          <cell r="M145" t="str">
            <v/>
          </cell>
          <cell r="N145" t="str">
            <v/>
          </cell>
          <cell r="O145">
            <v>198.67088607594937</v>
          </cell>
          <cell r="P145">
            <v>51.721865216674885</v>
          </cell>
          <cell r="Q145">
            <v>141.84315684315686</v>
          </cell>
          <cell r="R145">
            <v>110.59007707129098</v>
          </cell>
          <cell r="S145">
            <v>134.79483282674772</v>
          </cell>
          <cell r="T145">
            <v>168.06549118387903</v>
          </cell>
          <cell r="U145">
            <v>41.509269627970646</v>
          </cell>
          <cell r="V145">
            <v>147.20910973084887</v>
          </cell>
          <cell r="W145">
            <v>155.08147853736094</v>
          </cell>
          <cell r="X145">
            <v>178.88842105263157</v>
          </cell>
          <cell r="Y145">
            <v>207.84520493434144</v>
          </cell>
          <cell r="Z145">
            <v>53.194317140238311</v>
          </cell>
          <cell r="AA145">
            <v>981.7</v>
          </cell>
          <cell r="AB145">
            <v>1029.2</v>
          </cell>
          <cell r="AC145">
            <v>1035.0999999999999</v>
          </cell>
          <cell r="AD145">
            <v>1088.9000000000001</v>
          </cell>
          <cell r="AE145">
            <v>1088.9000000000001</v>
          </cell>
          <cell r="AF145">
            <v>1182.5</v>
          </cell>
          <cell r="AG145">
            <v>1200.5</v>
          </cell>
          <cell r="AH145">
            <v>1212.7</v>
          </cell>
          <cell r="AI145">
            <v>1445.4</v>
          </cell>
          <cell r="AJ145">
            <v>1445.4</v>
          </cell>
          <cell r="AK145">
            <v>1352.2</v>
          </cell>
          <cell r="AL145">
            <v>1396.3</v>
          </cell>
          <cell r="AM145">
            <v>1410.2</v>
          </cell>
          <cell r="AN145">
            <v>2128.1</v>
          </cell>
          <cell r="AO145">
            <v>2128.1</v>
          </cell>
          <cell r="AP145">
            <v>2217.8000000000002</v>
          </cell>
          <cell r="AQ145">
            <v>146.3368367085362</v>
          </cell>
          <cell r="AR145">
            <v>185.81429408318689</v>
          </cell>
          <cell r="AS145">
            <v>237.38414829018859</v>
          </cell>
          <cell r="AT145">
            <v>50.57019335511982</v>
          </cell>
          <cell r="AU145">
            <v>175.99999999999994</v>
          </cell>
          <cell r="AV145">
            <v>187.46417081017842</v>
          </cell>
          <cell r="AW145">
            <v>184.15190869736324</v>
          </cell>
          <cell r="AX145">
            <v>228.42715231788094</v>
          </cell>
          <cell r="AY145">
            <v>45.890570430733433</v>
          </cell>
          <cell r="AZ145" t="str">
            <v/>
          </cell>
          <cell r="BA145" t="str">
            <v/>
          </cell>
          <cell r="BB145" t="str">
            <v/>
          </cell>
          <cell r="BD145">
            <v>58</v>
          </cell>
        </row>
        <row r="146">
          <cell r="A146" t="str">
            <v>Net Working Capital/Sales</v>
          </cell>
          <cell r="C146" t="str">
            <v/>
          </cell>
          <cell r="D146" t="str">
            <v/>
          </cell>
          <cell r="E146" t="str">
            <v/>
          </cell>
          <cell r="F146">
            <v>0</v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>
            <v>9.9278979478646709E-2</v>
          </cell>
          <cell r="L146">
            <v>0</v>
          </cell>
          <cell r="M146">
            <v>0</v>
          </cell>
          <cell r="N146">
            <v>0</v>
          </cell>
          <cell r="O146">
            <v>0.54430379746835433</v>
          </cell>
          <cell r="P146">
            <v>0.14170374031965724</v>
          </cell>
          <cell r="Q146">
            <v>0.38861138861138855</v>
          </cell>
          <cell r="R146">
            <v>0.30298651252408476</v>
          </cell>
          <cell r="S146">
            <v>0.36930091185410335</v>
          </cell>
          <cell r="T146">
            <v>0.46045340050377825</v>
          </cell>
          <cell r="U146">
            <v>0.11372402637800176</v>
          </cell>
          <cell r="V146">
            <v>0.40331262939958595</v>
          </cell>
          <cell r="W146">
            <v>0.42488076311605727</v>
          </cell>
          <cell r="X146">
            <v>0.49010526315789471</v>
          </cell>
          <cell r="Y146">
            <v>0.56943891762833276</v>
          </cell>
          <cell r="Z146">
            <v>0.14573785517873511</v>
          </cell>
          <cell r="AA146">
            <v>0.39856256125449196</v>
          </cell>
          <cell r="AB146">
            <v>0.33632436025257562</v>
          </cell>
          <cell r="AC146">
            <v>0.39895470383275256</v>
          </cell>
          <cell r="AD146">
            <v>0.42067003792667512</v>
          </cell>
          <cell r="AE146">
            <v>0.10996364838070062</v>
          </cell>
          <cell r="AF146">
            <v>0.38619922092376185</v>
          </cell>
          <cell r="AG146">
            <v>0.3220924057355285</v>
          </cell>
          <cell r="AH146">
            <v>0.36283429831816927</v>
          </cell>
          <cell r="AI146">
            <v>0.40892765520779861</v>
          </cell>
          <cell r="AJ146">
            <v>0.10708767215317432</v>
          </cell>
          <cell r="AK146">
            <v>0.43417569193742478</v>
          </cell>
          <cell r="AL146">
            <v>0.44555177442877963</v>
          </cell>
          <cell r="AM146">
            <v>0.50661785412559857</v>
          </cell>
          <cell r="AN146">
            <v>0.58243280687170973</v>
          </cell>
          <cell r="AO146">
            <v>0.13623695638084127</v>
          </cell>
          <cell r="AP146">
            <v>0.4147031102733269</v>
          </cell>
          <cell r="AQ146">
            <v>0.40092284029735947</v>
          </cell>
          <cell r="AR146">
            <v>0.50908025776215593</v>
          </cell>
          <cell r="AS146">
            <v>0.6503675295621606</v>
          </cell>
          <cell r="AT146">
            <v>0.13854847494553379</v>
          </cell>
          <cell r="AU146">
            <v>0.48219178082191766</v>
          </cell>
          <cell r="AV146">
            <v>0.51360046797309167</v>
          </cell>
          <cell r="AW146">
            <v>0.50452577725304992</v>
          </cell>
          <cell r="AX146">
            <v>0.62582781456953673</v>
          </cell>
          <cell r="AY146">
            <v>0.12572759022118746</v>
          </cell>
          <cell r="AZ146" t="str">
            <v/>
          </cell>
          <cell r="BA146" t="str">
            <v/>
          </cell>
          <cell r="BB146" t="str">
            <v/>
          </cell>
          <cell r="BD146">
            <v>0.15890410958904108</v>
          </cell>
        </row>
        <row r="147">
          <cell r="A147" t="str">
            <v>Depeciation and Amortisation</v>
          </cell>
        </row>
        <row r="148">
          <cell r="A148" t="str">
            <v>USA Fibre Cement</v>
          </cell>
          <cell r="K148">
            <v>0.5594734367653974</v>
          </cell>
          <cell r="L148" t="str">
            <v/>
          </cell>
          <cell r="M148" t="str">
            <v/>
          </cell>
          <cell r="N148" t="str">
            <v/>
          </cell>
          <cell r="O148">
            <v>0.44650328750747159</v>
          </cell>
          <cell r="P148">
            <v>0.44650328750747159</v>
          </cell>
          <cell r="Q148">
            <v>-0.17240512691631069</v>
          </cell>
          <cell r="R148">
            <v>-0.24109516214779381</v>
          </cell>
          <cell r="S148">
            <v>0.14167227079130237</v>
          </cell>
          <cell r="T148">
            <v>0.21449222985182512</v>
          </cell>
          <cell r="U148">
            <v>0.21449222985182512</v>
          </cell>
          <cell r="V148">
            <v>4.9000000000000004</v>
          </cell>
          <cell r="W148">
            <v>6.3</v>
          </cell>
          <cell r="X148">
            <v>7.1</v>
          </cell>
          <cell r="Y148">
            <v>0.17017428477474519</v>
          </cell>
          <cell r="Z148">
            <v>0.17017428477474519</v>
          </cell>
          <cell r="AA148">
            <v>5.8</v>
          </cell>
          <cell r="AB148">
            <v>5.8</v>
          </cell>
          <cell r="AC148">
            <v>5.4</v>
          </cell>
          <cell r="AD148">
            <v>6.1000000000000014</v>
          </cell>
          <cell r="AE148">
            <v>23.1</v>
          </cell>
          <cell r="AF148">
            <v>6.1</v>
          </cell>
          <cell r="AG148">
            <v>10.199999999999999</v>
          </cell>
          <cell r="AH148">
            <v>8</v>
          </cell>
          <cell r="AI148">
            <v>8.1000000000000014</v>
          </cell>
          <cell r="AJ148">
            <v>32.4</v>
          </cell>
          <cell r="AK148">
            <v>7.9</v>
          </cell>
          <cell r="AL148">
            <v>10</v>
          </cell>
          <cell r="AM148">
            <v>9.6999999999999993</v>
          </cell>
          <cell r="AN148">
            <v>10.199999999999999</v>
          </cell>
          <cell r="AO148">
            <v>37.799999999999997</v>
          </cell>
          <cell r="AP148">
            <v>10.8</v>
          </cell>
        </row>
        <row r="149">
          <cell r="A149" t="str">
            <v>Asia Pacific Fibre Cement</v>
          </cell>
          <cell r="C149" t="str">
            <v/>
          </cell>
          <cell r="D149" t="str">
            <v/>
          </cell>
          <cell r="E149" t="str">
            <v/>
          </cell>
          <cell r="F149" t="str">
            <v/>
          </cell>
          <cell r="G149" t="str">
            <v/>
          </cell>
          <cell r="H149" t="str">
            <v/>
          </cell>
          <cell r="I149" t="str">
            <v/>
          </cell>
          <cell r="J149">
            <v>1.2700106723585913</v>
          </cell>
          <cell r="K149">
            <v>1.2700106723585913</v>
          </cell>
          <cell r="L149" t="str">
            <v/>
          </cell>
          <cell r="M149" t="str">
            <v/>
          </cell>
          <cell r="N149" t="str">
            <v/>
          </cell>
          <cell r="O149">
            <v>0.80669546436285089</v>
          </cell>
          <cell r="P149">
            <v>0.80669546436285089</v>
          </cell>
          <cell r="Q149">
            <v>-0.14705251875669886</v>
          </cell>
          <cell r="R149">
            <v>-0.19426001285071753</v>
          </cell>
          <cell r="S149">
            <v>0.16505615043092189</v>
          </cell>
          <cell r="T149">
            <v>0.27306188175753399</v>
          </cell>
          <cell r="U149">
            <v>0.27306188175753399</v>
          </cell>
          <cell r="V149">
            <v>2.2999999999999998</v>
          </cell>
          <cell r="W149">
            <v>2.2999999999999998</v>
          </cell>
          <cell r="X149">
            <v>2.5</v>
          </cell>
          <cell r="Y149">
            <v>0.20507232019021207</v>
          </cell>
          <cell r="Z149">
            <v>0.20507232019021207</v>
          </cell>
          <cell r="AA149">
            <v>2.4</v>
          </cell>
          <cell r="AB149">
            <v>2.4</v>
          </cell>
          <cell r="AC149">
            <v>2.5</v>
          </cell>
          <cell r="AD149">
            <v>2.8</v>
          </cell>
          <cell r="AE149">
            <v>10.1</v>
          </cell>
          <cell r="AF149">
            <v>2.5</v>
          </cell>
          <cell r="AG149">
            <v>2.2000000000000002</v>
          </cell>
          <cell r="AH149">
            <v>2.6</v>
          </cell>
          <cell r="AI149">
            <v>2.6999999999999993</v>
          </cell>
          <cell r="AJ149">
            <v>10</v>
          </cell>
          <cell r="AK149">
            <v>2.5</v>
          </cell>
          <cell r="AL149">
            <v>2.6</v>
          </cell>
          <cell r="AM149">
            <v>2.4</v>
          </cell>
          <cell r="AN149">
            <v>2.5999999999999996</v>
          </cell>
          <cell r="AO149">
            <v>10.1</v>
          </cell>
          <cell r="AP149">
            <v>2.7</v>
          </cell>
          <cell r="AQ149">
            <v>0.79982206405693956</v>
          </cell>
          <cell r="AR149">
            <v>-4.422053231939163</v>
          </cell>
          <cell r="AS149">
            <v>-1.1307996051332674</v>
          </cell>
          <cell r="AT149">
            <v>-1.1307996051332674</v>
          </cell>
          <cell r="AU149">
            <v>-0.71293161814488826</v>
          </cell>
          <cell r="AV149">
            <v>-1.0370175899186108E-2</v>
          </cell>
          <cell r="AW149">
            <v>-6.2560000000000002</v>
          </cell>
          <cell r="AX149">
            <v>-2.590616375344986</v>
          </cell>
          <cell r="AY149">
            <v>-2.590616375344986</v>
          </cell>
          <cell r="AZ149">
            <v>-0.71293161814488826</v>
          </cell>
          <cell r="BA149">
            <v>-1.0370175899186108E-2</v>
          </cell>
          <cell r="BB149">
            <v>-6.2560000000000002</v>
          </cell>
          <cell r="BD149">
            <v>-0.90718179903189999</v>
          </cell>
        </row>
        <row r="150">
          <cell r="A150" t="str">
            <v xml:space="preserve">Other </v>
          </cell>
          <cell r="C150" t="str">
            <v/>
          </cell>
          <cell r="D150" t="str">
            <v/>
          </cell>
          <cell r="E150" t="str">
            <v/>
          </cell>
          <cell r="F150" t="str">
            <v/>
          </cell>
          <cell r="G150" t="str">
            <v/>
          </cell>
          <cell r="H150" t="str">
            <v/>
          </cell>
          <cell r="I150" t="str">
            <v/>
          </cell>
          <cell r="J150">
            <v>0.5594734367653974</v>
          </cell>
          <cell r="K150">
            <v>0.5594734367653974</v>
          </cell>
          <cell r="L150" t="str">
            <v/>
          </cell>
          <cell r="M150" t="str">
            <v/>
          </cell>
          <cell r="N150" t="str">
            <v/>
          </cell>
          <cell r="O150">
            <v>0.44650328750747159</v>
          </cell>
          <cell r="P150">
            <v>0.44650328750747159</v>
          </cell>
          <cell r="Q150">
            <v>-0.17240512691631069</v>
          </cell>
          <cell r="R150">
            <v>-0.24109516214779381</v>
          </cell>
          <cell r="S150">
            <v>0.14167227079130237</v>
          </cell>
          <cell r="T150">
            <v>0.21449222985182512</v>
          </cell>
          <cell r="U150">
            <v>0.21449222985182512</v>
          </cell>
          <cell r="V150">
            <v>0.1</v>
          </cell>
          <cell r="W150">
            <v>0.2</v>
          </cell>
          <cell r="X150">
            <v>0.4</v>
          </cell>
          <cell r="Y150">
            <v>0.17017428477474519</v>
          </cell>
          <cell r="Z150">
            <v>0.17017428477474519</v>
          </cell>
          <cell r="AA150">
            <v>0.7</v>
          </cell>
          <cell r="AB150">
            <v>0.8</v>
          </cell>
          <cell r="AC150">
            <v>0.8</v>
          </cell>
          <cell r="AD150">
            <v>0.80000000000000027</v>
          </cell>
          <cell r="AE150">
            <v>3.1</v>
          </cell>
          <cell r="AF150">
            <v>0.8</v>
          </cell>
          <cell r="AG150">
            <v>0.7</v>
          </cell>
          <cell r="AH150">
            <v>0.7</v>
          </cell>
          <cell r="AI150">
            <v>0.69999999999999973</v>
          </cell>
          <cell r="AJ150">
            <v>2.9</v>
          </cell>
          <cell r="AK150">
            <v>0.6</v>
          </cell>
          <cell r="AL150">
            <v>0.6</v>
          </cell>
          <cell r="AM150">
            <v>0.7</v>
          </cell>
          <cell r="AN150">
            <v>0.89999999999999991</v>
          </cell>
          <cell r="AO150">
            <v>2.8</v>
          </cell>
          <cell r="AP150">
            <v>0.7</v>
          </cell>
          <cell r="AQ150">
            <v>0.44438952051408798</v>
          </cell>
          <cell r="AR150">
            <v>1.2922222222222222</v>
          </cell>
          <cell r="AS150">
            <v>8.6452830188679339</v>
          </cell>
          <cell r="AT150">
            <v>8.6452830188679339</v>
          </cell>
          <cell r="AU150">
            <v>-2.4834905660377351</v>
          </cell>
          <cell r="AV150">
            <v>-1.0478843347924097E-2</v>
          </cell>
          <cell r="AW150">
            <v>1.1902587519025876</v>
          </cell>
          <cell r="AX150">
            <v>1.628687102371313</v>
          </cell>
          <cell r="AY150">
            <v>1.628687102371313</v>
          </cell>
          <cell r="AZ150">
            <v>-2.4834905660377351</v>
          </cell>
          <cell r="BA150">
            <v>-1.0478843347924097E-2</v>
          </cell>
          <cell r="BB150">
            <v>1.1902587519025876</v>
          </cell>
          <cell r="BD150">
            <v>-9.773749001488218</v>
          </cell>
        </row>
        <row r="151">
          <cell r="A151" t="str">
            <v>Total Assets</v>
          </cell>
          <cell r="C151" t="str">
            <v/>
          </cell>
          <cell r="D151" t="str">
            <v/>
          </cell>
          <cell r="E151" t="str">
            <v/>
          </cell>
          <cell r="F151">
            <v>2.8585365853658531</v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>
            <v>3.2196969696969697</v>
          </cell>
          <cell r="L151">
            <v>1.9056603773584908</v>
          </cell>
          <cell r="M151">
            <v>4.4634146341463419</v>
          </cell>
          <cell r="N151">
            <v>-0.87878787878787867</v>
          </cell>
          <cell r="O151">
            <v>6.363636363636366</v>
          </cell>
          <cell r="P151">
            <v>2.9062499999999996</v>
          </cell>
          <cell r="Q151">
            <v>12.482758620689651</v>
          </cell>
          <cell r="R151">
            <v>14.479999999999999</v>
          </cell>
          <cell r="S151">
            <v>2.4919354838709671</v>
          </cell>
          <cell r="T151">
            <v>13.36405529953916</v>
          </cell>
          <cell r="U151">
            <v>6.6249374061091624</v>
          </cell>
          <cell r="V151">
            <v>7.3</v>
          </cell>
          <cell r="W151">
            <v>8.7999999999999989</v>
          </cell>
          <cell r="X151">
            <v>10</v>
          </cell>
          <cell r="Y151">
            <v>16.679999999999986</v>
          </cell>
          <cell r="Z151">
            <v>17.57</v>
          </cell>
          <cell r="AA151">
            <v>8.8999999999999986</v>
          </cell>
          <cell r="AB151">
            <v>9</v>
          </cell>
          <cell r="AC151">
            <v>8.7000000000000011</v>
          </cell>
          <cell r="AD151">
            <v>9.7000000000000028</v>
          </cell>
          <cell r="AE151">
            <v>36.300000000000004</v>
          </cell>
          <cell r="AF151">
            <v>9.4</v>
          </cell>
          <cell r="AG151">
            <v>13.099999999999998</v>
          </cell>
          <cell r="AH151">
            <v>11.299999999999999</v>
          </cell>
          <cell r="AI151">
            <v>11.5</v>
          </cell>
          <cell r="AJ151">
            <v>45.3</v>
          </cell>
          <cell r="AK151">
            <v>11</v>
          </cell>
          <cell r="AL151">
            <v>13.2</v>
          </cell>
          <cell r="AM151">
            <v>12.799999999999999</v>
          </cell>
          <cell r="AN151">
            <v>13.699999999999996</v>
          </cell>
          <cell r="AO151">
            <v>50.699999999999996</v>
          </cell>
          <cell r="AP151">
            <v>14.2</v>
          </cell>
          <cell r="AQ151">
            <v>124.49999999999999</v>
          </cell>
          <cell r="AR151">
            <v>28.7</v>
          </cell>
          <cell r="AS151">
            <v>8.8478260869565233</v>
          </cell>
          <cell r="AT151">
            <v>33.554216867469869</v>
          </cell>
          <cell r="AU151">
            <v>31.999999999999993</v>
          </cell>
          <cell r="AV151">
            <v>25.85</v>
          </cell>
          <cell r="AW151">
            <v>9.5555555555555536</v>
          </cell>
          <cell r="AX151">
            <v>5.7037037037037122</v>
          </cell>
          <cell r="AY151">
            <v>16.691489361702128</v>
          </cell>
          <cell r="AZ151" t="str">
            <v/>
          </cell>
          <cell r="BA151" t="str">
            <v/>
          </cell>
          <cell r="BB151" t="str">
            <v/>
          </cell>
          <cell r="BD151">
            <v>7.9655764447003694</v>
          </cell>
        </row>
        <row r="152">
          <cell r="A152" t="str">
            <v>Net Debt/EBITDA</v>
          </cell>
          <cell r="K152">
            <v>5.6398104265402846</v>
          </cell>
          <cell r="P152">
            <v>4.2564102564102564</v>
          </cell>
          <cell r="Q152">
            <v>-1.4816414686825061</v>
          </cell>
          <cell r="R152">
            <v>-2.2339901477832518</v>
          </cell>
          <cell r="S152">
            <v>1.6763925729442972</v>
          </cell>
          <cell r="T152">
            <v>3.3817663817663823</v>
          </cell>
          <cell r="U152">
            <v>0.74326862867877286</v>
          </cell>
          <cell r="V152">
            <v>1.8687050359712232</v>
          </cell>
          <cell r="W152">
            <v>2.263108614232209</v>
          </cell>
          <cell r="X152">
            <v>2.6966731898238745</v>
          </cell>
          <cell r="Y152">
            <v>1.9903846153846163</v>
          </cell>
          <cell r="Z152">
            <v>0.48797736916548806</v>
          </cell>
          <cell r="AA152">
            <v>0.93154761904761907</v>
          </cell>
          <cell r="AB152">
            <v>1.2993630573248409</v>
          </cell>
          <cell r="AC152">
            <v>2.0377358490566038</v>
          </cell>
          <cell r="AD152">
            <v>0.6147651006711411</v>
          </cell>
          <cell r="AE152">
            <v>0.19809688581314885</v>
          </cell>
          <cell r="AF152">
            <v>-0.1474558670820352</v>
          </cell>
          <cell r="AG152">
            <v>0.75418994413407792</v>
          </cell>
          <cell r="AH152">
            <v>-0.36063408190224583</v>
          </cell>
          <cell r="AI152">
            <v>-0.19224806201550423</v>
          </cell>
          <cell r="AJ152">
            <v>-3.803680981595102E-2</v>
          </cell>
          <cell r="AK152">
            <v>-0.35854341736694684</v>
          </cell>
          <cell r="AL152">
            <v>0.81558185404339245</v>
          </cell>
          <cell r="AM152">
            <v>0.23016905071521462</v>
          </cell>
          <cell r="AN152">
            <v>1.8277909738717348</v>
          </cell>
          <cell r="AO152">
            <v>0.41538461538461552</v>
          </cell>
          <cell r="AP152">
            <v>-0.87823185988323571</v>
          </cell>
          <cell r="AQ152">
            <v>1.0192743764172336</v>
          </cell>
          <cell r="AR152">
            <v>3.2395543175487465</v>
          </cell>
          <cell r="AS152">
            <v>4.1578947368421053</v>
          </cell>
          <cell r="AT152">
            <v>0.68388059701492543</v>
          </cell>
          <cell r="AU152">
            <v>-1.35</v>
          </cell>
          <cell r="AV152">
            <v>-0.11915535444947176</v>
          </cell>
          <cell r="AW152">
            <v>6.0463917525773203</v>
          </cell>
          <cell r="AX152">
            <v>9.3245033112582725</v>
          </cell>
          <cell r="AY152">
            <v>1.3202062822315987</v>
          </cell>
          <cell r="AZ152" t="e">
            <v>#DIV/0!</v>
          </cell>
          <cell r="BA152" t="e">
            <v>#DIV/0!</v>
          </cell>
          <cell r="BB152" t="e">
            <v>#DIV/0!</v>
          </cell>
          <cell r="BD152">
            <v>1.492018695019365</v>
          </cell>
        </row>
        <row r="153">
          <cell r="A153" t="str">
            <v>Capital Expenditure</v>
          </cell>
        </row>
        <row r="154">
          <cell r="A154" t="str">
            <v>USA Fibre Cement</v>
          </cell>
          <cell r="C154" t="str">
            <v/>
          </cell>
          <cell r="D154" t="str">
            <v/>
          </cell>
          <cell r="E154" t="str">
            <v/>
          </cell>
          <cell r="F154">
            <v>0.35433070866141742</v>
          </cell>
          <cell r="G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>
            <v>-1.0238907849829351E-2</v>
          </cell>
          <cell r="L154">
            <v>0.24999999999999992</v>
          </cell>
          <cell r="M154">
            <v>0.26056338028169013</v>
          </cell>
          <cell r="N154">
            <v>0.93548387096774199</v>
          </cell>
          <cell r="O154">
            <v>0.27118644067796632</v>
          </cell>
          <cell r="P154">
            <v>0.12786885245901644</v>
          </cell>
          <cell r="Q154">
            <v>0.30930930930930944</v>
          </cell>
          <cell r="R154">
            <v>0.30267062314540061</v>
          </cell>
          <cell r="S154">
            <v>0.16216216216216223</v>
          </cell>
          <cell r="T154">
            <v>0.13045098770033539</v>
          </cell>
          <cell r="U154">
            <v>0.24036321552568329</v>
          </cell>
          <cell r="V154">
            <v>18.5</v>
          </cell>
          <cell r="W154">
            <v>13.5</v>
          </cell>
          <cell r="X154">
            <v>9.7999999999999972</v>
          </cell>
          <cell r="Y154">
            <v>0.20153061224489813</v>
          </cell>
          <cell r="Z154">
            <v>0.24381412190706095</v>
          </cell>
          <cell r="AA154">
            <v>28.5</v>
          </cell>
          <cell r="AB154">
            <v>48.599999999999994</v>
          </cell>
          <cell r="AC154">
            <v>40.900000000000006</v>
          </cell>
          <cell r="AD154">
            <v>26.800000000000011</v>
          </cell>
          <cell r="AE154">
            <v>144.80000000000001</v>
          </cell>
          <cell r="AF154">
            <v>32.6</v>
          </cell>
          <cell r="AG154">
            <v>39.199999999999996</v>
          </cell>
          <cell r="AH154">
            <v>46.2</v>
          </cell>
          <cell r="AI154">
            <v>37.5</v>
          </cell>
          <cell r="AJ154">
            <v>155.5</v>
          </cell>
          <cell r="AK154">
            <v>32.9</v>
          </cell>
          <cell r="AL154">
            <v>21.1</v>
          </cell>
          <cell r="AM154">
            <v>13.599999999999994</v>
          </cell>
          <cell r="AN154">
            <v>11.200000000000003</v>
          </cell>
          <cell r="AO154">
            <v>78.8</v>
          </cell>
          <cell r="AP154">
            <v>13.9</v>
          </cell>
          <cell r="AQ154">
            <v>0.37246963562753033</v>
          </cell>
          <cell r="AR154">
            <v>0.3844765342960289</v>
          </cell>
          <cell r="AS154">
            <v>0.44321329639889206</v>
          </cell>
          <cell r="AT154">
            <v>0.37194670614359737</v>
          </cell>
          <cell r="AU154">
            <v>0.32903225806451619</v>
          </cell>
          <cell r="AV154">
            <v>0.37223340040241448</v>
          </cell>
          <cell r="AW154">
            <v>0.47186147186147193</v>
          </cell>
          <cell r="AX154">
            <v>0.5275590551181093</v>
          </cell>
          <cell r="AY154">
            <v>0.41355932203389828</v>
          </cell>
          <cell r="AZ154" t="str">
            <v/>
          </cell>
          <cell r="BA154" t="str">
            <v/>
          </cell>
          <cell r="BB154" t="str">
            <v/>
          </cell>
          <cell r="BD154">
            <v>0.4286192198905423</v>
          </cell>
        </row>
        <row r="155">
          <cell r="A155" t="str">
            <v>Asia Pacific Fibre Cement</v>
          </cell>
          <cell r="V155">
            <v>1.2</v>
          </cell>
          <cell r="W155">
            <v>3</v>
          </cell>
          <cell r="X155">
            <v>2.0999999999999996</v>
          </cell>
          <cell r="AA155">
            <v>1</v>
          </cell>
          <cell r="AB155">
            <v>1.4</v>
          </cell>
          <cell r="AC155">
            <v>2.0000000000000004</v>
          </cell>
          <cell r="AD155">
            <v>-0.60000000000000053</v>
          </cell>
          <cell r="AE155">
            <v>3.8</v>
          </cell>
          <cell r="AF155">
            <v>1</v>
          </cell>
          <cell r="AG155">
            <v>1.7999999999999998</v>
          </cell>
          <cell r="AH155">
            <v>1.6000000000000005</v>
          </cell>
          <cell r="AI155">
            <v>1.7999999999999998</v>
          </cell>
          <cell r="AJ155">
            <v>6.2</v>
          </cell>
          <cell r="AK155">
            <v>2.6</v>
          </cell>
          <cell r="AL155">
            <v>2.6999999999999997</v>
          </cell>
          <cell r="AM155">
            <v>3.5000000000000009</v>
          </cell>
          <cell r="AN155">
            <v>1.6999999999999993</v>
          </cell>
          <cell r="AO155">
            <v>10.5</v>
          </cell>
          <cell r="AP155">
            <v>1.8</v>
          </cell>
        </row>
        <row r="156">
          <cell r="A156" t="str">
            <v xml:space="preserve">Other </v>
          </cell>
          <cell r="V156">
            <v>1.1000000000000001</v>
          </cell>
          <cell r="W156">
            <v>6.8000000000000007</v>
          </cell>
          <cell r="X156">
            <v>0.49999999999999956</v>
          </cell>
          <cell r="AA156">
            <v>0.8</v>
          </cell>
          <cell r="AB156">
            <v>0.8</v>
          </cell>
          <cell r="AC156">
            <v>1.7999999999999998</v>
          </cell>
          <cell r="AD156">
            <v>1.0000000000000004</v>
          </cell>
          <cell r="AE156">
            <v>4.4000000000000004</v>
          </cell>
          <cell r="AF156">
            <v>0.4</v>
          </cell>
          <cell r="AG156">
            <v>2.4</v>
          </cell>
          <cell r="AH156">
            <v>-1.4</v>
          </cell>
          <cell r="AI156">
            <v>-0.29999999999999982</v>
          </cell>
          <cell r="AJ156">
            <v>1.1000000000000001</v>
          </cell>
          <cell r="AK156">
            <v>0</v>
          </cell>
          <cell r="AL156">
            <v>2.1</v>
          </cell>
          <cell r="AM156">
            <v>0.89999999999999991</v>
          </cell>
          <cell r="AN156">
            <v>0.29999999999999982</v>
          </cell>
          <cell r="AO156">
            <v>3.3</v>
          </cell>
          <cell r="AP156">
            <v>0.8</v>
          </cell>
        </row>
        <row r="157">
          <cell r="A157" t="str">
            <v>Total</v>
          </cell>
          <cell r="V157">
            <v>20.8</v>
          </cell>
          <cell r="W157">
            <v>23.3</v>
          </cell>
          <cell r="X157">
            <v>12.399999999999997</v>
          </cell>
          <cell r="AA157">
            <v>30.3</v>
          </cell>
          <cell r="AB157">
            <v>50.79999999999999</v>
          </cell>
          <cell r="AC157">
            <v>44.7</v>
          </cell>
          <cell r="AD157">
            <v>27.200000000000031</v>
          </cell>
          <cell r="AE157">
            <v>153.00000000000003</v>
          </cell>
          <cell r="AF157">
            <v>34</v>
          </cell>
          <cell r="AG157">
            <v>43.399999999999991</v>
          </cell>
          <cell r="AH157">
            <v>46.400000000000006</v>
          </cell>
          <cell r="AI157">
            <v>38.999999999999986</v>
          </cell>
          <cell r="AJ157">
            <v>162.79999999999998</v>
          </cell>
          <cell r="AK157">
            <v>35.5</v>
          </cell>
          <cell r="AL157">
            <v>25.900000000000002</v>
          </cell>
          <cell r="AM157">
            <v>17.999999999999993</v>
          </cell>
          <cell r="AN157">
            <v>13.199999999999989</v>
          </cell>
          <cell r="AO157">
            <v>92.6</v>
          </cell>
          <cell r="AP157">
            <v>16.5</v>
          </cell>
          <cell r="AQ157">
            <v>883.4</v>
          </cell>
          <cell r="AR157">
            <v>842.3</v>
          </cell>
        </row>
        <row r="158">
          <cell r="A158" t="str">
            <v>Asia Pacific Fibre Cement</v>
          </cell>
          <cell r="AA158">
            <v>166.8</v>
          </cell>
          <cell r="AB158">
            <v>181</v>
          </cell>
          <cell r="AC158">
            <v>190.9</v>
          </cell>
          <cell r="AD158">
            <v>181.4</v>
          </cell>
          <cell r="AE158">
            <v>181.4</v>
          </cell>
          <cell r="AF158">
            <v>183.8</v>
          </cell>
          <cell r="AG158">
            <v>189.1</v>
          </cell>
          <cell r="AH158">
            <v>177.9</v>
          </cell>
          <cell r="AI158">
            <v>170.4</v>
          </cell>
          <cell r="AJ158">
            <v>170.4</v>
          </cell>
          <cell r="AK158">
            <v>173</v>
          </cell>
          <cell r="AL158">
            <v>188.2</v>
          </cell>
          <cell r="AM158">
            <v>195.7</v>
          </cell>
          <cell r="AN158">
            <v>199.3</v>
          </cell>
          <cell r="AO158">
            <v>199.3</v>
          </cell>
          <cell r="AP158">
            <v>206.8</v>
          </cell>
          <cell r="AQ158">
            <v>213.7</v>
          </cell>
          <cell r="AR158">
            <v>216.7</v>
          </cell>
        </row>
        <row r="159">
          <cell r="A159" t="str">
            <v>Return on Funds Employed</v>
          </cell>
          <cell r="Z159">
            <v>0.23400000000000001</v>
          </cell>
          <cell r="AA159">
            <v>0.318</v>
          </cell>
          <cell r="AB159">
            <v>0.26</v>
          </cell>
          <cell r="AC159">
            <v>0.215</v>
          </cell>
          <cell r="AD159">
            <v>81.599999999999994</v>
          </cell>
          <cell r="AE159">
            <v>0.23599999999999999</v>
          </cell>
          <cell r="AF159">
            <v>0.39900000000000002</v>
          </cell>
          <cell r="AG159">
            <v>0.36899999999999999</v>
          </cell>
          <cell r="AH159">
            <v>0.32600000000000001</v>
          </cell>
          <cell r="AI159">
            <v>54.8</v>
          </cell>
          <cell r="AJ159">
            <v>0.32100000000000001</v>
          </cell>
          <cell r="AK159">
            <v>0.38200000000000001</v>
          </cell>
          <cell r="AL159">
            <v>0.32100000000000001</v>
          </cell>
          <cell r="AM159">
            <v>0.29099999999999998</v>
          </cell>
          <cell r="AN159">
            <v>52.5</v>
          </cell>
          <cell r="AO159">
            <v>0.27700000000000002</v>
          </cell>
          <cell r="AP159">
            <v>0.34300000000000003</v>
          </cell>
          <cell r="AQ159">
            <v>59.7</v>
          </cell>
          <cell r="AR159">
            <v>57.5</v>
          </cell>
        </row>
        <row r="160">
          <cell r="A160" t="str">
            <v>General Corporate</v>
          </cell>
          <cell r="AA160">
            <v>163</v>
          </cell>
          <cell r="AB160">
            <v>172.8</v>
          </cell>
          <cell r="AC160">
            <v>145.1</v>
          </cell>
          <cell r="AD160">
            <v>155.80000000000001</v>
          </cell>
          <cell r="AE160">
            <v>155.80000000000001</v>
          </cell>
          <cell r="AF160">
            <v>198.7</v>
          </cell>
          <cell r="AG160">
            <v>223.2</v>
          </cell>
          <cell r="AH160">
            <v>207.3</v>
          </cell>
          <cell r="AI160">
            <v>394.2</v>
          </cell>
          <cell r="AJ160">
            <v>394.2</v>
          </cell>
          <cell r="AK160">
            <v>253.6</v>
          </cell>
          <cell r="AL160">
            <v>270.3</v>
          </cell>
          <cell r="AM160">
            <v>284.2</v>
          </cell>
          <cell r="AN160">
            <v>983.3</v>
          </cell>
          <cell r="AO160">
            <v>983.3</v>
          </cell>
          <cell r="AP160">
            <v>1072.8</v>
          </cell>
          <cell r="AQ160">
            <v>1041.0999999999999</v>
          </cell>
          <cell r="AR160">
            <v>1039.4000000000001</v>
          </cell>
        </row>
        <row r="161">
          <cell r="A161" t="str">
            <v>Total Assets</v>
          </cell>
          <cell r="AA161">
            <v>981.7</v>
          </cell>
          <cell r="AB161">
            <v>1029.2</v>
          </cell>
          <cell r="AC161">
            <v>1035.0999999999999</v>
          </cell>
          <cell r="AD161">
            <v>1088.9000000000001</v>
          </cell>
          <cell r="AE161">
            <v>1088.9000000000001</v>
          </cell>
          <cell r="AF161">
            <v>1182.5</v>
          </cell>
          <cell r="AG161">
            <v>1200.5</v>
          </cell>
          <cell r="AH161">
            <v>1212.7</v>
          </cell>
          <cell r="AI161">
            <v>1445.4</v>
          </cell>
          <cell r="AJ161">
            <v>1445.4</v>
          </cell>
          <cell r="AK161">
            <v>1352.2</v>
          </cell>
          <cell r="AL161">
            <v>1396.3</v>
          </cell>
          <cell r="AM161">
            <v>1410.2</v>
          </cell>
          <cell r="AN161">
            <v>2128.1</v>
          </cell>
          <cell r="AO161">
            <v>2128.1</v>
          </cell>
          <cell r="AP161">
            <v>2217.8000000000002</v>
          </cell>
          <cell r="AQ161">
            <v>2197.8999999999996</v>
          </cell>
          <cell r="AR161">
            <v>2155.9</v>
          </cell>
        </row>
        <row r="163">
          <cell r="A163" t="str">
            <v>Depeciation and Amortisation</v>
          </cell>
        </row>
        <row r="164">
          <cell r="A164" t="str">
            <v>USA Fibre Cement</v>
          </cell>
          <cell r="V164">
            <v>4.9000000000000004</v>
          </cell>
          <cell r="W164">
            <v>6.3</v>
          </cell>
          <cell r="X164">
            <v>7.1</v>
          </cell>
          <cell r="AA164">
            <v>5.8</v>
          </cell>
          <cell r="AB164">
            <v>5.8</v>
          </cell>
          <cell r="AC164">
            <v>5.4</v>
          </cell>
          <cell r="AD164">
            <v>6.1000000000000014</v>
          </cell>
          <cell r="AE164">
            <v>23.1</v>
          </cell>
          <cell r="AF164">
            <v>6.1</v>
          </cell>
          <cell r="AG164">
            <v>10.199999999999999</v>
          </cell>
          <cell r="AH164">
            <v>8</v>
          </cell>
          <cell r="AI164">
            <v>8.1000000000000014</v>
          </cell>
          <cell r="AJ164">
            <v>32.4</v>
          </cell>
          <cell r="AK164">
            <v>7.9</v>
          </cell>
          <cell r="AL164">
            <v>10</v>
          </cell>
          <cell r="AM164">
            <v>9.6999999999999993</v>
          </cell>
          <cell r="AN164">
            <v>10.199999999999999</v>
          </cell>
          <cell r="AO164">
            <v>37.799999999999997</v>
          </cell>
          <cell r="AP164">
            <v>10.8</v>
          </cell>
          <cell r="AQ164">
            <v>9.3000000000000007</v>
          </cell>
          <cell r="AR164">
            <v>12.5</v>
          </cell>
        </row>
        <row r="165">
          <cell r="A165" t="str">
            <v>Asia Pacific Fibre Cement</v>
          </cell>
          <cell r="V165">
            <v>2.2999999999999998</v>
          </cell>
          <cell r="W165">
            <v>2.2999999999999998</v>
          </cell>
          <cell r="X165">
            <v>2.5</v>
          </cell>
          <cell r="AA165">
            <v>2.4</v>
          </cell>
          <cell r="AB165">
            <v>2.4</v>
          </cell>
          <cell r="AC165">
            <v>2.5</v>
          </cell>
          <cell r="AD165">
            <v>2.8</v>
          </cell>
          <cell r="AE165">
            <v>10.1</v>
          </cell>
          <cell r="AF165">
            <v>2.5</v>
          </cell>
          <cell r="AG165">
            <v>2.2000000000000002</v>
          </cell>
          <cell r="AH165">
            <v>2.6</v>
          </cell>
          <cell r="AI165">
            <v>2.6999999999999993</v>
          </cell>
          <cell r="AJ165">
            <v>10</v>
          </cell>
          <cell r="AK165">
            <v>2.5</v>
          </cell>
          <cell r="AL165">
            <v>2.6</v>
          </cell>
          <cell r="AM165">
            <v>2.4</v>
          </cell>
          <cell r="AN165">
            <v>2.5999999999999996</v>
          </cell>
          <cell r="AO165" t="str">
            <v>Debt</v>
          </cell>
          <cell r="AP165">
            <v>2.7</v>
          </cell>
          <cell r="AQ165">
            <v>1.9</v>
          </cell>
          <cell r="AR165">
            <v>1.8</v>
          </cell>
          <cell r="AT165">
            <v>123</v>
          </cell>
        </row>
        <row r="166">
          <cell r="A166" t="str">
            <v xml:space="preserve">Other </v>
          </cell>
          <cell r="V166">
            <v>0.1</v>
          </cell>
          <cell r="W166">
            <v>0.2</v>
          </cell>
          <cell r="X166">
            <v>0.4</v>
          </cell>
          <cell r="AA166">
            <v>0.7</v>
          </cell>
          <cell r="AB166">
            <v>0.8</v>
          </cell>
          <cell r="AC166">
            <v>0.8</v>
          </cell>
          <cell r="AD166">
            <v>0.80000000000000027</v>
          </cell>
          <cell r="AE166">
            <v>3.1</v>
          </cell>
          <cell r="AF166">
            <v>0.8</v>
          </cell>
          <cell r="AG166">
            <v>0.7</v>
          </cell>
          <cell r="AH166">
            <v>0.7</v>
          </cell>
          <cell r="AI166">
            <v>0.69999999999999973</v>
          </cell>
          <cell r="AJ166">
            <v>2.9</v>
          </cell>
          <cell r="AK166">
            <v>0.6</v>
          </cell>
          <cell r="AL166">
            <v>0.6</v>
          </cell>
          <cell r="AM166">
            <v>0.7</v>
          </cell>
          <cell r="AN166">
            <v>0.89999999999999991</v>
          </cell>
          <cell r="AO166" t="str">
            <v>Asbestos Liab</v>
          </cell>
          <cell r="AP166">
            <v>0.7</v>
          </cell>
          <cell r="AQ166">
            <v>2.2999999999999998</v>
          </cell>
          <cell r="AR166">
            <v>0.1</v>
          </cell>
          <cell r="AT166">
            <v>694.1</v>
          </cell>
        </row>
        <row r="167">
          <cell r="A167" t="str">
            <v>Total Assets</v>
          </cell>
          <cell r="V167">
            <v>7.3</v>
          </cell>
          <cell r="W167">
            <v>8.7999999999999989</v>
          </cell>
          <cell r="X167">
            <v>10</v>
          </cell>
          <cell r="AA167">
            <v>8.8999999999999986</v>
          </cell>
          <cell r="AB167">
            <v>9</v>
          </cell>
          <cell r="AC167">
            <v>8.7000000000000011</v>
          </cell>
          <cell r="AD167">
            <v>9.7000000000000028</v>
          </cell>
          <cell r="AE167">
            <v>36.300000000000004</v>
          </cell>
          <cell r="AF167">
            <v>9.4</v>
          </cell>
          <cell r="AG167">
            <v>13.099999999999998</v>
          </cell>
          <cell r="AH167">
            <v>11.299999999999999</v>
          </cell>
          <cell r="AI167">
            <v>11.5</v>
          </cell>
          <cell r="AJ167">
            <v>45.3</v>
          </cell>
          <cell r="AK167">
            <v>11</v>
          </cell>
          <cell r="AL167">
            <v>13.2</v>
          </cell>
          <cell r="AM167">
            <v>12.799999999999999</v>
          </cell>
          <cell r="AN167">
            <v>13.699999999999996</v>
          </cell>
          <cell r="AO167" t="str">
            <v>Total Equity</v>
          </cell>
          <cell r="AP167">
            <v>14.2</v>
          </cell>
          <cell r="AQ167">
            <v>13.5</v>
          </cell>
          <cell r="AR167">
            <v>14.4</v>
          </cell>
          <cell r="AT167">
            <v>112.4</v>
          </cell>
        </row>
        <row r="168">
          <cell r="AT168">
            <v>806.5</v>
          </cell>
        </row>
        <row r="169">
          <cell r="A169" t="str">
            <v>Capital Expenditure</v>
          </cell>
          <cell r="AO169" t="str">
            <v xml:space="preserve">Adjusted </v>
          </cell>
          <cell r="AT169">
            <v>0.15251084934903905</v>
          </cell>
        </row>
        <row r="170">
          <cell r="A170" t="str">
            <v>USA Fibre Cement</v>
          </cell>
          <cell r="V170">
            <v>18.5</v>
          </cell>
          <cell r="W170">
            <v>13.5</v>
          </cell>
          <cell r="X170">
            <v>9.7999999999999972</v>
          </cell>
          <cell r="AA170">
            <v>28.5</v>
          </cell>
          <cell r="AB170">
            <v>48.599999999999994</v>
          </cell>
          <cell r="AC170">
            <v>40.900000000000006</v>
          </cell>
          <cell r="AD170">
            <v>26.800000000000011</v>
          </cell>
          <cell r="AE170">
            <v>144.80000000000001</v>
          </cell>
          <cell r="AF170">
            <v>32.6</v>
          </cell>
          <cell r="AG170">
            <v>39.199999999999996</v>
          </cell>
          <cell r="AH170">
            <v>46.2</v>
          </cell>
          <cell r="AI170">
            <v>37.5</v>
          </cell>
          <cell r="AJ170">
            <v>155.5</v>
          </cell>
          <cell r="AK170">
            <v>32.9</v>
          </cell>
          <cell r="AL170">
            <v>21.1</v>
          </cell>
          <cell r="AM170">
            <v>13.599999999999994</v>
          </cell>
          <cell r="AN170">
            <v>11.200000000000003</v>
          </cell>
          <cell r="AO170" t="str">
            <v>Unadjusted</v>
          </cell>
          <cell r="AP170">
            <v>13.9</v>
          </cell>
          <cell r="AQ170">
            <v>6.7999999999999989</v>
          </cell>
          <cell r="AR170">
            <v>3.5999999999999996</v>
          </cell>
          <cell r="AT170">
            <v>1.094306049822064</v>
          </cell>
        </row>
        <row r="171">
          <cell r="A171" t="str">
            <v>Asia Pacific Fibre Cement</v>
          </cell>
          <cell r="V171">
            <v>1.2</v>
          </cell>
          <cell r="W171">
            <v>3</v>
          </cell>
          <cell r="X171">
            <v>2.0999999999999996</v>
          </cell>
          <cell r="AA171">
            <v>1</v>
          </cell>
          <cell r="AB171">
            <v>1.4</v>
          </cell>
          <cell r="AC171">
            <v>2.0000000000000004</v>
          </cell>
          <cell r="AD171">
            <v>-0.60000000000000053</v>
          </cell>
          <cell r="AE171">
            <v>3.8</v>
          </cell>
          <cell r="AF171">
            <v>1</v>
          </cell>
          <cell r="AG171">
            <v>1.7999999999999998</v>
          </cell>
          <cell r="AH171">
            <v>1.6000000000000005</v>
          </cell>
          <cell r="AI171">
            <v>1.7999999999999998</v>
          </cell>
          <cell r="AJ171">
            <v>6.2</v>
          </cell>
          <cell r="AK171">
            <v>2.6</v>
          </cell>
          <cell r="AL171">
            <v>2.6999999999999997</v>
          </cell>
          <cell r="AM171">
            <v>3.5000000000000009</v>
          </cell>
          <cell r="AN171">
            <v>1.6999999999999993</v>
          </cell>
          <cell r="AO171" t="str">
            <v>EBIT</v>
          </cell>
          <cell r="AP171">
            <v>1.8</v>
          </cell>
          <cell r="AQ171">
            <v>1.4000000000000001</v>
          </cell>
          <cell r="AR171">
            <v>0.89999999999999925</v>
          </cell>
          <cell r="AT171">
            <v>84.3</v>
          </cell>
        </row>
        <row r="172">
          <cell r="A172" t="str">
            <v xml:space="preserve">Other </v>
          </cell>
          <cell r="V172">
            <v>1.1000000000000001</v>
          </cell>
          <cell r="W172">
            <v>6.8000000000000007</v>
          </cell>
          <cell r="X172">
            <v>0.49999999999999956</v>
          </cell>
          <cell r="AA172">
            <v>0.8</v>
          </cell>
          <cell r="AB172">
            <v>0.8</v>
          </cell>
          <cell r="AC172">
            <v>1.7999999999999998</v>
          </cell>
          <cell r="AD172">
            <v>1.0000000000000004</v>
          </cell>
          <cell r="AE172">
            <v>4.4000000000000004</v>
          </cell>
          <cell r="AF172">
            <v>0.4</v>
          </cell>
          <cell r="AG172">
            <v>2.4</v>
          </cell>
          <cell r="AH172">
            <v>-1.4</v>
          </cell>
          <cell r="AI172">
            <v>-0.29999999999999982</v>
          </cell>
          <cell r="AJ172">
            <v>1.1000000000000001</v>
          </cell>
          <cell r="AK172">
            <v>0</v>
          </cell>
          <cell r="AL172">
            <v>2.1</v>
          </cell>
          <cell r="AM172">
            <v>0.89999999999999991</v>
          </cell>
          <cell r="AN172">
            <v>0.29999999999999982</v>
          </cell>
          <cell r="AO172" t="str">
            <v>Interest</v>
          </cell>
          <cell r="AP172">
            <v>0.8</v>
          </cell>
          <cell r="AQ172">
            <v>-0.5</v>
          </cell>
          <cell r="AR172">
            <v>0</v>
          </cell>
          <cell r="AT172">
            <v>2.4</v>
          </cell>
        </row>
        <row r="173">
          <cell r="A173" t="str">
            <v>Total</v>
          </cell>
          <cell r="V173">
            <v>20.8</v>
          </cell>
          <cell r="W173">
            <v>23.3</v>
          </cell>
          <cell r="X173">
            <v>12.399999999999997</v>
          </cell>
          <cell r="AA173">
            <v>30.3</v>
          </cell>
          <cell r="AB173">
            <v>50.79999999999999</v>
          </cell>
          <cell r="AC173">
            <v>44.7</v>
          </cell>
          <cell r="AD173">
            <v>27.200000000000031</v>
          </cell>
          <cell r="AE173">
            <v>153.00000000000003</v>
          </cell>
          <cell r="AF173">
            <v>34</v>
          </cell>
          <cell r="AG173">
            <v>43.399999999999991</v>
          </cell>
          <cell r="AH173">
            <v>46.400000000000006</v>
          </cell>
          <cell r="AI173">
            <v>38.999999999999986</v>
          </cell>
          <cell r="AJ173">
            <v>162.79999999999998</v>
          </cell>
          <cell r="AK173">
            <v>35.5</v>
          </cell>
          <cell r="AL173">
            <v>25.900000000000002</v>
          </cell>
          <cell r="AM173">
            <v>17.999999999999993</v>
          </cell>
          <cell r="AN173">
            <v>13.199999999999989</v>
          </cell>
          <cell r="AO173">
            <v>92.6</v>
          </cell>
          <cell r="AP173">
            <v>16.5</v>
          </cell>
          <cell r="AQ173">
            <v>7.6999999999999993</v>
          </cell>
          <cell r="AR173">
            <v>4.4999999999999991</v>
          </cell>
          <cell r="AT173">
            <v>35.125</v>
          </cell>
        </row>
        <row r="175">
          <cell r="A175" t="str">
            <v>Return on Funds Employed</v>
          </cell>
          <cell r="Z175">
            <v>0.23400000000000001</v>
          </cell>
          <cell r="AA175">
            <v>0.318</v>
          </cell>
          <cell r="AB175">
            <v>0.26</v>
          </cell>
          <cell r="AC175">
            <v>0.215</v>
          </cell>
          <cell r="AE175">
            <v>0.23599999999999999</v>
          </cell>
          <cell r="AF175">
            <v>0.39900000000000002</v>
          </cell>
          <cell r="AG175">
            <v>0.36899999999999999</v>
          </cell>
          <cell r="AH175">
            <v>0.32600000000000001</v>
          </cell>
          <cell r="AJ175">
            <v>0.32100000000000001</v>
          </cell>
          <cell r="AK175">
            <v>0.38200000000000001</v>
          </cell>
          <cell r="AL175">
            <v>0.32100000000000001</v>
          </cell>
          <cell r="AM175">
            <v>0.29099999999999998</v>
          </cell>
          <cell r="AO175">
            <v>0.27700000000000002</v>
          </cell>
          <cell r="AP175">
            <v>0.34300000000000003</v>
          </cell>
        </row>
        <row r="181">
          <cell r="AO181" t="str">
            <v>Debt</v>
          </cell>
          <cell r="AT181">
            <v>123</v>
          </cell>
        </row>
        <row r="182">
          <cell r="AO182" t="str">
            <v>Asbestos Liab</v>
          </cell>
          <cell r="AT182">
            <v>694.1</v>
          </cell>
        </row>
        <row r="183">
          <cell r="AO183" t="str">
            <v>Total Equity</v>
          </cell>
          <cell r="AT183">
            <v>112.4</v>
          </cell>
        </row>
        <row r="184">
          <cell r="AT184">
            <v>806.5</v>
          </cell>
        </row>
        <row r="185">
          <cell r="AO185" t="str">
            <v xml:space="preserve">Adjusted </v>
          </cell>
          <cell r="AT185">
            <v>0.15251084934903905</v>
          </cell>
        </row>
        <row r="186">
          <cell r="AO186" t="str">
            <v>Unadjusted</v>
          </cell>
          <cell r="AT186">
            <v>1.094306049822064</v>
          </cell>
        </row>
        <row r="187">
          <cell r="AO187" t="str">
            <v>EBIT</v>
          </cell>
          <cell r="AT187">
            <v>84.3</v>
          </cell>
        </row>
        <row r="188">
          <cell r="AO188" t="str">
            <v>Interest</v>
          </cell>
          <cell r="AT188">
            <v>2.4</v>
          </cell>
        </row>
        <row r="189">
          <cell r="AT189">
            <v>35.125</v>
          </cell>
        </row>
      </sheetData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Financials"/>
      <sheetName val="Interim"/>
      <sheetName val="DCF"/>
      <sheetName val="SOP"/>
      <sheetName val="PET"/>
      <sheetName val="Flexibles"/>
      <sheetName val="Australasia"/>
      <sheetName val="Sunclipse"/>
      <sheetName val="Asia"/>
      <sheetName val="Corporate &amp; Other"/>
      <sheetName val="Flexibles raw materials basket"/>
      <sheetName val="mwareInputs"/>
      <sheetName val="MW-Cache"/>
      <sheetName val="mwareDates"/>
      <sheetName val="Earnings and Valuation changes"/>
      <sheetName val="MWare_Cached"/>
      <sheetName val="Assumptions"/>
      <sheetName val="Open Platform"/>
      <sheetName val="MWA RR"/>
      <sheetName val="mwareSettings"/>
      <sheetName val="__FDSCACHE__"/>
    </sheetNames>
    <sheetDataSet>
      <sheetData sheetId="0"/>
      <sheetData sheetId="1"/>
      <sheetData sheetId="2" refreshError="1">
        <row r="1">
          <cell r="A1" t="str">
            <v>Amcor Limited</v>
          </cell>
          <cell r="B1">
            <v>36707</v>
          </cell>
          <cell r="C1">
            <v>36891</v>
          </cell>
          <cell r="D1">
            <v>37072</v>
          </cell>
          <cell r="E1">
            <v>37072</v>
          </cell>
          <cell r="F1">
            <v>37256</v>
          </cell>
          <cell r="G1">
            <v>37437</v>
          </cell>
          <cell r="H1">
            <v>37437</v>
          </cell>
          <cell r="I1">
            <v>37621</v>
          </cell>
          <cell r="J1">
            <v>37802</v>
          </cell>
          <cell r="K1">
            <v>37802</v>
          </cell>
          <cell r="L1">
            <v>37986</v>
          </cell>
          <cell r="M1">
            <v>38168</v>
          </cell>
          <cell r="N1">
            <v>38168</v>
          </cell>
          <cell r="O1">
            <v>38352</v>
          </cell>
          <cell r="P1">
            <v>38533</v>
          </cell>
          <cell r="Q1">
            <v>38533</v>
          </cell>
          <cell r="R1">
            <v>38717</v>
          </cell>
          <cell r="S1">
            <v>38898</v>
          </cell>
          <cell r="T1">
            <v>38898</v>
          </cell>
          <cell r="U1">
            <v>39082</v>
          </cell>
          <cell r="V1">
            <v>39263</v>
          </cell>
          <cell r="W1">
            <v>39263</v>
          </cell>
          <cell r="X1">
            <v>39447</v>
          </cell>
          <cell r="Y1">
            <v>39629</v>
          </cell>
          <cell r="Z1">
            <v>39629</v>
          </cell>
          <cell r="AA1">
            <v>39813</v>
          </cell>
          <cell r="AB1">
            <v>39994</v>
          </cell>
          <cell r="AC1">
            <v>39994</v>
          </cell>
          <cell r="AD1">
            <v>40178</v>
          </cell>
          <cell r="AE1">
            <v>40359</v>
          </cell>
          <cell r="AF1">
            <v>40359</v>
          </cell>
        </row>
        <row r="2">
          <cell r="A2" t="str">
            <v>FULL YEAR RESULTS</v>
          </cell>
          <cell r="B2" t="str">
            <v>FY00</v>
          </cell>
          <cell r="C2" t="str">
            <v>1HFY01</v>
          </cell>
          <cell r="D2" t="str">
            <v>2HFY01</v>
          </cell>
          <cell r="E2" t="str">
            <v>FY01</v>
          </cell>
          <cell r="F2" t="str">
            <v>1HFY02</v>
          </cell>
          <cell r="G2" t="str">
            <v>2HFY03</v>
          </cell>
          <cell r="H2" t="str">
            <v>FY02</v>
          </cell>
          <cell r="I2" t="str">
            <v>1HFY03</v>
          </cell>
          <cell r="J2" t="str">
            <v>2HFY03</v>
          </cell>
          <cell r="K2" t="str">
            <v>FY03</v>
          </cell>
          <cell r="L2" t="str">
            <v>1HFY04</v>
          </cell>
          <cell r="M2" t="str">
            <v>2HFY04</v>
          </cell>
          <cell r="N2" t="str">
            <v>FY04</v>
          </cell>
          <cell r="O2" t="str">
            <v>1HFY05</v>
          </cell>
          <cell r="P2" t="str">
            <v>2HFY05</v>
          </cell>
          <cell r="Q2" t="str">
            <v>FY05</v>
          </cell>
          <cell r="R2" t="str">
            <v>1HFY06</v>
          </cell>
          <cell r="S2" t="str">
            <v>2HFY06</v>
          </cell>
          <cell r="T2" t="str">
            <v>FY06</v>
          </cell>
          <cell r="U2" t="str">
            <v>1HFY07</v>
          </cell>
          <cell r="V2" t="str">
            <v>2HFY07</v>
          </cell>
          <cell r="W2" t="str">
            <v>FY07</v>
          </cell>
          <cell r="X2" t="str">
            <v>1HFY08</v>
          </cell>
          <cell r="Y2" t="str">
            <v>2HFY08</v>
          </cell>
          <cell r="Z2" t="str">
            <v>FY08</v>
          </cell>
          <cell r="AA2" t="str">
            <v>1HFY09</v>
          </cell>
          <cell r="AB2" t="str">
            <v>2HFY09</v>
          </cell>
          <cell r="AC2" t="str">
            <v>FY09</v>
          </cell>
          <cell r="AD2" t="str">
            <v>1HFY10</v>
          </cell>
          <cell r="AE2" t="str">
            <v>2HFY10</v>
          </cell>
          <cell r="AF2" t="str">
            <v>FY10</v>
          </cell>
        </row>
        <row r="4">
          <cell r="A4" t="str">
            <v>Currency</v>
          </cell>
        </row>
        <row r="5">
          <cell r="A5" t="str">
            <v xml:space="preserve">AUD/USD </v>
          </cell>
          <cell r="B5">
            <v>0.59740000000000004</v>
          </cell>
          <cell r="C5">
            <v>0.55434000000000005</v>
          </cell>
          <cell r="D5">
            <v>0.52294000000000007</v>
          </cell>
          <cell r="E5">
            <v>0.53863000000000005</v>
          </cell>
          <cell r="F5">
            <v>0.51293</v>
          </cell>
          <cell r="G5">
            <v>0.53460000000000008</v>
          </cell>
          <cell r="H5">
            <v>0.52375000000000005</v>
          </cell>
          <cell r="I5">
            <v>0.55296000000000001</v>
          </cell>
          <cell r="J5">
            <v>0.61677000000000004</v>
          </cell>
          <cell r="K5">
            <v>0.58459000000000005</v>
          </cell>
          <cell r="L5">
            <v>0.68753000000000009</v>
          </cell>
          <cell r="M5">
            <v>0.73998000000000008</v>
          </cell>
          <cell r="N5">
            <v>0.7134100000000001</v>
          </cell>
          <cell r="O5">
            <v>0.73355000000000004</v>
          </cell>
          <cell r="P5">
            <v>0.77282000000000006</v>
          </cell>
          <cell r="Q5">
            <v>0.75285000000000002</v>
          </cell>
          <cell r="R5">
            <v>0.7518800000000001</v>
          </cell>
          <cell r="S5">
            <v>0.74312000000000011</v>
          </cell>
          <cell r="T5">
            <v>0.74757000000000007</v>
          </cell>
          <cell r="U5">
            <v>0.76347000000000009</v>
          </cell>
          <cell r="V5">
            <v>0.80865000000000009</v>
          </cell>
          <cell r="W5">
            <v>0.7859600000000001</v>
          </cell>
          <cell r="X5">
            <v>0.86876000000000009</v>
          </cell>
          <cell r="Y5">
            <v>0.92481000000000002</v>
          </cell>
          <cell r="Z5">
            <v>0.89681666666666693</v>
          </cell>
          <cell r="AA5">
            <v>0.7802</v>
          </cell>
          <cell r="AB5">
            <v>0.81980000000000008</v>
          </cell>
          <cell r="AC5">
            <v>0.8</v>
          </cell>
          <cell r="AF5">
            <v>0.8</v>
          </cell>
        </row>
        <row r="6">
          <cell r="A6" t="str">
            <v>AUD/EUR</v>
          </cell>
          <cell r="B6">
            <v>0.627</v>
          </cell>
          <cell r="C6">
            <v>0.624</v>
          </cell>
          <cell r="D6">
            <v>0.58160000000000001</v>
          </cell>
          <cell r="E6">
            <v>0.60289999999999999</v>
          </cell>
          <cell r="F6">
            <v>0.57469999999999999</v>
          </cell>
          <cell r="G6">
            <v>0.59530000000000005</v>
          </cell>
          <cell r="H6">
            <v>0.58510000000000006</v>
          </cell>
          <cell r="I6">
            <v>0.55730000000000002</v>
          </cell>
          <cell r="J6">
            <v>0.55780000000000007</v>
          </cell>
          <cell r="K6">
            <v>0.55759999999999998</v>
          </cell>
          <cell r="L6">
            <v>0.59310000000000007</v>
          </cell>
          <cell r="M6">
            <v>0.60250000000000004</v>
          </cell>
          <cell r="N6">
            <v>0.5978</v>
          </cell>
          <cell r="O6">
            <v>0.58189999999999997</v>
          </cell>
          <cell r="P6">
            <v>0.60120000000000007</v>
          </cell>
          <cell r="Q6">
            <v>0.59150000000000003</v>
          </cell>
          <cell r="R6">
            <v>0.62409999999999999</v>
          </cell>
          <cell r="S6">
            <v>0.60430000000000006</v>
          </cell>
          <cell r="T6">
            <v>0.61420000000000008</v>
          </cell>
          <cell r="U6">
            <v>0.59540000000000004</v>
          </cell>
          <cell r="V6">
            <v>0.6079</v>
          </cell>
          <cell r="W6">
            <v>0.60160000000000002</v>
          </cell>
          <cell r="X6">
            <v>0.6159</v>
          </cell>
          <cell r="Y6">
            <v>0.60389999999999999</v>
          </cell>
          <cell r="Z6">
            <v>0.60984999999999989</v>
          </cell>
          <cell r="AA6">
            <v>0.54659999999999997</v>
          </cell>
          <cell r="AB6">
            <v>0.53147337136054595</v>
          </cell>
          <cell r="AC6">
            <v>0.53903668568027296</v>
          </cell>
          <cell r="AF6">
            <v>0.56999999999999995</v>
          </cell>
        </row>
        <row r="7">
          <cell r="A7" t="str">
            <v>AUD/NZD</v>
          </cell>
          <cell r="B7">
            <v>1.2777499999999999</v>
          </cell>
          <cell r="C7">
            <v>1.3005</v>
          </cell>
          <cell r="D7">
            <v>1.2333000000000001</v>
          </cell>
          <cell r="E7">
            <v>1.2671000000000001</v>
          </cell>
          <cell r="F7">
            <v>1.2285000000000001</v>
          </cell>
          <cell r="G7">
            <v>1.204</v>
          </cell>
          <cell r="H7">
            <v>1.2164000000000001</v>
          </cell>
          <cell r="I7">
            <v>1.1435999999999999</v>
          </cell>
          <cell r="J7">
            <v>1.1017000000000001</v>
          </cell>
          <cell r="K7">
            <v>1.1231</v>
          </cell>
          <cell r="L7">
            <v>1.1364000000000001</v>
          </cell>
          <cell r="M7">
            <v>1.1359000000000001</v>
          </cell>
          <cell r="N7">
            <v>1.1361000000000001</v>
          </cell>
          <cell r="O7">
            <v>1.0839000000000001</v>
          </cell>
          <cell r="P7">
            <v>1.079</v>
          </cell>
          <cell r="Q7">
            <v>1.0814000000000001</v>
          </cell>
          <cell r="R7">
            <v>1.0851999999999999</v>
          </cell>
          <cell r="S7">
            <v>1.1540000000000001</v>
          </cell>
          <cell r="T7">
            <v>1.1196000000000002</v>
          </cell>
          <cell r="U7">
            <v>1.1694</v>
          </cell>
          <cell r="V7">
            <v>1.1256000000000002</v>
          </cell>
          <cell r="W7">
            <v>1.1477000000000002</v>
          </cell>
          <cell r="X7">
            <v>1.1532</v>
          </cell>
          <cell r="Y7">
            <v>1.1814</v>
          </cell>
          <cell r="Z7">
            <v>1.1677083333333333</v>
          </cell>
          <cell r="AA7">
            <v>1.2057</v>
          </cell>
          <cell r="AB7">
            <v>1.2520149425287366</v>
          </cell>
          <cell r="AC7">
            <v>1.2288574712643683</v>
          </cell>
          <cell r="AF7">
            <v>1.25</v>
          </cell>
        </row>
        <row r="9">
          <cell r="A9" t="str">
            <v>Segment Sales</v>
          </cell>
        </row>
        <row r="10">
          <cell r="A10" t="str">
            <v>PET</v>
          </cell>
          <cell r="F10">
            <v>413</v>
          </cell>
          <cell r="I10">
            <v>1560</v>
          </cell>
          <cell r="J10">
            <v>1676.1999999999998</v>
          </cell>
          <cell r="K10">
            <v>3236.2</v>
          </cell>
          <cell r="L10">
            <v>1541</v>
          </cell>
          <cell r="M10">
            <v>1664.1999999999998</v>
          </cell>
          <cell r="N10">
            <v>3205.2</v>
          </cell>
          <cell r="O10">
            <v>1715</v>
          </cell>
          <cell r="P10">
            <v>1981.4</v>
          </cell>
          <cell r="Q10">
            <v>3696.4</v>
          </cell>
          <cell r="R10">
            <v>2026</v>
          </cell>
          <cell r="S10">
            <v>2022.9</v>
          </cell>
          <cell r="T10">
            <v>4048.9</v>
          </cell>
          <cell r="U10">
            <v>1970.4</v>
          </cell>
          <cell r="V10">
            <v>2009.1999999999998</v>
          </cell>
          <cell r="W10">
            <v>3979.6</v>
          </cell>
          <cell r="X10">
            <v>1456</v>
          </cell>
          <cell r="Y10">
            <v>1476.5</v>
          </cell>
          <cell r="Z10">
            <v>2932.5</v>
          </cell>
          <cell r="AA10">
            <v>1590</v>
          </cell>
          <cell r="AB10">
            <v>1660.8000000000002</v>
          </cell>
          <cell r="AC10">
            <v>3250.8</v>
          </cell>
          <cell r="AF10">
            <v>2816.9598432128882</v>
          </cell>
        </row>
        <row r="11">
          <cell r="A11" t="str">
            <v>Australasia</v>
          </cell>
          <cell r="F11">
            <v>1196</v>
          </cell>
          <cell r="I11">
            <v>1244</v>
          </cell>
          <cell r="J11">
            <v>1211.6999999999998</v>
          </cell>
          <cell r="K11">
            <v>2455.6999999999998</v>
          </cell>
          <cell r="L11">
            <v>1270</v>
          </cell>
          <cell r="M11">
            <v>1267.9000000000001</v>
          </cell>
          <cell r="N11">
            <v>2537.9</v>
          </cell>
          <cell r="O11">
            <v>1315</v>
          </cell>
          <cell r="P11">
            <v>1256.6999999999998</v>
          </cell>
          <cell r="Q11">
            <v>2571.6999999999998</v>
          </cell>
          <cell r="R11">
            <v>1321</v>
          </cell>
          <cell r="S11">
            <v>1239.9000000000001</v>
          </cell>
          <cell r="T11">
            <v>2560.9</v>
          </cell>
          <cell r="U11">
            <v>1294</v>
          </cell>
          <cell r="V11">
            <v>1230.1999999999998</v>
          </cell>
          <cell r="W11">
            <v>2524.1999999999998</v>
          </cell>
          <cell r="X11">
            <v>1230</v>
          </cell>
          <cell r="Y11">
            <v>1066.9000000000001</v>
          </cell>
          <cell r="Z11">
            <v>2296.9</v>
          </cell>
          <cell r="AA11">
            <v>1120.2</v>
          </cell>
          <cell r="AB11">
            <v>1019.4999999999998</v>
          </cell>
          <cell r="AC11">
            <v>2139.6999999999998</v>
          </cell>
          <cell r="AF11">
            <v>2205.5369567540893</v>
          </cell>
        </row>
        <row r="12">
          <cell r="A12" t="str">
            <v>Flexibles</v>
          </cell>
          <cell r="F12">
            <v>1298</v>
          </cell>
          <cell r="I12">
            <v>1864</v>
          </cell>
          <cell r="J12">
            <v>1616.9</v>
          </cell>
          <cell r="K12">
            <v>3480.9</v>
          </cell>
          <cell r="L12">
            <v>1583</v>
          </cell>
          <cell r="M12">
            <v>1670.1999999999998</v>
          </cell>
          <cell r="N12">
            <v>3253.2</v>
          </cell>
          <cell r="O12">
            <v>1705</v>
          </cell>
          <cell r="P12">
            <v>1266.1999999999998</v>
          </cell>
          <cell r="Q12">
            <v>2971.2</v>
          </cell>
          <cell r="R12">
            <v>1637</v>
          </cell>
          <cell r="S12">
            <v>1341.6</v>
          </cell>
          <cell r="T12">
            <v>2978.6</v>
          </cell>
          <cell r="U12">
            <v>1498</v>
          </cell>
          <cell r="V12">
            <v>1510.8000000000002</v>
          </cell>
          <cell r="W12">
            <v>3008.8</v>
          </cell>
          <cell r="X12">
            <v>1440.9</v>
          </cell>
          <cell r="Y12">
            <v>1431.2999999999997</v>
          </cell>
          <cell r="Z12">
            <v>2872.2</v>
          </cell>
          <cell r="AA12">
            <v>1465.1</v>
          </cell>
          <cell r="AB12">
            <v>1431.7000000000003</v>
          </cell>
          <cell r="AC12">
            <v>2896.8</v>
          </cell>
          <cell r="AF12">
            <v>2794.682333105281</v>
          </cell>
        </row>
        <row r="13">
          <cell r="A13" t="str">
            <v>Sunclipse</v>
          </cell>
          <cell r="F13">
            <v>719</v>
          </cell>
          <cell r="I13">
            <v>704</v>
          </cell>
          <cell r="J13">
            <v>595</v>
          </cell>
          <cell r="K13">
            <v>1299</v>
          </cell>
          <cell r="L13">
            <v>582</v>
          </cell>
          <cell r="M13">
            <v>576.09999999999991</v>
          </cell>
          <cell r="N13">
            <v>1158.0999999999999</v>
          </cell>
          <cell r="O13">
            <v>626</v>
          </cell>
          <cell r="P13">
            <v>592.70000000000005</v>
          </cell>
          <cell r="Q13">
            <v>1218.7</v>
          </cell>
          <cell r="R13">
            <v>630</v>
          </cell>
          <cell r="S13">
            <v>662.09999999999991</v>
          </cell>
          <cell r="T13">
            <v>1292.0999999999999</v>
          </cell>
          <cell r="U13">
            <v>651.6</v>
          </cell>
          <cell r="V13">
            <v>598.99999999999989</v>
          </cell>
          <cell r="W13">
            <v>1250.5999999999999</v>
          </cell>
          <cell r="X13">
            <v>572.29999999999995</v>
          </cell>
          <cell r="Y13">
            <v>534.40000000000009</v>
          </cell>
          <cell r="Z13">
            <v>1106.7</v>
          </cell>
          <cell r="AA13">
            <v>595.70000000000005</v>
          </cell>
          <cell r="AB13">
            <v>539.5</v>
          </cell>
          <cell r="AC13">
            <v>1135.2</v>
          </cell>
          <cell r="AF13">
            <v>996.96599372413755</v>
          </cell>
        </row>
        <row r="14">
          <cell r="A14" t="str">
            <v>Asia</v>
          </cell>
          <cell r="F14">
            <v>158</v>
          </cell>
          <cell r="I14">
            <v>143</v>
          </cell>
          <cell r="J14">
            <v>120.39999999999998</v>
          </cell>
          <cell r="K14">
            <v>263.39999999999998</v>
          </cell>
          <cell r="L14">
            <v>123</v>
          </cell>
          <cell r="M14">
            <v>126.5</v>
          </cell>
          <cell r="N14">
            <v>249.5</v>
          </cell>
          <cell r="O14">
            <v>133</v>
          </cell>
          <cell r="P14">
            <v>49.199999999999989</v>
          </cell>
          <cell r="Q14">
            <v>182.2</v>
          </cell>
          <cell r="R14">
            <v>138</v>
          </cell>
          <cell r="S14">
            <v>36.5</v>
          </cell>
          <cell r="T14">
            <v>174.5</v>
          </cell>
          <cell r="U14">
            <v>62.9</v>
          </cell>
          <cell r="V14">
            <v>59.000000000000007</v>
          </cell>
          <cell r="W14">
            <v>121.9</v>
          </cell>
          <cell r="X14">
            <v>58.4</v>
          </cell>
          <cell r="Y14">
            <v>59.199999999999996</v>
          </cell>
          <cell r="Z14">
            <v>117.6</v>
          </cell>
          <cell r="AA14">
            <v>69.900000000000006</v>
          </cell>
          <cell r="AB14">
            <v>53.699999999999989</v>
          </cell>
          <cell r="AC14">
            <v>123.6</v>
          </cell>
          <cell r="AF14">
            <v>114.9345516281859</v>
          </cell>
        </row>
        <row r="15">
          <cell r="A15" t="str">
            <v>Other/Discontinued/Intersegment</v>
          </cell>
          <cell r="F15">
            <v>-3</v>
          </cell>
          <cell r="I15">
            <v>-16</v>
          </cell>
          <cell r="J15">
            <v>-9.3000000000000007</v>
          </cell>
          <cell r="K15">
            <v>-25.3</v>
          </cell>
          <cell r="L15">
            <v>-3</v>
          </cell>
          <cell r="M15">
            <v>5</v>
          </cell>
          <cell r="N15">
            <v>2</v>
          </cell>
          <cell r="O15">
            <v>0</v>
          </cell>
          <cell r="P15">
            <v>459.4</v>
          </cell>
          <cell r="Q15">
            <v>459.4</v>
          </cell>
          <cell r="R15">
            <v>-2</v>
          </cell>
          <cell r="S15">
            <v>386.3</v>
          </cell>
          <cell r="T15">
            <v>384.3</v>
          </cell>
          <cell r="U15">
            <v>-4.8</v>
          </cell>
          <cell r="V15">
            <v>-5.1000000000000005</v>
          </cell>
          <cell r="W15">
            <v>-9.9</v>
          </cell>
          <cell r="X15">
            <v>-18.399999999999999</v>
          </cell>
          <cell r="Y15">
            <v>9.2999999999999989</v>
          </cell>
          <cell r="Z15">
            <v>-9.1</v>
          </cell>
          <cell r="AA15">
            <v>-5.6</v>
          </cell>
          <cell r="AB15">
            <v>-5.0999999999999996</v>
          </cell>
          <cell r="AC15">
            <v>-10.7</v>
          </cell>
          <cell r="AF15">
            <v>-10.7</v>
          </cell>
        </row>
        <row r="16">
          <cell r="A16" t="str">
            <v>Total Sales</v>
          </cell>
          <cell r="B16">
            <v>5737.2</v>
          </cell>
          <cell r="C16">
            <v>2739.1</v>
          </cell>
          <cell r="D16">
            <v>2928.1</v>
          </cell>
          <cell r="E16">
            <v>5667.2</v>
          </cell>
          <cell r="F16">
            <v>3781</v>
          </cell>
          <cell r="G16">
            <v>-1973.4</v>
          </cell>
          <cell r="H16">
            <v>1807.6</v>
          </cell>
          <cell r="I16">
            <v>5499</v>
          </cell>
          <cell r="J16">
            <v>5210.8999999999996</v>
          </cell>
          <cell r="K16">
            <v>10709.9</v>
          </cell>
          <cell r="L16">
            <v>5096</v>
          </cell>
          <cell r="M16">
            <v>5309.9</v>
          </cell>
          <cell r="N16">
            <v>10405.9</v>
          </cell>
          <cell r="O16">
            <v>5494</v>
          </cell>
          <cell r="P16">
            <v>5605.5999999999985</v>
          </cell>
          <cell r="Q16">
            <v>11099.6</v>
          </cell>
          <cell r="R16">
            <v>5750</v>
          </cell>
          <cell r="S16">
            <v>5689.3</v>
          </cell>
          <cell r="T16">
            <v>11439.3</v>
          </cell>
          <cell r="U16">
            <v>5472.0999999999995</v>
          </cell>
          <cell r="V16">
            <v>5403.0999999999995</v>
          </cell>
          <cell r="W16">
            <v>10875.199999999999</v>
          </cell>
          <cell r="X16">
            <v>4739.2</v>
          </cell>
          <cell r="Y16">
            <v>4577.6000000000004</v>
          </cell>
          <cell r="Z16">
            <v>9316.7999999999993</v>
          </cell>
          <cell r="AA16">
            <v>4835.2999999999984</v>
          </cell>
          <cell r="AB16">
            <v>4700.0999999999995</v>
          </cell>
          <cell r="AC16">
            <v>9535.4</v>
          </cell>
          <cell r="AD16">
            <v>0</v>
          </cell>
          <cell r="AE16">
            <v>0</v>
          </cell>
          <cell r="AF16">
            <v>8918.3796784245806</v>
          </cell>
        </row>
        <row r="18">
          <cell r="A18" t="str">
            <v>EBITDA</v>
          </cell>
          <cell r="B18">
            <v>789.6</v>
          </cell>
          <cell r="C18">
            <v>360.2</v>
          </cell>
          <cell r="D18">
            <v>388.1</v>
          </cell>
          <cell r="E18">
            <v>748.3</v>
          </cell>
          <cell r="F18">
            <v>443.5</v>
          </cell>
          <cell r="G18">
            <v>465.49999999999989</v>
          </cell>
          <cell r="H18">
            <v>909</v>
          </cell>
          <cell r="I18">
            <v>662.5</v>
          </cell>
          <cell r="J18">
            <v>1337.6999999999998</v>
          </cell>
          <cell r="K18">
            <v>1337.7</v>
          </cell>
          <cell r="L18">
            <v>622</v>
          </cell>
          <cell r="M18">
            <v>664.30000000000018</v>
          </cell>
          <cell r="N18">
            <v>1307.3000000000002</v>
          </cell>
          <cell r="O18">
            <v>647.89999999999986</v>
          </cell>
          <cell r="P18">
            <v>232.10000000000002</v>
          </cell>
          <cell r="Q18">
            <v>1283.6000000000001</v>
          </cell>
          <cell r="R18">
            <v>637.29999999999995</v>
          </cell>
          <cell r="S18">
            <v>611.79999999999995</v>
          </cell>
          <cell r="T18">
            <v>1249.0999999999999</v>
          </cell>
          <cell r="U18">
            <v>580.59999999999991</v>
          </cell>
          <cell r="V18">
            <v>618.29999999999995</v>
          </cell>
          <cell r="W18">
            <v>1198.8999999999999</v>
          </cell>
          <cell r="X18">
            <v>537.5</v>
          </cell>
          <cell r="Y18">
            <v>529.90000000000009</v>
          </cell>
          <cell r="Z18">
            <v>1067.4000000000001</v>
          </cell>
          <cell r="AA18">
            <v>535.70000000000005</v>
          </cell>
          <cell r="AB18">
            <v>553</v>
          </cell>
          <cell r="AC18">
            <v>1088.6999999999998</v>
          </cell>
          <cell r="AD18">
            <v>0</v>
          </cell>
          <cell r="AE18">
            <v>0</v>
          </cell>
          <cell r="AF18">
            <v>1372.2985083564245</v>
          </cell>
        </row>
        <row r="19">
          <cell r="A19" t="str">
            <v>Depr. and amort.</v>
          </cell>
          <cell r="R19">
            <v>236.1</v>
          </cell>
          <cell r="S19">
            <v>237.29999999999998</v>
          </cell>
          <cell r="T19">
            <v>473.4</v>
          </cell>
          <cell r="U19">
            <v>230</v>
          </cell>
          <cell r="V19">
            <v>237</v>
          </cell>
          <cell r="W19">
            <v>467</v>
          </cell>
          <cell r="X19">
            <v>203.7</v>
          </cell>
          <cell r="Y19">
            <v>206.70000000000005</v>
          </cell>
          <cell r="Z19">
            <v>410.40000000000003</v>
          </cell>
          <cell r="AA19">
            <v>218.9</v>
          </cell>
          <cell r="AB19">
            <v>223.20000000000002</v>
          </cell>
          <cell r="AC19">
            <v>442.1</v>
          </cell>
          <cell r="AF19">
            <v>546.50224250000008</v>
          </cell>
        </row>
        <row r="20">
          <cell r="A20" t="str">
            <v>Depreciation</v>
          </cell>
          <cell r="B20">
            <v>242.5</v>
          </cell>
          <cell r="C20">
            <v>114</v>
          </cell>
          <cell r="D20">
            <v>126.30000000000001</v>
          </cell>
          <cell r="E20">
            <v>240.3</v>
          </cell>
          <cell r="F20">
            <v>143.30000000000004</v>
          </cell>
          <cell r="G20">
            <v>134.89999999999995</v>
          </cell>
          <cell r="H20">
            <v>278.2</v>
          </cell>
          <cell r="I20">
            <v>248.8</v>
          </cell>
          <cell r="J20">
            <v>219.59999999999985</v>
          </cell>
          <cell r="K20">
            <v>468.39999999999986</v>
          </cell>
          <cell r="L20">
            <v>218.09999999999997</v>
          </cell>
          <cell r="M20">
            <v>237.10000000000008</v>
          </cell>
          <cell r="N20">
            <v>455.20000000000005</v>
          </cell>
          <cell r="O20">
            <v>229.7</v>
          </cell>
          <cell r="P20">
            <v>232.10000000000002</v>
          </cell>
          <cell r="Q20">
            <v>461.8</v>
          </cell>
          <cell r="AF20">
            <v>24</v>
          </cell>
          <cell r="AG20">
            <v>25</v>
          </cell>
          <cell r="AH20">
            <v>24</v>
          </cell>
          <cell r="AI20">
            <v>23</v>
          </cell>
          <cell r="AJ20">
            <v>24</v>
          </cell>
          <cell r="AK20">
            <v>25</v>
          </cell>
          <cell r="AL20">
            <v>26</v>
          </cell>
          <cell r="AM20">
            <v>27</v>
          </cell>
          <cell r="AN20">
            <v>28</v>
          </cell>
          <cell r="AO20">
            <v>29</v>
          </cell>
          <cell r="AP20" t="e">
            <v>#REF!</v>
          </cell>
        </row>
        <row r="21">
          <cell r="AE21" t="str">
            <v>UPDATE</v>
          </cell>
          <cell r="AF21" t="str">
            <v>1HFY08</v>
          </cell>
          <cell r="AG21" t="str">
            <v>2HFY08</v>
          </cell>
          <cell r="AH21" t="str">
            <v>1HFY08</v>
          </cell>
          <cell r="AI21" t="str">
            <v>UPDATE</v>
          </cell>
          <cell r="AJ21" t="str">
            <v>1HFY08</v>
          </cell>
          <cell r="AK21" t="str">
            <v>2HFY08</v>
          </cell>
          <cell r="AL21" t="str">
            <v>FY08</v>
          </cell>
          <cell r="AM21" t="str">
            <v>1HFY09</v>
          </cell>
          <cell r="AN21" t="str">
            <v>2HFY09</v>
          </cell>
          <cell r="AO21" t="str">
            <v>FY09</v>
          </cell>
        </row>
        <row r="22">
          <cell r="A22" t="str">
            <v>Segment EBITA</v>
          </cell>
        </row>
        <row r="23">
          <cell r="A23" t="str">
            <v>PET</v>
          </cell>
          <cell r="F23">
            <v>38.9</v>
          </cell>
          <cell r="I23">
            <v>126.1</v>
          </cell>
          <cell r="J23">
            <v>179.50000000000003</v>
          </cell>
          <cell r="K23">
            <v>305.60000000000002</v>
          </cell>
          <cell r="L23">
            <v>121.1</v>
          </cell>
          <cell r="M23">
            <v>147.1</v>
          </cell>
          <cell r="N23">
            <v>268.2</v>
          </cell>
          <cell r="AE23" t="str">
            <v>Half Yearly Forecasts</v>
          </cell>
          <cell r="AG23" t="str">
            <v>Half Yearly Forecasts</v>
          </cell>
          <cell r="AI23" t="str">
            <v>Half Yearly Forecasts</v>
          </cell>
        </row>
        <row r="24">
          <cell r="A24" t="str">
            <v>Australasia</v>
          </cell>
          <cell r="F24">
            <v>124.7</v>
          </cell>
          <cell r="I24">
            <v>140.80000000000001</v>
          </cell>
          <cell r="J24">
            <v>142</v>
          </cell>
          <cell r="K24">
            <v>282.8</v>
          </cell>
          <cell r="L24">
            <v>163</v>
          </cell>
          <cell r="M24">
            <v>153.5</v>
          </cell>
          <cell r="N24">
            <v>316.5</v>
          </cell>
          <cell r="AE24" t="str">
            <v>Dec HY</v>
          </cell>
          <cell r="AF24" t="str">
            <v>2008</v>
          </cell>
          <cell r="AG24" t="str">
            <v>2008</v>
          </cell>
          <cell r="AH24" t="str">
            <v>Change (%)</v>
          </cell>
          <cell r="AI24" t="str">
            <v>June Y/E</v>
          </cell>
          <cell r="AJ24" t="str">
            <v>1H F2008</v>
          </cell>
          <cell r="AK24" t="str">
            <v>2H F2008</v>
          </cell>
          <cell r="AL24" t="str">
            <v>F2008</v>
          </cell>
          <cell r="AM24" t="str">
            <v>1H F2009</v>
          </cell>
          <cell r="AN24" t="str">
            <v>2H F2009</v>
          </cell>
          <cell r="AO24" t="str">
            <v>F2009</v>
          </cell>
          <cell r="AP24" t="str">
            <v>Change (%)</v>
          </cell>
        </row>
        <row r="25">
          <cell r="A25" t="str">
            <v>Flexibles</v>
          </cell>
          <cell r="F25">
            <v>57.900000000000006</v>
          </cell>
          <cell r="I25">
            <v>101.69999999999999</v>
          </cell>
          <cell r="J25">
            <v>116</v>
          </cell>
          <cell r="K25">
            <v>217.7</v>
          </cell>
          <cell r="L25">
            <v>111.3</v>
          </cell>
          <cell r="M25">
            <v>120.49999999999999</v>
          </cell>
          <cell r="N25">
            <v>231.79999999999998</v>
          </cell>
          <cell r="AE25" t="str">
            <v>Segment Sales</v>
          </cell>
          <cell r="AG25" t="str">
            <v>Segment Sales</v>
          </cell>
          <cell r="AI25" t="str">
            <v>Segment Sales</v>
          </cell>
        </row>
        <row r="26">
          <cell r="A26" t="str">
            <v>Sunclipse</v>
          </cell>
          <cell r="F26">
            <v>51</v>
          </cell>
          <cell r="I26">
            <v>50.7</v>
          </cell>
          <cell r="J26">
            <v>34.099999999999994</v>
          </cell>
          <cell r="K26">
            <v>84.8</v>
          </cell>
          <cell r="L26">
            <v>32.799999999999997</v>
          </cell>
          <cell r="M26">
            <v>24.800000000000004</v>
          </cell>
          <cell r="N26">
            <v>57.6</v>
          </cell>
          <cell r="AE26" t="str">
            <v>PET</v>
          </cell>
          <cell r="AF26">
            <v>1456</v>
          </cell>
          <cell r="AG26">
            <v>1476.5</v>
          </cell>
          <cell r="AH26">
            <v>-1.3884185573992514</v>
          </cell>
          <cell r="AI26" t="str">
            <v>PET</v>
          </cell>
          <cell r="AJ26">
            <v>1456</v>
          </cell>
          <cell r="AK26">
            <v>1476.5</v>
          </cell>
          <cell r="AL26">
            <v>2932.5</v>
          </cell>
          <cell r="AM26">
            <v>1590</v>
          </cell>
          <cell r="AN26">
            <v>1660.8000000000002</v>
          </cell>
          <cell r="AO26">
            <v>3250.8</v>
          </cell>
          <cell r="AP26" t="str">
            <v>-</v>
          </cell>
          <cell r="AQ26">
            <v>10</v>
          </cell>
        </row>
        <row r="27">
          <cell r="A27" t="str">
            <v>Asia</v>
          </cell>
          <cell r="F27">
            <v>21.8</v>
          </cell>
          <cell r="I27">
            <v>20.6</v>
          </cell>
          <cell r="J27">
            <v>11.5</v>
          </cell>
          <cell r="K27">
            <v>32.1</v>
          </cell>
          <cell r="L27">
            <v>14.4</v>
          </cell>
          <cell r="M27">
            <v>16.100000000000001</v>
          </cell>
          <cell r="N27">
            <v>30.5</v>
          </cell>
          <cell r="AE27" t="str">
            <v>Australasia</v>
          </cell>
          <cell r="AF27">
            <v>1230</v>
          </cell>
          <cell r="AG27">
            <v>1066.9000000000001</v>
          </cell>
          <cell r="AH27">
            <v>15.287280907301515</v>
          </cell>
          <cell r="AI27" t="str">
            <v>Australasia</v>
          </cell>
          <cell r="AJ27">
            <v>1230</v>
          </cell>
          <cell r="AK27">
            <v>1066.9000000000001</v>
          </cell>
          <cell r="AL27">
            <v>2296.9</v>
          </cell>
          <cell r="AM27">
            <v>1120.2</v>
          </cell>
          <cell r="AN27">
            <v>1019.4999999999998</v>
          </cell>
          <cell r="AO27">
            <v>2139.6999999999998</v>
          </cell>
          <cell r="AP27" t="str">
            <v>-</v>
          </cell>
          <cell r="AQ27">
            <v>11</v>
          </cell>
        </row>
        <row r="28">
          <cell r="A28" t="str">
            <v>Other/Discontinued</v>
          </cell>
          <cell r="F28">
            <v>5.9</v>
          </cell>
          <cell r="I28">
            <v>-26.2</v>
          </cell>
          <cell r="J28">
            <v>-27.500000000000004</v>
          </cell>
          <cell r="K28">
            <v>-53.7</v>
          </cell>
          <cell r="L28">
            <v>-38.700000000000003</v>
          </cell>
          <cell r="M28">
            <v>-34.799999999999997</v>
          </cell>
          <cell r="N28">
            <v>-73.5</v>
          </cell>
          <cell r="AE28" t="str">
            <v>Flexibles</v>
          </cell>
          <cell r="AF28">
            <v>1440.9</v>
          </cell>
          <cell r="AG28">
            <v>1431.2999999999997</v>
          </cell>
          <cell r="AH28">
            <v>0.67071892684973378</v>
          </cell>
          <cell r="AI28" t="str">
            <v>Flexibles</v>
          </cell>
          <cell r="AJ28">
            <v>1440.9</v>
          </cell>
          <cell r="AK28">
            <v>1431.2999999999997</v>
          </cell>
          <cell r="AL28">
            <v>2872.2</v>
          </cell>
          <cell r="AM28">
            <v>1465.1</v>
          </cell>
          <cell r="AN28">
            <v>1431.7000000000003</v>
          </cell>
          <cell r="AO28">
            <v>2896.8</v>
          </cell>
          <cell r="AP28" t="str">
            <v>-</v>
          </cell>
          <cell r="AQ28">
            <v>12</v>
          </cell>
        </row>
        <row r="29">
          <cell r="A29" t="str">
            <v>Total EBITA</v>
          </cell>
          <cell r="B29">
            <v>547.1</v>
          </cell>
          <cell r="C29">
            <v>246.2</v>
          </cell>
          <cell r="D29">
            <v>261.8</v>
          </cell>
          <cell r="E29">
            <v>508</v>
          </cell>
          <cell r="F29">
            <v>300.2</v>
          </cell>
          <cell r="G29">
            <v>330.59999999999997</v>
          </cell>
          <cell r="H29">
            <v>630.79999999999995</v>
          </cell>
          <cell r="I29">
            <v>413.7</v>
          </cell>
          <cell r="J29">
            <v>869.30000000000007</v>
          </cell>
          <cell r="K29">
            <v>869.30000000000007</v>
          </cell>
          <cell r="L29">
            <v>403.90000000000003</v>
          </cell>
          <cell r="M29">
            <v>427.20000000000005</v>
          </cell>
          <cell r="N29">
            <v>831.1</v>
          </cell>
          <cell r="AE29" t="str">
            <v>Sunclipse</v>
          </cell>
          <cell r="AF29">
            <v>572.29999999999995</v>
          </cell>
          <cell r="AG29">
            <v>534.40000000000009</v>
          </cell>
          <cell r="AH29">
            <v>7.092065868263453</v>
          </cell>
          <cell r="AI29" t="str">
            <v>Sunclipse</v>
          </cell>
          <cell r="AJ29">
            <v>572.29999999999995</v>
          </cell>
          <cell r="AK29">
            <v>534.40000000000009</v>
          </cell>
          <cell r="AL29">
            <v>1106.7</v>
          </cell>
          <cell r="AM29">
            <v>595.70000000000005</v>
          </cell>
          <cell r="AN29">
            <v>539.5</v>
          </cell>
          <cell r="AO29">
            <v>1135.2</v>
          </cell>
          <cell r="AP29" t="str">
            <v>-</v>
          </cell>
          <cell r="AQ29">
            <v>13</v>
          </cell>
        </row>
        <row r="30">
          <cell r="AE30" t="str">
            <v>Asia</v>
          </cell>
          <cell r="AF30">
            <v>58.4</v>
          </cell>
          <cell r="AG30">
            <v>59.199999999999996</v>
          </cell>
          <cell r="AH30">
            <v>-1.3513513513513487</v>
          </cell>
          <cell r="AI30" t="str">
            <v>Asia</v>
          </cell>
          <cell r="AJ30">
            <v>58.4</v>
          </cell>
          <cell r="AK30">
            <v>59.199999999999996</v>
          </cell>
          <cell r="AL30">
            <v>117.6</v>
          </cell>
          <cell r="AM30">
            <v>69.900000000000006</v>
          </cell>
          <cell r="AN30">
            <v>53.699999999999989</v>
          </cell>
          <cell r="AO30">
            <v>123.6</v>
          </cell>
          <cell r="AP30" t="str">
            <v>-</v>
          </cell>
          <cell r="AQ30">
            <v>14</v>
          </cell>
        </row>
        <row r="31">
          <cell r="A31" t="str">
            <v>Amortisation</v>
          </cell>
          <cell r="F31">
            <v>28.099999999999966</v>
          </cell>
          <cell r="G31">
            <v>34.800000000000033</v>
          </cell>
          <cell r="H31">
            <v>62.9</v>
          </cell>
          <cell r="I31">
            <v>71.399999999999977</v>
          </cell>
          <cell r="J31">
            <v>67.400000000000091</v>
          </cell>
          <cell r="K31">
            <v>138.80000000000007</v>
          </cell>
          <cell r="L31">
            <v>64.000000000000057</v>
          </cell>
          <cell r="M31">
            <v>63.599999999999966</v>
          </cell>
          <cell r="N31">
            <v>127.60000000000002</v>
          </cell>
          <cell r="AE31" t="str">
            <v>Other/Discontinued/Intersegment</v>
          </cell>
          <cell r="AF31">
            <v>-18.399999999999999</v>
          </cell>
          <cell r="AG31">
            <v>9.2999999999999989</v>
          </cell>
          <cell r="AH31">
            <v>-297.84946236559142</v>
          </cell>
          <cell r="AI31" t="str">
            <v>Other/Discont./Intersegment</v>
          </cell>
          <cell r="AJ31">
            <v>-18.399999999999999</v>
          </cell>
          <cell r="AK31">
            <v>9.2999999999999989</v>
          </cell>
          <cell r="AL31">
            <v>-9.1</v>
          </cell>
          <cell r="AM31">
            <v>-5.6</v>
          </cell>
          <cell r="AN31">
            <v>-5.0999999999999996</v>
          </cell>
          <cell r="AO31">
            <v>-10.7</v>
          </cell>
          <cell r="AP31" t="str">
            <v>-</v>
          </cell>
          <cell r="AQ31">
            <v>15</v>
          </cell>
        </row>
        <row r="32">
          <cell r="A32" t="str">
            <v>Total EBIT (post amort)</v>
          </cell>
          <cell r="F32">
            <v>272.10000000000002</v>
          </cell>
          <cell r="G32">
            <v>295.79999999999995</v>
          </cell>
          <cell r="H32">
            <v>567.9</v>
          </cell>
          <cell r="I32">
            <v>342.3</v>
          </cell>
          <cell r="J32">
            <v>388.2</v>
          </cell>
          <cell r="K32">
            <v>730.5</v>
          </cell>
          <cell r="L32">
            <v>339.9</v>
          </cell>
          <cell r="M32">
            <v>363.6</v>
          </cell>
          <cell r="N32">
            <v>703.5</v>
          </cell>
          <cell r="AE32" t="str">
            <v>Total Sales</v>
          </cell>
          <cell r="AF32">
            <v>4739.2</v>
          </cell>
          <cell r="AG32">
            <v>4577.6000000000004</v>
          </cell>
          <cell r="AH32">
            <v>3.5302341838517881</v>
          </cell>
          <cell r="AI32" t="str">
            <v>Total Sales</v>
          </cell>
          <cell r="AJ32">
            <v>4739.2</v>
          </cell>
          <cell r="AK32">
            <v>4577.6000000000004</v>
          </cell>
          <cell r="AL32">
            <v>9316.7999999999993</v>
          </cell>
          <cell r="AM32">
            <v>4835.2999999999984</v>
          </cell>
          <cell r="AN32">
            <v>4700.0999999999995</v>
          </cell>
          <cell r="AO32">
            <v>9535.4</v>
          </cell>
          <cell r="AP32" t="str">
            <v>-</v>
          </cell>
          <cell r="AQ32">
            <v>16</v>
          </cell>
        </row>
        <row r="34">
          <cell r="A34" t="str">
            <v>Segment EBIT</v>
          </cell>
          <cell r="AE34" t="str">
            <v>EBITDA</v>
          </cell>
          <cell r="AF34">
            <v>537.5</v>
          </cell>
          <cell r="AG34">
            <v>529.90000000000009</v>
          </cell>
          <cell r="AH34">
            <v>1.4342328741271837</v>
          </cell>
          <cell r="AI34" t="str">
            <v>EBITDA</v>
          </cell>
          <cell r="AJ34">
            <v>537.5</v>
          </cell>
          <cell r="AK34">
            <v>529.90000000000009</v>
          </cell>
          <cell r="AL34">
            <v>1067.4000000000001</v>
          </cell>
          <cell r="AM34">
            <v>535.70000000000005</v>
          </cell>
          <cell r="AN34">
            <v>553</v>
          </cell>
          <cell r="AO34">
            <v>1088.6999999999998</v>
          </cell>
          <cell r="AP34" t="str">
            <v>-</v>
          </cell>
          <cell r="AQ34">
            <v>18</v>
          </cell>
        </row>
        <row r="35">
          <cell r="A35" t="str">
            <v>PET</v>
          </cell>
          <cell r="O35">
            <v>110.6</v>
          </cell>
          <cell r="P35">
            <v>149.20000000000002</v>
          </cell>
          <cell r="Q35">
            <v>259.8</v>
          </cell>
          <cell r="R35">
            <v>130.30000000000001</v>
          </cell>
          <cell r="S35">
            <v>114.69999999999999</v>
          </cell>
          <cell r="T35">
            <v>245</v>
          </cell>
          <cell r="U35">
            <v>118</v>
          </cell>
          <cell r="V35">
            <v>143.39999999999998</v>
          </cell>
          <cell r="W35">
            <v>261.39999999999998</v>
          </cell>
          <cell r="X35">
            <v>99.3</v>
          </cell>
          <cell r="Y35">
            <v>121.8</v>
          </cell>
          <cell r="Z35">
            <v>221.1</v>
          </cell>
          <cell r="AA35">
            <v>102.2</v>
          </cell>
          <cell r="AB35">
            <v>140.39999999999998</v>
          </cell>
          <cell r="AC35">
            <v>242.6</v>
          </cell>
          <cell r="AE35" t="str">
            <v>Depreciation and amortisation</v>
          </cell>
          <cell r="AF35">
            <v>239.48562780632881</v>
          </cell>
          <cell r="AG35">
            <v>206.70000000000005</v>
          </cell>
          <cell r="AH35">
            <v>-1.451378809869408</v>
          </cell>
          <cell r="AI35" t="str">
            <v>Depr. and amort.</v>
          </cell>
          <cell r="AJ35">
            <v>203.7</v>
          </cell>
          <cell r="AK35">
            <v>206.70000000000005</v>
          </cell>
          <cell r="AL35">
            <v>410.40000000000003</v>
          </cell>
          <cell r="AM35">
            <v>218.9</v>
          </cell>
          <cell r="AN35">
            <v>223.20000000000002</v>
          </cell>
          <cell r="AO35">
            <v>442.1</v>
          </cell>
          <cell r="AP35" t="str">
            <v>-</v>
          </cell>
          <cell r="AQ35">
            <v>19</v>
          </cell>
        </row>
        <row r="36">
          <cell r="A36" t="str">
            <v>Australasia</v>
          </cell>
          <cell r="O36">
            <v>175.2</v>
          </cell>
          <cell r="P36">
            <v>140.60000000000002</v>
          </cell>
          <cell r="Q36">
            <v>315.8</v>
          </cell>
          <cell r="R36">
            <v>153.80000000000001</v>
          </cell>
          <cell r="S36">
            <v>108.59999999999997</v>
          </cell>
          <cell r="T36">
            <v>262.39999999999998</v>
          </cell>
          <cell r="U36">
            <v>121.7</v>
          </cell>
          <cell r="V36">
            <v>100.2</v>
          </cell>
          <cell r="W36">
            <v>221.9</v>
          </cell>
          <cell r="X36">
            <v>120.60000000000001</v>
          </cell>
          <cell r="Y36">
            <v>75.399999999999991</v>
          </cell>
          <cell r="Z36">
            <v>196</v>
          </cell>
          <cell r="AA36">
            <v>74.3</v>
          </cell>
          <cell r="AB36">
            <v>38.900000000000006</v>
          </cell>
          <cell r="AC36">
            <v>113.2</v>
          </cell>
          <cell r="AF36">
            <v>135.09890362334809</v>
          </cell>
        </row>
        <row r="37">
          <cell r="A37" t="str">
            <v>Flexibles</v>
          </cell>
          <cell r="O37">
            <v>109</v>
          </cell>
          <cell r="P37">
            <v>81.400000000000006</v>
          </cell>
          <cell r="Q37">
            <v>190.4</v>
          </cell>
          <cell r="R37">
            <v>95.1</v>
          </cell>
          <cell r="S37">
            <v>93.300000000000011</v>
          </cell>
          <cell r="T37">
            <v>188.4</v>
          </cell>
          <cell r="U37">
            <v>85.1</v>
          </cell>
          <cell r="V37">
            <v>113.4</v>
          </cell>
          <cell r="W37">
            <v>198.5</v>
          </cell>
          <cell r="X37">
            <v>83.1</v>
          </cell>
          <cell r="Y37">
            <v>106.80000000000001</v>
          </cell>
          <cell r="Z37">
            <v>189.9</v>
          </cell>
          <cell r="AA37">
            <v>106.5</v>
          </cell>
          <cell r="AB37">
            <v>135.6</v>
          </cell>
          <cell r="AC37">
            <v>242.1</v>
          </cell>
          <cell r="AE37" t="str">
            <v>Segment EBIT</v>
          </cell>
          <cell r="AF37">
            <v>248.9834300280786</v>
          </cell>
          <cell r="AG37" t="str">
            <v>Segment EBIT</v>
          </cell>
          <cell r="AI37" t="str">
            <v>Segment EBIT</v>
          </cell>
        </row>
        <row r="38">
          <cell r="A38" t="str">
            <v>Sunclipse</v>
          </cell>
          <cell r="O38">
            <v>39.6</v>
          </cell>
          <cell r="P38">
            <v>15.100000000000001</v>
          </cell>
          <cell r="Q38">
            <v>54.7</v>
          </cell>
          <cell r="R38">
            <v>31.2</v>
          </cell>
          <cell r="S38">
            <v>33.899999999999991</v>
          </cell>
          <cell r="T38">
            <v>65.099999999999994</v>
          </cell>
          <cell r="U38">
            <v>36.299999999999997</v>
          </cell>
          <cell r="V38">
            <v>27</v>
          </cell>
          <cell r="W38">
            <v>63.3</v>
          </cell>
          <cell r="X38">
            <v>36.299999999999997</v>
          </cell>
          <cell r="Y38">
            <v>24.900000000000006</v>
          </cell>
          <cell r="Z38">
            <v>61.2</v>
          </cell>
          <cell r="AA38">
            <v>24.5</v>
          </cell>
          <cell r="AB38">
            <v>14.600000000000001</v>
          </cell>
          <cell r="AC38">
            <v>39.1</v>
          </cell>
          <cell r="AE38" t="str">
            <v>PET</v>
          </cell>
          <cell r="AF38">
            <v>34.245454179146151</v>
          </cell>
          <cell r="AG38">
            <v>121.8</v>
          </cell>
          <cell r="AH38">
            <v>-18.472906403940893</v>
          </cell>
          <cell r="AI38" t="str">
            <v>PET</v>
          </cell>
          <cell r="AJ38">
            <v>99.3</v>
          </cell>
          <cell r="AK38">
            <v>121.8</v>
          </cell>
          <cell r="AL38">
            <v>221.1</v>
          </cell>
          <cell r="AM38">
            <v>102.2</v>
          </cell>
          <cell r="AN38">
            <v>140.39999999999998</v>
          </cell>
          <cell r="AO38">
            <v>242.6</v>
          </cell>
          <cell r="AP38" t="str">
            <v>-</v>
          </cell>
          <cell r="AQ38">
            <v>35</v>
          </cell>
        </row>
        <row r="39">
          <cell r="A39" t="str">
            <v>Asia</v>
          </cell>
          <cell r="O39">
            <v>15.9</v>
          </cell>
          <cell r="P39">
            <v>7.2000000000000011</v>
          </cell>
          <cell r="Q39">
            <v>23.1</v>
          </cell>
          <cell r="R39">
            <v>16.899999999999999</v>
          </cell>
          <cell r="S39">
            <v>12.900000000000002</v>
          </cell>
          <cell r="T39">
            <v>29.8</v>
          </cell>
          <cell r="U39">
            <v>16.600000000000001</v>
          </cell>
          <cell r="V39">
            <v>18.399999999999999</v>
          </cell>
          <cell r="W39">
            <v>35</v>
          </cell>
          <cell r="X39">
            <v>19.399999999999999</v>
          </cell>
          <cell r="Y39">
            <v>17.200000000000003</v>
          </cell>
          <cell r="Z39">
            <v>36.6</v>
          </cell>
          <cell r="AA39">
            <v>24.7</v>
          </cell>
          <cell r="AB39">
            <v>23.400000000000002</v>
          </cell>
          <cell r="AC39">
            <v>48.1</v>
          </cell>
          <cell r="AE39" t="str">
            <v>Australasia</v>
          </cell>
          <cell r="AF39">
            <v>47.195350219522687</v>
          </cell>
          <cell r="AG39">
            <v>75.399999999999991</v>
          </cell>
          <cell r="AH39">
            <v>59.946949602122032</v>
          </cell>
          <cell r="AI39" t="str">
            <v>Australasia</v>
          </cell>
          <cell r="AJ39">
            <v>120.60000000000001</v>
          </cell>
          <cell r="AK39">
            <v>75.399999999999991</v>
          </cell>
          <cell r="AL39">
            <v>196</v>
          </cell>
          <cell r="AM39">
            <v>74.3</v>
          </cell>
          <cell r="AN39">
            <v>38.900000000000006</v>
          </cell>
          <cell r="AO39">
            <v>113.2</v>
          </cell>
          <cell r="AP39" t="str">
            <v>-</v>
          </cell>
          <cell r="AQ39">
            <v>36</v>
          </cell>
        </row>
        <row r="40">
          <cell r="A40" t="str">
            <v>Other/Discontinued</v>
          </cell>
          <cell r="O40">
            <v>-32.1</v>
          </cell>
          <cell r="P40">
            <v>10.100000000000005</v>
          </cell>
          <cell r="Q40">
            <v>-21.999999999999996</v>
          </cell>
          <cell r="R40">
            <v>-26.1</v>
          </cell>
          <cell r="S40">
            <v>11.100000000000001</v>
          </cell>
          <cell r="T40">
            <v>-15</v>
          </cell>
          <cell r="U40">
            <v>-27.1</v>
          </cell>
          <cell r="V40">
            <v>-21.1</v>
          </cell>
          <cell r="W40">
            <v>-48.2</v>
          </cell>
          <cell r="X40">
            <v>-24.9</v>
          </cell>
          <cell r="Y40">
            <v>-22.9</v>
          </cell>
          <cell r="Z40">
            <v>-47.8</v>
          </cell>
          <cell r="AA40">
            <v>-15.4</v>
          </cell>
          <cell r="AB40">
            <v>-23.1</v>
          </cell>
          <cell r="AC40">
            <v>-38.5</v>
          </cell>
          <cell r="AE40" t="str">
            <v>Flexibles</v>
          </cell>
          <cell r="AF40">
            <v>-39.462499999999999</v>
          </cell>
          <cell r="AG40">
            <v>106.80000000000001</v>
          </cell>
          <cell r="AH40">
            <v>-22.19101123595507</v>
          </cell>
          <cell r="AI40" t="str">
            <v>Flexibles</v>
          </cell>
          <cell r="AJ40">
            <v>83.1</v>
          </cell>
          <cell r="AK40">
            <v>106.80000000000001</v>
          </cell>
          <cell r="AL40">
            <v>189.9</v>
          </cell>
          <cell r="AM40">
            <v>106.5</v>
          </cell>
          <cell r="AN40">
            <v>135.6</v>
          </cell>
          <cell r="AO40">
            <v>242.1</v>
          </cell>
          <cell r="AP40" t="str">
            <v>-</v>
          </cell>
          <cell r="AQ40">
            <v>37</v>
          </cell>
        </row>
        <row r="41">
          <cell r="A41" t="str">
            <v>Total EBIT</v>
          </cell>
          <cell r="H41">
            <v>567.9</v>
          </cell>
          <cell r="I41">
            <v>342.3</v>
          </cell>
          <cell r="J41">
            <v>388.2</v>
          </cell>
          <cell r="K41">
            <v>730.5</v>
          </cell>
          <cell r="L41">
            <v>339.9</v>
          </cell>
          <cell r="M41">
            <v>363.6</v>
          </cell>
          <cell r="N41">
            <v>703.5</v>
          </cell>
          <cell r="O41">
            <v>418.19999999999993</v>
          </cell>
          <cell r="P41">
            <v>403.60000000000014</v>
          </cell>
          <cell r="Q41">
            <v>821.80000000000007</v>
          </cell>
          <cell r="R41">
            <v>401.2</v>
          </cell>
          <cell r="S41">
            <v>374.49999999999994</v>
          </cell>
          <cell r="T41">
            <v>775.69999999999993</v>
          </cell>
          <cell r="U41">
            <v>350.59999999999997</v>
          </cell>
          <cell r="V41">
            <v>381.29999999999995</v>
          </cell>
          <cell r="W41">
            <v>731.89999999999986</v>
          </cell>
          <cell r="X41">
            <v>333.8</v>
          </cell>
          <cell r="Y41">
            <v>323.2</v>
          </cell>
          <cell r="Z41">
            <v>657.00000000000011</v>
          </cell>
          <cell r="AA41">
            <v>316.8</v>
          </cell>
          <cell r="AB41">
            <v>329.79999999999995</v>
          </cell>
          <cell r="AC41">
            <v>646.6</v>
          </cell>
          <cell r="AD41">
            <v>0</v>
          </cell>
          <cell r="AE41">
            <v>0</v>
          </cell>
          <cell r="AF41">
            <v>665.54626585642427</v>
          </cell>
          <cell r="AG41">
            <v>24.900000000000006</v>
          </cell>
          <cell r="AH41">
            <v>45.783132530120426</v>
          </cell>
          <cell r="AI41" t="str">
            <v>Sunclipse</v>
          </cell>
          <cell r="AJ41">
            <v>36.299999999999997</v>
          </cell>
          <cell r="AK41">
            <v>24.900000000000006</v>
          </cell>
          <cell r="AL41">
            <v>61.2</v>
          </cell>
          <cell r="AM41">
            <v>24.5</v>
          </cell>
          <cell r="AN41">
            <v>14.600000000000001</v>
          </cell>
          <cell r="AO41">
            <v>39.1</v>
          </cell>
          <cell r="AP41" t="str">
            <v>-</v>
          </cell>
          <cell r="AQ41">
            <v>38</v>
          </cell>
        </row>
        <row r="42">
          <cell r="AE42" t="str">
            <v>Asia</v>
          </cell>
          <cell r="AF42">
            <v>19.399999999999999</v>
          </cell>
          <cell r="AG42">
            <v>17.200000000000003</v>
          </cell>
          <cell r="AH42">
            <v>12.790697674418583</v>
          </cell>
          <cell r="AI42" t="str">
            <v>Asia</v>
          </cell>
          <cell r="AJ42">
            <v>19.399999999999999</v>
          </cell>
          <cell r="AK42">
            <v>17.200000000000003</v>
          </cell>
          <cell r="AL42">
            <v>36.6</v>
          </cell>
          <cell r="AM42">
            <v>24.7</v>
          </cell>
          <cell r="AN42">
            <v>23.400000000000002</v>
          </cell>
          <cell r="AO42">
            <v>48.1</v>
          </cell>
          <cell r="AP42" t="str">
            <v>-</v>
          </cell>
          <cell r="AQ42">
            <v>39</v>
          </cell>
        </row>
        <row r="43">
          <cell r="A43" t="str">
            <v>Net Interest Expense &amp; PACRS</v>
          </cell>
          <cell r="B43">
            <v>130.69999999999999</v>
          </cell>
          <cell r="C43">
            <v>62.1</v>
          </cell>
          <cell r="D43">
            <v>81.900000000000034</v>
          </cell>
          <cell r="E43">
            <v>144.00000000000003</v>
          </cell>
          <cell r="F43">
            <v>85.8</v>
          </cell>
          <cell r="G43">
            <v>72.09999999999998</v>
          </cell>
          <cell r="H43">
            <v>157.89999999999998</v>
          </cell>
          <cell r="I43">
            <v>99.8</v>
          </cell>
          <cell r="J43">
            <v>107.7</v>
          </cell>
          <cell r="K43">
            <v>207.5</v>
          </cell>
          <cell r="L43">
            <v>88.2</v>
          </cell>
          <cell r="M43">
            <v>96.40000000000002</v>
          </cell>
          <cell r="N43">
            <v>184.60000000000002</v>
          </cell>
          <cell r="O43">
            <v>107.2</v>
          </cell>
          <cell r="P43">
            <v>111.49999999999999</v>
          </cell>
          <cell r="Q43">
            <v>218.7</v>
          </cell>
          <cell r="R43">
            <v>124</v>
          </cell>
          <cell r="S43">
            <v>122.59999999999997</v>
          </cell>
          <cell r="T43">
            <v>246.59999999999997</v>
          </cell>
          <cell r="U43">
            <v>104.5</v>
          </cell>
          <cell r="V43">
            <v>110.4</v>
          </cell>
          <cell r="W43">
            <v>214.9</v>
          </cell>
          <cell r="X43">
            <v>91.7</v>
          </cell>
          <cell r="Y43">
            <v>87.7</v>
          </cell>
          <cell r="Z43">
            <v>179.4</v>
          </cell>
          <cell r="AA43">
            <v>102.9</v>
          </cell>
          <cell r="AB43">
            <v>78.799999999999983</v>
          </cell>
          <cell r="AC43">
            <v>181.7</v>
          </cell>
          <cell r="AE43" t="str">
            <v>Other/Discontinued</v>
          </cell>
          <cell r="AF43">
            <v>144.80887200000001</v>
          </cell>
          <cell r="AG43">
            <v>-22.9</v>
          </cell>
          <cell r="AH43">
            <v>8.7336244541484689</v>
          </cell>
          <cell r="AI43" t="str">
            <v>Other/Discont.</v>
          </cell>
          <cell r="AJ43">
            <v>-24.9</v>
          </cell>
          <cell r="AK43">
            <v>-22.9</v>
          </cell>
          <cell r="AL43">
            <v>-47.8</v>
          </cell>
          <cell r="AM43">
            <v>-15.4</v>
          </cell>
          <cell r="AN43">
            <v>-23.1</v>
          </cell>
          <cell r="AO43">
            <v>-38.5</v>
          </cell>
          <cell r="AP43" t="str">
            <v>-</v>
          </cell>
          <cell r="AQ43">
            <v>40</v>
          </cell>
        </row>
        <row r="44">
          <cell r="A44" t="str">
            <v>PBT</v>
          </cell>
          <cell r="B44">
            <v>416.40000000000003</v>
          </cell>
          <cell r="C44">
            <v>184.1</v>
          </cell>
          <cell r="D44">
            <v>179.9</v>
          </cell>
          <cell r="E44">
            <v>364</v>
          </cell>
          <cell r="F44">
            <v>186.3</v>
          </cell>
          <cell r="G44">
            <v>223.7</v>
          </cell>
          <cell r="H44">
            <v>410</v>
          </cell>
          <cell r="I44">
            <v>242.5</v>
          </cell>
          <cell r="J44">
            <v>280.5</v>
          </cell>
          <cell r="K44">
            <v>523</v>
          </cell>
          <cell r="L44">
            <v>251.7</v>
          </cell>
          <cell r="M44">
            <v>267.2</v>
          </cell>
          <cell r="N44">
            <v>518.9</v>
          </cell>
          <cell r="O44">
            <v>310.99999999999994</v>
          </cell>
          <cell r="P44">
            <v>292.10000000000019</v>
          </cell>
          <cell r="Q44">
            <v>603.10000000000014</v>
          </cell>
          <cell r="R44">
            <v>277.2</v>
          </cell>
          <cell r="S44">
            <v>251.89999999999992</v>
          </cell>
          <cell r="T44">
            <v>529.09999999999991</v>
          </cell>
          <cell r="U44">
            <v>246.09999999999997</v>
          </cell>
          <cell r="V44">
            <v>270.89999999999998</v>
          </cell>
          <cell r="W44">
            <v>516.99999999999989</v>
          </cell>
          <cell r="X44">
            <v>242.10000000000002</v>
          </cell>
          <cell r="Y44">
            <v>235.5</v>
          </cell>
          <cell r="Z44">
            <v>477.60000000000014</v>
          </cell>
          <cell r="AA44">
            <v>213.9</v>
          </cell>
          <cell r="AB44">
            <v>250.99999999999997</v>
          </cell>
          <cell r="AC44">
            <v>464.90000000000003</v>
          </cell>
          <cell r="AE44" t="str">
            <v>Total EBIT</v>
          </cell>
          <cell r="AF44">
            <v>520.73739385642421</v>
          </cell>
          <cell r="AG44">
            <v>323.2</v>
          </cell>
          <cell r="AH44">
            <v>3.2797029702970271</v>
          </cell>
          <cell r="AI44" t="str">
            <v>Total EBIT</v>
          </cell>
          <cell r="AJ44">
            <v>333.8</v>
          </cell>
          <cell r="AK44">
            <v>323.2</v>
          </cell>
          <cell r="AL44">
            <v>657.00000000000011</v>
          </cell>
          <cell r="AM44">
            <v>316.8</v>
          </cell>
          <cell r="AN44">
            <v>329.79999999999995</v>
          </cell>
          <cell r="AO44">
            <v>646.6</v>
          </cell>
          <cell r="AP44" t="str">
            <v>-</v>
          </cell>
          <cell r="AQ44">
            <v>41</v>
          </cell>
        </row>
        <row r="45">
          <cell r="A45" t="str">
            <v>Tax (pre sig. items)</v>
          </cell>
          <cell r="B45">
            <v>133.5</v>
          </cell>
          <cell r="C45">
            <v>60.8</v>
          </cell>
          <cell r="D45">
            <v>61.7</v>
          </cell>
          <cell r="E45">
            <v>122.5</v>
          </cell>
          <cell r="F45">
            <v>51.9</v>
          </cell>
          <cell r="G45">
            <v>68.300000000000011</v>
          </cell>
          <cell r="H45">
            <v>120.2</v>
          </cell>
          <cell r="I45">
            <v>63.2</v>
          </cell>
          <cell r="J45">
            <v>57.899999999999977</v>
          </cell>
          <cell r="K45">
            <v>121.09999999999998</v>
          </cell>
          <cell r="L45">
            <v>58</v>
          </cell>
          <cell r="M45">
            <v>57.099999999999994</v>
          </cell>
          <cell r="N45">
            <v>115.1</v>
          </cell>
          <cell r="O45">
            <v>67.3</v>
          </cell>
          <cell r="P45">
            <v>63.899999999999991</v>
          </cell>
          <cell r="Q45">
            <v>131.19999999999999</v>
          </cell>
          <cell r="R45">
            <v>59.6</v>
          </cell>
          <cell r="S45">
            <v>51.499999999999993</v>
          </cell>
          <cell r="T45">
            <v>111.1</v>
          </cell>
          <cell r="U45">
            <v>52.9</v>
          </cell>
          <cell r="V45">
            <v>55.699999999999996</v>
          </cell>
          <cell r="W45">
            <v>108.6</v>
          </cell>
          <cell r="X45">
            <v>51.7</v>
          </cell>
          <cell r="Y45">
            <v>49.099999999999994</v>
          </cell>
          <cell r="Z45">
            <v>100.8</v>
          </cell>
          <cell r="AA45">
            <v>43.3</v>
          </cell>
          <cell r="AB45">
            <v>55</v>
          </cell>
          <cell r="AC45">
            <v>98.3</v>
          </cell>
          <cell r="AF45">
            <v>174.29621815692727</v>
          </cell>
        </row>
        <row r="46">
          <cell r="A46" t="str">
            <v>Minorities</v>
          </cell>
          <cell r="B46">
            <v>5.9</v>
          </cell>
          <cell r="C46">
            <v>0.3</v>
          </cell>
          <cell r="D46">
            <v>3.1</v>
          </cell>
          <cell r="E46">
            <v>3.4</v>
          </cell>
          <cell r="F46">
            <v>4.5</v>
          </cell>
          <cell r="G46">
            <v>4.8000000000000007</v>
          </cell>
          <cell r="H46">
            <v>9.3000000000000007</v>
          </cell>
          <cell r="I46">
            <v>3.4</v>
          </cell>
          <cell r="J46">
            <v>13.4</v>
          </cell>
          <cell r="K46">
            <v>16.8</v>
          </cell>
          <cell r="L46">
            <v>5.9</v>
          </cell>
          <cell r="M46">
            <v>8.6</v>
          </cell>
          <cell r="N46">
            <v>14.5</v>
          </cell>
          <cell r="O46">
            <v>5.0999999999999996</v>
          </cell>
          <cell r="P46">
            <v>8</v>
          </cell>
          <cell r="Q46">
            <v>13.1</v>
          </cell>
          <cell r="R46">
            <v>3.2</v>
          </cell>
          <cell r="S46">
            <v>8.8999999999999986</v>
          </cell>
          <cell r="T46">
            <v>12.099999999999998</v>
          </cell>
          <cell r="U46">
            <v>8.1999999999999993</v>
          </cell>
          <cell r="V46">
            <v>3.2000000000000011</v>
          </cell>
          <cell r="W46">
            <v>11.4</v>
          </cell>
          <cell r="X46">
            <v>5.4</v>
          </cell>
          <cell r="Y46">
            <v>2.2999999999999998</v>
          </cell>
          <cell r="Z46">
            <v>7.7</v>
          </cell>
          <cell r="AA46">
            <v>3.2</v>
          </cell>
          <cell r="AB46">
            <v>2.8999999999999995</v>
          </cell>
          <cell r="AC46">
            <v>6.1</v>
          </cell>
          <cell r="AE46" t="str">
            <v>Net Interest Expense &amp; PACRS</v>
          </cell>
          <cell r="AF46">
            <v>6.1</v>
          </cell>
          <cell r="AG46">
            <v>87.7</v>
          </cell>
          <cell r="AH46">
            <v>4.5610034207525629</v>
          </cell>
          <cell r="AI46" t="str">
            <v>Net Interest Expense &amp; PACRS</v>
          </cell>
          <cell r="AJ46">
            <v>91.7</v>
          </cell>
          <cell r="AK46">
            <v>87.7</v>
          </cell>
          <cell r="AL46">
            <v>179.4</v>
          </cell>
          <cell r="AM46">
            <v>102.9</v>
          </cell>
          <cell r="AN46">
            <v>78.799999999999983</v>
          </cell>
          <cell r="AO46">
            <v>181.7</v>
          </cell>
          <cell r="AP46" t="str">
            <v>-</v>
          </cell>
          <cell r="AQ46">
            <v>43</v>
          </cell>
        </row>
        <row r="47">
          <cell r="AE47" t="str">
            <v>PBT</v>
          </cell>
          <cell r="AF47">
            <v>242.10000000000002</v>
          </cell>
          <cell r="AG47">
            <v>235.5</v>
          </cell>
          <cell r="AH47">
            <v>2.8025477707006363</v>
          </cell>
          <cell r="AI47" t="str">
            <v>PBT</v>
          </cell>
          <cell r="AJ47">
            <v>242.10000000000002</v>
          </cell>
          <cell r="AK47">
            <v>235.5</v>
          </cell>
          <cell r="AL47">
            <v>477.60000000000014</v>
          </cell>
          <cell r="AM47">
            <v>213.9</v>
          </cell>
          <cell r="AN47">
            <v>250.99999999999997</v>
          </cell>
          <cell r="AO47">
            <v>464.90000000000003</v>
          </cell>
          <cell r="AP47" t="str">
            <v>-</v>
          </cell>
          <cell r="AQ47">
            <v>44</v>
          </cell>
        </row>
        <row r="48">
          <cell r="A48" t="str">
            <v>NPAT (before sig. items)</v>
          </cell>
          <cell r="B48">
            <v>277.00000000000006</v>
          </cell>
          <cell r="C48">
            <v>123</v>
          </cell>
          <cell r="D48">
            <v>115.1</v>
          </cell>
          <cell r="E48">
            <v>238.1</v>
          </cell>
          <cell r="F48">
            <v>129.9</v>
          </cell>
          <cell r="G48">
            <v>150.60000000000011</v>
          </cell>
          <cell r="H48">
            <v>280.50000000000011</v>
          </cell>
          <cell r="I48">
            <v>175.9</v>
          </cell>
          <cell r="J48">
            <v>209.20000000000002</v>
          </cell>
          <cell r="K48">
            <v>385.1</v>
          </cell>
          <cell r="L48">
            <v>187.79999999999998</v>
          </cell>
          <cell r="M48">
            <v>201.49999999999997</v>
          </cell>
          <cell r="N48">
            <v>389.29999999999995</v>
          </cell>
          <cell r="O48">
            <v>238.59999999999994</v>
          </cell>
          <cell r="P48">
            <v>220.20000000000019</v>
          </cell>
          <cell r="Q48">
            <v>458.80000000000013</v>
          </cell>
          <cell r="R48">
            <v>214.4</v>
          </cell>
          <cell r="S48">
            <v>191.49999999999997</v>
          </cell>
          <cell r="T48">
            <v>405.9</v>
          </cell>
          <cell r="U48">
            <v>184.99999999999997</v>
          </cell>
          <cell r="V48">
            <v>211.99999999999991</v>
          </cell>
          <cell r="W48">
            <v>396.99999999999989</v>
          </cell>
          <cell r="X48">
            <v>185.00000000000003</v>
          </cell>
          <cell r="Y48">
            <v>184.10000000000011</v>
          </cell>
          <cell r="Z48">
            <v>369.10000000000014</v>
          </cell>
          <cell r="AA48">
            <v>167.40000000000003</v>
          </cell>
          <cell r="AB48">
            <v>193.09999999999997</v>
          </cell>
          <cell r="AC48">
            <v>360.5</v>
          </cell>
          <cell r="AD48">
            <v>0</v>
          </cell>
          <cell r="AE48">
            <v>340.34117569949694</v>
          </cell>
          <cell r="AF48">
            <v>340.34117569949694</v>
          </cell>
          <cell r="AG48">
            <v>49.099999999999994</v>
          </cell>
          <cell r="AH48">
            <v>5.2953156822810765</v>
          </cell>
          <cell r="AI48" t="str">
            <v>Tax (pre sig. items)</v>
          </cell>
          <cell r="AJ48">
            <v>51.7</v>
          </cell>
          <cell r="AK48">
            <v>49.099999999999994</v>
          </cell>
          <cell r="AL48">
            <v>100.8</v>
          </cell>
          <cell r="AM48">
            <v>43.3</v>
          </cell>
          <cell r="AN48">
            <v>55</v>
          </cell>
          <cell r="AO48">
            <v>98.3</v>
          </cell>
          <cell r="AP48" t="str">
            <v>-</v>
          </cell>
          <cell r="AQ48">
            <v>45</v>
          </cell>
        </row>
        <row r="49">
          <cell r="AE49" t="str">
            <v>Minorities</v>
          </cell>
          <cell r="AF49">
            <v>5.4</v>
          </cell>
          <cell r="AG49">
            <v>2.2999999999999998</v>
          </cell>
          <cell r="AH49">
            <v>134.78260869565219</v>
          </cell>
          <cell r="AI49" t="str">
            <v>Minorities</v>
          </cell>
          <cell r="AJ49">
            <v>5.4</v>
          </cell>
          <cell r="AK49">
            <v>2.2999999999999998</v>
          </cell>
          <cell r="AL49">
            <v>7.7</v>
          </cell>
          <cell r="AM49">
            <v>3.2</v>
          </cell>
          <cell r="AN49">
            <v>2.8999999999999995</v>
          </cell>
          <cell r="AO49">
            <v>6.1</v>
          </cell>
          <cell r="AP49" t="str">
            <v>-</v>
          </cell>
          <cell r="AQ49">
            <v>46</v>
          </cell>
        </row>
        <row r="50">
          <cell r="A50" t="str">
            <v>Sig. items</v>
          </cell>
          <cell r="G50">
            <v>534.79999999999995</v>
          </cell>
          <cell r="H50">
            <v>534.79999999999995</v>
          </cell>
          <cell r="I50">
            <v>52.4</v>
          </cell>
          <cell r="J50">
            <v>17.699999999999996</v>
          </cell>
          <cell r="K50">
            <v>70.099999999999994</v>
          </cell>
          <cell r="L50">
            <v>0</v>
          </cell>
          <cell r="M50">
            <v>94.6</v>
          </cell>
          <cell r="N50">
            <v>94.6</v>
          </cell>
          <cell r="O50">
            <v>35.4</v>
          </cell>
          <cell r="P50">
            <v>230.40000000000012</v>
          </cell>
          <cell r="Q50">
            <v>265.80000000000013</v>
          </cell>
          <cell r="R50">
            <v>12.5</v>
          </cell>
          <cell r="S50">
            <v>42.099999999999966</v>
          </cell>
          <cell r="T50">
            <v>54.599999999999966</v>
          </cell>
          <cell r="U50">
            <v>67.3</v>
          </cell>
          <cell r="V50">
            <v>-204</v>
          </cell>
          <cell r="W50">
            <v>-136.69999999999999</v>
          </cell>
          <cell r="X50">
            <v>31</v>
          </cell>
          <cell r="Y50">
            <v>79.299999999999983</v>
          </cell>
          <cell r="Z50">
            <v>110.29999999999998</v>
          </cell>
          <cell r="AA50">
            <v>58.899999999999991</v>
          </cell>
          <cell r="AB50">
            <v>89.899999999999991</v>
          </cell>
          <cell r="AC50">
            <v>148.79999999999998</v>
          </cell>
          <cell r="AF50">
            <v>59.5</v>
          </cell>
          <cell r="AL50">
            <v>48</v>
          </cell>
          <cell r="AO50">
            <v>48</v>
          </cell>
          <cell r="AQ50">
            <v>48</v>
          </cell>
        </row>
        <row r="51">
          <cell r="AE51" t="str">
            <v>NPAT (before sig. items)</v>
          </cell>
          <cell r="AF51">
            <v>185.00000000000003</v>
          </cell>
          <cell r="AG51">
            <v>184.10000000000011</v>
          </cell>
          <cell r="AH51">
            <v>0.488864747419826</v>
          </cell>
          <cell r="AI51" t="str">
            <v>NPAT (before sig. items)</v>
          </cell>
          <cell r="AJ51">
            <v>185.00000000000003</v>
          </cell>
          <cell r="AK51">
            <v>184.10000000000011</v>
          </cell>
          <cell r="AL51">
            <v>369.10000000000014</v>
          </cell>
          <cell r="AM51">
            <v>167.40000000000003</v>
          </cell>
          <cell r="AN51">
            <v>193.09999999999997</v>
          </cell>
          <cell r="AO51">
            <v>360.5</v>
          </cell>
          <cell r="AP51" t="str">
            <v>-</v>
          </cell>
          <cell r="AQ51">
            <v>48</v>
          </cell>
        </row>
        <row r="52">
          <cell r="A52" t="str">
            <v>NPAT (post sig. items)</v>
          </cell>
          <cell r="B52">
            <v>290.90000000000003</v>
          </cell>
          <cell r="C52">
            <v>123</v>
          </cell>
          <cell r="D52">
            <v>156.40000000000003</v>
          </cell>
          <cell r="E52">
            <v>279.40000000000003</v>
          </cell>
          <cell r="F52">
            <v>129.9</v>
          </cell>
          <cell r="G52">
            <v>685.40000000000009</v>
          </cell>
          <cell r="H52">
            <v>815.30000000000007</v>
          </cell>
          <cell r="I52">
            <v>123.5</v>
          </cell>
          <cell r="J52">
            <v>191.5</v>
          </cell>
          <cell r="K52">
            <v>315</v>
          </cell>
          <cell r="L52">
            <v>187.79999999999998</v>
          </cell>
          <cell r="M52">
            <v>106.89999999999995</v>
          </cell>
          <cell r="N52">
            <v>294.69999999999993</v>
          </cell>
          <cell r="O52">
            <v>203.19999999999993</v>
          </cell>
          <cell r="P52">
            <v>-10.199999999999932</v>
          </cell>
          <cell r="Q52">
            <v>193</v>
          </cell>
          <cell r="R52">
            <v>201.9</v>
          </cell>
          <cell r="S52">
            <v>149.4</v>
          </cell>
          <cell r="T52">
            <v>351.3</v>
          </cell>
          <cell r="U52">
            <v>117.69999999999997</v>
          </cell>
          <cell r="V52">
            <v>415.99999999999989</v>
          </cell>
          <cell r="W52">
            <v>533.69999999999982</v>
          </cell>
          <cell r="X52">
            <v>154.00000000000003</v>
          </cell>
          <cell r="Y52">
            <v>104.80000000000013</v>
          </cell>
          <cell r="Z52">
            <v>258.80000000000018</v>
          </cell>
          <cell r="AA52">
            <v>108.50000000000004</v>
          </cell>
          <cell r="AB52">
            <v>103.19999999999997</v>
          </cell>
          <cell r="AC52">
            <v>211.69999999999996</v>
          </cell>
          <cell r="AD52">
            <v>0</v>
          </cell>
          <cell r="AE52">
            <v>340.34117569949694</v>
          </cell>
          <cell r="AF52">
            <v>441.09117569949694</v>
          </cell>
          <cell r="AL52">
            <v>50</v>
          </cell>
          <cell r="AO52">
            <v>50</v>
          </cell>
          <cell r="AQ52">
            <v>50</v>
          </cell>
        </row>
        <row r="53">
          <cell r="AE53" t="str">
            <v>Significant items</v>
          </cell>
          <cell r="AF53">
            <v>31</v>
          </cell>
          <cell r="AG53">
            <v>79.299999999999983</v>
          </cell>
          <cell r="AH53">
            <v>-60.907944514501878</v>
          </cell>
          <cell r="AI53" t="str">
            <v>Sig. items</v>
          </cell>
          <cell r="AJ53">
            <v>31</v>
          </cell>
          <cell r="AK53">
            <v>79.299999999999983</v>
          </cell>
          <cell r="AL53">
            <v>110.29999999999998</v>
          </cell>
          <cell r="AM53">
            <v>58.899999999999991</v>
          </cell>
          <cell r="AN53">
            <v>89.899999999999991</v>
          </cell>
          <cell r="AO53">
            <v>148.79999999999998</v>
          </cell>
          <cell r="AP53" t="str">
            <v>-</v>
          </cell>
          <cell r="AQ53">
            <v>50</v>
          </cell>
        </row>
        <row r="54">
          <cell r="A54" t="str">
            <v>Segment EBIT Margin %</v>
          </cell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  <cell r="AF54" t="str">
            <v/>
          </cell>
          <cell r="AL54">
            <v>52</v>
          </cell>
          <cell r="AO54">
            <v>52</v>
          </cell>
          <cell r="AQ54">
            <v>52</v>
          </cell>
        </row>
        <row r="55">
          <cell r="A55" t="str">
            <v>PET</v>
          </cell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>
            <v>9.4188861985472147E-2</v>
          </cell>
          <cell r="G55" t="str">
            <v/>
          </cell>
          <cell r="H55" t="str">
            <v/>
          </cell>
          <cell r="I55">
            <v>8.0833333333333326E-2</v>
          </cell>
          <cell r="J55">
            <v>0.10708745973034246</v>
          </cell>
          <cell r="O55">
            <v>6.4489795918367343E-2</v>
          </cell>
          <cell r="P55">
            <v>7.5300292722317558E-2</v>
          </cell>
          <cell r="Q55">
            <v>7.0284601233632726E-2</v>
          </cell>
          <cell r="R55">
            <v>6.4313919052319854E-2</v>
          </cell>
          <cell r="S55">
            <v>5.6700776113500412E-2</v>
          </cell>
          <cell r="T55">
            <v>6.0510262046481758E-2</v>
          </cell>
          <cell r="U55">
            <v>5.9886317498984973E-2</v>
          </cell>
          <cell r="V55">
            <v>7.1371690224965159E-2</v>
          </cell>
          <cell r="W55">
            <v>6.5684993466680067E-2</v>
          </cell>
          <cell r="X55">
            <v>6.8200549450549444E-2</v>
          </cell>
          <cell r="Y55">
            <v>8.2492380629867926E-2</v>
          </cell>
          <cell r="Z55">
            <v>7.5396419437340156E-2</v>
          </cell>
          <cell r="AA55">
            <v>6.4276729559748433E-2</v>
          </cell>
          <cell r="AB55">
            <v>8.4537572254335239E-2</v>
          </cell>
          <cell r="AC55">
            <v>7.4627783930109506E-2</v>
          </cell>
          <cell r="AD55" t="str">
            <v/>
          </cell>
          <cell r="AE55" t="str">
            <v/>
          </cell>
          <cell r="AF55">
            <v>8.5015634277975038E-2</v>
          </cell>
          <cell r="AG55">
            <v>104.80000000000013</v>
          </cell>
          <cell r="AH55">
            <v>46.946564885496045</v>
          </cell>
          <cell r="AI55" t="str">
            <v>NPAT (post sig. items)</v>
          </cell>
          <cell r="AJ55">
            <v>154.00000000000003</v>
          </cell>
          <cell r="AK55">
            <v>104.80000000000013</v>
          </cell>
          <cell r="AL55">
            <v>258.80000000000018</v>
          </cell>
          <cell r="AM55">
            <v>108.50000000000004</v>
          </cell>
          <cell r="AN55">
            <v>103.19999999999997</v>
          </cell>
          <cell r="AO55">
            <v>211.69999999999996</v>
          </cell>
          <cell r="AP55" t="str">
            <v>-</v>
          </cell>
          <cell r="AQ55">
            <v>52</v>
          </cell>
        </row>
        <row r="56">
          <cell r="A56" t="str">
            <v>Australasia</v>
          </cell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>
            <v>0.10426421404682275</v>
          </cell>
          <cell r="G56" t="str">
            <v/>
          </cell>
          <cell r="H56" t="str">
            <v/>
          </cell>
          <cell r="I56">
            <v>0.11318327974276528</v>
          </cell>
          <cell r="J56">
            <v>0.11719072377651235</v>
          </cell>
          <cell r="O56">
            <v>0.1332319391634981</v>
          </cell>
          <cell r="P56">
            <v>0.11188032147688394</v>
          </cell>
          <cell r="Q56">
            <v>0.12279814908426334</v>
          </cell>
          <cell r="R56">
            <v>0.11642694928084785</v>
          </cell>
          <cell r="S56">
            <v>8.7587708686184332E-2</v>
          </cell>
          <cell r="T56">
            <v>0.10246397750790737</v>
          </cell>
          <cell r="U56">
            <v>9.4049459041731065E-2</v>
          </cell>
          <cell r="V56">
            <v>8.1450170703950595E-2</v>
          </cell>
          <cell r="W56">
            <v>8.7909040488075435E-2</v>
          </cell>
          <cell r="X56">
            <v>9.8048780487804882E-2</v>
          </cell>
          <cell r="Y56">
            <v>7.0672040491142549E-2</v>
          </cell>
          <cell r="Z56">
            <v>8.5332404545256646E-2</v>
          </cell>
          <cell r="AA56">
            <v>6.6327441528298517E-2</v>
          </cell>
          <cell r="AB56">
            <v>3.8155958803334986E-2</v>
          </cell>
          <cell r="AC56">
            <v>5.2904612796186384E-2</v>
          </cell>
          <cell r="AD56" t="str">
            <v/>
          </cell>
          <cell r="AE56" t="str">
            <v/>
          </cell>
          <cell r="AF56">
            <v>6.1254427503302643E-2</v>
          </cell>
        </row>
        <row r="57">
          <cell r="A57" t="str">
            <v>Flexibles</v>
          </cell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>
            <v>4.4607087827426818E-2</v>
          </cell>
          <cell r="G57" t="str">
            <v/>
          </cell>
          <cell r="H57" t="str">
            <v/>
          </cell>
          <cell r="I57">
            <v>5.4560085836909862E-2</v>
          </cell>
          <cell r="J57">
            <v>7.1742222771971051E-2</v>
          </cell>
          <cell r="O57">
            <v>6.392961876832845E-2</v>
          </cell>
          <cell r="P57">
            <v>6.4286842520928783E-2</v>
          </cell>
          <cell r="Q57">
            <v>6.4081852450188478E-2</v>
          </cell>
          <cell r="R57">
            <v>5.8094074526572996E-2</v>
          </cell>
          <cell r="S57">
            <v>6.9543828264758509E-2</v>
          </cell>
          <cell r="T57">
            <v>6.3251191835090315E-2</v>
          </cell>
          <cell r="U57">
            <v>5.6809078771695588E-2</v>
          </cell>
          <cell r="V57">
            <v>7.5059571088165203E-2</v>
          </cell>
          <cell r="W57">
            <v>6.5973145440042541E-2</v>
          </cell>
          <cell r="X57">
            <v>5.767228815323755E-2</v>
          </cell>
          <cell r="Y57">
            <v>7.4617480612031037E-2</v>
          </cell>
          <cell r="Z57">
            <v>6.6116565698767504E-2</v>
          </cell>
          <cell r="AA57">
            <v>7.2691283871408094E-2</v>
          </cell>
          <cell r="AB57">
            <v>9.4712579451002282E-2</v>
          </cell>
          <cell r="AC57">
            <v>8.3574979287489637E-2</v>
          </cell>
          <cell r="AD57" t="str">
            <v/>
          </cell>
          <cell r="AE57" t="str">
            <v/>
          </cell>
          <cell r="AF57">
            <v>8.909185386785029E-2</v>
          </cell>
        </row>
        <row r="58">
          <cell r="A58" t="str">
            <v>Sunclipse</v>
          </cell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>
            <v>7.0931849791376914E-2</v>
          </cell>
          <cell r="G58" t="str">
            <v/>
          </cell>
          <cell r="H58" t="str">
            <v/>
          </cell>
          <cell r="I58">
            <v>7.2017045454545459E-2</v>
          </cell>
          <cell r="J58">
            <v>5.7310924369747891E-2</v>
          </cell>
          <cell r="O58">
            <v>6.3258785942492013E-2</v>
          </cell>
          <cell r="P58">
            <v>2.5476632360384679E-2</v>
          </cell>
          <cell r="Q58">
            <v>4.4883892672519896E-2</v>
          </cell>
          <cell r="R58">
            <v>4.9523809523809526E-2</v>
          </cell>
          <cell r="S58">
            <v>5.1200724966017214E-2</v>
          </cell>
          <cell r="T58">
            <v>5.0383097283491989E-2</v>
          </cell>
          <cell r="U58">
            <v>5.5709023941068136E-2</v>
          </cell>
          <cell r="V58">
            <v>4.5075125208681142E-2</v>
          </cell>
          <cell r="W58">
            <v>5.0615704461858306E-2</v>
          </cell>
          <cell r="X58">
            <v>6.342827188537481E-2</v>
          </cell>
          <cell r="Y58">
            <v>4.6594311377245512E-2</v>
          </cell>
          <cell r="Z58">
            <v>5.5299539170506916E-2</v>
          </cell>
          <cell r="AA58">
            <v>4.1128084606345476E-2</v>
          </cell>
          <cell r="AB58">
            <v>2.7062094531974053E-2</v>
          </cell>
          <cell r="AC58">
            <v>3.4443269908386184E-2</v>
          </cell>
          <cell r="AD58" t="str">
            <v/>
          </cell>
          <cell r="AE58" t="str">
            <v/>
          </cell>
          <cell r="AF58">
            <v>3.4349671297436386E-2</v>
          </cell>
        </row>
        <row r="59">
          <cell r="A59" t="str">
            <v>Asia</v>
          </cell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>
            <v>0.13797468354430381</v>
          </cell>
          <cell r="G59" t="str">
            <v/>
          </cell>
          <cell r="H59" t="str">
            <v/>
          </cell>
          <cell r="I59">
            <v>0.14405594405594407</v>
          </cell>
          <cell r="J59">
            <v>9.5514950166112972E-2</v>
          </cell>
          <cell r="O59">
            <v>0.11954887218045113</v>
          </cell>
          <cell r="P59">
            <v>0.14634146341463419</v>
          </cell>
          <cell r="Q59">
            <v>0.12678375411635567</v>
          </cell>
          <cell r="R59">
            <v>0.12246376811594202</v>
          </cell>
          <cell r="S59">
            <v>0.35342465753424662</v>
          </cell>
          <cell r="T59">
            <v>0.17077363896848138</v>
          </cell>
          <cell r="U59">
            <v>0.26391096979332274</v>
          </cell>
          <cell r="V59">
            <v>0.31186440677966093</v>
          </cell>
          <cell r="W59">
            <v>0.28712059064807216</v>
          </cell>
          <cell r="X59">
            <v>0.3321917808219178</v>
          </cell>
          <cell r="Y59">
            <v>0.29054054054054063</v>
          </cell>
          <cell r="Z59">
            <v>0.31122448979591838</v>
          </cell>
          <cell r="AA59">
            <v>0.35336194563662371</v>
          </cell>
          <cell r="AB59">
            <v>0.43575418994413423</v>
          </cell>
          <cell r="AC59">
            <v>0.38915857605177995</v>
          </cell>
          <cell r="AD59" t="str">
            <v/>
          </cell>
          <cell r="AE59" t="str">
            <v/>
          </cell>
          <cell r="AF59">
            <v>0.41062804483894438</v>
          </cell>
        </row>
        <row r="60">
          <cell r="A60" t="str">
            <v>Total EBIT Margin %</v>
          </cell>
          <cell r="O60">
            <v>7.6119402985074608E-2</v>
          </cell>
          <cell r="P60">
            <v>7.1999429142286325E-2</v>
          </cell>
          <cell r="Q60">
            <v>7.4038704097444952E-2</v>
          </cell>
          <cell r="R60">
            <v>6.9773913043478256E-2</v>
          </cell>
          <cell r="S60">
            <v>6.5825321217021421E-2</v>
          </cell>
          <cell r="T60">
            <v>6.7810093274938144E-2</v>
          </cell>
          <cell r="U60">
            <v>6.4070466548491439E-2</v>
          </cell>
          <cell r="V60">
            <v>7.0570598360200618E-2</v>
          </cell>
          <cell r="W60">
            <v>6.7299911725761358E-2</v>
          </cell>
          <cell r="X60">
            <v>7.0433828494260636E-2</v>
          </cell>
          <cell r="Y60">
            <v>7.0604683677035998E-2</v>
          </cell>
          <cell r="Z60">
            <v>7.0517774343122119E-2</v>
          </cell>
          <cell r="AA60">
            <v>6.5518168469381452E-2</v>
          </cell>
          <cell r="AB60">
            <v>7.0168719814472036E-2</v>
          </cell>
          <cell r="AC60">
            <v>6.7810474652348102E-2</v>
          </cell>
          <cell r="AD60" t="str">
            <v/>
          </cell>
          <cell r="AE60" t="str">
            <v/>
          </cell>
          <cell r="AF60">
            <v>7.462636598288358E-2</v>
          </cell>
        </row>
        <row r="62">
          <cell r="A62" t="str">
            <v>Segment Sales</v>
          </cell>
        </row>
        <row r="63">
          <cell r="A63" t="str">
            <v>PET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0.48204684506519996</v>
          </cell>
          <cell r="J63">
            <v>0.5179531549348001</v>
          </cell>
          <cell r="K63">
            <v>1</v>
          </cell>
          <cell r="L63">
            <v>0.48078123050043681</v>
          </cell>
          <cell r="M63">
            <v>0.51921876949956314</v>
          </cell>
          <cell r="N63">
            <v>1</v>
          </cell>
          <cell r="O63">
            <v>0.4639649388594308</v>
          </cell>
          <cell r="P63">
            <v>0.5360350611405692</v>
          </cell>
          <cell r="Q63">
            <v>1</v>
          </cell>
          <cell r="R63">
            <v>0.50038282002519197</v>
          </cell>
          <cell r="S63">
            <v>0.49961717997480798</v>
          </cell>
          <cell r="T63">
            <v>1</v>
          </cell>
          <cell r="U63">
            <v>0.49512513820484472</v>
          </cell>
          <cell r="V63">
            <v>0.50487486179515528</v>
          </cell>
          <cell r="W63">
            <v>1</v>
          </cell>
          <cell r="X63">
            <v>0.49650468883205456</v>
          </cell>
          <cell r="Y63">
            <v>0.50349531116794544</v>
          </cell>
          <cell r="Z63">
            <v>1</v>
          </cell>
          <cell r="AA63">
            <v>0.48911037283130304</v>
          </cell>
          <cell r="AB63">
            <v>0.51088962716869701</v>
          </cell>
          <cell r="AC63">
            <v>1</v>
          </cell>
          <cell r="AD63">
            <v>0</v>
          </cell>
          <cell r="AE63">
            <v>0</v>
          </cell>
          <cell r="AF63">
            <v>1</v>
          </cell>
        </row>
        <row r="64">
          <cell r="A64" t="str">
            <v>Australasia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0.50657653622185128</v>
          </cell>
          <cell r="J64">
            <v>0.49342346377814877</v>
          </cell>
          <cell r="K64">
            <v>1</v>
          </cell>
          <cell r="L64">
            <v>0.5004137278852594</v>
          </cell>
          <cell r="M64">
            <v>0.49958627211474055</v>
          </cell>
          <cell r="N64">
            <v>1</v>
          </cell>
          <cell r="O64">
            <v>0.51133491464789826</v>
          </cell>
          <cell r="P64">
            <v>0.48866508535210168</v>
          </cell>
          <cell r="Q64">
            <v>1</v>
          </cell>
          <cell r="R64">
            <v>0.51583427701198792</v>
          </cell>
          <cell r="S64">
            <v>0.48416572298801203</v>
          </cell>
          <cell r="T64">
            <v>1</v>
          </cell>
          <cell r="U64">
            <v>0.51263766737976391</v>
          </cell>
          <cell r="V64">
            <v>0.48736233262023609</v>
          </cell>
          <cell r="W64">
            <v>1</v>
          </cell>
          <cell r="X64">
            <v>0.53550437546258001</v>
          </cell>
          <cell r="Y64">
            <v>0.46449562453742005</v>
          </cell>
          <cell r="Z64">
            <v>1</v>
          </cell>
          <cell r="AA64">
            <v>0.5235313361686218</v>
          </cell>
          <cell r="AB64">
            <v>0.47646866383137815</v>
          </cell>
          <cell r="AC64">
            <v>1</v>
          </cell>
          <cell r="AD64">
            <v>0</v>
          </cell>
          <cell r="AE64">
            <v>0</v>
          </cell>
          <cell r="AF64">
            <v>1</v>
          </cell>
        </row>
        <row r="65">
          <cell r="A65" t="str">
            <v>Flexibles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0.53549369415955639</v>
          </cell>
          <cell r="J65">
            <v>0.46450630584044356</v>
          </cell>
          <cell r="K65">
            <v>1</v>
          </cell>
          <cell r="L65">
            <v>0.48659781138571256</v>
          </cell>
          <cell r="M65">
            <v>0.51340218861428744</v>
          </cell>
          <cell r="N65">
            <v>1</v>
          </cell>
          <cell r="O65">
            <v>0.57384221863220253</v>
          </cell>
          <cell r="P65">
            <v>0.42615778136779747</v>
          </cell>
          <cell r="Q65">
            <v>1</v>
          </cell>
          <cell r="R65">
            <v>0.54958705432082189</v>
          </cell>
          <cell r="S65">
            <v>0.45041294567917811</v>
          </cell>
          <cell r="T65">
            <v>1</v>
          </cell>
          <cell r="U65">
            <v>0.49787290614198348</v>
          </cell>
          <cell r="V65">
            <v>0.50212709385801646</v>
          </cell>
          <cell r="W65">
            <v>1</v>
          </cell>
          <cell r="X65">
            <v>0.50167119281387096</v>
          </cell>
          <cell r="Y65">
            <v>0.49832880718612904</v>
          </cell>
          <cell r="Z65">
            <v>1</v>
          </cell>
          <cell r="AA65">
            <v>0.50576498204915765</v>
          </cell>
          <cell r="AB65">
            <v>0.49423501795084235</v>
          </cell>
          <cell r="AC65">
            <v>1</v>
          </cell>
          <cell r="AD65">
            <v>0</v>
          </cell>
          <cell r="AE65">
            <v>0</v>
          </cell>
          <cell r="AF65">
            <v>1</v>
          </cell>
        </row>
        <row r="66">
          <cell r="A66" t="str">
            <v>Sunclipse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0.54195535026943797</v>
          </cell>
          <cell r="J66">
            <v>0.45804464973056197</v>
          </cell>
          <cell r="K66">
            <v>1</v>
          </cell>
          <cell r="L66">
            <v>0.50254727571021507</v>
          </cell>
          <cell r="M66">
            <v>0.49745272428978493</v>
          </cell>
          <cell r="N66">
            <v>1</v>
          </cell>
          <cell r="O66">
            <v>0.51366209895790593</v>
          </cell>
          <cell r="P66">
            <v>0.48633790104209407</v>
          </cell>
          <cell r="Q66">
            <v>1</v>
          </cell>
          <cell r="R66">
            <v>0.48757836080798705</v>
          </cell>
          <cell r="S66">
            <v>0.512421639192013</v>
          </cell>
          <cell r="T66">
            <v>1</v>
          </cell>
          <cell r="U66">
            <v>0.52102990564529028</v>
          </cell>
          <cell r="V66">
            <v>0.47897009435470966</v>
          </cell>
          <cell r="W66">
            <v>1</v>
          </cell>
          <cell r="X66">
            <v>0.51712297822354747</v>
          </cell>
          <cell r="Y66">
            <v>0.48287702177645259</v>
          </cell>
          <cell r="Z66">
            <v>1</v>
          </cell>
          <cell r="AA66">
            <v>0.52475334742776603</v>
          </cell>
          <cell r="AB66">
            <v>0.47524665257223397</v>
          </cell>
          <cell r="AC66">
            <v>1</v>
          </cell>
          <cell r="AD66">
            <v>0</v>
          </cell>
          <cell r="AE66">
            <v>0</v>
          </cell>
          <cell r="AF66">
            <v>1</v>
          </cell>
        </row>
        <row r="67">
          <cell r="A67" t="str">
            <v>Asia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0.54290053151100992</v>
          </cell>
          <cell r="J67">
            <v>0.45709946848899008</v>
          </cell>
          <cell r="K67">
            <v>1</v>
          </cell>
          <cell r="L67">
            <v>0.49298597194388777</v>
          </cell>
          <cell r="M67">
            <v>0.50701402805611218</v>
          </cell>
          <cell r="N67">
            <v>1</v>
          </cell>
          <cell r="O67">
            <v>0.72996706915477505</v>
          </cell>
          <cell r="P67">
            <v>0.27003293084522501</v>
          </cell>
          <cell r="Q67">
            <v>1</v>
          </cell>
          <cell r="R67">
            <v>0.79083094555873923</v>
          </cell>
          <cell r="S67">
            <v>0.20916905444126074</v>
          </cell>
          <cell r="T67">
            <v>1</v>
          </cell>
          <cell r="U67">
            <v>0.51599671862182117</v>
          </cell>
          <cell r="V67">
            <v>0.48400328137817888</v>
          </cell>
          <cell r="W67">
            <v>1</v>
          </cell>
          <cell r="X67">
            <v>0.49659863945578231</v>
          </cell>
          <cell r="Y67">
            <v>0.50340136054421769</v>
          </cell>
          <cell r="Z67">
            <v>1</v>
          </cell>
          <cell r="AA67">
            <v>0.56553398058252435</v>
          </cell>
          <cell r="AB67">
            <v>0.43446601941747565</v>
          </cell>
          <cell r="AC67">
            <v>1</v>
          </cell>
          <cell r="AD67">
            <v>0</v>
          </cell>
          <cell r="AE67">
            <v>0</v>
          </cell>
          <cell r="AF67">
            <v>1</v>
          </cell>
        </row>
        <row r="68">
          <cell r="A68" t="str">
            <v>Other/Discontinued/Intersegment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0.6324110671936759</v>
          </cell>
          <cell r="J68">
            <v>0.36758893280632415</v>
          </cell>
          <cell r="K68">
            <v>1</v>
          </cell>
          <cell r="L68">
            <v>-1.5</v>
          </cell>
          <cell r="M68">
            <v>2.5</v>
          </cell>
          <cell r="N68">
            <v>1</v>
          </cell>
          <cell r="O68">
            <v>0</v>
          </cell>
          <cell r="P68">
            <v>1</v>
          </cell>
          <cell r="Q68">
            <v>1</v>
          </cell>
          <cell r="R68">
            <v>-5.2042674993494666E-3</v>
          </cell>
          <cell r="S68">
            <v>1.0052042674993495</v>
          </cell>
          <cell r="T68">
            <v>1</v>
          </cell>
          <cell r="U68">
            <v>0.48484848484848481</v>
          </cell>
          <cell r="V68">
            <v>0.51515151515151514</v>
          </cell>
          <cell r="W68">
            <v>1</v>
          </cell>
          <cell r="X68">
            <v>2.0219780219780219</v>
          </cell>
          <cell r="Y68">
            <v>-1.0219780219780219</v>
          </cell>
          <cell r="Z68">
            <v>1</v>
          </cell>
          <cell r="AA68">
            <v>0.52336448598130836</v>
          </cell>
          <cell r="AB68">
            <v>0.47663551401869159</v>
          </cell>
          <cell r="AC68">
            <v>1</v>
          </cell>
          <cell r="AD68">
            <v>0</v>
          </cell>
          <cell r="AE68">
            <v>0</v>
          </cell>
          <cell r="AF68">
            <v>1</v>
          </cell>
        </row>
        <row r="69">
          <cell r="A69" t="str">
            <v>Total Sales</v>
          </cell>
          <cell r="C69">
            <v>0.48332509881422925</v>
          </cell>
          <cell r="D69">
            <v>0.51667490118577075</v>
          </cell>
          <cell r="E69">
            <v>1</v>
          </cell>
          <cell r="F69">
            <v>2.091723832706351</v>
          </cell>
          <cell r="G69">
            <v>-1.091723832706351</v>
          </cell>
          <cell r="H69">
            <v>1</v>
          </cell>
          <cell r="I69">
            <v>0.51345017227051604</v>
          </cell>
          <cell r="J69">
            <v>0.48654982772948391</v>
          </cell>
          <cell r="K69">
            <v>1</v>
          </cell>
          <cell r="L69">
            <v>0.48972217684198388</v>
          </cell>
          <cell r="M69">
            <v>0.51027782315801606</v>
          </cell>
          <cell r="N69">
            <v>1</v>
          </cell>
          <cell r="O69">
            <v>0.49497279181231757</v>
          </cell>
          <cell r="P69">
            <v>0.50502720818768232</v>
          </cell>
          <cell r="Q69">
            <v>1</v>
          </cell>
          <cell r="R69">
            <v>0.50265313437011006</v>
          </cell>
          <cell r="S69">
            <v>0.49734686562989</v>
          </cell>
          <cell r="T69">
            <v>1</v>
          </cell>
          <cell r="U69">
            <v>0.50317235545093419</v>
          </cell>
          <cell r="V69">
            <v>0.49682764454906575</v>
          </cell>
          <cell r="W69">
            <v>1</v>
          </cell>
          <cell r="X69">
            <v>0.50867250558131549</v>
          </cell>
          <cell r="Y69">
            <v>0.49132749441868462</v>
          </cell>
          <cell r="Z69">
            <v>1</v>
          </cell>
          <cell r="AA69">
            <v>0.50708937223399109</v>
          </cell>
          <cell r="AB69">
            <v>0.49291062776600875</v>
          </cell>
          <cell r="AC69">
            <v>1</v>
          </cell>
          <cell r="AD69">
            <v>0</v>
          </cell>
          <cell r="AE69">
            <v>0</v>
          </cell>
          <cell r="AF69">
            <v>1</v>
          </cell>
        </row>
        <row r="71">
          <cell r="A71" t="str">
            <v>EBITDA</v>
          </cell>
        </row>
        <row r="72">
          <cell r="A72" t="str">
            <v>Depreciation and amortisation</v>
          </cell>
        </row>
        <row r="74">
          <cell r="A74" t="str">
            <v>Segment EBIT</v>
          </cell>
        </row>
        <row r="75">
          <cell r="A75" t="str">
            <v>PET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0.41263089005235598</v>
          </cell>
          <cell r="J75">
            <v>0.58736910994764402</v>
          </cell>
          <cell r="K75">
            <v>1</v>
          </cell>
          <cell r="L75">
            <v>0.45152870991797167</v>
          </cell>
          <cell r="M75">
            <v>0.54847129008202833</v>
          </cell>
          <cell r="N75">
            <v>1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0.54858454475898999</v>
          </cell>
          <cell r="W75">
            <v>1</v>
          </cell>
          <cell r="X75">
            <v>0.44911804613297152</v>
          </cell>
          <cell r="Y75">
            <v>0.55088195386702854</v>
          </cell>
          <cell r="Z75">
            <v>1</v>
          </cell>
          <cell r="AA75">
            <v>0.42126957955482275</v>
          </cell>
          <cell r="AB75">
            <v>0.5787304204451772</v>
          </cell>
          <cell r="AC75">
            <v>1</v>
          </cell>
          <cell r="AD75">
            <v>0</v>
          </cell>
          <cell r="AE75">
            <v>0</v>
          </cell>
          <cell r="AF75">
            <v>1</v>
          </cell>
        </row>
        <row r="76">
          <cell r="A76" t="str">
            <v>Australasia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0.49787835926449792</v>
          </cell>
          <cell r="J76">
            <v>0.50212164073550214</v>
          </cell>
          <cell r="K76">
            <v>1</v>
          </cell>
          <cell r="L76">
            <v>0.51500789889415477</v>
          </cell>
          <cell r="M76">
            <v>0.48499210110584517</v>
          </cell>
          <cell r="N76">
            <v>1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0.45155475439387111</v>
          </cell>
          <cell r="W76">
            <v>1</v>
          </cell>
          <cell r="X76">
            <v>0.61530612244897964</v>
          </cell>
          <cell r="Y76">
            <v>0.38469387755102036</v>
          </cell>
          <cell r="Z76">
            <v>1</v>
          </cell>
          <cell r="AA76">
            <v>0.65636042402826855</v>
          </cell>
          <cell r="AB76">
            <v>0.3436395759717315</v>
          </cell>
          <cell r="AC76">
            <v>1</v>
          </cell>
          <cell r="AD76">
            <v>0</v>
          </cell>
          <cell r="AE76">
            <v>0</v>
          </cell>
          <cell r="AF76">
            <v>1</v>
          </cell>
        </row>
        <row r="77">
          <cell r="A77" t="str">
            <v>Flexibles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0.46715663757464398</v>
          </cell>
          <cell r="J77">
            <v>0.53284336242535602</v>
          </cell>
          <cell r="K77">
            <v>1</v>
          </cell>
          <cell r="L77">
            <v>0.48015530629853326</v>
          </cell>
          <cell r="M77">
            <v>0.5198446937014668</v>
          </cell>
          <cell r="N77">
            <v>1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0.57128463476070535</v>
          </cell>
          <cell r="W77">
            <v>1</v>
          </cell>
          <cell r="X77">
            <v>0.43759873617693518</v>
          </cell>
          <cell r="Y77">
            <v>0.56240126382306477</v>
          </cell>
          <cell r="Z77">
            <v>1</v>
          </cell>
          <cell r="AA77">
            <v>0.4399008674101611</v>
          </cell>
          <cell r="AB77">
            <v>0.5600991325898389</v>
          </cell>
          <cell r="AC77">
            <v>1</v>
          </cell>
          <cell r="AD77">
            <v>0</v>
          </cell>
          <cell r="AE77">
            <v>0</v>
          </cell>
          <cell r="AF77">
            <v>1</v>
          </cell>
        </row>
        <row r="78">
          <cell r="A78" t="str">
            <v>Sunclipse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0.59787735849056611</v>
          </cell>
          <cell r="J78">
            <v>0.40212264150943389</v>
          </cell>
          <cell r="K78">
            <v>1</v>
          </cell>
          <cell r="L78">
            <v>0.56944444444444442</v>
          </cell>
          <cell r="M78">
            <v>0.43055555555555564</v>
          </cell>
          <cell r="N78">
            <v>1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0.42654028436018959</v>
          </cell>
          <cell r="W78">
            <v>1</v>
          </cell>
          <cell r="X78">
            <v>0.59313725490196068</v>
          </cell>
          <cell r="Y78">
            <v>0.40686274509803927</v>
          </cell>
          <cell r="Z78">
            <v>1</v>
          </cell>
          <cell r="AA78">
            <v>0.62659846547314579</v>
          </cell>
          <cell r="AB78">
            <v>0.37340153452685426</v>
          </cell>
          <cell r="AC78">
            <v>1</v>
          </cell>
          <cell r="AD78">
            <v>0</v>
          </cell>
          <cell r="AE78">
            <v>0</v>
          </cell>
          <cell r="AF78">
            <v>1</v>
          </cell>
        </row>
        <row r="79">
          <cell r="A79" t="str">
            <v>Asia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0.64174454828660443</v>
          </cell>
          <cell r="J79">
            <v>0.35825545171339562</v>
          </cell>
          <cell r="K79">
            <v>1</v>
          </cell>
          <cell r="L79">
            <v>0.47213114754098362</v>
          </cell>
          <cell r="M79">
            <v>0.52786885245901649</v>
          </cell>
          <cell r="N79">
            <v>1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0.52571428571428569</v>
          </cell>
          <cell r="W79">
            <v>1</v>
          </cell>
          <cell r="X79">
            <v>0.53005464480874309</v>
          </cell>
          <cell r="Y79">
            <v>0.46994535519125691</v>
          </cell>
          <cell r="Z79">
            <v>1</v>
          </cell>
          <cell r="AA79">
            <v>0.51351351351351349</v>
          </cell>
          <cell r="AB79">
            <v>0.48648648648648651</v>
          </cell>
          <cell r="AC79">
            <v>1</v>
          </cell>
          <cell r="AD79">
            <v>0</v>
          </cell>
          <cell r="AE79">
            <v>0</v>
          </cell>
          <cell r="AF79">
            <v>1</v>
          </cell>
        </row>
        <row r="80">
          <cell r="A80" t="str">
            <v>Other/Discontinued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0.48789571694599626</v>
          </cell>
          <cell r="J80">
            <v>0.51210428305400379</v>
          </cell>
          <cell r="K80">
            <v>1</v>
          </cell>
          <cell r="L80">
            <v>0.52653061224489794</v>
          </cell>
          <cell r="M80">
            <v>0.473469387755102</v>
          </cell>
          <cell r="N80">
            <v>1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0.43775933609958506</v>
          </cell>
          <cell r="W80">
            <v>1</v>
          </cell>
          <cell r="X80">
            <v>0.52092050209205021</v>
          </cell>
          <cell r="Y80">
            <v>0.47907949790794979</v>
          </cell>
          <cell r="Z80">
            <v>1</v>
          </cell>
          <cell r="AA80">
            <v>0.4</v>
          </cell>
          <cell r="AB80">
            <v>0.60000000000000009</v>
          </cell>
          <cell r="AC80">
            <v>1</v>
          </cell>
          <cell r="AD80">
            <v>0</v>
          </cell>
          <cell r="AE80">
            <v>0</v>
          </cell>
          <cell r="AF80">
            <v>1</v>
          </cell>
        </row>
        <row r="81">
          <cell r="A81" t="str">
            <v>Total EBIT</v>
          </cell>
          <cell r="C81">
            <v>0.48464566929133857</v>
          </cell>
          <cell r="D81">
            <v>0.51535433070866143</v>
          </cell>
          <cell r="E81">
            <v>1</v>
          </cell>
          <cell r="F81">
            <v>0.47590361445783136</v>
          </cell>
          <cell r="G81">
            <v>0.52409638554216864</v>
          </cell>
          <cell r="H81">
            <v>1</v>
          </cell>
          <cell r="I81">
            <v>0.47590014954561138</v>
          </cell>
          <cell r="J81">
            <v>1</v>
          </cell>
          <cell r="K81">
            <v>1</v>
          </cell>
          <cell r="L81">
            <v>0.48598243292022625</v>
          </cell>
          <cell r="M81">
            <v>0.51401756707977386</v>
          </cell>
          <cell r="N81">
            <v>1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0.52097281049323685</v>
          </cell>
          <cell r="W81">
            <v>1</v>
          </cell>
          <cell r="X81">
            <v>0.50806697108066967</v>
          </cell>
          <cell r="Y81">
            <v>0.49193302891933016</v>
          </cell>
          <cell r="Z81">
            <v>1</v>
          </cell>
          <cell r="AA81">
            <v>0.4899474172595113</v>
          </cell>
          <cell r="AB81">
            <v>0.51005258274048859</v>
          </cell>
          <cell r="AC81">
            <v>1</v>
          </cell>
          <cell r="AD81">
            <v>0</v>
          </cell>
          <cell r="AE81">
            <v>0</v>
          </cell>
          <cell r="AF81">
            <v>1</v>
          </cell>
        </row>
        <row r="83">
          <cell r="A83" t="str">
            <v>Balance Sheet</v>
          </cell>
        </row>
        <row r="84">
          <cell r="A84" t="str">
            <v>Cash</v>
          </cell>
          <cell r="B84">
            <v>197.5</v>
          </cell>
          <cell r="C84">
            <v>154.30000000000001</v>
          </cell>
          <cell r="D84">
            <v>322.60000000000002</v>
          </cell>
          <cell r="E84">
            <v>322.60000000000002</v>
          </cell>
          <cell r="F84">
            <v>187.2</v>
          </cell>
          <cell r="G84">
            <v>2307.1</v>
          </cell>
          <cell r="H84">
            <v>2307.1</v>
          </cell>
          <cell r="I84">
            <v>323.39999999999998</v>
          </cell>
          <cell r="J84">
            <v>141.5</v>
          </cell>
          <cell r="K84">
            <v>141.5</v>
          </cell>
          <cell r="L84">
            <v>227.3</v>
          </cell>
          <cell r="M84">
            <v>131</v>
          </cell>
          <cell r="N84">
            <v>131</v>
          </cell>
          <cell r="O84">
            <v>111.8</v>
          </cell>
          <cell r="P84">
            <v>210.8</v>
          </cell>
          <cell r="Q84">
            <v>210.8</v>
          </cell>
          <cell r="R84">
            <v>209.7</v>
          </cell>
          <cell r="S84">
            <v>113.9</v>
          </cell>
          <cell r="T84">
            <v>113.9</v>
          </cell>
          <cell r="U84">
            <v>166.3</v>
          </cell>
          <cell r="V84">
            <v>114.7</v>
          </cell>
          <cell r="W84">
            <v>114.7</v>
          </cell>
          <cell r="X84">
            <v>136</v>
          </cell>
          <cell r="Y84">
            <v>258.3</v>
          </cell>
          <cell r="Z84">
            <v>258.3</v>
          </cell>
          <cell r="AA84">
            <v>183.7</v>
          </cell>
          <cell r="AB84">
            <v>188.6</v>
          </cell>
          <cell r="AC84">
            <v>188.6</v>
          </cell>
          <cell r="AE84">
            <v>188.60000000000198</v>
          </cell>
          <cell r="AF84">
            <v>188.60000000000198</v>
          </cell>
        </row>
        <row r="85">
          <cell r="A85" t="str">
            <v>Receivables</v>
          </cell>
          <cell r="B85">
            <v>866.6</v>
          </cell>
          <cell r="C85">
            <v>912.5</v>
          </cell>
          <cell r="D85">
            <v>1352.6</v>
          </cell>
          <cell r="E85">
            <v>1352.6</v>
          </cell>
          <cell r="F85">
            <v>1311.2</v>
          </cell>
          <cell r="G85">
            <v>1339</v>
          </cell>
          <cell r="H85">
            <v>1339</v>
          </cell>
          <cell r="I85">
            <v>1614.6</v>
          </cell>
          <cell r="J85">
            <v>1525</v>
          </cell>
          <cell r="K85">
            <v>1525</v>
          </cell>
          <cell r="L85">
            <v>1465.2</v>
          </cell>
          <cell r="M85">
            <v>1551.4</v>
          </cell>
          <cell r="N85">
            <v>1551.4</v>
          </cell>
          <cell r="O85">
            <v>1612.3</v>
          </cell>
          <cell r="P85">
            <v>1685.9</v>
          </cell>
          <cell r="Q85">
            <v>1685.9</v>
          </cell>
          <cell r="R85">
            <v>1744.9</v>
          </cell>
          <cell r="S85">
            <v>1691.9</v>
          </cell>
          <cell r="T85">
            <v>1691.9</v>
          </cell>
          <cell r="U85">
            <v>1603</v>
          </cell>
          <cell r="V85">
            <v>2087.3000000000002</v>
          </cell>
          <cell r="W85">
            <v>2087.3000000000002</v>
          </cell>
          <cell r="X85">
            <v>1332.4</v>
          </cell>
          <cell r="Y85">
            <v>1235.4000000000001</v>
          </cell>
          <cell r="Z85">
            <v>1235.4000000000001</v>
          </cell>
          <cell r="AA85">
            <v>1422.6</v>
          </cell>
          <cell r="AB85">
            <v>1141</v>
          </cell>
          <cell r="AC85">
            <v>1141</v>
          </cell>
          <cell r="AE85">
            <v>1796.372941503847</v>
          </cell>
          <cell r="AF85">
            <v>1796.372941503847</v>
          </cell>
        </row>
        <row r="86">
          <cell r="A86" t="str">
            <v>Inventories</v>
          </cell>
          <cell r="B86">
            <v>684.9</v>
          </cell>
          <cell r="C86">
            <v>742.9</v>
          </cell>
          <cell r="D86">
            <v>1008.2</v>
          </cell>
          <cell r="E86">
            <v>1008.2</v>
          </cell>
          <cell r="F86">
            <v>973.9</v>
          </cell>
          <cell r="G86">
            <v>945</v>
          </cell>
          <cell r="H86">
            <v>945</v>
          </cell>
          <cell r="I86">
            <v>1439.9</v>
          </cell>
          <cell r="J86">
            <v>1284</v>
          </cell>
          <cell r="K86">
            <v>1284</v>
          </cell>
          <cell r="L86">
            <v>1296.8</v>
          </cell>
          <cell r="M86">
            <v>1369.6</v>
          </cell>
          <cell r="N86">
            <v>1369.6</v>
          </cell>
          <cell r="O86">
            <v>1462.4</v>
          </cell>
          <cell r="P86">
            <v>1440.1</v>
          </cell>
          <cell r="Q86">
            <v>1440.1</v>
          </cell>
          <cell r="R86">
            <v>1583.2</v>
          </cell>
          <cell r="S86">
            <v>1380.3</v>
          </cell>
          <cell r="T86">
            <v>1380.3</v>
          </cell>
          <cell r="U86">
            <v>1333.4</v>
          </cell>
          <cell r="V86">
            <v>1189.0999999999999</v>
          </cell>
          <cell r="W86">
            <v>1189.0999999999999</v>
          </cell>
          <cell r="X86">
            <v>1183.9000000000001</v>
          </cell>
          <cell r="Y86">
            <v>1117.9000000000001</v>
          </cell>
          <cell r="Z86">
            <v>1117.9000000000001</v>
          </cell>
          <cell r="AA86">
            <v>1246.7</v>
          </cell>
          <cell r="AB86">
            <v>979.6</v>
          </cell>
          <cell r="AC86">
            <v>979.6</v>
          </cell>
          <cell r="AE86">
            <v>1605.9219399624612</v>
          </cell>
          <cell r="AF86">
            <v>1605.9219399624612</v>
          </cell>
        </row>
        <row r="87">
          <cell r="A87" t="str">
            <v>Other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166.9</v>
          </cell>
          <cell r="S87">
            <v>10.8</v>
          </cell>
          <cell r="T87">
            <v>10.8</v>
          </cell>
          <cell r="U87">
            <v>7.5</v>
          </cell>
          <cell r="V87">
            <v>3.4</v>
          </cell>
          <cell r="W87">
            <v>3.4</v>
          </cell>
          <cell r="X87">
            <v>3.3999999999996362</v>
          </cell>
          <cell r="Y87">
            <v>6.7</v>
          </cell>
          <cell r="Z87">
            <v>6.7</v>
          </cell>
          <cell r="AA87">
            <v>9.9000000000000909</v>
          </cell>
          <cell r="AB87">
            <v>8.6999999999999993</v>
          </cell>
          <cell r="AC87">
            <v>8.6999999999999993</v>
          </cell>
          <cell r="AE87">
            <v>8.6999999999999993</v>
          </cell>
          <cell r="AF87">
            <v>8.6999999999999993</v>
          </cell>
        </row>
        <row r="88">
          <cell r="A88" t="str">
            <v>Current Assets</v>
          </cell>
          <cell r="B88">
            <v>1749</v>
          </cell>
          <cell r="C88">
            <v>1809.6999999999998</v>
          </cell>
          <cell r="D88">
            <v>2683.3999999999996</v>
          </cell>
          <cell r="E88">
            <v>2683.3999999999996</v>
          </cell>
          <cell r="F88">
            <v>2472.3000000000002</v>
          </cell>
          <cell r="G88">
            <v>4591.1000000000004</v>
          </cell>
          <cell r="H88">
            <v>4591.1000000000004</v>
          </cell>
          <cell r="I88">
            <v>3377.9</v>
          </cell>
          <cell r="J88">
            <v>2950.5</v>
          </cell>
          <cell r="K88">
            <v>2950.5</v>
          </cell>
          <cell r="L88">
            <v>2989.3</v>
          </cell>
          <cell r="M88">
            <v>3052</v>
          </cell>
          <cell r="N88">
            <v>3052</v>
          </cell>
          <cell r="O88">
            <v>3186.5</v>
          </cell>
          <cell r="P88">
            <v>3336.8</v>
          </cell>
          <cell r="Q88">
            <v>3336.8</v>
          </cell>
          <cell r="R88">
            <v>3704.7000000000003</v>
          </cell>
          <cell r="S88">
            <v>3196.9000000000005</v>
          </cell>
          <cell r="T88">
            <v>3196.9000000000005</v>
          </cell>
          <cell r="U88">
            <v>3110.2</v>
          </cell>
          <cell r="V88">
            <v>3394.5</v>
          </cell>
          <cell r="W88">
            <v>3394.5</v>
          </cell>
          <cell r="X88">
            <v>2655.7</v>
          </cell>
          <cell r="Y88">
            <v>2618.3000000000002</v>
          </cell>
          <cell r="Z88">
            <v>2618.3000000000002</v>
          </cell>
          <cell r="AA88">
            <v>2862.9</v>
          </cell>
          <cell r="AB88">
            <v>2317.8999999999996</v>
          </cell>
          <cell r="AC88">
            <v>2317.8999999999996</v>
          </cell>
          <cell r="AE88">
            <v>3599.5948814663097</v>
          </cell>
          <cell r="AF88">
            <v>3599.5948814663097</v>
          </cell>
        </row>
        <row r="90">
          <cell r="A90" t="str">
            <v xml:space="preserve">PPE </v>
          </cell>
          <cell r="B90">
            <v>2433.2999999999997</v>
          </cell>
          <cell r="C90">
            <v>2581.3000000000002</v>
          </cell>
          <cell r="D90">
            <v>3263.5</v>
          </cell>
          <cell r="E90">
            <v>3263.5</v>
          </cell>
          <cell r="F90">
            <v>3264.9</v>
          </cell>
          <cell r="G90">
            <v>3112.7000000000003</v>
          </cell>
          <cell r="H90">
            <v>3112.7000000000003</v>
          </cell>
          <cell r="I90">
            <v>4685.6000000000004</v>
          </cell>
          <cell r="J90">
            <v>4148.3</v>
          </cell>
          <cell r="K90">
            <v>4148.3</v>
          </cell>
          <cell r="L90">
            <v>4348.8999999999996</v>
          </cell>
          <cell r="M90">
            <v>4630.8</v>
          </cell>
          <cell r="N90">
            <v>4630.8</v>
          </cell>
          <cell r="O90">
            <v>4609.2</v>
          </cell>
          <cell r="P90">
            <v>4312.8</v>
          </cell>
          <cell r="Q90">
            <v>4312.8</v>
          </cell>
          <cell r="R90">
            <v>4426.5</v>
          </cell>
          <cell r="S90">
            <v>4217</v>
          </cell>
          <cell r="T90">
            <v>4217</v>
          </cell>
          <cell r="U90">
            <v>4185.3</v>
          </cell>
          <cell r="V90">
            <v>3785.6</v>
          </cell>
          <cell r="W90">
            <v>3785.6</v>
          </cell>
          <cell r="X90">
            <v>3713.1</v>
          </cell>
          <cell r="Y90">
            <v>3577.8</v>
          </cell>
          <cell r="Z90">
            <v>3577.8</v>
          </cell>
          <cell r="AA90">
            <v>4147.7</v>
          </cell>
          <cell r="AB90">
            <v>3795.8</v>
          </cell>
          <cell r="AC90">
            <v>3795.8</v>
          </cell>
          <cell r="AE90">
            <v>5373.2077575000003</v>
          </cell>
          <cell r="AF90">
            <v>5373.2077575000003</v>
          </cell>
        </row>
        <row r="91">
          <cell r="A91" t="str">
            <v>Other</v>
          </cell>
          <cell r="B91">
            <v>773.4</v>
          </cell>
          <cell r="C91">
            <v>787.5</v>
          </cell>
          <cell r="D91">
            <v>1078.8000000000002</v>
          </cell>
          <cell r="E91">
            <v>1078.8000000000002</v>
          </cell>
          <cell r="F91">
            <v>1106.0999999999999</v>
          </cell>
          <cell r="G91">
            <v>1138.2</v>
          </cell>
          <cell r="H91">
            <v>1138.2</v>
          </cell>
          <cell r="I91">
            <v>2773.3999999999996</v>
          </cell>
          <cell r="J91">
            <v>2463.5000000000005</v>
          </cell>
          <cell r="K91">
            <v>2463.5000000000005</v>
          </cell>
          <cell r="L91">
            <v>2377.6000000000004</v>
          </cell>
          <cell r="M91">
            <v>2603.6</v>
          </cell>
          <cell r="N91">
            <v>2603.6</v>
          </cell>
          <cell r="O91">
            <v>2241.1000000000004</v>
          </cell>
          <cell r="P91">
            <v>2249.3000000000002</v>
          </cell>
          <cell r="Q91">
            <v>2249.3000000000002</v>
          </cell>
          <cell r="R91">
            <v>2645.2</v>
          </cell>
          <cell r="S91">
            <v>2741.6</v>
          </cell>
          <cell r="T91">
            <v>2741.6</v>
          </cell>
          <cell r="U91">
            <v>2320.0999999999995</v>
          </cell>
          <cell r="V91">
            <v>1962.2000000000003</v>
          </cell>
          <cell r="W91">
            <v>1962.2000000000003</v>
          </cell>
          <cell r="X91">
            <v>1987.2999999999997</v>
          </cell>
          <cell r="Y91">
            <v>1873.8000000000002</v>
          </cell>
          <cell r="Z91">
            <v>1873.8000000000002</v>
          </cell>
          <cell r="AA91">
            <v>2678.4000000000005</v>
          </cell>
          <cell r="AB91">
            <v>2332.2999999999997</v>
          </cell>
          <cell r="AC91">
            <v>2332.2999999999997</v>
          </cell>
          <cell r="AE91">
            <v>2625.2767993017242</v>
          </cell>
          <cell r="AF91">
            <v>2625.2767993017242</v>
          </cell>
        </row>
        <row r="92">
          <cell r="A92" t="str">
            <v>Non Current Assets</v>
          </cell>
          <cell r="B92">
            <v>3206.7</v>
          </cell>
          <cell r="C92">
            <v>3368.8</v>
          </cell>
          <cell r="D92">
            <v>4342.3</v>
          </cell>
          <cell r="E92">
            <v>4342.3</v>
          </cell>
          <cell r="F92">
            <v>4371</v>
          </cell>
          <cell r="G92">
            <v>4250.9000000000005</v>
          </cell>
          <cell r="H92">
            <v>4250.9000000000005</v>
          </cell>
          <cell r="I92">
            <v>7459</v>
          </cell>
          <cell r="J92">
            <v>6611.8000000000011</v>
          </cell>
          <cell r="K92">
            <v>6611.8000000000011</v>
          </cell>
          <cell r="L92">
            <v>6726.5</v>
          </cell>
          <cell r="M92">
            <v>7234.4</v>
          </cell>
          <cell r="N92">
            <v>7234.4</v>
          </cell>
          <cell r="O92">
            <v>6850.3</v>
          </cell>
          <cell r="P92">
            <v>6562.1</v>
          </cell>
          <cell r="Q92">
            <v>6562.1</v>
          </cell>
          <cell r="R92">
            <v>7071.7</v>
          </cell>
          <cell r="S92">
            <v>6958.6</v>
          </cell>
          <cell r="T92">
            <v>6958.6</v>
          </cell>
          <cell r="U92">
            <v>6505.4</v>
          </cell>
          <cell r="V92">
            <v>5747.8</v>
          </cell>
          <cell r="W92">
            <v>5747.8</v>
          </cell>
          <cell r="X92">
            <v>5700.4</v>
          </cell>
          <cell r="Y92">
            <v>5451.6</v>
          </cell>
          <cell r="Z92">
            <v>5451.6</v>
          </cell>
          <cell r="AA92">
            <v>6826.1</v>
          </cell>
          <cell r="AB92">
            <v>6128.1</v>
          </cell>
          <cell r="AC92">
            <v>6128.1</v>
          </cell>
          <cell r="AE92">
            <v>7998.4845568017245</v>
          </cell>
          <cell r="AF92">
            <v>7998.4845568017245</v>
          </cell>
        </row>
        <row r="94">
          <cell r="A94" t="str">
            <v>TOTAL ASSETS</v>
          </cell>
          <cell r="B94">
            <v>4955.7</v>
          </cell>
          <cell r="C94">
            <v>5178.5</v>
          </cell>
          <cell r="D94">
            <v>7025.7</v>
          </cell>
          <cell r="E94">
            <v>7025.7</v>
          </cell>
          <cell r="F94">
            <v>6843.3</v>
          </cell>
          <cell r="G94">
            <v>8842</v>
          </cell>
          <cell r="H94">
            <v>8842</v>
          </cell>
          <cell r="I94">
            <v>10836.9</v>
          </cell>
          <cell r="J94">
            <v>9562.3000000000011</v>
          </cell>
          <cell r="K94">
            <v>9562.3000000000011</v>
          </cell>
          <cell r="L94">
            <v>9715.7999999999993</v>
          </cell>
          <cell r="M94">
            <v>10286.4</v>
          </cell>
          <cell r="N94">
            <v>10286.4</v>
          </cell>
          <cell r="O94">
            <v>10036.799999999999</v>
          </cell>
          <cell r="P94">
            <v>9898.9000000000015</v>
          </cell>
          <cell r="Q94">
            <v>9898.9000000000015</v>
          </cell>
          <cell r="R94">
            <v>10776.4</v>
          </cell>
          <cell r="S94">
            <v>10155.5</v>
          </cell>
          <cell r="T94">
            <v>10155.5</v>
          </cell>
          <cell r="U94">
            <v>9615.5999999999985</v>
          </cell>
          <cell r="V94">
            <v>9142.2999999999993</v>
          </cell>
          <cell r="W94">
            <v>9142.2999999999993</v>
          </cell>
          <cell r="X94">
            <v>8356.0999999999985</v>
          </cell>
          <cell r="Y94">
            <v>8069.9000000000005</v>
          </cell>
          <cell r="Z94">
            <v>8069.9000000000005</v>
          </cell>
          <cell r="AA94">
            <v>9689</v>
          </cell>
          <cell r="AB94">
            <v>8446</v>
          </cell>
          <cell r="AC94">
            <v>8446</v>
          </cell>
          <cell r="AE94">
            <v>11598.079438268034</v>
          </cell>
          <cell r="AF94">
            <v>11598.079438268034</v>
          </cell>
        </row>
        <row r="96">
          <cell r="A96" t="str">
            <v>Payables</v>
          </cell>
          <cell r="B96">
            <v>828.4</v>
          </cell>
          <cell r="C96">
            <v>770.4</v>
          </cell>
          <cell r="D96">
            <v>1105.5</v>
          </cell>
          <cell r="E96">
            <v>1105.5</v>
          </cell>
          <cell r="F96">
            <v>1041.9000000000001</v>
          </cell>
          <cell r="G96">
            <v>1307.3</v>
          </cell>
          <cell r="H96">
            <v>1307.3</v>
          </cell>
          <cell r="I96">
            <v>1713.4</v>
          </cell>
          <cell r="J96">
            <v>1646</v>
          </cell>
          <cell r="K96">
            <v>1646</v>
          </cell>
          <cell r="L96">
            <v>1502.9</v>
          </cell>
          <cell r="M96">
            <v>1831.1</v>
          </cell>
          <cell r="N96">
            <v>1831.1</v>
          </cell>
          <cell r="O96">
            <v>1848.8</v>
          </cell>
          <cell r="P96">
            <v>1991.8</v>
          </cell>
          <cell r="Q96">
            <v>1991.8</v>
          </cell>
          <cell r="R96">
            <v>1936.6</v>
          </cell>
          <cell r="S96">
            <v>2076.6</v>
          </cell>
          <cell r="T96">
            <v>2076.6</v>
          </cell>
          <cell r="U96">
            <v>1941.2</v>
          </cell>
          <cell r="V96">
            <v>1853.5</v>
          </cell>
          <cell r="W96">
            <v>1853.5</v>
          </cell>
          <cell r="X96">
            <v>1708.4</v>
          </cell>
          <cell r="Y96">
            <v>1808.9</v>
          </cell>
          <cell r="Z96">
            <v>1808.9</v>
          </cell>
          <cell r="AA96">
            <v>1833</v>
          </cell>
          <cell r="AB96">
            <v>1722.2</v>
          </cell>
          <cell r="AC96">
            <v>1722.2</v>
          </cell>
          <cell r="AE96">
            <v>2332.1853460630368</v>
          </cell>
          <cell r="AF96">
            <v>2332.1853460630368</v>
          </cell>
        </row>
        <row r="97">
          <cell r="A97" t="str">
            <v>Interest Bearing Liabilities</v>
          </cell>
          <cell r="B97">
            <v>229.4</v>
          </cell>
          <cell r="C97">
            <v>168.5</v>
          </cell>
          <cell r="D97">
            <v>513.9</v>
          </cell>
          <cell r="E97">
            <v>513.9</v>
          </cell>
          <cell r="F97">
            <v>603.20000000000005</v>
          </cell>
          <cell r="G97">
            <v>361.9</v>
          </cell>
          <cell r="H97">
            <v>361.9</v>
          </cell>
          <cell r="I97">
            <v>698.1</v>
          </cell>
          <cell r="J97">
            <v>1009.4</v>
          </cell>
          <cell r="K97">
            <v>1009.4</v>
          </cell>
          <cell r="L97">
            <v>1049.4000000000001</v>
          </cell>
          <cell r="M97">
            <v>728.5</v>
          </cell>
          <cell r="N97">
            <v>728.5</v>
          </cell>
          <cell r="O97">
            <v>546.5</v>
          </cell>
          <cell r="P97">
            <v>729.2</v>
          </cell>
          <cell r="Q97">
            <v>729.2</v>
          </cell>
          <cell r="R97">
            <v>841.4</v>
          </cell>
          <cell r="S97">
            <v>1154.5999999999999</v>
          </cell>
          <cell r="T97">
            <v>1154.5999999999999</v>
          </cell>
          <cell r="U97">
            <v>975.1</v>
          </cell>
          <cell r="V97">
            <v>1378.6</v>
          </cell>
          <cell r="W97">
            <v>1378.6</v>
          </cell>
          <cell r="X97">
            <v>619.20000000000005</v>
          </cell>
          <cell r="Y97">
            <v>677.5</v>
          </cell>
          <cell r="Z97">
            <v>677.5</v>
          </cell>
          <cell r="AA97">
            <v>838.2</v>
          </cell>
          <cell r="AB97">
            <v>956.1</v>
          </cell>
          <cell r="AC97">
            <v>956.1</v>
          </cell>
          <cell r="AE97">
            <v>956.1</v>
          </cell>
          <cell r="AF97">
            <v>956.1</v>
          </cell>
        </row>
        <row r="98">
          <cell r="A98" t="str">
            <v>Other</v>
          </cell>
          <cell r="B98">
            <v>328.5</v>
          </cell>
          <cell r="C98">
            <v>296.69999999999993</v>
          </cell>
          <cell r="D98">
            <v>467.5</v>
          </cell>
          <cell r="E98">
            <v>467.5</v>
          </cell>
          <cell r="F98">
            <v>464.79999999999995</v>
          </cell>
          <cell r="G98">
            <v>459.6</v>
          </cell>
          <cell r="H98">
            <v>459.6</v>
          </cell>
          <cell r="I98">
            <v>538.30000000000018</v>
          </cell>
          <cell r="J98">
            <v>370.29999999999995</v>
          </cell>
          <cell r="K98">
            <v>370.29999999999995</v>
          </cell>
          <cell r="L98">
            <v>445.09999999999991</v>
          </cell>
          <cell r="M98">
            <v>417.1</v>
          </cell>
          <cell r="N98">
            <v>417.1</v>
          </cell>
          <cell r="O98">
            <v>373.39999999999986</v>
          </cell>
          <cell r="P98">
            <v>372.9</v>
          </cell>
          <cell r="Q98">
            <v>372.9</v>
          </cell>
          <cell r="R98">
            <v>1163.6999999999998</v>
          </cell>
          <cell r="S98">
            <v>347.9</v>
          </cell>
          <cell r="T98">
            <v>347.9</v>
          </cell>
          <cell r="U98">
            <v>599.1</v>
          </cell>
          <cell r="V98">
            <v>289.50000000000006</v>
          </cell>
          <cell r="W98">
            <v>289.50000000000006</v>
          </cell>
          <cell r="X98">
            <v>358.99999999999955</v>
          </cell>
          <cell r="Y98">
            <v>255.60000000000002</v>
          </cell>
          <cell r="Z98">
            <v>255.60000000000002</v>
          </cell>
          <cell r="AA98">
            <v>327.5</v>
          </cell>
          <cell r="AB98">
            <v>274</v>
          </cell>
          <cell r="AC98">
            <v>274</v>
          </cell>
          <cell r="AE98">
            <v>324.91746616514126</v>
          </cell>
          <cell r="AF98">
            <v>324.91746616514126</v>
          </cell>
        </row>
        <row r="99">
          <cell r="A99" t="str">
            <v>Current Liabilities</v>
          </cell>
          <cell r="B99">
            <v>1386.3</v>
          </cell>
          <cell r="C99">
            <v>1235.5999999999999</v>
          </cell>
          <cell r="D99">
            <v>2086.9</v>
          </cell>
          <cell r="E99">
            <v>2086.9</v>
          </cell>
          <cell r="F99">
            <v>2109.9</v>
          </cell>
          <cell r="G99">
            <v>2128.7999999999997</v>
          </cell>
          <cell r="H99">
            <v>2128.7999999999997</v>
          </cell>
          <cell r="I99">
            <v>2949.8</v>
          </cell>
          <cell r="J99">
            <v>3025.7</v>
          </cell>
          <cell r="K99">
            <v>3025.7</v>
          </cell>
          <cell r="L99">
            <v>2997.4</v>
          </cell>
          <cell r="M99">
            <v>2976.7</v>
          </cell>
          <cell r="N99">
            <v>2976.7</v>
          </cell>
          <cell r="O99">
            <v>2768.7</v>
          </cell>
          <cell r="P99">
            <v>3093.9</v>
          </cell>
          <cell r="Q99">
            <v>3093.9</v>
          </cell>
          <cell r="R99">
            <v>3941.7</v>
          </cell>
          <cell r="S99">
            <v>3579.1</v>
          </cell>
          <cell r="T99">
            <v>3579.1</v>
          </cell>
          <cell r="U99">
            <v>3515.4</v>
          </cell>
          <cell r="V99">
            <v>3521.6</v>
          </cell>
          <cell r="W99">
            <v>3521.6</v>
          </cell>
          <cell r="X99">
            <v>2686.6</v>
          </cell>
          <cell r="Y99">
            <v>2742</v>
          </cell>
          <cell r="Z99">
            <v>2742</v>
          </cell>
          <cell r="AA99">
            <v>2998.7</v>
          </cell>
          <cell r="AB99">
            <v>2952.3</v>
          </cell>
          <cell r="AC99">
            <v>2952.3</v>
          </cell>
          <cell r="AE99">
            <v>3613.2028122281781</v>
          </cell>
          <cell r="AF99">
            <v>3613.2028122281781</v>
          </cell>
        </row>
        <row r="101">
          <cell r="A101" t="str">
            <v>Interest Bearing Liabilities</v>
          </cell>
          <cell r="B101">
            <v>989.6</v>
          </cell>
          <cell r="C101">
            <v>1240.9000000000001</v>
          </cell>
          <cell r="D101">
            <v>1558.9</v>
          </cell>
          <cell r="E101">
            <v>1558.9</v>
          </cell>
          <cell r="F101">
            <v>1108.2</v>
          </cell>
          <cell r="G101">
            <v>1145.2</v>
          </cell>
          <cell r="H101">
            <v>1145.2</v>
          </cell>
          <cell r="I101">
            <v>1894.6</v>
          </cell>
          <cell r="J101">
            <v>1003.6</v>
          </cell>
          <cell r="K101">
            <v>1003.6</v>
          </cell>
          <cell r="L101">
            <v>1453.2</v>
          </cell>
          <cell r="M101">
            <v>1776.2</v>
          </cell>
          <cell r="N101">
            <v>1776.2</v>
          </cell>
          <cell r="O101">
            <v>1930</v>
          </cell>
          <cell r="P101">
            <v>1747.8</v>
          </cell>
          <cell r="Q101">
            <v>1747.8</v>
          </cell>
          <cell r="R101">
            <v>2109.3000000000002</v>
          </cell>
          <cell r="S101">
            <v>2084.9</v>
          </cell>
          <cell r="T101">
            <v>2084.9</v>
          </cell>
          <cell r="U101">
            <v>1928</v>
          </cell>
          <cell r="V101">
            <v>1620.5</v>
          </cell>
          <cell r="W101">
            <v>1620.5</v>
          </cell>
          <cell r="X101">
            <v>1749.3</v>
          </cell>
          <cell r="Y101">
            <v>1833.2</v>
          </cell>
          <cell r="Z101">
            <v>1833.2</v>
          </cell>
          <cell r="AA101">
            <v>2638</v>
          </cell>
          <cell r="AB101">
            <v>1875.7</v>
          </cell>
          <cell r="AC101">
            <v>1875.7</v>
          </cell>
          <cell r="AE101">
            <v>2904.9678719803578</v>
          </cell>
          <cell r="AF101">
            <v>2904.9678719803578</v>
          </cell>
        </row>
        <row r="102">
          <cell r="A102" t="str">
            <v>Other</v>
          </cell>
          <cell r="B102">
            <v>722.8</v>
          </cell>
          <cell r="C102">
            <v>314.69999999999982</v>
          </cell>
          <cell r="D102">
            <v>810.2</v>
          </cell>
          <cell r="E102">
            <v>810.2</v>
          </cell>
          <cell r="F102">
            <v>885</v>
          </cell>
          <cell r="G102">
            <v>1001.1</v>
          </cell>
          <cell r="H102">
            <v>1001.1</v>
          </cell>
          <cell r="I102">
            <v>1034.9000000000001</v>
          </cell>
          <cell r="J102">
            <v>897.2</v>
          </cell>
          <cell r="K102">
            <v>897.2</v>
          </cell>
          <cell r="L102">
            <v>756.8</v>
          </cell>
          <cell r="M102">
            <v>825.9</v>
          </cell>
          <cell r="N102">
            <v>825.9</v>
          </cell>
          <cell r="O102">
            <v>773.40000000000009</v>
          </cell>
          <cell r="P102">
            <v>694.60000000000014</v>
          </cell>
          <cell r="Q102">
            <v>694.60000000000014</v>
          </cell>
          <cell r="R102">
            <v>1209.6999999999998</v>
          </cell>
          <cell r="S102">
            <v>919.5</v>
          </cell>
          <cell r="T102">
            <v>919.5</v>
          </cell>
          <cell r="U102">
            <v>651.09999999999991</v>
          </cell>
          <cell r="V102">
            <v>418.9</v>
          </cell>
          <cell r="W102">
            <v>418.9</v>
          </cell>
          <cell r="X102">
            <v>491.29999999999995</v>
          </cell>
          <cell r="Y102">
            <v>491.4</v>
          </cell>
          <cell r="Z102">
            <v>491.4</v>
          </cell>
          <cell r="AA102">
            <v>704.40000000000009</v>
          </cell>
          <cell r="AB102">
            <v>542.40000000000009</v>
          </cell>
          <cell r="AC102">
            <v>542.40000000000009</v>
          </cell>
          <cell r="AE102">
            <v>542.40000000000009</v>
          </cell>
          <cell r="AF102">
            <v>542.40000000000009</v>
          </cell>
        </row>
        <row r="103">
          <cell r="A103" t="str">
            <v>Non Current Liabilities</v>
          </cell>
          <cell r="B103">
            <v>1712.4</v>
          </cell>
          <cell r="C103">
            <v>1555.6</v>
          </cell>
          <cell r="D103">
            <v>2369.1000000000004</v>
          </cell>
          <cell r="E103">
            <v>2369.1000000000004</v>
          </cell>
          <cell r="F103">
            <v>1993.2</v>
          </cell>
          <cell r="G103">
            <v>2146.3000000000002</v>
          </cell>
          <cell r="H103">
            <v>2146.3000000000002</v>
          </cell>
          <cell r="I103">
            <v>2929.5</v>
          </cell>
          <cell r="J103">
            <v>1900.8000000000002</v>
          </cell>
          <cell r="K103">
            <v>1900.8000000000002</v>
          </cell>
          <cell r="L103">
            <v>2210</v>
          </cell>
          <cell r="M103">
            <v>2602.1</v>
          </cell>
          <cell r="N103">
            <v>2602.1</v>
          </cell>
          <cell r="O103">
            <v>2703.4</v>
          </cell>
          <cell r="P103">
            <v>2442.4</v>
          </cell>
          <cell r="Q103">
            <v>2442.4</v>
          </cell>
          <cell r="R103">
            <v>3319</v>
          </cell>
          <cell r="S103">
            <v>3004.4</v>
          </cell>
          <cell r="T103">
            <v>3004.4</v>
          </cell>
          <cell r="U103">
            <v>2579.1</v>
          </cell>
          <cell r="V103">
            <v>2039.4</v>
          </cell>
          <cell r="W103">
            <v>2039.4</v>
          </cell>
          <cell r="X103">
            <v>2240.6</v>
          </cell>
          <cell r="Y103">
            <v>2324.6</v>
          </cell>
          <cell r="Z103">
            <v>2324.6</v>
          </cell>
          <cell r="AA103">
            <v>3342.4</v>
          </cell>
          <cell r="AB103">
            <v>2418.1000000000004</v>
          </cell>
          <cell r="AC103">
            <v>2418.1000000000004</v>
          </cell>
          <cell r="AE103">
            <v>3447.3678719803579</v>
          </cell>
          <cell r="AF103">
            <v>3447.3678719803579</v>
          </cell>
        </row>
        <row r="105">
          <cell r="A105" t="str">
            <v>TOTAL LIABILITIES</v>
          </cell>
          <cell r="B105">
            <v>3098.7</v>
          </cell>
          <cell r="C105">
            <v>2791.2</v>
          </cell>
          <cell r="D105">
            <v>4456</v>
          </cell>
          <cell r="E105">
            <v>4456</v>
          </cell>
          <cell r="F105">
            <v>4103.1000000000004</v>
          </cell>
          <cell r="G105">
            <v>4275.1000000000004</v>
          </cell>
          <cell r="H105">
            <v>4275.1000000000004</v>
          </cell>
          <cell r="I105">
            <v>5879.3</v>
          </cell>
          <cell r="J105">
            <v>4926.5</v>
          </cell>
          <cell r="K105">
            <v>4926.5</v>
          </cell>
          <cell r="L105">
            <v>5207.3999999999996</v>
          </cell>
          <cell r="M105">
            <v>5578.7999999999993</v>
          </cell>
          <cell r="N105">
            <v>5578.7999999999993</v>
          </cell>
          <cell r="O105">
            <v>5472.1</v>
          </cell>
          <cell r="P105">
            <v>5536.3</v>
          </cell>
          <cell r="Q105">
            <v>5536.3</v>
          </cell>
          <cell r="R105">
            <v>7260.7</v>
          </cell>
          <cell r="S105">
            <v>6583.5</v>
          </cell>
          <cell r="T105">
            <v>6583.5</v>
          </cell>
          <cell r="U105">
            <v>6094.5</v>
          </cell>
          <cell r="V105">
            <v>5561</v>
          </cell>
          <cell r="W105">
            <v>5561</v>
          </cell>
          <cell r="X105">
            <v>4927.2</v>
          </cell>
          <cell r="Y105">
            <v>5066.6000000000004</v>
          </cell>
          <cell r="Z105">
            <v>5066.6000000000004</v>
          </cell>
          <cell r="AA105">
            <v>6341.1</v>
          </cell>
          <cell r="AB105">
            <v>5370.4000000000005</v>
          </cell>
          <cell r="AC105">
            <v>5370.4000000000005</v>
          </cell>
          <cell r="AE105">
            <v>7060.5706842085365</v>
          </cell>
          <cell r="AF105">
            <v>7060.5706842085365</v>
          </cell>
        </row>
        <row r="107">
          <cell r="A107" t="str">
            <v>NET ASSETS</v>
          </cell>
          <cell r="B107">
            <v>1857</v>
          </cell>
          <cell r="C107">
            <v>2387.3000000000002</v>
          </cell>
          <cell r="D107">
            <v>2569.6999999999998</v>
          </cell>
          <cell r="E107">
            <v>2569.6999999999998</v>
          </cell>
          <cell r="F107">
            <v>2740.2</v>
          </cell>
          <cell r="G107">
            <v>4566.8999999999996</v>
          </cell>
          <cell r="H107">
            <v>4566.8999999999996</v>
          </cell>
          <cell r="I107">
            <v>4957.5999999999995</v>
          </cell>
          <cell r="J107">
            <v>4635.8000000000011</v>
          </cell>
          <cell r="K107">
            <v>4635.8000000000011</v>
          </cell>
          <cell r="L107">
            <v>4508.3999999999996</v>
          </cell>
          <cell r="M107">
            <v>4707.6000000000004</v>
          </cell>
          <cell r="N107">
            <v>4707.6000000000004</v>
          </cell>
          <cell r="O107">
            <v>4564.6999999999989</v>
          </cell>
          <cell r="P107">
            <v>4362.6000000000013</v>
          </cell>
          <cell r="Q107">
            <v>4362.6000000000013</v>
          </cell>
          <cell r="R107">
            <v>3515.7</v>
          </cell>
          <cell r="S107">
            <v>3572</v>
          </cell>
          <cell r="T107">
            <v>3572</v>
          </cell>
          <cell r="U107">
            <v>3521.0999999999985</v>
          </cell>
          <cell r="V107">
            <v>3581.2999999999993</v>
          </cell>
          <cell r="W107">
            <v>3581.2999999999993</v>
          </cell>
          <cell r="X107">
            <v>3428.8999999999987</v>
          </cell>
          <cell r="Y107">
            <v>3003.3</v>
          </cell>
          <cell r="Z107">
            <v>3003.3</v>
          </cell>
          <cell r="AA107">
            <v>3347.8999999999996</v>
          </cell>
          <cell r="AB107">
            <v>3075.5999999999995</v>
          </cell>
          <cell r="AC107">
            <v>3075.5999999999995</v>
          </cell>
          <cell r="AE107">
            <v>4537.5087540594977</v>
          </cell>
          <cell r="AF107">
            <v>4537.5087540594977</v>
          </cell>
        </row>
        <row r="109">
          <cell r="A109" t="str">
            <v>Shareholders Equity</v>
          </cell>
          <cell r="B109">
            <v>1773.1</v>
          </cell>
          <cell r="C109">
            <v>1877.3</v>
          </cell>
          <cell r="D109">
            <v>1971.3000000000002</v>
          </cell>
          <cell r="E109">
            <v>1971.3000000000002</v>
          </cell>
          <cell r="F109">
            <v>4747.4000000000005</v>
          </cell>
          <cell r="G109">
            <v>4394.7</v>
          </cell>
          <cell r="H109">
            <v>4394.7</v>
          </cell>
          <cell r="I109">
            <v>2510</v>
          </cell>
          <cell r="J109">
            <v>4439.7999999999993</v>
          </cell>
          <cell r="K109">
            <v>4439.7999999999993</v>
          </cell>
          <cell r="L109">
            <v>4436.7</v>
          </cell>
          <cell r="M109">
            <v>4617</v>
          </cell>
          <cell r="N109">
            <v>4617</v>
          </cell>
          <cell r="O109">
            <v>4477.3</v>
          </cell>
          <cell r="P109">
            <v>4284.1000000000004</v>
          </cell>
          <cell r="Q109">
            <v>4284.1000000000004</v>
          </cell>
          <cell r="R109">
            <v>3444.7</v>
          </cell>
          <cell r="S109">
            <v>3520.4</v>
          </cell>
          <cell r="T109">
            <v>3520.4</v>
          </cell>
          <cell r="U109">
            <v>3465.7</v>
          </cell>
          <cell r="V109">
            <v>3529.1000000000004</v>
          </cell>
          <cell r="W109">
            <v>3529.1000000000004</v>
          </cell>
          <cell r="X109">
            <v>2580.6</v>
          </cell>
          <cell r="Y109">
            <v>2948.7999999999997</v>
          </cell>
          <cell r="Z109">
            <v>2948.7999999999997</v>
          </cell>
          <cell r="AA109">
            <v>2408.1</v>
          </cell>
          <cell r="AB109">
            <v>3012.6000000000004</v>
          </cell>
          <cell r="AC109">
            <v>3012.6000000000004</v>
          </cell>
          <cell r="AE109">
            <v>4468.4087540594974</v>
          </cell>
          <cell r="AF109">
            <v>4468.4087540594974</v>
          </cell>
        </row>
        <row r="110">
          <cell r="A110" t="str">
            <v>Outside Equity Interests</v>
          </cell>
          <cell r="B110">
            <v>83.9</v>
          </cell>
          <cell r="C110">
            <v>83.8</v>
          </cell>
          <cell r="D110">
            <v>209.2</v>
          </cell>
          <cell r="E110">
            <v>209.2</v>
          </cell>
          <cell r="F110">
            <v>210.2</v>
          </cell>
          <cell r="G110">
            <v>172.2</v>
          </cell>
          <cell r="H110">
            <v>172.2</v>
          </cell>
          <cell r="I110">
            <v>230.2</v>
          </cell>
          <cell r="J110">
            <v>196</v>
          </cell>
          <cell r="K110">
            <v>196</v>
          </cell>
          <cell r="L110">
            <v>71.7</v>
          </cell>
          <cell r="M110">
            <v>90.6</v>
          </cell>
          <cell r="N110">
            <v>90.6</v>
          </cell>
          <cell r="O110">
            <v>87.4</v>
          </cell>
          <cell r="P110">
            <v>78.5</v>
          </cell>
          <cell r="Q110">
            <v>78.5</v>
          </cell>
          <cell r="R110">
            <v>71</v>
          </cell>
          <cell r="S110">
            <v>51.6</v>
          </cell>
          <cell r="T110">
            <v>51.6</v>
          </cell>
          <cell r="U110">
            <v>55.4</v>
          </cell>
          <cell r="V110">
            <v>52.2</v>
          </cell>
          <cell r="W110">
            <v>52.2</v>
          </cell>
          <cell r="X110">
            <v>848.30000000000018</v>
          </cell>
          <cell r="Y110">
            <v>54.5</v>
          </cell>
          <cell r="Z110">
            <v>54.5</v>
          </cell>
          <cell r="AA110">
            <v>939.80000000000018</v>
          </cell>
          <cell r="AB110">
            <v>63</v>
          </cell>
          <cell r="AC110">
            <v>63</v>
          </cell>
          <cell r="AE110">
            <v>69.099999999999994</v>
          </cell>
          <cell r="AF110">
            <v>69.099999999999994</v>
          </cell>
        </row>
        <row r="111">
          <cell r="A111" t="str">
            <v>TOTAL EQUITY</v>
          </cell>
          <cell r="B111">
            <v>1857</v>
          </cell>
          <cell r="C111">
            <v>1961.1</v>
          </cell>
          <cell r="D111">
            <v>2180.5</v>
          </cell>
          <cell r="E111">
            <v>2180.5</v>
          </cell>
          <cell r="F111">
            <v>4957.6000000000004</v>
          </cell>
          <cell r="G111">
            <v>4566.8999999999996</v>
          </cell>
          <cell r="H111">
            <v>4566.8999999999996</v>
          </cell>
          <cell r="I111">
            <v>2740.2</v>
          </cell>
          <cell r="J111">
            <v>4635.7999999999993</v>
          </cell>
          <cell r="K111">
            <v>4635.7999999999993</v>
          </cell>
          <cell r="L111">
            <v>4508.3999999999996</v>
          </cell>
          <cell r="M111">
            <v>4707.6000000000004</v>
          </cell>
          <cell r="N111">
            <v>4707.6000000000004</v>
          </cell>
          <cell r="O111">
            <v>4564.7</v>
          </cell>
          <cell r="P111">
            <v>4362.6000000000004</v>
          </cell>
          <cell r="Q111">
            <v>4362.6000000000004</v>
          </cell>
          <cell r="R111">
            <v>3515.7</v>
          </cell>
          <cell r="S111">
            <v>3572</v>
          </cell>
          <cell r="T111">
            <v>3572</v>
          </cell>
          <cell r="U111">
            <v>3521.1</v>
          </cell>
          <cell r="V111">
            <v>3581.3</v>
          </cell>
          <cell r="W111">
            <v>3581.3</v>
          </cell>
          <cell r="X111">
            <v>3428.9</v>
          </cell>
          <cell r="Y111">
            <v>3003.2999999999997</v>
          </cell>
          <cell r="Z111">
            <v>3003.2999999999997</v>
          </cell>
          <cell r="AA111">
            <v>3347.9</v>
          </cell>
          <cell r="AB111">
            <v>3075.6000000000004</v>
          </cell>
          <cell r="AC111">
            <v>3075.6000000000004</v>
          </cell>
          <cell r="AE111">
            <v>4537.5087540594977</v>
          </cell>
          <cell r="AF111">
            <v>4537.5087540594977</v>
          </cell>
        </row>
        <row r="113">
          <cell r="A113" t="str">
            <v>Weighted Average Number of Shares</v>
          </cell>
          <cell r="B113">
            <v>673.91727941176464</v>
          </cell>
          <cell r="C113">
            <v>624</v>
          </cell>
          <cell r="D113">
            <v>647.11647727272725</v>
          </cell>
          <cell r="E113">
            <v>670.2329545454545</v>
          </cell>
          <cell r="F113">
            <v>639.79999999999995</v>
          </cell>
          <cell r="G113">
            <v>675.25667963683532</v>
          </cell>
          <cell r="H113">
            <v>710.71335927367056</v>
          </cell>
          <cell r="I113">
            <v>828.4</v>
          </cell>
          <cell r="J113">
            <v>860.37263157894733</v>
          </cell>
          <cell r="K113">
            <v>892.34526315789469</v>
          </cell>
          <cell r="L113">
            <v>858.5</v>
          </cell>
          <cell r="M113">
            <v>892.72292944785272</v>
          </cell>
          <cell r="N113">
            <v>926.94585889570556</v>
          </cell>
          <cell r="O113">
            <v>878.8</v>
          </cell>
          <cell r="P113">
            <v>909.04114832535879</v>
          </cell>
          <cell r="Q113">
            <v>939.28229665071774</v>
          </cell>
          <cell r="R113">
            <v>879.2</v>
          </cell>
          <cell r="S113">
            <v>909.71168000000011</v>
          </cell>
          <cell r="T113">
            <v>940.22336000000007</v>
          </cell>
          <cell r="U113">
            <v>949.78399759656656</v>
          </cell>
          <cell r="V113">
            <v>954.56431639484981</v>
          </cell>
          <cell r="W113">
            <v>959.34463519313306</v>
          </cell>
          <cell r="X113">
            <v>938.76322668747548</v>
          </cell>
          <cell r="Z113">
            <v>918.18181818181802</v>
          </cell>
          <cell r="AA113">
            <v>832.83582089552249</v>
          </cell>
          <cell r="AC113">
            <v>894.56702355460402</v>
          </cell>
          <cell r="AF113">
            <v>1154.7207366386606</v>
          </cell>
        </row>
        <row r="115">
          <cell r="A115" t="str">
            <v>Net Working Capital</v>
          </cell>
          <cell r="B115">
            <v>723.1</v>
          </cell>
          <cell r="C115">
            <v>885.00000000000011</v>
          </cell>
          <cell r="D115">
            <v>1255.3000000000002</v>
          </cell>
          <cell r="E115">
            <v>1255.3000000000002</v>
          </cell>
          <cell r="F115">
            <v>1243.1999999999998</v>
          </cell>
          <cell r="G115">
            <v>976.7</v>
          </cell>
          <cell r="H115">
            <v>976.7</v>
          </cell>
          <cell r="I115">
            <v>1341.1</v>
          </cell>
          <cell r="J115">
            <v>1163</v>
          </cell>
          <cell r="K115">
            <v>1163</v>
          </cell>
          <cell r="L115">
            <v>1259.0999999999999</v>
          </cell>
          <cell r="M115">
            <v>1089.9000000000001</v>
          </cell>
          <cell r="N115">
            <v>1089.9000000000001</v>
          </cell>
          <cell r="O115">
            <v>1225.8999999999999</v>
          </cell>
          <cell r="P115">
            <v>1134.2</v>
          </cell>
          <cell r="Q115">
            <v>1134.2</v>
          </cell>
          <cell r="R115">
            <v>1391.5000000000005</v>
          </cell>
          <cell r="S115">
            <v>995.59999999999991</v>
          </cell>
          <cell r="T115">
            <v>995.59999999999991</v>
          </cell>
          <cell r="U115">
            <v>995.2</v>
          </cell>
          <cell r="V115">
            <v>1422.9</v>
          </cell>
          <cell r="W115">
            <v>1422.9</v>
          </cell>
          <cell r="X115">
            <v>807.90000000000009</v>
          </cell>
          <cell r="Z115">
            <v>544.40000000000009</v>
          </cell>
          <cell r="AA115">
            <v>836.30000000000018</v>
          </cell>
          <cell r="AC115">
            <v>398.39999999999986</v>
          </cell>
          <cell r="AD115">
            <v>0</v>
          </cell>
          <cell r="AF115">
            <v>1070.1095354032714</v>
          </cell>
        </row>
        <row r="116">
          <cell r="A116" t="str">
            <v>Net Debt</v>
          </cell>
          <cell r="B116">
            <v>1021.5</v>
          </cell>
          <cell r="C116">
            <v>1255.1000000000001</v>
          </cell>
          <cell r="D116">
            <v>1750.2000000000003</v>
          </cell>
          <cell r="E116">
            <v>1750.2000000000003</v>
          </cell>
          <cell r="F116">
            <v>1524.2</v>
          </cell>
          <cell r="G116">
            <v>-800</v>
          </cell>
          <cell r="H116">
            <v>-800</v>
          </cell>
          <cell r="I116">
            <v>2269.2999999999997</v>
          </cell>
          <cell r="J116">
            <v>1871.5</v>
          </cell>
          <cell r="K116">
            <v>1871.5</v>
          </cell>
          <cell r="L116">
            <v>2275.3000000000002</v>
          </cell>
          <cell r="M116">
            <v>2373.6999999999998</v>
          </cell>
          <cell r="N116">
            <v>2373.6999999999998</v>
          </cell>
          <cell r="O116">
            <v>2364.6999999999998</v>
          </cell>
          <cell r="P116">
            <v>2266.1999999999998</v>
          </cell>
          <cell r="Q116">
            <v>2266.1999999999998</v>
          </cell>
          <cell r="R116">
            <v>2741.0000000000005</v>
          </cell>
          <cell r="S116">
            <v>3125.6</v>
          </cell>
          <cell r="T116">
            <v>3125.6</v>
          </cell>
          <cell r="U116">
            <v>2736.7999999999997</v>
          </cell>
          <cell r="V116">
            <v>2884.4</v>
          </cell>
          <cell r="W116">
            <v>2884.4</v>
          </cell>
          <cell r="X116">
            <v>2232.5</v>
          </cell>
          <cell r="Z116">
            <v>2252.3999999999996</v>
          </cell>
          <cell r="AA116">
            <v>3292.5</v>
          </cell>
          <cell r="AC116">
            <v>2643.2000000000003</v>
          </cell>
          <cell r="AD116">
            <v>0</v>
          </cell>
          <cell r="AF116">
            <v>3672.4678719803555</v>
          </cell>
        </row>
        <row r="118">
          <cell r="A118" t="str">
            <v>Cash flow</v>
          </cell>
        </row>
        <row r="119">
          <cell r="A119" t="str">
            <v>Operating Cash Flow</v>
          </cell>
          <cell r="B119">
            <v>466.80000000000052</v>
          </cell>
          <cell r="C119">
            <v>230.8</v>
          </cell>
          <cell r="D119">
            <v>465.6</v>
          </cell>
          <cell r="E119">
            <v>415.69999999999959</v>
          </cell>
          <cell r="F119">
            <v>317.3</v>
          </cell>
          <cell r="G119">
            <v>465.6</v>
          </cell>
          <cell r="H119">
            <v>900.6999999999997</v>
          </cell>
          <cell r="I119">
            <v>465.6</v>
          </cell>
          <cell r="J119">
            <v>409.09999999999991</v>
          </cell>
          <cell r="K119">
            <v>874.69999999999993</v>
          </cell>
          <cell r="L119">
            <v>470.9</v>
          </cell>
          <cell r="M119">
            <v>560.90000000000134</v>
          </cell>
          <cell r="N119">
            <v>1031.8000000000013</v>
          </cell>
          <cell r="O119">
            <v>354.3</v>
          </cell>
          <cell r="P119">
            <v>503.10000000000053</v>
          </cell>
          <cell r="Q119">
            <v>857.40000000000055</v>
          </cell>
          <cell r="R119">
            <v>254.9</v>
          </cell>
          <cell r="S119">
            <v>709.20000000000152</v>
          </cell>
          <cell r="T119">
            <v>964.1000000000015</v>
          </cell>
          <cell r="U119">
            <v>473.15</v>
          </cell>
          <cell r="V119">
            <v>473.15</v>
          </cell>
          <cell r="W119">
            <v>946.3</v>
          </cell>
          <cell r="X119">
            <v>191.9</v>
          </cell>
          <cell r="Z119">
            <v>661.40000000000077</v>
          </cell>
          <cell r="AA119">
            <v>83.6</v>
          </cell>
          <cell r="AC119">
            <v>673.7</v>
          </cell>
          <cell r="AF119">
            <v>941.37454965964253</v>
          </cell>
        </row>
        <row r="121">
          <cell r="A121" t="str">
            <v>Per Share Data</v>
          </cell>
        </row>
        <row r="122">
          <cell r="A122" t="str">
            <v>EPS (cps)</v>
          </cell>
          <cell r="B122">
            <v>0.43165535131242661</v>
          </cell>
          <cell r="C122">
            <v>0.19700000000000001</v>
          </cell>
          <cell r="D122">
            <v>0.21986998245182737</v>
          </cell>
          <cell r="E122">
            <v>0.41686998245182738</v>
          </cell>
          <cell r="F122">
            <v>0.20300000000000001</v>
          </cell>
          <cell r="G122">
            <v>0.94415727425359508</v>
          </cell>
          <cell r="H122">
            <v>1.1471572742535951</v>
          </cell>
          <cell r="I122">
            <v>0.14899999999999999</v>
          </cell>
          <cell r="J122">
            <v>0.20400237812128433</v>
          </cell>
          <cell r="K122">
            <v>0.35300237812128432</v>
          </cell>
          <cell r="L122">
            <v>0.29399999999999998</v>
          </cell>
          <cell r="M122">
            <v>2.3925795958658957E-2</v>
          </cell>
          <cell r="N122">
            <v>0.31792579595865894</v>
          </cell>
          <cell r="O122">
            <v>0.30299999999999999</v>
          </cell>
          <cell r="P122">
            <v>-0.17428470276603325</v>
          </cell>
          <cell r="Q122">
            <v>0.12871529723396674</v>
          </cell>
          <cell r="R122">
            <v>0.23</v>
          </cell>
          <cell r="S122">
            <v>0.1436346223093202</v>
          </cell>
          <cell r="T122">
            <v>0.37363462230932021</v>
          </cell>
          <cell r="U122">
            <v>0.19478112967595101</v>
          </cell>
          <cell r="V122">
            <v>0.36153615237416076</v>
          </cell>
          <cell r="W122">
            <v>0.55631728205011177</v>
          </cell>
          <cell r="X122">
            <v>0.19706779594764479</v>
          </cell>
          <cell r="Z122">
            <v>0.28186138613861411</v>
          </cell>
          <cell r="AA122">
            <v>0.20100000000000001</v>
          </cell>
          <cell r="AC122">
            <v>0.23665079801265207</v>
          </cell>
          <cell r="AF122">
            <v>0.38198948170229735</v>
          </cell>
        </row>
        <row r="123">
          <cell r="A123" t="str">
            <v>Dividend (cps)</v>
          </cell>
          <cell r="B123">
            <v>0.35580034423407919</v>
          </cell>
          <cell r="C123">
            <v>0.14000000000000001</v>
          </cell>
          <cell r="D123">
            <v>0.12172989377845223</v>
          </cell>
          <cell r="E123">
            <v>0.26172989377845224</v>
          </cell>
          <cell r="F123">
            <v>0.14000000000000001</v>
          </cell>
          <cell r="G123">
            <v>0.12199029126213595</v>
          </cell>
          <cell r="H123">
            <v>0.26199029126213597</v>
          </cell>
          <cell r="I123">
            <v>0.15</v>
          </cell>
          <cell r="J123">
            <v>0.13078817733990147</v>
          </cell>
          <cell r="K123">
            <v>0.28078817733990147</v>
          </cell>
          <cell r="L123">
            <v>0.16</v>
          </cell>
          <cell r="M123">
            <v>0.13934002869440457</v>
          </cell>
          <cell r="N123">
            <v>0.29934002869440457</v>
          </cell>
          <cell r="O123">
            <v>0.16</v>
          </cell>
          <cell r="P123">
            <v>0.15817910447761194</v>
          </cell>
          <cell r="Q123">
            <v>0.31817910447761194</v>
          </cell>
          <cell r="R123">
            <v>0.17</v>
          </cell>
          <cell r="S123">
            <v>0.14811377245508986</v>
          </cell>
          <cell r="T123">
            <v>0.31811377245508987</v>
          </cell>
          <cell r="U123">
            <v>0.15907630522088356</v>
          </cell>
          <cell r="V123">
            <v>0.15907630522088356</v>
          </cell>
          <cell r="W123">
            <v>0.31815261044176713</v>
          </cell>
          <cell r="X123">
            <v>0.17</v>
          </cell>
          <cell r="Z123">
            <v>0.31845544554455452</v>
          </cell>
          <cell r="AA123">
            <v>0.17</v>
          </cell>
          <cell r="AC123">
            <v>0.31819639278557116</v>
          </cell>
          <cell r="AF123">
            <v>0.34</v>
          </cell>
        </row>
        <row r="124">
          <cell r="A124" t="str">
            <v>Franking</v>
          </cell>
          <cell r="B124">
            <v>0.27500000000000002</v>
          </cell>
          <cell r="C124">
            <v>0.5</v>
          </cell>
          <cell r="D124">
            <v>0.5</v>
          </cell>
          <cell r="E124">
            <v>0.5</v>
          </cell>
          <cell r="F124">
            <v>0.5</v>
          </cell>
          <cell r="G124">
            <v>0.5</v>
          </cell>
          <cell r="H124">
            <v>0.5</v>
          </cell>
          <cell r="I124">
            <v>0.5</v>
          </cell>
          <cell r="J124">
            <v>0.4</v>
          </cell>
          <cell r="K124">
            <v>0.45</v>
          </cell>
          <cell r="L124">
            <v>0.4</v>
          </cell>
          <cell r="M124">
            <v>0.4</v>
          </cell>
          <cell r="N124">
            <v>0.4</v>
          </cell>
          <cell r="O124">
            <v>0.4</v>
          </cell>
          <cell r="P124">
            <v>9.8273259105491617E-2</v>
          </cell>
          <cell r="Q124">
            <v>0.25</v>
          </cell>
          <cell r="R124">
            <v>0.22</v>
          </cell>
          <cell r="S124">
            <v>6.9656357388316145E-2</v>
          </cell>
          <cell r="T124">
            <v>0.15</v>
          </cell>
          <cell r="U124">
            <v>0</v>
          </cell>
          <cell r="V124">
            <v>0.15</v>
          </cell>
          <cell r="W124">
            <v>0</v>
          </cell>
          <cell r="X124">
            <v>0</v>
          </cell>
          <cell r="Z124">
            <v>0</v>
          </cell>
          <cell r="AA124">
            <v>0</v>
          </cell>
          <cell r="AC124">
            <v>0</v>
          </cell>
          <cell r="AD124">
            <v>0</v>
          </cell>
          <cell r="AF124">
            <v>0</v>
          </cell>
        </row>
        <row r="125">
          <cell r="A125" t="str">
            <v>Payout Ratio</v>
          </cell>
          <cell r="B125">
            <v>0.86563176895306837</v>
          </cell>
          <cell r="C125">
            <v>0.8597207859358843</v>
          </cell>
          <cell r="D125">
            <v>0.55364489695687658</v>
          </cell>
          <cell r="E125">
            <v>0.73674926501469984</v>
          </cell>
          <cell r="F125">
            <v>0.68965517241379315</v>
          </cell>
          <cell r="G125">
            <v>0.12920547729569268</v>
          </cell>
          <cell r="H125">
            <v>0.66381461675579312</v>
          </cell>
          <cell r="I125">
            <v>1.0067114093959733</v>
          </cell>
          <cell r="J125">
            <v>0.79542857142857104</v>
          </cell>
          <cell r="K125">
            <v>0.6506361983900284</v>
          </cell>
          <cell r="L125">
            <v>0.54421768707482998</v>
          </cell>
          <cell r="M125">
            <v>5.8238408843395728</v>
          </cell>
          <cell r="N125">
            <v>0.71274595427690735</v>
          </cell>
          <cell r="O125">
            <v>0.52805280528052811</v>
          </cell>
          <cell r="P125">
            <v>-0.90759029316507422</v>
          </cell>
          <cell r="Q125">
            <v>0.76493473253135391</v>
          </cell>
          <cell r="R125">
            <v>0.73913043478260876</v>
          </cell>
          <cell r="S125">
            <v>1.0311843347638268</v>
          </cell>
          <cell r="T125">
            <v>0.73687607785168785</v>
          </cell>
          <cell r="U125">
            <v>0.81669258970585068</v>
          </cell>
          <cell r="V125">
            <v>0.44000110134560599</v>
          </cell>
          <cell r="W125">
            <v>0.76881108312342605</v>
          </cell>
          <cell r="X125">
            <v>0.86264728938849089</v>
          </cell>
          <cell r="Z125">
            <v>0.79219723652126761</v>
          </cell>
          <cell r="AA125">
            <v>0.845771144278607</v>
          </cell>
          <cell r="AC125">
            <v>0.78959223300970904</v>
          </cell>
          <cell r="AD125" t="e">
            <v>#DIV/0!</v>
          </cell>
          <cell r="AF125">
            <v>0.67500000000000004</v>
          </cell>
        </row>
        <row r="127">
          <cell r="A127" t="str">
            <v>DuPont Analysis</v>
          </cell>
        </row>
        <row r="128">
          <cell r="A128" t="str">
            <v>EBIT/Sales</v>
          </cell>
          <cell r="B128">
            <v>9.5360105975040091E-2</v>
          </cell>
          <cell r="C128">
            <v>8.9883538388521769E-2</v>
          </cell>
          <cell r="D128">
            <v>8.940951470236673E-2</v>
          </cell>
          <cell r="E128">
            <v>8.9638622247317903E-2</v>
          </cell>
          <cell r="F128">
            <v>7.9396984924623118E-2</v>
          </cell>
          <cell r="G128">
            <v>-0.16752812404986314</v>
          </cell>
          <cell r="H128">
            <v>0.34897101128568264</v>
          </cell>
          <cell r="I128">
            <v>7.523186033824332E-2</v>
          </cell>
          <cell r="J128">
            <v>8.1167891390209065E-2</v>
          </cell>
          <cell r="K128">
            <v>8.1167891390209065E-2</v>
          </cell>
          <cell r="L128">
            <v>7.9258241758241768E-2</v>
          </cell>
          <cell r="M128">
            <v>8.045349253281607E-2</v>
          </cell>
          <cell r="N128">
            <v>7.9868151721619471E-2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7.0570598360200618E-2</v>
          </cell>
          <cell r="W128">
            <v>6.7299911725761358E-2</v>
          </cell>
          <cell r="X128">
            <v>7.0433828494260636E-2</v>
          </cell>
          <cell r="Z128">
            <v>7.0517774343122119E-2</v>
          </cell>
          <cell r="AA128">
            <v>6.5518168469381452E-2</v>
          </cell>
          <cell r="AC128">
            <v>6.7810474652348102E-2</v>
          </cell>
          <cell r="AD128" t="e">
            <v>#DIV/0!</v>
          </cell>
          <cell r="AF128">
            <v>7.462636598288358E-2</v>
          </cell>
        </row>
        <row r="129">
          <cell r="A129" t="str">
            <v>Sales/Total Assets (x)</v>
          </cell>
          <cell r="B129">
            <v>1.1576971971668988</v>
          </cell>
          <cell r="C129">
            <v>0.52893695085449455</v>
          </cell>
          <cell r="D129">
            <v>0.41676985923110865</v>
          </cell>
          <cell r="E129">
            <v>0.80663848442148112</v>
          </cell>
          <cell r="F129">
            <v>0.5525112153493198</v>
          </cell>
          <cell r="G129">
            <v>-0.22318479981904549</v>
          </cell>
          <cell r="H129">
            <v>0.20443338611173942</v>
          </cell>
          <cell r="I129">
            <v>0.5074329374636658</v>
          </cell>
          <cell r="J129">
            <v>1.1200129675914789</v>
          </cell>
          <cell r="K129">
            <v>1.1200129675914789</v>
          </cell>
          <cell r="L129">
            <v>0.52450647399081907</v>
          </cell>
          <cell r="M129">
            <v>0.51620586405350755</v>
          </cell>
          <cell r="N129">
            <v>1.0116172810701509</v>
          </cell>
          <cell r="O129">
            <v>0.54738562091503273</v>
          </cell>
          <cell r="P129">
            <v>0.5662851427936435</v>
          </cell>
          <cell r="Q129">
            <v>1.1212963056501226</v>
          </cell>
          <cell r="R129">
            <v>0.53357336401766831</v>
          </cell>
          <cell r="S129">
            <v>0.56021860075820984</v>
          </cell>
          <cell r="T129">
            <v>1.1264142582836885</v>
          </cell>
          <cell r="U129">
            <v>0.56908565248138443</v>
          </cell>
          <cell r="V129">
            <v>0.5910000765671658</v>
          </cell>
          <cell r="W129">
            <v>1.1895474880500529</v>
          </cell>
          <cell r="X129">
            <v>0.56715453381362124</v>
          </cell>
          <cell r="Z129">
            <v>1.1545124474900554</v>
          </cell>
          <cell r="AA129">
            <v>0.49905046960470623</v>
          </cell>
          <cell r="AC129">
            <v>1.1289841345015392</v>
          </cell>
          <cell r="AD129" t="e">
            <v>#DIV/0!</v>
          </cell>
          <cell r="AF129">
            <v>0.76895314658720604</v>
          </cell>
        </row>
        <row r="130">
          <cell r="A130" t="str">
            <v>Net Interest/Total Assets</v>
          </cell>
          <cell r="B130">
            <v>2.6373670722602254E-2</v>
          </cell>
          <cell r="C130">
            <v>1.1991889543304046E-2</v>
          </cell>
          <cell r="D130">
            <v>1.1657201417652339E-2</v>
          </cell>
          <cell r="E130">
            <v>2.0496178316751362E-2</v>
          </cell>
          <cell r="F130">
            <v>1.2537810705361448E-2</v>
          </cell>
          <cell r="G130">
            <v>8.1542637412350127E-3</v>
          </cell>
          <cell r="H130">
            <v>1.7857950689889164E-2</v>
          </cell>
          <cell r="I130">
            <v>9.2092757153798589E-3</v>
          </cell>
          <cell r="J130">
            <v>2.1699800257260281E-2</v>
          </cell>
          <cell r="K130">
            <v>2.1699800257260281E-2</v>
          </cell>
          <cell r="L130">
            <v>9.0779966652257162E-3</v>
          </cell>
          <cell r="M130">
            <v>9.3715974490589538E-3</v>
          </cell>
          <cell r="N130">
            <v>1.7946025820500859E-2</v>
          </cell>
          <cell r="O130">
            <v>1.0680695042244542E-2</v>
          </cell>
          <cell r="P130">
            <v>1.1263877804604548E-2</v>
          </cell>
          <cell r="Q130">
            <v>2.209336390912121E-2</v>
          </cell>
          <cell r="R130">
            <v>1.1506625589250585E-2</v>
          </cell>
          <cell r="S130">
            <v>1.207227610654325E-2</v>
          </cell>
          <cell r="T130">
            <v>2.4282408547092706E-2</v>
          </cell>
          <cell r="U130">
            <v>1.0867756562253007E-2</v>
          </cell>
          <cell r="V130">
            <v>1.2075735865154284E-2</v>
          </cell>
          <cell r="W130">
            <v>2.3506119904181662E-2</v>
          </cell>
          <cell r="X130">
            <v>1.0974018980146242E-2</v>
          </cell>
          <cell r="Z130">
            <v>2.2230758745461529E-2</v>
          </cell>
          <cell r="AA130">
            <v>1.0620291051708123E-2</v>
          </cell>
          <cell r="AC130">
            <v>2.1513142315889178E-2</v>
          </cell>
          <cell r="AD130" t="e">
            <v>#DIV/0!</v>
          </cell>
          <cell r="AF130">
            <v>1.2485590633411339E-2</v>
          </cell>
        </row>
        <row r="131">
          <cell r="A131" t="str">
            <v>Total Assets/Equity (x)</v>
          </cell>
          <cell r="B131">
            <v>2.7949354238339632</v>
          </cell>
          <cell r="C131">
            <v>2.7584829276087999</v>
          </cell>
          <cell r="D131">
            <v>3.5639933039111242</v>
          </cell>
          <cell r="E131">
            <v>3.5639933039111242</v>
          </cell>
          <cell r="F131">
            <v>1.4414837595315328</v>
          </cell>
          <cell r="G131">
            <v>2.0119689626140578</v>
          </cell>
          <cell r="H131">
            <v>2.0119689626140578</v>
          </cell>
          <cell r="I131">
            <v>4.3174900398406377</v>
          </cell>
          <cell r="J131">
            <v>2.153768187756206</v>
          </cell>
          <cell r="K131">
            <v>2.153768187756206</v>
          </cell>
          <cell r="L131">
            <v>2.1898708499560482</v>
          </cell>
          <cell r="M131">
            <v>2.2279402209226769</v>
          </cell>
          <cell r="N131">
            <v>2.2279402209226769</v>
          </cell>
          <cell r="O131">
            <v>2.2417081723360059</v>
          </cell>
          <cell r="P131">
            <v>2.3106136644802877</v>
          </cell>
          <cell r="Q131">
            <v>2.3106136644802877</v>
          </cell>
          <cell r="R131">
            <v>3.128400150956542</v>
          </cell>
          <cell r="S131">
            <v>2.884757413930235</v>
          </cell>
          <cell r="T131">
            <v>2.884757413930235</v>
          </cell>
          <cell r="U131">
            <v>2.7745044291196579</v>
          </cell>
          <cell r="V131">
            <v>2.5905471649995744</v>
          </cell>
          <cell r="W131">
            <v>2.5905471649995744</v>
          </cell>
          <cell r="X131">
            <v>3.238045415794776</v>
          </cell>
          <cell r="Z131">
            <v>2.7366725447639721</v>
          </cell>
          <cell r="AA131">
            <v>4.0235040073086665</v>
          </cell>
          <cell r="AC131">
            <v>2.803558388103299</v>
          </cell>
          <cell r="AD131" t="e">
            <v>#DIV/0!</v>
          </cell>
          <cell r="AF131">
            <v>2.5955726247584923</v>
          </cell>
        </row>
        <row r="132">
          <cell r="A132" t="str">
            <v>(1-t)</v>
          </cell>
          <cell r="B132">
            <v>0.67939481268011526</v>
          </cell>
          <cell r="C132">
            <v>0.66974470396523633</v>
          </cell>
          <cell r="D132">
            <v>0.65703168426903824</v>
          </cell>
          <cell r="E132">
            <v>0.66346153846153844</v>
          </cell>
          <cell r="F132">
            <v>0.72141706924315618</v>
          </cell>
          <cell r="G132">
            <v>0.69468037550290629</v>
          </cell>
          <cell r="H132">
            <v>0.70682926829268322</v>
          </cell>
          <cell r="I132">
            <v>0.73938144329896915</v>
          </cell>
          <cell r="J132">
            <v>0.76845124282982802</v>
          </cell>
          <cell r="K132">
            <v>0.76845124282982802</v>
          </cell>
          <cell r="L132">
            <v>0.76956694477552645</v>
          </cell>
          <cell r="M132">
            <v>0.78630239520958078</v>
          </cell>
          <cell r="N132">
            <v>0.77818462131431865</v>
          </cell>
          <cell r="O132">
            <v>0.78360128617363334</v>
          </cell>
          <cell r="P132">
            <v>0.78123930160903809</v>
          </cell>
          <cell r="Q132">
            <v>0.78245730392969659</v>
          </cell>
          <cell r="R132">
            <v>0.78499278499278502</v>
          </cell>
          <cell r="S132">
            <v>0.79555379118697911</v>
          </cell>
          <cell r="T132">
            <v>0.79002079002079018</v>
          </cell>
          <cell r="U132">
            <v>0.78504672897196259</v>
          </cell>
          <cell r="V132">
            <v>0.79438907345884058</v>
          </cell>
          <cell r="W132">
            <v>0.78994197292069623</v>
          </cell>
          <cell r="X132">
            <v>0.78645187938868244</v>
          </cell>
          <cell r="Z132">
            <v>0.78894472361809054</v>
          </cell>
          <cell r="AA132">
            <v>0.7975689574567556</v>
          </cell>
          <cell r="AC132">
            <v>0.78855667885566783</v>
          </cell>
          <cell r="AD132" t="e">
            <v>#DIV/0!</v>
          </cell>
          <cell r="AF132">
            <v>0.66528960621371558</v>
          </cell>
        </row>
        <row r="133">
          <cell r="A133" t="str">
            <v>OEI/Equity</v>
          </cell>
          <cell r="B133">
            <v>7.0321811680572111E-2</v>
          </cell>
          <cell r="C133">
            <v>3.5799522673031028E-3</v>
          </cell>
          <cell r="D133">
            <v>1.4818355640535375E-2</v>
          </cell>
          <cell r="E133">
            <v>1.6252390057361378E-2</v>
          </cell>
          <cell r="F133">
            <v>2.1408182683158899E-2</v>
          </cell>
          <cell r="G133">
            <v>2.7874564459930321E-2</v>
          </cell>
          <cell r="H133">
            <v>5.400696864111499E-2</v>
          </cell>
          <cell r="I133">
            <v>1.476976542137272E-2</v>
          </cell>
          <cell r="J133">
            <v>8.5714285714285715E-2</v>
          </cell>
          <cell r="K133">
            <v>8.5714285714285715E-2</v>
          </cell>
          <cell r="L133">
            <v>8.2287308228730829E-2</v>
          </cell>
          <cell r="M133">
            <v>9.4922737306843266E-2</v>
          </cell>
          <cell r="N133">
            <v>0.16004415011037529</v>
          </cell>
          <cell r="O133">
            <v>5.8352402745995416E-2</v>
          </cell>
          <cell r="P133">
            <v>0.10191082802547771</v>
          </cell>
          <cell r="Q133">
            <v>0.16687898089171974</v>
          </cell>
          <cell r="R133">
            <v>4.507042253521127E-2</v>
          </cell>
          <cell r="S133">
            <v>0.17248062015503873</v>
          </cell>
          <cell r="T133">
            <v>0.2344961240310077</v>
          </cell>
          <cell r="U133">
            <v>0.14801444043321299</v>
          </cell>
          <cell r="V133">
            <v>6.1302681992337182E-2</v>
          </cell>
          <cell r="W133">
            <v>0.21839080459770113</v>
          </cell>
          <cell r="X133">
            <v>6.3656725215136146E-3</v>
          </cell>
          <cell r="Z133">
            <v>0.14128440366972478</v>
          </cell>
          <cell r="AA133">
            <v>3.4049797829325385E-3</v>
          </cell>
          <cell r="AC133">
            <v>9.6825396825396814E-2</v>
          </cell>
          <cell r="AD133" t="e">
            <v>#DIV/0!</v>
          </cell>
          <cell r="AF133">
            <v>8.8277858176555715E-2</v>
          </cell>
        </row>
        <row r="134">
          <cell r="A134" t="str">
            <v>ROE</v>
          </cell>
          <cell r="B134">
            <v>0.1595510687496475</v>
          </cell>
          <cell r="C134">
            <v>6.5679433228572948E-2</v>
          </cell>
          <cell r="D134">
            <v>5.9960432202100108E-2</v>
          </cell>
          <cell r="E134">
            <v>0.12250798965149898</v>
          </cell>
          <cell r="F134">
            <v>3.2580321785763297E-2</v>
          </cell>
          <cell r="G134">
            <v>4.0861691825949724E-2</v>
          </cell>
          <cell r="H134">
            <v>7.6059699405103834E-2</v>
          </cell>
          <cell r="I134">
            <v>9.2466866554400978E-2</v>
          </cell>
          <cell r="J134">
            <v>0.11454593281336554</v>
          </cell>
          <cell r="K134">
            <v>0.11454593281336554</v>
          </cell>
          <cell r="L134">
            <v>5.4759682751962878E-2</v>
          </cell>
          <cell r="M134">
            <v>5.633719565417572E-2</v>
          </cell>
          <cell r="N134">
            <v>0.10896607270515637</v>
          </cell>
          <cell r="O134">
            <v>-1.8761766662455832E-2</v>
          </cell>
          <cell r="P134">
            <v>-2.0332901222989128E-2</v>
          </cell>
          <cell r="Q134">
            <v>-3.9943841733251932E-2</v>
          </cell>
          <cell r="R134">
            <v>-2.8257643724883257E-2</v>
          </cell>
          <cell r="S134">
            <v>-2.770562856480048E-2</v>
          </cell>
          <cell r="T134">
            <v>-5.534005420381969E-2</v>
          </cell>
          <cell r="U134">
            <v>-2.3671230394312862E-2</v>
          </cell>
          <cell r="V134">
            <v>6.0978719786914458E-2</v>
          </cell>
          <cell r="W134">
            <v>0.11572355558074289</v>
          </cell>
          <cell r="X134">
            <v>7.378129117259552E-2</v>
          </cell>
          <cell r="Z134">
            <v>0.12778079218665223</v>
          </cell>
          <cell r="AA134">
            <v>7.084423404343676E-2</v>
          </cell>
          <cell r="AC134">
            <v>0.1216889065923123</v>
          </cell>
          <cell r="AD134" t="e">
            <v>#DIV/0!</v>
          </cell>
          <cell r="AF134">
            <v>7.7531218553978348E-2</v>
          </cell>
        </row>
        <row r="136">
          <cell r="A136" t="str">
            <v>Sales/Total Assets (x)</v>
          </cell>
          <cell r="B136">
            <v>1.1576971971668988</v>
          </cell>
          <cell r="C136">
            <v>0.52893695085449455</v>
          </cell>
          <cell r="D136">
            <v>0.41676985923110865</v>
          </cell>
          <cell r="E136">
            <v>0.80663848442148112</v>
          </cell>
          <cell r="F136">
            <v>0.5525112153493198</v>
          </cell>
          <cell r="G136">
            <v>-0.22318479981904549</v>
          </cell>
          <cell r="H136">
            <v>0.20443338611173942</v>
          </cell>
          <cell r="I136">
            <v>0.5074329374636658</v>
          </cell>
          <cell r="J136">
            <v>1.1200129675914789</v>
          </cell>
          <cell r="K136">
            <v>1.1200129675914789</v>
          </cell>
          <cell r="L136">
            <v>0.52450647399081907</v>
          </cell>
          <cell r="M136">
            <v>0.51620586405350755</v>
          </cell>
          <cell r="N136">
            <v>1.0116172810701509</v>
          </cell>
          <cell r="O136">
            <v>0.54738562091503273</v>
          </cell>
          <cell r="P136">
            <v>0.5662851427936435</v>
          </cell>
          <cell r="Q136">
            <v>1.1212963056501226</v>
          </cell>
          <cell r="R136">
            <v>0.53357336401766831</v>
          </cell>
          <cell r="S136">
            <v>0.56021860075820984</v>
          </cell>
          <cell r="T136">
            <v>1.1264142582836885</v>
          </cell>
          <cell r="U136">
            <v>0.56908565248138443</v>
          </cell>
          <cell r="V136">
            <v>0.5910000765671658</v>
          </cell>
          <cell r="W136">
            <v>1.1895474880500529</v>
          </cell>
          <cell r="X136">
            <v>0.56715453381362124</v>
          </cell>
          <cell r="Z136">
            <v>1.1545124474900554</v>
          </cell>
          <cell r="AA136">
            <v>0.49905046960470623</v>
          </cell>
          <cell r="AC136">
            <v>1.1289841345015392</v>
          </cell>
          <cell r="AD136" t="e">
            <v>#DIV/0!</v>
          </cell>
          <cell r="AF136">
            <v>0.76895314658720604</v>
          </cell>
        </row>
        <row r="137">
          <cell r="A137" t="str">
            <v>EBIT/Sales</v>
          </cell>
          <cell r="B137">
            <v>9.5360105975040091E-2</v>
          </cell>
          <cell r="C137">
            <v>8.9883538388521769E-2</v>
          </cell>
          <cell r="D137">
            <v>8.940951470236673E-2</v>
          </cell>
          <cell r="E137">
            <v>8.9638622247317903E-2</v>
          </cell>
          <cell r="F137">
            <v>7.9396984924623118E-2</v>
          </cell>
          <cell r="G137">
            <v>-0.16752812404986314</v>
          </cell>
          <cell r="H137">
            <v>0.34897101128568264</v>
          </cell>
          <cell r="I137">
            <v>7.523186033824332E-2</v>
          </cell>
          <cell r="J137">
            <v>8.1167891390209065E-2</v>
          </cell>
          <cell r="K137">
            <v>8.1167891390209065E-2</v>
          </cell>
          <cell r="L137">
            <v>7.9258241758241768E-2</v>
          </cell>
          <cell r="M137">
            <v>8.045349253281607E-2</v>
          </cell>
          <cell r="N137">
            <v>7.9868151721619471E-2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7.0570598360200618E-2</v>
          </cell>
          <cell r="W137">
            <v>6.7299911725761358E-2</v>
          </cell>
          <cell r="X137">
            <v>7.0433828494260636E-2</v>
          </cell>
          <cell r="Z137">
            <v>7.0517774343122119E-2</v>
          </cell>
          <cell r="AA137">
            <v>6.5518168469381452E-2</v>
          </cell>
          <cell r="AC137">
            <v>6.7810474652348102E-2</v>
          </cell>
          <cell r="AD137" t="e">
            <v>#DIV/0!</v>
          </cell>
          <cell r="AF137">
            <v>7.462636598288358E-2</v>
          </cell>
        </row>
        <row r="138">
          <cell r="A138" t="str">
            <v>ROA</v>
          </cell>
          <cell r="B138">
            <v>0.11039812740884235</v>
          </cell>
          <cell r="C138">
            <v>4.7542724727237612E-2</v>
          </cell>
          <cell r="D138">
            <v>3.7263190856427118E-2</v>
          </cell>
          <cell r="E138">
            <v>7.2305962395206175E-2</v>
          </cell>
          <cell r="F138">
            <v>4.3867724635775138E-2</v>
          </cell>
          <cell r="G138">
            <v>3.7389730830128927E-2</v>
          </cell>
          <cell r="H138">
            <v>7.1341325491970128E-2</v>
          </cell>
          <cell r="I138">
            <v>3.8175123882291065E-2</v>
          </cell>
          <cell r="J138">
            <v>9.0909090909090912E-2</v>
          </cell>
          <cell r="K138">
            <v>9.0909090909090912E-2</v>
          </cell>
          <cell r="L138">
            <v>4.1571460919327285E-2</v>
          </cell>
          <cell r="M138">
            <v>4.1530564629024734E-2</v>
          </cell>
          <cell r="N138">
            <v>8.0796002488722984E-2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4.1707229034269273E-2</v>
          </cell>
          <cell r="W138">
            <v>8.0056440939369727E-2</v>
          </cell>
          <cell r="X138">
            <v>3.9946865164370945E-2</v>
          </cell>
          <cell r="Z138">
            <v>8.1413648248429352E-2</v>
          </cell>
          <cell r="AA138">
            <v>3.2696872742285069E-2</v>
          </cell>
          <cell r="AC138">
            <v>7.655695003551978E-2</v>
          </cell>
          <cell r="AD138" t="e">
            <v>#DIV/0!</v>
          </cell>
          <cell r="AF138">
            <v>5.7384178940906763E-2</v>
          </cell>
        </row>
        <row r="140">
          <cell r="A140" t="str">
            <v>Check</v>
          </cell>
        </row>
        <row r="141">
          <cell r="A141" t="str">
            <v>ROE</v>
          </cell>
          <cell r="B141">
            <v>0.15955106874964753</v>
          </cell>
          <cell r="C141">
            <v>6.5679433228572948E-2</v>
          </cell>
          <cell r="D141">
            <v>5.9960432202100122E-2</v>
          </cell>
          <cell r="E141">
            <v>0.12250798965149901</v>
          </cell>
          <cell r="F141">
            <v>2.8310232969625478E-2</v>
          </cell>
          <cell r="G141">
            <v>3.5360775479554948E-2</v>
          </cell>
          <cell r="H141">
            <v>6.5943067786197046E-2</v>
          </cell>
          <cell r="I141">
            <v>7.1434262948207178E-2</v>
          </cell>
          <cell r="J141">
            <v>9.0522095589891466E-2</v>
          </cell>
          <cell r="K141">
            <v>9.0522095589891466E-2</v>
          </cell>
          <cell r="L141">
            <v>4.3658575067054339E-2</v>
          </cell>
          <cell r="M141">
            <v>4.5505739657786433E-2</v>
          </cell>
          <cell r="N141">
            <v>8.7459389213775163E-2</v>
          </cell>
          <cell r="O141">
            <v>5.4430125298729128E-2</v>
          </cell>
          <cell r="P141">
            <v>5.3266730468476499E-2</v>
          </cell>
          <cell r="Q141">
            <v>0.11015149039471536</v>
          </cell>
          <cell r="R141">
            <v>6.3169506778529338E-2</v>
          </cell>
          <cell r="S141">
            <v>5.6925349392114521E-2</v>
          </cell>
          <cell r="T141">
            <v>0.11873650721508919</v>
          </cell>
          <cell r="U141">
            <v>5.5746313875984638E-2</v>
          </cell>
          <cell r="V141">
            <v>6.0978719786914479E-2</v>
          </cell>
          <cell r="W141">
            <v>0.11572355558074292</v>
          </cell>
          <cell r="X141">
            <v>7.3781291172595534E-2</v>
          </cell>
          <cell r="Z141">
            <v>0.12778079218665225</v>
          </cell>
          <cell r="AA141">
            <v>7.0844234043436746E-2</v>
          </cell>
          <cell r="AC141">
            <v>0.12168890659231228</v>
          </cell>
          <cell r="AD141" t="e">
            <v>#DIV/0!</v>
          </cell>
          <cell r="AF141">
            <v>7.7531218553978348E-2</v>
          </cell>
        </row>
        <row r="142">
          <cell r="A142" t="str">
            <v>ROA</v>
          </cell>
          <cell r="B142">
            <v>0.11039812740884235</v>
          </cell>
          <cell r="C142">
            <v>4.7542724727237612E-2</v>
          </cell>
          <cell r="D142">
            <v>3.7263190856427118E-2</v>
          </cell>
          <cell r="E142">
            <v>7.2305962395206175E-2</v>
          </cell>
          <cell r="F142">
            <v>4.3867724635775138E-2</v>
          </cell>
          <cell r="G142">
            <v>3.7389730830128927E-2</v>
          </cell>
          <cell r="H142">
            <v>7.1341325491970142E-2</v>
          </cell>
          <cell r="I142">
            <v>3.8175123882291058E-2</v>
          </cell>
          <cell r="J142">
            <v>9.0909090909090912E-2</v>
          </cell>
          <cell r="K142">
            <v>9.0909090909090912E-2</v>
          </cell>
          <cell r="L142">
            <v>4.1571460919327285E-2</v>
          </cell>
          <cell r="M142">
            <v>4.1530564629024741E-2</v>
          </cell>
          <cell r="N142">
            <v>8.0796002488722984E-2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4.1707229034269273E-2</v>
          </cell>
          <cell r="W142">
            <v>8.0056440939369727E-2</v>
          </cell>
          <cell r="X142">
            <v>3.9946865164370945E-2</v>
          </cell>
          <cell r="Z142">
            <v>8.1413648248429352E-2</v>
          </cell>
          <cell r="AA142">
            <v>3.2696872742285069E-2</v>
          </cell>
          <cell r="AC142">
            <v>7.655695003551978E-2</v>
          </cell>
          <cell r="AD142" t="e">
            <v>#DIV/0!</v>
          </cell>
          <cell r="AF142">
            <v>5.7384178940906763E-2</v>
          </cell>
        </row>
        <row r="144">
          <cell r="A144" t="str">
            <v>EBIT/AFE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 t="e">
            <v>#DIV/0!</v>
          </cell>
          <cell r="W144">
            <v>0</v>
          </cell>
          <cell r="X144">
            <v>0</v>
          </cell>
          <cell r="AA144">
            <v>0</v>
          </cell>
          <cell r="AD144" t="e">
            <v>#DIV/0!</v>
          </cell>
        </row>
        <row r="146">
          <cell r="A146" t="str">
            <v>Balance Sheet Ratios</v>
          </cell>
        </row>
        <row r="147">
          <cell r="A147" t="str">
            <v>Days Debtors</v>
          </cell>
          <cell r="B147">
            <v>55.132991703269887</v>
          </cell>
          <cell r="C147">
            <v>121.59559709393596</v>
          </cell>
          <cell r="D147">
            <v>168.60728800245892</v>
          </cell>
          <cell r="E147">
            <v>87.115153867871243</v>
          </cell>
          <cell r="F147">
            <v>126.57709600634753</v>
          </cell>
          <cell r="G147">
            <v>-247.66139657444003</v>
          </cell>
          <cell r="H147">
            <v>270.37784908165526</v>
          </cell>
          <cell r="I147">
            <v>107.17021276595744</v>
          </cell>
          <cell r="J147">
            <v>51.97294092381815</v>
          </cell>
          <cell r="K147">
            <v>51.97294092381815</v>
          </cell>
          <cell r="L147">
            <v>104.94466248037676</v>
          </cell>
          <cell r="M147">
            <v>106.64249797547977</v>
          </cell>
          <cell r="N147">
            <v>54.417301723060959</v>
          </cell>
          <cell r="O147">
            <v>107.11494357480888</v>
          </cell>
          <cell r="P147">
            <v>109.77477879263597</v>
          </cell>
          <cell r="Q147">
            <v>55.439250063065337</v>
          </cell>
          <cell r="R147">
            <v>110.76321739130437</v>
          </cell>
          <cell r="S147">
            <v>108.5447243070325</v>
          </cell>
          <cell r="T147">
            <v>53.984378414763142</v>
          </cell>
          <cell r="U147">
            <v>106.92330184024416</v>
          </cell>
          <cell r="V147">
            <v>141.00507116285098</v>
          </cell>
          <cell r="W147">
            <v>70.055217375312651</v>
          </cell>
          <cell r="X147">
            <v>102.61774139095208</v>
          </cell>
          <cell r="Z147">
            <v>48.39869912416281</v>
          </cell>
          <cell r="AA147">
            <v>107.3871321324427</v>
          </cell>
          <cell r="AC147">
            <v>43.675671707531933</v>
          </cell>
          <cell r="AD147" t="e">
            <v>#DIV/0!</v>
          </cell>
          <cell r="AF147">
            <v>73.519646762193958</v>
          </cell>
        </row>
        <row r="148">
          <cell r="A148" t="str">
            <v>Days Inventories</v>
          </cell>
          <cell r="B148">
            <v>43.573258732482749</v>
          </cell>
          <cell r="C148">
            <v>98.995472965572631</v>
          </cell>
          <cell r="D148">
            <v>125.67637717291076</v>
          </cell>
          <cell r="E148">
            <v>64.933829757199319</v>
          </cell>
          <cell r="F148">
            <v>94.015736577624963</v>
          </cell>
          <cell r="G148">
            <v>-174.78716935238671</v>
          </cell>
          <cell r="H148">
            <v>190.81931843328169</v>
          </cell>
          <cell r="I148">
            <v>95.574377159483547</v>
          </cell>
          <cell r="J148">
            <v>43.759512227004926</v>
          </cell>
          <cell r="K148">
            <v>43.759512227004926</v>
          </cell>
          <cell r="L148">
            <v>92.883045525902659</v>
          </cell>
          <cell r="M148">
            <v>94.145652460498312</v>
          </cell>
          <cell r="N148">
            <v>48.040438597334202</v>
          </cell>
          <cell r="O148">
            <v>97.156170367673838</v>
          </cell>
          <cell r="P148">
            <v>93.769890823462262</v>
          </cell>
          <cell r="Q148">
            <v>47.356346174636919</v>
          </cell>
          <cell r="R148">
            <v>100.49878260869565</v>
          </cell>
          <cell r="S148">
            <v>88.553864271527246</v>
          </cell>
          <cell r="T148">
            <v>44.041986834858776</v>
          </cell>
          <cell r="U148">
            <v>88.940443339851257</v>
          </cell>
          <cell r="V148">
            <v>80.328237493290899</v>
          </cell>
          <cell r="W148">
            <v>39.909289024569667</v>
          </cell>
          <cell r="X148">
            <v>91.180684503713707</v>
          </cell>
          <cell r="Z148">
            <v>43.795455521209</v>
          </cell>
          <cell r="AA148">
            <v>94.109052178768678</v>
          </cell>
          <cell r="AC148">
            <v>37.497535499297356</v>
          </cell>
          <cell r="AD148" t="e">
            <v>#DIV/0!</v>
          </cell>
          <cell r="AF148">
            <v>65.725112545314175</v>
          </cell>
        </row>
        <row r="149">
          <cell r="A149" t="str">
            <v>Days Creditors</v>
          </cell>
          <cell r="B149">
            <v>52.702712124381229</v>
          </cell>
          <cell r="C149">
            <v>102.65999780949947</v>
          </cell>
          <cell r="D149">
            <v>137.80523206174652</v>
          </cell>
          <cell r="E149">
            <v>71.2005046583851</v>
          </cell>
          <cell r="F149">
            <v>100.58013752975404</v>
          </cell>
          <cell r="G149">
            <v>-241.79816560251342</v>
          </cell>
          <cell r="H149">
            <v>263.9768200929409</v>
          </cell>
          <cell r="I149">
            <v>113.72813238770686</v>
          </cell>
          <cell r="J149">
            <v>56.096695580724379</v>
          </cell>
          <cell r="K149">
            <v>56.096695580724379</v>
          </cell>
          <cell r="L149">
            <v>107.64491758241759</v>
          </cell>
          <cell r="M149">
            <v>125.86894291794573</v>
          </cell>
          <cell r="N149">
            <v>64.228130195369928</v>
          </cell>
          <cell r="O149">
            <v>122.82708409173644</v>
          </cell>
          <cell r="P149">
            <v>129.69298558584276</v>
          </cell>
          <cell r="Q149">
            <v>65.498486431943491</v>
          </cell>
          <cell r="R149">
            <v>122.932</v>
          </cell>
          <cell r="S149">
            <v>133.22535285536006</v>
          </cell>
          <cell r="T149">
            <v>66.259211665049435</v>
          </cell>
          <cell r="U149">
            <v>129.48191736262132</v>
          </cell>
          <cell r="V149">
            <v>125.21098998722955</v>
          </cell>
          <cell r="W149">
            <v>62.208281227011931</v>
          </cell>
          <cell r="X149">
            <v>131.57621539500337</v>
          </cell>
          <cell r="Z149">
            <v>70.866445560707547</v>
          </cell>
          <cell r="AA149">
            <v>138.36680247347635</v>
          </cell>
          <cell r="AC149">
            <v>65.923086603603409</v>
          </cell>
          <cell r="AD149" t="e">
            <v>#DIV/0!</v>
          </cell>
          <cell r="AF149">
            <v>95.448689336736138</v>
          </cell>
        </row>
        <row r="150">
          <cell r="A150" t="str">
            <v>Net Working Capital Days</v>
          </cell>
          <cell r="B150">
            <v>46.003538311371408</v>
          </cell>
          <cell r="C150">
            <v>117.93107225000911</v>
          </cell>
          <cell r="D150">
            <v>156.47843311362314</v>
          </cell>
          <cell r="E150">
            <v>80.848478966685448</v>
          </cell>
          <cell r="F150">
            <v>120.01269505421845</v>
          </cell>
          <cell r="G150">
            <v>-180.65040032431332</v>
          </cell>
          <cell r="H150">
            <v>197.22034742199605</v>
          </cell>
          <cell r="I150">
            <v>89.016457537734141</v>
          </cell>
          <cell r="J150">
            <v>39.635757570098697</v>
          </cell>
          <cell r="K150">
            <v>39.635757570098697</v>
          </cell>
          <cell r="L150">
            <v>90.182790423861817</v>
          </cell>
          <cell r="M150">
            <v>74.919207518032351</v>
          </cell>
          <cell r="N150">
            <v>38.229610125025232</v>
          </cell>
          <cell r="O150">
            <v>81.444029850746276</v>
          </cell>
          <cell r="P150">
            <v>73.851684030255484</v>
          </cell>
          <cell r="Q150">
            <v>37.297109805758765</v>
          </cell>
          <cell r="R150">
            <v>88.33</v>
          </cell>
          <cell r="S150">
            <v>63.873235723199684</v>
          </cell>
          <cell r="T150">
            <v>31.767153584572483</v>
          </cell>
          <cell r="U150">
            <v>66.38182781747409</v>
          </cell>
          <cell r="V150">
            <v>96.122318668912314</v>
          </cell>
          <cell r="W150">
            <v>47.75622517287038</v>
          </cell>
          <cell r="X150">
            <v>62.222210499662424</v>
          </cell>
          <cell r="Z150">
            <v>21.327709084664264</v>
          </cell>
          <cell r="AA150">
            <v>63.129381837735025</v>
          </cell>
          <cell r="AC150">
            <v>15.250120603225881</v>
          </cell>
          <cell r="AD150" t="e">
            <v>#DIV/0!</v>
          </cell>
          <cell r="AF150">
            <v>43.796069970771995</v>
          </cell>
        </row>
        <row r="151">
          <cell r="A151" t="str">
            <v>Net Working Capital/Sales</v>
          </cell>
          <cell r="B151">
            <v>0.12603709126403123</v>
          </cell>
          <cell r="C151">
            <v>0.32309882808221685</v>
          </cell>
          <cell r="D151">
            <v>0.42870803592773477</v>
          </cell>
          <cell r="E151">
            <v>0.22150268210050822</v>
          </cell>
          <cell r="F151">
            <v>0.32880190425813272</v>
          </cell>
          <cell r="G151">
            <v>-0.49493260362825581</v>
          </cell>
          <cell r="H151">
            <v>0.54032971896437265</v>
          </cell>
          <cell r="I151">
            <v>0.24388070558283323</v>
          </cell>
          <cell r="J151">
            <v>0.10859111663040738</v>
          </cell>
          <cell r="K151">
            <v>0.10859111663040738</v>
          </cell>
          <cell r="L151">
            <v>0.24707613814756671</v>
          </cell>
          <cell r="M151">
            <v>0.20525810278912976</v>
          </cell>
          <cell r="N151">
            <v>0.10473865787678145</v>
          </cell>
          <cell r="O151">
            <v>0.22313432835820893</v>
          </cell>
          <cell r="P151">
            <v>0.20233338090480954</v>
          </cell>
          <cell r="Q151">
            <v>0.10218386248153087</v>
          </cell>
          <cell r="R151">
            <v>0.24200000000000008</v>
          </cell>
          <cell r="S151">
            <v>0.17499516636493065</v>
          </cell>
          <cell r="T151">
            <v>8.7033297491979397E-2</v>
          </cell>
          <cell r="U151">
            <v>0.18186802141773728</v>
          </cell>
          <cell r="V151">
            <v>0.2633488182709926</v>
          </cell>
          <cell r="W151">
            <v>0.13083897307635725</v>
          </cell>
          <cell r="X151">
            <v>0.17047180958811617</v>
          </cell>
          <cell r="Z151">
            <v>5.8432079684011692E-2</v>
          </cell>
          <cell r="AA151">
            <v>0.17295721051434254</v>
          </cell>
          <cell r="AC151">
            <v>4.1781152337605119E-2</v>
          </cell>
          <cell r="AD151" t="e">
            <v>#DIV/0!</v>
          </cell>
          <cell r="AF151">
            <v>0.11998923279663562</v>
          </cell>
        </row>
        <row r="153">
          <cell r="A153" t="str">
            <v>Net Debt/Equity</v>
          </cell>
          <cell r="B153">
            <v>0.55008077544426492</v>
          </cell>
          <cell r="C153">
            <v>0.63999796032838718</v>
          </cell>
          <cell r="D153">
            <v>0.80265994038064681</v>
          </cell>
          <cell r="E153">
            <v>0.80265994038064681</v>
          </cell>
          <cell r="F153">
            <v>0.30744715184766819</v>
          </cell>
          <cell r="G153">
            <v>-0.1751735312794237</v>
          </cell>
          <cell r="H153">
            <v>-0.1751735312794237</v>
          </cell>
          <cell r="I153">
            <v>0.8281512298372381</v>
          </cell>
          <cell r="J153">
            <v>0.4037059407222055</v>
          </cell>
          <cell r="K153">
            <v>0.4037059407222055</v>
          </cell>
          <cell r="L153">
            <v>0.5046801526040281</v>
          </cell>
          <cell r="M153">
            <v>0.50422720706941959</v>
          </cell>
          <cell r="N153">
            <v>0.50422720706941959</v>
          </cell>
          <cell r="O153">
            <v>0.51804061603172169</v>
          </cell>
          <cell r="P153">
            <v>0.51946087195708968</v>
          </cell>
          <cell r="Q153">
            <v>0.51946087195708968</v>
          </cell>
          <cell r="R153">
            <v>0.77964558978297371</v>
          </cell>
          <cell r="S153">
            <v>0.87502799552071664</v>
          </cell>
          <cell r="T153">
            <v>0.87502799552071664</v>
          </cell>
          <cell r="U153">
            <v>0.7772571071540143</v>
          </cell>
          <cell r="V153">
            <v>0.80540585820791333</v>
          </cell>
          <cell r="W153">
            <v>0.80540585820791333</v>
          </cell>
          <cell r="X153">
            <v>0.65108343783720724</v>
          </cell>
          <cell r="Z153">
            <v>0.74997502746978317</v>
          </cell>
          <cell r="AA153">
            <v>0.98345231339048356</v>
          </cell>
          <cell r="AC153">
            <v>0.85940954610482512</v>
          </cell>
          <cell r="AD153" t="e">
            <v>#DIV/0!</v>
          </cell>
          <cell r="AF153">
            <v>0.80935774916021253</v>
          </cell>
        </row>
        <row r="154">
          <cell r="A154" t="str">
            <v>Net Debt/Net Debt+Equity</v>
          </cell>
          <cell r="B154">
            <v>0.35487232933819696</v>
          </cell>
          <cell r="C154">
            <v>0.39024314408307947</v>
          </cell>
          <cell r="D154">
            <v>0.44526420230493302</v>
          </cell>
          <cell r="E154">
            <v>0.44526420230493302</v>
          </cell>
          <cell r="F154">
            <v>0.23515072973556728</v>
          </cell>
          <cell r="G154">
            <v>-0.21237622448166929</v>
          </cell>
          <cell r="H154">
            <v>-0.21237622448166929</v>
          </cell>
          <cell r="I154">
            <v>0.45299930132747773</v>
          </cell>
          <cell r="J154">
            <v>0.28760007991025466</v>
          </cell>
          <cell r="K154">
            <v>0.28760007991025466</v>
          </cell>
          <cell r="L154">
            <v>0.33540693132066574</v>
          </cell>
          <cell r="M154">
            <v>0.33520681230847438</v>
          </cell>
          <cell r="N154">
            <v>0.33520681230847438</v>
          </cell>
          <cell r="O154">
            <v>0.34125609720899358</v>
          </cell>
          <cell r="P154">
            <v>0.34187183200579285</v>
          </cell>
          <cell r="Q154">
            <v>0.34187183200579285</v>
          </cell>
          <cell r="R154">
            <v>0.43809036712644051</v>
          </cell>
          <cell r="S154">
            <v>0.46667462971810791</v>
          </cell>
          <cell r="T154">
            <v>0.46667462971810791</v>
          </cell>
          <cell r="U154">
            <v>0.43733520829671296</v>
          </cell>
          <cell r="V154">
            <v>0.44610792334936661</v>
          </cell>
          <cell r="W154">
            <v>0.44610792334936661</v>
          </cell>
          <cell r="X154">
            <v>0.39433708976578236</v>
          </cell>
          <cell r="Z154">
            <v>0.42856327415948403</v>
          </cell>
          <cell r="AA154">
            <v>0.49582856454430457</v>
          </cell>
          <cell r="AC154">
            <v>0.46219486605581589</v>
          </cell>
          <cell r="AD154" t="e">
            <v>#DIV/0!</v>
          </cell>
          <cell r="AF154">
            <v>0.44731770128702536</v>
          </cell>
        </row>
        <row r="155">
          <cell r="A155" t="str">
            <v>Interest Cover (x)</v>
          </cell>
          <cell r="B155">
            <v>4.18592195868401</v>
          </cell>
          <cell r="C155">
            <v>3.9645732689210949</v>
          </cell>
          <cell r="D155">
            <v>3.1965811965811954</v>
          </cell>
          <cell r="E155">
            <v>3.5277777777777772</v>
          </cell>
          <cell r="F155">
            <v>3.4988344988344986</v>
          </cell>
          <cell r="G155">
            <v>4.585298196948683</v>
          </cell>
          <cell r="H155">
            <v>3.9949335022165933</v>
          </cell>
          <cell r="I155">
            <v>4.1452905811623246</v>
          </cell>
          <cell r="J155">
            <v>4.1893975903614464</v>
          </cell>
          <cell r="K155">
            <v>4.1893975903614464</v>
          </cell>
          <cell r="L155">
            <v>4.57936507936508</v>
          </cell>
          <cell r="M155">
            <v>4.4315352697095429</v>
          </cell>
          <cell r="N155">
            <v>4.5021668472372696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3.4538043478260865</v>
          </cell>
          <cell r="W155">
            <v>3.4057701256398318</v>
          </cell>
          <cell r="X155">
            <v>3.6401308615049075</v>
          </cell>
          <cell r="Z155">
            <v>3.6622073578595322</v>
          </cell>
          <cell r="AA155">
            <v>3.0787172011661808</v>
          </cell>
          <cell r="AC155">
            <v>3.5586130985140345</v>
          </cell>
          <cell r="AD155" t="e">
            <v>#DIV/0!</v>
          </cell>
          <cell r="AF155">
            <v>4.5960323885156997</v>
          </cell>
        </row>
        <row r="157">
          <cell r="A157" t="str">
            <v>Effective tax rate</v>
          </cell>
          <cell r="B157">
            <v>0.32060518731988469</v>
          </cell>
          <cell r="C157">
            <v>0.33025529603476372</v>
          </cell>
          <cell r="D157">
            <v>0.34296831573096165</v>
          </cell>
          <cell r="E157">
            <v>0.33653846153846156</v>
          </cell>
          <cell r="F157">
            <v>0.27858293075684376</v>
          </cell>
          <cell r="G157">
            <v>0.30531962449709438</v>
          </cell>
          <cell r="H157">
            <v>0.29317073170731706</v>
          </cell>
          <cell r="I157">
            <v>0.26061855670103096</v>
          </cell>
          <cell r="J157">
            <v>0.23154875717017204</v>
          </cell>
          <cell r="K157">
            <v>0.23154875717017204</v>
          </cell>
          <cell r="L157">
            <v>0.23043305522447358</v>
          </cell>
          <cell r="M157">
            <v>0.21369760479041916</v>
          </cell>
          <cell r="N157">
            <v>0.22181537868568124</v>
          </cell>
          <cell r="O157">
            <v>0.21639871382636658</v>
          </cell>
          <cell r="P157">
            <v>0.21876069839096182</v>
          </cell>
          <cell r="Q157">
            <v>0.21754269607030335</v>
          </cell>
          <cell r="R157">
            <v>0.21500721500721501</v>
          </cell>
          <cell r="S157">
            <v>0.20444620881302109</v>
          </cell>
          <cell r="T157">
            <v>0.20997920997920999</v>
          </cell>
          <cell r="U157">
            <v>0.21495327102803741</v>
          </cell>
          <cell r="V157">
            <v>0.20561092654115909</v>
          </cell>
          <cell r="W157">
            <v>0.21005802707930371</v>
          </cell>
          <cell r="X157">
            <v>0.21354812061131762</v>
          </cell>
          <cell r="Z157">
            <v>0.21105527638190949</v>
          </cell>
          <cell r="AA157">
            <v>0.20243104254324448</v>
          </cell>
          <cell r="AC157">
            <v>0.21144332114433209</v>
          </cell>
          <cell r="AD157" t="e">
            <v>#DIV/0!</v>
          </cell>
          <cell r="AF157">
            <v>0.33471039378628448</v>
          </cell>
        </row>
        <row r="159">
          <cell r="A159" t="str">
            <v>Average Funds Employed</v>
          </cell>
        </row>
        <row r="160">
          <cell r="A160" t="str">
            <v>PET</v>
          </cell>
          <cell r="O160">
            <v>2443</v>
          </cell>
          <cell r="P160">
            <v>2483</v>
          </cell>
          <cell r="Q160">
            <v>2463</v>
          </cell>
          <cell r="R160">
            <v>2575</v>
          </cell>
          <cell r="S160">
            <v>2651</v>
          </cell>
          <cell r="T160">
            <v>2613</v>
          </cell>
          <cell r="U160">
            <v>2498</v>
          </cell>
          <cell r="W160">
            <v>2404</v>
          </cell>
          <cell r="X160">
            <v>1872</v>
          </cell>
          <cell r="AA160">
            <v>2069</v>
          </cell>
        </row>
        <row r="161">
          <cell r="A161" t="str">
            <v>Australasia</v>
          </cell>
          <cell r="O161">
            <v>1743</v>
          </cell>
          <cell r="P161">
            <v>1865</v>
          </cell>
          <cell r="Q161">
            <v>1804</v>
          </cell>
          <cell r="R161">
            <v>1864</v>
          </cell>
          <cell r="S161">
            <v>1816</v>
          </cell>
          <cell r="T161">
            <v>1840</v>
          </cell>
          <cell r="U161">
            <v>1869</v>
          </cell>
          <cell r="W161">
            <v>1859</v>
          </cell>
          <cell r="X161">
            <v>1746</v>
          </cell>
          <cell r="AA161">
            <v>1677</v>
          </cell>
        </row>
        <row r="162">
          <cell r="A162" t="str">
            <v>Flexibles</v>
          </cell>
          <cell r="O162">
            <v>1984</v>
          </cell>
          <cell r="P162">
            <v>1154</v>
          </cell>
          <cell r="Q162">
            <v>1569</v>
          </cell>
          <cell r="R162">
            <v>1872</v>
          </cell>
          <cell r="S162">
            <v>1138</v>
          </cell>
          <cell r="T162">
            <v>1505</v>
          </cell>
          <cell r="U162">
            <v>1538</v>
          </cell>
          <cell r="W162">
            <v>1501</v>
          </cell>
          <cell r="X162">
            <v>1440</v>
          </cell>
          <cell r="AA162">
            <v>1596</v>
          </cell>
        </row>
        <row r="163">
          <cell r="A163" t="str">
            <v>Sunclipse</v>
          </cell>
          <cell r="O163">
            <v>337</v>
          </cell>
          <cell r="P163">
            <v>327</v>
          </cell>
          <cell r="Q163">
            <v>332</v>
          </cell>
          <cell r="R163">
            <v>341</v>
          </cell>
          <cell r="S163">
            <v>347</v>
          </cell>
          <cell r="T163">
            <v>344</v>
          </cell>
          <cell r="U163">
            <v>334</v>
          </cell>
          <cell r="W163">
            <v>306</v>
          </cell>
          <cell r="X163">
            <v>238</v>
          </cell>
          <cell r="AA163">
            <v>267</v>
          </cell>
        </row>
        <row r="164">
          <cell r="A164" t="str">
            <v>Asia</v>
          </cell>
          <cell r="O164">
            <v>215</v>
          </cell>
          <cell r="P164">
            <v>235</v>
          </cell>
          <cell r="Q164">
            <v>225</v>
          </cell>
          <cell r="R164">
            <v>208</v>
          </cell>
          <cell r="S164">
            <v>262</v>
          </cell>
          <cell r="T164">
            <v>235</v>
          </cell>
          <cell r="U164">
            <v>355</v>
          </cell>
          <cell r="W164">
            <v>68</v>
          </cell>
          <cell r="X164">
            <v>345.1</v>
          </cell>
          <cell r="AA164">
            <v>50</v>
          </cell>
        </row>
        <row r="165">
          <cell r="A165" t="str">
            <v>Other/Discontinued/Intersegment</v>
          </cell>
        </row>
        <row r="166">
          <cell r="A166" t="str">
            <v>Total Average Funds Employed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6722</v>
          </cell>
          <cell r="P166">
            <v>6064</v>
          </cell>
          <cell r="Q166">
            <v>6393</v>
          </cell>
          <cell r="R166">
            <v>6860</v>
          </cell>
          <cell r="S166">
            <v>6214</v>
          </cell>
          <cell r="T166">
            <v>6537</v>
          </cell>
          <cell r="U166">
            <v>6594</v>
          </cell>
          <cell r="W166">
            <v>6138</v>
          </cell>
          <cell r="X166">
            <v>5641.1</v>
          </cell>
          <cell r="AA166">
            <v>5659</v>
          </cell>
        </row>
        <row r="168">
          <cell r="A168" t="str">
            <v>ROAFE</v>
          </cell>
        </row>
        <row r="169">
          <cell r="A169" t="str">
            <v>PET</v>
          </cell>
          <cell r="O169">
            <v>9.0999999999999998E-2</v>
          </cell>
          <cell r="P169">
            <v>0.11899999999999999</v>
          </cell>
          <cell r="Q169">
            <v>0.105</v>
          </cell>
          <cell r="R169">
            <v>0.10100000000000001</v>
          </cell>
          <cell r="S169">
            <v>8.6999999999999994E-2</v>
          </cell>
          <cell r="T169">
            <v>9.4E-2</v>
          </cell>
          <cell r="U169">
            <v>9.4E-2</v>
          </cell>
          <cell r="V169">
            <v>9.6000000000000002E-2</v>
          </cell>
          <cell r="W169">
            <v>9.6000000000000002E-2</v>
          </cell>
          <cell r="X169">
            <v>0.106</v>
          </cell>
          <cell r="AA169">
            <v>9.9000000000000005E-2</v>
          </cell>
        </row>
        <row r="170">
          <cell r="A170" t="str">
            <v>Australasia</v>
          </cell>
          <cell r="O170">
            <v>0.20100000000000001</v>
          </cell>
          <cell r="P170">
            <v>0.14899999999999997</v>
          </cell>
          <cell r="Q170">
            <v>0.17499999999999999</v>
          </cell>
          <cell r="R170">
            <v>0.16500000000000001</v>
          </cell>
          <cell r="S170">
            <v>0.12099999999999997</v>
          </cell>
          <cell r="T170">
            <v>0.14299999999999999</v>
          </cell>
          <cell r="U170">
            <v>0.13</v>
          </cell>
          <cell r="V170">
            <v>0.11899999999999999</v>
          </cell>
          <cell r="W170">
            <v>0.11899999999999999</v>
          </cell>
          <cell r="X170">
            <v>0.129</v>
          </cell>
          <cell r="AA170">
            <v>8.8999999999999996E-2</v>
          </cell>
        </row>
        <row r="171">
          <cell r="A171" t="str">
            <v>Flexibles</v>
          </cell>
          <cell r="O171">
            <v>0.11</v>
          </cell>
          <cell r="P171">
            <v>0.13200000000000001</v>
          </cell>
          <cell r="Q171">
            <v>0.121</v>
          </cell>
          <cell r="R171">
            <v>0.10199999999999999</v>
          </cell>
          <cell r="S171">
            <v>0.14800000000000002</v>
          </cell>
          <cell r="T171">
            <v>0.125</v>
          </cell>
          <cell r="U171">
            <v>0.111</v>
          </cell>
          <cell r="V171">
            <v>0.13200000000000001</v>
          </cell>
          <cell r="W171">
            <v>0.13200000000000001</v>
          </cell>
          <cell r="X171">
            <v>0.115</v>
          </cell>
          <cell r="AA171">
            <v>0.13300000000000001</v>
          </cell>
        </row>
        <row r="172">
          <cell r="A172" t="str">
            <v>Sunclipse</v>
          </cell>
          <cell r="O172">
            <v>0.23400000000000001</v>
          </cell>
          <cell r="P172">
            <v>9.6000000000000002E-2</v>
          </cell>
          <cell r="Q172">
            <v>0.16500000000000001</v>
          </cell>
          <cell r="R172">
            <v>0.183</v>
          </cell>
          <cell r="S172">
            <v>0.19500000000000001</v>
          </cell>
          <cell r="T172">
            <v>0.189</v>
          </cell>
          <cell r="U172">
            <v>0.218</v>
          </cell>
          <cell r="V172">
            <v>0.20699999999999999</v>
          </cell>
          <cell r="W172">
            <v>0.20699999999999999</v>
          </cell>
          <cell r="X172">
            <v>0.30399999999999999</v>
          </cell>
          <cell r="AA172">
            <v>0.183</v>
          </cell>
        </row>
        <row r="173">
          <cell r="A173" t="str">
            <v>Asia</v>
          </cell>
          <cell r="O173">
            <v>0.14799999999999999</v>
          </cell>
          <cell r="P173">
            <v>5.7999999999999996E-2</v>
          </cell>
          <cell r="Q173">
            <v>0.10299999999999999</v>
          </cell>
          <cell r="R173">
            <v>0.16200000000000001</v>
          </cell>
          <cell r="S173">
            <v>9.1999999999999998E-2</v>
          </cell>
          <cell r="T173">
            <v>0.127</v>
          </cell>
          <cell r="U173">
            <v>9.4E-2</v>
          </cell>
          <cell r="V173">
            <v>9.9000000000000005E-2</v>
          </cell>
          <cell r="W173">
            <v>9.9000000000000005E-2</v>
          </cell>
          <cell r="X173">
            <v>0.112</v>
          </cell>
          <cell r="AA173">
            <v>9.0999999999999998E-2</v>
          </cell>
        </row>
        <row r="174">
          <cell r="A174" t="str">
            <v>Other/Discontinued/Intersegment</v>
          </cell>
        </row>
        <row r="175">
          <cell r="A175" t="str">
            <v>Total</v>
          </cell>
          <cell r="O175">
            <v>0.122</v>
          </cell>
          <cell r="P175">
            <v>0.11799999999999999</v>
          </cell>
          <cell r="Q175">
            <v>0.12</v>
          </cell>
          <cell r="R175">
            <v>0.11700000000000001</v>
          </cell>
          <cell r="S175">
            <v>0.109</v>
          </cell>
          <cell r="T175">
            <v>0.113</v>
          </cell>
          <cell r="U175">
            <v>0.107</v>
          </cell>
          <cell r="V175">
            <v>0.109</v>
          </cell>
          <cell r="W175">
            <v>0.109</v>
          </cell>
          <cell r="X175">
            <v>0.11700000000000001</v>
          </cell>
          <cell r="AA175">
            <v>0.10299999999999999</v>
          </cell>
        </row>
        <row r="177">
          <cell r="A177" t="str">
            <v>Average Funds Invested</v>
          </cell>
        </row>
        <row r="178">
          <cell r="A178" t="str">
            <v>PET</v>
          </cell>
          <cell r="F178">
            <v>748</v>
          </cell>
          <cell r="I178">
            <v>3017</v>
          </cell>
          <cell r="L178">
            <v>2696</v>
          </cell>
          <cell r="M178">
            <v>2660</v>
          </cell>
          <cell r="N178">
            <v>2678</v>
          </cell>
          <cell r="O178">
            <v>2721</v>
          </cell>
          <cell r="P178">
            <v>2667</v>
          </cell>
          <cell r="Q178">
            <v>2694</v>
          </cell>
        </row>
        <row r="179">
          <cell r="A179" t="str">
            <v>Australasia</v>
          </cell>
          <cell r="F179">
            <v>1799</v>
          </cell>
          <cell r="I179">
            <v>1798</v>
          </cell>
          <cell r="L179">
            <v>1839</v>
          </cell>
          <cell r="M179">
            <v>1825</v>
          </cell>
          <cell r="N179">
            <v>1832</v>
          </cell>
          <cell r="O179">
            <v>1812</v>
          </cell>
          <cell r="P179">
            <v>1940</v>
          </cell>
          <cell r="Q179">
            <v>1876</v>
          </cell>
        </row>
        <row r="180">
          <cell r="A180" t="str">
            <v>Flexibles</v>
          </cell>
          <cell r="F180">
            <v>1413</v>
          </cell>
          <cell r="I180">
            <v>2436</v>
          </cell>
          <cell r="L180">
            <v>2035</v>
          </cell>
          <cell r="M180">
            <v>2155</v>
          </cell>
          <cell r="N180">
            <v>2095</v>
          </cell>
          <cell r="O180">
            <v>2263</v>
          </cell>
          <cell r="P180">
            <v>2223</v>
          </cell>
          <cell r="Q180">
            <v>2243</v>
          </cell>
        </row>
        <row r="181">
          <cell r="A181" t="str">
            <v>Sunclipse</v>
          </cell>
          <cell r="F181">
            <v>631</v>
          </cell>
          <cell r="I181">
            <v>600</v>
          </cell>
          <cell r="L181">
            <v>466</v>
          </cell>
          <cell r="M181">
            <v>446</v>
          </cell>
          <cell r="N181">
            <v>456</v>
          </cell>
          <cell r="O181">
            <v>451</v>
          </cell>
          <cell r="P181">
            <v>431</v>
          </cell>
          <cell r="Q181">
            <v>441</v>
          </cell>
        </row>
        <row r="182">
          <cell r="A182" t="str">
            <v>Asia</v>
          </cell>
          <cell r="F182">
            <v>341</v>
          </cell>
          <cell r="I182">
            <v>302</v>
          </cell>
          <cell r="L182">
            <v>233</v>
          </cell>
          <cell r="M182">
            <v>231</v>
          </cell>
          <cell r="N182">
            <v>232</v>
          </cell>
          <cell r="O182">
            <v>244</v>
          </cell>
          <cell r="P182">
            <v>260</v>
          </cell>
          <cell r="Q182">
            <v>252</v>
          </cell>
        </row>
        <row r="183">
          <cell r="A183" t="str">
            <v>Other/Discontinued/Intersegment</v>
          </cell>
          <cell r="Q183">
            <v>202</v>
          </cell>
        </row>
        <row r="184">
          <cell r="A184" t="str">
            <v>Total Average Funds Employed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4932</v>
          </cell>
          <cell r="G184">
            <v>0</v>
          </cell>
          <cell r="H184">
            <v>0</v>
          </cell>
          <cell r="I184">
            <v>8153</v>
          </cell>
          <cell r="J184">
            <v>0</v>
          </cell>
          <cell r="K184">
            <v>0</v>
          </cell>
          <cell r="L184">
            <v>7269</v>
          </cell>
          <cell r="M184">
            <v>7317</v>
          </cell>
          <cell r="N184">
            <v>7293</v>
          </cell>
          <cell r="O184">
            <v>7491</v>
          </cell>
          <cell r="P184">
            <v>7925</v>
          </cell>
          <cell r="Q184">
            <v>7708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Z184">
            <v>0</v>
          </cell>
          <cell r="AC184">
            <v>0</v>
          </cell>
          <cell r="AF184">
            <v>0</v>
          </cell>
        </row>
        <row r="186">
          <cell r="A186" t="str">
            <v>ROAFI</v>
          </cell>
        </row>
        <row r="187">
          <cell r="A187" t="str">
            <v>PET</v>
          </cell>
          <cell r="F187">
            <v>0.104</v>
          </cell>
          <cell r="I187">
            <v>0.09</v>
          </cell>
          <cell r="J187">
            <v>0.11599999999999999</v>
          </cell>
          <cell r="K187">
            <v>0.10299999999999999</v>
          </cell>
          <cell r="L187">
            <v>0.09</v>
          </cell>
          <cell r="M187">
            <v>0.11000000000000001</v>
          </cell>
          <cell r="N187">
            <v>0.1</v>
          </cell>
          <cell r="O187">
            <v>9.0999999999999998E-2</v>
          </cell>
          <cell r="P187">
            <v>0.10300000000000001</v>
          </cell>
          <cell r="Q187">
            <v>9.7000000000000003E-2</v>
          </cell>
          <cell r="R187">
            <v>0.10100000000000001</v>
          </cell>
        </row>
        <row r="188">
          <cell r="A188" t="str">
            <v>Australasia</v>
          </cell>
          <cell r="F188">
            <v>0.13900000000000001</v>
          </cell>
          <cell r="I188">
            <v>0.157</v>
          </cell>
          <cell r="J188">
            <v>0.155</v>
          </cell>
          <cell r="K188">
            <v>0.156</v>
          </cell>
          <cell r="L188">
            <v>0.17699999999999999</v>
          </cell>
          <cell r="M188">
            <v>0.16899999999999998</v>
          </cell>
          <cell r="N188">
            <v>0.17299999999999999</v>
          </cell>
          <cell r="O188">
            <v>0.20100000000000001</v>
          </cell>
          <cell r="P188">
            <v>0.13700000000000001</v>
          </cell>
          <cell r="Q188">
            <v>0.16900000000000001</v>
          </cell>
          <cell r="R188">
            <v>0.16500000000000001</v>
          </cell>
        </row>
        <row r="189">
          <cell r="A189" t="str">
            <v>Flexibles</v>
          </cell>
          <cell r="F189">
            <v>8.2208067940552021E-2</v>
          </cell>
          <cell r="I189">
            <v>8.3837438423645327E-2</v>
          </cell>
          <cell r="L189">
            <v>0.10920638820638821</v>
          </cell>
          <cell r="M189">
            <v>0.11243179795112969</v>
          </cell>
          <cell r="N189">
            <v>0.11081909307875895</v>
          </cell>
          <cell r="O189">
            <v>0.11</v>
          </cell>
          <cell r="P189">
            <v>0.10990548372715116</v>
          </cell>
          <cell r="Q189">
            <v>0.10995274186357558</v>
          </cell>
          <cell r="R189">
            <v>0.10199999999999999</v>
          </cell>
        </row>
        <row r="190">
          <cell r="A190" t="str">
            <v>Sunclipse</v>
          </cell>
          <cell r="F190">
            <v>0.16200000000000001</v>
          </cell>
          <cell r="I190">
            <v>0.16900000000000001</v>
          </cell>
          <cell r="J190">
            <v>0.13099999999999998</v>
          </cell>
          <cell r="K190">
            <v>0.15</v>
          </cell>
          <cell r="L190">
            <v>0.14099999999999999</v>
          </cell>
          <cell r="M190">
            <v>0.11100000000000002</v>
          </cell>
          <cell r="N190">
            <v>0.126</v>
          </cell>
          <cell r="O190">
            <v>0.23400000000000001</v>
          </cell>
          <cell r="P190">
            <v>1.999999999999999E-2</v>
          </cell>
          <cell r="Q190">
            <v>0.127</v>
          </cell>
          <cell r="R190">
            <v>0.183</v>
          </cell>
        </row>
        <row r="191">
          <cell r="A191" t="str">
            <v>Asia</v>
          </cell>
          <cell r="F191">
            <v>0.128</v>
          </cell>
          <cell r="I191">
            <v>0.13600000000000001</v>
          </cell>
          <cell r="J191">
            <v>8.3999999999999991E-2</v>
          </cell>
          <cell r="K191">
            <v>0.11</v>
          </cell>
          <cell r="L191">
            <v>0.124</v>
          </cell>
          <cell r="M191">
            <v>0.14000000000000001</v>
          </cell>
          <cell r="N191">
            <v>0.13200000000000001</v>
          </cell>
          <cell r="O191">
            <v>0.14799999999999999</v>
          </cell>
          <cell r="P191">
            <v>6.6000000000000003E-2</v>
          </cell>
          <cell r="Q191">
            <v>0.107</v>
          </cell>
          <cell r="R191">
            <v>0.16200000000000001</v>
          </cell>
        </row>
        <row r="192">
          <cell r="A192" t="str">
            <v>Other/Discontinued/Intersegment</v>
          </cell>
        </row>
        <row r="193">
          <cell r="A193" t="str">
            <v>Total</v>
          </cell>
          <cell r="F193">
            <v>0.124</v>
          </cell>
          <cell r="G193">
            <v>0.13200000000000001</v>
          </cell>
          <cell r="H193">
            <v>0.128</v>
          </cell>
          <cell r="I193">
            <v>0.10299999999999999</v>
          </cell>
          <cell r="J193">
            <v>0.12100000000000001</v>
          </cell>
          <cell r="K193">
            <v>0.112</v>
          </cell>
          <cell r="L193">
            <v>0.11</v>
          </cell>
          <cell r="M193">
            <v>0.112</v>
          </cell>
          <cell r="N193">
            <v>0.111</v>
          </cell>
          <cell r="O193">
            <v>0.122</v>
          </cell>
          <cell r="P193">
            <v>9.6000000000000002E-2</v>
          </cell>
          <cell r="Q193">
            <v>0.109</v>
          </cell>
          <cell r="R193">
            <v>0.11700000000000001</v>
          </cell>
        </row>
        <row r="195">
          <cell r="A195" t="str">
            <v xml:space="preserve">Assets </v>
          </cell>
        </row>
        <row r="196">
          <cell r="A196" t="str">
            <v>PET</v>
          </cell>
          <cell r="J196">
            <v>3297.2</v>
          </cell>
          <cell r="K196">
            <v>3297.2</v>
          </cell>
          <cell r="M196">
            <v>3482</v>
          </cell>
          <cell r="N196">
            <v>3482</v>
          </cell>
          <cell r="P196">
            <v>3460.2</v>
          </cell>
          <cell r="Q196">
            <v>3460.2</v>
          </cell>
          <cell r="S196">
            <v>3853.4</v>
          </cell>
          <cell r="T196">
            <v>3853.4</v>
          </cell>
        </row>
        <row r="197">
          <cell r="A197" t="str">
            <v>Australasia</v>
          </cell>
          <cell r="J197">
            <v>2447.9</v>
          </cell>
          <cell r="K197">
            <v>2447.9</v>
          </cell>
          <cell r="M197">
            <v>2418</v>
          </cell>
          <cell r="N197">
            <v>2418</v>
          </cell>
          <cell r="P197">
            <v>2407</v>
          </cell>
          <cell r="Q197">
            <v>2407</v>
          </cell>
          <cell r="S197">
            <v>2552.4</v>
          </cell>
          <cell r="T197">
            <v>2552.4</v>
          </cell>
        </row>
        <row r="198">
          <cell r="A198" t="str">
            <v>Flexibles</v>
          </cell>
          <cell r="J198">
            <v>2792.1000000000004</v>
          </cell>
          <cell r="K198">
            <v>2792.1000000000004</v>
          </cell>
          <cell r="M198">
            <v>3124.6000000000004</v>
          </cell>
          <cell r="N198">
            <v>3124.6000000000004</v>
          </cell>
          <cell r="P198">
            <v>2928.8</v>
          </cell>
          <cell r="Q198">
            <v>2928.8</v>
          </cell>
          <cell r="S198">
            <v>2312.3000000000002</v>
          </cell>
          <cell r="T198">
            <v>2312.3000000000002</v>
          </cell>
        </row>
        <row r="199">
          <cell r="A199" t="str">
            <v>Sunclipse</v>
          </cell>
          <cell r="J199">
            <v>560.79999999999995</v>
          </cell>
          <cell r="K199">
            <v>560.79999999999995</v>
          </cell>
          <cell r="M199">
            <v>547.6</v>
          </cell>
          <cell r="N199">
            <v>547.6</v>
          </cell>
          <cell r="P199">
            <v>504.2</v>
          </cell>
          <cell r="Q199">
            <v>504.2</v>
          </cell>
          <cell r="S199">
            <v>548.5</v>
          </cell>
          <cell r="T199">
            <v>548.5</v>
          </cell>
        </row>
        <row r="200">
          <cell r="A200" t="str">
            <v>Asia</v>
          </cell>
          <cell r="J200">
            <v>320.2</v>
          </cell>
          <cell r="K200">
            <v>320.2</v>
          </cell>
          <cell r="M200">
            <v>339.6</v>
          </cell>
          <cell r="N200">
            <v>339.6</v>
          </cell>
          <cell r="P200">
            <v>304.60000000000002</v>
          </cell>
          <cell r="Q200">
            <v>304.60000000000002</v>
          </cell>
          <cell r="S200">
            <v>409.8</v>
          </cell>
          <cell r="T200">
            <v>409.8</v>
          </cell>
        </row>
        <row r="201">
          <cell r="A201" t="str">
            <v>Other/Discontinued/Intersegment</v>
          </cell>
          <cell r="J201">
            <v>144.1</v>
          </cell>
          <cell r="K201">
            <v>144.1</v>
          </cell>
          <cell r="M201">
            <v>374.6</v>
          </cell>
          <cell r="N201">
            <v>374.6</v>
          </cell>
          <cell r="P201">
            <v>294.10000000000002</v>
          </cell>
          <cell r="Q201">
            <v>294.10000000000002</v>
          </cell>
          <cell r="S201">
            <v>0</v>
          </cell>
        </row>
        <row r="202">
          <cell r="A202" t="str">
            <v>Total Assets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9562.3000000000011</v>
          </cell>
          <cell r="K202">
            <v>9562.3000000000011</v>
          </cell>
          <cell r="L202">
            <v>0</v>
          </cell>
          <cell r="M202">
            <v>10286.400000000001</v>
          </cell>
          <cell r="N202">
            <v>10286.400000000001</v>
          </cell>
          <cell r="O202">
            <v>0</v>
          </cell>
          <cell r="P202">
            <v>9898.9000000000015</v>
          </cell>
          <cell r="Q202">
            <v>9898.9000000000015</v>
          </cell>
          <cell r="R202">
            <v>0</v>
          </cell>
          <cell r="S202">
            <v>9676.4</v>
          </cell>
          <cell r="T202">
            <v>9676.4</v>
          </cell>
        </row>
        <row r="205">
          <cell r="N205">
            <v>0.92050545663411831</v>
          </cell>
          <cell r="Q205">
            <v>1.0682619501762904</v>
          </cell>
          <cell r="T205">
            <v>1.0507344163595786</v>
          </cell>
        </row>
        <row r="206">
          <cell r="N206">
            <v>8.0796002488722971E-2</v>
          </cell>
          <cell r="Q206">
            <v>0</v>
          </cell>
          <cell r="T206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>
        <row r="1">
          <cell r="A1" t="str">
            <v>AMC Earnings changes</v>
          </cell>
          <cell r="B1" t="str">
            <v>AMC.AX</v>
          </cell>
          <cell r="C1">
            <v>2010</v>
          </cell>
        </row>
        <row r="2">
          <cell r="A2" t="str">
            <v>June Y/E</v>
          </cell>
          <cell r="B2">
            <v>2010</v>
          </cell>
          <cell r="C2">
            <v>2011</v>
          </cell>
          <cell r="D2">
            <v>2012</v>
          </cell>
        </row>
        <row r="3">
          <cell r="A3" t="str">
            <v>EBIT</v>
          </cell>
          <cell r="B3">
            <v>825.79626585641199</v>
          </cell>
          <cell r="C3">
            <v>1119.29255342295</v>
          </cell>
          <cell r="D3">
            <v>1280.5860928877801</v>
          </cell>
          <cell r="F3" t="str">
            <v>mscalc:operatingIncome</v>
          </cell>
        </row>
        <row r="4">
          <cell r="A4" t="str">
            <v>Modelware NPAT</v>
          </cell>
          <cell r="B4">
            <v>500.59117569948398</v>
          </cell>
          <cell r="C4">
            <v>671.98860976671494</v>
          </cell>
          <cell r="D4">
            <v>759.18522310434798</v>
          </cell>
          <cell r="F4" t="str">
            <v>mscalc:netIncomeBeforeOperatingLeaseAdjustment</v>
          </cell>
        </row>
        <row r="5">
          <cell r="A5" t="str">
            <v>Modelware EPS</v>
          </cell>
          <cell r="B5" t="str">
            <v>NA</v>
          </cell>
          <cell r="C5" t="str">
            <v>NA</v>
          </cell>
          <cell r="D5" t="str">
            <v>NA</v>
          </cell>
          <cell r="F5" t="str">
            <v>mscalc:dilutedEarningsPerShareBeforeOperatingLeaseAdjustments</v>
          </cell>
        </row>
        <row r="8">
          <cell r="A8" t="str">
            <v>June Y/E</v>
          </cell>
          <cell r="B8" t="str">
            <v>F2010e</v>
          </cell>
          <cell r="C8" t="str">
            <v>F2011e</v>
          </cell>
          <cell r="D8" t="str">
            <v>F2012e</v>
          </cell>
        </row>
        <row r="9">
          <cell r="A9" t="str">
            <v>EBIT</v>
          </cell>
          <cell r="G9" t="str">
            <v>Modelware EPS</v>
          </cell>
        </row>
        <row r="10">
          <cell r="A10" t="str">
            <v>Old</v>
          </cell>
          <cell r="B10">
            <v>825.79626585641199</v>
          </cell>
          <cell r="C10">
            <v>1119.29255342295</v>
          </cell>
          <cell r="D10">
            <v>1280.5860928877801</v>
          </cell>
          <cell r="G10" t="str">
            <v>June Y/E</v>
          </cell>
          <cell r="H10" t="str">
            <v>F2010e</v>
          </cell>
          <cell r="I10" t="str">
            <v>F2011e</v>
          </cell>
          <cell r="J10" t="str">
            <v>F2012e</v>
          </cell>
        </row>
        <row r="11">
          <cell r="A11" t="str">
            <v>New</v>
          </cell>
          <cell r="B11">
            <v>825.7962658564245</v>
          </cell>
          <cell r="C11">
            <v>1119.2925534228564</v>
          </cell>
          <cell r="D11">
            <v>1280.5860928877598</v>
          </cell>
          <cell r="G11" t="str">
            <v>Old forecasts</v>
          </cell>
          <cell r="H11">
            <v>49.056477919600823</v>
          </cell>
          <cell r="I11">
            <v>51.244848076923802</v>
          </cell>
          <cell r="J11">
            <v>51.868543527952092</v>
          </cell>
        </row>
        <row r="12">
          <cell r="A12" t="str">
            <v>% change</v>
          </cell>
          <cell r="B12">
            <v>1.5099033134902129E-14</v>
          </cell>
          <cell r="C12">
            <v>-8.3710816056736803E-14</v>
          </cell>
          <cell r="D12">
            <v>-1.5765166949677223E-14</v>
          </cell>
          <cell r="G12" t="str">
            <v>Forecasts pre Alcan</v>
          </cell>
          <cell r="H12">
            <v>46.711839046549301</v>
          </cell>
          <cell r="I12">
            <v>51.501635706192282</v>
          </cell>
          <cell r="J12">
            <v>54.6477989507095</v>
          </cell>
        </row>
        <row r="13">
          <cell r="A13" t="str">
            <v>ModelWare NPAT</v>
          </cell>
          <cell r="G13" t="str">
            <v>% change v old</v>
          </cell>
          <cell r="H13">
            <v>-4.7794684259521714E-2</v>
          </cell>
          <cell r="I13">
            <v>5.010994059012841E-3</v>
          </cell>
          <cell r="J13">
            <v>5.3582677162694159E-2</v>
          </cell>
        </row>
        <row r="14">
          <cell r="A14" t="str">
            <v>Old</v>
          </cell>
          <cell r="B14">
            <v>500.59117569948398</v>
          </cell>
          <cell r="C14">
            <v>671.98860976671494</v>
          </cell>
          <cell r="D14">
            <v>759.18522310434798</v>
          </cell>
          <cell r="G14" t="str">
            <v>Forecasts post Alcan</v>
          </cell>
          <cell r="H14">
            <v>43.351709189591162</v>
          </cell>
          <cell r="I14">
            <v>55.202372454278667</v>
          </cell>
          <cell r="J14">
            <v>62.365380660461277</v>
          </cell>
        </row>
        <row r="15">
          <cell r="A15" t="str">
            <v>New</v>
          </cell>
          <cell r="B15">
            <v>500.59117569949717</v>
          </cell>
          <cell r="C15">
            <v>671.98860976662354</v>
          </cell>
          <cell r="D15">
            <v>759.18522310432616</v>
          </cell>
          <cell r="G15" t="str">
            <v>% change v pre Alcan</v>
          </cell>
          <cell r="H15">
            <v>-7.1933152826839097E-2</v>
          </cell>
          <cell r="I15">
            <v>7.1856683721628345E-2</v>
          </cell>
          <cell r="J15">
            <v>0.14122401739753099</v>
          </cell>
        </row>
        <row r="16">
          <cell r="A16" t="str">
            <v>% change</v>
          </cell>
          <cell r="B16">
            <v>2.6423307986078726E-14</v>
          </cell>
          <cell r="C16">
            <v>-1.3600232051658168E-13</v>
          </cell>
          <cell r="D16">
            <v>-2.8754776337791554E-14</v>
          </cell>
          <cell r="G16" t="str">
            <v xml:space="preserve">% total change </v>
          </cell>
          <cell r="H16">
            <v>-0.11628981475921008</v>
          </cell>
          <cell r="I16">
            <v>7.7227751195870775E-2</v>
          </cell>
          <cell r="J16">
            <v>0.20237385549205578</v>
          </cell>
        </row>
        <row r="18">
          <cell r="A18" t="str">
            <v>Modelware EPS</v>
          </cell>
        </row>
        <row r="19">
          <cell r="A19" t="str">
            <v>June Y/E</v>
          </cell>
          <cell r="B19" t="str">
            <v>F2010e</v>
          </cell>
          <cell r="C19" t="str">
            <v>F2011e</v>
          </cell>
          <cell r="D19" t="str">
            <v>F2012e</v>
          </cell>
        </row>
        <row r="20">
          <cell r="A20" t="str">
            <v>Old</v>
          </cell>
          <cell r="B20">
            <v>43.351709189591162</v>
          </cell>
          <cell r="C20">
            <v>55.202372454278667</v>
          </cell>
          <cell r="D20">
            <v>62.365380660461277</v>
          </cell>
        </row>
        <row r="21">
          <cell r="A21" t="str">
            <v>New</v>
          </cell>
          <cell r="B21">
            <v>43.351709189591162</v>
          </cell>
          <cell r="C21">
            <v>55.202372454278667</v>
          </cell>
          <cell r="D21">
            <v>62.365380660461277</v>
          </cell>
        </row>
        <row r="22">
          <cell r="A22" t="str">
            <v>% change</v>
          </cell>
          <cell r="B22">
            <v>0</v>
          </cell>
          <cell r="C22">
            <v>0</v>
          </cell>
          <cell r="D22">
            <v>0</v>
          </cell>
        </row>
        <row r="24">
          <cell r="A24" t="str">
            <v>June Y/E</v>
          </cell>
          <cell r="B24" t="str">
            <v>F2010e</v>
          </cell>
          <cell r="C24" t="str">
            <v>F2011e</v>
          </cell>
          <cell r="D24" t="str">
            <v>F2012e</v>
          </cell>
        </row>
        <row r="25">
          <cell r="A25" t="str">
            <v>A$/US$</v>
          </cell>
        </row>
        <row r="26">
          <cell r="A26" t="str">
            <v>Old</v>
          </cell>
          <cell r="B26">
            <v>0.56000000000000005</v>
          </cell>
          <cell r="C26">
            <v>0.68333333333333346</v>
          </cell>
          <cell r="D26">
            <v>0.75</v>
          </cell>
        </row>
        <row r="27">
          <cell r="A27" t="str">
            <v>New</v>
          </cell>
          <cell r="B27">
            <v>0.8</v>
          </cell>
          <cell r="C27">
            <v>0.8</v>
          </cell>
          <cell r="D27">
            <v>0.75</v>
          </cell>
        </row>
        <row r="28">
          <cell r="A28" t="str">
            <v>% change</v>
          </cell>
          <cell r="B28">
            <v>0.4285714285714286</v>
          </cell>
          <cell r="C28">
            <v>0.1707317073170731</v>
          </cell>
          <cell r="D28">
            <v>0</v>
          </cell>
        </row>
        <row r="30">
          <cell r="A30" t="str">
            <v>Oil (US$/bbl)</v>
          </cell>
        </row>
        <row r="31">
          <cell r="A31" t="str">
            <v>Old</v>
          </cell>
          <cell r="B31">
            <v>84</v>
          </cell>
          <cell r="C31">
            <v>86.5</v>
          </cell>
          <cell r="D31">
            <v>89</v>
          </cell>
        </row>
        <row r="32">
          <cell r="A32" t="str">
            <v>New</v>
          </cell>
          <cell r="B32">
            <v>56.5</v>
          </cell>
          <cell r="C32">
            <v>75</v>
          </cell>
          <cell r="D32">
            <v>85</v>
          </cell>
        </row>
        <row r="33">
          <cell r="A33" t="str">
            <v>% change</v>
          </cell>
          <cell r="B33">
            <v>-0.32738095238095233</v>
          </cell>
          <cell r="C33">
            <v>-0.13294797687861271</v>
          </cell>
          <cell r="D33">
            <v>-4.49438202247191E-2</v>
          </cell>
        </row>
        <row r="35">
          <cell r="A35" t="str">
            <v>Methodology</v>
          </cell>
          <cell r="B35" t="str">
            <v>Old</v>
          </cell>
          <cell r="C35" t="str">
            <v>New</v>
          </cell>
          <cell r="D35" t="str">
            <v>Change</v>
          </cell>
        </row>
        <row r="36">
          <cell r="A36" t="str">
            <v>Discounted Cashflow</v>
          </cell>
          <cell r="B36">
            <v>6.0853705026849472</v>
          </cell>
          <cell r="C36">
            <v>7.4823420013421087</v>
          </cell>
          <cell r="D36">
            <v>0.22956227530284301</v>
          </cell>
        </row>
        <row r="37">
          <cell r="A37" t="str">
            <v>Sum-of-the-parts</v>
          </cell>
          <cell r="B37">
            <v>5.2234684958831599</v>
          </cell>
          <cell r="C37">
            <v>3.0167834891583478</v>
          </cell>
          <cell r="D37">
            <v>-0.42245588510086651</v>
          </cell>
        </row>
        <row r="38">
          <cell r="A38" t="str">
            <v>Average</v>
          </cell>
          <cell r="B38">
            <v>5.6544194992840531</v>
          </cell>
          <cell r="C38">
            <v>5.2495627452502287</v>
          </cell>
          <cell r="D38">
            <v>-7.1600056218871999E-2</v>
          </cell>
        </row>
        <row r="39">
          <cell r="A39" t="str">
            <v>P/E</v>
          </cell>
          <cell r="B39">
            <v>5.4257778661843581</v>
          </cell>
          <cell r="C39">
            <v>8.3569610085018109</v>
          </cell>
          <cell r="D39">
            <v>0.54023279511418476</v>
          </cell>
        </row>
        <row r="40">
          <cell r="A40" t="str">
            <v>Target Price</v>
          </cell>
          <cell r="B40">
            <v>5.65</v>
          </cell>
          <cell r="C40">
            <v>5.65</v>
          </cell>
          <cell r="D40">
            <v>0</v>
          </cell>
        </row>
      </sheetData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FDSCACHE__"/>
      <sheetName val="TOX IBES Prospective"/>
      <sheetName val="To Do"/>
      <sheetName val="Contracts"/>
      <sheetName val="Tables and Charts"/>
      <sheetName val="Financial Tables"/>
      <sheetName val="Financial Tables (ECC)"/>
      <sheetName val="Results Summary"/>
      <sheetName val="Sheet1"/>
      <sheetName val="Hazardous Waste Remediation"/>
      <sheetName val="Liquid Waste Remediation"/>
      <sheetName val="Industrial Services"/>
      <sheetName val="Solid Waste Management"/>
      <sheetName val="Segment Reporting"/>
      <sheetName val="Issued Capital"/>
      <sheetName val="Inputs"/>
      <sheetName val="Valuation Summary"/>
      <sheetName val="DCF"/>
      <sheetName val="WACC"/>
      <sheetName val="DCF Table for Note"/>
      <sheetName val="Inverted DCF"/>
      <sheetName val="PE Relative"/>
      <sheetName val="Sum of Parts (2012)"/>
      <sheetName val="Sum of Parts (2013)"/>
      <sheetName val="DDM"/>
      <sheetName val="Template Bridge"/>
      <sheetName val="mwareInputs"/>
      <sheetName val="mwareDates"/>
      <sheetName val="MW-Cache"/>
      <sheetName val="MWA RR"/>
      <sheetName val="mwareSettings"/>
      <sheetName val="Results Preview"/>
      <sheetName val="Ten Half Trend"/>
      <sheetName val="Earnings Summary"/>
    </sheetNames>
    <sheetDataSet>
      <sheetData sheetId="0"/>
      <sheetData sheetId="1" refreshError="1">
        <row r="1">
          <cell r="A1" t="str">
            <v>TOX</v>
          </cell>
          <cell r="B1" t="str">
            <v>XSI P/E</v>
          </cell>
          <cell r="C1" t="str">
            <v>XSI Yield</v>
          </cell>
          <cell r="D1" t="str">
            <v>Price (Historical)</v>
          </cell>
          <cell r="E1" t="str">
            <v>Adjustment</v>
          </cell>
          <cell r="F1" t="str">
            <v>Price (Adjusted)</v>
          </cell>
          <cell r="G1" t="str">
            <v>IssuedShares</v>
          </cell>
          <cell r="I1" t="str">
            <v>MktCap</v>
          </cell>
          <cell r="J1" t="str">
            <v>NetDebt</v>
          </cell>
          <cell r="L1" t="str">
            <v>EPS</v>
          </cell>
          <cell r="M1" t="str">
            <v>EBG</v>
          </cell>
          <cell r="N1" t="str">
            <v>P/EBG</v>
          </cell>
          <cell r="U1" t="str">
            <v>P/E Rel</v>
          </cell>
          <cell r="X1" t="str">
            <v>Mining Services P/E</v>
          </cell>
          <cell r="Y1" t="str">
            <v>P/E Rel</v>
          </cell>
          <cell r="AF1" t="str">
            <v>P/E Rel (2)</v>
          </cell>
          <cell r="AI1" t="str">
            <v>SAL</v>
          </cell>
          <cell r="AJ1" t="str">
            <v>P/Sales</v>
          </cell>
          <cell r="AQ1" t="str">
            <v>EBI</v>
          </cell>
          <cell r="AR1" t="str">
            <v>P/EBIT</v>
          </cell>
          <cell r="AY1" t="str">
            <v>EV/EBIT</v>
          </cell>
          <cell r="AZ1" t="str">
            <v>EBT</v>
          </cell>
          <cell r="BA1" t="str">
            <v>EV/EBITDA</v>
          </cell>
          <cell r="BB1" t="str">
            <v>DPS</v>
          </cell>
          <cell r="BC1" t="str">
            <v>Yield</v>
          </cell>
          <cell r="BJ1" t="str">
            <v>Yield Rel</v>
          </cell>
          <cell r="BM1" t="str">
            <v>BPS</v>
          </cell>
          <cell r="BN1" t="str">
            <v>P/B</v>
          </cell>
        </row>
        <row r="2">
          <cell r="A2">
            <v>33663</v>
          </cell>
        </row>
        <row r="3">
          <cell r="A3">
            <v>33694</v>
          </cell>
        </row>
        <row r="4">
          <cell r="A4">
            <v>33724</v>
          </cell>
        </row>
        <row r="5">
          <cell r="A5">
            <v>33755</v>
          </cell>
        </row>
        <row r="6">
          <cell r="A6">
            <v>33785</v>
          </cell>
        </row>
        <row r="7">
          <cell r="A7">
            <v>33816</v>
          </cell>
        </row>
        <row r="8">
          <cell r="A8">
            <v>33847</v>
          </cell>
        </row>
        <row r="9">
          <cell r="A9">
            <v>33877</v>
          </cell>
        </row>
        <row r="10">
          <cell r="A10">
            <v>33908</v>
          </cell>
        </row>
        <row r="11">
          <cell r="A11">
            <v>33938</v>
          </cell>
        </row>
        <row r="12">
          <cell r="A12">
            <v>33969</v>
          </cell>
        </row>
        <row r="13">
          <cell r="A13">
            <v>34000</v>
          </cell>
        </row>
        <row r="14">
          <cell r="A14">
            <v>34028</v>
          </cell>
        </row>
        <row r="15">
          <cell r="A15">
            <v>34059</v>
          </cell>
        </row>
        <row r="16">
          <cell r="A16">
            <v>34089</v>
          </cell>
        </row>
        <row r="17">
          <cell r="A17">
            <v>34120</v>
          </cell>
        </row>
        <row r="18">
          <cell r="A18">
            <v>34150</v>
          </cell>
        </row>
        <row r="19">
          <cell r="A19">
            <v>34181</v>
          </cell>
        </row>
        <row r="20">
          <cell r="A20">
            <v>34212</v>
          </cell>
        </row>
        <row r="21">
          <cell r="A21">
            <v>34242</v>
          </cell>
        </row>
        <row r="22">
          <cell r="A22">
            <v>34273</v>
          </cell>
        </row>
        <row r="23">
          <cell r="A23">
            <v>34303</v>
          </cell>
        </row>
        <row r="24">
          <cell r="A24">
            <v>34334</v>
          </cell>
        </row>
        <row r="25">
          <cell r="A25">
            <v>34365</v>
          </cell>
        </row>
        <row r="26">
          <cell r="A26">
            <v>34393</v>
          </cell>
        </row>
        <row r="27">
          <cell r="A27">
            <v>34424</v>
          </cell>
        </row>
        <row r="28">
          <cell r="A28">
            <v>34454</v>
          </cell>
        </row>
        <row r="29">
          <cell r="A29">
            <v>34485</v>
          </cell>
        </row>
        <row r="30">
          <cell r="A30">
            <v>34515</v>
          </cell>
        </row>
        <row r="31">
          <cell r="A31">
            <v>34546</v>
          </cell>
        </row>
        <row r="32">
          <cell r="A32">
            <v>34577</v>
          </cell>
        </row>
        <row r="33">
          <cell r="A33">
            <v>34607</v>
          </cell>
        </row>
        <row r="34">
          <cell r="A34">
            <v>34638</v>
          </cell>
        </row>
        <row r="35">
          <cell r="A35">
            <v>34668</v>
          </cell>
        </row>
        <row r="36">
          <cell r="A36">
            <v>34699</v>
          </cell>
        </row>
        <row r="37">
          <cell r="A37">
            <v>34730</v>
          </cell>
        </row>
        <row r="38">
          <cell r="A38">
            <v>34758</v>
          </cell>
        </row>
        <row r="39">
          <cell r="A39">
            <v>34789</v>
          </cell>
        </row>
        <row r="40">
          <cell r="A40">
            <v>34819</v>
          </cell>
        </row>
        <row r="41">
          <cell r="A41">
            <v>34850</v>
          </cell>
        </row>
        <row r="42">
          <cell r="A42">
            <v>34880</v>
          </cell>
        </row>
        <row r="43">
          <cell r="A43">
            <v>34911</v>
          </cell>
        </row>
        <row r="44">
          <cell r="A44">
            <v>34942</v>
          </cell>
        </row>
        <row r="45">
          <cell r="A45">
            <v>34972</v>
          </cell>
        </row>
        <row r="46">
          <cell r="A46">
            <v>35003</v>
          </cell>
        </row>
        <row r="47">
          <cell r="A47">
            <v>35033</v>
          </cell>
        </row>
        <row r="48">
          <cell r="A48">
            <v>35064</v>
          </cell>
        </row>
        <row r="49">
          <cell r="A49">
            <v>35095</v>
          </cell>
        </row>
        <row r="50">
          <cell r="A50">
            <v>35124</v>
          </cell>
        </row>
        <row r="51">
          <cell r="A51">
            <v>35155</v>
          </cell>
        </row>
        <row r="52">
          <cell r="A52">
            <v>35185</v>
          </cell>
        </row>
        <row r="53">
          <cell r="A53">
            <v>35216</v>
          </cell>
        </row>
        <row r="54">
          <cell r="A54">
            <v>35246</v>
          </cell>
        </row>
        <row r="55">
          <cell r="A55">
            <v>35277</v>
          </cell>
        </row>
        <row r="56">
          <cell r="A56">
            <v>35308</v>
          </cell>
        </row>
        <row r="57">
          <cell r="A57">
            <v>35338</v>
          </cell>
        </row>
        <row r="58">
          <cell r="A58">
            <v>35369</v>
          </cell>
        </row>
        <row r="59">
          <cell r="A59">
            <v>35399</v>
          </cell>
        </row>
        <row r="60">
          <cell r="A60">
            <v>35430</v>
          </cell>
        </row>
        <row r="61">
          <cell r="A61">
            <v>35461</v>
          </cell>
        </row>
        <row r="62">
          <cell r="A62">
            <v>35489</v>
          </cell>
        </row>
        <row r="63">
          <cell r="A63">
            <v>35520</v>
          </cell>
        </row>
        <row r="64">
          <cell r="A64">
            <v>35550</v>
          </cell>
        </row>
        <row r="65">
          <cell r="A65">
            <v>35581</v>
          </cell>
        </row>
        <row r="66">
          <cell r="A66">
            <v>35611</v>
          </cell>
        </row>
        <row r="67">
          <cell r="A67">
            <v>35642</v>
          </cell>
        </row>
        <row r="68">
          <cell r="A68">
            <v>35673</v>
          </cell>
        </row>
        <row r="69">
          <cell r="A69">
            <v>35703</v>
          </cell>
        </row>
        <row r="70">
          <cell r="A70">
            <v>35734</v>
          </cell>
        </row>
        <row r="71">
          <cell r="A71">
            <v>35764</v>
          </cell>
        </row>
        <row r="72">
          <cell r="A72">
            <v>35795</v>
          </cell>
        </row>
        <row r="73">
          <cell r="A73">
            <v>35826</v>
          </cell>
        </row>
        <row r="74">
          <cell r="A74">
            <v>35854</v>
          </cell>
        </row>
        <row r="75">
          <cell r="A75">
            <v>35885</v>
          </cell>
        </row>
        <row r="76">
          <cell r="A76">
            <v>35915</v>
          </cell>
        </row>
        <row r="77">
          <cell r="A77">
            <v>35946</v>
          </cell>
        </row>
        <row r="78">
          <cell r="A78">
            <v>35976</v>
          </cell>
        </row>
        <row r="79">
          <cell r="A79">
            <v>36007</v>
          </cell>
        </row>
        <row r="80">
          <cell r="A80">
            <v>36038</v>
          </cell>
        </row>
        <row r="81">
          <cell r="A81">
            <v>36068</v>
          </cell>
        </row>
        <row r="82">
          <cell r="A82">
            <v>36099</v>
          </cell>
        </row>
        <row r="83">
          <cell r="A83">
            <v>36129</v>
          </cell>
        </row>
        <row r="84">
          <cell r="A84">
            <v>36160</v>
          </cell>
        </row>
        <row r="85">
          <cell r="A85">
            <v>36191</v>
          </cell>
        </row>
        <row r="86">
          <cell r="A86">
            <v>36219</v>
          </cell>
        </row>
        <row r="87">
          <cell r="A87">
            <v>36250</v>
          </cell>
        </row>
        <row r="88">
          <cell r="A88">
            <v>36280</v>
          </cell>
        </row>
        <row r="89">
          <cell r="A89">
            <v>36311</v>
          </cell>
        </row>
        <row r="90">
          <cell r="A90">
            <v>36341</v>
          </cell>
        </row>
        <row r="91">
          <cell r="A91">
            <v>36372</v>
          </cell>
        </row>
        <row r="92">
          <cell r="A92">
            <v>36403</v>
          </cell>
        </row>
        <row r="93">
          <cell r="A93">
            <v>36433</v>
          </cell>
        </row>
        <row r="94">
          <cell r="A94">
            <v>36464</v>
          </cell>
        </row>
        <row r="95">
          <cell r="A95">
            <v>36494</v>
          </cell>
        </row>
        <row r="96">
          <cell r="A96">
            <v>36525</v>
          </cell>
        </row>
        <row r="97">
          <cell r="A97">
            <v>36556</v>
          </cell>
        </row>
        <row r="98">
          <cell r="A98">
            <v>36584</v>
          </cell>
        </row>
        <row r="99">
          <cell r="A99">
            <v>36616</v>
          </cell>
        </row>
        <row r="100">
          <cell r="A100">
            <v>36646</v>
          </cell>
          <cell r="B100">
            <v>11.842409586152835</v>
          </cell>
          <cell r="C100">
            <v>0</v>
          </cell>
          <cell r="X100">
            <v>6.7112375810144655</v>
          </cell>
        </row>
        <row r="101">
          <cell r="A101">
            <v>36677</v>
          </cell>
          <cell r="B101">
            <v>11.475533352302881</v>
          </cell>
          <cell r="C101">
            <v>0</v>
          </cell>
          <cell r="X101">
            <v>6.0709508374761034</v>
          </cell>
        </row>
        <row r="102">
          <cell r="A102">
            <v>36707</v>
          </cell>
          <cell r="B102">
            <v>12.442693987447637</v>
          </cell>
          <cell r="C102">
            <v>0</v>
          </cell>
          <cell r="X102">
            <v>5.8762845663780716</v>
          </cell>
        </row>
        <row r="103">
          <cell r="A103">
            <v>36738</v>
          </cell>
          <cell r="B103">
            <v>12.625536716745263</v>
          </cell>
          <cell r="C103">
            <v>0</v>
          </cell>
          <cell r="X103">
            <v>7.0460371255463308</v>
          </cell>
        </row>
        <row r="104">
          <cell r="A104">
            <v>36769</v>
          </cell>
          <cell r="B104">
            <v>12.434018255304117</v>
          </cell>
          <cell r="C104">
            <v>0</v>
          </cell>
          <cell r="X104">
            <v>5.712548205642296</v>
          </cell>
        </row>
        <row r="105">
          <cell r="A105">
            <v>36799</v>
          </cell>
          <cell r="B105">
            <v>11.65476200420145</v>
          </cell>
          <cell r="C105">
            <v>0</v>
          </cell>
          <cell r="D105" t="e">
            <v>#N/A</v>
          </cell>
          <cell r="E105">
            <v>8</v>
          </cell>
          <cell r="F105" t="e">
            <v>#N/A</v>
          </cell>
          <cell r="X105">
            <v>5.7088538544866694</v>
          </cell>
        </row>
        <row r="106">
          <cell r="A106">
            <v>36830</v>
          </cell>
          <cell r="B106">
            <v>11.636112880833831</v>
          </cell>
          <cell r="C106">
            <v>0</v>
          </cell>
          <cell r="D106" t="e">
            <v>#N/A</v>
          </cell>
          <cell r="E106">
            <v>8</v>
          </cell>
          <cell r="F106" t="e">
            <v>#N/A</v>
          </cell>
          <cell r="X106">
            <v>6.4069749227492334</v>
          </cell>
        </row>
        <row r="107">
          <cell r="A107">
            <v>36860</v>
          </cell>
          <cell r="B107">
            <v>11.932202033262282</v>
          </cell>
          <cell r="C107">
            <v>0</v>
          </cell>
          <cell r="D107">
            <v>0.21</v>
          </cell>
          <cell r="E107">
            <v>8</v>
          </cell>
          <cell r="F107">
            <v>1.68</v>
          </cell>
          <cell r="X107">
            <v>7.2735345159692413</v>
          </cell>
        </row>
        <row r="108">
          <cell r="A108">
            <v>36891</v>
          </cell>
          <cell r="B108">
            <v>11.675922192667185</v>
          </cell>
          <cell r="C108">
            <v>0</v>
          </cell>
          <cell r="D108">
            <v>0.25</v>
          </cell>
          <cell r="E108">
            <v>8</v>
          </cell>
          <cell r="F108">
            <v>2</v>
          </cell>
          <cell r="X108">
            <v>7.2971035149032852</v>
          </cell>
        </row>
        <row r="109">
          <cell r="A109">
            <v>36922</v>
          </cell>
          <cell r="B109">
            <v>12.464176455066086</v>
          </cell>
          <cell r="C109">
            <v>0</v>
          </cell>
          <cell r="D109">
            <v>0.2</v>
          </cell>
          <cell r="E109">
            <v>8</v>
          </cell>
          <cell r="F109">
            <v>1.6</v>
          </cell>
          <cell r="X109">
            <v>7.7374366875873806</v>
          </cell>
        </row>
        <row r="110">
          <cell r="A110">
            <v>36950</v>
          </cell>
          <cell r="B110">
            <v>12.059675139356425</v>
          </cell>
          <cell r="C110">
            <v>0</v>
          </cell>
          <cell r="D110">
            <v>0.16</v>
          </cell>
          <cell r="E110">
            <v>8</v>
          </cell>
          <cell r="F110">
            <v>1.28</v>
          </cell>
          <cell r="X110">
            <v>6.9511292487446772</v>
          </cell>
        </row>
        <row r="111">
          <cell r="A111">
            <v>36981</v>
          </cell>
          <cell r="B111">
            <v>11.477665664684608</v>
          </cell>
          <cell r="C111">
            <v>0</v>
          </cell>
          <cell r="D111">
            <v>0.14000000000000001</v>
          </cell>
          <cell r="E111">
            <v>8</v>
          </cell>
          <cell r="F111">
            <v>1.1200000000000001</v>
          </cell>
          <cell r="X111">
            <v>6.0522377151453819</v>
          </cell>
        </row>
        <row r="112">
          <cell r="A112">
            <v>37011</v>
          </cell>
          <cell r="B112">
            <v>12.093263673178377</v>
          </cell>
          <cell r="C112">
            <v>0</v>
          </cell>
          <cell r="D112">
            <v>0.14000000000000001</v>
          </cell>
          <cell r="E112">
            <v>8</v>
          </cell>
          <cell r="F112">
            <v>1.1200000000000001</v>
          </cell>
          <cell r="X112">
            <v>6.9979019346913134</v>
          </cell>
        </row>
        <row r="113">
          <cell r="A113">
            <v>37042</v>
          </cell>
          <cell r="B113">
            <v>11.983160063764355</v>
          </cell>
          <cell r="C113">
            <v>0</v>
          </cell>
          <cell r="D113">
            <v>0.11</v>
          </cell>
          <cell r="E113">
            <v>8</v>
          </cell>
          <cell r="F113">
            <v>0.88</v>
          </cell>
          <cell r="X113">
            <v>7.7209937485342373</v>
          </cell>
        </row>
        <row r="114">
          <cell r="A114">
            <v>37072</v>
          </cell>
          <cell r="B114">
            <v>12.094932271304065</v>
          </cell>
          <cell r="C114">
            <v>0</v>
          </cell>
          <cell r="D114">
            <v>0.105</v>
          </cell>
          <cell r="E114">
            <v>8</v>
          </cell>
          <cell r="F114">
            <v>0.84</v>
          </cell>
          <cell r="X114">
            <v>7.028514985139604</v>
          </cell>
        </row>
        <row r="115">
          <cell r="A115">
            <v>37103</v>
          </cell>
          <cell r="B115">
            <v>12.045645717307796</v>
          </cell>
          <cell r="C115">
            <v>0</v>
          </cell>
          <cell r="D115">
            <v>0.11</v>
          </cell>
          <cell r="E115">
            <v>8</v>
          </cell>
          <cell r="F115">
            <v>0.88</v>
          </cell>
          <cell r="X115">
            <v>7.5957745909187393</v>
          </cell>
        </row>
        <row r="116">
          <cell r="A116">
            <v>37134</v>
          </cell>
          <cell r="B116">
            <v>12.307543765476783</v>
          </cell>
          <cell r="C116">
            <v>0</v>
          </cell>
          <cell r="D116">
            <v>0.12</v>
          </cell>
          <cell r="E116">
            <v>8</v>
          </cell>
          <cell r="F116">
            <v>0.96</v>
          </cell>
          <cell r="X116">
            <v>8.0366397724701208</v>
          </cell>
        </row>
        <row r="117">
          <cell r="A117">
            <v>37164</v>
          </cell>
          <cell r="B117">
            <v>11.005478583060242</v>
          </cell>
          <cell r="C117">
            <v>0</v>
          </cell>
          <cell r="D117">
            <v>0.13</v>
          </cell>
          <cell r="E117">
            <v>8</v>
          </cell>
          <cell r="F117">
            <v>1.04</v>
          </cell>
          <cell r="X117">
            <v>6.9742967081227079</v>
          </cell>
        </row>
        <row r="118">
          <cell r="A118">
            <v>37195</v>
          </cell>
          <cell r="B118">
            <v>11.91753300208506</v>
          </cell>
          <cell r="C118">
            <v>0</v>
          </cell>
          <cell r="D118">
            <v>0.1</v>
          </cell>
          <cell r="E118">
            <v>8</v>
          </cell>
          <cell r="F118">
            <v>0.8</v>
          </cell>
          <cell r="X118">
            <v>7.8813594081294971</v>
          </cell>
        </row>
        <row r="119">
          <cell r="A119">
            <v>37225</v>
          </cell>
          <cell r="B119">
            <v>12.306863453904954</v>
          </cell>
          <cell r="C119">
            <v>0</v>
          </cell>
          <cell r="D119">
            <v>9.4E-2</v>
          </cell>
          <cell r="E119">
            <v>8</v>
          </cell>
          <cell r="F119">
            <v>0.752</v>
          </cell>
          <cell r="X119">
            <v>8.4884144429669242</v>
          </cell>
        </row>
        <row r="120">
          <cell r="A120">
            <v>37256</v>
          </cell>
          <cell r="B120">
            <v>12.327203511612641</v>
          </cell>
          <cell r="C120">
            <v>0</v>
          </cell>
          <cell r="D120">
            <v>0.1</v>
          </cell>
          <cell r="E120">
            <v>8</v>
          </cell>
          <cell r="F120">
            <v>0.8</v>
          </cell>
          <cell r="X120">
            <v>8.6944206064553491</v>
          </cell>
          <cell r="AF120">
            <v>-0.49892948856847907</v>
          </cell>
          <cell r="AG120">
            <v>-0.14340213872342417</v>
          </cell>
        </row>
        <row r="121">
          <cell r="A121">
            <v>37287</v>
          </cell>
          <cell r="B121">
            <v>12.546261924697339</v>
          </cell>
          <cell r="C121">
            <v>0</v>
          </cell>
          <cell r="D121">
            <v>0.11</v>
          </cell>
          <cell r="E121">
            <v>8</v>
          </cell>
          <cell r="F121">
            <v>0.88</v>
          </cell>
          <cell r="X121">
            <v>9.6694225773262321</v>
          </cell>
          <cell r="AF121">
            <v>-0.57771631213394103</v>
          </cell>
          <cell r="AG121">
            <v>-0.14340213872342417</v>
          </cell>
        </row>
        <row r="122">
          <cell r="A122">
            <v>37315</v>
          </cell>
          <cell r="B122">
            <v>12.215531992559496</v>
          </cell>
          <cell r="C122">
            <v>0</v>
          </cell>
          <cell r="D122">
            <v>0.16500000000000001</v>
          </cell>
          <cell r="E122">
            <v>8</v>
          </cell>
          <cell r="F122">
            <v>1.32</v>
          </cell>
          <cell r="X122">
            <v>10.051710389155661</v>
          </cell>
          <cell r="AF122">
            <v>-0.72231063185195954</v>
          </cell>
          <cell r="AG122">
            <v>-0.14340213872342417</v>
          </cell>
        </row>
        <row r="123">
          <cell r="A123">
            <v>37346</v>
          </cell>
          <cell r="B123">
            <v>12.511909249298427</v>
          </cell>
          <cell r="C123">
            <v>0</v>
          </cell>
          <cell r="D123">
            <v>0.14000000000000001</v>
          </cell>
          <cell r="E123">
            <v>8</v>
          </cell>
          <cell r="F123">
            <v>1.1200000000000001</v>
          </cell>
          <cell r="X123">
            <v>10.743612995766879</v>
          </cell>
          <cell r="AF123">
            <v>-0.74786707136116459</v>
          </cell>
          <cell r="AG123">
            <v>-0.14340213872342417</v>
          </cell>
        </row>
        <row r="124">
          <cell r="A124">
            <v>37376</v>
          </cell>
          <cell r="B124">
            <v>12.084275713002985</v>
          </cell>
          <cell r="C124">
            <v>0</v>
          </cell>
          <cell r="D124">
            <v>0.14000000000000001</v>
          </cell>
          <cell r="E124">
            <v>8</v>
          </cell>
          <cell r="F124">
            <v>1.1200000000000001</v>
          </cell>
          <cell r="X124">
            <v>10.613819371483578</v>
          </cell>
          <cell r="AF124">
            <v>-0.70380872444894416</v>
          </cell>
          <cell r="AG124">
            <v>-0.14340213872342417</v>
          </cell>
        </row>
        <row r="125">
          <cell r="A125">
            <v>37407</v>
          </cell>
          <cell r="B125">
            <v>12.177668937561137</v>
          </cell>
          <cell r="C125">
            <v>0</v>
          </cell>
          <cell r="D125">
            <v>0.115</v>
          </cell>
          <cell r="E125">
            <v>8</v>
          </cell>
          <cell r="F125">
            <v>0.92</v>
          </cell>
          <cell r="X125">
            <v>10.546062771660857</v>
          </cell>
          <cell r="AF125">
            <v>-0.74476672028379332</v>
          </cell>
          <cell r="AG125">
            <v>-0.14340213872342417</v>
          </cell>
        </row>
        <row r="126">
          <cell r="A126">
            <v>37437</v>
          </cell>
          <cell r="B126">
            <v>11.397696587246426</v>
          </cell>
          <cell r="C126">
            <v>0</v>
          </cell>
          <cell r="D126">
            <v>0.115</v>
          </cell>
          <cell r="E126">
            <v>8</v>
          </cell>
          <cell r="F126">
            <v>0.92</v>
          </cell>
          <cell r="X126">
            <v>9.9279805876352611</v>
          </cell>
          <cell r="AF126">
            <v>-0.78513380864820048</v>
          </cell>
          <cell r="AG126">
            <v>-0.14340213872342417</v>
          </cell>
        </row>
        <row r="127">
          <cell r="A127">
            <v>37468</v>
          </cell>
          <cell r="B127">
            <v>11.154143676493494</v>
          </cell>
          <cell r="C127">
            <v>0</v>
          </cell>
          <cell r="D127">
            <v>0.12</v>
          </cell>
          <cell r="E127">
            <v>8</v>
          </cell>
          <cell r="F127">
            <v>0.96</v>
          </cell>
          <cell r="X127">
            <v>10.025722018687746</v>
          </cell>
          <cell r="AF127">
            <v>-0.78063228933892448</v>
          </cell>
          <cell r="AG127">
            <v>-0.14340213872342417</v>
          </cell>
        </row>
        <row r="128">
          <cell r="A128">
            <v>37499</v>
          </cell>
          <cell r="B128">
            <v>11.538561009963219</v>
          </cell>
          <cell r="C128">
            <v>0</v>
          </cell>
          <cell r="D128">
            <v>0.11</v>
          </cell>
          <cell r="E128">
            <v>8</v>
          </cell>
          <cell r="F128">
            <v>0.88</v>
          </cell>
          <cell r="X128">
            <v>10.220609399499796</v>
          </cell>
          <cell r="AF128">
            <v>-0.69101442296155358</v>
          </cell>
          <cell r="AG128">
            <v>-0.14340213872342417</v>
          </cell>
        </row>
        <row r="129">
          <cell r="A129">
            <v>37529</v>
          </cell>
          <cell r="B129">
            <v>11.020377822400057</v>
          </cell>
          <cell r="C129">
            <v>0</v>
          </cell>
          <cell r="D129">
            <v>0.12</v>
          </cell>
          <cell r="E129">
            <v>8</v>
          </cell>
          <cell r="F129">
            <v>0.96</v>
          </cell>
          <cell r="X129">
            <v>9.9876598278748006</v>
          </cell>
          <cell r="AF129">
            <v>-0.7691117306225046</v>
          </cell>
          <cell r="AG129">
            <v>-0.14340213872342417</v>
          </cell>
        </row>
        <row r="130">
          <cell r="A130">
            <v>37560</v>
          </cell>
          <cell r="B130">
            <v>11.094324307834</v>
          </cell>
          <cell r="C130">
            <v>0</v>
          </cell>
          <cell r="D130">
            <v>0.105</v>
          </cell>
          <cell r="E130">
            <v>8</v>
          </cell>
          <cell r="F130">
            <v>0.84</v>
          </cell>
          <cell r="X130">
            <v>9.702272594335609</v>
          </cell>
          <cell r="AF130">
            <v>-0.77084873805853882</v>
          </cell>
          <cell r="AG130">
            <v>-0.14340213872342417</v>
          </cell>
        </row>
        <row r="131">
          <cell r="A131">
            <v>37590</v>
          </cell>
          <cell r="B131">
            <v>10.894129597079864</v>
          </cell>
          <cell r="C131">
            <v>0</v>
          </cell>
          <cell r="D131">
            <v>0.1</v>
          </cell>
          <cell r="E131">
            <v>8</v>
          </cell>
          <cell r="F131">
            <v>0.8</v>
          </cell>
          <cell r="X131">
            <v>9.2101346704045302</v>
          </cell>
          <cell r="AF131">
            <v>-0.81346611304988325</v>
          </cell>
          <cell r="AG131">
            <v>-0.14340213872342417</v>
          </cell>
        </row>
        <row r="132">
          <cell r="A132">
            <v>37621</v>
          </cell>
          <cell r="B132">
            <v>10.945212702422143</v>
          </cell>
          <cell r="C132">
            <v>0</v>
          </cell>
          <cell r="D132">
            <v>7.4999999999999997E-2</v>
          </cell>
          <cell r="E132">
            <v>8</v>
          </cell>
          <cell r="F132">
            <v>0.60000000000000009</v>
          </cell>
          <cell r="X132">
            <v>9.5945318477777413</v>
          </cell>
          <cell r="AF132">
            <v>-0.77739614590078776</v>
          </cell>
          <cell r="AG132">
            <v>-0.14340213872342417</v>
          </cell>
        </row>
        <row r="133">
          <cell r="A133">
            <v>37652</v>
          </cell>
          <cell r="B133">
            <v>10.920300583117898</v>
          </cell>
          <cell r="C133">
            <v>0</v>
          </cell>
          <cell r="D133">
            <v>5.1999999999999998E-2</v>
          </cell>
          <cell r="E133">
            <v>8</v>
          </cell>
          <cell r="F133">
            <v>0.41600000000000004</v>
          </cell>
          <cell r="X133">
            <v>9.2192739976323548</v>
          </cell>
          <cell r="AF133">
            <v>-2.2709768385339304</v>
          </cell>
          <cell r="AG133">
            <v>-0.14340213872342417</v>
          </cell>
        </row>
        <row r="134">
          <cell r="A134">
            <v>37680</v>
          </cell>
          <cell r="B134">
            <v>10.391852737891806</v>
          </cell>
          <cell r="C134">
            <v>0</v>
          </cell>
          <cell r="D134">
            <v>0.05</v>
          </cell>
          <cell r="E134">
            <v>8</v>
          </cell>
          <cell r="F134">
            <v>0.4</v>
          </cell>
          <cell r="X134">
            <v>9.0189082135113203</v>
          </cell>
          <cell r="AF134">
            <v>-2.1419399846255347</v>
          </cell>
          <cell r="AG134">
            <v>-0.14340213872342417</v>
          </cell>
        </row>
        <row r="135">
          <cell r="A135">
            <v>37711</v>
          </cell>
          <cell r="B135">
            <v>10.586853601460367</v>
          </cell>
          <cell r="C135">
            <v>0</v>
          </cell>
          <cell r="D135">
            <v>0.05</v>
          </cell>
          <cell r="E135">
            <v>8</v>
          </cell>
          <cell r="F135">
            <v>0.4</v>
          </cell>
          <cell r="X135">
            <v>9.4842939531067607</v>
          </cell>
          <cell r="AF135">
            <v>-2.0710969727352739</v>
          </cell>
          <cell r="AG135">
            <v>-0.14340213872342417</v>
          </cell>
        </row>
        <row r="136">
          <cell r="A136">
            <v>37741</v>
          </cell>
          <cell r="B136">
            <v>11.03316264150695</v>
          </cell>
          <cell r="C136">
            <v>0</v>
          </cell>
          <cell r="D136">
            <v>0.04</v>
          </cell>
          <cell r="E136">
            <v>8</v>
          </cell>
          <cell r="F136">
            <v>0.32</v>
          </cell>
          <cell r="X136">
            <v>9.1925854353439043</v>
          </cell>
          <cell r="AF136">
            <v>-2.1648620743492204</v>
          </cell>
          <cell r="AG136">
            <v>-0.14340213872342417</v>
          </cell>
        </row>
        <row r="137">
          <cell r="A137">
            <v>37772</v>
          </cell>
          <cell r="B137">
            <v>11.425935559066977</v>
          </cell>
          <cell r="C137">
            <v>0</v>
          </cell>
          <cell r="D137">
            <v>2.3E-2</v>
          </cell>
          <cell r="E137">
            <v>8</v>
          </cell>
          <cell r="F137">
            <v>0.184</v>
          </cell>
          <cell r="X137">
            <v>9.3807478518964427</v>
          </cell>
          <cell r="AF137">
            <v>-6.0517466085635201</v>
          </cell>
          <cell r="AG137">
            <v>-0.14340213872342417</v>
          </cell>
        </row>
        <row r="138">
          <cell r="A138">
            <v>37802</v>
          </cell>
          <cell r="B138">
            <v>11.679947653762756</v>
          </cell>
          <cell r="C138">
            <v>0</v>
          </cell>
          <cell r="D138">
            <v>2.8000000000000001E-2</v>
          </cell>
          <cell r="E138">
            <v>8</v>
          </cell>
          <cell r="F138">
            <v>0.224</v>
          </cell>
          <cell r="X138">
            <v>9.3531434716924124</v>
          </cell>
          <cell r="AF138">
            <v>0.89580100149224506</v>
          </cell>
          <cell r="AG138">
            <v>-0.14340213872342417</v>
          </cell>
        </row>
        <row r="139">
          <cell r="A139">
            <v>37833</v>
          </cell>
          <cell r="B139">
            <v>12.542913942090598</v>
          </cell>
          <cell r="C139">
            <v>0</v>
          </cell>
          <cell r="D139">
            <v>2.4E-2</v>
          </cell>
          <cell r="E139">
            <v>8</v>
          </cell>
          <cell r="F139">
            <v>0.192</v>
          </cell>
          <cell r="X139">
            <v>10.2108543247887</v>
          </cell>
          <cell r="AF139">
            <v>1.0536411821770124</v>
          </cell>
          <cell r="AG139">
            <v>-0.14340213872342417</v>
          </cell>
        </row>
        <row r="140">
          <cell r="A140">
            <v>37864</v>
          </cell>
          <cell r="B140">
            <v>12.99785996567546</v>
          </cell>
          <cell r="C140">
            <v>0</v>
          </cell>
          <cell r="D140">
            <v>2.1999999999999999E-2</v>
          </cell>
          <cell r="E140">
            <v>8</v>
          </cell>
          <cell r="F140">
            <v>0.17599999999999999</v>
          </cell>
          <cell r="X140">
            <v>10.99952301058469</v>
          </cell>
          <cell r="AF140">
            <v>0.98456153396875723</v>
          </cell>
          <cell r="AG140">
            <v>-0.14340213872342417</v>
          </cell>
        </row>
        <row r="141">
          <cell r="A141">
            <v>37894</v>
          </cell>
          <cell r="B141">
            <v>12.66515748931638</v>
          </cell>
          <cell r="C141">
            <v>0</v>
          </cell>
          <cell r="D141">
            <v>0.02</v>
          </cell>
          <cell r="E141">
            <v>8</v>
          </cell>
          <cell r="F141">
            <v>0.16</v>
          </cell>
          <cell r="X141">
            <v>11.620704675334094</v>
          </cell>
          <cell r="AF141">
            <v>1.2148973768879259</v>
          </cell>
          <cell r="AG141">
            <v>-0.14340213872342417</v>
          </cell>
        </row>
        <row r="142">
          <cell r="A142">
            <v>37925</v>
          </cell>
          <cell r="B142">
            <v>12.731014896034836</v>
          </cell>
          <cell r="C142">
            <v>0</v>
          </cell>
          <cell r="D142">
            <v>1.4999999999999999E-2</v>
          </cell>
          <cell r="E142">
            <v>8</v>
          </cell>
          <cell r="F142">
            <v>0.12</v>
          </cell>
          <cell r="X142">
            <v>12.318716430235483</v>
          </cell>
          <cell r="AF142">
            <v>1.4270191651329567</v>
          </cell>
          <cell r="AG142">
            <v>-0.14340213872342417</v>
          </cell>
        </row>
        <row r="143">
          <cell r="A143">
            <v>37955</v>
          </cell>
          <cell r="B143">
            <v>12.467659376573215</v>
          </cell>
          <cell r="C143">
            <v>0</v>
          </cell>
          <cell r="D143">
            <v>1.7999999999999999E-2</v>
          </cell>
          <cell r="E143">
            <v>8</v>
          </cell>
          <cell r="F143">
            <v>0.14400000000000002</v>
          </cell>
          <cell r="X143">
            <v>12.241089778542985</v>
          </cell>
          <cell r="AF143">
            <v>2.499389536853545</v>
          </cell>
          <cell r="AG143">
            <v>-0.14340213872342417</v>
          </cell>
        </row>
        <row r="144">
          <cell r="A144">
            <v>37986</v>
          </cell>
          <cell r="B144">
            <v>12.727229094357716</v>
          </cell>
          <cell r="C144">
            <v>0</v>
          </cell>
          <cell r="D144">
            <v>1.7000000000000001E-2</v>
          </cell>
          <cell r="E144">
            <v>8</v>
          </cell>
          <cell r="F144">
            <v>0.13600000000000001</v>
          </cell>
          <cell r="X144">
            <v>12.344504504538161</v>
          </cell>
          <cell r="AF144">
            <v>1.7241670944825742</v>
          </cell>
          <cell r="AG144">
            <v>-0.14340213872342417</v>
          </cell>
        </row>
        <row r="145">
          <cell r="A145">
            <v>38017</v>
          </cell>
          <cell r="B145">
            <v>12.731781553638294</v>
          </cell>
          <cell r="C145">
            <v>0</v>
          </cell>
          <cell r="D145">
            <v>1.7999999999999999E-2</v>
          </cell>
          <cell r="E145">
            <v>8</v>
          </cell>
          <cell r="F145">
            <v>0.14400000000000002</v>
          </cell>
          <cell r="X145">
            <v>12.483392977279381</v>
          </cell>
          <cell r="AF145">
            <v>1.5910976550418341</v>
          </cell>
          <cell r="AG145">
            <v>-0.14340213872342417</v>
          </cell>
        </row>
        <row r="146">
          <cell r="A146">
            <v>38046</v>
          </cell>
          <cell r="B146">
            <v>12.855654901253255</v>
          </cell>
          <cell r="C146">
            <v>0</v>
          </cell>
          <cell r="D146">
            <v>1.4E-2</v>
          </cell>
          <cell r="E146">
            <v>8</v>
          </cell>
          <cell r="F146">
            <v>0.112</v>
          </cell>
          <cell r="X146">
            <v>11.670206569837354</v>
          </cell>
          <cell r="AF146">
            <v>1.0955844497018812</v>
          </cell>
          <cell r="AG146">
            <v>-0.14340213872342417</v>
          </cell>
        </row>
        <row r="147">
          <cell r="A147">
            <v>38077</v>
          </cell>
          <cell r="B147">
            <v>12.84896900274363</v>
          </cell>
          <cell r="C147">
            <v>0</v>
          </cell>
          <cell r="D147">
            <v>1.2999999999999999E-2</v>
          </cell>
          <cell r="E147">
            <v>8</v>
          </cell>
          <cell r="F147">
            <v>0.10400000000000001</v>
          </cell>
          <cell r="X147">
            <v>11.54342900846834</v>
          </cell>
          <cell r="AF147">
            <v>0.78215271489017479</v>
          </cell>
          <cell r="AG147">
            <v>-0.14340213872342417</v>
          </cell>
        </row>
        <row r="148">
          <cell r="A148">
            <v>38107</v>
          </cell>
          <cell r="B148">
            <v>12.663965541079726</v>
          </cell>
          <cell r="C148">
            <v>0</v>
          </cell>
          <cell r="D148">
            <v>1.9E-2</v>
          </cell>
          <cell r="E148">
            <v>8</v>
          </cell>
          <cell r="F148">
            <v>0.152</v>
          </cell>
          <cell r="X148">
            <v>11.8094173632973</v>
          </cell>
          <cell r="AF148">
            <v>0.79762590271353573</v>
          </cell>
          <cell r="AG148">
            <v>-0.14340213872342417</v>
          </cell>
        </row>
        <row r="149">
          <cell r="A149">
            <v>38138</v>
          </cell>
          <cell r="B149">
            <v>12.771931605835071</v>
          </cell>
          <cell r="C149">
            <v>0</v>
          </cell>
          <cell r="D149">
            <v>1.6E-2</v>
          </cell>
          <cell r="E149">
            <v>8</v>
          </cell>
          <cell r="F149">
            <v>0.128</v>
          </cell>
          <cell r="X149">
            <v>11.633587133127694</v>
          </cell>
          <cell r="AF149">
            <v>0.66749467965008957</v>
          </cell>
          <cell r="AG149">
            <v>-0.14340213872342417</v>
          </cell>
        </row>
        <row r="150">
          <cell r="A150">
            <v>38168</v>
          </cell>
          <cell r="B150">
            <v>12.693194655060372</v>
          </cell>
          <cell r="C150">
            <v>0</v>
          </cell>
          <cell r="D150">
            <v>1.4E-2</v>
          </cell>
          <cell r="E150">
            <v>8</v>
          </cell>
          <cell r="F150">
            <v>0.112</v>
          </cell>
          <cell r="X150">
            <v>11.456615095563004</v>
          </cell>
          <cell r="AF150">
            <v>0.60026688215248636</v>
          </cell>
          <cell r="AG150">
            <v>-0.14340213872342417</v>
          </cell>
        </row>
        <row r="151">
          <cell r="A151">
            <v>38199</v>
          </cell>
          <cell r="B151">
            <v>13.191910713502843</v>
          </cell>
          <cell r="C151">
            <v>0</v>
          </cell>
          <cell r="D151">
            <v>1.2E-2</v>
          </cell>
          <cell r="E151">
            <v>8</v>
          </cell>
          <cell r="F151">
            <v>9.6000000000000002E-2</v>
          </cell>
          <cell r="X151">
            <v>12.155207358328918</v>
          </cell>
          <cell r="AG151">
            <v>-0.14340213872342417</v>
          </cell>
        </row>
        <row r="152">
          <cell r="A152">
            <v>38230</v>
          </cell>
          <cell r="B152">
            <v>13.270984997889535</v>
          </cell>
          <cell r="C152">
            <v>0</v>
          </cell>
          <cell r="D152">
            <v>8.9999999999999993E-3</v>
          </cell>
          <cell r="E152">
            <v>8</v>
          </cell>
          <cell r="F152">
            <v>7.2000000000000008E-2</v>
          </cell>
          <cell r="X152">
            <v>12.901221267243173</v>
          </cell>
          <cell r="AG152">
            <v>-0.14340213872342417</v>
          </cell>
        </row>
        <row r="153">
          <cell r="A153">
            <v>38260</v>
          </cell>
          <cell r="B153">
            <v>13.408528485661147</v>
          </cell>
          <cell r="C153">
            <v>0</v>
          </cell>
          <cell r="D153">
            <v>8.0000000000000002E-3</v>
          </cell>
          <cell r="E153">
            <v>8</v>
          </cell>
          <cell r="F153">
            <v>6.4000000000000001E-2</v>
          </cell>
          <cell r="X153">
            <v>13.014185222532333</v>
          </cell>
          <cell r="AG153">
            <v>-0.14340213872342417</v>
          </cell>
        </row>
        <row r="154">
          <cell r="A154">
            <v>38291</v>
          </cell>
          <cell r="B154">
            <v>14.142922336043279</v>
          </cell>
          <cell r="C154">
            <v>0</v>
          </cell>
          <cell r="D154">
            <v>0.01</v>
          </cell>
          <cell r="E154">
            <v>8</v>
          </cell>
          <cell r="F154">
            <v>0.08</v>
          </cell>
          <cell r="X154">
            <v>14.15202776056281</v>
          </cell>
          <cell r="AG154">
            <v>-0.14340213872342417</v>
          </cell>
        </row>
        <row r="155">
          <cell r="A155">
            <v>38321</v>
          </cell>
          <cell r="B155">
            <v>14.324111055473226</v>
          </cell>
          <cell r="C155">
            <v>0</v>
          </cell>
          <cell r="D155">
            <v>1.0999999999999999E-2</v>
          </cell>
          <cell r="E155">
            <v>8</v>
          </cell>
          <cell r="F155">
            <v>8.7999999999999995E-2</v>
          </cell>
          <cell r="X155">
            <v>14.184154410226046</v>
          </cell>
          <cell r="AG155">
            <v>-0.14340213872342417</v>
          </cell>
        </row>
        <row r="156">
          <cell r="A156">
            <v>38352</v>
          </cell>
          <cell r="B156">
            <v>14.5690453434046</v>
          </cell>
          <cell r="C156">
            <v>0</v>
          </cell>
          <cell r="D156">
            <v>0.01</v>
          </cell>
          <cell r="E156">
            <v>8</v>
          </cell>
          <cell r="F156">
            <v>0.08</v>
          </cell>
          <cell r="X156">
            <v>13.881979232990078</v>
          </cell>
          <cell r="AG156">
            <v>-0.14340213872342417</v>
          </cell>
        </row>
        <row r="157">
          <cell r="A157">
            <v>38383</v>
          </cell>
          <cell r="B157">
            <v>15.27426509925559</v>
          </cell>
          <cell r="C157">
            <v>0</v>
          </cell>
          <cell r="D157">
            <v>0.03</v>
          </cell>
          <cell r="E157">
            <v>8</v>
          </cell>
          <cell r="F157">
            <v>0.24</v>
          </cell>
          <cell r="X157">
            <v>14.453699737918884</v>
          </cell>
          <cell r="AG157">
            <v>-0.14340213872342417</v>
          </cell>
        </row>
        <row r="158">
          <cell r="A158">
            <v>38411</v>
          </cell>
          <cell r="B158">
            <v>14.72223001217781</v>
          </cell>
          <cell r="C158">
            <v>0</v>
          </cell>
          <cell r="D158">
            <v>2.9000000000000001E-2</v>
          </cell>
          <cell r="E158">
            <v>8</v>
          </cell>
          <cell r="F158">
            <v>0.23200000000000001</v>
          </cell>
          <cell r="X158">
            <v>14.456787872344441</v>
          </cell>
          <cell r="AG158">
            <v>-0.14340213872342417</v>
          </cell>
        </row>
        <row r="159">
          <cell r="A159">
            <v>38442</v>
          </cell>
          <cell r="B159">
            <v>14.420766923632181</v>
          </cell>
          <cell r="C159">
            <v>0</v>
          </cell>
          <cell r="D159">
            <v>2.9000000000000001E-2</v>
          </cell>
          <cell r="E159">
            <v>8</v>
          </cell>
          <cell r="F159">
            <v>0.23200000000000001</v>
          </cell>
          <cell r="X159">
            <v>14.437434708806164</v>
          </cell>
          <cell r="AG159">
            <v>-0.14340213872342417</v>
          </cell>
        </row>
        <row r="160">
          <cell r="A160">
            <v>38472</v>
          </cell>
          <cell r="B160">
            <v>13.433498862599325</v>
          </cell>
          <cell r="C160">
            <v>0</v>
          </cell>
          <cell r="D160">
            <v>2.7E-2</v>
          </cell>
          <cell r="E160">
            <v>8</v>
          </cell>
          <cell r="F160">
            <v>0.216</v>
          </cell>
          <cell r="X160">
            <v>13.321454214645351</v>
          </cell>
          <cell r="AG160">
            <v>-0.14340213872342417</v>
          </cell>
        </row>
        <row r="161">
          <cell r="A161">
            <v>38503</v>
          </cell>
          <cell r="B161">
            <v>13.651971946838563</v>
          </cell>
          <cell r="C161">
            <v>0</v>
          </cell>
          <cell r="D161">
            <v>2.1000000000000001E-2</v>
          </cell>
          <cell r="E161">
            <v>8</v>
          </cell>
          <cell r="F161">
            <v>0.16800000000000001</v>
          </cell>
          <cell r="X161">
            <v>13.783993555822713</v>
          </cell>
          <cell r="AG161">
            <v>-0.14340213872342417</v>
          </cell>
        </row>
        <row r="162">
          <cell r="A162">
            <v>38533</v>
          </cell>
          <cell r="B162">
            <v>13.787040407644017</v>
          </cell>
          <cell r="C162">
            <v>0</v>
          </cell>
          <cell r="D162">
            <v>2.5000000000000001E-2</v>
          </cell>
          <cell r="E162">
            <v>8</v>
          </cell>
          <cell r="F162">
            <v>0.2</v>
          </cell>
          <cell r="X162">
            <v>14.92730689495793</v>
          </cell>
          <cell r="AG162">
            <v>-0.14340213872342417</v>
          </cell>
        </row>
        <row r="163">
          <cell r="A163">
            <v>38564</v>
          </cell>
          <cell r="B163">
            <v>14.040157035712596</v>
          </cell>
          <cell r="C163">
            <v>0</v>
          </cell>
          <cell r="D163">
            <v>3.5999999999999997E-2</v>
          </cell>
          <cell r="E163">
            <v>8</v>
          </cell>
          <cell r="F163">
            <v>0.28800000000000003</v>
          </cell>
          <cell r="X163">
            <v>14.88373503639485</v>
          </cell>
          <cell r="AG163">
            <v>-0.14340213872342417</v>
          </cell>
        </row>
        <row r="164">
          <cell r="A164">
            <v>38595</v>
          </cell>
          <cell r="B164">
            <v>14.422936277363666</v>
          </cell>
          <cell r="C164">
            <v>0</v>
          </cell>
          <cell r="D164">
            <v>4.3999999999999997E-2</v>
          </cell>
          <cell r="E164">
            <v>8</v>
          </cell>
          <cell r="F164">
            <v>0.35199999999999998</v>
          </cell>
          <cell r="X164">
            <v>15.781184822127377</v>
          </cell>
          <cell r="AG164">
            <v>-0.14340213872342417</v>
          </cell>
        </row>
        <row r="165">
          <cell r="A165">
            <v>38625</v>
          </cell>
          <cell r="B165">
            <v>14.33793073245258</v>
          </cell>
          <cell r="C165">
            <v>0</v>
          </cell>
          <cell r="D165">
            <v>5.8000000000000003E-2</v>
          </cell>
          <cell r="E165">
            <v>8</v>
          </cell>
          <cell r="F165">
            <v>0.46400000000000002</v>
          </cell>
          <cell r="X165">
            <v>16.429385808860822</v>
          </cell>
          <cell r="AG165">
            <v>-0.14340213872342417</v>
          </cell>
        </row>
        <row r="166">
          <cell r="A166">
            <v>38656</v>
          </cell>
          <cell r="B166">
            <v>13.748023773001668</v>
          </cell>
          <cell r="C166">
            <v>0</v>
          </cell>
          <cell r="D166">
            <v>7.6999999999999999E-2</v>
          </cell>
          <cell r="E166">
            <v>8</v>
          </cell>
          <cell r="F166">
            <v>0.61599999999999999</v>
          </cell>
          <cell r="X166">
            <v>15.387824422635365</v>
          </cell>
          <cell r="AG166">
            <v>-0.14340213872342417</v>
          </cell>
        </row>
        <row r="167">
          <cell r="A167">
            <v>38686</v>
          </cell>
          <cell r="B167">
            <v>14.436101042421948</v>
          </cell>
          <cell r="C167">
            <v>0</v>
          </cell>
          <cell r="D167">
            <v>8.5000000000000006E-2</v>
          </cell>
          <cell r="E167">
            <v>8</v>
          </cell>
          <cell r="F167">
            <v>0.68</v>
          </cell>
          <cell r="X167">
            <v>16.207355747739584</v>
          </cell>
          <cell r="AG167">
            <v>-0.14340213872342417</v>
          </cell>
        </row>
        <row r="168">
          <cell r="A168">
            <v>38717</v>
          </cell>
          <cell r="B168">
            <v>14.241230714413172</v>
          </cell>
          <cell r="C168">
            <v>0</v>
          </cell>
          <cell r="D168">
            <v>0.13</v>
          </cell>
          <cell r="E168">
            <v>8</v>
          </cell>
          <cell r="F168">
            <v>1.04</v>
          </cell>
          <cell r="X168">
            <v>16.581374582988705</v>
          </cell>
          <cell r="AG168">
            <v>-0.14340213872342417</v>
          </cell>
        </row>
        <row r="169">
          <cell r="A169">
            <v>38748</v>
          </cell>
          <cell r="B169">
            <v>14.357178992640945</v>
          </cell>
          <cell r="C169">
            <v>0</v>
          </cell>
          <cell r="D169">
            <v>0.105</v>
          </cell>
          <cell r="E169">
            <v>8</v>
          </cell>
          <cell r="F169">
            <v>0.84</v>
          </cell>
          <cell r="G169">
            <v>50.293845875000002</v>
          </cell>
          <cell r="H169">
            <v>42.246830535000001</v>
          </cell>
          <cell r="I169" t="e">
            <v>#NAME?</v>
          </cell>
          <cell r="K169" t="e">
            <v>#NAME?</v>
          </cell>
          <cell r="L169">
            <v>1.0999999999999999E-2</v>
          </cell>
          <cell r="M169">
            <v>1.0999999999999999E-2</v>
          </cell>
          <cell r="N169">
            <v>9.545454545454545</v>
          </cell>
          <cell r="O169">
            <v>6.485766775015831</v>
          </cell>
          <cell r="P169">
            <v>9.756133247744927</v>
          </cell>
          <cell r="Q169">
            <v>13.026499720474021</v>
          </cell>
          <cell r="R169">
            <v>16.296866193203115</v>
          </cell>
          <cell r="S169">
            <v>19.56723266593221</v>
          </cell>
          <cell r="U169">
            <v>-0.33514414284677685</v>
          </cell>
          <cell r="V169">
            <v>6.9281499269670616E-2</v>
          </cell>
          <cell r="X169">
            <v>17.57704519766089</v>
          </cell>
          <cell r="Y169">
            <v>-0.45693633724484983</v>
          </cell>
          <cell r="Z169">
            <v>-0.49156593081718136</v>
          </cell>
          <cell r="AA169">
            <v>-0.19528622333379575</v>
          </cell>
          <cell r="AB169">
            <v>0.10099348414958985</v>
          </cell>
          <cell r="AC169">
            <v>0.39727319163297548</v>
          </cell>
          <cell r="AD169">
            <v>0.69355289911636109</v>
          </cell>
          <cell r="AF169">
            <v>-0.17653067331849803</v>
          </cell>
          <cell r="AG169">
            <v>-0.143402198723424</v>
          </cell>
        </row>
        <row r="170">
          <cell r="A170">
            <v>38776</v>
          </cell>
          <cell r="B170">
            <v>14.810234269710241</v>
          </cell>
          <cell r="C170">
            <v>0</v>
          </cell>
          <cell r="D170">
            <v>0.13500000000000001</v>
          </cell>
          <cell r="E170">
            <v>8</v>
          </cell>
          <cell r="F170">
            <v>1.08</v>
          </cell>
          <cell r="G170">
            <v>50.293845875000002</v>
          </cell>
          <cell r="H170">
            <v>54.317353545000003</v>
          </cell>
          <cell r="I170" t="e">
            <v>#NAME?</v>
          </cell>
          <cell r="K170" t="e">
            <v>#NAME?</v>
          </cell>
          <cell r="L170">
            <v>1.0999999999999999E-2</v>
          </cell>
          <cell r="M170">
            <v>1.0999999999999999E-2</v>
          </cell>
          <cell r="N170">
            <v>12.272727272727273</v>
          </cell>
          <cell r="O170">
            <v>6.485766775015831</v>
          </cell>
          <cell r="P170">
            <v>9.756133247744927</v>
          </cell>
          <cell r="Q170">
            <v>13.026499720474021</v>
          </cell>
          <cell r="R170">
            <v>16.296866193203115</v>
          </cell>
          <cell r="S170">
            <v>19.56723266593221</v>
          </cell>
          <cell r="U170">
            <v>-0.1713346967220265</v>
          </cell>
          <cell r="V170">
            <v>6.9281499269670616E-2</v>
          </cell>
          <cell r="X170">
            <v>17.904946318181754</v>
          </cell>
          <cell r="Y170">
            <v>-0.31456218551938286</v>
          </cell>
          <cell r="Z170">
            <v>-0.49156593081718136</v>
          </cell>
          <cell r="AA170">
            <v>-0.19528622333379575</v>
          </cell>
          <cell r="AB170">
            <v>0.10099348414958985</v>
          </cell>
          <cell r="AC170">
            <v>0.39727319163297548</v>
          </cell>
          <cell r="AD170">
            <v>0.69355289911636109</v>
          </cell>
          <cell r="AF170">
            <v>-0.16972851154985003</v>
          </cell>
          <cell r="AG170">
            <v>-0.14340213872342417</v>
          </cell>
        </row>
        <row r="171">
          <cell r="A171">
            <v>38807</v>
          </cell>
          <cell r="B171">
            <v>15.657979467207584</v>
          </cell>
          <cell r="C171">
            <v>0</v>
          </cell>
          <cell r="D171">
            <v>0.12</v>
          </cell>
          <cell r="E171">
            <v>8</v>
          </cell>
          <cell r="F171">
            <v>0.96</v>
          </cell>
          <cell r="G171">
            <v>50.293845875000002</v>
          </cell>
          <cell r="H171">
            <v>48.282092040000002</v>
          </cell>
          <cell r="I171" t="e">
            <v>#NAME?</v>
          </cell>
          <cell r="K171" t="e">
            <v>#NAME?</v>
          </cell>
          <cell r="L171">
            <v>1.2E-2</v>
          </cell>
          <cell r="M171">
            <v>1.2E-2</v>
          </cell>
          <cell r="N171">
            <v>10</v>
          </cell>
          <cell r="O171">
            <v>6.485766775015831</v>
          </cell>
          <cell r="P171">
            <v>9.756133247744927</v>
          </cell>
          <cell r="Q171">
            <v>13.026499720474021</v>
          </cell>
          <cell r="R171">
            <v>16.296866193203115</v>
          </cell>
          <cell r="S171">
            <v>19.56723266593221</v>
          </cell>
          <cell r="U171">
            <v>-0.36134799378534488</v>
          </cell>
          <cell r="V171">
            <v>6.9281499269670616E-2</v>
          </cell>
          <cell r="X171">
            <v>18.268139741453698</v>
          </cell>
          <cell r="Y171">
            <v>-0.45259888847312679</v>
          </cell>
          <cell r="Z171">
            <v>-0.49156593081718136</v>
          </cell>
          <cell r="AA171">
            <v>-0.19528622333379575</v>
          </cell>
          <cell r="AB171">
            <v>0.10099348414958985</v>
          </cell>
          <cell r="AC171">
            <v>0.39727319163297548</v>
          </cell>
          <cell r="AD171">
            <v>0.69355289911636109</v>
          </cell>
          <cell r="AF171">
            <v>-0.16972851154985003</v>
          </cell>
          <cell r="AG171">
            <v>-0.14340213872342417</v>
          </cell>
        </row>
        <row r="172">
          <cell r="A172">
            <v>38837</v>
          </cell>
          <cell r="B172">
            <v>15.578841659679501</v>
          </cell>
          <cell r="C172">
            <v>0</v>
          </cell>
          <cell r="D172">
            <v>0.14000000000000001</v>
          </cell>
          <cell r="E172">
            <v>8</v>
          </cell>
          <cell r="F172">
            <v>1.1200000000000001</v>
          </cell>
          <cell r="G172">
            <v>50.293845875000002</v>
          </cell>
          <cell r="H172">
            <v>56.329107380000011</v>
          </cell>
          <cell r="I172" t="e">
            <v>#NAME?</v>
          </cell>
          <cell r="K172" t="e">
            <v>#NAME?</v>
          </cell>
          <cell r="L172">
            <v>1.2E-2</v>
          </cell>
          <cell r="M172">
            <v>1.2E-2</v>
          </cell>
          <cell r="N172">
            <v>11.666666666666668</v>
          </cell>
          <cell r="O172">
            <v>6.485766775015831</v>
          </cell>
          <cell r="P172">
            <v>9.756133247744927</v>
          </cell>
          <cell r="Q172">
            <v>13.026499720474021</v>
          </cell>
          <cell r="R172">
            <v>16.296866193203115</v>
          </cell>
          <cell r="S172">
            <v>19.56723266593221</v>
          </cell>
          <cell r="U172">
            <v>-0.25112104471400842</v>
          </cell>
          <cell r="V172">
            <v>6.9281499269670616E-2</v>
          </cell>
          <cell r="X172">
            <v>18.241513148719349</v>
          </cell>
          <cell r="Y172">
            <v>-0.36043317396146335</v>
          </cell>
          <cell r="Z172">
            <v>-0.49156593081718136</v>
          </cell>
          <cell r="AA172">
            <v>-0.19528622333379575</v>
          </cell>
          <cell r="AB172">
            <v>0.10099348414958985</v>
          </cell>
          <cell r="AC172">
            <v>0.39727319163297548</v>
          </cell>
          <cell r="AD172">
            <v>0.69355289911636109</v>
          </cell>
          <cell r="AF172">
            <v>-0.16972851154985003</v>
          </cell>
          <cell r="AG172">
            <v>-0.14340213872342417</v>
          </cell>
        </row>
        <row r="173">
          <cell r="A173">
            <v>38868</v>
          </cell>
          <cell r="B173">
            <v>14.71768423424599</v>
          </cell>
          <cell r="C173">
            <v>0</v>
          </cell>
          <cell r="D173">
            <v>0.125</v>
          </cell>
          <cell r="E173">
            <v>8</v>
          </cell>
          <cell r="F173">
            <v>1</v>
          </cell>
          <cell r="G173">
            <v>50.293845875000002</v>
          </cell>
          <cell r="H173">
            <v>50.293845875000002</v>
          </cell>
          <cell r="I173" t="e">
            <v>#NAME?</v>
          </cell>
          <cell r="K173" t="e">
            <v>#NAME?</v>
          </cell>
          <cell r="L173">
            <v>1.2999999999999999E-2</v>
          </cell>
          <cell r="M173">
            <v>1.2999999999999999E-2</v>
          </cell>
          <cell r="N173">
            <v>9.615384615384615</v>
          </cell>
          <cell r="O173">
            <v>6.485766775015831</v>
          </cell>
          <cell r="P173">
            <v>9.756133247744927</v>
          </cell>
          <cell r="Q173">
            <v>13.026499720474021</v>
          </cell>
          <cell r="R173">
            <v>16.296866193203115</v>
          </cell>
          <cell r="S173">
            <v>19.56723266593221</v>
          </cell>
          <cell r="U173">
            <v>-0.34667815518076128</v>
          </cell>
          <cell r="V173">
            <v>6.9281499269670616E-2</v>
          </cell>
          <cell r="X173">
            <v>18.208538998895108</v>
          </cell>
          <cell r="Y173">
            <v>-0.47192992167202019</v>
          </cell>
          <cell r="Z173">
            <v>-0.49156593081718136</v>
          </cell>
          <cell r="AA173">
            <v>-0.19528622333379575</v>
          </cell>
          <cell r="AB173">
            <v>0.10099348414958985</v>
          </cell>
          <cell r="AC173">
            <v>0.39727319163297548</v>
          </cell>
          <cell r="AD173">
            <v>0.69355289911636109</v>
          </cell>
          <cell r="AF173">
            <v>-0.16972851154985003</v>
          </cell>
          <cell r="AG173">
            <v>-0.14340213872342417</v>
          </cell>
        </row>
        <row r="174">
          <cell r="A174">
            <v>38898</v>
          </cell>
          <cell r="B174">
            <v>14.591671757492648</v>
          </cell>
          <cell r="C174">
            <v>0</v>
          </cell>
          <cell r="D174">
            <v>0.11</v>
          </cell>
          <cell r="E174">
            <v>8</v>
          </cell>
          <cell r="F174">
            <v>0.88</v>
          </cell>
          <cell r="G174">
            <v>50.293845875000002</v>
          </cell>
          <cell r="H174">
            <v>44.258584370000001</v>
          </cell>
          <cell r="I174" t="e">
            <v>#NAME?</v>
          </cell>
          <cell r="K174" t="e">
            <v>#NAME?</v>
          </cell>
          <cell r="L174">
            <v>1.0999999999999999E-2</v>
          </cell>
          <cell r="M174">
            <v>1.0999999999999999E-2</v>
          </cell>
          <cell r="N174">
            <v>10</v>
          </cell>
          <cell r="O174">
            <v>6.485766775015831</v>
          </cell>
          <cell r="P174">
            <v>9.756133247744927</v>
          </cell>
          <cell r="Q174">
            <v>13.026499720474021</v>
          </cell>
          <cell r="R174">
            <v>16.296866193203115</v>
          </cell>
          <cell r="S174">
            <v>19.56723266593221</v>
          </cell>
          <cell r="U174">
            <v>-0.31467756634087385</v>
          </cell>
          <cell r="V174">
            <v>6.9281499269670616E-2</v>
          </cell>
          <cell r="X174">
            <v>16.225469071181447</v>
          </cell>
          <cell r="Y174">
            <v>-0.383684998188354</v>
          </cell>
          <cell r="Z174">
            <v>-0.49156593081718136</v>
          </cell>
          <cell r="AA174">
            <v>-0.19528622333379575</v>
          </cell>
          <cell r="AB174">
            <v>0.10099348414958985</v>
          </cell>
          <cell r="AC174">
            <v>0.39727319163297548</v>
          </cell>
          <cell r="AD174">
            <v>0.69355289911636109</v>
          </cell>
          <cell r="AF174">
            <v>-0.16972851154985003</v>
          </cell>
          <cell r="AG174">
            <v>-0.14340213872342417</v>
          </cell>
        </row>
        <row r="175">
          <cell r="A175">
            <v>38929</v>
          </cell>
          <cell r="B175">
            <v>14.162375062072213</v>
          </cell>
          <cell r="C175">
            <v>0</v>
          </cell>
          <cell r="D175">
            <v>0.13500000000000001</v>
          </cell>
          <cell r="E175">
            <v>8</v>
          </cell>
          <cell r="F175">
            <v>1.08</v>
          </cell>
          <cell r="G175">
            <v>65.118329375000002</v>
          </cell>
          <cell r="H175">
            <v>70.327795725000001</v>
          </cell>
          <cell r="I175" t="e">
            <v>#NAME?</v>
          </cell>
          <cell r="K175" t="e">
            <v>#NAME?</v>
          </cell>
          <cell r="L175">
            <v>1.0999999999999999E-2</v>
          </cell>
          <cell r="M175">
            <v>1.0999999999999999E-2</v>
          </cell>
          <cell r="N175">
            <v>12.272727272727273</v>
          </cell>
          <cell r="O175">
            <v>6.485766775015831</v>
          </cell>
          <cell r="P175">
            <v>9.756133247744927</v>
          </cell>
          <cell r="Q175">
            <v>13.026499720474021</v>
          </cell>
          <cell r="R175">
            <v>16.296866193203115</v>
          </cell>
          <cell r="S175">
            <v>19.56723266593221</v>
          </cell>
          <cell r="U175">
            <v>-0.13342732282281822</v>
          </cell>
          <cell r="V175">
            <v>6.9281499269670616E-2</v>
          </cell>
          <cell r="X175">
            <v>15.556292018770764</v>
          </cell>
          <cell r="Y175">
            <v>-0.21107631189241161</v>
          </cell>
          <cell r="Z175">
            <v>-0.49156593081718136</v>
          </cell>
          <cell r="AA175">
            <v>-0.19528622333379575</v>
          </cell>
          <cell r="AB175">
            <v>0.10099348414958985</v>
          </cell>
          <cell r="AC175">
            <v>0.39727319163297548</v>
          </cell>
          <cell r="AD175">
            <v>0.69355289911636109</v>
          </cell>
          <cell r="AF175">
            <v>-0.16972851154985003</v>
          </cell>
          <cell r="AG175">
            <v>-0.14340213872342417</v>
          </cell>
        </row>
        <row r="176">
          <cell r="A176">
            <v>38960</v>
          </cell>
          <cell r="B176">
            <v>14.697045119067729</v>
          </cell>
          <cell r="C176">
            <v>0</v>
          </cell>
          <cell r="D176">
            <v>0.125</v>
          </cell>
          <cell r="E176">
            <v>8</v>
          </cell>
          <cell r="F176">
            <v>1</v>
          </cell>
          <cell r="G176">
            <v>65.118329375000002</v>
          </cell>
          <cell r="H176">
            <v>65.118329375000002</v>
          </cell>
          <cell r="I176" t="e">
            <v>#NAME?</v>
          </cell>
          <cell r="K176" t="e">
            <v>#NAME?</v>
          </cell>
          <cell r="L176">
            <v>1.2E-2</v>
          </cell>
          <cell r="M176">
            <v>1.2E-2</v>
          </cell>
          <cell r="N176">
            <v>10.416666666666666</v>
          </cell>
          <cell r="O176">
            <v>6.485766775015831</v>
          </cell>
          <cell r="P176">
            <v>9.756133247744927</v>
          </cell>
          <cell r="Q176">
            <v>13.026499720474021</v>
          </cell>
          <cell r="R176">
            <v>16.296866193203115</v>
          </cell>
          <cell r="S176">
            <v>19.56723266593221</v>
          </cell>
          <cell r="U176">
            <v>-0.29124075062188948</v>
          </cell>
          <cell r="V176">
            <v>6.9281499269670616E-2</v>
          </cell>
          <cell r="X176">
            <v>15.002249415703416</v>
          </cell>
          <cell r="Y176">
            <v>-0.3056596795569102</v>
          </cell>
          <cell r="Z176">
            <v>-0.49156593081718136</v>
          </cell>
          <cell r="AA176">
            <v>-0.19528622333379575</v>
          </cell>
          <cell r="AB176">
            <v>0.10099348414958985</v>
          </cell>
          <cell r="AC176">
            <v>0.39727319163297548</v>
          </cell>
          <cell r="AD176">
            <v>0.69355289911636109</v>
          </cell>
          <cell r="AF176">
            <v>-0.16972851154985003</v>
          </cell>
          <cell r="AG176">
            <v>-0.14340213872342417</v>
          </cell>
        </row>
        <row r="177">
          <cell r="A177">
            <v>38990</v>
          </cell>
          <cell r="B177">
            <v>14.736506018223668</v>
          </cell>
          <cell r="C177">
            <v>0</v>
          </cell>
          <cell r="D177">
            <v>1.1200000000000001</v>
          </cell>
          <cell r="E177">
            <v>1</v>
          </cell>
          <cell r="F177">
            <v>1.1200000000000001</v>
          </cell>
          <cell r="G177">
            <v>65.118329375000002</v>
          </cell>
          <cell r="H177">
            <v>72.932528900000008</v>
          </cell>
          <cell r="I177" t="e">
            <v>#NAME?</v>
          </cell>
          <cell r="K177" t="e">
            <v>#NAME?</v>
          </cell>
          <cell r="L177">
            <v>9.6000000000000002E-2</v>
          </cell>
          <cell r="M177">
            <v>9.6000000000000002E-2</v>
          </cell>
          <cell r="N177">
            <v>11.666666666666668</v>
          </cell>
          <cell r="O177">
            <v>6.485766775015831</v>
          </cell>
          <cell r="P177">
            <v>9.756133247744927</v>
          </cell>
          <cell r="Q177">
            <v>13.026499720474021</v>
          </cell>
          <cell r="R177">
            <v>16.296866193203115</v>
          </cell>
          <cell r="S177">
            <v>19.56723266593221</v>
          </cell>
          <cell r="U177">
            <v>-0.20831527824578855</v>
          </cell>
          <cell r="V177">
            <v>6.9281499269670616E-2</v>
          </cell>
          <cell r="X177">
            <v>14.576810701220266</v>
          </cell>
          <cell r="Y177">
            <v>-0.19964202692911293</v>
          </cell>
          <cell r="Z177">
            <v>-0.49156593081718136</v>
          </cell>
          <cell r="AA177">
            <v>-0.19528622333379575</v>
          </cell>
          <cell r="AB177">
            <v>0.10099348414958985</v>
          </cell>
          <cell r="AC177">
            <v>0.39727319163297548</v>
          </cell>
          <cell r="AD177">
            <v>0.69355289911636109</v>
          </cell>
          <cell r="AF177">
            <v>-0.18735413282343105</v>
          </cell>
          <cell r="AG177">
            <v>-0.14340213872342417</v>
          </cell>
        </row>
        <row r="178">
          <cell r="A178">
            <v>39021</v>
          </cell>
          <cell r="B178">
            <v>15.224814821258933</v>
          </cell>
          <cell r="C178">
            <v>0</v>
          </cell>
          <cell r="D178">
            <v>1.36</v>
          </cell>
          <cell r="E178">
            <v>1</v>
          </cell>
          <cell r="F178">
            <v>1.36</v>
          </cell>
          <cell r="G178">
            <v>65.118329375000002</v>
          </cell>
          <cell r="H178">
            <v>88.560927950000007</v>
          </cell>
          <cell r="I178" t="e">
            <v>#NAME?</v>
          </cell>
          <cell r="K178" t="e">
            <v>#NAME?</v>
          </cell>
          <cell r="L178">
            <v>0.10299999999999999</v>
          </cell>
          <cell r="M178">
            <v>0.10299999999999999</v>
          </cell>
          <cell r="N178">
            <v>13.203883495145632</v>
          </cell>
          <cell r="O178">
            <v>6.485766775015831</v>
          </cell>
          <cell r="P178">
            <v>9.756133247744927</v>
          </cell>
          <cell r="Q178">
            <v>13.026499720474021</v>
          </cell>
          <cell r="R178">
            <v>16.296866193203115</v>
          </cell>
          <cell r="S178">
            <v>19.56723266593221</v>
          </cell>
          <cell r="U178">
            <v>-0.13273930421087321</v>
          </cell>
          <cell r="V178">
            <v>6.9281499269670616E-2</v>
          </cell>
          <cell r="X178">
            <v>14.987212336054347</v>
          </cell>
          <cell r="Y178">
            <v>-0.11899002969475558</v>
          </cell>
          <cell r="Z178">
            <v>-0.49156593081718136</v>
          </cell>
          <cell r="AA178">
            <v>-0.19528622333379575</v>
          </cell>
          <cell r="AB178">
            <v>0.10099348414958985</v>
          </cell>
          <cell r="AC178">
            <v>0.39727319163297548</v>
          </cell>
          <cell r="AD178">
            <v>0.69355289911636109</v>
          </cell>
          <cell r="AF178">
            <v>-0.30371056702176802</v>
          </cell>
          <cell r="AG178">
            <v>-0.14340213872342417</v>
          </cell>
        </row>
        <row r="179">
          <cell r="A179">
            <v>39051</v>
          </cell>
          <cell r="B179">
            <v>15.363895430909766</v>
          </cell>
          <cell r="C179">
            <v>0</v>
          </cell>
          <cell r="D179">
            <v>1.405</v>
          </cell>
          <cell r="E179">
            <v>1</v>
          </cell>
          <cell r="F179">
            <v>1.405</v>
          </cell>
          <cell r="G179">
            <v>65.118329375000002</v>
          </cell>
          <cell r="H179">
            <v>91.491252771875011</v>
          </cell>
          <cell r="I179" t="e">
            <v>#NAME?</v>
          </cell>
          <cell r="K179" t="e">
            <v>#NAME?</v>
          </cell>
          <cell r="L179">
            <v>0.105</v>
          </cell>
          <cell r="M179">
            <v>0.105</v>
          </cell>
          <cell r="N179">
            <v>13.380952380952381</v>
          </cell>
          <cell r="O179">
            <v>6.485766775015831</v>
          </cell>
          <cell r="P179">
            <v>9.756133247744927</v>
          </cell>
          <cell r="Q179">
            <v>13.026499720474021</v>
          </cell>
          <cell r="R179">
            <v>16.296866193203115</v>
          </cell>
          <cell r="S179">
            <v>19.56723266593221</v>
          </cell>
          <cell r="U179">
            <v>-0.12906512276619719</v>
          </cell>
          <cell r="V179">
            <v>6.9281499269670616E-2</v>
          </cell>
          <cell r="X179">
            <v>14.683013038565242</v>
          </cell>
          <cell r="Y179">
            <v>-8.8678029107034817E-2</v>
          </cell>
          <cell r="Z179">
            <v>-0.49156593081718136</v>
          </cell>
          <cell r="AA179">
            <v>-0.19528622333379575</v>
          </cell>
          <cell r="AB179">
            <v>0.10099348414958985</v>
          </cell>
          <cell r="AC179">
            <v>0.39727319163297548</v>
          </cell>
          <cell r="AD179">
            <v>0.69355289911636109</v>
          </cell>
          <cell r="AF179">
            <v>-0.19453984838705385</v>
          </cell>
          <cell r="AG179">
            <v>-0.14340213872342417</v>
          </cell>
        </row>
        <row r="180">
          <cell r="A180">
            <v>39082</v>
          </cell>
          <cell r="B180">
            <v>15.816777165567238</v>
          </cell>
          <cell r="C180">
            <v>0</v>
          </cell>
          <cell r="D180">
            <v>1.5</v>
          </cell>
          <cell r="E180">
            <v>1</v>
          </cell>
          <cell r="F180">
            <v>1.5</v>
          </cell>
          <cell r="G180">
            <v>65.118329375000002</v>
          </cell>
          <cell r="H180">
            <v>97.677494062500003</v>
          </cell>
          <cell r="I180" t="e">
            <v>#NAME?</v>
          </cell>
          <cell r="K180" t="e">
            <v>#NAME?</v>
          </cell>
          <cell r="L180">
            <v>0.108</v>
          </cell>
          <cell r="M180">
            <v>0.108</v>
          </cell>
          <cell r="N180">
            <v>13.888888888888889</v>
          </cell>
          <cell r="O180">
            <v>6.485766775015831</v>
          </cell>
          <cell r="P180">
            <v>9.756133247744927</v>
          </cell>
          <cell r="Q180">
            <v>13.026499720474021</v>
          </cell>
          <cell r="R180">
            <v>16.296866193203115</v>
          </cell>
          <cell r="S180">
            <v>19.56723266593221</v>
          </cell>
          <cell r="U180">
            <v>-0.12188881821483311</v>
          </cell>
          <cell r="V180">
            <v>6.9281499269670616E-2</v>
          </cell>
          <cell r="X180">
            <v>15.117685717289824</v>
          </cell>
          <cell r="Y180">
            <v>-8.1282072625413981E-2</v>
          </cell>
          <cell r="Z180">
            <v>-0.49156593081718136</v>
          </cell>
          <cell r="AA180">
            <v>-0.19528622333379575</v>
          </cell>
          <cell r="AB180">
            <v>0.10099348414958985</v>
          </cell>
          <cell r="AC180">
            <v>0.39727319163297548</v>
          </cell>
          <cell r="AD180">
            <v>0.69355289911636109</v>
          </cell>
          <cell r="AF180">
            <v>-5.4705505309356806E-2</v>
          </cell>
          <cell r="AG180">
            <v>-0.14340213872342417</v>
          </cell>
        </row>
        <row r="181">
          <cell r="A181">
            <v>39113</v>
          </cell>
          <cell r="B181">
            <v>15.818470289145225</v>
          </cell>
          <cell r="C181">
            <v>0</v>
          </cell>
          <cell r="D181">
            <v>1.45</v>
          </cell>
          <cell r="E181">
            <v>1</v>
          </cell>
          <cell r="F181">
            <v>1.45</v>
          </cell>
          <cell r="G181">
            <v>65.118329375000002</v>
          </cell>
          <cell r="H181">
            <v>94.421577593750001</v>
          </cell>
          <cell r="I181" t="e">
            <v>#NAME?</v>
          </cell>
          <cell r="K181" t="e">
            <v>#NAME?</v>
          </cell>
          <cell r="L181">
            <v>0.11</v>
          </cell>
          <cell r="M181">
            <v>0.11</v>
          </cell>
          <cell r="N181">
            <v>13.181818181818182</v>
          </cell>
          <cell r="O181">
            <v>6.485766775015831</v>
          </cell>
          <cell r="P181">
            <v>9.756133247744927</v>
          </cell>
          <cell r="Q181">
            <v>13.026499720474021</v>
          </cell>
          <cell r="R181">
            <v>16.296866193203115</v>
          </cell>
          <cell r="S181">
            <v>19.56723266593221</v>
          </cell>
          <cell r="U181">
            <v>-0.16668186361460857</v>
          </cell>
          <cell r="V181">
            <v>6.9281499269670616E-2</v>
          </cell>
          <cell r="X181">
            <v>14.781137006405011</v>
          </cell>
          <cell r="Y181">
            <v>-0.10819998650264906</v>
          </cell>
          <cell r="Z181">
            <v>-0.49156593081718136</v>
          </cell>
          <cell r="AA181">
            <v>-0.19528622333379575</v>
          </cell>
          <cell r="AB181">
            <v>0.10099348414958985</v>
          </cell>
          <cell r="AC181">
            <v>0.39727319163297548</v>
          </cell>
          <cell r="AD181">
            <v>0.69355289911636109</v>
          </cell>
          <cell r="AF181">
            <v>0.1442620234608345</v>
          </cell>
          <cell r="AG181">
            <v>-0.14340213872342417</v>
          </cell>
        </row>
        <row r="182">
          <cell r="A182">
            <v>39141</v>
          </cell>
          <cell r="B182">
            <v>15.812002761839757</v>
          </cell>
          <cell r="C182">
            <v>0</v>
          </cell>
          <cell r="D182">
            <v>1.365</v>
          </cell>
          <cell r="E182">
            <v>1</v>
          </cell>
          <cell r="F182">
            <v>1.365</v>
          </cell>
          <cell r="G182">
            <v>65.118329375000002</v>
          </cell>
          <cell r="H182">
            <v>88.886519596875004</v>
          </cell>
          <cell r="I182" t="e">
            <v>#NAME?</v>
          </cell>
          <cell r="K182" t="e">
            <v>#NAME?</v>
          </cell>
          <cell r="L182">
            <v>0.114</v>
          </cell>
          <cell r="M182">
            <v>0.114</v>
          </cell>
          <cell r="N182">
            <v>11.973684210526315</v>
          </cell>
          <cell r="O182">
            <v>6.485766775015831</v>
          </cell>
          <cell r="P182">
            <v>9.756133247744927</v>
          </cell>
          <cell r="Q182">
            <v>13.026499720474021</v>
          </cell>
          <cell r="R182">
            <v>16.296866193203115</v>
          </cell>
          <cell r="S182">
            <v>19.56723266593221</v>
          </cell>
          <cell r="U182">
            <v>-0.24274714652698726</v>
          </cell>
          <cell r="V182">
            <v>6.9281499269670616E-2</v>
          </cell>
          <cell r="X182">
            <v>14.640420310741929</v>
          </cell>
          <cell r="Y182">
            <v>-0.18214887575727479</v>
          </cell>
          <cell r="Z182">
            <v>-0.49156593081718136</v>
          </cell>
          <cell r="AA182">
            <v>-0.19528622333379575</v>
          </cell>
          <cell r="AB182">
            <v>0.10099348414958985</v>
          </cell>
          <cell r="AC182">
            <v>0.39727319163297548</v>
          </cell>
          <cell r="AD182">
            <v>0.69355289911636109</v>
          </cell>
          <cell r="AF182">
            <v>3.6340822626552027E-2</v>
          </cell>
          <cell r="AG182">
            <v>-0.14340213872342417</v>
          </cell>
          <cell r="AI182" t="e">
            <v>#NAME?</v>
          </cell>
          <cell r="AJ182" t="e">
            <v>#NAME?</v>
          </cell>
          <cell r="AK182" t="e">
            <v>#NAME?</v>
          </cell>
          <cell r="AL182" t="e">
            <v>#NAME?</v>
          </cell>
          <cell r="AM182" t="e">
            <v>#NAME?</v>
          </cell>
          <cell r="AN182" t="e">
            <v>#NAME?</v>
          </cell>
          <cell r="AO182" t="e">
            <v>#NAME?</v>
          </cell>
          <cell r="AQ182" t="e">
            <v>#NAME?</v>
          </cell>
          <cell r="AR182" t="e">
            <v>#NAME?</v>
          </cell>
          <cell r="AS182" t="e">
            <v>#NAME?</v>
          </cell>
          <cell r="AT182" t="e">
            <v>#NAME?</v>
          </cell>
          <cell r="AU182" t="e">
            <v>#NAME?</v>
          </cell>
          <cell r="AV182" t="e">
            <v>#NAME?</v>
          </cell>
          <cell r="AW182" t="e">
            <v>#NAME?</v>
          </cell>
          <cell r="AY182" t="e">
            <v>#NAME?</v>
          </cell>
          <cell r="AZ182" t="e">
            <v>#NAME?</v>
          </cell>
          <cell r="BA182" t="e">
            <v>#NAME?</v>
          </cell>
          <cell r="BB182" t="e">
            <v>#NAME?</v>
          </cell>
          <cell r="BC182" t="e">
            <v>#NAME?</v>
          </cell>
          <cell r="BD182" t="e">
            <v>#DIV/0!</v>
          </cell>
          <cell r="BE182" t="e">
            <v>#DIV/0!</v>
          </cell>
          <cell r="BF182" t="e">
            <v>#DIV/0!</v>
          </cell>
          <cell r="BG182" t="e">
            <v>#DIV/0!</v>
          </cell>
          <cell r="BH182" t="e">
            <v>#DIV/0!</v>
          </cell>
          <cell r="BJ182" t="e">
            <v>#NAME?</v>
          </cell>
          <cell r="BK182" t="e">
            <v>#DIV/0!</v>
          </cell>
          <cell r="BM182" t="e">
            <v>#NAME?</v>
          </cell>
          <cell r="BN182" t="e">
            <v>#NAME?</v>
          </cell>
        </row>
        <row r="183">
          <cell r="A183">
            <v>39172</v>
          </cell>
          <cell r="B183">
            <v>16.391073624083926</v>
          </cell>
          <cell r="C183">
            <v>0</v>
          </cell>
          <cell r="D183">
            <v>1.9650000000000001</v>
          </cell>
          <cell r="E183">
            <v>1</v>
          </cell>
          <cell r="F183">
            <v>1.9650000000000001</v>
          </cell>
          <cell r="G183">
            <v>65.118329375000002</v>
          </cell>
          <cell r="H183">
            <v>127.95751722187501</v>
          </cell>
          <cell r="I183" t="e">
            <v>#NAME?</v>
          </cell>
          <cell r="K183" t="e">
            <v>#NAME?</v>
          </cell>
          <cell r="L183">
            <v>0.11700000000000001</v>
          </cell>
          <cell r="M183">
            <v>0.11700000000000001</v>
          </cell>
          <cell r="N183">
            <v>16.794871794871796</v>
          </cell>
          <cell r="O183">
            <v>6.485766775015831</v>
          </cell>
          <cell r="P183">
            <v>9.756133247744927</v>
          </cell>
          <cell r="Q183">
            <v>13.026499720474021</v>
          </cell>
          <cell r="R183">
            <v>16.296866193203115</v>
          </cell>
          <cell r="S183">
            <v>19.56723266593221</v>
          </cell>
          <cell r="U183">
            <v>2.4635248431472911E-2</v>
          </cell>
          <cell r="V183">
            <v>6.9281499269670616E-2</v>
          </cell>
          <cell r="X183">
            <v>14.525435501535123</v>
          </cell>
          <cell r="Y183">
            <v>0.15623877804536934</v>
          </cell>
          <cell r="Z183">
            <v>-0.49156593081718136</v>
          </cell>
          <cell r="AA183">
            <v>-0.19528622333379575</v>
          </cell>
          <cell r="AB183">
            <v>0.10099348414958985</v>
          </cell>
          <cell r="AC183">
            <v>0.39727319163297548</v>
          </cell>
          <cell r="AD183">
            <v>0.69355289911636109</v>
          </cell>
          <cell r="AF183">
            <v>-5.3488556808436782E-2</v>
          </cell>
          <cell r="AG183">
            <v>-0.14340213872342417</v>
          </cell>
          <cell r="AI183" t="e">
            <v>#NAME?</v>
          </cell>
          <cell r="AJ183" t="e">
            <v>#NAME?</v>
          </cell>
          <cell r="AK183" t="e">
            <v>#NAME?</v>
          </cell>
          <cell r="AL183" t="e">
            <v>#NAME?</v>
          </cell>
          <cell r="AM183" t="e">
            <v>#NAME?</v>
          </cell>
          <cell r="AN183" t="e">
            <v>#NAME?</v>
          </cell>
          <cell r="AO183" t="e">
            <v>#NAME?</v>
          </cell>
          <cell r="AQ183" t="e">
            <v>#NAME?</v>
          </cell>
          <cell r="AR183" t="e">
            <v>#NAME?</v>
          </cell>
          <cell r="AS183" t="e">
            <v>#NAME?</v>
          </cell>
          <cell r="AT183" t="e">
            <v>#NAME?</v>
          </cell>
          <cell r="AU183" t="e">
            <v>#NAME?</v>
          </cell>
          <cell r="AV183" t="e">
            <v>#NAME?</v>
          </cell>
          <cell r="AW183" t="e">
            <v>#NAME?</v>
          </cell>
          <cell r="AY183" t="e">
            <v>#NAME?</v>
          </cell>
          <cell r="AZ183" t="e">
            <v>#NAME?</v>
          </cell>
          <cell r="BA183" t="e">
            <v>#NAME?</v>
          </cell>
          <cell r="BB183" t="e">
            <v>#NAME?</v>
          </cell>
          <cell r="BC183" t="e">
            <v>#NAME?</v>
          </cell>
          <cell r="BD183" t="e">
            <v>#DIV/0!</v>
          </cell>
          <cell r="BE183" t="e">
            <v>#DIV/0!</v>
          </cell>
          <cell r="BF183" t="e">
            <v>#DIV/0!</v>
          </cell>
          <cell r="BG183" t="e">
            <v>#DIV/0!</v>
          </cell>
          <cell r="BH183" t="e">
            <v>#DIV/0!</v>
          </cell>
          <cell r="BJ183" t="e">
            <v>#NAME?</v>
          </cell>
          <cell r="BK183" t="e">
            <v>#DIV/0!</v>
          </cell>
          <cell r="BM183" t="e">
            <v>#NAME?</v>
          </cell>
          <cell r="BN183" t="e">
            <v>#NAME?</v>
          </cell>
        </row>
        <row r="184">
          <cell r="A184">
            <v>39202</v>
          </cell>
          <cell r="B184">
            <v>16.682377896614661</v>
          </cell>
          <cell r="C184">
            <v>0</v>
          </cell>
          <cell r="D184">
            <v>2.25</v>
          </cell>
          <cell r="E184">
            <v>1</v>
          </cell>
          <cell r="F184">
            <v>2.25</v>
          </cell>
          <cell r="G184">
            <v>65.118329375000002</v>
          </cell>
          <cell r="H184">
            <v>146.51624109375001</v>
          </cell>
          <cell r="I184" t="e">
            <v>#NAME?</v>
          </cell>
          <cell r="K184" t="e">
            <v>#NAME?</v>
          </cell>
          <cell r="L184">
            <v>0.11700000000000001</v>
          </cell>
          <cell r="M184">
            <v>0.11700000000000001</v>
          </cell>
          <cell r="N184">
            <v>19.23076923076923</v>
          </cell>
          <cell r="O184">
            <v>6.485766775015831</v>
          </cell>
          <cell r="P184">
            <v>9.756133247744927</v>
          </cell>
          <cell r="Q184">
            <v>13.026499720474021</v>
          </cell>
          <cell r="R184">
            <v>16.296866193203115</v>
          </cell>
          <cell r="S184">
            <v>19.56723266593221</v>
          </cell>
          <cell r="U184">
            <v>0.15275947769242859</v>
          </cell>
          <cell r="V184">
            <v>6.9281499269670616E-2</v>
          </cell>
          <cell r="X184">
            <v>15.373292379600683</v>
          </cell>
          <cell r="Y184">
            <v>0.25092067176756205</v>
          </cell>
          <cell r="Z184">
            <v>-0.49156593081718136</v>
          </cell>
          <cell r="AA184">
            <v>-0.19528622333379575</v>
          </cell>
          <cell r="AB184">
            <v>0.10099348414958985</v>
          </cell>
          <cell r="AC184">
            <v>0.39727319163297548</v>
          </cell>
          <cell r="AD184">
            <v>0.69355289911636109</v>
          </cell>
          <cell r="AF184">
            <v>-0.13206441767668586</v>
          </cell>
          <cell r="AG184">
            <v>-0.14340213872342417</v>
          </cell>
          <cell r="AI184" t="e">
            <v>#NAME?</v>
          </cell>
          <cell r="AJ184" t="e">
            <v>#NAME?</v>
          </cell>
          <cell r="AK184" t="e">
            <v>#NAME?</v>
          </cell>
          <cell r="AL184" t="e">
            <v>#NAME?</v>
          </cell>
          <cell r="AM184" t="e">
            <v>#NAME?</v>
          </cell>
          <cell r="AN184" t="e">
            <v>#NAME?</v>
          </cell>
          <cell r="AO184" t="e">
            <v>#NAME?</v>
          </cell>
          <cell r="AQ184" t="e">
            <v>#NAME?</v>
          </cell>
          <cell r="AR184" t="e">
            <v>#NAME?</v>
          </cell>
          <cell r="AS184" t="e">
            <v>#NAME?</v>
          </cell>
          <cell r="AT184" t="e">
            <v>#NAME?</v>
          </cell>
          <cell r="AU184" t="e">
            <v>#NAME?</v>
          </cell>
          <cell r="AV184" t="e">
            <v>#NAME?</v>
          </cell>
          <cell r="AW184" t="e">
            <v>#NAME?</v>
          </cell>
          <cell r="AY184" t="e">
            <v>#NAME?</v>
          </cell>
          <cell r="AZ184" t="e">
            <v>#NAME?</v>
          </cell>
          <cell r="BA184" t="e">
            <v>#NAME?</v>
          </cell>
          <cell r="BB184" t="e">
            <v>#NAME?</v>
          </cell>
          <cell r="BC184" t="e">
            <v>#NAME?</v>
          </cell>
          <cell r="BD184" t="e">
            <v>#DIV/0!</v>
          </cell>
          <cell r="BE184" t="e">
            <v>#DIV/0!</v>
          </cell>
          <cell r="BF184" t="e">
            <v>#DIV/0!</v>
          </cell>
          <cell r="BG184" t="e">
            <v>#DIV/0!</v>
          </cell>
          <cell r="BH184" t="e">
            <v>#DIV/0!</v>
          </cell>
          <cell r="BJ184" t="e">
            <v>#NAME?</v>
          </cell>
          <cell r="BK184" t="e">
            <v>#DIV/0!</v>
          </cell>
          <cell r="BM184" t="e">
            <v>#NAME?</v>
          </cell>
          <cell r="BN184" t="e">
            <v>#NAME?</v>
          </cell>
        </row>
        <row r="185">
          <cell r="A185">
            <v>39233</v>
          </cell>
          <cell r="B185">
            <v>17.009269561602952</v>
          </cell>
          <cell r="C185">
            <v>0</v>
          </cell>
          <cell r="D185">
            <v>2.5</v>
          </cell>
          <cell r="E185">
            <v>1</v>
          </cell>
          <cell r="F185">
            <v>2.5</v>
          </cell>
          <cell r="G185">
            <v>65.118329375000002</v>
          </cell>
          <cell r="H185">
            <v>162.79582343750002</v>
          </cell>
          <cell r="I185" t="e">
            <v>#NAME?</v>
          </cell>
          <cell r="K185" t="e">
            <v>#NAME?</v>
          </cell>
          <cell r="L185">
            <v>0.122</v>
          </cell>
          <cell r="M185">
            <v>0.122</v>
          </cell>
          <cell r="N185">
            <v>20.491803278688526</v>
          </cell>
          <cell r="O185">
            <v>6.485766775015831</v>
          </cell>
          <cell r="P185">
            <v>9.756133247744927</v>
          </cell>
          <cell r="Q185">
            <v>13.026499720474021</v>
          </cell>
          <cell r="R185">
            <v>16.296866193203115</v>
          </cell>
          <cell r="S185">
            <v>19.56723266593221</v>
          </cell>
          <cell r="U185">
            <v>0.20474328450570933</v>
          </cell>
          <cell r="V185">
            <v>6.9281499269670616E-2</v>
          </cell>
          <cell r="X185">
            <v>15.944698884238822</v>
          </cell>
          <cell r="Y185">
            <v>0.28517969686743183</v>
          </cell>
          <cell r="Z185">
            <v>-0.49156593081718136</v>
          </cell>
          <cell r="AA185">
            <v>-0.19528622333379575</v>
          </cell>
          <cell r="AB185">
            <v>0.10099348414958985</v>
          </cell>
          <cell r="AC185">
            <v>0.39727319163297548</v>
          </cell>
          <cell r="AD185">
            <v>0.69355289911636109</v>
          </cell>
          <cell r="AF185">
            <v>-5.8543914381893436E-2</v>
          </cell>
          <cell r="AG185">
            <v>-0.14340213872342417</v>
          </cell>
          <cell r="AI185" t="e">
            <v>#NAME?</v>
          </cell>
          <cell r="AJ185" t="e">
            <v>#NAME?</v>
          </cell>
          <cell r="AK185" t="e">
            <v>#NAME?</v>
          </cell>
          <cell r="AL185" t="e">
            <v>#NAME?</v>
          </cell>
          <cell r="AM185" t="e">
            <v>#NAME?</v>
          </cell>
          <cell r="AN185" t="e">
            <v>#NAME?</v>
          </cell>
          <cell r="AO185" t="e">
            <v>#NAME?</v>
          </cell>
          <cell r="AQ185" t="e">
            <v>#NAME?</v>
          </cell>
          <cell r="AR185" t="e">
            <v>#NAME?</v>
          </cell>
          <cell r="AS185" t="e">
            <v>#NAME?</v>
          </cell>
          <cell r="AT185" t="e">
            <v>#NAME?</v>
          </cell>
          <cell r="AU185" t="e">
            <v>#NAME?</v>
          </cell>
          <cell r="AV185" t="e">
            <v>#NAME?</v>
          </cell>
          <cell r="AW185" t="e">
            <v>#NAME?</v>
          </cell>
          <cell r="AY185" t="e">
            <v>#NAME?</v>
          </cell>
          <cell r="AZ185" t="e">
            <v>#NAME?</v>
          </cell>
          <cell r="BA185" t="e">
            <v>#NAME?</v>
          </cell>
          <cell r="BB185" t="e">
            <v>#NAME?</v>
          </cell>
          <cell r="BC185" t="e">
            <v>#NAME?</v>
          </cell>
          <cell r="BD185" t="e">
            <v>#DIV/0!</v>
          </cell>
          <cell r="BE185" t="e">
            <v>#DIV/0!</v>
          </cell>
          <cell r="BF185" t="e">
            <v>#DIV/0!</v>
          </cell>
          <cell r="BG185" t="e">
            <v>#DIV/0!</v>
          </cell>
          <cell r="BH185" t="e">
            <v>#DIV/0!</v>
          </cell>
          <cell r="BJ185" t="e">
            <v>#NAME?</v>
          </cell>
          <cell r="BK185" t="e">
            <v>#DIV/0!</v>
          </cell>
          <cell r="BM185" t="e">
            <v>#NAME?</v>
          </cell>
          <cell r="BN185" t="e">
            <v>#NAME?</v>
          </cell>
        </row>
        <row r="186">
          <cell r="A186">
            <v>39263</v>
          </cell>
          <cell r="B186">
            <v>16.921258216202528</v>
          </cell>
          <cell r="C186">
            <v>0</v>
          </cell>
          <cell r="D186">
            <v>2.5299999999999998</v>
          </cell>
          <cell r="E186">
            <v>1</v>
          </cell>
          <cell r="F186">
            <v>2.5300000000000002</v>
          </cell>
          <cell r="G186">
            <v>65.118329375000002</v>
          </cell>
          <cell r="H186">
            <v>164.74937331875003</v>
          </cell>
          <cell r="I186" t="e">
            <v>#NAME?</v>
          </cell>
          <cell r="K186" t="e">
            <v>#NAME?</v>
          </cell>
          <cell r="L186">
            <v>0.125</v>
          </cell>
          <cell r="M186">
            <v>0.125</v>
          </cell>
          <cell r="N186">
            <v>20.239999999999998</v>
          </cell>
          <cell r="O186">
            <v>6.485766775015831</v>
          </cell>
          <cell r="P186">
            <v>9.756133247744927</v>
          </cell>
          <cell r="Q186">
            <v>13.026499720474021</v>
          </cell>
          <cell r="R186">
            <v>16.296866193203115</v>
          </cell>
          <cell r="S186">
            <v>19.56723266593221</v>
          </cell>
          <cell r="U186">
            <v>0.19612854678972358</v>
          </cell>
          <cell r="V186">
            <v>6.9281499269670616E-2</v>
          </cell>
          <cell r="X186">
            <v>15.809685119037745</v>
          </cell>
          <cell r="Y186">
            <v>0.28022790128990915</v>
          </cell>
          <cell r="Z186">
            <v>-0.49156593081718136</v>
          </cell>
          <cell r="AA186">
            <v>-0.19528622333379575</v>
          </cell>
          <cell r="AB186">
            <v>0.10099348414958985</v>
          </cell>
          <cell r="AC186">
            <v>0.39727319163297548</v>
          </cell>
          <cell r="AD186">
            <v>0.69355289911636109</v>
          </cell>
          <cell r="AF186">
            <v>-8.9441587579212056E-3</v>
          </cell>
          <cell r="AG186">
            <v>-0.14340213872342417</v>
          </cell>
          <cell r="AI186" t="e">
            <v>#NAME?</v>
          </cell>
          <cell r="AJ186" t="e">
            <v>#NAME?</v>
          </cell>
          <cell r="AK186" t="e">
            <v>#NAME?</v>
          </cell>
          <cell r="AL186" t="e">
            <v>#NAME?</v>
          </cell>
          <cell r="AM186" t="e">
            <v>#NAME?</v>
          </cell>
          <cell r="AN186" t="e">
            <v>#NAME?</v>
          </cell>
          <cell r="AO186" t="e">
            <v>#NAME?</v>
          </cell>
          <cell r="AQ186" t="e">
            <v>#NAME?</v>
          </cell>
          <cell r="AR186" t="e">
            <v>#NAME?</v>
          </cell>
          <cell r="AS186" t="e">
            <v>#NAME?</v>
          </cell>
          <cell r="AT186" t="e">
            <v>#NAME?</v>
          </cell>
          <cell r="AU186" t="e">
            <v>#NAME?</v>
          </cell>
          <cell r="AV186" t="e">
            <v>#NAME?</v>
          </cell>
          <cell r="AW186" t="e">
            <v>#NAME?</v>
          </cell>
          <cell r="AY186" t="e">
            <v>#NAME?</v>
          </cell>
          <cell r="AZ186" t="e">
            <v>#NAME?</v>
          </cell>
          <cell r="BA186" t="e">
            <v>#NAME?</v>
          </cell>
          <cell r="BB186" t="e">
            <v>#NAME?</v>
          </cell>
          <cell r="BC186" t="e">
            <v>#NAME?</v>
          </cell>
          <cell r="BD186" t="e">
            <v>#DIV/0!</v>
          </cell>
          <cell r="BE186" t="e">
            <v>#DIV/0!</v>
          </cell>
          <cell r="BF186" t="e">
            <v>#DIV/0!</v>
          </cell>
          <cell r="BG186" t="e">
            <v>#DIV/0!</v>
          </cell>
          <cell r="BH186" t="e">
            <v>#DIV/0!</v>
          </cell>
          <cell r="BJ186" t="e">
            <v>#NAME?</v>
          </cell>
          <cell r="BK186" t="e">
            <v>#DIV/0!</v>
          </cell>
          <cell r="BM186" t="e">
            <v>#NAME?</v>
          </cell>
          <cell r="BN186" t="e">
            <v>#NAME?</v>
          </cell>
        </row>
        <row r="187">
          <cell r="A187">
            <v>39294</v>
          </cell>
          <cell r="B187">
            <v>16.116885989743814</v>
          </cell>
          <cell r="C187">
            <v>0</v>
          </cell>
          <cell r="D187">
            <v>2.4</v>
          </cell>
          <cell r="E187">
            <v>1</v>
          </cell>
          <cell r="F187">
            <v>2.4000000000000004</v>
          </cell>
          <cell r="G187">
            <v>68.618611999999999</v>
          </cell>
          <cell r="H187">
            <v>164.68466880000003</v>
          </cell>
          <cell r="I187" t="e">
            <v>#NAME?</v>
          </cell>
          <cell r="K187" t="e">
            <v>#NAME?</v>
          </cell>
          <cell r="L187">
            <v>0.128</v>
          </cell>
          <cell r="M187">
            <v>0.128</v>
          </cell>
          <cell r="N187">
            <v>18.75</v>
          </cell>
          <cell r="O187">
            <v>6.485766775015831</v>
          </cell>
          <cell r="P187">
            <v>9.756133247744927</v>
          </cell>
          <cell r="Q187">
            <v>13.026499720474021</v>
          </cell>
          <cell r="R187">
            <v>16.296866193203115</v>
          </cell>
          <cell r="S187">
            <v>19.56723266593221</v>
          </cell>
          <cell r="U187">
            <v>0.16337610205419351</v>
          </cell>
          <cell r="V187">
            <v>6.9281499269670616E-2</v>
          </cell>
          <cell r="X187">
            <v>15.508205769902009</v>
          </cell>
          <cell r="Y187">
            <v>0.20903734952947262</v>
          </cell>
          <cell r="Z187">
            <v>-0.49156593081718136</v>
          </cell>
          <cell r="AA187">
            <v>-0.19528622333379575</v>
          </cell>
          <cell r="AB187">
            <v>0.10099348414958985</v>
          </cell>
          <cell r="AC187">
            <v>0.39727319163297548</v>
          </cell>
          <cell r="AD187">
            <v>0.69355289911636109</v>
          </cell>
          <cell r="AF187">
            <v>-6.1115226364998776E-2</v>
          </cell>
          <cell r="AG187">
            <v>-0.14340213872342417</v>
          </cell>
          <cell r="AI187" t="e">
            <v>#NAME?</v>
          </cell>
          <cell r="AJ187" t="e">
            <v>#NAME?</v>
          </cell>
          <cell r="AK187" t="e">
            <v>#NAME?</v>
          </cell>
          <cell r="AL187" t="e">
            <v>#NAME?</v>
          </cell>
          <cell r="AM187" t="e">
            <v>#NAME?</v>
          </cell>
          <cell r="AN187" t="e">
            <v>#NAME?</v>
          </cell>
          <cell r="AO187" t="e">
            <v>#NAME?</v>
          </cell>
          <cell r="AQ187" t="e">
            <v>#NAME?</v>
          </cell>
          <cell r="AR187" t="e">
            <v>#NAME?</v>
          </cell>
          <cell r="AS187" t="e">
            <v>#NAME?</v>
          </cell>
          <cell r="AT187" t="e">
            <v>#NAME?</v>
          </cell>
          <cell r="AU187" t="e">
            <v>#NAME?</v>
          </cell>
          <cell r="AV187" t="e">
            <v>#NAME?</v>
          </cell>
          <cell r="AW187" t="e">
            <v>#NAME?</v>
          </cell>
          <cell r="AY187" t="e">
            <v>#NAME?</v>
          </cell>
          <cell r="AZ187" t="e">
            <v>#NAME?</v>
          </cell>
          <cell r="BA187" t="e">
            <v>#NAME?</v>
          </cell>
          <cell r="BB187" t="e">
            <v>#NAME?</v>
          </cell>
          <cell r="BC187" t="e">
            <v>#NAME?</v>
          </cell>
          <cell r="BD187" t="e">
            <v>#DIV/0!</v>
          </cell>
          <cell r="BE187" t="e">
            <v>#DIV/0!</v>
          </cell>
          <cell r="BF187" t="e">
            <v>#DIV/0!</v>
          </cell>
          <cell r="BG187" t="e">
            <v>#DIV/0!</v>
          </cell>
          <cell r="BH187" t="e">
            <v>#DIV/0!</v>
          </cell>
          <cell r="BJ187" t="e">
            <v>#NAME?</v>
          </cell>
          <cell r="BK187" t="e">
            <v>#DIV/0!</v>
          </cell>
          <cell r="BM187" t="e">
            <v>#NAME?</v>
          </cell>
          <cell r="BN187" t="e">
            <v>#NAME?</v>
          </cell>
        </row>
        <row r="188">
          <cell r="A188">
            <v>39325</v>
          </cell>
          <cell r="B188">
            <v>15.722699418927936</v>
          </cell>
          <cell r="C188">
            <v>0</v>
          </cell>
          <cell r="D188">
            <v>2.4</v>
          </cell>
          <cell r="E188">
            <v>1</v>
          </cell>
          <cell r="F188">
            <v>2.4000000000000004</v>
          </cell>
          <cell r="G188">
            <v>68.618611999999999</v>
          </cell>
          <cell r="H188">
            <v>164.68466880000003</v>
          </cell>
          <cell r="I188" t="e">
            <v>#NAME?</v>
          </cell>
          <cell r="K188" t="e">
            <v>#NAME?</v>
          </cell>
          <cell r="L188">
            <v>0.13</v>
          </cell>
          <cell r="M188">
            <v>0.13</v>
          </cell>
          <cell r="N188">
            <v>18.46153846153846</v>
          </cell>
          <cell r="O188">
            <v>6.485766775015831</v>
          </cell>
          <cell r="P188">
            <v>9.756133247744927</v>
          </cell>
          <cell r="Q188">
            <v>13.026499720474021</v>
          </cell>
          <cell r="R188">
            <v>16.296866193203115</v>
          </cell>
          <cell r="S188">
            <v>19.56723266593221</v>
          </cell>
          <cell r="U188">
            <v>0.17419648939630195</v>
          </cell>
          <cell r="V188">
            <v>6.9281499269670616E-2</v>
          </cell>
          <cell r="X188">
            <v>15.125704953248153</v>
          </cell>
          <cell r="Y188">
            <v>0.22054069668825305</v>
          </cell>
          <cell r="Z188">
            <v>-0.49156593081718136</v>
          </cell>
          <cell r="AA188">
            <v>-0.19528622333379575</v>
          </cell>
          <cell r="AB188">
            <v>0.10099348414958985</v>
          </cell>
          <cell r="AC188">
            <v>0.39727319163297548</v>
          </cell>
          <cell r="AD188">
            <v>0.69355289911636109</v>
          </cell>
          <cell r="AF188">
            <v>-0.14818074894902511</v>
          </cell>
          <cell r="AG188">
            <v>-0.14340213872342417</v>
          </cell>
          <cell r="AI188" t="e">
            <v>#NAME?</v>
          </cell>
          <cell r="AJ188" t="e">
            <v>#NAME?</v>
          </cell>
          <cell r="AK188" t="e">
            <v>#NAME?</v>
          </cell>
          <cell r="AL188" t="e">
            <v>#NAME?</v>
          </cell>
          <cell r="AM188" t="e">
            <v>#NAME?</v>
          </cell>
          <cell r="AN188" t="e">
            <v>#NAME?</v>
          </cell>
          <cell r="AO188" t="e">
            <v>#NAME?</v>
          </cell>
          <cell r="AQ188" t="e">
            <v>#NAME?</v>
          </cell>
          <cell r="AR188" t="e">
            <v>#NAME?</v>
          </cell>
          <cell r="AS188" t="e">
            <v>#NAME?</v>
          </cell>
          <cell r="AT188" t="e">
            <v>#NAME?</v>
          </cell>
          <cell r="AU188" t="e">
            <v>#NAME?</v>
          </cell>
          <cell r="AV188" t="e">
            <v>#NAME?</v>
          </cell>
          <cell r="AW188" t="e">
            <v>#NAME?</v>
          </cell>
          <cell r="AY188" t="e">
            <v>#NAME?</v>
          </cell>
          <cell r="AZ188" t="e">
            <v>#NAME?</v>
          </cell>
          <cell r="BA188" t="e">
            <v>#NAME?</v>
          </cell>
          <cell r="BB188" t="e">
            <v>#NAME?</v>
          </cell>
          <cell r="BC188" t="e">
            <v>#NAME?</v>
          </cell>
          <cell r="BD188" t="e">
            <v>#DIV/0!</v>
          </cell>
          <cell r="BE188" t="e">
            <v>#DIV/0!</v>
          </cell>
          <cell r="BF188" t="e">
            <v>#DIV/0!</v>
          </cell>
          <cell r="BG188" t="e">
            <v>#DIV/0!</v>
          </cell>
          <cell r="BH188" t="e">
            <v>#DIV/0!</v>
          </cell>
          <cell r="BJ188" t="e">
            <v>#NAME?</v>
          </cell>
          <cell r="BK188" t="e">
            <v>#DIV/0!</v>
          </cell>
          <cell r="BM188" t="e">
            <v>#NAME?</v>
          </cell>
          <cell r="BN188" t="e">
            <v>#NAME?</v>
          </cell>
        </row>
        <row r="189">
          <cell r="A189">
            <v>39355</v>
          </cell>
          <cell r="B189">
            <v>15.81428895545265</v>
          </cell>
          <cell r="C189">
            <v>0</v>
          </cell>
          <cell r="D189">
            <v>2.19</v>
          </cell>
          <cell r="E189">
            <v>1</v>
          </cell>
          <cell r="F189">
            <v>2.19</v>
          </cell>
          <cell r="G189">
            <v>68.618611999999999</v>
          </cell>
          <cell r="H189">
            <v>150.27476027999998</v>
          </cell>
          <cell r="I189" t="e">
            <v>#NAME?</v>
          </cell>
          <cell r="K189" t="e">
            <v>#NAME?</v>
          </cell>
          <cell r="L189">
            <v>0.13200000000000001</v>
          </cell>
          <cell r="M189">
            <v>0.13200000000000001</v>
          </cell>
          <cell r="N189">
            <v>16.59090909090909</v>
          </cell>
          <cell r="O189">
            <v>6.485766775015831</v>
          </cell>
          <cell r="P189">
            <v>9.756133247744927</v>
          </cell>
          <cell r="Q189">
            <v>13.026499720474021</v>
          </cell>
          <cell r="R189">
            <v>16.296866193203115</v>
          </cell>
          <cell r="S189">
            <v>19.56723266593221</v>
          </cell>
          <cell r="U189">
            <v>4.9108760921474648E-2</v>
          </cell>
          <cell r="V189">
            <v>6.9281499269670616E-2</v>
          </cell>
          <cell r="X189">
            <v>16.000901179501959</v>
          </cell>
          <cell r="Y189">
            <v>3.687341761493812E-2</v>
          </cell>
          <cell r="Z189">
            <v>-0.49156593081718136</v>
          </cell>
          <cell r="AA189">
            <v>-0.19528622333379575</v>
          </cell>
          <cell r="AB189">
            <v>0.10099348414958985</v>
          </cell>
          <cell r="AC189">
            <v>0.39727319163297548</v>
          </cell>
          <cell r="AD189">
            <v>0.69355289911636109</v>
          </cell>
          <cell r="AF189">
            <v>-4.1814298192349941E-2</v>
          </cell>
          <cell r="AG189">
            <v>-0.14340213872342417</v>
          </cell>
          <cell r="AI189" t="e">
            <v>#NAME?</v>
          </cell>
          <cell r="AJ189" t="e">
            <v>#NAME?</v>
          </cell>
          <cell r="AK189" t="e">
            <v>#NAME?</v>
          </cell>
          <cell r="AL189" t="e">
            <v>#NAME?</v>
          </cell>
          <cell r="AM189" t="e">
            <v>#NAME?</v>
          </cell>
          <cell r="AN189" t="e">
            <v>#NAME?</v>
          </cell>
          <cell r="AO189" t="e">
            <v>#NAME?</v>
          </cell>
          <cell r="AQ189" t="e">
            <v>#NAME?</v>
          </cell>
          <cell r="AR189" t="e">
            <v>#NAME?</v>
          </cell>
          <cell r="AS189" t="e">
            <v>#NAME?</v>
          </cell>
          <cell r="AT189" t="e">
            <v>#NAME?</v>
          </cell>
          <cell r="AU189" t="e">
            <v>#NAME?</v>
          </cell>
          <cell r="AV189" t="e">
            <v>#NAME?</v>
          </cell>
          <cell r="AW189" t="e">
            <v>#NAME?</v>
          </cell>
          <cell r="AY189" t="e">
            <v>#NAME?</v>
          </cell>
          <cell r="AZ189" t="e">
            <v>#NAME?</v>
          </cell>
          <cell r="BA189" t="e">
            <v>#NAME?</v>
          </cell>
          <cell r="BB189" t="e">
            <v>#NAME?</v>
          </cell>
          <cell r="BC189" t="e">
            <v>#NAME?</v>
          </cell>
          <cell r="BD189" t="e">
            <v>#DIV/0!</v>
          </cell>
          <cell r="BE189" t="e">
            <v>#DIV/0!</v>
          </cell>
          <cell r="BF189" t="e">
            <v>#DIV/0!</v>
          </cell>
          <cell r="BG189" t="e">
            <v>#DIV/0!</v>
          </cell>
          <cell r="BH189" t="e">
            <v>#DIV/0!</v>
          </cell>
          <cell r="BJ189" t="e">
            <v>#NAME?</v>
          </cell>
          <cell r="BK189" t="e">
            <v>#DIV/0!</v>
          </cell>
          <cell r="BM189" t="e">
            <v>#NAME?</v>
          </cell>
          <cell r="BN189" t="e">
            <v>#NAME?</v>
          </cell>
        </row>
        <row r="190">
          <cell r="A190">
            <v>39386</v>
          </cell>
          <cell r="B190">
            <v>16.29062925108077</v>
          </cell>
          <cell r="C190">
            <v>0</v>
          </cell>
          <cell r="D190">
            <v>2.38</v>
          </cell>
          <cell r="E190">
            <v>1</v>
          </cell>
          <cell r="F190">
            <v>2.38</v>
          </cell>
          <cell r="G190">
            <v>68.618611999999999</v>
          </cell>
          <cell r="H190">
            <v>163.31229655999999</v>
          </cell>
          <cell r="I190" t="e">
            <v>#NAME?</v>
          </cell>
          <cell r="K190" t="e">
            <v>#NAME?</v>
          </cell>
          <cell r="L190">
            <v>0.13600000000000001</v>
          </cell>
          <cell r="M190">
            <v>0.13600000000000001</v>
          </cell>
          <cell r="N190">
            <v>17.499999999999996</v>
          </cell>
          <cell r="O190">
            <v>6.485766775015831</v>
          </cell>
          <cell r="P190">
            <v>9.756133247744927</v>
          </cell>
          <cell r="Q190">
            <v>13.026499720474021</v>
          </cell>
          <cell r="R190">
            <v>16.296866193203115</v>
          </cell>
          <cell r="S190">
            <v>19.56723266593221</v>
          </cell>
          <cell r="U190">
            <v>7.423720289005975E-2</v>
          </cell>
          <cell r="V190">
            <v>6.9281499269670616E-2</v>
          </cell>
          <cell r="X190">
            <v>17.767897530071401</v>
          </cell>
          <cell r="Y190">
            <v>-1.5077615661504118E-2</v>
          </cell>
          <cell r="Z190">
            <v>-0.49156593081718136</v>
          </cell>
          <cell r="AA190">
            <v>-0.19528622333379575</v>
          </cell>
          <cell r="AB190">
            <v>0.10099348414958985</v>
          </cell>
          <cell r="AC190">
            <v>0.39727319163297548</v>
          </cell>
          <cell r="AD190">
            <v>0.69355289911636109</v>
          </cell>
          <cell r="AF190">
            <v>-9.2006596343356062E-2</v>
          </cell>
          <cell r="AG190">
            <v>-0.14340213872342417</v>
          </cell>
          <cell r="AI190" t="e">
            <v>#NAME?</v>
          </cell>
          <cell r="AJ190" t="e">
            <v>#NAME?</v>
          </cell>
          <cell r="AK190" t="e">
            <v>#NAME?</v>
          </cell>
          <cell r="AL190" t="e">
            <v>#NAME?</v>
          </cell>
          <cell r="AM190" t="e">
            <v>#NAME?</v>
          </cell>
          <cell r="AN190" t="e">
            <v>#NAME?</v>
          </cell>
          <cell r="AO190" t="e">
            <v>#NAME?</v>
          </cell>
          <cell r="AQ190" t="e">
            <v>#NAME?</v>
          </cell>
          <cell r="AR190" t="e">
            <v>#NAME?</v>
          </cell>
          <cell r="AS190" t="e">
            <v>#NAME?</v>
          </cell>
          <cell r="AT190" t="e">
            <v>#NAME?</v>
          </cell>
          <cell r="AU190" t="e">
            <v>#NAME?</v>
          </cell>
          <cell r="AV190" t="e">
            <v>#NAME?</v>
          </cell>
          <cell r="AW190" t="e">
            <v>#NAME?</v>
          </cell>
          <cell r="AY190" t="e">
            <v>#NAME?</v>
          </cell>
          <cell r="AZ190" t="e">
            <v>#NAME?</v>
          </cell>
          <cell r="BA190" t="e">
            <v>#NAME?</v>
          </cell>
          <cell r="BB190" t="e">
            <v>#NAME?</v>
          </cell>
          <cell r="BC190" t="e">
            <v>#NAME?</v>
          </cell>
          <cell r="BD190" t="e">
            <v>#DIV/0!</v>
          </cell>
          <cell r="BE190" t="e">
            <v>#DIV/0!</v>
          </cell>
          <cell r="BF190" t="e">
            <v>#DIV/0!</v>
          </cell>
          <cell r="BG190" t="e">
            <v>#DIV/0!</v>
          </cell>
          <cell r="BH190" t="e">
            <v>#DIV/0!</v>
          </cell>
          <cell r="BJ190" t="e">
            <v>#NAME?</v>
          </cell>
          <cell r="BK190" t="e">
            <v>#DIV/0!</v>
          </cell>
          <cell r="BM190" t="e">
            <v>#NAME?</v>
          </cell>
          <cell r="BN190" t="e">
            <v>#NAME?</v>
          </cell>
        </row>
        <row r="191">
          <cell r="A191">
            <v>39416</v>
          </cell>
          <cell r="B191">
            <v>15.696904966840087</v>
          </cell>
          <cell r="C191">
            <v>0</v>
          </cell>
          <cell r="D191">
            <v>2.4900000000000002</v>
          </cell>
          <cell r="E191">
            <v>1</v>
          </cell>
          <cell r="F191">
            <v>2.4900000000000002</v>
          </cell>
          <cell r="G191">
            <v>68.618611999999999</v>
          </cell>
          <cell r="H191">
            <v>170.86034388000002</v>
          </cell>
          <cell r="I191" t="e">
            <v>#NAME?</v>
          </cell>
          <cell r="K191" t="e">
            <v>#NAME?</v>
          </cell>
          <cell r="L191">
            <v>0.14000000000000001</v>
          </cell>
          <cell r="M191">
            <v>0.14000000000000001</v>
          </cell>
          <cell r="N191">
            <v>17.785714285714285</v>
          </cell>
          <cell r="O191">
            <v>6.485766775015831</v>
          </cell>
          <cell r="P191">
            <v>9.756133247744927</v>
          </cell>
          <cell r="Q191">
            <v>13.026499720474021</v>
          </cell>
          <cell r="R191">
            <v>16.296866193203115</v>
          </cell>
          <cell r="S191">
            <v>19.56723266593221</v>
          </cell>
          <cell r="U191">
            <v>0.13307141269484868</v>
          </cell>
          <cell r="V191">
            <v>6.9281499269670616E-2</v>
          </cell>
          <cell r="X191">
            <v>16.886626169774335</v>
          </cell>
          <cell r="Y191">
            <v>5.324261382355E-2</v>
          </cell>
          <cell r="Z191">
            <v>-0.49156593081718136</v>
          </cell>
          <cell r="AA191">
            <v>-0.19528622333379575</v>
          </cell>
          <cell r="AB191">
            <v>0.10099348414958985</v>
          </cell>
          <cell r="AC191">
            <v>0.39727319163297548</v>
          </cell>
          <cell r="AD191">
            <v>0.69355289911636109</v>
          </cell>
          <cell r="AF191">
            <v>-3.3088088387833947E-2</v>
          </cell>
          <cell r="AG191">
            <v>-0.14340213872342417</v>
          </cell>
          <cell r="AI191" t="e">
            <v>#NAME?</v>
          </cell>
          <cell r="AJ191" t="e">
            <v>#NAME?</v>
          </cell>
          <cell r="AK191" t="e">
            <v>#NAME?</v>
          </cell>
          <cell r="AL191" t="e">
            <v>#NAME?</v>
          </cell>
          <cell r="AM191" t="e">
            <v>#NAME?</v>
          </cell>
          <cell r="AN191" t="e">
            <v>#NAME?</v>
          </cell>
          <cell r="AO191" t="e">
            <v>#NAME?</v>
          </cell>
          <cell r="AQ191" t="e">
            <v>#NAME?</v>
          </cell>
          <cell r="AR191" t="e">
            <v>#NAME?</v>
          </cell>
          <cell r="AS191" t="e">
            <v>#NAME?</v>
          </cell>
          <cell r="AT191" t="e">
            <v>#NAME?</v>
          </cell>
          <cell r="AU191" t="e">
            <v>#NAME?</v>
          </cell>
          <cell r="AV191" t="e">
            <v>#NAME?</v>
          </cell>
          <cell r="AW191" t="e">
            <v>#NAME?</v>
          </cell>
          <cell r="AY191" t="e">
            <v>#NAME?</v>
          </cell>
          <cell r="AZ191" t="e">
            <v>#NAME?</v>
          </cell>
          <cell r="BA191" t="e">
            <v>#NAME?</v>
          </cell>
          <cell r="BB191" t="e">
            <v>#NAME?</v>
          </cell>
          <cell r="BC191" t="e">
            <v>#NAME?</v>
          </cell>
          <cell r="BD191" t="e">
            <v>#DIV/0!</v>
          </cell>
          <cell r="BE191" t="e">
            <v>#DIV/0!</v>
          </cell>
          <cell r="BF191" t="e">
            <v>#DIV/0!</v>
          </cell>
          <cell r="BG191" t="e">
            <v>#DIV/0!</v>
          </cell>
          <cell r="BH191" t="e">
            <v>#DIV/0!</v>
          </cell>
          <cell r="BJ191" t="e">
            <v>#NAME?</v>
          </cell>
          <cell r="BK191" t="e">
            <v>#DIV/0!</v>
          </cell>
          <cell r="BM191" t="e">
            <v>#NAME?</v>
          </cell>
          <cell r="BN191" t="e">
            <v>#NAME?</v>
          </cell>
        </row>
        <row r="192">
          <cell r="A192">
            <v>39447</v>
          </cell>
          <cell r="B192">
            <v>14.989372474865624</v>
          </cell>
          <cell r="C192">
            <v>0</v>
          </cell>
          <cell r="D192">
            <v>2.41</v>
          </cell>
          <cell r="E192">
            <v>1</v>
          </cell>
          <cell r="F192">
            <v>2.41</v>
          </cell>
          <cell r="G192">
            <v>68.618611999999999</v>
          </cell>
          <cell r="H192">
            <v>165.37085492</v>
          </cell>
          <cell r="I192" t="e">
            <v>#NAME?</v>
          </cell>
          <cell r="K192" t="e">
            <v>#NAME?</v>
          </cell>
          <cell r="L192">
            <v>0.14399999999999999</v>
          </cell>
          <cell r="M192">
            <v>0.14399999999999999</v>
          </cell>
          <cell r="N192">
            <v>16.736111111111114</v>
          </cell>
          <cell r="O192">
            <v>6.485766775015831</v>
          </cell>
          <cell r="P192">
            <v>9.756133247744927</v>
          </cell>
          <cell r="Q192">
            <v>13.026499720474021</v>
          </cell>
          <cell r="R192">
            <v>16.296866193203115</v>
          </cell>
          <cell r="S192">
            <v>19.56723266593221</v>
          </cell>
          <cell r="U192">
            <v>0.11653180539575247</v>
          </cell>
          <cell r="V192">
            <v>6.9281499269670616E-2</v>
          </cell>
          <cell r="X192">
            <v>15.618749291139205</v>
          </cell>
          <cell r="Y192">
            <v>7.1539775634007263E-2</v>
          </cell>
          <cell r="Z192">
            <v>-0.49156593081718136</v>
          </cell>
          <cell r="AA192">
            <v>-0.19528622333379575</v>
          </cell>
          <cell r="AB192">
            <v>0.10099348414958985</v>
          </cell>
          <cell r="AC192">
            <v>0.39727319163297548</v>
          </cell>
          <cell r="AD192">
            <v>0.69355289911636109</v>
          </cell>
          <cell r="AF192">
            <v>5.331969880642351E-2</v>
          </cell>
          <cell r="AG192">
            <v>-0.14340213872342417</v>
          </cell>
          <cell r="AI192" t="e">
            <v>#NAME?</v>
          </cell>
          <cell r="AJ192" t="e">
            <v>#NAME?</v>
          </cell>
          <cell r="AK192" t="e">
            <v>#NAME?</v>
          </cell>
          <cell r="AL192" t="e">
            <v>#NAME?</v>
          </cell>
          <cell r="AM192" t="e">
            <v>#NAME?</v>
          </cell>
          <cell r="AN192" t="e">
            <v>#NAME?</v>
          </cell>
          <cell r="AO192" t="e">
            <v>#NAME?</v>
          </cell>
          <cell r="AQ192" t="e">
            <v>#NAME?</v>
          </cell>
          <cell r="AR192" t="e">
            <v>#NAME?</v>
          </cell>
          <cell r="AS192" t="e">
            <v>#NAME?</v>
          </cell>
          <cell r="AT192" t="e">
            <v>#NAME?</v>
          </cell>
          <cell r="AU192" t="e">
            <v>#NAME?</v>
          </cell>
          <cell r="AV192" t="e">
            <v>#NAME?</v>
          </cell>
          <cell r="AW192" t="e">
            <v>#NAME?</v>
          </cell>
          <cell r="AY192" t="e">
            <v>#NAME?</v>
          </cell>
          <cell r="AZ192" t="e">
            <v>#NAME?</v>
          </cell>
          <cell r="BA192" t="e">
            <v>#NAME?</v>
          </cell>
          <cell r="BB192" t="e">
            <v>#NAME?</v>
          </cell>
          <cell r="BC192" t="e">
            <v>#NAME?</v>
          </cell>
          <cell r="BD192" t="e">
            <v>#DIV/0!</v>
          </cell>
          <cell r="BE192" t="e">
            <v>#DIV/0!</v>
          </cell>
          <cell r="BF192" t="e">
            <v>#DIV/0!</v>
          </cell>
          <cell r="BG192" t="e">
            <v>#DIV/0!</v>
          </cell>
          <cell r="BH192" t="e">
            <v>#DIV/0!</v>
          </cell>
          <cell r="BJ192" t="e">
            <v>#NAME?</v>
          </cell>
          <cell r="BK192" t="e">
            <v>#DIV/0!</v>
          </cell>
          <cell r="BM192" t="e">
            <v>#NAME?</v>
          </cell>
          <cell r="BN192" t="e">
            <v>#NAME?</v>
          </cell>
        </row>
        <row r="193">
          <cell r="A193">
            <v>39478</v>
          </cell>
          <cell r="B193">
            <v>12.517152452673628</v>
          </cell>
          <cell r="C193">
            <v>0</v>
          </cell>
          <cell r="D193">
            <v>2.4900000000000002</v>
          </cell>
          <cell r="E193">
            <v>1</v>
          </cell>
          <cell r="F193">
            <v>2.4900000000000002</v>
          </cell>
          <cell r="G193">
            <v>68.618611999999999</v>
          </cell>
          <cell r="H193">
            <v>170.86034388000002</v>
          </cell>
          <cell r="I193" t="e">
            <v>#NAME?</v>
          </cell>
          <cell r="K193" t="e">
            <v>#NAME?</v>
          </cell>
          <cell r="L193">
            <v>0.14699999999999999</v>
          </cell>
          <cell r="M193">
            <v>0.14699999999999999</v>
          </cell>
          <cell r="N193">
            <v>16.938775510204085</v>
          </cell>
          <cell r="O193">
            <v>6.485766775015831</v>
          </cell>
          <cell r="P193">
            <v>9.756133247744927</v>
          </cell>
          <cell r="Q193">
            <v>13.026499720474021</v>
          </cell>
          <cell r="R193">
            <v>16.296866193203115</v>
          </cell>
          <cell r="S193">
            <v>19.56723266593221</v>
          </cell>
          <cell r="U193">
            <v>0.35324512298210542</v>
          </cell>
          <cell r="V193">
            <v>6.9281499269670616E-2</v>
          </cell>
          <cell r="X193">
            <v>12.210707969300303</v>
          </cell>
          <cell r="Y193">
            <v>0.3872066675241852</v>
          </cell>
          <cell r="Z193">
            <v>-0.49156593081718136</v>
          </cell>
          <cell r="AA193">
            <v>-0.19528622333379575</v>
          </cell>
          <cell r="AB193">
            <v>0.10099348414958985</v>
          </cell>
          <cell r="AC193">
            <v>0.39727319163297548</v>
          </cell>
          <cell r="AD193">
            <v>0.69355289911636109</v>
          </cell>
          <cell r="AF193">
            <v>5.3111767114630837E-2</v>
          </cell>
          <cell r="AG193">
            <v>-0.14340213872342417</v>
          </cell>
          <cell r="AI193" t="e">
            <v>#NAME?</v>
          </cell>
          <cell r="AJ193" t="e">
            <v>#NAME?</v>
          </cell>
          <cell r="AK193" t="e">
            <v>#NAME?</v>
          </cell>
          <cell r="AL193" t="e">
            <v>#NAME?</v>
          </cell>
          <cell r="AM193" t="e">
            <v>#NAME?</v>
          </cell>
          <cell r="AN193" t="e">
            <v>#NAME?</v>
          </cell>
          <cell r="AO193" t="e">
            <v>#NAME?</v>
          </cell>
          <cell r="AQ193" t="e">
            <v>#NAME?</v>
          </cell>
          <cell r="AR193" t="e">
            <v>#NAME?</v>
          </cell>
          <cell r="AS193" t="e">
            <v>#NAME?</v>
          </cell>
          <cell r="AT193" t="e">
            <v>#NAME?</v>
          </cell>
          <cell r="AU193" t="e">
            <v>#NAME?</v>
          </cell>
          <cell r="AV193" t="e">
            <v>#NAME?</v>
          </cell>
          <cell r="AW193" t="e">
            <v>#NAME?</v>
          </cell>
          <cell r="AY193" t="e">
            <v>#NAME?</v>
          </cell>
          <cell r="AZ193" t="e">
            <v>#NAME?</v>
          </cell>
          <cell r="BA193" t="e">
            <v>#NAME?</v>
          </cell>
          <cell r="BB193" t="e">
            <v>#NAME?</v>
          </cell>
          <cell r="BC193" t="e">
            <v>#NAME?</v>
          </cell>
          <cell r="BD193" t="e">
            <v>#DIV/0!</v>
          </cell>
          <cell r="BE193" t="e">
            <v>#DIV/0!</v>
          </cell>
          <cell r="BF193" t="e">
            <v>#DIV/0!</v>
          </cell>
          <cell r="BG193" t="e">
            <v>#DIV/0!</v>
          </cell>
          <cell r="BH193" t="e">
            <v>#DIV/0!</v>
          </cell>
          <cell r="BJ193" t="e">
            <v>#NAME?</v>
          </cell>
          <cell r="BK193" t="e">
            <v>#DIV/0!</v>
          </cell>
          <cell r="BM193" t="e">
            <v>#NAME?</v>
          </cell>
          <cell r="BN193" t="e">
            <v>#NAME?</v>
          </cell>
        </row>
        <row r="194">
          <cell r="A194">
            <v>39507</v>
          </cell>
          <cell r="B194">
            <v>12.76507838017096</v>
          </cell>
          <cell r="C194">
            <v>0</v>
          </cell>
          <cell r="D194">
            <v>1.97</v>
          </cell>
          <cell r="E194">
            <v>1</v>
          </cell>
          <cell r="F194">
            <v>1.97</v>
          </cell>
          <cell r="G194">
            <v>68.618611999999999</v>
          </cell>
          <cell r="H194">
            <v>135.17866563999999</v>
          </cell>
          <cell r="I194" t="e">
            <v>#NAME?</v>
          </cell>
          <cell r="K194" t="e">
            <v>#NAME?</v>
          </cell>
          <cell r="L194">
            <v>0.14799999999999999</v>
          </cell>
          <cell r="M194">
            <v>0.14799999999999999</v>
          </cell>
          <cell r="N194">
            <v>13.310810810810811</v>
          </cell>
          <cell r="O194">
            <v>6.485766775015831</v>
          </cell>
          <cell r="P194">
            <v>9.756133247744927</v>
          </cell>
          <cell r="Q194">
            <v>13.026499720474021</v>
          </cell>
          <cell r="R194">
            <v>16.296866193203115</v>
          </cell>
          <cell r="S194">
            <v>19.56723266593221</v>
          </cell>
          <cell r="U194">
            <v>4.2751984311164115E-2</v>
          </cell>
          <cell r="V194">
            <v>6.9281499269670616E-2</v>
          </cell>
          <cell r="X194">
            <v>12.861701683885171</v>
          </cell>
          <cell r="Y194">
            <v>3.4918328691167178E-2</v>
          </cell>
          <cell r="Z194">
            <v>-0.49156593081718136</v>
          </cell>
          <cell r="AA194">
            <v>-0.19528622333379575</v>
          </cell>
          <cell r="AB194">
            <v>0.10099348414958985</v>
          </cell>
          <cell r="AC194">
            <v>0.39727319163297548</v>
          </cell>
          <cell r="AD194">
            <v>0.69355289911636109</v>
          </cell>
          <cell r="AF194">
            <v>-0.11306395123748547</v>
          </cell>
          <cell r="AG194">
            <v>-0.14340213872342417</v>
          </cell>
          <cell r="AI194" t="e">
            <v>#NAME?</v>
          </cell>
          <cell r="AJ194" t="e">
            <v>#NAME?</v>
          </cell>
          <cell r="AK194" t="e">
            <v>#NAME?</v>
          </cell>
          <cell r="AL194" t="e">
            <v>#NAME?</v>
          </cell>
          <cell r="AM194" t="e">
            <v>#NAME?</v>
          </cell>
          <cell r="AN194" t="e">
            <v>#NAME?</v>
          </cell>
          <cell r="AO194" t="e">
            <v>#NAME?</v>
          </cell>
          <cell r="AQ194" t="e">
            <v>#NAME?</v>
          </cell>
          <cell r="AR194" t="e">
            <v>#NAME?</v>
          </cell>
          <cell r="AS194" t="e">
            <v>#NAME?</v>
          </cell>
          <cell r="AT194" t="e">
            <v>#NAME?</v>
          </cell>
          <cell r="AU194" t="e">
            <v>#NAME?</v>
          </cell>
          <cell r="AV194" t="e">
            <v>#NAME?</v>
          </cell>
          <cell r="AW194" t="e">
            <v>#NAME?</v>
          </cell>
          <cell r="AY194" t="e">
            <v>#NAME?</v>
          </cell>
          <cell r="AZ194" t="e">
            <v>#NAME?</v>
          </cell>
          <cell r="BA194" t="e">
            <v>#NAME?</v>
          </cell>
          <cell r="BB194" t="e">
            <v>#NAME?</v>
          </cell>
          <cell r="BC194" t="e">
            <v>#NAME?</v>
          </cell>
          <cell r="BD194" t="e">
            <v>#DIV/0!</v>
          </cell>
          <cell r="BE194" t="e">
            <v>#DIV/0!</v>
          </cell>
          <cell r="BF194" t="e">
            <v>#DIV/0!</v>
          </cell>
          <cell r="BG194" t="e">
            <v>#DIV/0!</v>
          </cell>
          <cell r="BH194" t="e">
            <v>#DIV/0!</v>
          </cell>
          <cell r="BJ194" t="e">
            <v>#NAME?</v>
          </cell>
          <cell r="BK194" t="e">
            <v>#DIV/0!</v>
          </cell>
          <cell r="BM194" t="e">
            <v>#NAME?</v>
          </cell>
          <cell r="BN194" t="e">
            <v>#NAME?</v>
          </cell>
        </row>
        <row r="195">
          <cell r="A195">
            <v>39538</v>
          </cell>
          <cell r="B195">
            <v>11.826078778709189</v>
          </cell>
          <cell r="C195">
            <v>0</v>
          </cell>
          <cell r="D195">
            <v>1.75</v>
          </cell>
          <cell r="E195">
            <v>1</v>
          </cell>
          <cell r="F195">
            <v>1.75</v>
          </cell>
          <cell r="G195">
            <v>68.618611999999999</v>
          </cell>
          <cell r="H195">
            <v>120.082571</v>
          </cell>
          <cell r="I195" t="e">
            <v>#NAME?</v>
          </cell>
          <cell r="K195" t="e">
            <v>#NAME?</v>
          </cell>
          <cell r="L195">
            <v>0.15</v>
          </cell>
          <cell r="M195">
            <v>0.15</v>
          </cell>
          <cell r="N195">
            <v>11.666666666666668</v>
          </cell>
          <cell r="O195">
            <v>6.485766775015831</v>
          </cell>
          <cell r="P195">
            <v>9.756133247744927</v>
          </cell>
          <cell r="Q195">
            <v>13.026499720474021</v>
          </cell>
          <cell r="R195">
            <v>16.296866193203115</v>
          </cell>
          <cell r="S195">
            <v>19.56723266593221</v>
          </cell>
          <cell r="U195">
            <v>-1.3479709971957465E-2</v>
          </cell>
          <cell r="V195">
            <v>6.9281499269670616E-2</v>
          </cell>
          <cell r="X195">
            <v>11.472847581818614</v>
          </cell>
          <cell r="Y195">
            <v>1.6893720888892849E-2</v>
          </cell>
          <cell r="Z195">
            <v>-0.49156593081718136</v>
          </cell>
          <cell r="AA195">
            <v>-0.19528622333379575</v>
          </cell>
          <cell r="AB195">
            <v>0.10099348414958985</v>
          </cell>
          <cell r="AC195">
            <v>0.39727319163297548</v>
          </cell>
          <cell r="AD195">
            <v>0.69355289911636109</v>
          </cell>
          <cell r="AF195">
            <v>-0.11203598068646536</v>
          </cell>
          <cell r="AG195">
            <v>-0.14340213872342417</v>
          </cell>
          <cell r="AI195" t="e">
            <v>#NAME?</v>
          </cell>
          <cell r="AJ195" t="e">
            <v>#NAME?</v>
          </cell>
          <cell r="AK195" t="e">
            <v>#NAME?</v>
          </cell>
          <cell r="AL195" t="e">
            <v>#NAME?</v>
          </cell>
          <cell r="AM195" t="e">
            <v>#NAME?</v>
          </cell>
          <cell r="AN195" t="e">
            <v>#NAME?</v>
          </cell>
          <cell r="AO195" t="e">
            <v>#NAME?</v>
          </cell>
          <cell r="AQ195" t="e">
            <v>#NAME?</v>
          </cell>
          <cell r="AR195" t="e">
            <v>#NAME?</v>
          </cell>
          <cell r="AS195" t="e">
            <v>#NAME?</v>
          </cell>
          <cell r="AT195" t="e">
            <v>#NAME?</v>
          </cell>
          <cell r="AU195" t="e">
            <v>#NAME?</v>
          </cell>
          <cell r="AV195" t="e">
            <v>#NAME?</v>
          </cell>
          <cell r="AW195" t="e">
            <v>#NAME?</v>
          </cell>
          <cell r="AY195" t="e">
            <v>#NAME?</v>
          </cell>
          <cell r="AZ195" t="e">
            <v>#NAME?</v>
          </cell>
          <cell r="BA195" t="e">
            <v>#NAME?</v>
          </cell>
          <cell r="BB195" t="e">
            <v>#NAME?</v>
          </cell>
          <cell r="BC195" t="e">
            <v>#NAME?</v>
          </cell>
          <cell r="BD195" t="e">
            <v>#DIV/0!</v>
          </cell>
          <cell r="BE195" t="e">
            <v>#DIV/0!</v>
          </cell>
          <cell r="BF195" t="e">
            <v>#DIV/0!</v>
          </cell>
          <cell r="BG195" t="e">
            <v>#DIV/0!</v>
          </cell>
          <cell r="BH195" t="e">
            <v>#DIV/0!</v>
          </cell>
          <cell r="BJ195" t="e">
            <v>#NAME?</v>
          </cell>
          <cell r="BK195" t="e">
            <v>#DIV/0!</v>
          </cell>
          <cell r="BM195" t="e">
            <v>#NAME?</v>
          </cell>
          <cell r="BN195" t="e">
            <v>#NAME?</v>
          </cell>
        </row>
        <row r="196">
          <cell r="A196">
            <v>39568</v>
          </cell>
          <cell r="B196">
            <v>12.092972096534416</v>
          </cell>
          <cell r="C196">
            <v>0</v>
          </cell>
          <cell r="D196">
            <v>1.69</v>
          </cell>
          <cell r="E196">
            <v>1</v>
          </cell>
          <cell r="F196">
            <v>1.69</v>
          </cell>
          <cell r="G196">
            <v>68.618611999999999</v>
          </cell>
          <cell r="H196">
            <v>115.96545427999999</v>
          </cell>
          <cell r="I196" t="e">
            <v>#NAME?</v>
          </cell>
          <cell r="K196" t="e">
            <v>#NAME?</v>
          </cell>
          <cell r="L196">
            <v>0.151</v>
          </cell>
          <cell r="M196">
            <v>0.151</v>
          </cell>
          <cell r="N196">
            <v>11.19205298013245</v>
          </cell>
          <cell r="O196">
            <v>6.485766775015831</v>
          </cell>
          <cell r="P196">
            <v>9.756133247744927</v>
          </cell>
          <cell r="Q196">
            <v>13.026499720474021</v>
          </cell>
          <cell r="R196">
            <v>16.296866193203115</v>
          </cell>
          <cell r="S196">
            <v>19.56723266593221</v>
          </cell>
          <cell r="U196">
            <v>-7.4499395947514757E-2</v>
          </cell>
          <cell r="V196">
            <v>6.9281499269670616E-2</v>
          </cell>
          <cell r="X196">
            <v>12.215553923249219</v>
          </cell>
          <cell r="Y196">
            <v>-8.3786699280889221E-2</v>
          </cell>
          <cell r="Z196">
            <v>-0.49156593081718136</v>
          </cell>
          <cell r="AA196">
            <v>-0.19528622333379575</v>
          </cell>
          <cell r="AB196">
            <v>0.10099348414958985</v>
          </cell>
          <cell r="AC196">
            <v>0.39727319163297548</v>
          </cell>
          <cell r="AD196">
            <v>0.69355289911636109</v>
          </cell>
          <cell r="AF196">
            <v>-8.5333326953424882E-2</v>
          </cell>
          <cell r="AG196">
            <v>-0.14340213872342417</v>
          </cell>
          <cell r="AI196" t="e">
            <v>#NAME?</v>
          </cell>
          <cell r="AJ196" t="e">
            <v>#NAME?</v>
          </cell>
          <cell r="AK196" t="e">
            <v>#NAME?</v>
          </cell>
          <cell r="AL196" t="e">
            <v>#NAME?</v>
          </cell>
          <cell r="AM196" t="e">
            <v>#NAME?</v>
          </cell>
          <cell r="AN196" t="e">
            <v>#NAME?</v>
          </cell>
          <cell r="AO196" t="e">
            <v>#NAME?</v>
          </cell>
          <cell r="AQ196" t="e">
            <v>#NAME?</v>
          </cell>
          <cell r="AR196" t="e">
            <v>#NAME?</v>
          </cell>
          <cell r="AS196" t="e">
            <v>#NAME?</v>
          </cell>
          <cell r="AT196" t="e">
            <v>#NAME?</v>
          </cell>
          <cell r="AU196" t="e">
            <v>#NAME?</v>
          </cell>
          <cell r="AV196" t="e">
            <v>#NAME?</v>
          </cell>
          <cell r="AW196" t="e">
            <v>#NAME?</v>
          </cell>
          <cell r="AY196" t="e">
            <v>#NAME?</v>
          </cell>
          <cell r="AZ196" t="e">
            <v>#NAME?</v>
          </cell>
          <cell r="BA196" t="e">
            <v>#NAME?</v>
          </cell>
          <cell r="BB196" t="e">
            <v>#NAME?</v>
          </cell>
          <cell r="BC196" t="e">
            <v>#NAME?</v>
          </cell>
          <cell r="BD196" t="e">
            <v>#DIV/0!</v>
          </cell>
          <cell r="BE196" t="e">
            <v>#DIV/0!</v>
          </cell>
          <cell r="BF196" t="e">
            <v>#DIV/0!</v>
          </cell>
          <cell r="BG196" t="e">
            <v>#DIV/0!</v>
          </cell>
          <cell r="BH196" t="e">
            <v>#DIV/0!</v>
          </cell>
          <cell r="BJ196" t="e">
            <v>#NAME?</v>
          </cell>
          <cell r="BK196" t="e">
            <v>#DIV/0!</v>
          </cell>
          <cell r="BM196" t="e">
            <v>#NAME?</v>
          </cell>
          <cell r="BN196" t="e">
            <v>#NAME?</v>
          </cell>
        </row>
        <row r="197">
          <cell r="A197">
            <v>39599</v>
          </cell>
          <cell r="B197">
            <v>11.929356560884328</v>
          </cell>
          <cell r="C197">
            <v>0</v>
          </cell>
          <cell r="D197">
            <v>1.89</v>
          </cell>
          <cell r="E197">
            <v>1</v>
          </cell>
          <cell r="F197">
            <v>1.8900000000000001</v>
          </cell>
          <cell r="G197">
            <v>68.618611999999999</v>
          </cell>
          <cell r="H197">
            <v>129.68917668</v>
          </cell>
          <cell r="I197" t="e">
            <v>#NAME?</v>
          </cell>
          <cell r="K197" t="e">
            <v>#NAME?</v>
          </cell>
          <cell r="L197">
            <v>0.155</v>
          </cell>
          <cell r="M197">
            <v>0.155</v>
          </cell>
          <cell r="N197">
            <v>12.193548387096774</v>
          </cell>
          <cell r="O197">
            <v>6.485766775015831</v>
          </cell>
          <cell r="P197">
            <v>9.756133247744927</v>
          </cell>
          <cell r="Q197">
            <v>13.026499720474021</v>
          </cell>
          <cell r="R197">
            <v>16.296866193203115</v>
          </cell>
          <cell r="S197">
            <v>19.56723266593221</v>
          </cell>
          <cell r="U197">
            <v>2.214636010451021E-2</v>
          </cell>
          <cell r="V197">
            <v>6.9281499269670616E-2</v>
          </cell>
          <cell r="X197">
            <v>13.054753804796686</v>
          </cell>
          <cell r="Y197">
            <v>-6.5968721477036252E-2</v>
          </cell>
          <cell r="Z197">
            <v>-0.49156593081718136</v>
          </cell>
          <cell r="AA197">
            <v>-0.19528622333379575</v>
          </cell>
          <cell r="AB197">
            <v>0.10099348414958985</v>
          </cell>
          <cell r="AC197">
            <v>0.39727319163297548</v>
          </cell>
          <cell r="AD197">
            <v>0.69355289911636109</v>
          </cell>
          <cell r="AF197">
            <v>1.6040464261064313E-2</v>
          </cell>
          <cell r="AG197">
            <v>-0.14340213872342417</v>
          </cell>
          <cell r="AI197" t="e">
            <v>#NAME?</v>
          </cell>
          <cell r="AJ197" t="e">
            <v>#NAME?</v>
          </cell>
          <cell r="AK197" t="e">
            <v>#NAME?</v>
          </cell>
          <cell r="AL197" t="e">
            <v>#NAME?</v>
          </cell>
          <cell r="AM197" t="e">
            <v>#NAME?</v>
          </cell>
          <cell r="AN197" t="e">
            <v>#NAME?</v>
          </cell>
          <cell r="AO197" t="e">
            <v>#NAME?</v>
          </cell>
          <cell r="AQ197" t="e">
            <v>#NAME?</v>
          </cell>
          <cell r="AR197" t="e">
            <v>#NAME?</v>
          </cell>
          <cell r="AS197" t="e">
            <v>#NAME?</v>
          </cell>
          <cell r="AT197" t="e">
            <v>#NAME?</v>
          </cell>
          <cell r="AU197" t="e">
            <v>#NAME?</v>
          </cell>
          <cell r="AV197" t="e">
            <v>#NAME?</v>
          </cell>
          <cell r="AW197" t="e">
            <v>#NAME?</v>
          </cell>
          <cell r="AY197" t="e">
            <v>#NAME?</v>
          </cell>
          <cell r="AZ197" t="e">
            <v>#NAME?</v>
          </cell>
          <cell r="BA197" t="e">
            <v>#NAME?</v>
          </cell>
          <cell r="BB197" t="e">
            <v>#NAME?</v>
          </cell>
          <cell r="BC197" t="e">
            <v>#NAME?</v>
          </cell>
          <cell r="BD197" t="e">
            <v>#DIV/0!</v>
          </cell>
          <cell r="BE197" t="e">
            <v>#DIV/0!</v>
          </cell>
          <cell r="BF197" t="e">
            <v>#DIV/0!</v>
          </cell>
          <cell r="BG197" t="e">
            <v>#DIV/0!</v>
          </cell>
          <cell r="BH197" t="e">
            <v>#DIV/0!</v>
          </cell>
          <cell r="BJ197" t="e">
            <v>#NAME?</v>
          </cell>
          <cell r="BK197" t="e">
            <v>#DIV/0!</v>
          </cell>
          <cell r="BM197" t="e">
            <v>#NAME?</v>
          </cell>
          <cell r="BN197" t="e">
            <v>#NAME?</v>
          </cell>
        </row>
        <row r="198">
          <cell r="A198">
            <v>39629</v>
          </cell>
          <cell r="B198">
            <v>9.5670619924122136</v>
          </cell>
          <cell r="C198">
            <v>0</v>
          </cell>
          <cell r="D198">
            <v>1.86</v>
          </cell>
          <cell r="E198">
            <v>1</v>
          </cell>
          <cell r="F198">
            <v>1.86</v>
          </cell>
          <cell r="G198">
            <v>68.618611999999999</v>
          </cell>
          <cell r="H198">
            <v>127.63061832000001</v>
          </cell>
          <cell r="I198" t="e">
            <v>#NAME?</v>
          </cell>
          <cell r="K198" t="e">
            <v>#NAME?</v>
          </cell>
          <cell r="L198">
            <v>0.158</v>
          </cell>
          <cell r="M198">
            <v>0.158</v>
          </cell>
          <cell r="N198">
            <v>11.772151898734178</v>
          </cell>
          <cell r="O198">
            <v>6.485766775015831</v>
          </cell>
          <cell r="P198">
            <v>9.756133247744927</v>
          </cell>
          <cell r="Q198">
            <v>13.026499720474021</v>
          </cell>
          <cell r="R198">
            <v>16.296866193203115</v>
          </cell>
          <cell r="S198">
            <v>19.56723266593221</v>
          </cell>
          <cell r="U198">
            <v>0.23048767825178262</v>
          </cell>
          <cell r="V198">
            <v>6.9281499269670616E-2</v>
          </cell>
          <cell r="X198">
            <v>12.074932315269944</v>
          </cell>
          <cell r="Y198">
            <v>-2.5075123290991042E-2</v>
          </cell>
          <cell r="Z198">
            <v>-0.49156593081718136</v>
          </cell>
          <cell r="AA198">
            <v>-0.19528622333379575</v>
          </cell>
          <cell r="AB198">
            <v>0.10099348414958985</v>
          </cell>
          <cell r="AC198">
            <v>0.39727319163297548</v>
          </cell>
          <cell r="AD198">
            <v>0.69355289911636109</v>
          </cell>
          <cell r="AF198">
            <v>0.23620676904389115</v>
          </cell>
          <cell r="AG198">
            <v>-0.14340213872342417</v>
          </cell>
          <cell r="AI198" t="e">
            <v>#NAME?</v>
          </cell>
          <cell r="AJ198" t="e">
            <v>#NAME?</v>
          </cell>
          <cell r="AK198" t="e">
            <v>#NAME?</v>
          </cell>
          <cell r="AL198" t="e">
            <v>#NAME?</v>
          </cell>
          <cell r="AM198" t="e">
            <v>#NAME?</v>
          </cell>
          <cell r="AN198" t="e">
            <v>#NAME?</v>
          </cell>
          <cell r="AO198" t="e">
            <v>#NAME?</v>
          </cell>
          <cell r="AQ198" t="e">
            <v>#NAME?</v>
          </cell>
          <cell r="AR198" t="e">
            <v>#NAME?</v>
          </cell>
          <cell r="AS198" t="e">
            <v>#NAME?</v>
          </cell>
          <cell r="AT198" t="e">
            <v>#NAME?</v>
          </cell>
          <cell r="AU198" t="e">
            <v>#NAME?</v>
          </cell>
          <cell r="AV198" t="e">
            <v>#NAME?</v>
          </cell>
          <cell r="AW198" t="e">
            <v>#NAME?</v>
          </cell>
          <cell r="AY198" t="e">
            <v>#NAME?</v>
          </cell>
          <cell r="AZ198" t="e">
            <v>#NAME?</v>
          </cell>
          <cell r="BA198" t="e">
            <v>#NAME?</v>
          </cell>
          <cell r="BB198" t="e">
            <v>#NAME?</v>
          </cell>
          <cell r="BC198" t="e">
            <v>#NAME?</v>
          </cell>
          <cell r="BD198" t="e">
            <v>#DIV/0!</v>
          </cell>
          <cell r="BE198" t="e">
            <v>#DIV/0!</v>
          </cell>
          <cell r="BF198" t="e">
            <v>#DIV/0!</v>
          </cell>
          <cell r="BG198" t="e">
            <v>#DIV/0!</v>
          </cell>
          <cell r="BH198" t="e">
            <v>#DIV/0!</v>
          </cell>
          <cell r="BJ198" t="e">
            <v>#NAME?</v>
          </cell>
          <cell r="BK198" t="e">
            <v>#DIV/0!</v>
          </cell>
          <cell r="BM198" t="e">
            <v>#NAME?</v>
          </cell>
          <cell r="BN198" t="e">
            <v>#NAME?</v>
          </cell>
        </row>
        <row r="199">
          <cell r="A199">
            <v>39660</v>
          </cell>
          <cell r="B199">
            <v>9.9789255967727879</v>
          </cell>
          <cell r="C199">
            <v>0</v>
          </cell>
          <cell r="D199">
            <v>1.53</v>
          </cell>
          <cell r="E199">
            <v>1</v>
          </cell>
          <cell r="F199">
            <v>1.53</v>
          </cell>
          <cell r="G199">
            <v>69.834591000000003</v>
          </cell>
          <cell r="H199">
            <v>106.84692423000001</v>
          </cell>
          <cell r="I199" t="e">
            <v>#NAME?</v>
          </cell>
          <cell r="K199" t="e">
            <v>#NAME?</v>
          </cell>
          <cell r="L199">
            <v>0.17</v>
          </cell>
          <cell r="M199">
            <v>0.17</v>
          </cell>
          <cell r="N199">
            <v>9</v>
          </cell>
          <cell r="O199">
            <v>6.485766775015831</v>
          </cell>
          <cell r="P199">
            <v>9.756133247744927</v>
          </cell>
          <cell r="Q199">
            <v>13.026499720474021</v>
          </cell>
          <cell r="R199">
            <v>16.296866193203115</v>
          </cell>
          <cell r="S199">
            <v>19.56723266593221</v>
          </cell>
          <cell r="U199">
            <v>-9.8099298093712095E-2</v>
          </cell>
          <cell r="V199">
            <v>6.9281499269670616E-2</v>
          </cell>
          <cell r="X199">
            <v>11.886919684223567</v>
          </cell>
          <cell r="Y199">
            <v>-0.24286524691969735</v>
          </cell>
          <cell r="Z199">
            <v>-0.49156593081718136</v>
          </cell>
          <cell r="AA199">
            <v>-0.19528622333379575</v>
          </cell>
          <cell r="AB199">
            <v>0.10099348414958985</v>
          </cell>
          <cell r="AC199">
            <v>0.39727319163297548</v>
          </cell>
          <cell r="AD199">
            <v>0.69355289911636109</v>
          </cell>
          <cell r="AF199">
            <v>0.30290458512753338</v>
          </cell>
          <cell r="AG199">
            <v>-0.14340213872342417</v>
          </cell>
          <cell r="AI199" t="e">
            <v>#NAME?</v>
          </cell>
          <cell r="AJ199" t="e">
            <v>#NAME?</v>
          </cell>
          <cell r="AK199" t="e">
            <v>#NAME?</v>
          </cell>
          <cell r="AL199" t="e">
            <v>#NAME?</v>
          </cell>
          <cell r="AM199" t="e">
            <v>#NAME?</v>
          </cell>
          <cell r="AN199" t="e">
            <v>#NAME?</v>
          </cell>
          <cell r="AO199" t="e">
            <v>#NAME?</v>
          </cell>
          <cell r="AQ199" t="e">
            <v>#NAME?</v>
          </cell>
          <cell r="AR199" t="e">
            <v>#NAME?</v>
          </cell>
          <cell r="AS199" t="e">
            <v>#NAME?</v>
          </cell>
          <cell r="AT199" t="e">
            <v>#NAME?</v>
          </cell>
          <cell r="AU199" t="e">
            <v>#NAME?</v>
          </cell>
          <cell r="AV199" t="e">
            <v>#NAME?</v>
          </cell>
          <cell r="AW199" t="e">
            <v>#NAME?</v>
          </cell>
          <cell r="AY199" t="e">
            <v>#NAME?</v>
          </cell>
          <cell r="AZ199" t="e">
            <v>#NAME?</v>
          </cell>
          <cell r="BA199" t="e">
            <v>#NAME?</v>
          </cell>
          <cell r="BB199" t="e">
            <v>#NAME?</v>
          </cell>
          <cell r="BC199" t="e">
            <v>#NAME?</v>
          </cell>
          <cell r="BD199" t="e">
            <v>#DIV/0!</v>
          </cell>
          <cell r="BE199" t="e">
            <v>#DIV/0!</v>
          </cell>
          <cell r="BF199" t="e">
            <v>#DIV/0!</v>
          </cell>
          <cell r="BG199" t="e">
            <v>#DIV/0!</v>
          </cell>
          <cell r="BH199" t="e">
            <v>#DIV/0!</v>
          </cell>
          <cell r="BJ199" t="e">
            <v>#NAME?</v>
          </cell>
          <cell r="BK199" t="e">
            <v>#DIV/0!</v>
          </cell>
          <cell r="BM199" t="e">
            <v>#NAME?</v>
          </cell>
          <cell r="BN199" t="e">
            <v>#NAME?</v>
          </cell>
        </row>
        <row r="200">
          <cell r="A200">
            <v>39691</v>
          </cell>
          <cell r="B200">
            <v>10.54867326849056</v>
          </cell>
          <cell r="C200">
            <v>0</v>
          </cell>
          <cell r="D200">
            <v>1.6</v>
          </cell>
          <cell r="E200">
            <v>1</v>
          </cell>
          <cell r="F200">
            <v>1.6</v>
          </cell>
          <cell r="G200">
            <v>69.834591000000003</v>
          </cell>
          <cell r="H200">
            <v>111.73534560000002</v>
          </cell>
          <cell r="I200" t="e">
            <v>#NAME?</v>
          </cell>
          <cell r="K200" t="e">
            <v>#NAME?</v>
          </cell>
          <cell r="L200">
            <v>0.17100000000000001</v>
          </cell>
          <cell r="M200">
            <v>0.17100000000000001</v>
          </cell>
          <cell r="N200">
            <v>9.3567251461988299</v>
          </cell>
          <cell r="O200">
            <v>6.485766775015831</v>
          </cell>
          <cell r="P200">
            <v>9.756133247744927</v>
          </cell>
          <cell r="Q200">
            <v>13.026499720474021</v>
          </cell>
          <cell r="R200">
            <v>16.296866193203115</v>
          </cell>
          <cell r="S200">
            <v>19.56723266593221</v>
          </cell>
          <cell r="U200">
            <v>-0.11299507454194657</v>
          </cell>
          <cell r="V200">
            <v>6.9281499269670616E-2</v>
          </cell>
          <cell r="X200">
            <v>12.860629089879547</v>
          </cell>
          <cell r="Y200">
            <v>-0.2724519865391386</v>
          </cell>
          <cell r="Z200">
            <v>-0.49156593081718136</v>
          </cell>
          <cell r="AA200">
            <v>-0.19528622333379575</v>
          </cell>
          <cell r="AB200">
            <v>0.10099348414958985</v>
          </cell>
          <cell r="AC200">
            <v>0.39727319163297548</v>
          </cell>
          <cell r="AD200">
            <v>0.69355289911636109</v>
          </cell>
          <cell r="AF200">
            <v>0.22051173770865073</v>
          </cell>
          <cell r="AG200">
            <v>-0.14340213872342417</v>
          </cell>
          <cell r="AI200" t="e">
            <v>#NAME?</v>
          </cell>
          <cell r="AJ200" t="e">
            <v>#NAME?</v>
          </cell>
          <cell r="AK200" t="e">
            <v>#NAME?</v>
          </cell>
          <cell r="AL200" t="e">
            <v>#NAME?</v>
          </cell>
          <cell r="AM200" t="e">
            <v>#NAME?</v>
          </cell>
          <cell r="AN200" t="e">
            <v>#NAME?</v>
          </cell>
          <cell r="AO200" t="e">
            <v>#NAME?</v>
          </cell>
          <cell r="AQ200" t="e">
            <v>#NAME?</v>
          </cell>
          <cell r="AR200" t="e">
            <v>#NAME?</v>
          </cell>
          <cell r="AS200" t="e">
            <v>#NAME?</v>
          </cell>
          <cell r="AT200" t="e">
            <v>#NAME?</v>
          </cell>
          <cell r="AU200" t="e">
            <v>#NAME?</v>
          </cell>
          <cell r="AV200" t="e">
            <v>#NAME?</v>
          </cell>
          <cell r="AW200" t="e">
            <v>#NAME?</v>
          </cell>
          <cell r="AY200" t="e">
            <v>#NAME?</v>
          </cell>
          <cell r="AZ200" t="e">
            <v>#NAME?</v>
          </cell>
          <cell r="BA200" t="e">
            <v>#NAME?</v>
          </cell>
          <cell r="BB200" t="e">
            <v>#NAME?</v>
          </cell>
          <cell r="BC200" t="e">
            <v>#NAME?</v>
          </cell>
          <cell r="BD200" t="e">
            <v>#DIV/0!</v>
          </cell>
          <cell r="BE200" t="e">
            <v>#DIV/0!</v>
          </cell>
          <cell r="BF200" t="e">
            <v>#DIV/0!</v>
          </cell>
          <cell r="BG200" t="e">
            <v>#DIV/0!</v>
          </cell>
          <cell r="BH200" t="e">
            <v>#DIV/0!</v>
          </cell>
          <cell r="BJ200" t="e">
            <v>#NAME?</v>
          </cell>
          <cell r="BK200" t="e">
            <v>#DIV/0!</v>
          </cell>
          <cell r="BM200" t="e">
            <v>#NAME?</v>
          </cell>
          <cell r="BN200" t="e">
            <v>#NAME?</v>
          </cell>
        </row>
        <row r="201">
          <cell r="A201">
            <v>39721</v>
          </cell>
          <cell r="B201">
            <v>9.8599500889592608</v>
          </cell>
          <cell r="C201">
            <v>0</v>
          </cell>
          <cell r="D201">
            <v>1.76</v>
          </cell>
          <cell r="E201">
            <v>1</v>
          </cell>
          <cell r="F201">
            <v>1.76</v>
          </cell>
          <cell r="G201">
            <v>69.834591000000003</v>
          </cell>
          <cell r="H201">
            <v>122.90888016000001</v>
          </cell>
          <cell r="I201" t="e">
            <v>#NAME?</v>
          </cell>
          <cell r="K201" t="e">
            <v>#NAME?</v>
          </cell>
          <cell r="L201">
            <v>0.17499999999999999</v>
          </cell>
          <cell r="M201">
            <v>0.17499999999999999</v>
          </cell>
          <cell r="N201">
            <v>10.057142857142859</v>
          </cell>
          <cell r="O201">
            <v>6.485766775015831</v>
          </cell>
          <cell r="P201">
            <v>9.756133247744927</v>
          </cell>
          <cell r="Q201">
            <v>13.026499720474021</v>
          </cell>
          <cell r="R201">
            <v>16.296866193203115</v>
          </cell>
          <cell r="S201">
            <v>19.56723266593221</v>
          </cell>
          <cell r="U201">
            <v>1.9999367786293964E-2</v>
          </cell>
          <cell r="V201">
            <v>6.9281499269670616E-2</v>
          </cell>
          <cell r="X201">
            <v>10.209822820002694</v>
          </cell>
          <cell r="Y201">
            <v>-1.4954222570905951E-2</v>
          </cell>
          <cell r="Z201">
            <v>-0.49156593081718136</v>
          </cell>
          <cell r="AA201">
            <v>-0.19528622333379575</v>
          </cell>
          <cell r="AB201">
            <v>0.10099348414958985</v>
          </cell>
          <cell r="AC201">
            <v>0.39727319163297548</v>
          </cell>
          <cell r="AD201">
            <v>0.69355289911636109</v>
          </cell>
          <cell r="AF201">
            <v>6.7155626776515431E-2</v>
          </cell>
          <cell r="AG201">
            <v>-0.14340213872342417</v>
          </cell>
          <cell r="AI201" t="e">
            <v>#NAME?</v>
          </cell>
          <cell r="AJ201" t="e">
            <v>#NAME?</v>
          </cell>
          <cell r="AK201" t="e">
            <v>#NAME?</v>
          </cell>
          <cell r="AL201" t="e">
            <v>#NAME?</v>
          </cell>
          <cell r="AM201" t="e">
            <v>#NAME?</v>
          </cell>
          <cell r="AN201" t="e">
            <v>#NAME?</v>
          </cell>
          <cell r="AO201" t="e">
            <v>#NAME?</v>
          </cell>
          <cell r="AQ201" t="e">
            <v>#NAME?</v>
          </cell>
          <cell r="AR201" t="e">
            <v>#NAME?</v>
          </cell>
          <cell r="AS201" t="e">
            <v>#NAME?</v>
          </cell>
          <cell r="AT201" t="e">
            <v>#NAME?</v>
          </cell>
          <cell r="AU201" t="e">
            <v>#NAME?</v>
          </cell>
          <cell r="AV201" t="e">
            <v>#NAME?</v>
          </cell>
          <cell r="AW201" t="e">
            <v>#NAME?</v>
          </cell>
          <cell r="AY201" t="e">
            <v>#NAME?</v>
          </cell>
          <cell r="AZ201" t="e">
            <v>#NAME?</v>
          </cell>
          <cell r="BA201" t="e">
            <v>#NAME?</v>
          </cell>
          <cell r="BB201" t="e">
            <v>#NAME?</v>
          </cell>
          <cell r="BC201" t="e">
            <v>#NAME?</v>
          </cell>
          <cell r="BD201" t="e">
            <v>#DIV/0!</v>
          </cell>
          <cell r="BE201" t="e">
            <v>#DIV/0!</v>
          </cell>
          <cell r="BF201" t="e">
            <v>#DIV/0!</v>
          </cell>
          <cell r="BG201" t="e">
            <v>#DIV/0!</v>
          </cell>
          <cell r="BH201" t="e">
            <v>#DIV/0!</v>
          </cell>
          <cell r="BJ201" t="e">
            <v>#NAME?</v>
          </cell>
          <cell r="BK201" t="e">
            <v>#DIV/0!</v>
          </cell>
          <cell r="BM201" t="e">
            <v>#NAME?</v>
          </cell>
          <cell r="BN201" t="e">
            <v>#NAME?</v>
          </cell>
        </row>
        <row r="202">
          <cell r="A202">
            <v>39752</v>
          </cell>
          <cell r="B202">
            <v>8.1170312647546652</v>
          </cell>
          <cell r="C202" t="e">
            <v>#REF!</v>
          </cell>
          <cell r="D202">
            <v>1.75</v>
          </cell>
          <cell r="E202">
            <v>1</v>
          </cell>
          <cell r="F202">
            <v>1.75</v>
          </cell>
          <cell r="G202">
            <v>69.834591000000003</v>
          </cell>
          <cell r="H202">
            <v>122.21053425000001</v>
          </cell>
          <cell r="I202" t="e">
            <v>#NAME?</v>
          </cell>
          <cell r="K202" t="e">
            <v>#NAME?</v>
          </cell>
          <cell r="L202">
            <v>0.18</v>
          </cell>
          <cell r="M202">
            <v>0.18</v>
          </cell>
          <cell r="N202">
            <v>9.7222222222222232</v>
          </cell>
          <cell r="O202">
            <v>6.485766775015831</v>
          </cell>
          <cell r="P202">
            <v>9.756133247744927</v>
          </cell>
          <cell r="Q202">
            <v>13.026499720474021</v>
          </cell>
          <cell r="R202">
            <v>16.296866193203115</v>
          </cell>
          <cell r="S202">
            <v>19.56723266593221</v>
          </cell>
          <cell r="U202">
            <v>0.1977559165550502</v>
          </cell>
          <cell r="V202">
            <v>6.9281499269670616E-2</v>
          </cell>
          <cell r="X202">
            <v>5.8570168746199087</v>
          </cell>
          <cell r="Y202">
            <v>0.65992730264297683</v>
          </cell>
          <cell r="Z202">
            <v>-0.49156593081718136</v>
          </cell>
          <cell r="AA202">
            <v>-0.19528622333379575</v>
          </cell>
          <cell r="AB202">
            <v>0.10099348414958985</v>
          </cell>
          <cell r="AC202">
            <v>0.39727319163297548</v>
          </cell>
          <cell r="AD202">
            <v>0.69355289911636109</v>
          </cell>
          <cell r="AF202">
            <v>-9.387727426268333E-2</v>
          </cell>
          <cell r="AG202">
            <v>-0.14340213872342417</v>
          </cell>
          <cell r="AI202" t="e">
            <v>#NAME?</v>
          </cell>
          <cell r="AJ202" t="e">
            <v>#NAME?</v>
          </cell>
          <cell r="AK202" t="e">
            <v>#NAME?</v>
          </cell>
          <cell r="AL202" t="e">
            <v>#NAME?</v>
          </cell>
          <cell r="AM202" t="e">
            <v>#NAME?</v>
          </cell>
          <cell r="AN202" t="e">
            <v>#NAME?</v>
          </cell>
          <cell r="AO202" t="e">
            <v>#NAME?</v>
          </cell>
          <cell r="AQ202" t="e">
            <v>#NAME?</v>
          </cell>
          <cell r="AR202" t="e">
            <v>#NAME?</v>
          </cell>
          <cell r="AS202" t="e">
            <v>#NAME?</v>
          </cell>
          <cell r="AT202" t="e">
            <v>#NAME?</v>
          </cell>
          <cell r="AU202" t="e">
            <v>#NAME?</v>
          </cell>
          <cell r="AV202" t="e">
            <v>#NAME?</v>
          </cell>
          <cell r="AW202" t="e">
            <v>#NAME?</v>
          </cell>
          <cell r="AY202" t="e">
            <v>#NAME?</v>
          </cell>
          <cell r="AZ202" t="e">
            <v>#NAME?</v>
          </cell>
          <cell r="BA202" t="e">
            <v>#NAME?</v>
          </cell>
          <cell r="BB202" t="e">
            <v>#NAME?</v>
          </cell>
          <cell r="BC202" t="e">
            <v>#NAME?</v>
          </cell>
          <cell r="BD202" t="e">
            <v>#DIV/0!</v>
          </cell>
          <cell r="BE202" t="e">
            <v>#DIV/0!</v>
          </cell>
          <cell r="BF202" t="e">
            <v>#DIV/0!</v>
          </cell>
          <cell r="BG202" t="e">
            <v>#DIV/0!</v>
          </cell>
          <cell r="BH202" t="e">
            <v>#DIV/0!</v>
          </cell>
          <cell r="BJ202" t="e">
            <v>#NAME?</v>
          </cell>
          <cell r="BK202" t="e">
            <v>#DIV/0!</v>
          </cell>
          <cell r="BM202" t="e">
            <v>#NAME?</v>
          </cell>
          <cell r="BN202" t="e">
            <v>#NAME?</v>
          </cell>
        </row>
        <row r="203">
          <cell r="A203">
            <v>39782</v>
          </cell>
          <cell r="B203">
            <v>7.3555440344806122</v>
          </cell>
          <cell r="C203" t="e">
            <v>#REF!</v>
          </cell>
          <cell r="D203">
            <v>1.51</v>
          </cell>
          <cell r="E203">
            <v>1</v>
          </cell>
          <cell r="F203">
            <v>1.51</v>
          </cell>
          <cell r="G203">
            <v>69.834591000000003</v>
          </cell>
          <cell r="H203">
            <v>105.45023241000001</v>
          </cell>
          <cell r="I203" t="e">
            <v>#NAME?</v>
          </cell>
          <cell r="K203" t="e">
            <v>#NAME?</v>
          </cell>
          <cell r="L203">
            <v>0.18099999999999999</v>
          </cell>
          <cell r="M203">
            <v>0.18099999999999999</v>
          </cell>
          <cell r="N203">
            <v>8.3425414364640886</v>
          </cell>
          <cell r="O203">
            <v>6.485766775015831</v>
          </cell>
          <cell r="P203">
            <v>9.756133247744927</v>
          </cell>
          <cell r="Q203">
            <v>13.026499720474021</v>
          </cell>
          <cell r="R203">
            <v>16.296866193203115</v>
          </cell>
          <cell r="S203">
            <v>19.56723266593221</v>
          </cell>
          <cell r="U203">
            <v>0.13418414699942316</v>
          </cell>
          <cell r="V203">
            <v>6.9281499269670616E-2</v>
          </cell>
          <cell r="X203">
            <v>4.5517861802594117</v>
          </cell>
          <cell r="Y203">
            <v>0.83280609107799464</v>
          </cell>
          <cell r="Z203">
            <v>-0.49156593081718136</v>
          </cell>
          <cell r="AA203">
            <v>-0.19528622333379575</v>
          </cell>
          <cell r="AB203">
            <v>0.10099348414958985</v>
          </cell>
          <cell r="AC203">
            <v>0.39727319163297548</v>
          </cell>
          <cell r="AD203">
            <v>0.69355289911636109</v>
          </cell>
          <cell r="AF203">
            <v>-5.9884416427895104E-2</v>
          </cell>
          <cell r="AG203">
            <v>-0.14340213872342417</v>
          </cell>
          <cell r="AI203" t="e">
            <v>#NAME?</v>
          </cell>
          <cell r="AJ203" t="e">
            <v>#NAME?</v>
          </cell>
          <cell r="AK203" t="e">
            <v>#NAME?</v>
          </cell>
          <cell r="AL203" t="e">
            <v>#NAME?</v>
          </cell>
          <cell r="AM203" t="e">
            <v>#NAME?</v>
          </cell>
          <cell r="AN203" t="e">
            <v>#NAME?</v>
          </cell>
          <cell r="AO203" t="e">
            <v>#NAME?</v>
          </cell>
          <cell r="AQ203" t="e">
            <v>#NAME?</v>
          </cell>
          <cell r="AR203" t="e">
            <v>#NAME?</v>
          </cell>
          <cell r="AS203" t="e">
            <v>#NAME?</v>
          </cell>
          <cell r="AT203" t="e">
            <v>#NAME?</v>
          </cell>
          <cell r="AU203" t="e">
            <v>#NAME?</v>
          </cell>
          <cell r="AV203" t="e">
            <v>#NAME?</v>
          </cell>
          <cell r="AW203" t="e">
            <v>#NAME?</v>
          </cell>
          <cell r="AY203" t="e">
            <v>#NAME?</v>
          </cell>
          <cell r="AZ203" t="e">
            <v>#NAME?</v>
          </cell>
          <cell r="BA203" t="e">
            <v>#NAME?</v>
          </cell>
          <cell r="BB203" t="e">
            <v>#NAME?</v>
          </cell>
          <cell r="BC203" t="e">
            <v>#NAME?</v>
          </cell>
          <cell r="BD203" t="e">
            <v>#DIV/0!</v>
          </cell>
          <cell r="BE203" t="e">
            <v>#DIV/0!</v>
          </cell>
          <cell r="BF203" t="e">
            <v>#DIV/0!</v>
          </cell>
          <cell r="BG203" t="e">
            <v>#DIV/0!</v>
          </cell>
          <cell r="BH203" t="e">
            <v>#DIV/0!</v>
          </cell>
          <cell r="BJ203" t="e">
            <v>#NAME?</v>
          </cell>
          <cell r="BK203" t="e">
            <v>#DIV/0!</v>
          </cell>
          <cell r="BM203" t="e">
            <v>#NAME?</v>
          </cell>
          <cell r="BN203" t="e">
            <v>#NAME?</v>
          </cell>
        </row>
        <row r="204">
          <cell r="A204">
            <v>39813</v>
          </cell>
          <cell r="B204">
            <v>7.4394341131949684</v>
          </cell>
          <cell r="C204" t="e">
            <v>#REF!</v>
          </cell>
          <cell r="D204">
            <v>1.2</v>
          </cell>
          <cell r="E204">
            <v>1</v>
          </cell>
          <cell r="F204">
            <v>1.2000000000000002</v>
          </cell>
          <cell r="G204">
            <v>69.834591000000003</v>
          </cell>
          <cell r="H204">
            <v>83.801509200000012</v>
          </cell>
          <cell r="I204" t="e">
            <v>#NAME?</v>
          </cell>
          <cell r="K204" t="e">
            <v>#NAME?</v>
          </cell>
          <cell r="L204">
            <v>0.17100000000000001</v>
          </cell>
          <cell r="M204">
            <v>0.17100000000000001</v>
          </cell>
          <cell r="N204">
            <v>7.0175438596491224</v>
          </cell>
          <cell r="O204">
            <v>6.485766775015831</v>
          </cell>
          <cell r="P204">
            <v>9.756133247744927</v>
          </cell>
          <cell r="Q204">
            <v>13.026499720474021</v>
          </cell>
          <cell r="R204">
            <v>16.296866193203115</v>
          </cell>
          <cell r="S204">
            <v>19.56723266593221</v>
          </cell>
          <cell r="U204">
            <v>-5.6709992605157855E-2</v>
          </cell>
          <cell r="V204">
            <v>6.9281499269670616E-2</v>
          </cell>
          <cell r="X204">
            <v>4.4044416437089895</v>
          </cell>
          <cell r="Y204">
            <v>0.59328796413332285</v>
          </cell>
          <cell r="Z204">
            <v>-0.49156593081718136</v>
          </cell>
          <cell r="AA204">
            <v>-0.19528622333379575</v>
          </cell>
          <cell r="AB204">
            <v>0.10099348414958985</v>
          </cell>
          <cell r="AC204">
            <v>0.39727319163297548</v>
          </cell>
          <cell r="AD204">
            <v>0.69355289911636109</v>
          </cell>
          <cell r="AF204">
            <v>-8.4377358095737431E-3</v>
          </cell>
          <cell r="AG204">
            <v>-0.14340213872342417</v>
          </cell>
          <cell r="AI204" t="e">
            <v>#NAME?</v>
          </cell>
          <cell r="AJ204" t="e">
            <v>#NAME?</v>
          </cell>
          <cell r="AK204" t="e">
            <v>#NAME?</v>
          </cell>
          <cell r="AL204" t="e">
            <v>#NAME?</v>
          </cell>
          <cell r="AM204" t="e">
            <v>#NAME?</v>
          </cell>
          <cell r="AN204" t="e">
            <v>#NAME?</v>
          </cell>
          <cell r="AO204" t="e">
            <v>#NAME?</v>
          </cell>
          <cell r="AQ204" t="e">
            <v>#NAME?</v>
          </cell>
          <cell r="AR204" t="e">
            <v>#NAME?</v>
          </cell>
          <cell r="AS204" t="e">
            <v>#NAME?</v>
          </cell>
          <cell r="AT204" t="e">
            <v>#NAME?</v>
          </cell>
          <cell r="AU204" t="e">
            <v>#NAME?</v>
          </cell>
          <cell r="AV204" t="e">
            <v>#NAME?</v>
          </cell>
          <cell r="AW204" t="e">
            <v>#NAME?</v>
          </cell>
          <cell r="AY204" t="e">
            <v>#NAME?</v>
          </cell>
          <cell r="AZ204" t="e">
            <v>#NAME?</v>
          </cell>
          <cell r="BA204" t="e">
            <v>#NAME?</v>
          </cell>
          <cell r="BB204" t="e">
            <v>#NAME?</v>
          </cell>
          <cell r="BC204" t="e">
            <v>#NAME?</v>
          </cell>
          <cell r="BD204" t="e">
            <v>#DIV/0!</v>
          </cell>
          <cell r="BE204" t="e">
            <v>#DIV/0!</v>
          </cell>
          <cell r="BF204" t="e">
            <v>#DIV/0!</v>
          </cell>
          <cell r="BG204" t="e">
            <v>#DIV/0!</v>
          </cell>
          <cell r="BH204" t="e">
            <v>#DIV/0!</v>
          </cell>
          <cell r="BJ204" t="e">
            <v>#NAME?</v>
          </cell>
          <cell r="BK204" t="e">
            <v>#DIV/0!</v>
          </cell>
          <cell r="BM204" t="e">
            <v>#NAME?</v>
          </cell>
          <cell r="BN204" t="e">
            <v>#NAME?</v>
          </cell>
        </row>
        <row r="205">
          <cell r="A205">
            <v>39844</v>
          </cell>
          <cell r="B205">
            <v>7.1473125835874631</v>
          </cell>
          <cell r="C205" t="e">
            <v>#REF!</v>
          </cell>
          <cell r="D205">
            <v>1.1499999999999999</v>
          </cell>
          <cell r="E205">
            <v>1</v>
          </cell>
          <cell r="F205">
            <v>1.1500000000000001</v>
          </cell>
          <cell r="G205">
            <v>69.834591000000003</v>
          </cell>
          <cell r="H205">
            <v>80.30977965000001</v>
          </cell>
          <cell r="I205" t="e">
            <v>#NAME?</v>
          </cell>
          <cell r="K205" t="e">
            <v>#NAME?</v>
          </cell>
          <cell r="L205">
            <v>0.17299999999999999</v>
          </cell>
          <cell r="M205">
            <v>0.17299999999999999</v>
          </cell>
          <cell r="N205">
            <v>6.6473988439306355</v>
          </cell>
          <cell r="O205">
            <v>6.485766775015831</v>
          </cell>
          <cell r="P205">
            <v>9.756133247744927</v>
          </cell>
          <cell r="Q205">
            <v>13.026499720474021</v>
          </cell>
          <cell r="R205">
            <v>16.296866193203115</v>
          </cell>
          <cell r="S205">
            <v>19.56723266593221</v>
          </cell>
          <cell r="U205">
            <v>-6.99442949794572E-2</v>
          </cell>
          <cell r="V205">
            <v>6.9281499269670616E-2</v>
          </cell>
          <cell r="X205">
            <v>4.0726757308097694</v>
          </cell>
          <cell r="Y205">
            <v>0.63219447933040684</v>
          </cell>
          <cell r="Z205">
            <v>-0.49156593081718136</v>
          </cell>
          <cell r="AA205">
            <v>-0.19528622333379575</v>
          </cell>
          <cell r="AB205">
            <v>0.10099348414958985</v>
          </cell>
          <cell r="AC205">
            <v>0.39727319163297548</v>
          </cell>
          <cell r="AD205">
            <v>0.69355289911636109</v>
          </cell>
          <cell r="AF205">
            <v>-2.4205298946144316E-2</v>
          </cell>
          <cell r="AG205">
            <v>-0.14340213872342417</v>
          </cell>
          <cell r="AI205" t="e">
            <v>#NAME?</v>
          </cell>
          <cell r="AJ205" t="e">
            <v>#NAME?</v>
          </cell>
          <cell r="AK205" t="e">
            <v>#NAME?</v>
          </cell>
          <cell r="AL205" t="e">
            <v>#NAME?</v>
          </cell>
          <cell r="AM205" t="e">
            <v>#NAME?</v>
          </cell>
          <cell r="AN205" t="e">
            <v>#NAME?</v>
          </cell>
          <cell r="AO205" t="e">
            <v>#NAME?</v>
          </cell>
          <cell r="AQ205" t="e">
            <v>#NAME?</v>
          </cell>
          <cell r="AR205" t="e">
            <v>#NAME?</v>
          </cell>
          <cell r="AS205" t="e">
            <v>#NAME?</v>
          </cell>
          <cell r="AT205" t="e">
            <v>#NAME?</v>
          </cell>
          <cell r="AU205" t="e">
            <v>#NAME?</v>
          </cell>
          <cell r="AV205" t="e">
            <v>#NAME?</v>
          </cell>
          <cell r="AW205" t="e">
            <v>#NAME?</v>
          </cell>
          <cell r="AY205" t="e">
            <v>#NAME?</v>
          </cell>
          <cell r="AZ205" t="e">
            <v>#NAME?</v>
          </cell>
          <cell r="BA205" t="e">
            <v>#NAME?</v>
          </cell>
          <cell r="BB205" t="e">
            <v>#NAME?</v>
          </cell>
          <cell r="BC205" t="e">
            <v>#NAME?</v>
          </cell>
          <cell r="BD205" t="e">
            <v>#DIV/0!</v>
          </cell>
          <cell r="BE205" t="e">
            <v>#DIV/0!</v>
          </cell>
          <cell r="BF205" t="e">
            <v>#DIV/0!</v>
          </cell>
          <cell r="BG205" t="e">
            <v>#DIV/0!</v>
          </cell>
          <cell r="BH205" t="e">
            <v>#DIV/0!</v>
          </cell>
          <cell r="BJ205" t="e">
            <v>#NAME?</v>
          </cell>
          <cell r="BK205" t="e">
            <v>#DIV/0!</v>
          </cell>
          <cell r="BM205" t="e">
            <v>#NAME?</v>
          </cell>
          <cell r="BN205" t="e">
            <v>#NAME?</v>
          </cell>
        </row>
        <row r="206">
          <cell r="A206">
            <v>39872</v>
          </cell>
          <cell r="B206">
            <v>6.7574866793423061</v>
          </cell>
          <cell r="C206" t="e">
            <v>#REF!</v>
          </cell>
          <cell r="D206">
            <v>1.19</v>
          </cell>
          <cell r="E206">
            <v>1</v>
          </cell>
          <cell r="F206">
            <v>1.19</v>
          </cell>
          <cell r="G206">
            <v>69.834591000000003</v>
          </cell>
          <cell r="H206">
            <v>83.103163289999998</v>
          </cell>
          <cell r="I206" t="e">
            <v>#NAME?</v>
          </cell>
          <cell r="K206" t="e">
            <v>#NAME?</v>
          </cell>
          <cell r="L206">
            <v>0.157</v>
          </cell>
          <cell r="M206">
            <v>0.157</v>
          </cell>
          <cell r="N206">
            <v>7.5796178343949041</v>
          </cell>
          <cell r="O206">
            <v>6.485766775015831</v>
          </cell>
          <cell r="P206">
            <v>9.756133247744927</v>
          </cell>
          <cell r="Q206">
            <v>13.026499720474021</v>
          </cell>
          <cell r="R206">
            <v>16.296866193203115</v>
          </cell>
          <cell r="S206">
            <v>19.56723266593221</v>
          </cell>
          <cell r="U206">
            <v>0.12166226795028101</v>
          </cell>
          <cell r="V206">
            <v>6.9281499269670616E-2</v>
          </cell>
          <cell r="X206">
            <v>4.4289418057172787</v>
          </cell>
          <cell r="Y206">
            <v>0.71138347869246044</v>
          </cell>
          <cell r="Z206">
            <v>-0.49156593081718136</v>
          </cell>
          <cell r="AA206">
            <v>-0.19528622333379575</v>
          </cell>
          <cell r="AB206">
            <v>0.10099348414958985</v>
          </cell>
          <cell r="AC206">
            <v>0.39727319163297548</v>
          </cell>
          <cell r="AD206">
            <v>0.69355289911636109</v>
          </cell>
          <cell r="AF206">
            <v>0.18104595332131113</v>
          </cell>
          <cell r="AG206">
            <v>-0.14340213872342417</v>
          </cell>
          <cell r="AI206" t="e">
            <v>#NAME?</v>
          </cell>
          <cell r="AJ206" t="e">
            <v>#NAME?</v>
          </cell>
          <cell r="AK206" t="e">
            <v>#NAME?</v>
          </cell>
          <cell r="AL206" t="e">
            <v>#NAME?</v>
          </cell>
          <cell r="AM206" t="e">
            <v>#NAME?</v>
          </cell>
          <cell r="AN206" t="e">
            <v>#NAME?</v>
          </cell>
          <cell r="AO206" t="e">
            <v>#NAME?</v>
          </cell>
          <cell r="AQ206" t="e">
            <v>#NAME?</v>
          </cell>
          <cell r="AR206" t="e">
            <v>#NAME?</v>
          </cell>
          <cell r="AS206" t="e">
            <v>#NAME?</v>
          </cell>
          <cell r="AT206" t="e">
            <v>#NAME?</v>
          </cell>
          <cell r="AU206" t="e">
            <v>#NAME?</v>
          </cell>
          <cell r="AV206" t="e">
            <v>#NAME?</v>
          </cell>
          <cell r="AW206" t="e">
            <v>#NAME?</v>
          </cell>
          <cell r="AY206" t="e">
            <v>#NAME?</v>
          </cell>
          <cell r="AZ206" t="e">
            <v>#NAME?</v>
          </cell>
          <cell r="BA206" t="e">
            <v>#NAME?</v>
          </cell>
          <cell r="BB206" t="e">
            <v>#NAME?</v>
          </cell>
          <cell r="BC206" t="e">
            <v>#NAME?</v>
          </cell>
          <cell r="BD206" t="e">
            <v>#DIV/0!</v>
          </cell>
          <cell r="BE206" t="e">
            <v>#DIV/0!</v>
          </cell>
          <cell r="BF206" t="e">
            <v>#DIV/0!</v>
          </cell>
          <cell r="BG206" t="e">
            <v>#DIV/0!</v>
          </cell>
          <cell r="BH206" t="e">
            <v>#DIV/0!</v>
          </cell>
          <cell r="BJ206" t="e">
            <v>#NAME?</v>
          </cell>
          <cell r="BK206" t="e">
            <v>#DIV/0!</v>
          </cell>
          <cell r="BM206" t="e">
            <v>#NAME?</v>
          </cell>
          <cell r="BN206" t="e">
            <v>#NAME?</v>
          </cell>
        </row>
        <row r="207">
          <cell r="A207">
            <v>39903</v>
          </cell>
          <cell r="B207">
            <v>6.6336133063948699</v>
          </cell>
          <cell r="C207" t="e">
            <v>#REF!</v>
          </cell>
          <cell r="D207">
            <v>1.28</v>
          </cell>
          <cell r="E207">
            <v>1</v>
          </cell>
          <cell r="F207">
            <v>1.28</v>
          </cell>
          <cell r="G207">
            <v>69.834591000000003</v>
          </cell>
          <cell r="H207">
            <v>89.388276480000002</v>
          </cell>
          <cell r="I207" t="e">
            <v>#NAME?</v>
          </cell>
          <cell r="K207" t="e">
            <v>#NAME?</v>
          </cell>
          <cell r="L207">
            <v>0.161</v>
          </cell>
          <cell r="M207">
            <v>0.161</v>
          </cell>
          <cell r="N207">
            <v>7.9503105590062111</v>
          </cell>
          <cell r="O207">
            <v>6.485766775015831</v>
          </cell>
          <cell r="P207">
            <v>9.756133247744927</v>
          </cell>
          <cell r="Q207">
            <v>13.026499720474021</v>
          </cell>
          <cell r="R207">
            <v>16.296866193203115</v>
          </cell>
          <cell r="S207">
            <v>19.56723266593221</v>
          </cell>
          <cell r="U207">
            <v>0.19848869564676486</v>
          </cell>
          <cell r="V207">
            <v>6.9281499269670616E-2</v>
          </cell>
          <cell r="X207">
            <v>5.8263010610245614</v>
          </cell>
          <cell r="Y207">
            <v>0.36455539728119368</v>
          </cell>
          <cell r="Z207">
            <v>-0.49156593081718136</v>
          </cell>
          <cell r="AA207">
            <v>-0.19528622333379575</v>
          </cell>
          <cell r="AB207">
            <v>0.10099348414958985</v>
          </cell>
          <cell r="AC207">
            <v>0.39727319163297548</v>
          </cell>
          <cell r="AD207">
            <v>0.69355289911636109</v>
          </cell>
          <cell r="AF207">
            <v>0.47394240294071022</v>
          </cell>
          <cell r="AG207">
            <v>-0.14340213872342417</v>
          </cell>
          <cell r="AI207" t="e">
            <v>#NAME?</v>
          </cell>
          <cell r="AJ207" t="e">
            <v>#NAME?</v>
          </cell>
          <cell r="AK207" t="e">
            <v>#NAME?</v>
          </cell>
          <cell r="AL207" t="e">
            <v>#NAME?</v>
          </cell>
          <cell r="AM207" t="e">
            <v>#NAME?</v>
          </cell>
          <cell r="AN207" t="e">
            <v>#NAME?</v>
          </cell>
          <cell r="AO207" t="e">
            <v>#NAME?</v>
          </cell>
          <cell r="AQ207" t="e">
            <v>#NAME?</v>
          </cell>
          <cell r="AR207" t="e">
            <v>#NAME?</v>
          </cell>
          <cell r="AS207" t="e">
            <v>#NAME?</v>
          </cell>
          <cell r="AT207" t="e">
            <v>#NAME?</v>
          </cell>
          <cell r="AU207" t="e">
            <v>#NAME?</v>
          </cell>
          <cell r="AV207" t="e">
            <v>#NAME?</v>
          </cell>
          <cell r="AW207" t="e">
            <v>#NAME?</v>
          </cell>
          <cell r="AY207" t="e">
            <v>#NAME?</v>
          </cell>
          <cell r="AZ207" t="e">
            <v>#NAME?</v>
          </cell>
          <cell r="BA207" t="e">
            <v>#NAME?</v>
          </cell>
          <cell r="BB207" t="e">
            <v>#NAME?</v>
          </cell>
          <cell r="BC207" t="e">
            <v>#NAME?</v>
          </cell>
          <cell r="BD207" t="e">
            <v>#DIV/0!</v>
          </cell>
          <cell r="BE207" t="e">
            <v>#DIV/0!</v>
          </cell>
          <cell r="BF207" t="e">
            <v>#DIV/0!</v>
          </cell>
          <cell r="BG207" t="e">
            <v>#DIV/0!</v>
          </cell>
          <cell r="BH207" t="e">
            <v>#DIV/0!</v>
          </cell>
          <cell r="BJ207" t="e">
            <v>#NAME?</v>
          </cell>
          <cell r="BK207" t="e">
            <v>#DIV/0!</v>
          </cell>
          <cell r="BM207" t="e">
            <v>#NAME?</v>
          </cell>
          <cell r="BN207" t="e">
            <v>#NAME?</v>
          </cell>
        </row>
        <row r="208">
          <cell r="A208">
            <v>39933</v>
          </cell>
          <cell r="B208">
            <v>7.7305366003141298</v>
          </cell>
          <cell r="C208" t="e">
            <v>#REF!</v>
          </cell>
          <cell r="D208">
            <v>1.54</v>
          </cell>
          <cell r="E208">
            <v>1</v>
          </cell>
          <cell r="F208">
            <v>1.54</v>
          </cell>
          <cell r="G208">
            <v>69.834591000000003</v>
          </cell>
          <cell r="H208">
            <v>107.54527014000001</v>
          </cell>
          <cell r="I208" t="e">
            <v>#NAME?</v>
          </cell>
          <cell r="K208" t="e">
            <v>#NAME?</v>
          </cell>
          <cell r="L208">
            <v>0.16200000000000001</v>
          </cell>
          <cell r="M208">
            <v>0.16200000000000001</v>
          </cell>
          <cell r="N208">
            <v>9.5061728395061724</v>
          </cell>
          <cell r="O208">
            <v>6.485766775015831</v>
          </cell>
          <cell r="P208">
            <v>9.756133247744927</v>
          </cell>
          <cell r="Q208">
            <v>13.026499720474021</v>
          </cell>
          <cell r="R208">
            <v>16.296866193203115</v>
          </cell>
          <cell r="S208">
            <v>19.56723266593221</v>
          </cell>
          <cell r="U208">
            <v>0.22969120139989885</v>
          </cell>
          <cell r="V208">
            <v>6.9281499269670616E-2</v>
          </cell>
          <cell r="X208">
            <v>7.0914237538538414</v>
          </cell>
          <cell r="Y208">
            <v>0.34051682278047957</v>
          </cell>
          <cell r="Z208">
            <v>-0.49156593081718136</v>
          </cell>
          <cell r="AA208">
            <v>-0.19528622333379575</v>
          </cell>
          <cell r="AB208">
            <v>0.10099348414958985</v>
          </cell>
          <cell r="AC208">
            <v>0.39727319163297548</v>
          </cell>
          <cell r="AD208">
            <v>0.69355289911636109</v>
          </cell>
          <cell r="AF208">
            <v>0.18104595332131113</v>
          </cell>
          <cell r="AG208">
            <v>-0.14340213872342417</v>
          </cell>
          <cell r="AI208" t="e">
            <v>#NAME?</v>
          </cell>
          <cell r="AJ208" t="e">
            <v>#NAME?</v>
          </cell>
          <cell r="AK208" t="e">
            <v>#NAME?</v>
          </cell>
          <cell r="AL208" t="e">
            <v>#NAME?</v>
          </cell>
          <cell r="AM208" t="e">
            <v>#NAME?</v>
          </cell>
          <cell r="AN208" t="e">
            <v>#NAME?</v>
          </cell>
          <cell r="AO208" t="e">
            <v>#NAME?</v>
          </cell>
          <cell r="AQ208" t="e">
            <v>#NAME?</v>
          </cell>
          <cell r="AR208" t="e">
            <v>#NAME?</v>
          </cell>
          <cell r="AS208" t="e">
            <v>#NAME?</v>
          </cell>
          <cell r="AT208" t="e">
            <v>#NAME?</v>
          </cell>
          <cell r="AU208" t="e">
            <v>#NAME?</v>
          </cell>
          <cell r="AV208" t="e">
            <v>#NAME?</v>
          </cell>
          <cell r="AW208" t="e">
            <v>#NAME?</v>
          </cell>
          <cell r="AY208" t="e">
            <v>#NAME?</v>
          </cell>
          <cell r="AZ208" t="e">
            <v>#NAME?</v>
          </cell>
          <cell r="BA208" t="e">
            <v>#NAME?</v>
          </cell>
          <cell r="BB208" t="e">
            <v>#NAME?</v>
          </cell>
          <cell r="BC208" t="e">
            <v>#NAME?</v>
          </cell>
          <cell r="BD208" t="e">
            <v>#DIV/0!</v>
          </cell>
          <cell r="BE208" t="e">
            <v>#DIV/0!</v>
          </cell>
          <cell r="BF208" t="e">
            <v>#DIV/0!</v>
          </cell>
          <cell r="BG208" t="e">
            <v>#DIV/0!</v>
          </cell>
          <cell r="BH208" t="e">
            <v>#DIV/0!</v>
          </cell>
          <cell r="BJ208" t="e">
            <v>#NAME?</v>
          </cell>
          <cell r="BK208" t="e">
            <v>#DIV/0!</v>
          </cell>
          <cell r="BM208" t="e">
            <v>#NAME?</v>
          </cell>
          <cell r="BN208" t="e">
            <v>#NAME?</v>
          </cell>
        </row>
        <row r="209">
          <cell r="A209">
            <v>39964</v>
          </cell>
          <cell r="B209">
            <v>8.0673750087117977</v>
          </cell>
          <cell r="C209" t="e">
            <v>#REF!</v>
          </cell>
          <cell r="D209">
            <v>1.56</v>
          </cell>
          <cell r="E209">
            <v>1</v>
          </cell>
          <cell r="F209">
            <v>1.56</v>
          </cell>
          <cell r="G209">
            <v>69.834591000000003</v>
          </cell>
          <cell r="H209">
            <v>108.94196196000001</v>
          </cell>
          <cell r="I209" t="e">
            <v>#NAME?</v>
          </cell>
          <cell r="K209" t="e">
            <v>#NAME?</v>
          </cell>
          <cell r="L209">
            <v>0.154</v>
          </cell>
          <cell r="M209">
            <v>0.154</v>
          </cell>
          <cell r="N209">
            <v>10.129870129870131</v>
          </cell>
          <cell r="O209">
            <v>6.485766775015831</v>
          </cell>
          <cell r="P209">
            <v>9.756133247744927</v>
          </cell>
          <cell r="Q209">
            <v>13.026499720474021</v>
          </cell>
          <cell r="R209">
            <v>16.296866193203115</v>
          </cell>
          <cell r="S209">
            <v>19.56723266593221</v>
          </cell>
          <cell r="U209">
            <v>0.2556587637157175</v>
          </cell>
          <cell r="V209">
            <v>6.9281499269670616E-2</v>
          </cell>
          <cell r="X209">
            <v>7.7844690914620527</v>
          </cell>
          <cell r="Y209">
            <v>0.30129235672352994</v>
          </cell>
          <cell r="Z209">
            <v>-0.49156593081718136</v>
          </cell>
          <cell r="AA209">
            <v>-0.19528622333379575</v>
          </cell>
          <cell r="AB209">
            <v>0.10099348414958985</v>
          </cell>
          <cell r="AC209">
            <v>0.39727319163297548</v>
          </cell>
          <cell r="AD209">
            <v>0.69355289911636109</v>
          </cell>
          <cell r="AF209">
            <v>0.47394240294071022</v>
          </cell>
          <cell r="AG209">
            <v>-0.14340213872342417</v>
          </cell>
          <cell r="AI209" t="e">
            <v>#NAME?</v>
          </cell>
          <cell r="AJ209" t="e">
            <v>#NAME?</v>
          </cell>
          <cell r="AK209" t="e">
            <v>#NAME?</v>
          </cell>
          <cell r="AL209" t="e">
            <v>#NAME?</v>
          </cell>
          <cell r="AM209" t="e">
            <v>#NAME?</v>
          </cell>
          <cell r="AN209" t="e">
            <v>#NAME?</v>
          </cell>
          <cell r="AO209" t="e">
            <v>#NAME?</v>
          </cell>
          <cell r="AQ209" t="e">
            <v>#NAME?</v>
          </cell>
          <cell r="AR209" t="e">
            <v>#NAME?</v>
          </cell>
          <cell r="AS209" t="e">
            <v>#NAME?</v>
          </cell>
          <cell r="AT209" t="e">
            <v>#NAME?</v>
          </cell>
          <cell r="AU209" t="e">
            <v>#NAME?</v>
          </cell>
          <cell r="AV209" t="e">
            <v>#NAME?</v>
          </cell>
          <cell r="AW209" t="e">
            <v>#NAME?</v>
          </cell>
          <cell r="AY209" t="e">
            <v>#NAME?</v>
          </cell>
          <cell r="AZ209" t="e">
            <v>#NAME?</v>
          </cell>
          <cell r="BA209" t="e">
            <v>#NAME?</v>
          </cell>
          <cell r="BB209" t="e">
            <v>#NAME?</v>
          </cell>
          <cell r="BC209" t="e">
            <v>#NAME?</v>
          </cell>
          <cell r="BD209" t="e">
            <v>#DIV/0!</v>
          </cell>
          <cell r="BE209" t="e">
            <v>#DIV/0!</v>
          </cell>
          <cell r="BF209" t="e">
            <v>#DIV/0!</v>
          </cell>
          <cell r="BG209" t="e">
            <v>#DIV/0!</v>
          </cell>
          <cell r="BH209" t="e">
            <v>#DIV/0!</v>
          </cell>
          <cell r="BJ209" t="e">
            <v>#NAME?</v>
          </cell>
          <cell r="BK209" t="e">
            <v>#DIV/0!</v>
          </cell>
          <cell r="BM209" t="e">
            <v>#NAME?</v>
          </cell>
          <cell r="BN209" t="e">
            <v>#NAME?</v>
          </cell>
        </row>
        <row r="210">
          <cell r="A210">
            <v>39994</v>
          </cell>
          <cell r="B210">
            <v>8.992316037678691</v>
          </cell>
          <cell r="C210" t="e">
            <v>#REF!</v>
          </cell>
          <cell r="D210">
            <v>1.76</v>
          </cell>
          <cell r="E210">
            <v>1</v>
          </cell>
          <cell r="F210">
            <v>1.76</v>
          </cell>
          <cell r="G210">
            <v>69.834591000000003</v>
          </cell>
          <cell r="H210">
            <v>122.90888016000001</v>
          </cell>
          <cell r="I210" t="e">
            <v>#NAME?</v>
          </cell>
          <cell r="K210" t="e">
            <v>#NAME?</v>
          </cell>
          <cell r="L210">
            <v>0.158</v>
          </cell>
          <cell r="M210">
            <v>0.158</v>
          </cell>
          <cell r="N210">
            <v>11.139240506329115</v>
          </cell>
          <cell r="O210">
            <v>6.485766775015831</v>
          </cell>
          <cell r="P210">
            <v>9.756133247744927</v>
          </cell>
          <cell r="Q210">
            <v>13.026499720474021</v>
          </cell>
          <cell r="R210">
            <v>16.296866193203115</v>
          </cell>
          <cell r="S210">
            <v>19.56723266593221</v>
          </cell>
          <cell r="U210">
            <v>0.23875100248418746</v>
          </cell>
          <cell r="V210">
            <v>6.9281499269670616E-2</v>
          </cell>
          <cell r="X210">
            <v>9.423892472965882</v>
          </cell>
          <cell r="Y210">
            <v>0.18202118055612537</v>
          </cell>
          <cell r="Z210">
            <v>-0.49156593081718136</v>
          </cell>
          <cell r="AA210">
            <v>-0.19528622333379575</v>
          </cell>
          <cell r="AB210">
            <v>0.10099348414958985</v>
          </cell>
          <cell r="AC210">
            <v>0.39727319163297548</v>
          </cell>
          <cell r="AD210">
            <v>0.69355289911636109</v>
          </cell>
          <cell r="AF210">
            <v>0.47394240294071022</v>
          </cell>
          <cell r="AG210">
            <v>-0.14340213872342417</v>
          </cell>
          <cell r="AI210" t="e">
            <v>#NAME?</v>
          </cell>
          <cell r="AJ210" t="e">
            <v>#NAME?</v>
          </cell>
          <cell r="AK210" t="e">
            <v>#NAME?</v>
          </cell>
          <cell r="AL210" t="e">
            <v>#NAME?</v>
          </cell>
          <cell r="AM210" t="e">
            <v>#NAME?</v>
          </cell>
          <cell r="AN210" t="e">
            <v>#NAME?</v>
          </cell>
          <cell r="AO210" t="e">
            <v>#NAME?</v>
          </cell>
          <cell r="AQ210" t="e">
            <v>#NAME?</v>
          </cell>
          <cell r="AR210" t="e">
            <v>#NAME?</v>
          </cell>
          <cell r="AS210" t="e">
            <v>#NAME?</v>
          </cell>
          <cell r="AT210" t="e">
            <v>#NAME?</v>
          </cell>
          <cell r="AU210" t="e">
            <v>#NAME?</v>
          </cell>
          <cell r="AV210" t="e">
            <v>#NAME?</v>
          </cell>
          <cell r="AW210" t="e">
            <v>#NAME?</v>
          </cell>
          <cell r="AY210" t="e">
            <v>#NAME?</v>
          </cell>
          <cell r="AZ210" t="e">
            <v>#NAME?</v>
          </cell>
          <cell r="BA210" t="e">
            <v>#NAME?</v>
          </cell>
          <cell r="BB210" t="e">
            <v>#NAME?</v>
          </cell>
          <cell r="BC210" t="e">
            <v>#NAME?</v>
          </cell>
          <cell r="BD210" t="e">
            <v>#DIV/0!</v>
          </cell>
          <cell r="BE210" t="e">
            <v>#DIV/0!</v>
          </cell>
          <cell r="BF210" t="e">
            <v>#DIV/0!</v>
          </cell>
          <cell r="BG210" t="e">
            <v>#DIV/0!</v>
          </cell>
          <cell r="BH210" t="e">
            <v>#DIV/0!</v>
          </cell>
          <cell r="BJ210" t="e">
            <v>#NAME?</v>
          </cell>
          <cell r="BK210" t="e">
            <v>#DIV/0!</v>
          </cell>
          <cell r="BM210" t="e">
            <v>#NAME?</v>
          </cell>
          <cell r="BN210" t="e">
            <v>#NAME?</v>
          </cell>
        </row>
        <row r="211">
          <cell r="A211">
            <v>40025</v>
          </cell>
          <cell r="B211">
            <v>9.9740631120892207</v>
          </cell>
          <cell r="C211" t="e">
            <v>#REF!</v>
          </cell>
          <cell r="D211">
            <v>1.8049999999999999</v>
          </cell>
          <cell r="E211">
            <v>1</v>
          </cell>
          <cell r="F211">
            <v>1.8049999999999999</v>
          </cell>
          <cell r="G211">
            <v>79.147091000000003</v>
          </cell>
          <cell r="H211">
            <v>142.86049925500001</v>
          </cell>
          <cell r="I211" t="e">
            <v>#NAME?</v>
          </cell>
          <cell r="K211" t="e">
            <v>#NAME?</v>
          </cell>
          <cell r="L211">
            <v>0.16600000000000001</v>
          </cell>
          <cell r="M211">
            <v>0.16600000000000001</v>
          </cell>
          <cell r="N211">
            <v>10.873493975903614</v>
          </cell>
          <cell r="O211">
            <v>6.485766775015831</v>
          </cell>
          <cell r="P211">
            <v>9.756133247744927</v>
          </cell>
          <cell r="Q211">
            <v>13.026499720474021</v>
          </cell>
          <cell r="R211">
            <v>16.296866193203115</v>
          </cell>
          <cell r="S211">
            <v>19.56723266593221</v>
          </cell>
          <cell r="U211">
            <v>9.0176977396926983E-2</v>
          </cell>
          <cell r="V211">
            <v>6.9281499269670616E-2</v>
          </cell>
          <cell r="X211">
            <v>10.526715228323626</v>
          </cell>
          <cell r="Y211">
            <v>3.2942730952475019E-2</v>
          </cell>
          <cell r="Z211">
            <v>-0.49156593081718136</v>
          </cell>
          <cell r="AA211">
            <v>-0.19528622333379575</v>
          </cell>
          <cell r="AB211">
            <v>0.10099348414958985</v>
          </cell>
          <cell r="AC211">
            <v>0.39727319163297548</v>
          </cell>
          <cell r="AD211">
            <v>0.69355289911636109</v>
          </cell>
          <cell r="AF211">
            <v>0.47394240294071022</v>
          </cell>
          <cell r="AG211">
            <v>-0.14340213872342417</v>
          </cell>
          <cell r="AI211" t="e">
            <v>#NAME?</v>
          </cell>
          <cell r="AJ211" t="e">
            <v>#NAME?</v>
          </cell>
          <cell r="AK211" t="e">
            <v>#NAME?</v>
          </cell>
          <cell r="AL211" t="e">
            <v>#NAME?</v>
          </cell>
          <cell r="AM211" t="e">
            <v>#NAME?</v>
          </cell>
          <cell r="AN211" t="e">
            <v>#NAME?</v>
          </cell>
          <cell r="AO211" t="e">
            <v>#NAME?</v>
          </cell>
          <cell r="AQ211" t="e">
            <v>#NAME?</v>
          </cell>
          <cell r="AR211" t="e">
            <v>#NAME?</v>
          </cell>
          <cell r="AS211" t="e">
            <v>#NAME?</v>
          </cell>
          <cell r="AT211" t="e">
            <v>#NAME?</v>
          </cell>
          <cell r="AU211" t="e">
            <v>#NAME?</v>
          </cell>
          <cell r="AV211" t="e">
            <v>#NAME?</v>
          </cell>
          <cell r="AW211" t="e">
            <v>#NAME?</v>
          </cell>
          <cell r="AY211" t="e">
            <v>#NAME?</v>
          </cell>
          <cell r="AZ211" t="e">
            <v>#NAME?</v>
          </cell>
          <cell r="BA211" t="e">
            <v>#NAME?</v>
          </cell>
          <cell r="BB211" t="e">
            <v>#NAME?</v>
          </cell>
          <cell r="BC211" t="e">
            <v>#NAME?</v>
          </cell>
          <cell r="BD211" t="e">
            <v>#DIV/0!</v>
          </cell>
          <cell r="BE211" t="e">
            <v>#DIV/0!</v>
          </cell>
          <cell r="BF211" t="e">
            <v>#DIV/0!</v>
          </cell>
          <cell r="BG211" t="e">
            <v>#DIV/0!</v>
          </cell>
          <cell r="BH211" t="e">
            <v>#DIV/0!</v>
          </cell>
          <cell r="BJ211" t="e">
            <v>#NAME?</v>
          </cell>
          <cell r="BK211" t="e">
            <v>#DIV/0!</v>
          </cell>
          <cell r="BM211" t="e">
            <v>#NAME?</v>
          </cell>
          <cell r="BN211" t="e">
            <v>#NAME?</v>
          </cell>
        </row>
        <row r="212">
          <cell r="A212">
            <v>40056</v>
          </cell>
          <cell r="B212">
            <v>10.42539060380042</v>
          </cell>
          <cell r="C212" t="e">
            <v>#REF!</v>
          </cell>
          <cell r="D212">
            <v>2.0499999999999998</v>
          </cell>
          <cell r="E212">
            <v>1</v>
          </cell>
          <cell r="F212">
            <v>2.0499999999999998</v>
          </cell>
          <cell r="G212">
            <v>79.147091000000003</v>
          </cell>
          <cell r="H212">
            <v>162.25153655</v>
          </cell>
          <cell r="I212" t="e">
            <v>#NAME?</v>
          </cell>
          <cell r="K212" t="e">
            <v>#NAME?</v>
          </cell>
          <cell r="L212">
            <v>0.16200000000000001</v>
          </cell>
          <cell r="M212">
            <v>0.16200000000000001</v>
          </cell>
          <cell r="N212">
            <v>12.654320987654319</v>
          </cell>
          <cell r="O212">
            <v>6.485766775015831</v>
          </cell>
          <cell r="P212">
            <v>9.756133247744927</v>
          </cell>
          <cell r="Q212">
            <v>13.026499720474021</v>
          </cell>
          <cell r="R212">
            <v>16.296866193203115</v>
          </cell>
          <cell r="S212">
            <v>19.56723266593221</v>
          </cell>
          <cell r="U212">
            <v>0.2137982612412983</v>
          </cell>
          <cell r="V212">
            <v>6.9281499269670616E-2</v>
          </cell>
          <cell r="X212">
            <v>12.551020371963313</v>
          </cell>
          <cell r="Y212">
            <v>8.2304555828593973E-3</v>
          </cell>
          <cell r="Z212">
            <v>-0.49156593081718136</v>
          </cell>
          <cell r="AA212">
            <v>-0.19528622333379575</v>
          </cell>
          <cell r="AB212">
            <v>0.10099348414958985</v>
          </cell>
          <cell r="AC212">
            <v>0.39727319163297548</v>
          </cell>
          <cell r="AD212">
            <v>0.69355289911636109</v>
          </cell>
          <cell r="AF212">
            <v>0.47394240294071022</v>
          </cell>
          <cell r="AG212">
            <v>-0.14340213872342417</v>
          </cell>
          <cell r="AI212" t="e">
            <v>#NAME?</v>
          </cell>
          <cell r="AJ212" t="e">
            <v>#NAME?</v>
          </cell>
          <cell r="AK212" t="e">
            <v>#NAME?</v>
          </cell>
          <cell r="AL212" t="e">
            <v>#NAME?</v>
          </cell>
          <cell r="AM212" t="e">
            <v>#NAME?</v>
          </cell>
          <cell r="AN212" t="e">
            <v>#NAME?</v>
          </cell>
          <cell r="AO212" t="e">
            <v>#NAME?</v>
          </cell>
          <cell r="AQ212" t="e">
            <v>#NAME?</v>
          </cell>
          <cell r="AR212" t="e">
            <v>#NAME?</v>
          </cell>
          <cell r="AS212" t="e">
            <v>#NAME?</v>
          </cell>
          <cell r="AT212" t="e">
            <v>#NAME?</v>
          </cell>
          <cell r="AU212" t="e">
            <v>#NAME?</v>
          </cell>
          <cell r="AV212" t="e">
            <v>#NAME?</v>
          </cell>
          <cell r="AW212" t="e">
            <v>#NAME?</v>
          </cell>
          <cell r="AY212" t="e">
            <v>#NAME?</v>
          </cell>
          <cell r="AZ212" t="e">
            <v>#NAME?</v>
          </cell>
          <cell r="BA212" t="e">
            <v>#NAME?</v>
          </cell>
          <cell r="BB212" t="e">
            <v>#NAME?</v>
          </cell>
          <cell r="BC212" t="e">
            <v>#NAME?</v>
          </cell>
          <cell r="BD212" t="e">
            <v>#DIV/0!</v>
          </cell>
          <cell r="BE212" t="e">
            <v>#DIV/0!</v>
          </cell>
          <cell r="BF212" t="e">
            <v>#DIV/0!</v>
          </cell>
          <cell r="BG212" t="e">
            <v>#DIV/0!</v>
          </cell>
          <cell r="BH212" t="e">
            <v>#DIV/0!</v>
          </cell>
          <cell r="BJ212" t="e">
            <v>#NAME?</v>
          </cell>
          <cell r="BK212" t="e">
            <v>#DIV/0!</v>
          </cell>
          <cell r="BM212" t="e">
            <v>#NAME?</v>
          </cell>
          <cell r="BN212" t="e">
            <v>#NAME?</v>
          </cell>
        </row>
        <row r="213">
          <cell r="A213">
            <v>40086</v>
          </cell>
          <cell r="B213">
            <v>11.489822534928599</v>
          </cell>
          <cell r="C213" t="e">
            <v>#REF!</v>
          </cell>
          <cell r="D213">
            <v>2.0499999999999998</v>
          </cell>
          <cell r="E213">
            <v>1</v>
          </cell>
          <cell r="F213">
            <v>2.0499999999999998</v>
          </cell>
          <cell r="G213">
            <v>79.147091000000003</v>
          </cell>
          <cell r="H213">
            <v>162.25153655</v>
          </cell>
          <cell r="I213" t="e">
            <v>#NAME?</v>
          </cell>
          <cell r="K213" t="e">
            <v>#NAME?</v>
          </cell>
          <cell r="L213">
            <v>0.16900000000000001</v>
          </cell>
          <cell r="M213">
            <v>0.16900000000000001</v>
          </cell>
          <cell r="N213">
            <v>12.130177514792898</v>
          </cell>
          <cell r="O213">
            <v>6.485766775015831</v>
          </cell>
          <cell r="P213">
            <v>9.756133247744927</v>
          </cell>
          <cell r="Q213">
            <v>13.026499720474021</v>
          </cell>
          <cell r="R213">
            <v>16.296866193203115</v>
          </cell>
          <cell r="S213">
            <v>19.56723266593221</v>
          </cell>
          <cell r="U213">
            <v>5.5732364700816328E-2</v>
          </cell>
          <cell r="V213">
            <v>6.9281499269670616E-2</v>
          </cell>
          <cell r="X213">
            <v>13.517409080481679</v>
          </cell>
          <cell r="Y213">
            <v>-0.10262555179245547</v>
          </cell>
          <cell r="Z213">
            <v>-0.49156593081718136</v>
          </cell>
          <cell r="AA213">
            <v>-0.19528622333379575</v>
          </cell>
          <cell r="AB213">
            <v>0.10099348414958985</v>
          </cell>
          <cell r="AC213">
            <v>0.39727319163297548</v>
          </cell>
          <cell r="AD213">
            <v>0.69355289911636109</v>
          </cell>
          <cell r="AF213">
            <v>0.47394240294071022</v>
          </cell>
          <cell r="AG213">
            <v>-0.14340213872342417</v>
          </cell>
          <cell r="AI213" t="e">
            <v>#NAME?</v>
          </cell>
          <cell r="AJ213" t="e">
            <v>#NAME?</v>
          </cell>
          <cell r="AK213" t="e">
            <v>#NAME?</v>
          </cell>
          <cell r="AL213" t="e">
            <v>#NAME?</v>
          </cell>
          <cell r="AM213" t="e">
            <v>#NAME?</v>
          </cell>
          <cell r="AN213" t="e">
            <v>#NAME?</v>
          </cell>
          <cell r="AO213" t="e">
            <v>#NAME?</v>
          </cell>
          <cell r="AQ213" t="e">
            <v>#NAME?</v>
          </cell>
          <cell r="AR213" t="e">
            <v>#NAME?</v>
          </cell>
          <cell r="AS213" t="e">
            <v>#NAME?</v>
          </cell>
          <cell r="AT213" t="e">
            <v>#NAME?</v>
          </cell>
          <cell r="AU213" t="e">
            <v>#NAME?</v>
          </cell>
          <cell r="AV213" t="e">
            <v>#NAME?</v>
          </cell>
          <cell r="AW213" t="e">
            <v>#NAME?</v>
          </cell>
          <cell r="AY213" t="e">
            <v>#NAME?</v>
          </cell>
          <cell r="AZ213" t="e">
            <v>#NAME?</v>
          </cell>
          <cell r="BA213" t="e">
            <v>#NAME?</v>
          </cell>
          <cell r="BB213" t="e">
            <v>#NAME?</v>
          </cell>
          <cell r="BC213" t="e">
            <v>#NAME?</v>
          </cell>
          <cell r="BD213" t="e">
            <v>#DIV/0!</v>
          </cell>
          <cell r="BE213" t="e">
            <v>#DIV/0!</v>
          </cell>
          <cell r="BF213" t="e">
            <v>#DIV/0!</v>
          </cell>
          <cell r="BG213" t="e">
            <v>#DIV/0!</v>
          </cell>
          <cell r="BH213" t="e">
            <v>#DIV/0!</v>
          </cell>
          <cell r="BJ213" t="e">
            <v>#NAME?</v>
          </cell>
          <cell r="BK213" t="e">
            <v>#DIV/0!</v>
          </cell>
          <cell r="BM213" t="e">
            <v>#NAME?</v>
          </cell>
          <cell r="BN213" t="e">
            <v>#NAME?</v>
          </cell>
        </row>
        <row r="214">
          <cell r="A214">
            <v>40117</v>
          </cell>
          <cell r="B214">
            <v>11.534129033349441</v>
          </cell>
          <cell r="C214" t="e">
            <v>#REF!</v>
          </cell>
          <cell r="D214">
            <v>2.4</v>
          </cell>
          <cell r="E214">
            <v>1</v>
          </cell>
          <cell r="F214">
            <v>2.4000000000000004</v>
          </cell>
          <cell r="G214">
            <v>79.147091000000003</v>
          </cell>
          <cell r="H214">
            <v>189.95301840000005</v>
          </cell>
          <cell r="I214" t="e">
            <v>#NAME?</v>
          </cell>
          <cell r="K214" t="e">
            <v>#NAME?</v>
          </cell>
          <cell r="L214">
            <v>0.17033329999999999</v>
          </cell>
          <cell r="M214">
            <v>0.17033329999999999</v>
          </cell>
          <cell r="N214">
            <v>14.090022326814545</v>
          </cell>
          <cell r="O214">
            <v>6.485766775015831</v>
          </cell>
          <cell r="P214">
            <v>9.756133247744927</v>
          </cell>
          <cell r="Q214">
            <v>13.026499720474021</v>
          </cell>
          <cell r="R214">
            <v>16.296866193203115</v>
          </cell>
          <cell r="S214">
            <v>19.56723266593221</v>
          </cell>
          <cell r="U214">
            <v>0.22159395703612028</v>
          </cell>
          <cell r="V214">
            <v>6.9281499269670616E-2</v>
          </cell>
          <cell r="X214">
            <v>12.734416976269653</v>
          </cell>
          <cell r="Y214">
            <v>0.10645209380775245</v>
          </cell>
          <cell r="Z214">
            <v>-0.49156593081718136</v>
          </cell>
          <cell r="AA214">
            <v>-0.19528622333379575</v>
          </cell>
          <cell r="AB214">
            <v>0.10099348414958985</v>
          </cell>
          <cell r="AC214">
            <v>0.39727319163297548</v>
          </cell>
          <cell r="AD214">
            <v>0.69355289911636109</v>
          </cell>
          <cell r="AF214">
            <v>0.47394240294071022</v>
          </cell>
          <cell r="AG214">
            <v>-0.14340213872342417</v>
          </cell>
          <cell r="AI214" t="e">
            <v>#NAME?</v>
          </cell>
          <cell r="AJ214" t="e">
            <v>#NAME?</v>
          </cell>
          <cell r="AK214" t="e">
            <v>#NAME?</v>
          </cell>
          <cell r="AL214" t="e">
            <v>#NAME?</v>
          </cell>
          <cell r="AM214" t="e">
            <v>#NAME?</v>
          </cell>
          <cell r="AN214" t="e">
            <v>#NAME?</v>
          </cell>
          <cell r="AO214" t="e">
            <v>#NAME?</v>
          </cell>
          <cell r="AQ214" t="e">
            <v>#NAME?</v>
          </cell>
          <cell r="AR214" t="e">
            <v>#NAME?</v>
          </cell>
          <cell r="AS214" t="e">
            <v>#NAME?</v>
          </cell>
          <cell r="AT214" t="e">
            <v>#NAME?</v>
          </cell>
          <cell r="AU214" t="e">
            <v>#NAME?</v>
          </cell>
          <cell r="AV214" t="e">
            <v>#NAME?</v>
          </cell>
          <cell r="AW214" t="e">
            <v>#NAME?</v>
          </cell>
          <cell r="AY214" t="e">
            <v>#NAME?</v>
          </cell>
          <cell r="AZ214" t="e">
            <v>#NAME?</v>
          </cell>
          <cell r="BA214" t="e">
            <v>#NAME?</v>
          </cell>
          <cell r="BB214" t="e">
            <v>#NAME?</v>
          </cell>
          <cell r="BC214" t="e">
            <v>#NAME?</v>
          </cell>
          <cell r="BD214" t="e">
            <v>#DIV/0!</v>
          </cell>
          <cell r="BE214" t="e">
            <v>#DIV/0!</v>
          </cell>
          <cell r="BF214" t="e">
            <v>#DIV/0!</v>
          </cell>
          <cell r="BG214" t="e">
            <v>#DIV/0!</v>
          </cell>
          <cell r="BH214" t="e">
            <v>#DIV/0!</v>
          </cell>
          <cell r="BJ214" t="e">
            <v>#NAME?</v>
          </cell>
          <cell r="BK214" t="e">
            <v>#DIV/0!</v>
          </cell>
          <cell r="BM214" t="e">
            <v>#NAME?</v>
          </cell>
          <cell r="BN214" t="e">
            <v>#NAME?</v>
          </cell>
        </row>
        <row r="215">
          <cell r="A215">
            <v>40147</v>
          </cell>
          <cell r="B215">
            <v>11.750757265032991</v>
          </cell>
          <cell r="C215" t="e">
            <v>#N/A</v>
          </cell>
          <cell r="D215">
            <v>2.4700000000000002</v>
          </cell>
          <cell r="E215">
            <v>1</v>
          </cell>
          <cell r="F215">
            <v>2.4700000000000002</v>
          </cell>
          <cell r="G215">
            <v>79.147091000000003</v>
          </cell>
          <cell r="H215">
            <v>195.49331477000001</v>
          </cell>
          <cell r="I215" t="e">
            <v>#NAME?</v>
          </cell>
          <cell r="K215" t="e">
            <v>#NAME?</v>
          </cell>
          <cell r="L215">
            <v>0.1666667</v>
          </cell>
          <cell r="M215">
            <v>0.1666667</v>
          </cell>
          <cell r="N215">
            <v>14.819997036000593</v>
          </cell>
          <cell r="O215">
            <v>6.485766775015831</v>
          </cell>
          <cell r="P215">
            <v>9.756133247744927</v>
          </cell>
          <cell r="Q215">
            <v>13.026499720474021</v>
          </cell>
          <cell r="R215">
            <v>16.296866193203115</v>
          </cell>
          <cell r="S215">
            <v>19.56723266593221</v>
          </cell>
          <cell r="U215">
            <v>0.2611950618791874</v>
          </cell>
          <cell r="V215">
            <v>6.9281499269670616E-2</v>
          </cell>
          <cell r="X215">
            <v>12.777151277486267</v>
          </cell>
          <cell r="Y215">
            <v>0.15988272457209485</v>
          </cell>
          <cell r="Z215">
            <v>-0.49156593081718136</v>
          </cell>
          <cell r="AA215">
            <v>-0.19528622333379575</v>
          </cell>
          <cell r="AB215">
            <v>0.10099348414958985</v>
          </cell>
          <cell r="AC215">
            <v>0.39727319163297548</v>
          </cell>
          <cell r="AD215">
            <v>0.69355289911636109</v>
          </cell>
          <cell r="AF215">
            <v>0.47394240294071022</v>
          </cell>
          <cell r="AG215">
            <v>-0.14340213872342417</v>
          </cell>
          <cell r="AI215" t="e">
            <v>#NAME?</v>
          </cell>
          <cell r="AJ215" t="e">
            <v>#NAME?</v>
          </cell>
          <cell r="AK215" t="e">
            <v>#NAME?</v>
          </cell>
          <cell r="AL215" t="e">
            <v>#NAME?</v>
          </cell>
          <cell r="AM215" t="e">
            <v>#NAME?</v>
          </cell>
          <cell r="AN215" t="e">
            <v>#NAME?</v>
          </cell>
          <cell r="AO215" t="e">
            <v>#NAME?</v>
          </cell>
          <cell r="AQ215" t="e">
            <v>#NAME?</v>
          </cell>
          <cell r="AR215" t="e">
            <v>#NAME?</v>
          </cell>
          <cell r="AS215" t="e">
            <v>#NAME?</v>
          </cell>
          <cell r="AT215" t="e">
            <v>#NAME?</v>
          </cell>
          <cell r="AU215" t="e">
            <v>#NAME?</v>
          </cell>
          <cell r="AV215" t="e">
            <v>#NAME?</v>
          </cell>
          <cell r="AW215" t="e">
            <v>#NAME?</v>
          </cell>
          <cell r="AY215" t="e">
            <v>#NAME?</v>
          </cell>
          <cell r="AZ215" t="e">
            <v>#NAME?</v>
          </cell>
          <cell r="BA215" t="e">
            <v>#NAME?</v>
          </cell>
          <cell r="BB215" t="e">
            <v>#NAME?</v>
          </cell>
          <cell r="BC215" t="e">
            <v>#NAME?</v>
          </cell>
          <cell r="BD215" t="e">
            <v>#DIV/0!</v>
          </cell>
          <cell r="BE215" t="e">
            <v>#DIV/0!</v>
          </cell>
          <cell r="BF215" t="e">
            <v>#DIV/0!</v>
          </cell>
          <cell r="BG215" t="e">
            <v>#DIV/0!</v>
          </cell>
          <cell r="BH215" t="e">
            <v>#DIV/0!</v>
          </cell>
          <cell r="BJ215" t="e">
            <v>#NAME?</v>
          </cell>
          <cell r="BK215" t="e">
            <v>#DIV/0!</v>
          </cell>
          <cell r="BM215" t="e">
            <v>#NAME?</v>
          </cell>
          <cell r="BN215" t="e">
            <v>#NAME?</v>
          </cell>
        </row>
        <row r="216">
          <cell r="A216">
            <v>40178</v>
          </cell>
          <cell r="B216">
            <v>12.104013563920866</v>
          </cell>
          <cell r="C216" t="e">
            <v>#N/A</v>
          </cell>
          <cell r="D216">
            <v>2.6</v>
          </cell>
          <cell r="E216">
            <v>1</v>
          </cell>
          <cell r="F216">
            <v>2.6</v>
          </cell>
          <cell r="G216">
            <v>79.147091000000003</v>
          </cell>
          <cell r="H216">
            <v>205.78243660000001</v>
          </cell>
          <cell r="I216" t="e">
            <v>#NAME?</v>
          </cell>
          <cell r="K216" t="e">
            <v>#NAME?</v>
          </cell>
          <cell r="L216">
            <v>0.16500000000000001</v>
          </cell>
          <cell r="M216">
            <v>0.16500000000000001</v>
          </cell>
          <cell r="N216">
            <v>15.757575757575758</v>
          </cell>
          <cell r="O216">
            <v>6.485766775015831</v>
          </cell>
          <cell r="P216">
            <v>9.756133247744927</v>
          </cell>
          <cell r="Q216">
            <v>13.026499720474021</v>
          </cell>
          <cell r="R216">
            <v>16.296866193203115</v>
          </cell>
          <cell r="S216">
            <v>19.56723266593221</v>
          </cell>
          <cell r="U216">
            <v>0.30184716617843832</v>
          </cell>
          <cell r="V216">
            <v>6.9281499269670616E-2</v>
          </cell>
          <cell r="X216">
            <v>13.453418159532763</v>
          </cell>
          <cell r="Y216">
            <v>0.17126930648552863</v>
          </cell>
          <cell r="Z216">
            <v>-0.49156593081718136</v>
          </cell>
          <cell r="AA216">
            <v>-0.19528622333379575</v>
          </cell>
          <cell r="AB216">
            <v>0.10099348414958985</v>
          </cell>
          <cell r="AC216">
            <v>0.39727319163297548</v>
          </cell>
          <cell r="AD216">
            <v>0.69355289911636109</v>
          </cell>
          <cell r="AF216">
            <v>0.47394240294071022</v>
          </cell>
          <cell r="AG216">
            <v>-0.14340213872342417</v>
          </cell>
          <cell r="AI216" t="e">
            <v>#NAME?</v>
          </cell>
          <cell r="AJ216" t="e">
            <v>#NAME?</v>
          </cell>
          <cell r="AK216" t="e">
            <v>#NAME?</v>
          </cell>
          <cell r="AL216" t="e">
            <v>#NAME?</v>
          </cell>
          <cell r="AM216" t="e">
            <v>#NAME?</v>
          </cell>
          <cell r="AN216" t="e">
            <v>#NAME?</v>
          </cell>
          <cell r="AO216" t="e">
            <v>#NAME?</v>
          </cell>
          <cell r="AQ216" t="e">
            <v>#NAME?</v>
          </cell>
          <cell r="AR216" t="e">
            <v>#NAME?</v>
          </cell>
          <cell r="AS216" t="e">
            <v>#NAME?</v>
          </cell>
          <cell r="AT216" t="e">
            <v>#NAME?</v>
          </cell>
          <cell r="AU216" t="e">
            <v>#NAME?</v>
          </cell>
          <cell r="AV216" t="e">
            <v>#NAME?</v>
          </cell>
          <cell r="AW216" t="e">
            <v>#NAME?</v>
          </cell>
          <cell r="AY216" t="e">
            <v>#NAME?</v>
          </cell>
          <cell r="AZ216" t="e">
            <v>#NAME?</v>
          </cell>
          <cell r="BA216" t="e">
            <v>#NAME?</v>
          </cell>
          <cell r="BB216" t="e">
            <v>#NAME?</v>
          </cell>
          <cell r="BC216" t="e">
            <v>#NAME?</v>
          </cell>
          <cell r="BD216" t="e">
            <v>#DIV/0!</v>
          </cell>
          <cell r="BE216" t="e">
            <v>#DIV/0!</v>
          </cell>
          <cell r="BF216" t="e">
            <v>#DIV/0!</v>
          </cell>
          <cell r="BG216" t="e">
            <v>#DIV/0!</v>
          </cell>
          <cell r="BH216" t="e">
            <v>#DIV/0!</v>
          </cell>
          <cell r="BJ216" t="e">
            <v>#NAME?</v>
          </cell>
          <cell r="BK216" t="e">
            <v>#DIV/0!</v>
          </cell>
          <cell r="BM216" t="e">
            <v>#NAME?</v>
          </cell>
          <cell r="BN216" t="e">
            <v>#NAME?</v>
          </cell>
        </row>
        <row r="217">
          <cell r="A217">
            <v>40209</v>
          </cell>
          <cell r="B217">
            <v>11.445538980945694</v>
          </cell>
          <cell r="C217" t="e">
            <v>#N/A</v>
          </cell>
          <cell r="D217">
            <v>2.56</v>
          </cell>
          <cell r="E217">
            <v>1</v>
          </cell>
          <cell r="F217">
            <v>2.56</v>
          </cell>
          <cell r="G217">
            <v>79.147091000000003</v>
          </cell>
          <cell r="H217">
            <v>202.61655296000001</v>
          </cell>
          <cell r="I217" t="e">
            <v>#NAME?</v>
          </cell>
          <cell r="K217" t="e">
            <v>#NAME?</v>
          </cell>
          <cell r="L217">
            <v>0.16950000000000001</v>
          </cell>
          <cell r="M217">
            <v>0.16950000000000001</v>
          </cell>
          <cell r="N217">
            <v>15.103244837758112</v>
          </cell>
          <cell r="O217">
            <v>6.485766775015831</v>
          </cell>
          <cell r="P217">
            <v>9.756133247744927</v>
          </cell>
          <cell r="Q217">
            <v>13.026499720474021</v>
          </cell>
          <cell r="R217">
            <v>16.296866193203115</v>
          </cell>
          <cell r="S217">
            <v>19.56723266593221</v>
          </cell>
          <cell r="U217">
            <v>0.3195748022790097</v>
          </cell>
          <cell r="V217">
            <v>6.9281499269670616E-2</v>
          </cell>
          <cell r="X217">
            <v>11.939919894507071</v>
          </cell>
          <cell r="Y217">
            <v>0.26493686483661594</v>
          </cell>
          <cell r="Z217">
            <v>-0.49156593081718136</v>
          </cell>
          <cell r="AA217">
            <v>-0.19528622333379575</v>
          </cell>
          <cell r="AB217">
            <v>0.10099348414958985</v>
          </cell>
          <cell r="AC217">
            <v>0.39727319163297548</v>
          </cell>
          <cell r="AD217">
            <v>0.69355289911636109</v>
          </cell>
          <cell r="AF217">
            <v>0.47394240294071022</v>
          </cell>
          <cell r="AG217">
            <v>-0.14340213872342417</v>
          </cell>
          <cell r="AI217" t="e">
            <v>#NAME?</v>
          </cell>
          <cell r="AJ217" t="e">
            <v>#NAME?</v>
          </cell>
          <cell r="AK217" t="e">
            <v>#NAME?</v>
          </cell>
          <cell r="AL217" t="e">
            <v>#NAME?</v>
          </cell>
          <cell r="AM217" t="e">
            <v>#NAME?</v>
          </cell>
          <cell r="AN217" t="e">
            <v>#NAME?</v>
          </cell>
          <cell r="AO217" t="e">
            <v>#NAME?</v>
          </cell>
          <cell r="AQ217" t="e">
            <v>#NAME?</v>
          </cell>
          <cell r="AR217" t="e">
            <v>#NAME?</v>
          </cell>
          <cell r="AS217" t="e">
            <v>#NAME?</v>
          </cell>
          <cell r="AT217" t="e">
            <v>#NAME?</v>
          </cell>
          <cell r="AU217" t="e">
            <v>#NAME?</v>
          </cell>
          <cell r="AV217" t="e">
            <v>#NAME?</v>
          </cell>
          <cell r="AW217" t="e">
            <v>#NAME?</v>
          </cell>
          <cell r="AY217" t="e">
            <v>#NAME?</v>
          </cell>
          <cell r="AZ217" t="e">
            <v>#NAME?</v>
          </cell>
          <cell r="BA217" t="e">
            <v>#NAME?</v>
          </cell>
          <cell r="BB217" t="e">
            <v>#NAME?</v>
          </cell>
          <cell r="BC217" t="e">
            <v>#NAME?</v>
          </cell>
          <cell r="BD217" t="e">
            <v>#DIV/0!</v>
          </cell>
          <cell r="BE217" t="e">
            <v>#DIV/0!</v>
          </cell>
          <cell r="BF217" t="e">
            <v>#DIV/0!</v>
          </cell>
          <cell r="BG217" t="e">
            <v>#DIV/0!</v>
          </cell>
          <cell r="BH217" t="e">
            <v>#DIV/0!</v>
          </cell>
          <cell r="BJ217" t="e">
            <v>#NAME?</v>
          </cell>
          <cell r="BK217" t="e">
            <v>#DIV/0!</v>
          </cell>
          <cell r="BM217" t="e">
            <v>#NAME?</v>
          </cell>
          <cell r="BN217" t="e">
            <v>#NAME?</v>
          </cell>
        </row>
        <row r="218">
          <cell r="A218">
            <v>40237</v>
          </cell>
          <cell r="B218">
            <v>11.95637829084019</v>
          </cell>
          <cell r="C218" t="e">
            <v>#N/A</v>
          </cell>
          <cell r="D218">
            <v>2.37</v>
          </cell>
          <cell r="E218">
            <v>1</v>
          </cell>
          <cell r="F218">
            <v>2.37</v>
          </cell>
          <cell r="G218">
            <v>79.147091000000003</v>
          </cell>
          <cell r="H218">
            <v>187.57860567000003</v>
          </cell>
          <cell r="I218" t="e">
            <v>#NAME?</v>
          </cell>
          <cell r="K218" t="e">
            <v>#NAME?</v>
          </cell>
          <cell r="L218">
            <v>0.17033329999999999</v>
          </cell>
          <cell r="M218">
            <v>0.17033329999999999</v>
          </cell>
          <cell r="N218">
            <v>13.913897047729364</v>
          </cell>
          <cell r="O218">
            <v>6.485766775015831</v>
          </cell>
          <cell r="P218">
            <v>9.756133247744927</v>
          </cell>
          <cell r="Q218">
            <v>13.026499720474021</v>
          </cell>
          <cell r="R218">
            <v>16.296866193203115</v>
          </cell>
          <cell r="S218">
            <v>19.56723266593221</v>
          </cell>
          <cell r="U218">
            <v>0.16372171482637299</v>
          </cell>
          <cell r="V218">
            <v>6.9281499269670616E-2</v>
          </cell>
          <cell r="X218">
            <v>11.900682909783086</v>
          </cell>
          <cell r="Y218">
            <v>0.16916795054603906</v>
          </cell>
          <cell r="Z218">
            <v>-0.49156593081718136</v>
          </cell>
          <cell r="AA218">
            <v>-0.19528622333379575</v>
          </cell>
          <cell r="AB218">
            <v>0.10099348414958985</v>
          </cell>
          <cell r="AC218">
            <v>0.39727319163297548</v>
          </cell>
          <cell r="AD218">
            <v>0.69355289911636109</v>
          </cell>
          <cell r="AF218">
            <v>0.47394240294071022</v>
          </cell>
          <cell r="AG218">
            <v>-0.14340213872342417</v>
          </cell>
          <cell r="AI218" t="e">
            <v>#NAME?</v>
          </cell>
          <cell r="AJ218" t="e">
            <v>#NAME?</v>
          </cell>
          <cell r="AK218" t="e">
            <v>#NAME?</v>
          </cell>
          <cell r="AL218" t="e">
            <v>#NAME?</v>
          </cell>
          <cell r="AM218" t="e">
            <v>#NAME?</v>
          </cell>
          <cell r="AN218" t="e">
            <v>#NAME?</v>
          </cell>
          <cell r="AO218" t="e">
            <v>#NAME?</v>
          </cell>
          <cell r="AQ218" t="e">
            <v>#NAME?</v>
          </cell>
          <cell r="AR218" t="e">
            <v>#NAME?</v>
          </cell>
          <cell r="AS218" t="e">
            <v>#NAME?</v>
          </cell>
          <cell r="AT218" t="e">
            <v>#NAME?</v>
          </cell>
          <cell r="AU218" t="e">
            <v>#NAME?</v>
          </cell>
          <cell r="AV218" t="e">
            <v>#NAME?</v>
          </cell>
          <cell r="AW218" t="e">
            <v>#NAME?</v>
          </cell>
          <cell r="AY218" t="e">
            <v>#NAME?</v>
          </cell>
          <cell r="AZ218" t="e">
            <v>#NAME?</v>
          </cell>
          <cell r="BA218" t="e">
            <v>#NAME?</v>
          </cell>
          <cell r="BB218" t="e">
            <v>#NAME?</v>
          </cell>
          <cell r="BC218" t="e">
            <v>#NAME?</v>
          </cell>
          <cell r="BD218" t="e">
            <v>#DIV/0!</v>
          </cell>
          <cell r="BE218" t="e">
            <v>#DIV/0!</v>
          </cell>
          <cell r="BF218" t="e">
            <v>#DIV/0!</v>
          </cell>
          <cell r="BG218" t="e">
            <v>#DIV/0!</v>
          </cell>
          <cell r="BH218" t="e">
            <v>#DIV/0!</v>
          </cell>
          <cell r="BJ218" t="e">
            <v>#NAME?</v>
          </cell>
          <cell r="BK218" t="e">
            <v>#DIV/0!</v>
          </cell>
          <cell r="BM218" t="e">
            <v>#NAME?</v>
          </cell>
          <cell r="BN218" t="e">
            <v>#NAME?</v>
          </cell>
        </row>
        <row r="219">
          <cell r="A219">
            <v>40268</v>
          </cell>
          <cell r="B219">
            <v>11.779439450221448</v>
          </cell>
          <cell r="C219" t="e">
            <v>#N/A</v>
          </cell>
          <cell r="D219">
            <v>2.39</v>
          </cell>
          <cell r="E219">
            <v>1</v>
          </cell>
          <cell r="F219">
            <v>2.39</v>
          </cell>
          <cell r="G219">
            <v>79.147091000000003</v>
          </cell>
          <cell r="H219">
            <v>189.16154749</v>
          </cell>
          <cell r="I219" t="e">
            <v>#NAME?</v>
          </cell>
          <cell r="K219" t="e">
            <v>#NAME?</v>
          </cell>
          <cell r="L219">
            <v>0.17100000000000001</v>
          </cell>
          <cell r="M219">
            <v>0.17100000000000001</v>
          </cell>
          <cell r="N219">
            <v>13.976608187134502</v>
          </cell>
          <cell r="O219">
            <v>6.485766775015831</v>
          </cell>
          <cell r="P219">
            <v>9.756133247744927</v>
          </cell>
          <cell r="Q219">
            <v>13.026499720474021</v>
          </cell>
          <cell r="R219">
            <v>16.296866193203115</v>
          </cell>
          <cell r="S219">
            <v>19.56723266593221</v>
          </cell>
          <cell r="U219">
            <v>0.18652574650924914</v>
          </cell>
          <cell r="V219">
            <v>6.9281499269670616E-2</v>
          </cell>
          <cell r="X219">
            <v>11.761940204161414</v>
          </cell>
          <cell r="Y219">
            <v>0.18829104250925632</v>
          </cell>
          <cell r="Z219">
            <v>-0.49156593081718136</v>
          </cell>
          <cell r="AA219">
            <v>-0.19528622333379575</v>
          </cell>
          <cell r="AB219">
            <v>0.10099348414958985</v>
          </cell>
          <cell r="AC219">
            <v>0.39727319163297548</v>
          </cell>
          <cell r="AD219">
            <v>0.69355289911636109</v>
          </cell>
          <cell r="AF219">
            <v>0.47394240294071022</v>
          </cell>
          <cell r="AG219">
            <v>-0.14340213872342417</v>
          </cell>
          <cell r="AI219" t="e">
            <v>#NAME?</v>
          </cell>
          <cell r="AJ219" t="e">
            <v>#NAME?</v>
          </cell>
          <cell r="AK219" t="e">
            <v>#NAME?</v>
          </cell>
          <cell r="AL219" t="e">
            <v>#NAME?</v>
          </cell>
          <cell r="AM219" t="e">
            <v>#NAME?</v>
          </cell>
          <cell r="AN219" t="e">
            <v>#NAME?</v>
          </cell>
          <cell r="AO219" t="e">
            <v>#NAME?</v>
          </cell>
          <cell r="AQ219" t="e">
            <v>#NAME?</v>
          </cell>
          <cell r="AR219" t="e">
            <v>#NAME?</v>
          </cell>
          <cell r="AS219" t="e">
            <v>#NAME?</v>
          </cell>
          <cell r="AT219" t="e">
            <v>#NAME?</v>
          </cell>
          <cell r="AU219" t="e">
            <v>#NAME?</v>
          </cell>
          <cell r="AV219" t="e">
            <v>#NAME?</v>
          </cell>
          <cell r="AW219" t="e">
            <v>#NAME?</v>
          </cell>
          <cell r="AY219" t="e">
            <v>#NAME?</v>
          </cell>
          <cell r="AZ219" t="e">
            <v>#NAME?</v>
          </cell>
          <cell r="BA219" t="e">
            <v>#NAME?</v>
          </cell>
          <cell r="BB219" t="e">
            <v>#NAME?</v>
          </cell>
          <cell r="BC219" t="e">
            <v>#NAME?</v>
          </cell>
          <cell r="BD219" t="e">
            <v>#DIV/0!</v>
          </cell>
          <cell r="BE219" t="e">
            <v>#DIV/0!</v>
          </cell>
          <cell r="BF219" t="e">
            <v>#DIV/0!</v>
          </cell>
          <cell r="BG219" t="e">
            <v>#DIV/0!</v>
          </cell>
          <cell r="BH219" t="e">
            <v>#DIV/0!</v>
          </cell>
          <cell r="BJ219" t="e">
            <v>#NAME?</v>
          </cell>
          <cell r="BK219" t="e">
            <v>#DIV/0!</v>
          </cell>
          <cell r="BM219" t="e">
            <v>#NAME?</v>
          </cell>
          <cell r="BN219" t="e">
            <v>#NAME?</v>
          </cell>
        </row>
        <row r="220">
          <cell r="A220">
            <v>40298</v>
          </cell>
          <cell r="B220">
            <v>11.706457548653514</v>
          </cell>
          <cell r="C220" t="e">
            <v>#N/A</v>
          </cell>
          <cell r="D220">
            <v>2.66</v>
          </cell>
          <cell r="E220">
            <v>1</v>
          </cell>
          <cell r="F220">
            <v>2.66</v>
          </cell>
          <cell r="G220">
            <v>79.147091000000003</v>
          </cell>
          <cell r="H220">
            <v>210.53126206000002</v>
          </cell>
          <cell r="I220" t="e">
            <v>#NAME?</v>
          </cell>
          <cell r="K220" t="e">
            <v>#NAME?</v>
          </cell>
          <cell r="L220">
            <v>0.17699999999999999</v>
          </cell>
          <cell r="M220">
            <v>0.17699999999999999</v>
          </cell>
          <cell r="N220">
            <v>15.028248587570623</v>
          </cell>
          <cell r="O220">
            <v>6.485766775015831</v>
          </cell>
          <cell r="P220">
            <v>9.756133247744927</v>
          </cell>
          <cell r="Q220">
            <v>13.026499720474021</v>
          </cell>
          <cell r="R220">
            <v>16.296866193203115</v>
          </cell>
          <cell r="S220">
            <v>19.56723266593221</v>
          </cell>
          <cell r="U220">
            <v>0.28375715071030894</v>
          </cell>
          <cell r="V220">
            <v>6.9281499269670616E-2</v>
          </cell>
          <cell r="X220">
            <v>11.444076878706104</v>
          </cell>
          <cell r="Y220">
            <v>0.31319011108126649</v>
          </cell>
          <cell r="Z220">
            <v>-0.49156593081718136</v>
          </cell>
          <cell r="AA220">
            <v>-0.19528622333379575</v>
          </cell>
          <cell r="AB220">
            <v>0.10099348414958985</v>
          </cell>
          <cell r="AC220">
            <v>0.39727319163297548</v>
          </cell>
          <cell r="AD220">
            <v>0.69355289911636109</v>
          </cell>
          <cell r="AF220">
            <v>0.47394240294071022</v>
          </cell>
          <cell r="AG220">
            <v>-0.14340213872342417</v>
          </cell>
          <cell r="AI220" t="e">
            <v>#NAME?</v>
          </cell>
          <cell r="AJ220" t="e">
            <v>#NAME?</v>
          </cell>
          <cell r="AK220" t="e">
            <v>#NAME?</v>
          </cell>
          <cell r="AL220" t="e">
            <v>#NAME?</v>
          </cell>
          <cell r="AM220" t="e">
            <v>#NAME?</v>
          </cell>
          <cell r="AN220" t="e">
            <v>#NAME?</v>
          </cell>
          <cell r="AO220" t="e">
            <v>#NAME?</v>
          </cell>
          <cell r="AQ220" t="e">
            <v>#NAME?</v>
          </cell>
          <cell r="AR220" t="e">
            <v>#NAME?</v>
          </cell>
          <cell r="AS220" t="e">
            <v>#NAME?</v>
          </cell>
          <cell r="AT220" t="e">
            <v>#NAME?</v>
          </cell>
          <cell r="AU220" t="e">
            <v>#NAME?</v>
          </cell>
          <cell r="AV220" t="e">
            <v>#NAME?</v>
          </cell>
          <cell r="AW220" t="e">
            <v>#NAME?</v>
          </cell>
          <cell r="AY220" t="e">
            <v>#NAME?</v>
          </cell>
          <cell r="AZ220" t="e">
            <v>#NAME?</v>
          </cell>
          <cell r="BA220" t="e">
            <v>#NAME?</v>
          </cell>
          <cell r="BB220" t="e">
            <v>#NAME?</v>
          </cell>
          <cell r="BC220" t="e">
            <v>#NAME?</v>
          </cell>
          <cell r="BD220" t="e">
            <v>#DIV/0!</v>
          </cell>
          <cell r="BE220" t="e">
            <v>#DIV/0!</v>
          </cell>
          <cell r="BF220" t="e">
            <v>#DIV/0!</v>
          </cell>
          <cell r="BG220" t="e">
            <v>#DIV/0!</v>
          </cell>
          <cell r="BH220" t="e">
            <v>#DIV/0!</v>
          </cell>
          <cell r="BJ220" t="e">
            <v>#NAME?</v>
          </cell>
          <cell r="BK220" t="e">
            <v>#DIV/0!</v>
          </cell>
          <cell r="BM220" t="e">
            <v>#NAME?</v>
          </cell>
          <cell r="BN220" t="e">
            <v>#NAME?</v>
          </cell>
        </row>
        <row r="221">
          <cell r="A221">
            <v>40329</v>
          </cell>
          <cell r="B221">
            <v>10.771949656449511</v>
          </cell>
          <cell r="C221" t="e">
            <v>#N/A</v>
          </cell>
          <cell r="D221">
            <v>2.44</v>
          </cell>
          <cell r="E221">
            <v>1</v>
          </cell>
          <cell r="F221">
            <v>2.44</v>
          </cell>
          <cell r="G221">
            <v>79.147091000000003</v>
          </cell>
          <cell r="H221">
            <v>193.11890203999999</v>
          </cell>
          <cell r="I221" t="e">
            <v>#NAME?</v>
          </cell>
          <cell r="K221" t="e">
            <v>#NAME?</v>
          </cell>
          <cell r="L221">
            <v>0.1813333</v>
          </cell>
          <cell r="M221">
            <v>0.1813333</v>
          </cell>
          <cell r="N221">
            <v>13.455884826449417</v>
          </cell>
          <cell r="O221">
            <v>6.485766775015831</v>
          </cell>
          <cell r="P221">
            <v>9.756133247744927</v>
          </cell>
          <cell r="Q221">
            <v>13.026499720474021</v>
          </cell>
          <cell r="R221">
            <v>16.296866193203115</v>
          </cell>
          <cell r="S221">
            <v>19.56723266593221</v>
          </cell>
          <cell r="U221">
            <v>0.24915964663768619</v>
          </cell>
          <cell r="V221">
            <v>6.9281499269670616E-2</v>
          </cell>
          <cell r="X221">
            <v>9.6173121866549316</v>
          </cell>
          <cell r="Y221">
            <v>0.39913154167137499</v>
          </cell>
          <cell r="Z221">
            <v>-0.49156593081718136</v>
          </cell>
          <cell r="AA221">
            <v>-0.19528622333379575</v>
          </cell>
          <cell r="AB221">
            <v>0.10099348414958985</v>
          </cell>
          <cell r="AC221">
            <v>0.39727319163297548</v>
          </cell>
          <cell r="AD221">
            <v>0.69355289911636109</v>
          </cell>
          <cell r="AF221">
            <v>0.47394240294071022</v>
          </cell>
          <cell r="AG221">
            <v>-0.14340213872342417</v>
          </cell>
          <cell r="AI221" t="e">
            <v>#NAME?</v>
          </cell>
          <cell r="AJ221" t="e">
            <v>#NAME?</v>
          </cell>
          <cell r="AK221" t="e">
            <v>#NAME?</v>
          </cell>
          <cell r="AL221" t="e">
            <v>#NAME?</v>
          </cell>
          <cell r="AM221" t="e">
            <v>#NAME?</v>
          </cell>
          <cell r="AN221" t="e">
            <v>#NAME?</v>
          </cell>
          <cell r="AO221" t="e">
            <v>#NAME?</v>
          </cell>
          <cell r="AQ221" t="e">
            <v>#NAME?</v>
          </cell>
          <cell r="AR221" t="e">
            <v>#NAME?</v>
          </cell>
          <cell r="AS221" t="e">
            <v>#NAME?</v>
          </cell>
          <cell r="AT221" t="e">
            <v>#NAME?</v>
          </cell>
          <cell r="AU221" t="e">
            <v>#NAME?</v>
          </cell>
          <cell r="AV221" t="e">
            <v>#NAME?</v>
          </cell>
          <cell r="AW221" t="e">
            <v>#NAME?</v>
          </cell>
          <cell r="AY221" t="e">
            <v>#NAME?</v>
          </cell>
          <cell r="AZ221" t="e">
            <v>#NAME?</v>
          </cell>
          <cell r="BA221" t="e">
            <v>#NAME?</v>
          </cell>
          <cell r="BB221" t="e">
            <v>#NAME?</v>
          </cell>
          <cell r="BC221" t="e">
            <v>#NAME?</v>
          </cell>
          <cell r="BD221" t="e">
            <v>#DIV/0!</v>
          </cell>
          <cell r="BE221" t="e">
            <v>#DIV/0!</v>
          </cell>
          <cell r="BF221" t="e">
            <v>#DIV/0!</v>
          </cell>
          <cell r="BG221" t="e">
            <v>#DIV/0!</v>
          </cell>
          <cell r="BH221" t="e">
            <v>#DIV/0!</v>
          </cell>
          <cell r="BJ221" t="e">
            <v>#NAME?</v>
          </cell>
          <cell r="BK221" t="e">
            <v>#DIV/0!</v>
          </cell>
          <cell r="BM221" t="e">
            <v>#NAME?</v>
          </cell>
          <cell r="BN221" t="e">
            <v>#NAME?</v>
          </cell>
        </row>
        <row r="222">
          <cell r="A222">
            <v>40359</v>
          </cell>
          <cell r="B222">
            <v>10.451741135269209</v>
          </cell>
          <cell r="C222" t="e">
            <v>#N/A</v>
          </cell>
          <cell r="D222">
            <v>2.39</v>
          </cell>
          <cell r="E222">
            <v>1</v>
          </cell>
          <cell r="F222">
            <v>2.39</v>
          </cell>
          <cell r="G222">
            <v>79.147091000000003</v>
          </cell>
          <cell r="H222">
            <v>189.16154749</v>
          </cell>
          <cell r="I222" t="e">
            <v>#NAME?</v>
          </cell>
          <cell r="K222" t="e">
            <v>#NAME?</v>
          </cell>
          <cell r="L222">
            <v>0.18099999999999999</v>
          </cell>
          <cell r="M222">
            <v>0.18099999999999999</v>
          </cell>
          <cell r="N222">
            <v>13.204419889502763</v>
          </cell>
          <cell r="O222">
            <v>6.485766775015831</v>
          </cell>
          <cell r="P222">
            <v>9.756133247744927</v>
          </cell>
          <cell r="Q222">
            <v>13.026499720474021</v>
          </cell>
          <cell r="R222">
            <v>16.296866193203115</v>
          </cell>
          <cell r="S222">
            <v>19.56723266593221</v>
          </cell>
          <cell r="U222">
            <v>0.2633703531887801</v>
          </cell>
          <cell r="V222">
            <v>6.9281499269670616E-2</v>
          </cell>
          <cell r="X222">
            <v>9.3805157938286534</v>
          </cell>
          <cell r="Y222">
            <v>0.40764326607603141</v>
          </cell>
          <cell r="Z222">
            <v>-0.49156593081718136</v>
          </cell>
          <cell r="AA222">
            <v>-0.19528622333379575</v>
          </cell>
          <cell r="AB222">
            <v>0.10099348414958985</v>
          </cell>
          <cell r="AC222">
            <v>0.39727319163297548</v>
          </cell>
          <cell r="AD222">
            <v>0.69355289911636109</v>
          </cell>
          <cell r="AF222">
            <v>0.47394240294071022</v>
          </cell>
          <cell r="AG222">
            <v>-0.14340213872342417</v>
          </cell>
          <cell r="AI222" t="e">
            <v>#NAME?</v>
          </cell>
          <cell r="AJ222" t="e">
            <v>#NAME?</v>
          </cell>
          <cell r="AK222" t="e">
            <v>#NAME?</v>
          </cell>
          <cell r="AL222" t="e">
            <v>#NAME?</v>
          </cell>
          <cell r="AM222" t="e">
            <v>#NAME?</v>
          </cell>
          <cell r="AN222" t="e">
            <v>#NAME?</v>
          </cell>
          <cell r="AO222" t="e">
            <v>#NAME?</v>
          </cell>
          <cell r="AQ222" t="e">
            <v>#NAME?</v>
          </cell>
          <cell r="AR222" t="e">
            <v>#NAME?</v>
          </cell>
          <cell r="AS222" t="e">
            <v>#NAME?</v>
          </cell>
          <cell r="AT222" t="e">
            <v>#NAME?</v>
          </cell>
          <cell r="AU222" t="e">
            <v>#NAME?</v>
          </cell>
          <cell r="AV222" t="e">
            <v>#NAME?</v>
          </cell>
          <cell r="AW222" t="e">
            <v>#NAME?</v>
          </cell>
          <cell r="AY222" t="e">
            <v>#NAME?</v>
          </cell>
          <cell r="AZ222" t="e">
            <v>#NAME?</v>
          </cell>
          <cell r="BA222" t="e">
            <v>#NAME?</v>
          </cell>
          <cell r="BB222" t="e">
            <v>#NAME?</v>
          </cell>
          <cell r="BC222" t="e">
            <v>#NAME?</v>
          </cell>
          <cell r="BD222" t="e">
            <v>#DIV/0!</v>
          </cell>
          <cell r="BE222" t="e">
            <v>#DIV/0!</v>
          </cell>
          <cell r="BF222" t="e">
            <v>#DIV/0!</v>
          </cell>
          <cell r="BG222" t="e">
            <v>#DIV/0!</v>
          </cell>
          <cell r="BH222" t="e">
            <v>#DIV/0!</v>
          </cell>
          <cell r="BJ222" t="e">
            <v>#NAME?</v>
          </cell>
          <cell r="BK222" t="e">
            <v>#DIV/0!</v>
          </cell>
          <cell r="BM222" t="e">
            <v>#NAME?</v>
          </cell>
          <cell r="BN222" t="e">
            <v>#NAME?</v>
          </cell>
        </row>
        <row r="223">
          <cell r="A223">
            <v>40390</v>
          </cell>
          <cell r="B223">
            <v>10.579900368640134</v>
          </cell>
          <cell r="C223" t="e">
            <v>#N/A</v>
          </cell>
          <cell r="D223">
            <v>2.35</v>
          </cell>
          <cell r="E223">
            <v>1</v>
          </cell>
          <cell r="F223">
            <v>2.35</v>
          </cell>
          <cell r="G223">
            <v>91.573999999999998</v>
          </cell>
          <cell r="H223">
            <v>215.19890000000001</v>
          </cell>
          <cell r="I223" t="e">
            <v>#NAME?</v>
          </cell>
          <cell r="K223" t="e">
            <v>#NAME?</v>
          </cell>
          <cell r="L223">
            <v>0.17799999999999999</v>
          </cell>
          <cell r="M223">
            <v>0.17799999999999999</v>
          </cell>
          <cell r="N223">
            <v>13.202247191011237</v>
          </cell>
          <cell r="O223">
            <v>6.485766775015831</v>
          </cell>
          <cell r="P223">
            <v>9.756133247744927</v>
          </cell>
          <cell r="Q223">
            <v>13.026499720474021</v>
          </cell>
          <cell r="R223">
            <v>16.296866193203115</v>
          </cell>
          <cell r="S223">
            <v>19.56723266593221</v>
          </cell>
          <cell r="U223">
            <v>0.24786120199619255</v>
          </cell>
          <cell r="V223">
            <v>6.9281499269670616E-2</v>
          </cell>
          <cell r="X223">
            <v>9.9920388129070954</v>
          </cell>
          <cell r="Y223">
            <v>0.32127661213218994</v>
          </cell>
          <cell r="Z223">
            <v>-0.49156593081718136</v>
          </cell>
          <cell r="AA223">
            <v>-0.19528622333379575</v>
          </cell>
          <cell r="AB223">
            <v>0.10099348414958985</v>
          </cell>
          <cell r="AC223">
            <v>0.39727319163297548</v>
          </cell>
          <cell r="AD223">
            <v>0.69355289911636109</v>
          </cell>
          <cell r="AF223">
            <v>0.47394240294071022</v>
          </cell>
          <cell r="AG223">
            <v>-0.14340213872342417</v>
          </cell>
          <cell r="AI223" t="e">
            <v>#NAME?</v>
          </cell>
          <cell r="AJ223" t="e">
            <v>#NAME?</v>
          </cell>
          <cell r="AK223" t="e">
            <v>#NAME?</v>
          </cell>
          <cell r="AL223" t="e">
            <v>#NAME?</v>
          </cell>
          <cell r="AM223" t="e">
            <v>#NAME?</v>
          </cell>
          <cell r="AN223" t="e">
            <v>#NAME?</v>
          </cell>
          <cell r="AO223" t="e">
            <v>#NAME?</v>
          </cell>
          <cell r="AQ223" t="e">
            <v>#NAME?</v>
          </cell>
          <cell r="AR223" t="e">
            <v>#NAME?</v>
          </cell>
          <cell r="AS223" t="e">
            <v>#NAME?</v>
          </cell>
          <cell r="AT223" t="e">
            <v>#NAME?</v>
          </cell>
          <cell r="AU223" t="e">
            <v>#NAME?</v>
          </cell>
          <cell r="AV223" t="e">
            <v>#NAME?</v>
          </cell>
          <cell r="AW223" t="e">
            <v>#NAME?</v>
          </cell>
          <cell r="AY223" t="e">
            <v>#NAME?</v>
          </cell>
          <cell r="AZ223" t="e">
            <v>#NAME?</v>
          </cell>
          <cell r="BA223" t="e">
            <v>#NAME?</v>
          </cell>
          <cell r="BB223" t="e">
            <v>#NAME?</v>
          </cell>
          <cell r="BC223" t="e">
            <v>#NAME?</v>
          </cell>
          <cell r="BD223" t="e">
            <v>#DIV/0!</v>
          </cell>
          <cell r="BE223" t="e">
            <v>#DIV/0!</v>
          </cell>
          <cell r="BF223" t="e">
            <v>#DIV/0!</v>
          </cell>
          <cell r="BG223" t="e">
            <v>#DIV/0!</v>
          </cell>
          <cell r="BH223" t="e">
            <v>#DIV/0!</v>
          </cell>
          <cell r="BJ223" t="e">
            <v>#NAME?</v>
          </cell>
          <cell r="BK223" t="e">
            <v>#DIV/0!</v>
          </cell>
          <cell r="BM223" t="e">
            <v>#NAME?</v>
          </cell>
          <cell r="BN223" t="e">
            <v>#NAME?</v>
          </cell>
        </row>
        <row r="224">
          <cell r="A224">
            <v>40421</v>
          </cell>
          <cell r="B224">
            <v>10.6939694569012</v>
          </cell>
          <cell r="C224" t="e">
            <v>#N/A</v>
          </cell>
          <cell r="D224">
            <v>2.33</v>
          </cell>
          <cell r="E224">
            <v>1</v>
          </cell>
          <cell r="F224">
            <v>2.33</v>
          </cell>
          <cell r="G224">
            <v>91.573999999999998</v>
          </cell>
          <cell r="H224">
            <v>213.36742000000001</v>
          </cell>
          <cell r="I224" t="e">
            <v>#NAME?</v>
          </cell>
          <cell r="K224" t="e">
            <v>#NAME?</v>
          </cell>
          <cell r="L224">
            <v>0.158</v>
          </cell>
          <cell r="M224">
            <v>0.158</v>
          </cell>
          <cell r="N224">
            <v>14.746835443037975</v>
          </cell>
          <cell r="O224">
            <v>6.485766775015831</v>
          </cell>
          <cell r="P224">
            <v>9.756133247744927</v>
          </cell>
          <cell r="Q224">
            <v>13.026499720474021</v>
          </cell>
          <cell r="R224">
            <v>16.296866193203115</v>
          </cell>
          <cell r="S224">
            <v>19.56723266593221</v>
          </cell>
          <cell r="U224">
            <v>0.37898611946392968</v>
          </cell>
          <cell r="V224">
            <v>6.9281499269670616E-2</v>
          </cell>
          <cell r="X224">
            <v>10.208191804804871</v>
          </cell>
          <cell r="Y224">
            <v>0.44460798983976968</v>
          </cell>
          <cell r="Z224">
            <v>-0.49156593081718136</v>
          </cell>
          <cell r="AA224">
            <v>-0.19528622333379575</v>
          </cell>
          <cell r="AB224">
            <v>0.10099348414958985</v>
          </cell>
          <cell r="AC224">
            <v>0.39727319163297548</v>
          </cell>
          <cell r="AD224">
            <v>0.69355289911636109</v>
          </cell>
          <cell r="AF224">
            <v>0.47394240294071022</v>
          </cell>
          <cell r="AG224">
            <v>-0.14340213872342417</v>
          </cell>
          <cell r="AI224" t="e">
            <v>#NAME?</v>
          </cell>
          <cell r="AJ224" t="e">
            <v>#NAME?</v>
          </cell>
          <cell r="AK224" t="e">
            <v>#NAME?</v>
          </cell>
          <cell r="AL224" t="e">
            <v>#NAME?</v>
          </cell>
          <cell r="AM224" t="e">
            <v>#NAME?</v>
          </cell>
          <cell r="AN224" t="e">
            <v>#NAME?</v>
          </cell>
          <cell r="AO224" t="e">
            <v>#NAME?</v>
          </cell>
          <cell r="AQ224" t="e">
            <v>#NAME?</v>
          </cell>
          <cell r="AR224" t="e">
            <v>#NAME?</v>
          </cell>
          <cell r="AS224" t="e">
            <v>#NAME?</v>
          </cell>
          <cell r="AT224" t="e">
            <v>#NAME?</v>
          </cell>
          <cell r="AU224" t="e">
            <v>#NAME?</v>
          </cell>
          <cell r="AV224" t="e">
            <v>#NAME?</v>
          </cell>
          <cell r="AW224" t="e">
            <v>#NAME?</v>
          </cell>
          <cell r="AY224" t="e">
            <v>#NAME?</v>
          </cell>
          <cell r="AZ224" t="e">
            <v>#NAME?</v>
          </cell>
          <cell r="BA224" t="e">
            <v>#NAME?</v>
          </cell>
          <cell r="BB224" t="e">
            <v>#NAME?</v>
          </cell>
          <cell r="BC224" t="e">
            <v>#NAME?</v>
          </cell>
          <cell r="BD224" t="e">
            <v>#DIV/0!</v>
          </cell>
          <cell r="BE224" t="e">
            <v>#DIV/0!</v>
          </cell>
          <cell r="BF224" t="e">
            <v>#DIV/0!</v>
          </cell>
          <cell r="BG224" t="e">
            <v>#DIV/0!</v>
          </cell>
          <cell r="BH224" t="e">
            <v>#DIV/0!</v>
          </cell>
          <cell r="BJ224" t="e">
            <v>#NAME?</v>
          </cell>
          <cell r="BK224" t="e">
            <v>#DIV/0!</v>
          </cell>
          <cell r="BM224" t="e">
            <v>#NAME?</v>
          </cell>
          <cell r="BN224" t="e">
            <v>#NAME?</v>
          </cell>
        </row>
        <row r="225">
          <cell r="A225">
            <v>40451</v>
          </cell>
          <cell r="B225">
            <v>11.157067255388844</v>
          </cell>
          <cell r="C225" t="e">
            <v>#N/A</v>
          </cell>
          <cell r="D225">
            <v>2.2400000000000002</v>
          </cell>
          <cell r="E225">
            <v>1</v>
          </cell>
          <cell r="F225">
            <v>2.2400000000000002</v>
          </cell>
          <cell r="G225">
            <v>91.573999999999998</v>
          </cell>
          <cell r="H225">
            <v>205.12576000000001</v>
          </cell>
          <cell r="I225" t="e">
            <v>#NAME?</v>
          </cell>
          <cell r="K225" t="e">
            <v>#NAME?</v>
          </cell>
          <cell r="L225">
            <v>0.157</v>
          </cell>
          <cell r="M225">
            <v>0.157</v>
          </cell>
          <cell r="N225">
            <v>14.267515923566881</v>
          </cell>
          <cell r="O225">
            <v>6.485766775015831</v>
          </cell>
          <cell r="P225">
            <v>9.756133247744927</v>
          </cell>
          <cell r="Q225">
            <v>13.026499720474021</v>
          </cell>
          <cell r="R225">
            <v>16.296866193203115</v>
          </cell>
          <cell r="S225">
            <v>19.56723266593221</v>
          </cell>
          <cell r="U225">
            <v>0.27878730108718264</v>
          </cell>
          <cell r="V225">
            <v>6.9281499269670616E-2</v>
          </cell>
          <cell r="X225">
            <v>11.688525634750206</v>
          </cell>
          <cell r="Y225">
            <v>0.22064290821669474</v>
          </cell>
          <cell r="Z225">
            <v>-0.49156593081718136</v>
          </cell>
          <cell r="AA225">
            <v>-0.19528622333379575</v>
          </cell>
          <cell r="AB225">
            <v>0.10099348414958985</v>
          </cell>
          <cell r="AC225">
            <v>0.39727319163297548</v>
          </cell>
          <cell r="AD225">
            <v>0.69355289911636109</v>
          </cell>
          <cell r="AF225">
            <v>0.47394240294071022</v>
          </cell>
          <cell r="AG225">
            <v>-0.14340213872342417</v>
          </cell>
          <cell r="AI225" t="e">
            <v>#NAME?</v>
          </cell>
          <cell r="AJ225" t="e">
            <v>#NAME?</v>
          </cell>
          <cell r="AK225" t="e">
            <v>#NAME?</v>
          </cell>
          <cell r="AL225" t="e">
            <v>#NAME?</v>
          </cell>
          <cell r="AM225" t="e">
            <v>#NAME?</v>
          </cell>
          <cell r="AN225" t="e">
            <v>#NAME?</v>
          </cell>
          <cell r="AO225" t="e">
            <v>#NAME?</v>
          </cell>
          <cell r="AQ225" t="e">
            <v>#NAME?</v>
          </cell>
          <cell r="AR225" t="e">
            <v>#NAME?</v>
          </cell>
          <cell r="AS225" t="e">
            <v>#NAME?</v>
          </cell>
          <cell r="AT225" t="e">
            <v>#NAME?</v>
          </cell>
          <cell r="AU225" t="e">
            <v>#NAME?</v>
          </cell>
          <cell r="AV225" t="e">
            <v>#NAME?</v>
          </cell>
          <cell r="AW225" t="e">
            <v>#NAME?</v>
          </cell>
          <cell r="AY225" t="e">
            <v>#NAME?</v>
          </cell>
          <cell r="AZ225" t="e">
            <v>#NAME?</v>
          </cell>
          <cell r="BA225" t="e">
            <v>#NAME?</v>
          </cell>
          <cell r="BB225" t="e">
            <v>#NAME?</v>
          </cell>
          <cell r="BC225" t="e">
            <v>#NAME?</v>
          </cell>
          <cell r="BD225" t="e">
            <v>#DIV/0!</v>
          </cell>
          <cell r="BE225" t="e">
            <v>#DIV/0!</v>
          </cell>
          <cell r="BF225" t="e">
            <v>#DIV/0!</v>
          </cell>
          <cell r="BG225" t="e">
            <v>#DIV/0!</v>
          </cell>
          <cell r="BH225" t="e">
            <v>#DIV/0!</v>
          </cell>
          <cell r="BJ225" t="e">
            <v>#NAME?</v>
          </cell>
          <cell r="BK225" t="e">
            <v>#DIV/0!</v>
          </cell>
          <cell r="BM225" t="e">
            <v>#NAME?</v>
          </cell>
          <cell r="BN225" t="e">
            <v>#NAME?</v>
          </cell>
        </row>
        <row r="226">
          <cell r="A226">
            <v>40482</v>
          </cell>
          <cell r="B226">
            <v>11.377009788604543</v>
          </cell>
          <cell r="C226" t="e">
            <v>#N/A</v>
          </cell>
          <cell r="D226">
            <v>2.36</v>
          </cell>
          <cell r="E226">
            <v>1</v>
          </cell>
          <cell r="F226">
            <v>2.36</v>
          </cell>
          <cell r="G226">
            <v>91.573999999999998</v>
          </cell>
          <cell r="H226">
            <v>216.11463999999998</v>
          </cell>
          <cell r="I226" t="e">
            <v>#NAME?</v>
          </cell>
          <cell r="K226" t="e">
            <v>#NAME?</v>
          </cell>
          <cell r="L226">
            <v>0.16</v>
          </cell>
          <cell r="M226">
            <v>0.16</v>
          </cell>
          <cell r="N226">
            <v>14.749999999999998</v>
          </cell>
          <cell r="O226">
            <v>6.485766775015831</v>
          </cell>
          <cell r="P226">
            <v>9.756133247744927</v>
          </cell>
          <cell r="Q226">
            <v>13.026499720474021</v>
          </cell>
          <cell r="R226">
            <v>16.296866193203115</v>
          </cell>
          <cell r="S226">
            <v>19.56723266593221</v>
          </cell>
          <cell r="U226">
            <v>0.29647422952680547</v>
          </cell>
          <cell r="V226">
            <v>6.9281499269670616E-2</v>
          </cell>
          <cell r="X226">
            <v>11.230227414148677</v>
          </cell>
          <cell r="Y226">
            <v>0.3134195289239512</v>
          </cell>
          <cell r="Z226">
            <v>-0.49156593081718136</v>
          </cell>
          <cell r="AA226">
            <v>-0.19528622333379575</v>
          </cell>
          <cell r="AB226">
            <v>0.10099348414958985</v>
          </cell>
          <cell r="AC226">
            <v>0.39727319163297548</v>
          </cell>
          <cell r="AD226">
            <v>0.69355289911636109</v>
          </cell>
          <cell r="AF226">
            <v>0.47394240294071022</v>
          </cell>
          <cell r="AG226">
            <v>-0.14340213872342417</v>
          </cell>
          <cell r="AI226" t="e">
            <v>#NAME?</v>
          </cell>
          <cell r="AJ226" t="e">
            <v>#NAME?</v>
          </cell>
          <cell r="AK226" t="e">
            <v>#NAME?</v>
          </cell>
          <cell r="AL226" t="e">
            <v>#NAME?</v>
          </cell>
          <cell r="AM226" t="e">
            <v>#NAME?</v>
          </cell>
          <cell r="AN226" t="e">
            <v>#NAME?</v>
          </cell>
          <cell r="AO226" t="e">
            <v>#NAME?</v>
          </cell>
          <cell r="AQ226" t="e">
            <v>#NAME?</v>
          </cell>
          <cell r="AR226" t="e">
            <v>#NAME?</v>
          </cell>
          <cell r="AS226" t="e">
            <v>#NAME?</v>
          </cell>
          <cell r="AT226" t="e">
            <v>#NAME?</v>
          </cell>
          <cell r="AU226" t="e">
            <v>#NAME?</v>
          </cell>
          <cell r="AV226" t="e">
            <v>#NAME?</v>
          </cell>
          <cell r="AW226" t="e">
            <v>#NAME?</v>
          </cell>
          <cell r="AY226" t="e">
            <v>#NAME?</v>
          </cell>
          <cell r="AZ226" t="e">
            <v>#NAME?</v>
          </cell>
          <cell r="BA226" t="e">
            <v>#NAME?</v>
          </cell>
          <cell r="BB226" t="e">
            <v>#NAME?</v>
          </cell>
          <cell r="BC226" t="e">
            <v>#NAME?</v>
          </cell>
          <cell r="BD226" t="e">
            <v>#DIV/0!</v>
          </cell>
          <cell r="BE226" t="e">
            <v>#DIV/0!</v>
          </cell>
          <cell r="BF226" t="e">
            <v>#DIV/0!</v>
          </cell>
          <cell r="BG226" t="e">
            <v>#DIV/0!</v>
          </cell>
          <cell r="BH226" t="e">
            <v>#DIV/0!</v>
          </cell>
          <cell r="BJ226" t="e">
            <v>#NAME?</v>
          </cell>
          <cell r="BK226" t="e">
            <v>#DIV/0!</v>
          </cell>
          <cell r="BM226" t="e">
            <v>#NAME?</v>
          </cell>
          <cell r="BN226" t="e">
            <v>#NAME?</v>
          </cell>
        </row>
        <row r="227">
          <cell r="A227">
            <v>40512</v>
          </cell>
          <cell r="B227">
            <v>11.287501332643147</v>
          </cell>
          <cell r="C227" t="e">
            <v>#N/A</v>
          </cell>
          <cell r="D227">
            <v>2.5</v>
          </cell>
          <cell r="E227">
            <v>1</v>
          </cell>
          <cell r="F227">
            <v>2.5</v>
          </cell>
          <cell r="G227">
            <v>91.573999999999998</v>
          </cell>
          <cell r="H227">
            <v>228.935</v>
          </cell>
          <cell r="I227" t="e">
            <v>#NAME?</v>
          </cell>
          <cell r="K227" t="e">
            <v>#NAME?</v>
          </cell>
          <cell r="L227">
            <v>0.16058329999999998</v>
          </cell>
          <cell r="M227">
            <v>0.16058329999999998</v>
          </cell>
          <cell r="N227">
            <v>15.568244020393156</v>
          </cell>
          <cell r="O227">
            <v>6.485766775015831</v>
          </cell>
          <cell r="P227">
            <v>9.756133247744927</v>
          </cell>
          <cell r="Q227">
            <v>13.026499720474021</v>
          </cell>
          <cell r="R227">
            <v>16.296866193203115</v>
          </cell>
          <cell r="S227">
            <v>19.56723266593221</v>
          </cell>
          <cell r="U227">
            <v>0.37924626200222167</v>
          </cell>
          <cell r="V227">
            <v>6.9281499269670616E-2</v>
          </cell>
          <cell r="X227">
            <v>11.83835100099482</v>
          </cell>
          <cell r="Y227">
            <v>0.31506862899105625</v>
          </cell>
          <cell r="Z227">
            <v>-0.49156593081718136</v>
          </cell>
          <cell r="AA227">
            <v>-0.19528622333379575</v>
          </cell>
          <cell r="AB227">
            <v>0.10099348414958985</v>
          </cell>
          <cell r="AC227">
            <v>0.39727319163297548</v>
          </cell>
          <cell r="AD227">
            <v>0.69355289911636109</v>
          </cell>
          <cell r="AF227">
            <v>0.47394240294071022</v>
          </cell>
          <cell r="AG227">
            <v>-0.14340213872342417</v>
          </cell>
          <cell r="AI227" t="e">
            <v>#NAME?</v>
          </cell>
          <cell r="AJ227" t="e">
            <v>#NAME?</v>
          </cell>
          <cell r="AK227" t="e">
            <v>#NAME?</v>
          </cell>
          <cell r="AL227" t="e">
            <v>#NAME?</v>
          </cell>
          <cell r="AM227" t="e">
            <v>#NAME?</v>
          </cell>
          <cell r="AN227" t="e">
            <v>#NAME?</v>
          </cell>
          <cell r="AO227" t="e">
            <v>#NAME?</v>
          </cell>
          <cell r="AQ227" t="e">
            <v>#NAME?</v>
          </cell>
          <cell r="AR227" t="e">
            <v>#NAME?</v>
          </cell>
          <cell r="AS227" t="e">
            <v>#NAME?</v>
          </cell>
          <cell r="AT227" t="e">
            <v>#NAME?</v>
          </cell>
          <cell r="AU227" t="e">
            <v>#NAME?</v>
          </cell>
          <cell r="AV227" t="e">
            <v>#NAME?</v>
          </cell>
          <cell r="AW227" t="e">
            <v>#NAME?</v>
          </cell>
          <cell r="AY227" t="e">
            <v>#NAME?</v>
          </cell>
          <cell r="AZ227" t="e">
            <v>#NAME?</v>
          </cell>
          <cell r="BA227" t="e">
            <v>#NAME?</v>
          </cell>
          <cell r="BB227" t="e">
            <v>#NAME?</v>
          </cell>
          <cell r="BC227" t="e">
            <v>#NAME?</v>
          </cell>
          <cell r="BD227" t="e">
            <v>#DIV/0!</v>
          </cell>
          <cell r="BE227" t="e">
            <v>#DIV/0!</v>
          </cell>
          <cell r="BF227" t="e">
            <v>#DIV/0!</v>
          </cell>
          <cell r="BG227" t="e">
            <v>#DIV/0!</v>
          </cell>
          <cell r="BH227" t="e">
            <v>#DIV/0!</v>
          </cell>
          <cell r="BJ227" t="e">
            <v>#NAME?</v>
          </cell>
          <cell r="BK227" t="e">
            <v>#DIV/0!</v>
          </cell>
          <cell r="BM227" t="e">
            <v>#NAME?</v>
          </cell>
          <cell r="BN227" t="e">
            <v>#NAME?</v>
          </cell>
        </row>
        <row r="228">
          <cell r="A228">
            <v>40543</v>
          </cell>
          <cell r="B228">
            <v>11.727842135975116</v>
          </cell>
          <cell r="C228" t="e">
            <v>#N/A</v>
          </cell>
          <cell r="D228">
            <v>2.2599999999999998</v>
          </cell>
          <cell r="E228">
            <v>1</v>
          </cell>
          <cell r="F228">
            <v>2.2600000000000002</v>
          </cell>
          <cell r="G228">
            <v>91.573999999999998</v>
          </cell>
          <cell r="H228">
            <v>206.95724000000001</v>
          </cell>
          <cell r="I228" t="e">
            <v>#NAME?</v>
          </cell>
          <cell r="K228" t="e">
            <v>#NAME?</v>
          </cell>
          <cell r="L228">
            <v>0.16350000000000001</v>
          </cell>
          <cell r="M228">
            <v>0.16350000000000001</v>
          </cell>
          <cell r="N228">
            <v>13.822629969418958</v>
          </cell>
          <cell r="O228">
            <v>6.485766775015831</v>
          </cell>
          <cell r="P228">
            <v>9.756133247744927</v>
          </cell>
          <cell r="Q228">
            <v>13.026499720474021</v>
          </cell>
          <cell r="R228">
            <v>16.296866193203115</v>
          </cell>
          <cell r="S228">
            <v>19.56723266593221</v>
          </cell>
          <cell r="U228">
            <v>0.17861664653705445</v>
          </cell>
          <cell r="V228">
            <v>6.9281499269670616E-2</v>
          </cell>
          <cell r="X228">
            <v>12.618674519665092</v>
          </cell>
          <cell r="Y228">
            <v>9.5410611302923165E-2</v>
          </cell>
          <cell r="Z228">
            <v>-0.49156593081718136</v>
          </cell>
          <cell r="AA228">
            <v>-0.19528622333379575</v>
          </cell>
          <cell r="AB228">
            <v>0.10099348414958985</v>
          </cell>
          <cell r="AC228">
            <v>0.39727319163297548</v>
          </cell>
          <cell r="AD228">
            <v>0.69355289911636109</v>
          </cell>
          <cell r="AF228">
            <v>0.47394240294071022</v>
          </cell>
          <cell r="AG228">
            <v>-0.14340213872342417</v>
          </cell>
          <cell r="AI228" t="e">
            <v>#NAME?</v>
          </cell>
          <cell r="AJ228" t="e">
            <v>#NAME?</v>
          </cell>
          <cell r="AK228" t="e">
            <v>#NAME?</v>
          </cell>
          <cell r="AL228" t="e">
            <v>#NAME?</v>
          </cell>
          <cell r="AM228" t="e">
            <v>#NAME?</v>
          </cell>
          <cell r="AN228" t="e">
            <v>#NAME?</v>
          </cell>
          <cell r="AO228" t="e">
            <v>#NAME?</v>
          </cell>
          <cell r="AQ228" t="e">
            <v>#NAME?</v>
          </cell>
          <cell r="AR228" t="e">
            <v>#NAME?</v>
          </cell>
          <cell r="AS228" t="e">
            <v>#NAME?</v>
          </cell>
          <cell r="AT228" t="e">
            <v>#NAME?</v>
          </cell>
          <cell r="AU228" t="e">
            <v>#NAME?</v>
          </cell>
          <cell r="AV228" t="e">
            <v>#NAME?</v>
          </cell>
          <cell r="AW228" t="e">
            <v>#NAME?</v>
          </cell>
          <cell r="AY228" t="e">
            <v>#NAME?</v>
          </cell>
          <cell r="AZ228" t="e">
            <v>#NAME?</v>
          </cell>
          <cell r="BA228" t="e">
            <v>#NAME?</v>
          </cell>
          <cell r="BB228" t="e">
            <v>#NAME?</v>
          </cell>
          <cell r="BC228" t="e">
            <v>#NAME?</v>
          </cell>
          <cell r="BD228" t="e">
            <v>#DIV/0!</v>
          </cell>
          <cell r="BE228" t="e">
            <v>#DIV/0!</v>
          </cell>
          <cell r="BF228" t="e">
            <v>#DIV/0!</v>
          </cell>
          <cell r="BG228" t="e">
            <v>#DIV/0!</v>
          </cell>
          <cell r="BH228" t="e">
            <v>#DIV/0!</v>
          </cell>
          <cell r="BJ228" t="e">
            <v>#NAME?</v>
          </cell>
          <cell r="BK228" t="e">
            <v>#DIV/0!</v>
          </cell>
          <cell r="BM228" t="e">
            <v>#NAME?</v>
          </cell>
          <cell r="BN228" t="e">
            <v>#NAME?</v>
          </cell>
        </row>
        <row r="229">
          <cell r="A229">
            <v>40574</v>
          </cell>
          <cell r="B229">
            <v>12.181774481797907</v>
          </cell>
          <cell r="C229" t="e">
            <v>#N/A</v>
          </cell>
          <cell r="D229">
            <v>2.34</v>
          </cell>
          <cell r="E229">
            <v>1</v>
          </cell>
          <cell r="F229">
            <v>2.34</v>
          </cell>
          <cell r="G229">
            <v>91.765500000000003</v>
          </cell>
          <cell r="H229">
            <v>214.73126999999999</v>
          </cell>
          <cell r="I229">
            <v>214.73126999999999</v>
          </cell>
          <cell r="K229">
            <v>214.73126999999999</v>
          </cell>
          <cell r="L229">
            <v>0.1664167</v>
          </cell>
          <cell r="M229">
            <v>0.1664167</v>
          </cell>
          <cell r="N229">
            <v>14.061088821013756</v>
          </cell>
          <cell r="O229">
            <v>6.485766775015831</v>
          </cell>
          <cell r="P229">
            <v>9.756133247744927</v>
          </cell>
          <cell r="Q229">
            <v>13.026499720474021</v>
          </cell>
          <cell r="R229">
            <v>16.296866193203115</v>
          </cell>
          <cell r="S229">
            <v>19.56723266593221</v>
          </cell>
          <cell r="U229">
            <v>0.1542726260467171</v>
          </cell>
          <cell r="V229">
            <v>6.9281499269670616E-2</v>
          </cell>
          <cell r="X229">
            <v>12.050352963179998</v>
          </cell>
          <cell r="Y229">
            <v>0.16686115867125118</v>
          </cell>
          <cell r="Z229">
            <v>-0.49156593081718136</v>
          </cell>
          <cell r="AA229">
            <v>-0.19528622333379575</v>
          </cell>
          <cell r="AB229">
            <v>0.10099348414958985</v>
          </cell>
          <cell r="AC229">
            <v>0.39727319163297548</v>
          </cell>
          <cell r="AD229">
            <v>0.69355289911636109</v>
          </cell>
          <cell r="AF229">
            <v>0.47394240294071022</v>
          </cell>
          <cell r="AG229">
            <v>-0.14340213872342417</v>
          </cell>
          <cell r="AI229" t="e">
            <v>#NAME?</v>
          </cell>
          <cell r="AJ229" t="e">
            <v>#NAME?</v>
          </cell>
          <cell r="AK229" t="e">
            <v>#NAME?</v>
          </cell>
          <cell r="AL229" t="e">
            <v>#NAME?</v>
          </cell>
          <cell r="AM229" t="e">
            <v>#NAME?</v>
          </cell>
          <cell r="AN229" t="e">
            <v>#NAME?</v>
          </cell>
          <cell r="AO229" t="e">
            <v>#NAME?</v>
          </cell>
          <cell r="AQ229" t="e">
            <v>#NAME?</v>
          </cell>
          <cell r="AR229" t="e">
            <v>#NAME?</v>
          </cell>
          <cell r="AS229" t="e">
            <v>#NAME?</v>
          </cell>
          <cell r="AT229" t="e">
            <v>#NAME?</v>
          </cell>
          <cell r="AU229" t="e">
            <v>#NAME?</v>
          </cell>
          <cell r="AV229" t="e">
            <v>#NAME?</v>
          </cell>
          <cell r="AW229" t="e">
            <v>#NAME?</v>
          </cell>
          <cell r="AY229" t="e">
            <v>#NAME?</v>
          </cell>
          <cell r="AZ229" t="e">
            <v>#NAME?</v>
          </cell>
          <cell r="BA229" t="e">
            <v>#NAME?</v>
          </cell>
          <cell r="BB229" t="e">
            <v>#NAME?</v>
          </cell>
          <cell r="BC229" t="e">
            <v>#NAME?</v>
          </cell>
          <cell r="BD229" t="e">
            <v>#DIV/0!</v>
          </cell>
          <cell r="BE229" t="e">
            <v>#DIV/0!</v>
          </cell>
          <cell r="BF229" t="e">
            <v>#DIV/0!</v>
          </cell>
          <cell r="BG229" t="e">
            <v>#DIV/0!</v>
          </cell>
          <cell r="BH229" t="e">
            <v>#DIV/0!</v>
          </cell>
          <cell r="BJ229" t="e">
            <v>#NAME?</v>
          </cell>
          <cell r="BK229" t="e">
            <v>#DIV/0!</v>
          </cell>
          <cell r="BM229" t="e">
            <v>#NAME?</v>
          </cell>
          <cell r="BN229" t="e">
            <v>#NAME?</v>
          </cell>
        </row>
        <row r="230">
          <cell r="A230">
            <v>40602</v>
          </cell>
          <cell r="B230">
            <v>11.92</v>
          </cell>
          <cell r="C230" t="e">
            <v>#N/A</v>
          </cell>
          <cell r="D230">
            <v>2.2999999999999998</v>
          </cell>
          <cell r="E230">
            <v>1</v>
          </cell>
          <cell r="F230">
            <v>2.3000000000000003</v>
          </cell>
          <cell r="G230">
            <v>91.573999999999998</v>
          </cell>
          <cell r="H230">
            <v>210.62020000000001</v>
          </cell>
          <cell r="I230" t="e">
            <v>#NAME?</v>
          </cell>
          <cell r="K230" t="e">
            <v>#NAME?</v>
          </cell>
          <cell r="L230">
            <v>0.1666667</v>
          </cell>
          <cell r="M230">
            <v>0.1666667</v>
          </cell>
          <cell r="N230">
            <v>13.79999724000055</v>
          </cell>
          <cell r="O230">
            <v>6.6448350271684253</v>
          </cell>
          <cell r="P230">
            <v>9.8357145502081043</v>
          </cell>
          <cell r="Q230">
            <v>13.026594073247784</v>
          </cell>
          <cell r="R230">
            <v>16.217473596287462</v>
          </cell>
          <cell r="S230">
            <v>19.408353119327142</v>
          </cell>
          <cell r="U230">
            <v>0.1577178892617912</v>
          </cell>
          <cell r="V230">
            <v>6.8527323332206097E-2</v>
          </cell>
          <cell r="X230">
            <v>12.181676194390466</v>
          </cell>
          <cell r="Y230">
            <v>0.13284879845643127</v>
          </cell>
          <cell r="Z230">
            <v>-0.47969759462449896</v>
          </cell>
          <cell r="AA230">
            <v>-0.19044464617008888</v>
          </cell>
          <cell r="AB230">
            <v>9.8808302284321192E-2</v>
          </cell>
          <cell r="AC230">
            <v>0.38806125073873127</v>
          </cell>
          <cell r="AD230">
            <v>0.67731419919314129</v>
          </cell>
          <cell r="AF230">
            <v>0.47394240294071022</v>
          </cell>
          <cell r="AG230">
            <v>-0.14340213872342417</v>
          </cell>
          <cell r="AI230" t="e">
            <v>#NAME?</v>
          </cell>
          <cell r="AJ230" t="e">
            <v>#NAME?</v>
          </cell>
          <cell r="AK230" t="e">
            <v>#NAME?</v>
          </cell>
          <cell r="AL230" t="e">
            <v>#NAME?</v>
          </cell>
          <cell r="AM230" t="e">
            <v>#NAME?</v>
          </cell>
          <cell r="AN230" t="e">
            <v>#NAME?</v>
          </cell>
          <cell r="AO230" t="e">
            <v>#NAME?</v>
          </cell>
          <cell r="AQ230" t="e">
            <v>#NAME?</v>
          </cell>
          <cell r="AR230" t="e">
            <v>#NAME?</v>
          </cell>
          <cell r="AS230" t="e">
            <v>#NAME?</v>
          </cell>
          <cell r="AT230" t="e">
            <v>#NAME?</v>
          </cell>
          <cell r="AU230" t="e">
            <v>#NAME?</v>
          </cell>
          <cell r="AV230" t="e">
            <v>#NAME?</v>
          </cell>
          <cell r="AW230" t="e">
            <v>#NAME?</v>
          </cell>
          <cell r="AY230" t="e">
            <v>#NAME?</v>
          </cell>
          <cell r="AZ230" t="e">
            <v>#NAME?</v>
          </cell>
          <cell r="BA230" t="e">
            <v>#NAME?</v>
          </cell>
          <cell r="BB230" t="e">
            <v>#NAME?</v>
          </cell>
          <cell r="BC230" t="e">
            <v>#NAME?</v>
          </cell>
          <cell r="BD230" t="e">
            <v>#DIV/0!</v>
          </cell>
          <cell r="BE230" t="e">
            <v>#DIV/0!</v>
          </cell>
          <cell r="BF230" t="e">
            <v>#DIV/0!</v>
          </cell>
          <cell r="BG230" t="e">
            <v>#DIV/0!</v>
          </cell>
          <cell r="BH230" t="e">
            <v>#DIV/0!</v>
          </cell>
          <cell r="BJ230" t="e">
            <v>#NAME?</v>
          </cell>
          <cell r="BK230" t="e">
            <v>#DIV/0!</v>
          </cell>
          <cell r="BM230" t="e">
            <v>#NAME?</v>
          </cell>
          <cell r="BN230" t="e">
            <v>#NAME?</v>
          </cell>
        </row>
        <row r="231">
          <cell r="A231">
            <v>40633</v>
          </cell>
          <cell r="B231">
            <v>12.463402681801734</v>
          </cell>
          <cell r="C231" t="e">
            <v>#N/A</v>
          </cell>
          <cell r="D231">
            <v>2.16</v>
          </cell>
          <cell r="E231">
            <v>1</v>
          </cell>
          <cell r="F231">
            <v>2.16</v>
          </cell>
          <cell r="G231">
            <v>91.573999999999998</v>
          </cell>
          <cell r="H231">
            <v>197.79984000000002</v>
          </cell>
          <cell r="I231" t="e">
            <v>#NAME?</v>
          </cell>
          <cell r="K231" t="e">
            <v>#NAME?</v>
          </cell>
          <cell r="L231">
            <v>0.1605</v>
          </cell>
          <cell r="M231" t="str">
            <v>F&amp;C Absolute Score</v>
          </cell>
          <cell r="N231">
            <v>13.457943925233645</v>
          </cell>
          <cell r="O231" t="str">
            <v/>
          </cell>
          <cell r="P231" t="str">
            <v/>
          </cell>
          <cell r="Q231">
            <v>0</v>
          </cell>
          <cell r="R231" t="str">
            <v/>
          </cell>
          <cell r="S231" t="str">
            <v/>
          </cell>
          <cell r="U231">
            <v>8.3462166491435452E-2</v>
          </cell>
          <cell r="V231">
            <v>6.8527323332206097E-2</v>
          </cell>
          <cell r="X231" t="str">
            <v>F&amp;C Relative Score</v>
          </cell>
          <cell r="Y231">
            <v>6.2231222913726958E-2</v>
          </cell>
          <cell r="Z231" t="str">
            <v/>
          </cell>
          <cell r="AA231" t="str">
            <v/>
          </cell>
          <cell r="AB231">
            <v>0</v>
          </cell>
          <cell r="AC231" t="str">
            <v/>
          </cell>
          <cell r="AD231" t="str">
            <v/>
          </cell>
          <cell r="AF231">
            <v>0.47394240294071022</v>
          </cell>
          <cell r="AG231">
            <v>-0.14340213872342417</v>
          </cell>
          <cell r="AI231" t="e">
            <v>#NAME?</v>
          </cell>
          <cell r="AJ231" t="e">
            <v>#NAME?</v>
          </cell>
          <cell r="AK231" t="e">
            <v>#NAME?</v>
          </cell>
          <cell r="AL231" t="e">
            <v>#NAME?</v>
          </cell>
          <cell r="AM231" t="e">
            <v>#NAME?</v>
          </cell>
          <cell r="AN231" t="e">
            <v>#NAME?</v>
          </cell>
          <cell r="AO231" t="e">
            <v>#NAME?</v>
          </cell>
          <cell r="AQ231" t="e">
            <v>#NAME?</v>
          </cell>
          <cell r="AR231" t="e">
            <v>#NAME?</v>
          </cell>
          <cell r="AS231" t="e">
            <v>#NAME?</v>
          </cell>
          <cell r="AT231" t="e">
            <v>#NAME?</v>
          </cell>
          <cell r="AU231" t="e">
            <v>#NAME?</v>
          </cell>
          <cell r="AV231" t="e">
            <v>#NAME?</v>
          </cell>
          <cell r="AW231" t="e">
            <v>#NAME?</v>
          </cell>
          <cell r="AY231" t="e">
            <v>#NAME?</v>
          </cell>
          <cell r="AZ231" t="e">
            <v>#NAME?</v>
          </cell>
          <cell r="BA231" t="e">
            <v>#NAME?</v>
          </cell>
          <cell r="BB231" t="e">
            <v>#NAME?</v>
          </cell>
          <cell r="BC231" t="e">
            <v>#NAME?</v>
          </cell>
          <cell r="BD231" t="e">
            <v>#DIV/0!</v>
          </cell>
          <cell r="BE231" t="e">
            <v>#DIV/0!</v>
          </cell>
          <cell r="BF231" t="e">
            <v>#DIV/0!</v>
          </cell>
          <cell r="BG231" t="e">
            <v>#DIV/0!</v>
          </cell>
          <cell r="BH231" t="e">
            <v>#DIV/0!</v>
          </cell>
          <cell r="BJ231" t="e">
            <v>#NAME?</v>
          </cell>
          <cell r="BK231" t="e">
            <v>#DIV/0!</v>
          </cell>
          <cell r="BM231" t="e">
            <v>#NAME?</v>
          </cell>
          <cell r="BN231" t="e">
            <v>#NAME?</v>
          </cell>
        </row>
        <row r="232">
          <cell r="A232">
            <v>40663</v>
          </cell>
          <cell r="B232">
            <v>12.766488339558283</v>
          </cell>
          <cell r="C232">
            <v>12.56443123438725</v>
          </cell>
          <cell r="D232">
            <v>2.12</v>
          </cell>
          <cell r="E232">
            <v>1</v>
          </cell>
          <cell r="F232">
            <v>2.12</v>
          </cell>
          <cell r="G232">
            <v>96.123403999999994</v>
          </cell>
          <cell r="H232">
            <v>203.78161648</v>
          </cell>
          <cell r="I232">
            <v>203.78161648</v>
          </cell>
          <cell r="K232">
            <v>203.78161648</v>
          </cell>
          <cell r="L232">
            <v>0.16333329999999999</v>
          </cell>
          <cell r="M232">
            <v>0.16333329999999999</v>
          </cell>
          <cell r="N232">
            <v>12.97959448563153</v>
          </cell>
          <cell r="O232">
            <v>6.6448350271684253</v>
          </cell>
          <cell r="P232">
            <v>9.8357145502081043</v>
          </cell>
          <cell r="Q232">
            <v>13.026594073247784</v>
          </cell>
          <cell r="R232">
            <v>16.217473596287462</v>
          </cell>
          <cell r="S232">
            <v>19.408353119327142</v>
          </cell>
          <cell r="U232">
            <v>3.5795036290241722E-2</v>
          </cell>
          <cell r="V232">
            <v>6.8527323332206097E-2</v>
          </cell>
          <cell r="X232">
            <v>12.583579545482849</v>
          </cell>
          <cell r="Y232">
            <v>3.1470770198360531E-2</v>
          </cell>
          <cell r="Z232">
            <v>-0.47969759462449896</v>
          </cell>
          <cell r="AA232">
            <v>-0.19044464617008888</v>
          </cell>
          <cell r="AB232">
            <v>9.8808302284321192E-2</v>
          </cell>
          <cell r="AC232">
            <v>0.38806125073873127</v>
          </cell>
          <cell r="AD232">
            <v>0.67731419919314129</v>
          </cell>
          <cell r="AF232">
            <v>0.47394240294071022</v>
          </cell>
          <cell r="AG232">
            <v>-0.14340213872342417</v>
          </cell>
          <cell r="AI232" t="e">
            <v>#NAME?</v>
          </cell>
          <cell r="AJ232" t="e">
            <v>#NAME?</v>
          </cell>
          <cell r="AK232" t="e">
            <v>#NAME?</v>
          </cell>
          <cell r="AL232" t="e">
            <v>#NAME?</v>
          </cell>
          <cell r="AM232" t="e">
            <v>#NAME?</v>
          </cell>
          <cell r="AN232" t="e">
            <v>#NAME?</v>
          </cell>
          <cell r="AO232" t="e">
            <v>#NAME?</v>
          </cell>
          <cell r="AQ232" t="e">
            <v>#NAME?</v>
          </cell>
          <cell r="AR232" t="e">
            <v>#NAME?</v>
          </cell>
          <cell r="AS232" t="e">
            <v>#NAME?</v>
          </cell>
          <cell r="AT232" t="e">
            <v>#NAME?</v>
          </cell>
          <cell r="AU232" t="e">
            <v>#NAME?</v>
          </cell>
          <cell r="AV232" t="e">
            <v>#NAME?</v>
          </cell>
          <cell r="AW232" t="e">
            <v>#NAME?</v>
          </cell>
          <cell r="AY232" t="e">
            <v>#NAME?</v>
          </cell>
          <cell r="AZ232" t="e">
            <v>#NAME?</v>
          </cell>
          <cell r="BA232" t="e">
            <v>#NAME?</v>
          </cell>
          <cell r="BB232" t="e">
            <v>#NAME?</v>
          </cell>
          <cell r="BC232" t="e">
            <v>#NAME?</v>
          </cell>
          <cell r="BD232" t="e">
            <v>#DIV/0!</v>
          </cell>
          <cell r="BE232" t="e">
            <v>#DIV/0!</v>
          </cell>
          <cell r="BF232" t="e">
            <v>#DIV/0!</v>
          </cell>
          <cell r="BG232" t="e">
            <v>#DIV/0!</v>
          </cell>
          <cell r="BH232" t="e">
            <v>#DIV/0!</v>
          </cell>
          <cell r="BJ232" t="e">
            <v>#NAME?</v>
          </cell>
          <cell r="BK232" t="e">
            <v>#DIV/0!</v>
          </cell>
          <cell r="BM232" t="e">
            <v>#NAME?</v>
          </cell>
          <cell r="BN232" t="e">
            <v>#NAME?</v>
          </cell>
        </row>
        <row r="233">
          <cell r="A233">
            <v>40694</v>
          </cell>
          <cell r="B233">
            <v>11.986230497287732</v>
          </cell>
          <cell r="C233">
            <v>1.3643945669642938</v>
          </cell>
          <cell r="D233">
            <v>2.16</v>
          </cell>
          <cell r="E233">
            <v>1</v>
          </cell>
          <cell r="F233">
            <v>2.16</v>
          </cell>
          <cell r="G233">
            <v>91.573999999999998</v>
          </cell>
          <cell r="H233">
            <v>197.79984000000002</v>
          </cell>
          <cell r="I233" t="e">
            <v>#NAME?</v>
          </cell>
          <cell r="K233" t="e">
            <v>#NAME?</v>
          </cell>
          <cell r="L233">
            <v>0.1656667</v>
          </cell>
          <cell r="M233">
            <v>2.2666108948207779</v>
          </cell>
          <cell r="N233">
            <v>13.038226752871882</v>
          </cell>
          <cell r="O233">
            <v>6.779856144336037</v>
          </cell>
          <cell r="P233">
            <v>9.8826784095203006</v>
          </cell>
          <cell r="Q233">
            <v>12.985500674704564</v>
          </cell>
          <cell r="R233">
            <v>16.088322939888826</v>
          </cell>
          <cell r="S233">
            <v>19.191145205073092</v>
          </cell>
          <cell r="U233">
            <v>8.7767063700485259E-2</v>
          </cell>
          <cell r="V233">
            <v>6.9976269912428474E-2</v>
          </cell>
          <cell r="X233">
            <v>11.487145529803659</v>
          </cell>
          <cell r="Y233">
            <v>7.3709007742216448E-2</v>
          </cell>
          <cell r="Z233">
            <v>-0.46324315179945108</v>
          </cell>
          <cell r="AA233">
            <v>-0.18260947845701711</v>
          </cell>
          <cell r="AB233">
            <v>9.8024194885416888E-2</v>
          </cell>
          <cell r="AC233">
            <v>0.37865786822785086</v>
          </cell>
          <cell r="AD233">
            <v>0.65929154157028491</v>
          </cell>
          <cell r="AF233">
            <v>0.47394240294071022</v>
          </cell>
          <cell r="AG233">
            <v>-0.14340213872342417</v>
          </cell>
          <cell r="AI233" t="e">
            <v>#NAME?</v>
          </cell>
          <cell r="AJ233" t="e">
            <v>#NAME?</v>
          </cell>
          <cell r="AK233" t="e">
            <v>#NAME?</v>
          </cell>
          <cell r="AL233" t="e">
            <v>#NAME?</v>
          </cell>
          <cell r="AM233" t="e">
            <v>#NAME?</v>
          </cell>
          <cell r="AN233" t="e">
            <v>#NAME?</v>
          </cell>
          <cell r="AO233" t="e">
            <v>#NAME?</v>
          </cell>
          <cell r="AQ233" t="e">
            <v>#NAME?</v>
          </cell>
          <cell r="AR233" t="e">
            <v>#NAME?</v>
          </cell>
          <cell r="AS233" t="e">
            <v>#NAME?</v>
          </cell>
          <cell r="AT233" t="e">
            <v>#NAME?</v>
          </cell>
          <cell r="AU233" t="e">
            <v>#NAME?</v>
          </cell>
          <cell r="AV233" t="e">
            <v>#NAME?</v>
          </cell>
          <cell r="AW233" t="e">
            <v>#NAME?</v>
          </cell>
          <cell r="AY233" t="e">
            <v>#NAME?</v>
          </cell>
          <cell r="AZ233" t="e">
            <v>#NAME?</v>
          </cell>
          <cell r="BA233" t="e">
            <v>#NAME?</v>
          </cell>
          <cell r="BB233" t="e">
            <v>#NAME?</v>
          </cell>
          <cell r="BC233" t="e">
            <v>#NAME?</v>
          </cell>
          <cell r="BD233" t="e">
            <v>#DIV/0!</v>
          </cell>
          <cell r="BE233" t="e">
            <v>#DIV/0!</v>
          </cell>
          <cell r="BF233" t="e">
            <v>#DIV/0!</v>
          </cell>
          <cell r="BG233" t="e">
            <v>#DIV/0!</v>
          </cell>
          <cell r="BH233" t="e">
            <v>#DIV/0!</v>
          </cell>
          <cell r="BJ233" t="e">
            <v>#NAME?</v>
          </cell>
          <cell r="BK233" t="e">
            <v>#DIV/0!</v>
          </cell>
          <cell r="BM233" t="e">
            <v>#NAME?</v>
          </cell>
          <cell r="BN233" t="e">
            <v>#NAME?</v>
          </cell>
        </row>
        <row r="234">
          <cell r="A234">
            <v>40724</v>
          </cell>
          <cell r="B234">
            <v>12.461525261032802</v>
          </cell>
          <cell r="C234" t="e">
            <v>#N/A</v>
          </cell>
          <cell r="D234">
            <v>2.08</v>
          </cell>
          <cell r="E234">
            <v>1</v>
          </cell>
          <cell r="F234">
            <v>2.08</v>
          </cell>
          <cell r="G234">
            <v>91.573999999999998</v>
          </cell>
          <cell r="H234">
            <v>190.47391999999999</v>
          </cell>
          <cell r="I234" t="e">
            <v>#NAME?</v>
          </cell>
          <cell r="K234" t="e">
            <v>#NAME?</v>
          </cell>
          <cell r="L234">
            <v>0.17</v>
          </cell>
          <cell r="M234" t="str">
            <v>F&amp;C Absolute Score</v>
          </cell>
          <cell r="N234">
            <v>12.235294117647058</v>
          </cell>
          <cell r="O234" t="str">
            <v/>
          </cell>
          <cell r="P234" t="str">
            <v/>
          </cell>
          <cell r="Q234">
            <v>0</v>
          </cell>
          <cell r="R234" t="str">
            <v/>
          </cell>
          <cell r="S234" t="str">
            <v/>
          </cell>
          <cell r="U234">
            <v>6.1582674007793159E-2</v>
          </cell>
          <cell r="V234">
            <v>6.9976269912428474E-2</v>
          </cell>
          <cell r="X234">
            <v>13.035804305354091</v>
          </cell>
          <cell r="Y234">
            <v>12.003365121653804</v>
          </cell>
          <cell r="Z234" t="str">
            <v/>
          </cell>
          <cell r="AA234" t="str">
            <v/>
          </cell>
          <cell r="AB234">
            <v>0</v>
          </cell>
          <cell r="AC234" t="str">
            <v/>
          </cell>
          <cell r="AD234" t="str">
            <v/>
          </cell>
          <cell r="AF234">
            <v>0.47394240294071022</v>
          </cell>
          <cell r="AG234">
            <v>-0.14340213872342417</v>
          </cell>
          <cell r="AI234" t="e">
            <v>#NAME?</v>
          </cell>
          <cell r="AJ234" t="e">
            <v>#NAME?</v>
          </cell>
          <cell r="AK234" t="e">
            <v>#NAME?</v>
          </cell>
          <cell r="AL234" t="e">
            <v>#NAME?</v>
          </cell>
          <cell r="AM234" t="e">
            <v>#NAME?</v>
          </cell>
          <cell r="AN234" t="e">
            <v>#NAME?</v>
          </cell>
          <cell r="AO234" t="e">
            <v>#NAME?</v>
          </cell>
          <cell r="AQ234" t="e">
            <v>#NAME?</v>
          </cell>
          <cell r="AR234" t="e">
            <v>#NAME?</v>
          </cell>
          <cell r="AS234" t="e">
            <v>#NAME?</v>
          </cell>
          <cell r="AT234" t="e">
            <v>#NAME?</v>
          </cell>
          <cell r="AU234" t="e">
            <v>#NAME?</v>
          </cell>
          <cell r="AV234" t="e">
            <v>#NAME?</v>
          </cell>
          <cell r="AW234" t="e">
            <v>#NAME?</v>
          </cell>
          <cell r="AY234" t="e">
            <v>#NAME?</v>
          </cell>
          <cell r="AZ234" t="e">
            <v>#NAME?</v>
          </cell>
          <cell r="BA234" t="e">
            <v>#NAME?</v>
          </cell>
          <cell r="BB234" t="e">
            <v>#NAME?</v>
          </cell>
          <cell r="BC234" t="e">
            <v>#NAME?</v>
          </cell>
          <cell r="BD234" t="e">
            <v>#DIV/0!</v>
          </cell>
          <cell r="BE234" t="e">
            <v>#DIV/0!</v>
          </cell>
          <cell r="BF234" t="e">
            <v>#DIV/0!</v>
          </cell>
          <cell r="BG234" t="e">
            <v>#DIV/0!</v>
          </cell>
          <cell r="BH234" t="e">
            <v>#DIV/0!</v>
          </cell>
          <cell r="BJ234" t="e">
            <v>#NAME?</v>
          </cell>
          <cell r="BK234" t="e">
            <v>#DIV/0!</v>
          </cell>
          <cell r="BM234" t="e">
            <v>#NAME?</v>
          </cell>
          <cell r="BN234" t="e">
            <v>#NAME?</v>
          </cell>
        </row>
        <row r="235">
          <cell r="A235">
            <v>40755</v>
          </cell>
          <cell r="B235">
            <v>12.751818036576791</v>
          </cell>
          <cell r="C235">
            <v>12.558289519547465</v>
          </cell>
          <cell r="D235">
            <v>2.12</v>
          </cell>
          <cell r="E235">
            <v>1</v>
          </cell>
          <cell r="F235">
            <v>2.12</v>
          </cell>
          <cell r="G235" t="e">
            <v>#N/A</v>
          </cell>
          <cell r="H235" t="e">
            <v>#N/A</v>
          </cell>
          <cell r="I235" t="e">
            <v>#NAME?</v>
          </cell>
          <cell r="K235" t="e">
            <v>#NAME?</v>
          </cell>
          <cell r="L235">
            <v>0.17133329999999999</v>
          </cell>
          <cell r="M235">
            <v>0.17133329999999999</v>
          </cell>
          <cell r="N235">
            <v>12.373543263335266</v>
          </cell>
          <cell r="O235">
            <v>6.779856144336037</v>
          </cell>
          <cell r="P235">
            <v>9.8826784095203006</v>
          </cell>
          <cell r="Q235">
            <v>12.985500674704564</v>
          </cell>
          <cell r="R235">
            <v>16.088322939888826</v>
          </cell>
          <cell r="S235">
            <v>19.191145205073092</v>
          </cell>
          <cell r="U235">
            <v>7.0197474658154624E-2</v>
          </cell>
          <cell r="V235">
            <v>6.9976269912428474E-2</v>
          </cell>
          <cell r="X235">
            <v>11.612134413104906</v>
          </cell>
          <cell r="Y235">
            <v>0</v>
          </cell>
          <cell r="Z235">
            <v>-0.46324315179945108</v>
          </cell>
          <cell r="AA235">
            <v>-0.18260947845701711</v>
          </cell>
          <cell r="AB235">
            <v>9.8024194885416888E-2</v>
          </cell>
          <cell r="AC235">
            <v>0.37865786822785086</v>
          </cell>
          <cell r="AD235">
            <v>0.65929154157028491</v>
          </cell>
          <cell r="AF235">
            <v>0.47394240294071022</v>
          </cell>
          <cell r="AG235">
            <v>-0.14340213872342417</v>
          </cell>
          <cell r="AI235" t="e">
            <v>#NAME?</v>
          </cell>
          <cell r="AJ235" t="e">
            <v>#NAME?</v>
          </cell>
          <cell r="AK235" t="e">
            <v>#NAME?</v>
          </cell>
          <cell r="AL235" t="e">
            <v>#NAME?</v>
          </cell>
          <cell r="AM235" t="e">
            <v>#NAME?</v>
          </cell>
          <cell r="AN235" t="e">
            <v>#NAME?</v>
          </cell>
          <cell r="AO235" t="e">
            <v>#NAME?</v>
          </cell>
          <cell r="AQ235" t="e">
            <v>#NAME?</v>
          </cell>
          <cell r="AR235" t="e">
            <v>#NAME?</v>
          </cell>
          <cell r="AS235" t="e">
            <v>#NAME?</v>
          </cell>
          <cell r="AT235" t="e">
            <v>#NAME?</v>
          </cell>
          <cell r="AU235" t="e">
            <v>#NAME?</v>
          </cell>
          <cell r="AV235" t="e">
            <v>#NAME?</v>
          </cell>
          <cell r="AW235" t="e">
            <v>#NAME?</v>
          </cell>
          <cell r="AY235" t="e">
            <v>#NAME?</v>
          </cell>
          <cell r="AZ235" t="e">
            <v>#NAME?</v>
          </cell>
          <cell r="BA235" t="e">
            <v>#NAME?</v>
          </cell>
          <cell r="BB235" t="e">
            <v>#NAME?</v>
          </cell>
          <cell r="BC235" t="e">
            <v>#NAME?</v>
          </cell>
          <cell r="BD235" t="e">
            <v>#DIV/0!</v>
          </cell>
          <cell r="BE235" t="e">
            <v>#DIV/0!</v>
          </cell>
          <cell r="BF235" t="e">
            <v>#DIV/0!</v>
          </cell>
          <cell r="BG235" t="e">
            <v>#DIV/0!</v>
          </cell>
          <cell r="BH235" t="e">
            <v>#DIV/0!</v>
          </cell>
          <cell r="BJ235" t="e">
            <v>#NAME?</v>
          </cell>
          <cell r="BK235" t="e">
            <v>#DIV/0!</v>
          </cell>
          <cell r="BM235" t="e">
            <v>#NAME?</v>
          </cell>
          <cell r="BN235" t="e">
            <v>#NAME?</v>
          </cell>
        </row>
        <row r="236">
          <cell r="A236">
            <v>40786</v>
          </cell>
          <cell r="B236">
            <v>10.510988069179012</v>
          </cell>
          <cell r="C236">
            <v>1.4260692391450676</v>
          </cell>
          <cell r="D236">
            <v>1.97</v>
          </cell>
          <cell r="E236">
            <v>1</v>
          </cell>
          <cell r="F236">
            <v>1.9700000000000002</v>
          </cell>
          <cell r="G236">
            <v>96.123403999999994</v>
          </cell>
          <cell r="H236">
            <v>189.36310588000001</v>
          </cell>
          <cell r="I236">
            <v>189.36310588000001</v>
          </cell>
          <cell r="K236">
            <v>189.36310588000001</v>
          </cell>
          <cell r="L236">
            <v>0.17266669999999998</v>
          </cell>
          <cell r="M236">
            <v>2.1490718734421996</v>
          </cell>
          <cell r="N236">
            <v>11.409264206705753</v>
          </cell>
          <cell r="O236">
            <v>6.779856144336037</v>
          </cell>
          <cell r="P236">
            <v>9.8826784095203006</v>
          </cell>
          <cell r="Q236">
            <v>12.985500674704564</v>
          </cell>
          <cell r="R236">
            <v>16.088322939888826</v>
          </cell>
          <cell r="S236">
            <v>19.191145205073092</v>
          </cell>
          <cell r="U236">
            <v>8.5460675210994097E-2</v>
          </cell>
          <cell r="V236">
            <v>6.9976269912428474E-2</v>
          </cell>
          <cell r="X236">
            <v>11.506790845650155</v>
          </cell>
          <cell r="Y236">
            <v>0.13655428562582816</v>
          </cell>
          <cell r="Z236">
            <v>-0.46324315179945108</v>
          </cell>
          <cell r="AA236">
            <v>-0.18260947845701711</v>
          </cell>
          <cell r="AB236">
            <v>9.8024194885416888E-2</v>
          </cell>
          <cell r="AC236">
            <v>0.37865786822785086</v>
          </cell>
          <cell r="AD236">
            <v>0.65929154157028491</v>
          </cell>
          <cell r="AF236">
            <v>0.47394240294071022</v>
          </cell>
          <cell r="AG236">
            <v>-0.14340213872342417</v>
          </cell>
          <cell r="AI236" t="e">
            <v>#NAME?</v>
          </cell>
          <cell r="AJ236" t="e">
            <v>#NAME?</v>
          </cell>
          <cell r="AK236" t="e">
            <v>#NAME?</v>
          </cell>
          <cell r="AL236" t="e">
            <v>#NAME?</v>
          </cell>
          <cell r="AM236" t="e">
            <v>#NAME?</v>
          </cell>
          <cell r="AN236" t="e">
            <v>#NAME?</v>
          </cell>
          <cell r="AO236" t="e">
            <v>#NAME?</v>
          </cell>
          <cell r="AQ236" t="e">
            <v>#NAME?</v>
          </cell>
          <cell r="AR236" t="e">
            <v>#NAME?</v>
          </cell>
          <cell r="AS236" t="e">
            <v>#NAME?</v>
          </cell>
          <cell r="AT236" t="e">
            <v>#NAME?</v>
          </cell>
          <cell r="AU236" t="e">
            <v>#NAME?</v>
          </cell>
          <cell r="AV236" t="e">
            <v>#NAME?</v>
          </cell>
          <cell r="AW236" t="e">
            <v>#NAME?</v>
          </cell>
          <cell r="AY236" t="e">
            <v>#NAME?</v>
          </cell>
          <cell r="AZ236" t="e">
            <v>#NAME?</v>
          </cell>
          <cell r="BA236" t="e">
            <v>#NAME?</v>
          </cell>
          <cell r="BB236" t="e">
            <v>#NAME?</v>
          </cell>
          <cell r="BC236" t="e">
            <v>#NAME?</v>
          </cell>
          <cell r="BD236" t="e">
            <v>#DIV/0!</v>
          </cell>
          <cell r="BE236" t="e">
            <v>#DIV/0!</v>
          </cell>
          <cell r="BF236" t="e">
            <v>#DIV/0!</v>
          </cell>
          <cell r="BG236" t="e">
            <v>#DIV/0!</v>
          </cell>
          <cell r="BH236" t="e">
            <v>#DIV/0!</v>
          </cell>
          <cell r="BJ236" t="e">
            <v>#NAME?</v>
          </cell>
          <cell r="BK236" t="e">
            <v>#DIV/0!</v>
          </cell>
          <cell r="BM236" t="e">
            <v>#NAME?</v>
          </cell>
          <cell r="BN236" t="e">
            <v>#NAME?</v>
          </cell>
        </row>
        <row r="237">
          <cell r="X237">
            <v>13.010068238024123</v>
          </cell>
          <cell r="Y237">
            <v>12.007883309774812</v>
          </cell>
        </row>
        <row r="238">
          <cell r="B238">
            <v>12.426477157558212</v>
          </cell>
          <cell r="M238" t="str">
            <v>F&amp;C Absolute Score</v>
          </cell>
          <cell r="O238" t="str">
            <v/>
          </cell>
          <cell r="P238" t="str">
            <v/>
          </cell>
          <cell r="Q238">
            <v>0</v>
          </cell>
          <cell r="R238" t="str">
            <v/>
          </cell>
          <cell r="S238" t="str">
            <v/>
          </cell>
          <cell r="X238" t="str">
            <v>F&amp;C Relative Score</v>
          </cell>
          <cell r="Y238">
            <v>0</v>
          </cell>
          <cell r="Z238" t="str">
            <v/>
          </cell>
          <cell r="AA238" t="str">
            <v/>
          </cell>
          <cell r="AB238">
            <v>0</v>
          </cell>
          <cell r="AC238" t="str">
            <v/>
          </cell>
          <cell r="AD238" t="str">
            <v/>
          </cell>
        </row>
        <row r="239">
          <cell r="B239">
            <v>12.679977539249142</v>
          </cell>
          <cell r="C239">
            <v>12.510977284788524</v>
          </cell>
        </row>
        <row r="240">
          <cell r="C240">
            <v>1.6875506160133826</v>
          </cell>
          <cell r="M240">
            <v>2.0023135308726929</v>
          </cell>
          <cell r="W240" t="str">
            <v>Small Industrials</v>
          </cell>
          <cell r="X240">
            <v>11.503089775857699</v>
          </cell>
        </row>
        <row r="241">
          <cell r="W241" t="str">
            <v>LT average</v>
          </cell>
          <cell r="X241">
            <v>12.56443123438725</v>
          </cell>
          <cell r="Y241">
            <v>11.979230563924972</v>
          </cell>
        </row>
        <row r="242">
          <cell r="W242" t="str">
            <v>TOX premium</v>
          </cell>
          <cell r="X242">
            <v>0.14332962554943066</v>
          </cell>
          <cell r="Y242">
            <v>0</v>
          </cell>
        </row>
        <row r="243">
          <cell r="W243" t="str">
            <v>TOX multiople</v>
          </cell>
          <cell r="X243">
            <v>14.365286458453546</v>
          </cell>
        </row>
        <row r="244">
          <cell r="W244" t="str">
            <v>LT average</v>
          </cell>
          <cell r="X244">
            <v>12.558289519547465</v>
          </cell>
        </row>
        <row r="245">
          <cell r="W245" t="str">
            <v>Small Mining Services</v>
          </cell>
          <cell r="X245">
            <v>0.138129401725642</v>
          </cell>
        </row>
        <row r="246">
          <cell r="W246" t="str">
            <v>LT average</v>
          </cell>
          <cell r="X246">
            <v>12.003365121653804</v>
          </cell>
          <cell r="Y246" t="str">
            <v>s.d.</v>
          </cell>
          <cell r="Z246">
            <v>3.4668101673387697</v>
          </cell>
          <cell r="AA246" t="str">
            <v>DCF adjustment</v>
          </cell>
          <cell r="AB246">
            <v>8.5365549543150347</v>
          </cell>
          <cell r="AC246">
            <v>15.470175288992573</v>
          </cell>
        </row>
        <row r="247">
          <cell r="W247" t="str">
            <v>TOX premium</v>
          </cell>
          <cell r="X247">
            <v>0.19604237118346571</v>
          </cell>
          <cell r="AA247" t="str">
            <v>6mth WA PE</v>
          </cell>
          <cell r="AB247">
            <v>12.295913615041151</v>
          </cell>
        </row>
        <row r="248">
          <cell r="W248" t="str">
            <v>TOX multiople</v>
          </cell>
          <cell r="X248">
            <v>14.356533282283726</v>
          </cell>
          <cell r="AA248" t="str">
            <v>s.d. variation</v>
          </cell>
          <cell r="AB248">
            <v>8.4385495388089343E-2</v>
          </cell>
        </row>
        <row r="249">
          <cell r="W249" t="str">
            <v>LT average</v>
          </cell>
          <cell r="X249">
            <v>12.007883309774812</v>
          </cell>
          <cell r="Y249" t="str">
            <v>s.d.</v>
          </cell>
          <cell r="Z249">
            <v>3.4297857343528775</v>
          </cell>
          <cell r="AA249" t="str">
            <v>DCF adjustment</v>
          </cell>
          <cell r="AB249">
            <v>8.5780975754219337</v>
          </cell>
          <cell r="AC249">
            <v>15.43766904412769</v>
          </cell>
        </row>
        <row r="250">
          <cell r="W250" t="str">
            <v>Average of two</v>
          </cell>
          <cell r="X250">
            <v>14.360909870368637</v>
          </cell>
          <cell r="AA250" t="str">
            <v>6mth WA PE</v>
          </cell>
          <cell r="AB250">
            <v>12.448264067127679</v>
          </cell>
        </row>
        <row r="251">
          <cell r="W251" t="str">
            <v>MS Premium</v>
          </cell>
          <cell r="X251">
            <v>0</v>
          </cell>
          <cell r="AA251" t="str">
            <v>s.d. variation</v>
          </cell>
          <cell r="AB251">
            <v>0.12839891219500846</v>
          </cell>
        </row>
        <row r="252">
          <cell r="W252" t="str">
            <v>Valuation Multiple</v>
          </cell>
          <cell r="X252">
            <v>14.360909870368637</v>
          </cell>
          <cell r="AA252" t="str">
            <v>DCF adjustment</v>
          </cell>
        </row>
        <row r="253">
          <cell r="W253" t="str">
            <v>Forward EPS</v>
          </cell>
          <cell r="X253">
            <v>18.88459719368668</v>
          </cell>
          <cell r="Y253" t="str">
            <v>s.d.</v>
          </cell>
          <cell r="Z253">
            <v>3.3822989022928178</v>
          </cell>
          <cell r="AA253" t="str">
            <v>DCF adjustment</v>
          </cell>
          <cell r="AB253">
            <v>8.5969316616321549</v>
          </cell>
          <cell r="AC253">
            <v>15.361529466217789</v>
          </cell>
        </row>
        <row r="254">
          <cell r="W254" t="str">
            <v>MS Premium</v>
          </cell>
          <cell r="X254">
            <v>0</v>
          </cell>
          <cell r="AA254" t="str">
            <v>6mth WA PE</v>
          </cell>
          <cell r="AB254">
            <v>11.721089435420961</v>
          </cell>
        </row>
        <row r="255">
          <cell r="W255" t="str">
            <v>Valuation Multiple</v>
          </cell>
          <cell r="X255">
            <v>2.7119999823675092</v>
          </cell>
          <cell r="AA255" t="str">
            <v>s.d. variation</v>
          </cell>
          <cell r="AB255">
            <v>-7.6321205180600843E-2</v>
          </cell>
        </row>
        <row r="256">
          <cell r="W256" t="str">
            <v>Forward EPS</v>
          </cell>
          <cell r="X256">
            <v>20.44828531988286</v>
          </cell>
          <cell r="AA256" t="str">
            <v>DCF adjustment</v>
          </cell>
        </row>
        <row r="257">
          <cell r="W257" t="str">
            <v>Average of two</v>
          </cell>
          <cell r="X257">
            <v>14.170536459525177</v>
          </cell>
        </row>
        <row r="258">
          <cell r="W258" t="str">
            <v>MS Premium</v>
          </cell>
          <cell r="X258">
            <v>2.9196833500857098</v>
          </cell>
        </row>
        <row r="259">
          <cell r="W259" t="str">
            <v>Valuation Multiple</v>
          </cell>
          <cell r="X259">
            <v>14.170536459525177</v>
          </cell>
        </row>
        <row r="260">
          <cell r="W260" t="str">
            <v>Forward EPS</v>
          </cell>
          <cell r="X260">
            <v>21.972165786902014</v>
          </cell>
        </row>
        <row r="262">
          <cell r="X262">
            <v>3.1135737637802667</v>
          </cell>
        </row>
      </sheetData>
      <sheetData sheetId="2"/>
      <sheetData sheetId="3"/>
      <sheetData sheetId="4"/>
      <sheetData sheetId="5" refreshError="1">
        <row r="2">
          <cell r="D2">
            <v>39629</v>
          </cell>
          <cell r="E2">
            <v>39994</v>
          </cell>
          <cell r="F2">
            <v>40359</v>
          </cell>
          <cell r="G2">
            <v>40724</v>
          </cell>
          <cell r="H2">
            <v>41090</v>
          </cell>
          <cell r="I2">
            <v>41455</v>
          </cell>
          <cell r="J2">
            <v>41820</v>
          </cell>
          <cell r="K2">
            <v>42185</v>
          </cell>
        </row>
        <row r="3">
          <cell r="A3" t="str">
            <v>Named Ranges</v>
          </cell>
          <cell r="D3">
            <v>54</v>
          </cell>
          <cell r="E3">
            <v>57</v>
          </cell>
          <cell r="F3">
            <v>60</v>
          </cell>
          <cell r="G3">
            <v>63</v>
          </cell>
          <cell r="H3">
            <v>66</v>
          </cell>
          <cell r="I3">
            <v>69</v>
          </cell>
          <cell r="J3">
            <v>72</v>
          </cell>
          <cell r="K3">
            <v>75</v>
          </cell>
          <cell r="N3">
            <v>57</v>
          </cell>
          <cell r="O3">
            <v>60</v>
          </cell>
          <cell r="P3">
            <v>63</v>
          </cell>
          <cell r="Q3">
            <v>66</v>
          </cell>
          <cell r="R3">
            <v>69</v>
          </cell>
          <cell r="S3">
            <v>72</v>
          </cell>
          <cell r="T3">
            <v>75</v>
          </cell>
          <cell r="AD3">
            <v>51</v>
          </cell>
          <cell r="AE3">
            <v>52</v>
          </cell>
          <cell r="AF3">
            <v>53</v>
          </cell>
          <cell r="AG3">
            <v>54</v>
          </cell>
          <cell r="AH3">
            <v>55</v>
          </cell>
          <cell r="AI3">
            <v>56</v>
          </cell>
          <cell r="AJ3">
            <v>57</v>
          </cell>
          <cell r="AK3">
            <v>58</v>
          </cell>
          <cell r="AL3">
            <v>59</v>
          </cell>
          <cell r="AM3">
            <v>60</v>
          </cell>
        </row>
        <row r="4">
          <cell r="A4" t="str">
            <v>Rows</v>
          </cell>
          <cell r="D4">
            <v>2008</v>
          </cell>
          <cell r="E4">
            <v>2009</v>
          </cell>
          <cell r="F4">
            <v>2010</v>
          </cell>
          <cell r="G4">
            <v>2011</v>
          </cell>
          <cell r="H4">
            <v>2012</v>
          </cell>
          <cell r="I4">
            <v>2013</v>
          </cell>
          <cell r="J4">
            <v>2014</v>
          </cell>
          <cell r="K4">
            <v>2015</v>
          </cell>
          <cell r="N4">
            <v>2009</v>
          </cell>
          <cell r="O4">
            <v>2010</v>
          </cell>
          <cell r="P4">
            <v>2011</v>
          </cell>
          <cell r="Q4">
            <v>2012</v>
          </cell>
          <cell r="R4">
            <v>2013</v>
          </cell>
          <cell r="S4">
            <v>2014</v>
          </cell>
          <cell r="T4">
            <v>2015</v>
          </cell>
          <cell r="AD4">
            <v>2007</v>
          </cell>
          <cell r="AE4">
            <v>2008</v>
          </cell>
          <cell r="AF4">
            <v>2008</v>
          </cell>
          <cell r="AG4">
            <v>2008</v>
          </cell>
          <cell r="AH4">
            <v>2009</v>
          </cell>
          <cell r="AI4">
            <v>2009</v>
          </cell>
          <cell r="AJ4">
            <v>2009</v>
          </cell>
          <cell r="AK4">
            <v>2010</v>
          </cell>
          <cell r="AL4">
            <v>2010</v>
          </cell>
          <cell r="AM4">
            <v>2010</v>
          </cell>
        </row>
        <row r="6">
          <cell r="D6" t="str">
            <v>Tox Free Solutions</v>
          </cell>
        </row>
        <row r="7">
          <cell r="A7" t="str">
            <v>LHS Table</v>
          </cell>
          <cell r="B7" t="str">
            <v>RHS Table</v>
          </cell>
          <cell r="D7" t="str">
            <v>Balance Sheet ($m)</v>
          </cell>
          <cell r="E7" t="str">
            <v>FY09A</v>
          </cell>
          <cell r="F7" t="str">
            <v>FY10A</v>
          </cell>
          <cell r="G7" t="str">
            <v>FY11E</v>
          </cell>
          <cell r="H7" t="str">
            <v>FY12E</v>
          </cell>
          <cell r="I7" t="str">
            <v>FY13E</v>
          </cell>
          <cell r="J7" t="str">
            <v>FY14E</v>
          </cell>
          <cell r="K7" t="str">
            <v>FY15E</v>
          </cell>
          <cell r="M7" t="str">
            <v>P&amp;L ($m)</v>
          </cell>
          <cell r="N7" t="str">
            <v>FY09A</v>
          </cell>
          <cell r="O7" t="str">
            <v>FY10A</v>
          </cell>
          <cell r="P7" t="str">
            <v>FY11E</v>
          </cell>
          <cell r="Q7" t="str">
            <v>FY12E</v>
          </cell>
          <cell r="R7" t="str">
            <v>FY13E</v>
          </cell>
          <cell r="S7" t="str">
            <v>FY14E</v>
          </cell>
          <cell r="T7" t="str">
            <v>FY15E</v>
          </cell>
          <cell r="V7" t="str">
            <v>3 Year CAGR</v>
          </cell>
          <cell r="W7" t="str">
            <v>5 Year CAGR</v>
          </cell>
          <cell r="AD7" t="str">
            <v>FY07A</v>
          </cell>
          <cell r="AE7" t="str">
            <v>1H08A</v>
          </cell>
          <cell r="AF7" t="str">
            <v>2H08A</v>
          </cell>
          <cell r="AG7" t="str">
            <v>FY08A</v>
          </cell>
          <cell r="AH7" t="str">
            <v>1H09A</v>
          </cell>
          <cell r="AI7" t="str">
            <v>2H09A</v>
          </cell>
          <cell r="AJ7" t="str">
            <v>FY09A</v>
          </cell>
          <cell r="AK7" t="str">
            <v>1H10A</v>
          </cell>
          <cell r="AL7" t="str">
            <v>2H10A</v>
          </cell>
          <cell r="AM7" t="str">
            <v>FY10A</v>
          </cell>
          <cell r="AN7" t="str">
            <v>D% pcp</v>
          </cell>
          <cell r="AQ7" t="str">
            <v>Table 2: EHL – 1H09 Result Review</v>
          </cell>
          <cell r="AV7" t="str">
            <v>Table 2: EHL – FY09 Result Review</v>
          </cell>
          <cell r="BA7" t="str">
            <v>Table 2: EHL – 2H09 Result Review</v>
          </cell>
          <cell r="BF7" t="str">
            <v>Table 2: EHL – 2H09 vs 1H09 Result Review</v>
          </cell>
        </row>
        <row r="8">
          <cell r="A8">
            <v>261</v>
          </cell>
          <cell r="B8">
            <v>7</v>
          </cell>
          <cell r="D8" t="str">
            <v xml:space="preserve">Cash </v>
          </cell>
          <cell r="E8">
            <v>4.5759999999999996</v>
          </cell>
          <cell r="F8">
            <v>17.893000000000001</v>
          </cell>
          <cell r="G8">
            <v>13.006481152427666</v>
          </cell>
          <cell r="H8">
            <v>16.639828625977316</v>
          </cell>
          <cell r="I8">
            <v>21.311453241792819</v>
          </cell>
          <cell r="J8">
            <v>38.6207722586283</v>
          </cell>
          <cell r="K8">
            <v>55.040463848815371</v>
          </cell>
          <cell r="M8" t="str">
            <v>Sales Revenue</v>
          </cell>
          <cell r="N8">
            <v>88.197999999999993</v>
          </cell>
          <cell r="O8">
            <v>98.686000000000007</v>
          </cell>
          <cell r="P8">
            <v>126.66972000000001</v>
          </cell>
          <cell r="Q8">
            <v>140.4231144</v>
          </cell>
          <cell r="R8">
            <v>149.54003897600001</v>
          </cell>
          <cell r="S8">
            <v>160.03083975552002</v>
          </cell>
          <cell r="T8">
            <v>166.43207334574083</v>
          </cell>
          <cell r="V8">
            <v>0.14859603942722477</v>
          </cell>
          <cell r="W8">
            <v>0.11018740363321422</v>
          </cell>
          <cell r="Y8">
            <v>0.11018740363321422</v>
          </cell>
          <cell r="AC8" t="str">
            <v>Period End</v>
          </cell>
          <cell r="AD8">
            <v>39263</v>
          </cell>
          <cell r="AE8">
            <v>39447</v>
          </cell>
          <cell r="AF8">
            <v>39629</v>
          </cell>
          <cell r="AG8">
            <v>39629</v>
          </cell>
          <cell r="AH8">
            <v>39813</v>
          </cell>
          <cell r="AI8">
            <v>39994</v>
          </cell>
          <cell r="AJ8">
            <v>39994</v>
          </cell>
          <cell r="AK8">
            <v>40178</v>
          </cell>
          <cell r="AL8">
            <v>40359</v>
          </cell>
          <cell r="AM8">
            <v>40359</v>
          </cell>
          <cell r="AQ8" t="str">
            <v>$m</v>
          </cell>
          <cell r="AR8" t="str">
            <v>1H10A</v>
          </cell>
          <cell r="AS8" t="str">
            <v>1H09A</v>
          </cell>
          <cell r="AT8" t="str">
            <v>% Chg</v>
          </cell>
          <cell r="AV8" t="str">
            <v>$m</v>
          </cell>
          <cell r="AW8" t="str">
            <v>FY10A</v>
          </cell>
          <cell r="AX8" t="str">
            <v>FY09A</v>
          </cell>
          <cell r="AY8" t="str">
            <v>% Chg</v>
          </cell>
          <cell r="BA8" t="str">
            <v>$m</v>
          </cell>
          <cell r="BB8" t="str">
            <v>2H10A</v>
          </cell>
          <cell r="BC8" t="str">
            <v>2H09A</v>
          </cell>
          <cell r="BD8" t="str">
            <v>% Chg</v>
          </cell>
          <cell r="BF8" t="str">
            <v>$m</v>
          </cell>
          <cell r="BG8" t="str">
            <v>2H10A</v>
          </cell>
          <cell r="BH8" t="str">
            <v>1H10A</v>
          </cell>
          <cell r="BI8" t="str">
            <v>% Chg</v>
          </cell>
        </row>
        <row r="9">
          <cell r="A9">
            <v>262</v>
          </cell>
          <cell r="B9" t="str">
            <v>Calculated</v>
          </cell>
          <cell r="D9" t="str">
            <v xml:space="preserve">Receivables </v>
          </cell>
          <cell r="E9">
            <v>22.082999999999998</v>
          </cell>
          <cell r="F9">
            <v>25.215</v>
          </cell>
          <cell r="G9">
            <v>32.101072423332788</v>
          </cell>
          <cell r="H9">
            <v>35.718401462875633</v>
          </cell>
          <cell r="I9">
            <v>37.853392415522855</v>
          </cell>
          <cell r="J9">
            <v>40.653209152960599</v>
          </cell>
          <cell r="K9">
            <v>42.216442033946656</v>
          </cell>
          <cell r="M9" t="str">
            <v>% chg</v>
          </cell>
          <cell r="N9">
            <v>1.6210401188707282</v>
          </cell>
          <cell r="O9">
            <v>0.1189142610943561</v>
          </cell>
          <cell r="P9">
            <v>0.2835632207202643</v>
          </cell>
          <cell r="Q9">
            <v>0.10857681220105309</v>
          </cell>
          <cell r="R9">
            <v>6.4924671518323818E-2</v>
          </cell>
          <cell r="S9">
            <v>7.0153791929957299E-2</v>
          </cell>
          <cell r="T9">
            <v>4.0000000000000036E-2</v>
          </cell>
          <cell r="AC9" t="str">
            <v>Summary Profit &amp; Loss</v>
          </cell>
          <cell r="AQ9" t="str">
            <v>Sales</v>
          </cell>
          <cell r="AR9">
            <v>0</v>
          </cell>
          <cell r="AS9">
            <v>309.80099999999999</v>
          </cell>
          <cell r="AT9">
            <v>-1</v>
          </cell>
          <cell r="AV9" t="str">
            <v>Sales</v>
          </cell>
          <cell r="AW9">
            <v>443.72299999999996</v>
          </cell>
          <cell r="AX9">
            <v>528.24300000000005</v>
          </cell>
          <cell r="AY9">
            <v>-0.16000212023633076</v>
          </cell>
          <cell r="BA9" t="str">
            <v>Sales</v>
          </cell>
          <cell r="BB9">
            <v>0</v>
          </cell>
          <cell r="BC9">
            <v>218.44200000000006</v>
          </cell>
          <cell r="BD9">
            <v>-1</v>
          </cell>
          <cell r="BF9" t="str">
            <v>Sales</v>
          </cell>
          <cell r="BG9">
            <v>0</v>
          </cell>
          <cell r="BH9">
            <v>0</v>
          </cell>
          <cell r="BI9" t="e">
            <v>#DIV/0!</v>
          </cell>
        </row>
        <row r="10">
          <cell r="A10">
            <v>263</v>
          </cell>
          <cell r="B10">
            <v>138</v>
          </cell>
          <cell r="D10" t="str">
            <v>Inventory</v>
          </cell>
          <cell r="E10">
            <v>0.14199999999999999</v>
          </cell>
          <cell r="F10">
            <v>0.434</v>
          </cell>
          <cell r="G10">
            <v>0.46879919884459786</v>
          </cell>
          <cell r="H10">
            <v>0.48830932260930543</v>
          </cell>
          <cell r="I10">
            <v>0.4585570223319273</v>
          </cell>
          <cell r="J10">
            <v>0.56043202757485733</v>
          </cell>
          <cell r="K10">
            <v>0.57300304440236516</v>
          </cell>
          <cell r="M10" t="str">
            <v>EBITDA</v>
          </cell>
          <cell r="N10">
            <v>22.512</v>
          </cell>
          <cell r="O10">
            <v>23.060000000000016</v>
          </cell>
          <cell r="P10">
            <v>31.531422381305134</v>
          </cell>
          <cell r="Q10">
            <v>36.409008654603426</v>
          </cell>
          <cell r="R10">
            <v>41.028403337195087</v>
          </cell>
          <cell r="S10">
            <v>44.66811659746746</v>
          </cell>
          <cell r="T10">
            <v>46.513204518055403</v>
          </cell>
          <cell r="AB10">
            <v>7</v>
          </cell>
          <cell r="AC10" t="str">
            <v>Sales Revenue</v>
          </cell>
          <cell r="AD10">
            <v>554.40200000000004</v>
          </cell>
          <cell r="AE10">
            <v>288.21199999999999</v>
          </cell>
          <cell r="AF10">
            <v>329.72800000000001</v>
          </cell>
          <cell r="AG10">
            <v>617.94000000000005</v>
          </cell>
          <cell r="AH10">
            <v>309.80099999999999</v>
          </cell>
          <cell r="AI10">
            <v>218.44200000000006</v>
          </cell>
          <cell r="AJ10">
            <v>528.24300000000005</v>
          </cell>
          <cell r="AK10">
            <v>0</v>
          </cell>
          <cell r="AL10">
            <v>0</v>
          </cell>
          <cell r="AM10">
            <v>443.72299999999996</v>
          </cell>
          <cell r="AN10">
            <v>-0.1451548694047966</v>
          </cell>
          <cell r="AQ10" t="str">
            <v>EBITDA</v>
          </cell>
          <cell r="AR10">
            <v>0</v>
          </cell>
          <cell r="AS10">
            <v>631.23800000000006</v>
          </cell>
          <cell r="AT10">
            <v>-1</v>
          </cell>
          <cell r="AV10" t="str">
            <v>EBITDA</v>
          </cell>
          <cell r="AW10">
            <v>631.23800000000006</v>
          </cell>
          <cell r="AX10">
            <v>631.23800000000006</v>
          </cell>
          <cell r="AY10">
            <v>0</v>
          </cell>
          <cell r="BA10" t="str">
            <v>EBITDA</v>
          </cell>
          <cell r="BB10">
            <v>0</v>
          </cell>
          <cell r="BC10">
            <v>631.23800000000006</v>
          </cell>
          <cell r="BD10">
            <v>-1</v>
          </cell>
          <cell r="BF10" t="str">
            <v>EBITDA</v>
          </cell>
          <cell r="BG10">
            <v>0</v>
          </cell>
          <cell r="BH10">
            <v>0</v>
          </cell>
          <cell r="BI10" t="e">
            <v>#DIV/0!</v>
          </cell>
        </row>
        <row r="11">
          <cell r="A11" t="str">
            <v>Calculated</v>
          </cell>
          <cell r="B11" t="str">
            <v>Calculated</v>
          </cell>
          <cell r="D11" t="str">
            <v>Other</v>
          </cell>
          <cell r="E11">
            <v>2.0180000000000007</v>
          </cell>
          <cell r="F11">
            <v>1.3320000000000007</v>
          </cell>
          <cell r="G11">
            <v>0.33100000000000307</v>
          </cell>
          <cell r="H11">
            <v>0.33100000000000307</v>
          </cell>
          <cell r="I11">
            <v>0.33100000000000307</v>
          </cell>
          <cell r="J11">
            <v>0.33100000000000307</v>
          </cell>
          <cell r="K11">
            <v>0.33100000000000307</v>
          </cell>
          <cell r="M11" t="str">
            <v>% chg</v>
          </cell>
          <cell r="N11">
            <v>0.74416983032463047</v>
          </cell>
          <cell r="O11">
            <v>2.4342572850036159E-2</v>
          </cell>
          <cell r="P11">
            <v>0.36736437039484438</v>
          </cell>
          <cell r="Q11">
            <v>0.15468970014464656</v>
          </cell>
          <cell r="R11">
            <v>0.12687504695373253</v>
          </cell>
          <cell r="S11">
            <v>8.8712037618405626E-2</v>
          </cell>
          <cell r="T11">
            <v>4.1306597661486144E-2</v>
          </cell>
          <cell r="AB11">
            <v>138</v>
          </cell>
          <cell r="AC11" t="str">
            <v>EBITDA</v>
          </cell>
          <cell r="AD11">
            <v>609.29899999999998</v>
          </cell>
          <cell r="AE11">
            <v>603.49599999999998</v>
          </cell>
          <cell r="AF11">
            <v>659.43981215469626</v>
          </cell>
          <cell r="AG11">
            <v>631.23800000000006</v>
          </cell>
          <cell r="AH11">
            <v>631.23800000000006</v>
          </cell>
          <cell r="AI11">
            <v>631.23800000000006</v>
          </cell>
          <cell r="AJ11">
            <v>631.23800000000006</v>
          </cell>
          <cell r="AK11">
            <v>0</v>
          </cell>
          <cell r="AL11">
            <v>0</v>
          </cell>
          <cell r="AM11">
            <v>631.23800000000006</v>
          </cell>
          <cell r="AN11">
            <v>0</v>
          </cell>
          <cell r="AQ11" t="str">
            <v>D&amp;A</v>
          </cell>
          <cell r="AR11">
            <v>0</v>
          </cell>
          <cell r="AS11">
            <v>0</v>
          </cell>
          <cell r="AT11" t="e">
            <v>#DIV/0!</v>
          </cell>
          <cell r="AV11" t="str">
            <v>D&amp;A</v>
          </cell>
          <cell r="AW11">
            <v>0</v>
          </cell>
          <cell r="AX11">
            <v>0</v>
          </cell>
          <cell r="AY11" t="e">
            <v>#DIV/0!</v>
          </cell>
          <cell r="BA11" t="str">
            <v>D&amp;A</v>
          </cell>
          <cell r="BB11">
            <v>0</v>
          </cell>
          <cell r="BC11">
            <v>0</v>
          </cell>
          <cell r="BD11" t="e">
            <v>#DIV/0!</v>
          </cell>
          <cell r="BF11" t="str">
            <v>D&amp;A</v>
          </cell>
          <cell r="BG11">
            <v>0</v>
          </cell>
          <cell r="BH11">
            <v>0</v>
          </cell>
          <cell r="BI11" t="e">
            <v>#DIV/0!</v>
          </cell>
        </row>
        <row r="12">
          <cell r="A12">
            <v>270</v>
          </cell>
          <cell r="B12">
            <v>118</v>
          </cell>
          <cell r="D12" t="str">
            <v>Total Current Assets</v>
          </cell>
          <cell r="E12">
            <v>28.818999999999999</v>
          </cell>
          <cell r="F12">
            <v>44.874000000000002</v>
          </cell>
          <cell r="G12">
            <v>45.907352774605059</v>
          </cell>
          <cell r="H12">
            <v>53.177539411462256</v>
          </cell>
          <cell r="I12">
            <v>59.9544026796476</v>
          </cell>
          <cell r="J12">
            <v>80.165413439163757</v>
          </cell>
          <cell r="K12">
            <v>98.1609089271644</v>
          </cell>
          <cell r="M12" t="str">
            <v>Depreciation</v>
          </cell>
          <cell r="N12">
            <v>-7.577</v>
          </cell>
          <cell r="O12">
            <v>-8.9719999999999995</v>
          </cell>
          <cell r="P12">
            <v>-11.640878459663284</v>
          </cell>
          <cell r="Q12">
            <v>-12.50614243780165</v>
          </cell>
          <cell r="R12">
            <v>-13.068284686773991</v>
          </cell>
          <cell r="S12">
            <v>-13.399259326279772</v>
          </cell>
          <cell r="T12">
            <v>-13.161168734148363</v>
          </cell>
          <cell r="AA12">
            <v>118</v>
          </cell>
          <cell r="AB12">
            <v>126</v>
          </cell>
          <cell r="AC12" t="str">
            <v>Depreciation &amp; Amortisation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 t="e">
            <v>#DIV/0!</v>
          </cell>
          <cell r="AQ12" t="str">
            <v>EBIT</v>
          </cell>
          <cell r="AR12">
            <v>0</v>
          </cell>
          <cell r="AS12">
            <v>631.23800000000006</v>
          </cell>
          <cell r="AT12">
            <v>-1</v>
          </cell>
          <cell r="AV12" t="str">
            <v>EBIT</v>
          </cell>
          <cell r="AW12">
            <v>631.23800000000006</v>
          </cell>
          <cell r="AX12">
            <v>631.23800000000006</v>
          </cell>
          <cell r="AY12">
            <v>0</v>
          </cell>
          <cell r="BA12" t="str">
            <v>EBIT</v>
          </cell>
          <cell r="BB12">
            <v>0</v>
          </cell>
          <cell r="BC12">
            <v>631.23800000000006</v>
          </cell>
          <cell r="BD12">
            <v>-1</v>
          </cell>
          <cell r="BF12" t="str">
            <v>EBIT</v>
          </cell>
          <cell r="BG12">
            <v>0</v>
          </cell>
          <cell r="BH12">
            <v>0</v>
          </cell>
          <cell r="BI12" t="e">
            <v>#DIV/0!</v>
          </cell>
        </row>
        <row r="13">
          <cell r="A13">
            <v>278</v>
          </cell>
          <cell r="B13" t="str">
            <v>Calculated</v>
          </cell>
          <cell r="D13" t="str">
            <v xml:space="preserve">Receivables 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M13" t="str">
            <v>EBITA</v>
          </cell>
          <cell r="N13">
            <v>14.935</v>
          </cell>
          <cell r="O13">
            <v>14.088000000000017</v>
          </cell>
          <cell r="P13">
            <v>19.89054392164185</v>
          </cell>
          <cell r="Q13">
            <v>23.902866216801776</v>
          </cell>
          <cell r="R13">
            <v>27.960118650421094</v>
          </cell>
          <cell r="S13">
            <v>31.268857271187688</v>
          </cell>
          <cell r="T13">
            <v>33.352035783907041</v>
          </cell>
          <cell r="AC13" t="str">
            <v>EBIT</v>
          </cell>
          <cell r="AD13">
            <v>609.29899999999998</v>
          </cell>
          <cell r="AE13">
            <v>603.49599999999998</v>
          </cell>
          <cell r="AF13">
            <v>659.43981215469626</v>
          </cell>
          <cell r="AG13">
            <v>631.23800000000006</v>
          </cell>
          <cell r="AH13">
            <v>631.23800000000006</v>
          </cell>
          <cell r="AI13">
            <v>631.23800000000006</v>
          </cell>
          <cell r="AJ13">
            <v>631.23800000000006</v>
          </cell>
          <cell r="AK13">
            <v>0</v>
          </cell>
          <cell r="AL13">
            <v>0</v>
          </cell>
          <cell r="AM13">
            <v>631.23800000000006</v>
          </cell>
          <cell r="AN13">
            <v>0</v>
          </cell>
          <cell r="AQ13" t="str">
            <v>Net Int.</v>
          </cell>
          <cell r="AR13">
            <v>0</v>
          </cell>
          <cell r="AS13">
            <v>0</v>
          </cell>
          <cell r="AT13" t="e">
            <v>#DIV/0!</v>
          </cell>
          <cell r="AV13" t="str">
            <v>Net Int.</v>
          </cell>
          <cell r="AW13">
            <v>0</v>
          </cell>
          <cell r="AX13">
            <v>0</v>
          </cell>
          <cell r="AY13" t="e">
            <v>#DIV/0!</v>
          </cell>
          <cell r="BA13" t="str">
            <v>Net Int.</v>
          </cell>
          <cell r="BB13">
            <v>0</v>
          </cell>
          <cell r="BC13">
            <v>0</v>
          </cell>
          <cell r="BD13" t="e">
            <v>#DIV/0!</v>
          </cell>
          <cell r="BF13" t="str">
            <v>Net Int.</v>
          </cell>
          <cell r="BG13">
            <v>0</v>
          </cell>
          <cell r="BH13">
            <v>0</v>
          </cell>
          <cell r="BI13" t="e">
            <v>#DIV/0!</v>
          </cell>
        </row>
        <row r="14">
          <cell r="A14">
            <v>0</v>
          </cell>
          <cell r="B14">
            <v>126</v>
          </cell>
          <cell r="D14" t="str">
            <v>Equity Accounted Investments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M14" t="str">
            <v>Amortisation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AB14">
            <v>155</v>
          </cell>
          <cell r="AC14" t="str">
            <v>Net Interest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 t="e">
            <v>#DIV/0!</v>
          </cell>
          <cell r="AQ14" t="str">
            <v>Tax</v>
          </cell>
          <cell r="AR14">
            <v>0</v>
          </cell>
          <cell r="AS14">
            <v>0.02</v>
          </cell>
          <cell r="AT14">
            <v>-1</v>
          </cell>
          <cell r="AV14" t="str">
            <v>Tax</v>
          </cell>
          <cell r="AW14">
            <v>0.02</v>
          </cell>
          <cell r="AX14">
            <v>0.04</v>
          </cell>
          <cell r="AY14">
            <v>-0.5</v>
          </cell>
          <cell r="BA14" t="str">
            <v>Tax</v>
          </cell>
          <cell r="BB14">
            <v>0</v>
          </cell>
          <cell r="BC14">
            <v>0.02</v>
          </cell>
          <cell r="BD14">
            <v>-1</v>
          </cell>
          <cell r="BF14" t="str">
            <v>Tax</v>
          </cell>
          <cell r="BG14">
            <v>0</v>
          </cell>
          <cell r="BH14">
            <v>0</v>
          </cell>
          <cell r="BI14" t="e">
            <v>#DIV/0!</v>
          </cell>
        </row>
        <row r="15">
          <cell r="A15">
            <v>282</v>
          </cell>
          <cell r="B15" t="str">
            <v>Calculated</v>
          </cell>
          <cell r="D15" t="str">
            <v>PP&amp;E</v>
          </cell>
          <cell r="E15">
            <v>46.655000000000001</v>
          </cell>
          <cell r="F15">
            <v>58.628</v>
          </cell>
          <cell r="G15">
            <v>67.737788207003391</v>
          </cell>
          <cell r="H15">
            <v>68.234345769201752</v>
          </cell>
          <cell r="I15">
            <v>73.735096082427759</v>
          </cell>
          <cell r="J15">
            <v>71.99952350614798</v>
          </cell>
          <cell r="K15">
            <v>71.126425859499619</v>
          </cell>
          <cell r="M15" t="str">
            <v>EBIT</v>
          </cell>
          <cell r="N15">
            <v>14.935</v>
          </cell>
          <cell r="O15">
            <v>14.088000000000017</v>
          </cell>
          <cell r="P15">
            <v>19.89054392164185</v>
          </cell>
          <cell r="Q15">
            <v>23.902866216801776</v>
          </cell>
          <cell r="R15">
            <v>27.960118650421094</v>
          </cell>
          <cell r="S15">
            <v>31.268857271187688</v>
          </cell>
          <cell r="T15">
            <v>33.352035783907041</v>
          </cell>
          <cell r="AC15" t="str">
            <v>Pre Tax Profit</v>
          </cell>
          <cell r="AD15">
            <v>609.29899999999998</v>
          </cell>
          <cell r="AE15">
            <v>603.49599999999998</v>
          </cell>
          <cell r="AF15">
            <v>659.43981215469626</v>
          </cell>
          <cell r="AG15">
            <v>631.23800000000006</v>
          </cell>
          <cell r="AH15">
            <v>631.23800000000006</v>
          </cell>
          <cell r="AI15">
            <v>631.23800000000006</v>
          </cell>
          <cell r="AJ15">
            <v>631.23800000000006</v>
          </cell>
          <cell r="AK15">
            <v>0</v>
          </cell>
          <cell r="AL15">
            <v>0</v>
          </cell>
          <cell r="AM15">
            <v>631.23800000000006</v>
          </cell>
          <cell r="AN15">
            <v>0</v>
          </cell>
          <cell r="AQ15" t="str">
            <v>NPAT</v>
          </cell>
          <cell r="AR15">
            <v>0</v>
          </cell>
          <cell r="AS15">
            <v>631.25800000000004</v>
          </cell>
          <cell r="AT15">
            <v>-1</v>
          </cell>
          <cell r="AV15" t="str">
            <v>NPAT</v>
          </cell>
          <cell r="AW15">
            <v>631.25800000000004</v>
          </cell>
          <cell r="AX15">
            <v>631.27800000000002</v>
          </cell>
          <cell r="AY15">
            <v>-3.1681763026703003E-5</v>
          </cell>
          <cell r="BA15" t="str">
            <v>NPAT</v>
          </cell>
          <cell r="BB15">
            <v>0</v>
          </cell>
          <cell r="BC15">
            <v>631.25800000000004</v>
          </cell>
          <cell r="BD15">
            <v>-1</v>
          </cell>
          <cell r="BF15" t="str">
            <v>NPAT</v>
          </cell>
          <cell r="BG15">
            <v>0</v>
          </cell>
          <cell r="BH15">
            <v>0</v>
          </cell>
          <cell r="BI15" t="e">
            <v>#DIV/0!</v>
          </cell>
        </row>
        <row r="16">
          <cell r="A16">
            <v>284</v>
          </cell>
          <cell r="B16" t="str">
            <v>Composite</v>
          </cell>
          <cell r="D16" t="str">
            <v xml:space="preserve">Intangibles </v>
          </cell>
          <cell r="E16">
            <v>25.024000000000001</v>
          </cell>
          <cell r="F16">
            <v>27.49</v>
          </cell>
          <cell r="G16">
            <v>27.49</v>
          </cell>
          <cell r="H16">
            <v>27.49</v>
          </cell>
          <cell r="I16">
            <v>27.49</v>
          </cell>
          <cell r="J16">
            <v>27.49</v>
          </cell>
          <cell r="K16">
            <v>27.49</v>
          </cell>
          <cell r="M16" t="str">
            <v>% chg</v>
          </cell>
          <cell r="N16">
            <v>0.48267646182865143</v>
          </cell>
          <cell r="O16">
            <v>-5.6712420488783666E-2</v>
          </cell>
          <cell r="P16">
            <v>0.41187847257537102</v>
          </cell>
          <cell r="Q16">
            <v>0.20172008925277951</v>
          </cell>
          <cell r="R16">
            <v>0.16973916001619083</v>
          </cell>
          <cell r="S16">
            <v>0.11833778898204939</v>
          </cell>
          <cell r="T16">
            <v>6.6621510810338291E-2</v>
          </cell>
          <cell r="AB16">
            <v>166</v>
          </cell>
          <cell r="AC16" t="str">
            <v>Tax Expense</v>
          </cell>
          <cell r="AD16">
            <v>3.5000000000000003E-2</v>
          </cell>
          <cell r="AE16">
            <v>0.02</v>
          </cell>
          <cell r="AF16">
            <v>2.5000000000000001E-2</v>
          </cell>
          <cell r="AG16">
            <v>4.4999999999999998E-2</v>
          </cell>
          <cell r="AH16">
            <v>0.02</v>
          </cell>
          <cell r="AI16">
            <v>0.02</v>
          </cell>
          <cell r="AJ16">
            <v>0.04</v>
          </cell>
          <cell r="AK16">
            <v>0</v>
          </cell>
          <cell r="AL16">
            <v>0</v>
          </cell>
          <cell r="AM16">
            <v>0.02</v>
          </cell>
          <cell r="AN16">
            <v>-0.11111111111111105</v>
          </cell>
        </row>
        <row r="17">
          <cell r="A17">
            <v>285</v>
          </cell>
          <cell r="B17">
            <v>155</v>
          </cell>
          <cell r="D17" t="str">
            <v>Deferred Tax</v>
          </cell>
          <cell r="E17">
            <v>0.79</v>
          </cell>
          <cell r="F17">
            <v>0.79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M17" t="str">
            <v>Net Interest (Expense)/Income</v>
          </cell>
          <cell r="N17">
            <v>-3.5260000000000002</v>
          </cell>
          <cell r="O17">
            <v>-2.2610000000000001</v>
          </cell>
          <cell r="P17">
            <v>-1.7018599107631225</v>
          </cell>
          <cell r="Q17">
            <v>-1.0633402813617567</v>
          </cell>
          <cell r="R17">
            <v>-0.3076402093576398</v>
          </cell>
          <cell r="S17">
            <v>0.169140875247068</v>
          </cell>
          <cell r="T17">
            <v>0.71430966182826572</v>
          </cell>
          <cell r="AB17">
            <v>176</v>
          </cell>
          <cell r="AC17" t="str">
            <v>Minorities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 t="e">
            <v>#DIV/0!</v>
          </cell>
          <cell r="AP17">
            <v>131</v>
          </cell>
          <cell r="AQ17" t="str">
            <v>EPS</v>
          </cell>
          <cell r="AR17">
            <v>0</v>
          </cell>
          <cell r="AS17">
            <v>6.1826125803579561</v>
          </cell>
          <cell r="AT17">
            <v>-1</v>
          </cell>
          <cell r="AV17" t="str">
            <v>EPS</v>
          </cell>
          <cell r="AW17">
            <v>9.6337672953782754</v>
          </cell>
          <cell r="AX17">
            <v>9.1410846622034807</v>
          </cell>
          <cell r="AY17">
            <v>5.3897611867871342E-2</v>
          </cell>
          <cell r="BA17" t="str">
            <v>EPS</v>
          </cell>
          <cell r="BB17">
            <v>0</v>
          </cell>
          <cell r="BC17">
            <v>2.9584720818455237</v>
          </cell>
          <cell r="BD17">
            <v>-1</v>
          </cell>
          <cell r="BF17" t="str">
            <v>EPS</v>
          </cell>
          <cell r="BG17">
            <v>0</v>
          </cell>
          <cell r="BH17">
            <v>0</v>
          </cell>
          <cell r="BI17" t="e">
            <v>#DIV/0!</v>
          </cell>
        </row>
        <row r="18">
          <cell r="A18" t="str">
            <v>Calculated</v>
          </cell>
          <cell r="B18" t="str">
            <v>Calculated</v>
          </cell>
          <cell r="D18" t="str">
            <v xml:space="preserve">Other </v>
          </cell>
          <cell r="E18">
            <v>1.0000000000047748E-3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M18" t="str">
            <v>Op. Profit before Tax</v>
          </cell>
          <cell r="N18">
            <v>11.409000000000001</v>
          </cell>
          <cell r="O18">
            <v>11.827000000000016</v>
          </cell>
          <cell r="P18">
            <v>18.188684010878728</v>
          </cell>
          <cell r="Q18">
            <v>22.839525935440019</v>
          </cell>
          <cell r="R18">
            <v>27.652478441063455</v>
          </cell>
          <cell r="S18">
            <v>31.437998146434754</v>
          </cell>
          <cell r="T18">
            <v>34.066345445735308</v>
          </cell>
          <cell r="V18">
            <v>0.32725128718633223</v>
          </cell>
          <cell r="AC18" t="str">
            <v>Net Profit</v>
          </cell>
          <cell r="AD18">
            <v>609.33399999999995</v>
          </cell>
          <cell r="AE18">
            <v>603.51599999999996</v>
          </cell>
          <cell r="AF18">
            <v>659.46481215469623</v>
          </cell>
          <cell r="AG18">
            <v>631.28300000000002</v>
          </cell>
          <cell r="AH18">
            <v>631.25800000000004</v>
          </cell>
          <cell r="AI18">
            <v>631.25800000000004</v>
          </cell>
          <cell r="AJ18">
            <v>631.27800000000002</v>
          </cell>
          <cell r="AK18">
            <v>0</v>
          </cell>
          <cell r="AL18">
            <v>0</v>
          </cell>
          <cell r="AM18">
            <v>631.25800000000004</v>
          </cell>
          <cell r="AN18">
            <v>-7.9203780237735444E-6</v>
          </cell>
          <cell r="AP18">
            <v>161</v>
          </cell>
          <cell r="AQ18" t="str">
            <v>DPS</v>
          </cell>
          <cell r="AR18">
            <v>0</v>
          </cell>
          <cell r="AS18">
            <v>2</v>
          </cell>
          <cell r="AT18">
            <v>-1</v>
          </cell>
          <cell r="AV18" t="str">
            <v>DPS</v>
          </cell>
          <cell r="AW18">
            <v>2</v>
          </cell>
          <cell r="AX18">
            <v>4</v>
          </cell>
          <cell r="AY18">
            <v>-0.5</v>
          </cell>
          <cell r="BA18" t="str">
            <v>DPS</v>
          </cell>
          <cell r="BB18">
            <v>0</v>
          </cell>
          <cell r="BC18">
            <v>2</v>
          </cell>
          <cell r="BD18">
            <v>-1</v>
          </cell>
          <cell r="BF18" t="str">
            <v>DPS</v>
          </cell>
          <cell r="BG18">
            <v>0</v>
          </cell>
          <cell r="BH18">
            <v>0</v>
          </cell>
          <cell r="BI18" t="e">
            <v>#DIV/0!</v>
          </cell>
        </row>
        <row r="19">
          <cell r="A19">
            <v>289</v>
          </cell>
          <cell r="B19">
            <v>166</v>
          </cell>
          <cell r="D19" t="str">
            <v>Total Non Current Assets</v>
          </cell>
          <cell r="E19">
            <v>72.470000000000013</v>
          </cell>
          <cell r="F19">
            <v>86.908000000000001</v>
          </cell>
          <cell r="G19">
            <v>95.227788207003385</v>
          </cell>
          <cell r="H19">
            <v>95.724345769201747</v>
          </cell>
          <cell r="I19">
            <v>101.22509608242775</v>
          </cell>
          <cell r="J19">
            <v>99.489523506147975</v>
          </cell>
          <cell r="K19">
            <v>98.616425859499614</v>
          </cell>
          <cell r="M19" t="str">
            <v>Tax Expense</v>
          </cell>
          <cell r="N19">
            <v>-3.2610000000000001</v>
          </cell>
          <cell r="O19">
            <v>-3.863</v>
          </cell>
          <cell r="P19">
            <v>-5.7264194733822702</v>
          </cell>
          <cell r="Q19">
            <v>-7.1634302180621994</v>
          </cell>
          <cell r="R19">
            <v>-8.5479562766360129</v>
          </cell>
          <cell r="S19">
            <v>-9.7106013782170528</v>
          </cell>
          <cell r="T19">
            <v>-10.526370821931147</v>
          </cell>
          <cell r="AC19" t="str">
            <v>Operating Margins</v>
          </cell>
          <cell r="AQ19" t="str">
            <v>Franking</v>
          </cell>
          <cell r="AR19">
            <v>1</v>
          </cell>
          <cell r="AS19">
            <v>1</v>
          </cell>
          <cell r="AV19" t="str">
            <v>Franking</v>
          </cell>
          <cell r="AW19">
            <v>1</v>
          </cell>
          <cell r="AX19">
            <v>1</v>
          </cell>
          <cell r="BA19" t="str">
            <v>Franking</v>
          </cell>
          <cell r="BB19">
            <v>1</v>
          </cell>
          <cell r="BC19">
            <v>1</v>
          </cell>
          <cell r="BF19" t="str">
            <v>Franking</v>
          </cell>
          <cell r="BG19">
            <v>1</v>
          </cell>
          <cell r="BH19">
            <v>1</v>
          </cell>
        </row>
        <row r="20">
          <cell r="A20" t="str">
            <v>Calculated</v>
          </cell>
          <cell r="B20" t="str">
            <v>Calculated</v>
          </cell>
          <cell r="D20" t="str">
            <v>Total Assets</v>
          </cell>
          <cell r="E20">
            <v>101.28900000000002</v>
          </cell>
          <cell r="F20">
            <v>131.78200000000001</v>
          </cell>
          <cell r="G20">
            <v>141.13514098160846</v>
          </cell>
          <cell r="H20">
            <v>148.90188518066401</v>
          </cell>
          <cell r="I20">
            <v>161.17949876207535</v>
          </cell>
          <cell r="J20">
            <v>179.65493694531173</v>
          </cell>
          <cell r="K20">
            <v>196.77733478666403</v>
          </cell>
          <cell r="M20" t="str">
            <v>Op. Profit after tax</v>
          </cell>
          <cell r="N20">
            <v>8.1479999999999997</v>
          </cell>
          <cell r="O20">
            <v>7.9640000000000164</v>
          </cell>
          <cell r="P20">
            <v>12.462264537496457</v>
          </cell>
          <cell r="Q20">
            <v>15.676095717377819</v>
          </cell>
          <cell r="R20">
            <v>19.104522164427443</v>
          </cell>
          <cell r="S20">
            <v>21.727396768217702</v>
          </cell>
          <cell r="T20">
            <v>23.539974623804163</v>
          </cell>
          <cell r="AC20" t="str">
            <v>EBITDA Margin</v>
          </cell>
          <cell r="AD20">
            <v>1.0990202055548139</v>
          </cell>
          <cell r="AE20">
            <v>2.0939308564528889</v>
          </cell>
          <cell r="AF20">
            <v>1.9999509054575173</v>
          </cell>
          <cell r="AG20">
            <v>1.0215198886623296</v>
          </cell>
          <cell r="AH20">
            <v>2.0375595947075706</v>
          </cell>
          <cell r="AI20">
            <v>2.8897281658289149</v>
          </cell>
          <cell r="AJ20">
            <v>1.1949765543509332</v>
          </cell>
          <cell r="AK20" t="e">
            <v>#DIV/0!</v>
          </cell>
          <cell r="AL20" t="e">
            <v>#DIV/0!</v>
          </cell>
          <cell r="AM20">
            <v>1.4225947268904251</v>
          </cell>
          <cell r="AN20" t="str">
            <v>1,735bps</v>
          </cell>
        </row>
        <row r="21">
          <cell r="A21">
            <v>302</v>
          </cell>
          <cell r="B21">
            <v>176</v>
          </cell>
          <cell r="D21" t="str">
            <v xml:space="preserve">Creditors </v>
          </cell>
          <cell r="E21">
            <v>7.7220000000000004</v>
          </cell>
          <cell r="F21">
            <v>9.8510000000000009</v>
          </cell>
          <cell r="G21">
            <v>14.45866977744528</v>
          </cell>
          <cell r="H21">
            <v>15.231560759123003</v>
          </cell>
          <cell r="I21">
            <v>15.65070092610692</v>
          </cell>
          <cell r="J21">
            <v>16.707562341125598</v>
          </cell>
          <cell r="K21">
            <v>17.791915558673718</v>
          </cell>
          <cell r="M21" t="str">
            <v>Minority Interests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AC21" t="str">
            <v>EBIT Margin</v>
          </cell>
          <cell r="AD21">
            <v>1.0990202055548139</v>
          </cell>
          <cell r="AE21">
            <v>2.0939308564528889</v>
          </cell>
          <cell r="AF21">
            <v>1.9999509054575173</v>
          </cell>
          <cell r="AG21">
            <v>1.0215198886623296</v>
          </cell>
          <cell r="AH21">
            <v>2.0375595947075706</v>
          </cell>
          <cell r="AI21">
            <v>2.8897281658289149</v>
          </cell>
          <cell r="AJ21">
            <v>1.1949765543509332</v>
          </cell>
          <cell r="AK21" t="e">
            <v>#DIV/0!</v>
          </cell>
          <cell r="AL21" t="e">
            <v>#DIV/0!</v>
          </cell>
          <cell r="AM21">
            <v>1.4225947268904251</v>
          </cell>
          <cell r="AN21" t="str">
            <v>1,735bps</v>
          </cell>
          <cell r="AQ21" t="str">
            <v>EBITDA margin</v>
          </cell>
          <cell r="AR21" t="e">
            <v>#DIV/0!</v>
          </cell>
          <cell r="AS21">
            <v>2.0375595947075706</v>
          </cell>
          <cell r="AV21" t="str">
            <v>EBITDA margin</v>
          </cell>
          <cell r="AW21">
            <v>1.4225947268904251</v>
          </cell>
          <cell r="AX21">
            <v>1.1949765543509332</v>
          </cell>
          <cell r="BA21" t="str">
            <v>EBITDA margin</v>
          </cell>
          <cell r="BB21" t="e">
            <v>#DIV/0!</v>
          </cell>
          <cell r="BC21">
            <v>2.8897281658289149</v>
          </cell>
          <cell r="BF21" t="str">
            <v>EBITDA margin</v>
          </cell>
          <cell r="BG21" t="e">
            <v>#DIV/0!</v>
          </cell>
          <cell r="BH21" t="e">
            <v>#DIV/0!</v>
          </cell>
        </row>
        <row r="22">
          <cell r="A22">
            <v>303</v>
          </cell>
          <cell r="B22">
            <v>211</v>
          </cell>
          <cell r="D22" t="str">
            <v>Borrowings</v>
          </cell>
          <cell r="E22">
            <v>3.5950000000000002</v>
          </cell>
          <cell r="F22">
            <v>17.63</v>
          </cell>
          <cell r="G22">
            <v>4.6466478478818285</v>
          </cell>
          <cell r="H22">
            <v>4.1651597689022637</v>
          </cell>
          <cell r="I22">
            <v>2.8879062904795521</v>
          </cell>
          <cell r="J22">
            <v>3.3570626956692626</v>
          </cell>
          <cell r="K22">
            <v>2.7014355056670261</v>
          </cell>
          <cell r="M22" t="str">
            <v>Significant items</v>
          </cell>
          <cell r="N22">
            <v>-1.1020000000000001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Y22" t="e">
            <v>#DIV/0!</v>
          </cell>
          <cell r="AC22" t="str">
            <v>Other Items</v>
          </cell>
          <cell r="AQ22" t="str">
            <v>EBIT margin</v>
          </cell>
          <cell r="AR22" t="e">
            <v>#DIV/0!</v>
          </cell>
          <cell r="AS22">
            <v>2.0375595947075706</v>
          </cell>
          <cell r="AV22" t="str">
            <v>EBIT margin</v>
          </cell>
          <cell r="AW22">
            <v>1.4225947268904251</v>
          </cell>
          <cell r="AX22">
            <v>1.1949765543509332</v>
          </cell>
          <cell r="BA22" t="str">
            <v>EBIT margin</v>
          </cell>
          <cell r="BB22" t="e">
            <v>#DIV/0!</v>
          </cell>
          <cell r="BC22">
            <v>2.8897281658289149</v>
          </cell>
          <cell r="BF22" t="str">
            <v>EBIT margin</v>
          </cell>
          <cell r="BG22" t="e">
            <v>#DIV/0!</v>
          </cell>
          <cell r="BH22" t="e">
            <v>#DIV/0!</v>
          </cell>
        </row>
        <row r="23">
          <cell r="A23">
            <v>305</v>
          </cell>
          <cell r="B23" t="str">
            <v>Calculated</v>
          </cell>
          <cell r="D23" t="str">
            <v xml:space="preserve">Tax </v>
          </cell>
          <cell r="E23">
            <v>0.94199999999999995</v>
          </cell>
          <cell r="F23">
            <v>0.20399999999999999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M23" t="str">
            <v>Reported NPAT</v>
          </cell>
          <cell r="N23">
            <v>7.0459999999999994</v>
          </cell>
          <cell r="O23">
            <v>7.9640000000000164</v>
          </cell>
          <cell r="P23">
            <v>12.462264537496457</v>
          </cell>
          <cell r="Q23">
            <v>15.676095717377819</v>
          </cell>
          <cell r="R23">
            <v>19.104522164427443</v>
          </cell>
          <cell r="S23">
            <v>21.727396768217702</v>
          </cell>
          <cell r="T23">
            <v>23.539974623804163</v>
          </cell>
          <cell r="V23">
            <v>0.33865390575287257</v>
          </cell>
          <cell r="W23">
            <v>0.24203818465234517</v>
          </cell>
          <cell r="AB23">
            <v>450</v>
          </cell>
          <cell r="AC23" t="str">
            <v>Capital Expenditure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 t="e">
            <v>#DIV/0!</v>
          </cell>
          <cell r="AQ23" t="str">
            <v>ROA</v>
          </cell>
          <cell r="AR23">
            <v>0</v>
          </cell>
          <cell r="AS23">
            <v>1.037921224186614</v>
          </cell>
          <cell r="AV23" t="str">
            <v>ROA</v>
          </cell>
          <cell r="AW23">
            <v>0.56362900943164573</v>
          </cell>
          <cell r="AX23">
            <v>0.55203359926190065</v>
          </cell>
          <cell r="BA23" t="str">
            <v>ROA</v>
          </cell>
          <cell r="BB23" t="e">
            <v>#DIV/0!</v>
          </cell>
          <cell r="BC23">
            <v>1.0583907460098958</v>
          </cell>
          <cell r="BF23" t="str">
            <v>ROA</v>
          </cell>
          <cell r="BG23" t="e">
            <v>#DIV/0!</v>
          </cell>
          <cell r="BH23">
            <v>0</v>
          </cell>
        </row>
        <row r="24">
          <cell r="A24" t="str">
            <v>Calculated</v>
          </cell>
          <cell r="B24" t="str">
            <v>Composite</v>
          </cell>
          <cell r="D24" t="str">
            <v>Provisions &amp; Others</v>
          </cell>
          <cell r="E24">
            <v>1.713000000000001</v>
          </cell>
          <cell r="F24">
            <v>1.9609999999999985</v>
          </cell>
          <cell r="G24">
            <v>1.9609999999999985</v>
          </cell>
          <cell r="H24">
            <v>1.9609999999999985</v>
          </cell>
          <cell r="I24">
            <v>1.9609999999999985</v>
          </cell>
          <cell r="J24">
            <v>1.9609999999999985</v>
          </cell>
          <cell r="K24">
            <v>1.9609999999999985</v>
          </cell>
          <cell r="M24" t="str">
            <v>% chg</v>
          </cell>
          <cell r="N24">
            <v>0.24619738238415434</v>
          </cell>
          <cell r="O24">
            <v>0.13028668748226191</v>
          </cell>
          <cell r="P24">
            <v>0.56482477869116421</v>
          </cell>
          <cell r="Q24">
            <v>0.25788500719203866</v>
          </cell>
          <cell r="R24">
            <v>0.21870410265797391</v>
          </cell>
          <cell r="S24">
            <v>0.13729077237399023</v>
          </cell>
          <cell r="T24">
            <v>8.3423609138387755E-2</v>
          </cell>
          <cell r="Y24">
            <v>-8.5301880000014818E-2</v>
          </cell>
          <cell r="AB24">
            <v>643</v>
          </cell>
          <cell r="AC24" t="str">
            <v>Operating Cash Flow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 t="e">
            <v>#DIV/0!</v>
          </cell>
          <cell r="AQ24" t="str">
            <v>ROE</v>
          </cell>
          <cell r="AR24">
            <v>0</v>
          </cell>
          <cell r="AS24">
            <v>1.7565366683686885</v>
          </cell>
          <cell r="AV24" t="str">
            <v>ROE</v>
          </cell>
          <cell r="AW24">
            <v>0.924424411231486</v>
          </cell>
          <cell r="AX24">
            <v>0.91185481459654105</v>
          </cell>
          <cell r="BA24" t="str">
            <v>ROE</v>
          </cell>
          <cell r="BB24" t="e">
            <v>#DIV/0!</v>
          </cell>
          <cell r="BC24">
            <v>1.7799012572640196</v>
          </cell>
          <cell r="BF24" t="str">
            <v>ROE</v>
          </cell>
          <cell r="BG24" t="e">
            <v>#DIV/0!</v>
          </cell>
          <cell r="BH24">
            <v>0</v>
          </cell>
        </row>
        <row r="25">
          <cell r="A25">
            <v>310</v>
          </cell>
          <cell r="B25" t="str">
            <v>Calculated</v>
          </cell>
          <cell r="D25" t="str">
            <v>Total Current Liabilities</v>
          </cell>
          <cell r="E25">
            <v>13.972000000000001</v>
          </cell>
          <cell r="F25">
            <v>29.646000000000001</v>
          </cell>
          <cell r="G25">
            <v>21.066317625327109</v>
          </cell>
          <cell r="H25">
            <v>21.357720528025265</v>
          </cell>
          <cell r="I25">
            <v>20.499607216586469</v>
          </cell>
          <cell r="J25">
            <v>22.02562503679486</v>
          </cell>
          <cell r="K25">
            <v>22.454351064340742</v>
          </cell>
          <cell r="M25" t="str">
            <v>Add back Amortisation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Z25">
            <v>262</v>
          </cell>
          <cell r="AA25">
            <v>263</v>
          </cell>
          <cell r="AB25">
            <v>302</v>
          </cell>
          <cell r="AC25" t="str">
            <v>Working Capital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 t="e">
            <v>#DIV/0!</v>
          </cell>
          <cell r="AQ25" t="str">
            <v>Source: Company data, Merrill Lynch estimates</v>
          </cell>
          <cell r="AV25" t="str">
            <v>Source: Company data, Merrill Lynch estimates</v>
          </cell>
          <cell r="BA25" t="str">
            <v>Source: Company data, Merrill Lynch estimates</v>
          </cell>
          <cell r="BF25" t="str">
            <v>Source: Company data, Merrill Lynch estimates</v>
          </cell>
        </row>
        <row r="26">
          <cell r="A26">
            <v>318</v>
          </cell>
          <cell r="B26" t="str">
            <v>Calculated</v>
          </cell>
          <cell r="D26" t="str">
            <v xml:space="preserve">Creditors 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M26" t="str">
            <v>Add back Significant items</v>
          </cell>
          <cell r="N26">
            <v>1.1020000000000001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AB26">
            <v>261</v>
          </cell>
          <cell r="AC26" t="str">
            <v>Cash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 t="e">
            <v>#DIV/0!</v>
          </cell>
        </row>
        <row r="27">
          <cell r="A27">
            <v>319</v>
          </cell>
          <cell r="B27" t="str">
            <v>Calculated</v>
          </cell>
          <cell r="D27" t="str">
            <v>Borrowings</v>
          </cell>
          <cell r="E27">
            <v>33.869</v>
          </cell>
          <cell r="F27">
            <v>13.442</v>
          </cell>
          <cell r="G27">
            <v>19.465018818784834</v>
          </cell>
          <cell r="H27">
            <v>13.1860068977644</v>
          </cell>
          <cell r="I27">
            <v>7.6507916261871127</v>
          </cell>
          <cell r="J27">
            <v>7.1816352209974026</v>
          </cell>
          <cell r="K27">
            <v>7.8372624109996387</v>
          </cell>
          <cell r="M27" t="str">
            <v>Normalised NPAT</v>
          </cell>
          <cell r="N27">
            <v>8.1479999999999997</v>
          </cell>
          <cell r="O27">
            <v>7.9640000000000164</v>
          </cell>
          <cell r="P27">
            <v>12.462264537496457</v>
          </cell>
          <cell r="Q27">
            <v>15.676095717377819</v>
          </cell>
          <cell r="R27">
            <v>19.104522164427443</v>
          </cell>
          <cell r="S27">
            <v>21.727396768217702</v>
          </cell>
          <cell r="T27">
            <v>23.539974623804163</v>
          </cell>
          <cell r="AA27">
            <v>303</v>
          </cell>
          <cell r="AB27">
            <v>319</v>
          </cell>
          <cell r="AC27" t="str">
            <v>Gross Debt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 t="e">
            <v>#DIV/0!</v>
          </cell>
          <cell r="AQ27" t="str">
            <v>Assets</v>
          </cell>
          <cell r="AV27" t="str">
            <v>Assets</v>
          </cell>
          <cell r="BA27" t="str">
            <v>Assets</v>
          </cell>
          <cell r="BF27" t="str">
            <v>Assets</v>
          </cell>
        </row>
        <row r="28">
          <cell r="A28">
            <v>320</v>
          </cell>
          <cell r="B28" t="str">
            <v>Composite</v>
          </cell>
          <cell r="D28" t="str">
            <v xml:space="preserve">Tax </v>
          </cell>
          <cell r="E28">
            <v>5.5E-2</v>
          </cell>
          <cell r="F28">
            <v>5.5E-2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M28" t="str">
            <v>% chg</v>
          </cell>
          <cell r="N28">
            <v>0.44110364343827468</v>
          </cell>
          <cell r="O28">
            <v>-2.2582228767793699E-2</v>
          </cell>
          <cell r="P28">
            <v>0.56482477869116421</v>
          </cell>
          <cell r="Q28">
            <v>0.25788500719203866</v>
          </cell>
          <cell r="R28">
            <v>0.21870410265797391</v>
          </cell>
          <cell r="S28">
            <v>0.13729077237399023</v>
          </cell>
          <cell r="T28">
            <v>8.3423609138387755E-2</v>
          </cell>
          <cell r="AP28">
            <v>48</v>
          </cell>
          <cell r="AQ28" t="str">
            <v>Open</v>
          </cell>
          <cell r="AR28">
            <v>1119.9530000000002</v>
          </cell>
          <cell r="AS28">
            <v>1167.0020000000002</v>
          </cell>
          <cell r="AV28" t="str">
            <v>Open</v>
          </cell>
          <cell r="AW28">
            <v>1119.9530000000002</v>
          </cell>
          <cell r="AX28">
            <v>1167.0020000000002</v>
          </cell>
          <cell r="BA28" t="str">
            <v>Open</v>
          </cell>
          <cell r="BB28">
            <v>0</v>
          </cell>
          <cell r="BC28">
            <v>1265.6990000000001</v>
          </cell>
          <cell r="BF28" t="str">
            <v>Open</v>
          </cell>
          <cell r="BG28">
            <v>0</v>
          </cell>
          <cell r="BH28">
            <v>1119.9530000000002</v>
          </cell>
        </row>
        <row r="29">
          <cell r="A29" t="str">
            <v>Calculated</v>
          </cell>
          <cell r="B29" t="str">
            <v>mscalc:netIncome</v>
          </cell>
          <cell r="D29" t="str">
            <v>Other</v>
          </cell>
          <cell r="E29">
            <v>0.10600000000000165</v>
          </cell>
          <cell r="F29">
            <v>9.2999999999999972E-2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M29" t="str">
            <v>ModelWare NPAT</v>
          </cell>
          <cell r="N29">
            <v>8.1479999999999997</v>
          </cell>
          <cell r="O29">
            <v>7.9640000000000004</v>
          </cell>
          <cell r="P29">
            <v>12.462264537496401</v>
          </cell>
          <cell r="Q29">
            <v>15.6760957173774</v>
          </cell>
          <cell r="R29">
            <v>19.104522164427401</v>
          </cell>
          <cell r="S29">
            <v>21.727396768217201</v>
          </cell>
          <cell r="T29">
            <v>23.539974623804799</v>
          </cell>
          <cell r="AP29">
            <v>48</v>
          </cell>
          <cell r="AQ29" t="str">
            <v>Close</v>
          </cell>
          <cell r="AR29">
            <v>0</v>
          </cell>
          <cell r="AS29">
            <v>1265.6990000000001</v>
          </cell>
          <cell r="AV29" t="str">
            <v>Close</v>
          </cell>
          <cell r="AW29">
            <v>1119.9530000000002</v>
          </cell>
          <cell r="AX29">
            <v>1119.9530000000002</v>
          </cell>
          <cell r="BA29" t="str">
            <v>Close</v>
          </cell>
          <cell r="BB29">
            <v>0</v>
          </cell>
          <cell r="BC29">
            <v>1119.9530000000002</v>
          </cell>
          <cell r="BF29" t="str">
            <v>Close</v>
          </cell>
          <cell r="BG29">
            <v>0</v>
          </cell>
          <cell r="BH29">
            <v>0</v>
          </cell>
        </row>
        <row r="30">
          <cell r="A30">
            <v>325</v>
          </cell>
          <cell r="D30" t="str">
            <v>Total Non Current Liabilities</v>
          </cell>
          <cell r="E30">
            <v>34.03</v>
          </cell>
          <cell r="F30">
            <v>13.59</v>
          </cell>
          <cell r="G30">
            <v>19.465018818784834</v>
          </cell>
          <cell r="H30">
            <v>13.1860068977644</v>
          </cell>
          <cell r="I30">
            <v>7.6507916261871127</v>
          </cell>
          <cell r="J30">
            <v>7.1816352209974026</v>
          </cell>
          <cell r="K30">
            <v>7.8372624109996387</v>
          </cell>
          <cell r="M30" t="str">
            <v>% chg</v>
          </cell>
          <cell r="N30">
            <v>0.44110364343827468</v>
          </cell>
          <cell r="O30">
            <v>-2.2582228767795698E-2</v>
          </cell>
          <cell r="P30">
            <v>0.56482477869116021</v>
          </cell>
          <cell r="Q30">
            <v>0.25788500719201068</v>
          </cell>
          <cell r="R30">
            <v>0.21870410265800388</v>
          </cell>
          <cell r="S30">
            <v>0.13729077237396647</v>
          </cell>
          <cell r="T30">
            <v>8.3423609138441934E-2</v>
          </cell>
          <cell r="AQ30" t="str">
            <v>Equity</v>
          </cell>
          <cell r="AV30" t="str">
            <v>Equity</v>
          </cell>
          <cell r="BA30" t="str">
            <v>Equity</v>
          </cell>
          <cell r="BF30" t="str">
            <v>Equity</v>
          </cell>
        </row>
        <row r="31">
          <cell r="A31" t="str">
            <v>Calculated</v>
          </cell>
          <cell r="D31" t="str">
            <v>Total Liabilities</v>
          </cell>
          <cell r="E31">
            <v>48.002000000000002</v>
          </cell>
          <cell r="F31">
            <v>43.236000000000004</v>
          </cell>
          <cell r="G31">
            <v>40.531336444111943</v>
          </cell>
          <cell r="H31">
            <v>34.543727425789669</v>
          </cell>
          <cell r="I31">
            <v>28.150398842773583</v>
          </cell>
          <cell r="J31">
            <v>29.207260257792264</v>
          </cell>
          <cell r="K31">
            <v>30.29161347534038</v>
          </cell>
          <cell r="AP31">
            <v>106</v>
          </cell>
          <cell r="AQ31" t="str">
            <v>Open</v>
          </cell>
          <cell r="AR31">
            <v>682.8660000000001</v>
          </cell>
          <cell r="AS31">
            <v>701.73599999999999</v>
          </cell>
          <cell r="AV31" t="str">
            <v>Open</v>
          </cell>
          <cell r="AW31">
            <v>682.8660000000001</v>
          </cell>
          <cell r="AX31">
            <v>701.73599999999999</v>
          </cell>
          <cell r="BA31" t="str">
            <v>Open</v>
          </cell>
          <cell r="BB31">
            <v>0</v>
          </cell>
          <cell r="BC31">
            <v>735.7700000000001</v>
          </cell>
          <cell r="BF31" t="str">
            <v>Open</v>
          </cell>
          <cell r="BG31">
            <v>0</v>
          </cell>
          <cell r="BH31">
            <v>682.8660000000001</v>
          </cell>
        </row>
        <row r="32">
          <cell r="A32">
            <v>349</v>
          </cell>
          <cell r="D32" t="str">
            <v>Shareholders Equity</v>
          </cell>
          <cell r="E32">
            <v>53.286999999999999</v>
          </cell>
          <cell r="F32">
            <v>88.545999999999992</v>
          </cell>
          <cell r="G32">
            <v>100.60380453749652</v>
          </cell>
          <cell r="H32">
            <v>114.35815775487434</v>
          </cell>
          <cell r="I32">
            <v>133.02909991930176</v>
          </cell>
          <cell r="J32">
            <v>150.44767668751948</v>
          </cell>
          <cell r="K32">
            <v>166.48572131132366</v>
          </cell>
          <cell r="M32" t="str">
            <v>Ratios</v>
          </cell>
          <cell r="N32" t="str">
            <v>FY09A</v>
          </cell>
          <cell r="O32" t="str">
            <v>FY10A</v>
          </cell>
          <cell r="P32" t="str">
            <v>FY11E</v>
          </cell>
          <cell r="Q32" t="str">
            <v>FY12E</v>
          </cell>
          <cell r="R32" t="str">
            <v>FY13E</v>
          </cell>
          <cell r="S32" t="str">
            <v>FY14E</v>
          </cell>
          <cell r="T32" t="str">
            <v>FY15E</v>
          </cell>
          <cell r="AP32">
            <v>106</v>
          </cell>
          <cell r="AQ32" t="str">
            <v>Close</v>
          </cell>
          <cell r="AR32">
            <v>0</v>
          </cell>
          <cell r="AS32">
            <v>735.7700000000001</v>
          </cell>
          <cell r="AV32" t="str">
            <v>Close</v>
          </cell>
          <cell r="AW32">
            <v>682.8660000000001</v>
          </cell>
          <cell r="AX32">
            <v>682.8660000000001</v>
          </cell>
          <cell r="BA32" t="str">
            <v>Close</v>
          </cell>
          <cell r="BB32">
            <v>0</v>
          </cell>
          <cell r="BC32">
            <v>682.8660000000001</v>
          </cell>
          <cell r="BF32" t="str">
            <v>Close</v>
          </cell>
          <cell r="BG32">
            <v>0</v>
          </cell>
          <cell r="BH32">
            <v>0</v>
          </cell>
        </row>
        <row r="33">
          <cell r="B33" t="str">
            <v>Calculated</v>
          </cell>
          <cell r="M33" t="str">
            <v>EBITDA margin</v>
          </cell>
          <cell r="N33">
            <v>0.25524388308124901</v>
          </cell>
          <cell r="O33">
            <v>0.23367042944287958</v>
          </cell>
          <cell r="P33">
            <v>0.24892628152414903</v>
          </cell>
          <cell r="Q33">
            <v>0.25928073743537072</v>
          </cell>
          <cell r="R33">
            <v>0.27436400055893939</v>
          </cell>
          <cell r="S33">
            <v>0.27912192840896904</v>
          </cell>
          <cell r="T33">
            <v>0.27947260154255432</v>
          </cell>
          <cell r="V33">
            <v>4.0693571116059812E-2</v>
          </cell>
        </row>
        <row r="34">
          <cell r="B34" t="str">
            <v>Calculated</v>
          </cell>
          <cell r="D34" t="str">
            <v>Cashflow ($m)</v>
          </cell>
          <cell r="E34" t="str">
            <v>FY09A</v>
          </cell>
          <cell r="F34" t="str">
            <v>FY10A</v>
          </cell>
          <cell r="G34" t="str">
            <v>FY11E</v>
          </cell>
          <cell r="H34" t="str">
            <v>FY12E</v>
          </cell>
          <cell r="I34" t="str">
            <v>FY13E</v>
          </cell>
          <cell r="J34" t="str">
            <v>FY14E</v>
          </cell>
          <cell r="K34" t="str">
            <v>FY15E</v>
          </cell>
          <cell r="M34" t="str">
            <v>EBIT margin</v>
          </cell>
          <cell r="N34">
            <v>0.16933490555341393</v>
          </cell>
          <cell r="O34">
            <v>0.14275581136128748</v>
          </cell>
          <cell r="P34">
            <v>0.15702682473476573</v>
          </cell>
          <cell r="Q34">
            <v>0.17022031108577787</v>
          </cell>
          <cell r="R34">
            <v>0.18697412975068484</v>
          </cell>
          <cell r="S34">
            <v>0.19539269630127098</v>
          </cell>
          <cell r="T34">
            <v>0.20039428166362236</v>
          </cell>
        </row>
        <row r="35">
          <cell r="A35">
            <v>635</v>
          </cell>
          <cell r="B35" t="str">
            <v>Calculated</v>
          </cell>
          <cell r="D35" t="str">
            <v>EBITDA</v>
          </cell>
          <cell r="E35">
            <v>22.512</v>
          </cell>
          <cell r="F35">
            <v>23.060000000000016</v>
          </cell>
          <cell r="G35">
            <v>31.531422381305134</v>
          </cell>
          <cell r="H35">
            <v>36.409008654603426</v>
          </cell>
          <cell r="I35">
            <v>41.028403337195087</v>
          </cell>
          <cell r="J35">
            <v>44.66811659746746</v>
          </cell>
          <cell r="K35">
            <v>46.513204518055403</v>
          </cell>
          <cell r="M35" t="str">
            <v xml:space="preserve">Effective tax rate </v>
          </cell>
          <cell r="N35">
            <v>0.28582697870102552</v>
          </cell>
          <cell r="O35">
            <v>0.32662551788281008</v>
          </cell>
          <cell r="P35">
            <v>0.31483418316340395</v>
          </cell>
          <cell r="Q35">
            <v>0.31364180842942663</v>
          </cell>
          <cell r="R35">
            <v>0.30912080068535358</v>
          </cell>
          <cell r="S35">
            <v>0.30888103412266055</v>
          </cell>
          <cell r="T35">
            <v>0.30899618624189468</v>
          </cell>
        </row>
        <row r="36">
          <cell r="A36">
            <v>642</v>
          </cell>
          <cell r="B36">
            <v>228</v>
          </cell>
          <cell r="D36" t="str">
            <v>Tax paid</v>
          </cell>
          <cell r="E36">
            <v>-5.0979999999999999</v>
          </cell>
          <cell r="F36">
            <v>-4.1970000000000001</v>
          </cell>
          <cell r="G36">
            <v>-5.1623843750387408</v>
          </cell>
          <cell r="H36">
            <v>-6.8597649215047447</v>
          </cell>
          <cell r="I36">
            <v>-8.1820579495516625</v>
          </cell>
          <cell r="J36">
            <v>-9.7942262336262438</v>
          </cell>
          <cell r="K36">
            <v>-10.164440846853747</v>
          </cell>
          <cell r="M36" t="str">
            <v>Weighted Avge Dil Shares (m)</v>
          </cell>
          <cell r="N36">
            <v>77.992975000000001</v>
          </cell>
          <cell r="O36">
            <v>87.324561403508909</v>
          </cell>
          <cell r="P36">
            <v>91.744948559670775</v>
          </cell>
          <cell r="Q36">
            <v>92.725663934426237</v>
          </cell>
          <cell r="R36">
            <v>94.55934657534246</v>
          </cell>
          <cell r="S36">
            <v>95.183273972602734</v>
          </cell>
          <cell r="T36">
            <v>95.399000000000001</v>
          </cell>
        </row>
        <row r="37">
          <cell r="A37">
            <v>636</v>
          </cell>
          <cell r="B37" t="str">
            <v>Calculated</v>
          </cell>
          <cell r="D37" t="str">
            <v>Change in working Capital</v>
          </cell>
          <cell r="E37">
            <v>-9.4069999999999965</v>
          </cell>
          <cell r="F37">
            <v>-1.2950000000000035</v>
          </cell>
          <cell r="G37">
            <v>-2.3132018447321077</v>
          </cell>
          <cell r="H37">
            <v>-2.8639481816298265</v>
          </cell>
          <cell r="I37">
            <v>-1.6860984853859229</v>
          </cell>
          <cell r="J37">
            <v>-1.8448303276619988</v>
          </cell>
          <cell r="K37">
            <v>-0.49145068026544436</v>
          </cell>
          <cell r="M37" t="str">
            <v>Reported EPS</v>
          </cell>
          <cell r="N37">
            <v>9.0341469856740293</v>
          </cell>
          <cell r="O37">
            <v>9.1200000000000045</v>
          </cell>
          <cell r="P37">
            <v>11.686954548233858</v>
          </cell>
          <cell r="Q37">
            <v>17.000540659572593</v>
          </cell>
          <cell r="R37">
            <v>20.802434318222886</v>
          </cell>
          <cell r="S37">
            <v>22.826906305483512</v>
          </cell>
          <cell r="T37">
            <v>24.675284461895998</v>
          </cell>
          <cell r="V37">
            <v>0.30360382565776156</v>
          </cell>
          <cell r="W37">
            <v>0.22026306420934194</v>
          </cell>
        </row>
        <row r="38">
          <cell r="A38" t="str">
            <v>Calculated</v>
          </cell>
          <cell r="B38" t="str">
            <v>Composite</v>
          </cell>
          <cell r="D38" t="str">
            <v>Other</v>
          </cell>
          <cell r="E38">
            <v>5.4390000000000089</v>
          </cell>
          <cell r="F38">
            <v>2.3109999999999822</v>
          </cell>
          <cell r="G38">
            <v>1.1289649016564773</v>
          </cell>
          <cell r="H38">
            <v>0.7023347034425278</v>
          </cell>
          <cell r="I38">
            <v>-0.3658983270843521</v>
          </cell>
          <cell r="J38">
            <v>8.3624855409198062E-2</v>
          </cell>
          <cell r="K38">
            <v>-0.36192997507738056</v>
          </cell>
          <cell r="M38" t="str">
            <v>…change (%)</v>
          </cell>
          <cell r="N38">
            <v>0.12704062670203253</v>
          </cell>
          <cell r="O38">
            <v>9.5031677547550812E-3</v>
          </cell>
          <cell r="P38">
            <v>0.48942955026753765</v>
          </cell>
          <cell r="Q38">
            <v>0.24458095398946456</v>
          </cell>
          <cell r="R38">
            <v>0.19507115003729622</v>
          </cell>
          <cell r="S38">
            <v>0.12983581897808474</v>
          </cell>
          <cell r="T38">
            <v>8.0973660279512638E-2</v>
          </cell>
          <cell r="Y38">
            <v>0.5349529756775937</v>
          </cell>
        </row>
        <row r="39">
          <cell r="A39" t="str">
            <v>Calculated</v>
          </cell>
          <cell r="B39" t="str">
            <v>Calculated</v>
          </cell>
          <cell r="D39" t="str">
            <v>Gross Cashflow</v>
          </cell>
          <cell r="E39">
            <v>13.446000000000014</v>
          </cell>
          <cell r="F39">
            <v>19.878999999999994</v>
          </cell>
          <cell r="G39">
            <v>25.184801063190765</v>
          </cell>
          <cell r="H39">
            <v>27.387630254911382</v>
          </cell>
          <cell r="I39">
            <v>30.794348575173149</v>
          </cell>
          <cell r="J39">
            <v>33.112684891588415</v>
          </cell>
          <cell r="K39">
            <v>35.495383015858827</v>
          </cell>
          <cell r="M39" t="str">
            <v>Reported PE (x)</v>
          </cell>
          <cell r="N39">
            <v>25.90172601476015</v>
          </cell>
          <cell r="O39">
            <v>25.657894736842092</v>
          </cell>
          <cell r="P39">
            <v>17.226658845484376</v>
          </cell>
          <cell r="Q39">
            <v>13.84133253065208</v>
          </cell>
          <cell r="R39">
            <v>11.582015455916675</v>
          </cell>
          <cell r="S39">
            <v>10.251060606657337</v>
          </cell>
          <cell r="T39">
            <v>9.4831733494844546</v>
          </cell>
        </row>
        <row r="40">
          <cell r="A40">
            <v>641</v>
          </cell>
          <cell r="B40" t="str">
            <v>Calculated</v>
          </cell>
          <cell r="D40" t="str">
            <v>Interest paid</v>
          </cell>
          <cell r="E40">
            <v>-3.6270000000000002</v>
          </cell>
          <cell r="F40">
            <v>-2.2610000000000001</v>
          </cell>
          <cell r="G40">
            <v>-1.7018599107631225</v>
          </cell>
          <cell r="H40">
            <v>-1.0633402813617567</v>
          </cell>
          <cell r="I40">
            <v>-0.3076402093576398</v>
          </cell>
          <cell r="J40">
            <v>0.169140875247068</v>
          </cell>
          <cell r="K40">
            <v>0.71430966182826572</v>
          </cell>
          <cell r="M40" t="str">
            <v xml:space="preserve">Normalised EPS (¢) </v>
          </cell>
          <cell r="N40">
            <v>10.447094754367299</v>
          </cell>
          <cell r="O40">
            <v>9.1200000000000045</v>
          </cell>
          <cell r="P40">
            <v>13.58359749843995</v>
          </cell>
          <cell r="Q40">
            <v>16.905886733217297</v>
          </cell>
          <cell r="R40">
            <v>20.203737500666264</v>
          </cell>
          <cell r="S40">
            <v>22.826906305483512</v>
          </cell>
          <cell r="T40">
            <v>24.675284461895998</v>
          </cell>
          <cell r="V40">
            <v>0.30360382565776156</v>
          </cell>
          <cell r="W40">
            <v>0.22026306420934194</v>
          </cell>
        </row>
        <row r="41">
          <cell r="A41">
            <v>643</v>
          </cell>
          <cell r="B41" t="str">
            <v>Composite</v>
          </cell>
          <cell r="D41" t="str">
            <v>Operating Cashflow</v>
          </cell>
          <cell r="E41">
            <v>9.8190000000000133</v>
          </cell>
          <cell r="F41">
            <v>17.617999999999995</v>
          </cell>
          <cell r="G41">
            <v>23.482941152427642</v>
          </cell>
          <cell r="H41">
            <v>26.324289973549625</v>
          </cell>
          <cell r="I41">
            <v>30.48670836581551</v>
          </cell>
          <cell r="J41">
            <v>33.281825766835482</v>
          </cell>
          <cell r="K41">
            <v>36.209692677687094</v>
          </cell>
          <cell r="M41" t="str">
            <v>…change (%)</v>
          </cell>
          <cell r="N41">
            <v>0.3033106764643998</v>
          </cell>
          <cell r="O41">
            <v>-0.12703002945508046</v>
          </cell>
          <cell r="P41">
            <v>0.48942955026753765</v>
          </cell>
          <cell r="Q41">
            <v>0.24458095398946456</v>
          </cell>
          <cell r="R41">
            <v>0.19507115003729622</v>
          </cell>
          <cell r="S41">
            <v>0.12983581897808474</v>
          </cell>
          <cell r="T41">
            <v>8.0973660279512638E-2</v>
          </cell>
          <cell r="Y41">
            <v>-1.9138764258266814</v>
          </cell>
        </row>
        <row r="42">
          <cell r="A42">
            <v>450</v>
          </cell>
          <cell r="B42" t="str">
            <v>Calculated</v>
          </cell>
          <cell r="D42" t="str">
            <v>Capital Expenditure</v>
          </cell>
          <cell r="E42">
            <v>-9.7330000000000005</v>
          </cell>
          <cell r="F42">
            <v>-21.768999999999998</v>
          </cell>
          <cell r="G42">
            <v>-21.574666666666666</v>
          </cell>
          <cell r="H42">
            <v>-13.826700000000001</v>
          </cell>
          <cell r="I42">
            <v>-19.393035000000001</v>
          </cell>
          <cell r="J42">
            <v>-12.487686750000002</v>
          </cell>
          <cell r="K42">
            <v>-13.112071087500002</v>
          </cell>
          <cell r="M42" t="str">
            <v>Normalised PE (x)</v>
          </cell>
          <cell r="N42">
            <v>22.398571612665688</v>
          </cell>
          <cell r="O42">
            <v>25.657894736842092</v>
          </cell>
          <cell r="P42">
            <v>17.226658845484376</v>
          </cell>
          <cell r="Q42">
            <v>13.84133253065208</v>
          </cell>
          <cell r="R42">
            <v>11.582015455916675</v>
          </cell>
          <cell r="S42">
            <v>10.251060606657337</v>
          </cell>
          <cell r="T42">
            <v>9.4831733494844546</v>
          </cell>
        </row>
        <row r="43">
          <cell r="A43" t="str">
            <v>Calculated</v>
          </cell>
          <cell r="B43" t="str">
            <v>mscalc:dilutedEarningsPerShareBeforeOperatingLeaseAdjustments</v>
          </cell>
          <cell r="D43" t="str">
            <v>Free Cash Flow</v>
          </cell>
          <cell r="E43">
            <v>8.6000000000012733E-2</v>
          </cell>
          <cell r="F43">
            <v>-4.1510000000000034</v>
          </cell>
          <cell r="G43">
            <v>1.9082744857609768</v>
          </cell>
          <cell r="H43">
            <v>12.497589973549625</v>
          </cell>
          <cell r="I43">
            <v>11.093673365815508</v>
          </cell>
          <cell r="J43">
            <v>20.79413901683548</v>
          </cell>
          <cell r="K43">
            <v>23.097621590187092</v>
          </cell>
          <cell r="M43" t="str">
            <v>ModelWare EPS</v>
          </cell>
          <cell r="N43">
            <v>10.447094754367301</v>
          </cell>
          <cell r="O43">
            <v>9.1199999999999903</v>
          </cell>
          <cell r="P43">
            <v>13.5835974984399</v>
          </cell>
          <cell r="Q43">
            <v>16.905886733216899</v>
          </cell>
          <cell r="R43">
            <v>20.2037375006662</v>
          </cell>
          <cell r="S43">
            <v>22.826906305483</v>
          </cell>
          <cell r="T43">
            <v>24.675284461896599</v>
          </cell>
        </row>
        <row r="44">
          <cell r="A44" t="str">
            <v>Composite</v>
          </cell>
          <cell r="D44" t="str">
            <v>Acquisitions</v>
          </cell>
          <cell r="E44">
            <v>-10.43</v>
          </cell>
          <cell r="F44">
            <v>-2.79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M44" t="str">
            <v>% chg</v>
          </cell>
          <cell r="N44">
            <v>0.3033106764643998</v>
          </cell>
          <cell r="O44">
            <v>-0.12703002945508202</v>
          </cell>
          <cell r="P44">
            <v>0.48942955026753454</v>
          </cell>
          <cell r="Q44">
            <v>0.24458095398943991</v>
          </cell>
          <cell r="R44">
            <v>0.19507115003732056</v>
          </cell>
          <cell r="S44">
            <v>0.12983581897806307</v>
          </cell>
          <cell r="T44">
            <v>8.0973660279563209E-2</v>
          </cell>
        </row>
        <row r="45">
          <cell r="A45" t="str">
            <v>Composite</v>
          </cell>
          <cell r="B45">
            <v>249</v>
          </cell>
          <cell r="D45" t="str">
            <v>Asset sales</v>
          </cell>
          <cell r="E45">
            <v>0</v>
          </cell>
          <cell r="F45">
            <v>0.79600000000000004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M45" t="str">
            <v xml:space="preserve">DPS (¢) </v>
          </cell>
          <cell r="N45">
            <v>0</v>
          </cell>
          <cell r="O45">
            <v>2</v>
          </cell>
          <cell r="P45">
            <v>2.5</v>
          </cell>
          <cell r="Q45">
            <v>4</v>
          </cell>
          <cell r="R45">
            <v>5</v>
          </cell>
          <cell r="S45">
            <v>6.5</v>
          </cell>
          <cell r="T45">
            <v>7.5</v>
          </cell>
        </row>
        <row r="46">
          <cell r="A46">
            <v>399</v>
          </cell>
          <cell r="B46" t="str">
            <v>Calculated</v>
          </cell>
          <cell r="D46" t="str">
            <v>Equity Issues</v>
          </cell>
          <cell r="E46">
            <v>12.616</v>
          </cell>
          <cell r="F46">
            <v>25.855</v>
          </cell>
          <cell r="G46">
            <v>2.0008500000000002</v>
          </cell>
          <cell r="H46">
            <v>1.1385000000000001</v>
          </cell>
          <cell r="I46">
            <v>4.6371000000000002</v>
          </cell>
          <cell r="J46">
            <v>1.7399000000000002</v>
          </cell>
          <cell r="K46">
            <v>0</v>
          </cell>
          <cell r="M46" t="str">
            <v xml:space="preserve">…Payout </v>
          </cell>
          <cell r="N46">
            <v>0</v>
          </cell>
          <cell r="O46">
            <v>0.21929824561403496</v>
          </cell>
          <cell r="P46">
            <v>0.18404550048594417</v>
          </cell>
          <cell r="Q46">
            <v>0.23660397488294155</v>
          </cell>
          <cell r="R46">
            <v>0.24747896273326228</v>
          </cell>
          <cell r="S46">
            <v>0.28475168351825936</v>
          </cell>
          <cell r="T46">
            <v>0.3039478637655274</v>
          </cell>
          <cell r="Y46">
            <v>6.7462894316705491E-2</v>
          </cell>
        </row>
        <row r="47">
          <cell r="A47">
            <v>402</v>
          </cell>
          <cell r="B47" t="str">
            <v>Calculated</v>
          </cell>
          <cell r="D47" t="str">
            <v>Dividends</v>
          </cell>
          <cell r="E47">
            <v>0</v>
          </cell>
          <cell r="F47">
            <v>0</v>
          </cell>
          <cell r="G47">
            <v>-1.83531</v>
          </cell>
          <cell r="H47">
            <v>-3.2422425000000001</v>
          </cell>
          <cell r="I47">
            <v>-4.2466800000000005</v>
          </cell>
          <cell r="J47">
            <v>-5.2247200000000005</v>
          </cell>
          <cell r="K47">
            <v>-6.6779299999999999</v>
          </cell>
          <cell r="M47" t="str">
            <v>Dividend Yield</v>
          </cell>
          <cell r="N47">
            <v>0</v>
          </cell>
          <cell r="O47">
            <v>8.5470085470085479E-3</v>
          </cell>
          <cell r="P47">
            <v>1.0683760683760686E-2</v>
          </cell>
          <cell r="Q47">
            <v>1.7094017094017096E-2</v>
          </cell>
          <cell r="R47">
            <v>2.1367521367521371E-2</v>
          </cell>
          <cell r="S47">
            <v>2.777777777777778E-2</v>
          </cell>
          <cell r="T47">
            <v>3.2051282051282055E-2</v>
          </cell>
        </row>
        <row r="48">
          <cell r="A48" t="str">
            <v>Calculated</v>
          </cell>
          <cell r="B48" t="str">
            <v>Calculated</v>
          </cell>
          <cell r="D48" t="str">
            <v>Other</v>
          </cell>
          <cell r="E48">
            <v>-18.278000000000013</v>
          </cell>
          <cell r="F48">
            <v>-9.9999999999766942E-4</v>
          </cell>
          <cell r="G48">
            <v>2.3092638912203256E-14</v>
          </cell>
          <cell r="H48">
            <v>2.4868995751603507E-14</v>
          </cell>
          <cell r="I48">
            <v>0</v>
          </cell>
          <cell r="J48">
            <v>0</v>
          </cell>
          <cell r="K48">
            <v>0</v>
          </cell>
          <cell r="M48" t="str">
            <v xml:space="preserve">OpCF/share (¢) </v>
          </cell>
          <cell r="N48">
            <v>12.58959540907372</v>
          </cell>
          <cell r="O48">
            <v>20.175308890004988</v>
          </cell>
          <cell r="P48">
            <v>25.59589549189662</v>
          </cell>
          <cell r="Q48">
            <v>28.389432716454472</v>
          </cell>
          <cell r="R48">
            <v>32.240819622758799</v>
          </cell>
          <cell r="S48">
            <v>34.966044324568223</v>
          </cell>
          <cell r="T48">
            <v>37.956050564143325</v>
          </cell>
        </row>
        <row r="49">
          <cell r="A49">
            <v>434</v>
          </cell>
          <cell r="B49" t="str">
            <v>Calculated</v>
          </cell>
          <cell r="D49" t="str">
            <v xml:space="preserve">Change in Net Debt </v>
          </cell>
          <cell r="E49">
            <v>16.006</v>
          </cell>
          <cell r="F49">
            <v>-19.709</v>
          </cell>
          <cell r="G49">
            <v>-2.0738144857609999</v>
          </cell>
          <cell r="H49">
            <v>-10.39384747354965</v>
          </cell>
          <cell r="I49">
            <v>-11.484093365815502</v>
          </cell>
          <cell r="J49">
            <v>-17.309319016835481</v>
          </cell>
          <cell r="K49">
            <v>-16.419691590187071</v>
          </cell>
          <cell r="M49" t="str">
            <v>P/CFS</v>
          </cell>
          <cell r="N49">
            <v>18.586776810265786</v>
          </cell>
          <cell r="O49">
            <v>11.598335434454016</v>
          </cell>
          <cell r="P49">
            <v>9.1420907728773084</v>
          </cell>
          <cell r="Q49">
            <v>8.2425035518365242</v>
          </cell>
          <cell r="R49">
            <v>7.2578800023687791</v>
          </cell>
          <cell r="S49">
            <v>6.6922068114975293</v>
          </cell>
          <cell r="T49">
            <v>6.1650249834227298</v>
          </cell>
        </row>
        <row r="50">
          <cell r="B50" t="str">
            <v>Calculated</v>
          </cell>
          <cell r="M50" t="str">
            <v>FCF Yield</v>
          </cell>
          <cell r="N50">
            <v>4.712236807499931E-4</v>
          </cell>
          <cell r="O50">
            <v>-2.0314234568378199E-2</v>
          </cell>
          <cell r="P50">
            <v>8.888793658884328E-3</v>
          </cell>
          <cell r="Q50">
            <v>5.7598405764166791E-2</v>
          </cell>
          <cell r="R50">
            <v>5.0136620286286508E-2</v>
          </cell>
          <cell r="S50">
            <v>9.3360774685967082E-2</v>
          </cell>
          <cell r="T50">
            <v>0.10346836400114165</v>
          </cell>
        </row>
        <row r="51">
          <cell r="B51">
            <v>433</v>
          </cell>
          <cell r="M51" t="str">
            <v>Net Debt ($m)</v>
          </cell>
          <cell r="N51">
            <v>32.887999999999998</v>
          </cell>
          <cell r="O51">
            <v>13.178999999999998</v>
          </cell>
          <cell r="P51">
            <v>11.105185514238999</v>
          </cell>
          <cell r="Q51">
            <v>0.71133804068934836</v>
          </cell>
          <cell r="R51">
            <v>-10.772755325126154</v>
          </cell>
          <cell r="S51">
            <v>-28.082074341961636</v>
          </cell>
          <cell r="T51">
            <v>-44.501765932148707</v>
          </cell>
        </row>
        <row r="52">
          <cell r="B52" t="str">
            <v>Calculated</v>
          </cell>
          <cell r="M52" t="str">
            <v>Gearing (ND/ND+equity) (%)</v>
          </cell>
          <cell r="N52">
            <v>0.38164200754279082</v>
          </cell>
          <cell r="O52">
            <v>0.12955517326124355</v>
          </cell>
          <cell r="P52">
            <v>9.9411743934806687E-2</v>
          </cell>
          <cell r="Q52">
            <v>6.1818124410063929E-3</v>
          </cell>
          <cell r="R52">
            <v>-8.8116124859497699E-2</v>
          </cell>
          <cell r="S52">
            <v>-0.22949320563681336</v>
          </cell>
          <cell r="T52">
            <v>-0.36481655143760022</v>
          </cell>
        </row>
        <row r="53">
          <cell r="B53" t="str">
            <v>Calculated</v>
          </cell>
          <cell r="M53" t="str">
            <v>ROE (%)</v>
          </cell>
          <cell r="N53">
            <v>0.18865914932042879</v>
          </cell>
          <cell r="O53">
            <v>0.11230108648904016</v>
          </cell>
          <cell r="P53">
            <v>0.131771371035448</v>
          </cell>
          <cell r="Q53">
            <v>0.14584994991864358</v>
          </cell>
          <cell r="R53">
            <v>0.1544503330045337</v>
          </cell>
          <cell r="S53">
            <v>0.15329225221403822</v>
          </cell>
          <cell r="T53">
            <v>0.14854840021555626</v>
          </cell>
        </row>
        <row r="54">
          <cell r="B54" t="str">
            <v>Calculated</v>
          </cell>
          <cell r="M54" t="str">
            <v>ROIC (%)</v>
          </cell>
          <cell r="N54">
            <v>0.15668499093780572</v>
          </cell>
          <cell r="O54">
            <v>0.10097391914919621</v>
          </cell>
          <cell r="P54">
            <v>0.12770525228987642</v>
          </cell>
          <cell r="Q54">
            <v>0.14468681161372882</v>
          </cell>
          <cell r="R54">
            <v>0.16278938993092978</v>
          </cell>
          <cell r="S54">
            <v>0.1766848851608025</v>
          </cell>
          <cell r="T54">
            <v>0.18863454583567546</v>
          </cell>
          <cell r="V54">
            <v>6.1815470781733578E-2</v>
          </cell>
          <cell r="W54">
            <v>0.37972665668174921</v>
          </cell>
        </row>
        <row r="55">
          <cell r="V55">
            <v>6.1414851467710821E-2</v>
          </cell>
        </row>
        <row r="56">
          <cell r="M56" t="str">
            <v>For Profit Decomposition</v>
          </cell>
        </row>
        <row r="57">
          <cell r="B57">
            <v>27</v>
          </cell>
          <cell r="M57" t="str">
            <v>Total Revenue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</row>
        <row r="58">
          <cell r="B58">
            <v>77</v>
          </cell>
          <cell r="M58" t="str">
            <v>Total Costs</v>
          </cell>
          <cell r="N58">
            <v>-65.867999999999995</v>
          </cell>
          <cell r="O58">
            <v>-76.49199999999999</v>
          </cell>
          <cell r="P58">
            <v>-95.138297618694878</v>
          </cell>
          <cell r="Q58">
            <v>-104.01410574539658</v>
          </cell>
          <cell r="R58">
            <v>-108.51163563880492</v>
          </cell>
          <cell r="S58">
            <v>-115.36272315805256</v>
          </cell>
          <cell r="T58">
            <v>-119.91886882768543</v>
          </cell>
        </row>
        <row r="59">
          <cell r="B59">
            <v>16</v>
          </cell>
          <cell r="M59" t="str">
            <v>Cost of Sales</v>
          </cell>
          <cell r="N59">
            <v>-50.248999999999995</v>
          </cell>
          <cell r="O59">
            <v>-57.536999999999992</v>
          </cell>
          <cell r="P59">
            <v>-72.533554618694865</v>
          </cell>
          <cell r="Q59">
            <v>-79.26952788539657</v>
          </cell>
          <cell r="R59">
            <v>-84.149134664404912</v>
          </cell>
          <cell r="S59">
            <v>-88.941952164164547</v>
          </cell>
          <cell r="T59">
            <v>-91.542066994041903</v>
          </cell>
        </row>
        <row r="62">
          <cell r="M62" t="str">
            <v>Pre-abnormal EPS</v>
          </cell>
          <cell r="N62">
            <v>10.447094754367299</v>
          </cell>
          <cell r="O62">
            <v>9.1200000000000045</v>
          </cell>
          <cell r="P62">
            <v>13.58359749843995</v>
          </cell>
          <cell r="Q62">
            <v>16.905886733217297</v>
          </cell>
          <cell r="R62">
            <v>20.203737500666264</v>
          </cell>
          <cell r="S62">
            <v>22.826906305483512</v>
          </cell>
          <cell r="T62">
            <v>24.675284461895998</v>
          </cell>
        </row>
        <row r="65">
          <cell r="L65">
            <v>12817</v>
          </cell>
          <cell r="M65" t="str">
            <v>Current NPAT (in iQ)</v>
          </cell>
          <cell r="N65" t="e">
            <v>#NAME?</v>
          </cell>
          <cell r="O65" t="e">
            <v>#NAME?</v>
          </cell>
          <cell r="P65" t="e">
            <v>#NAME?</v>
          </cell>
          <cell r="Q65" t="e">
            <v>#NAME?</v>
          </cell>
          <cell r="R65" t="e">
            <v>#NAME?</v>
          </cell>
          <cell r="S65" t="e">
            <v>#NAME?</v>
          </cell>
          <cell r="T65" t="e">
            <v>#NAME?</v>
          </cell>
        </row>
        <row r="66">
          <cell r="M66" t="str">
            <v>New NPAT (in this sheet)</v>
          </cell>
          <cell r="N66">
            <v>8.1479999999999997</v>
          </cell>
          <cell r="O66">
            <v>7.9640000000000164</v>
          </cell>
          <cell r="P66">
            <v>12.462264537496457</v>
          </cell>
          <cell r="Q66">
            <v>15.676095717377819</v>
          </cell>
          <cell r="R66">
            <v>19.104522164427443</v>
          </cell>
          <cell r="S66">
            <v>21.727396768217702</v>
          </cell>
          <cell r="T66">
            <v>23.539974623804163</v>
          </cell>
          <cell r="V66">
            <v>0.25788500719203866</v>
          </cell>
        </row>
        <row r="67">
          <cell r="L67">
            <v>12817</v>
          </cell>
          <cell r="M67" t="str">
            <v>Current NPAT (in iQ)</v>
          </cell>
          <cell r="N67" t="e">
            <v>#NAME?</v>
          </cell>
          <cell r="O67" t="e">
            <v>#NAME?</v>
          </cell>
          <cell r="P67" t="e">
            <v>#NAME?</v>
          </cell>
          <cell r="Q67" t="e">
            <v>#NAME?</v>
          </cell>
          <cell r="R67" t="e">
            <v>#NAME?</v>
          </cell>
          <cell r="S67" t="e">
            <v>#NAME?</v>
          </cell>
          <cell r="T67" t="e">
            <v>#NAME?</v>
          </cell>
        </row>
        <row r="68">
          <cell r="M68" t="str">
            <v>Change</v>
          </cell>
          <cell r="N68" t="e">
            <v>#NAME?</v>
          </cell>
          <cell r="O68" t="e">
            <v>#NAME?</v>
          </cell>
          <cell r="P68" t="e">
            <v>#NAME?</v>
          </cell>
          <cell r="Q68" t="e">
            <v>#NAME?</v>
          </cell>
          <cell r="R68" t="e">
            <v>#NAME?</v>
          </cell>
          <cell r="S68" t="e">
            <v>#NAME?</v>
          </cell>
          <cell r="T68" t="e">
            <v>#NAME?</v>
          </cell>
        </row>
        <row r="70">
          <cell r="L70">
            <v>12774</v>
          </cell>
          <cell r="M70" t="str">
            <v>Current EPS (in iQ)</v>
          </cell>
          <cell r="N70" t="e">
            <v>#NAME?</v>
          </cell>
          <cell r="O70" t="e">
            <v>#NAME?</v>
          </cell>
          <cell r="P70" t="e">
            <v>#NAME?</v>
          </cell>
          <cell r="Q70" t="e">
            <v>#NAME?</v>
          </cell>
          <cell r="R70" t="e">
            <v>#NAME?</v>
          </cell>
          <cell r="S70" t="e">
            <v>#NAME?</v>
          </cell>
          <cell r="T70" t="e">
            <v>#NAME?</v>
          </cell>
        </row>
        <row r="71">
          <cell r="M71" t="str">
            <v>New EPS (in this sheet)</v>
          </cell>
          <cell r="N71">
            <v>10.447094754367299</v>
          </cell>
          <cell r="O71">
            <v>9.1200000000000045</v>
          </cell>
          <cell r="P71">
            <v>13.58359749843995</v>
          </cell>
          <cell r="Q71">
            <v>16.905886733217297</v>
          </cell>
          <cell r="R71">
            <v>20.203737500666264</v>
          </cell>
          <cell r="S71">
            <v>22.826906305483512</v>
          </cell>
          <cell r="T71">
            <v>24.675284461895998</v>
          </cell>
          <cell r="V71">
            <v>0.48942955026753765</v>
          </cell>
          <cell r="W71">
            <v>0.24458095398946456</v>
          </cell>
          <cell r="X71">
            <v>0.19507115003729614</v>
          </cell>
        </row>
        <row r="72">
          <cell r="L72">
            <v>12774</v>
          </cell>
          <cell r="M72" t="str">
            <v>Current EPS (in iQ)</v>
          </cell>
          <cell r="N72" t="e">
            <v>#NAME?</v>
          </cell>
          <cell r="O72" t="e">
            <v>#NAME?</v>
          </cell>
          <cell r="P72" t="e">
            <v>#NAME?</v>
          </cell>
          <cell r="Q72" t="e">
            <v>#NAME?</v>
          </cell>
          <cell r="R72" t="e">
            <v>#NAME?</v>
          </cell>
          <cell r="S72" t="e">
            <v>#NAME?</v>
          </cell>
          <cell r="T72" t="e">
            <v>#NAME?</v>
          </cell>
        </row>
        <row r="73">
          <cell r="M73" t="str">
            <v>Change</v>
          </cell>
          <cell r="N73" t="e">
            <v>#NAME?</v>
          </cell>
          <cell r="O73" t="e">
            <v>#NAME?</v>
          </cell>
          <cell r="P73" t="e">
            <v>#NAME?</v>
          </cell>
          <cell r="Q73" t="e">
            <v>#NAME?</v>
          </cell>
          <cell r="R73" t="e">
            <v>#NAME?</v>
          </cell>
          <cell r="S73" t="e">
            <v>#NAME?</v>
          </cell>
          <cell r="T73" t="e">
            <v>#NAME?</v>
          </cell>
        </row>
        <row r="75">
          <cell r="L75">
            <v>12571</v>
          </cell>
          <cell r="M75" t="str">
            <v>Current DPS (in iQ)</v>
          </cell>
          <cell r="N75" t="e">
            <v>#NAME?</v>
          </cell>
          <cell r="O75" t="e">
            <v>#NAME?</v>
          </cell>
          <cell r="P75" t="e">
            <v>#NAME?</v>
          </cell>
          <cell r="Q75" t="e">
            <v>#NAME?</v>
          </cell>
          <cell r="R75" t="e">
            <v>#NAME?</v>
          </cell>
          <cell r="S75" t="e">
            <v>#NAME?</v>
          </cell>
          <cell r="T75" t="e">
            <v>#NAME?</v>
          </cell>
        </row>
        <row r="76">
          <cell r="M76" t="str">
            <v>New DPS (in this sheet)</v>
          </cell>
          <cell r="N76">
            <v>0</v>
          </cell>
          <cell r="O76">
            <v>2</v>
          </cell>
          <cell r="P76">
            <v>2.5</v>
          </cell>
          <cell r="Q76">
            <v>4</v>
          </cell>
          <cell r="R76">
            <v>5</v>
          </cell>
          <cell r="S76">
            <v>6.5</v>
          </cell>
          <cell r="T76">
            <v>7.5</v>
          </cell>
        </row>
        <row r="77">
          <cell r="L77">
            <v>12571</v>
          </cell>
          <cell r="M77" t="str">
            <v>Current DPS (in iQ)</v>
          </cell>
          <cell r="N77" t="e">
            <v>#NAME?</v>
          </cell>
          <cell r="O77" t="e">
            <v>#NAME?</v>
          </cell>
          <cell r="P77" t="e">
            <v>#NAME?</v>
          </cell>
          <cell r="Q77" t="e">
            <v>#NAME?</v>
          </cell>
          <cell r="R77" t="e">
            <v>#NAME?</v>
          </cell>
          <cell r="S77" t="e">
            <v>#NAME?</v>
          </cell>
          <cell r="T77" t="e">
            <v>#NAME?</v>
          </cell>
        </row>
        <row r="78">
          <cell r="M78" t="str">
            <v>Change</v>
          </cell>
          <cell r="N78" t="e">
            <v>#NAME?</v>
          </cell>
          <cell r="O78" t="e">
            <v>#NAME?</v>
          </cell>
          <cell r="P78" t="e">
            <v>#NAME?</v>
          </cell>
          <cell r="Q78" t="e">
            <v>#NAME?</v>
          </cell>
          <cell r="R78" t="e">
            <v>#NAME?</v>
          </cell>
          <cell r="S78" t="e">
            <v>#NAME?</v>
          </cell>
          <cell r="T78" t="e">
            <v>#NAME?</v>
          </cell>
        </row>
        <row r="81">
          <cell r="M81" t="str">
            <v>Table 4: Monadelphous – Balance Sheet Analysis ($m)</v>
          </cell>
        </row>
        <row r="82">
          <cell r="M82" t="str">
            <v>Table 5: Monadelphous – Earnings Outlook ($m)</v>
          </cell>
        </row>
        <row r="83">
          <cell r="M83" t="str">
            <v>Table 6: Monadelphous – Cash Flow Analysis ($m)</v>
          </cell>
        </row>
        <row r="84">
          <cell r="M84" t="str">
            <v>Table 7: Monadelphous – Ratio Analysis</v>
          </cell>
        </row>
        <row r="86">
          <cell r="M86" t="str">
            <v>Table 2: Monadelphous – Earnings Outlook ($m)</v>
          </cell>
        </row>
        <row r="87">
          <cell r="N87" t="str">
            <v>FY09A</v>
          </cell>
          <cell r="O87" t="str">
            <v>FY10A</v>
          </cell>
          <cell r="P87" t="str">
            <v>FY11E</v>
          </cell>
          <cell r="Q87" t="str">
            <v>FY12E</v>
          </cell>
          <cell r="R87" t="str">
            <v>FY13E</v>
          </cell>
          <cell r="S87" t="str">
            <v>FY14E</v>
          </cell>
          <cell r="T87" t="str">
            <v>FY15E</v>
          </cell>
        </row>
        <row r="88">
          <cell r="M88" t="str">
            <v>Sales Revenue</v>
          </cell>
          <cell r="N88">
            <v>88.197999999999993</v>
          </cell>
          <cell r="O88">
            <v>98.686000000000007</v>
          </cell>
          <cell r="P88">
            <v>126.66972000000001</v>
          </cell>
          <cell r="Q88">
            <v>140.4231144</v>
          </cell>
          <cell r="R88">
            <v>149.54003897600001</v>
          </cell>
          <cell r="S88">
            <v>160.03083975552002</v>
          </cell>
          <cell r="T88">
            <v>166.43207334574083</v>
          </cell>
        </row>
        <row r="89">
          <cell r="M89" t="str">
            <v>% chg</v>
          </cell>
          <cell r="N89">
            <v>1.6210401188707282</v>
          </cell>
          <cell r="O89">
            <v>0.1189142610943561</v>
          </cell>
          <cell r="P89">
            <v>0.2835632207202643</v>
          </cell>
          <cell r="Q89">
            <v>0.10857681220105309</v>
          </cell>
          <cell r="R89">
            <v>6.4924671518323818E-2</v>
          </cell>
          <cell r="S89">
            <v>7.0153791929957299E-2</v>
          </cell>
          <cell r="T89">
            <v>4.0000000000000036E-2</v>
          </cell>
        </row>
        <row r="90">
          <cell r="M90" t="str">
            <v>EBITDA</v>
          </cell>
          <cell r="N90">
            <v>22.512</v>
          </cell>
          <cell r="O90">
            <v>23.060000000000016</v>
          </cell>
          <cell r="P90">
            <v>31.531422381305134</v>
          </cell>
          <cell r="Q90">
            <v>36.409008654603426</v>
          </cell>
          <cell r="R90">
            <v>41.028403337195087</v>
          </cell>
          <cell r="S90">
            <v>44.66811659746746</v>
          </cell>
          <cell r="T90">
            <v>46.513204518055403</v>
          </cell>
        </row>
        <row r="91">
          <cell r="M91" t="str">
            <v>Depreciation</v>
          </cell>
          <cell r="N91">
            <v>-7.577</v>
          </cell>
          <cell r="O91">
            <v>-8.9719999999999995</v>
          </cell>
          <cell r="P91">
            <v>-11.640878459663284</v>
          </cell>
          <cell r="Q91">
            <v>-12.50614243780165</v>
          </cell>
          <cell r="R91">
            <v>-13.068284686773991</v>
          </cell>
          <cell r="S91">
            <v>-13.399259326279772</v>
          </cell>
          <cell r="T91">
            <v>-13.161168734148363</v>
          </cell>
        </row>
        <row r="92">
          <cell r="M92" t="str">
            <v>EBIT</v>
          </cell>
          <cell r="N92">
            <v>14.935</v>
          </cell>
          <cell r="O92">
            <v>14.088000000000017</v>
          </cell>
          <cell r="P92">
            <v>19.89054392164185</v>
          </cell>
          <cell r="Q92">
            <v>23.902866216801776</v>
          </cell>
          <cell r="R92">
            <v>27.960118650421094</v>
          </cell>
          <cell r="S92">
            <v>31.268857271187688</v>
          </cell>
          <cell r="T92">
            <v>33.352035783907041</v>
          </cell>
        </row>
        <row r="93">
          <cell r="M93" t="str">
            <v>% chg</v>
          </cell>
          <cell r="N93">
            <v>0.48267646182865143</v>
          </cell>
          <cell r="O93">
            <v>-5.6712420488783666E-2</v>
          </cell>
          <cell r="P93">
            <v>0.41187847257537102</v>
          </cell>
          <cell r="Q93">
            <v>0.20172008925277951</v>
          </cell>
          <cell r="R93">
            <v>0.16973916001619083</v>
          </cell>
          <cell r="S93">
            <v>0.11833778898204939</v>
          </cell>
          <cell r="T93">
            <v>6.6621510810338291E-2</v>
          </cell>
        </row>
        <row r="94">
          <cell r="M94" t="str">
            <v>Net Interest (Expense)/Income</v>
          </cell>
          <cell r="N94">
            <v>-3.5260000000000002</v>
          </cell>
          <cell r="O94">
            <v>-2.2610000000000001</v>
          </cell>
          <cell r="P94">
            <v>-1.7018599107631225</v>
          </cell>
          <cell r="Q94">
            <v>-1.0633402813617567</v>
          </cell>
          <cell r="R94">
            <v>-0.3076402093576398</v>
          </cell>
          <cell r="S94">
            <v>0.169140875247068</v>
          </cell>
          <cell r="T94">
            <v>0.71430966182826572</v>
          </cell>
        </row>
        <row r="95">
          <cell r="M95" t="str">
            <v>Op. Profit before Tax</v>
          </cell>
          <cell r="N95">
            <v>11.409000000000001</v>
          </cell>
          <cell r="O95">
            <v>11.827000000000016</v>
          </cell>
          <cell r="P95">
            <v>18.188684010878728</v>
          </cell>
          <cell r="Q95">
            <v>22.839525935440019</v>
          </cell>
          <cell r="R95">
            <v>27.652478441063455</v>
          </cell>
          <cell r="S95">
            <v>31.437998146434754</v>
          </cell>
          <cell r="T95">
            <v>34.066345445735308</v>
          </cell>
        </row>
        <row r="96">
          <cell r="M96" t="str">
            <v>Tax Expense</v>
          </cell>
          <cell r="N96">
            <v>-3.2610000000000001</v>
          </cell>
          <cell r="O96">
            <v>-3.863</v>
          </cell>
          <cell r="P96">
            <v>-5.7264194733822702</v>
          </cell>
          <cell r="Q96">
            <v>-7.1634302180621994</v>
          </cell>
          <cell r="R96">
            <v>-8.5479562766360129</v>
          </cell>
          <cell r="S96">
            <v>-9.7106013782170528</v>
          </cell>
          <cell r="T96">
            <v>-10.526370821931147</v>
          </cell>
        </row>
        <row r="97">
          <cell r="M97" t="str">
            <v>Op. Profit after tax</v>
          </cell>
          <cell r="N97">
            <v>8.1479999999999997</v>
          </cell>
          <cell r="O97">
            <v>7.9640000000000164</v>
          </cell>
          <cell r="P97">
            <v>12.462264537496457</v>
          </cell>
          <cell r="Q97">
            <v>15.676095717377819</v>
          </cell>
          <cell r="R97">
            <v>19.104522164427443</v>
          </cell>
          <cell r="S97">
            <v>21.727396768217702</v>
          </cell>
          <cell r="T97">
            <v>23.539974623804163</v>
          </cell>
        </row>
        <row r="98">
          <cell r="M98" t="str">
            <v>Significant items</v>
          </cell>
          <cell r="N98">
            <v>-1.1020000000000001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</row>
        <row r="99">
          <cell r="M99" t="str">
            <v>Reported NPAT</v>
          </cell>
          <cell r="N99">
            <v>7.0459999999999994</v>
          </cell>
          <cell r="O99">
            <v>7.9640000000000164</v>
          </cell>
          <cell r="P99">
            <v>12.462264537496457</v>
          </cell>
          <cell r="Q99">
            <v>15.676095717377819</v>
          </cell>
          <cell r="R99">
            <v>19.104522164427443</v>
          </cell>
          <cell r="S99">
            <v>21.727396768217702</v>
          </cell>
          <cell r="T99">
            <v>23.539974623804163</v>
          </cell>
        </row>
        <row r="100">
          <cell r="M100" t="str">
            <v>Normalised NPAT</v>
          </cell>
          <cell r="N100">
            <v>8.1479999999999997</v>
          </cell>
          <cell r="O100">
            <v>7.9640000000000164</v>
          </cell>
          <cell r="P100">
            <v>12.462264537496457</v>
          </cell>
          <cell r="Q100">
            <v>15.676095717377819</v>
          </cell>
          <cell r="R100">
            <v>19.104522164427443</v>
          </cell>
          <cell r="S100">
            <v>21.727396768217702</v>
          </cell>
          <cell r="T100">
            <v>23.539974623804163</v>
          </cell>
        </row>
        <row r="101">
          <cell r="M101" t="str">
            <v>% chg</v>
          </cell>
          <cell r="N101">
            <v>0.44110364343827468</v>
          </cell>
          <cell r="O101">
            <v>-2.2582228767793699E-2</v>
          </cell>
          <cell r="P101">
            <v>0.56482477869116421</v>
          </cell>
          <cell r="Q101">
            <v>0.25788500719203866</v>
          </cell>
          <cell r="R101">
            <v>0.21870410265797391</v>
          </cell>
          <cell r="S101">
            <v>0.13729077237399023</v>
          </cell>
          <cell r="T101">
            <v>8.3423609138387755E-2</v>
          </cell>
        </row>
        <row r="102">
          <cell r="M102" t="str">
            <v>Source: Company data, Merrill Lynch estimates</v>
          </cell>
        </row>
        <row r="104">
          <cell r="N104" t="str">
            <v>FY10A</v>
          </cell>
          <cell r="O104" t="str">
            <v>FY11E</v>
          </cell>
          <cell r="P104" t="str">
            <v>FY12E</v>
          </cell>
          <cell r="Q104" t="str">
            <v>FY13E</v>
          </cell>
        </row>
        <row r="105">
          <cell r="M105" t="str">
            <v>Sales Revenue</v>
          </cell>
          <cell r="N105">
            <v>98.686000000000007</v>
          </cell>
          <cell r="O105">
            <v>126.66972000000001</v>
          </cell>
          <cell r="P105">
            <v>140.4231144</v>
          </cell>
          <cell r="Q105">
            <v>149.54003897600001</v>
          </cell>
        </row>
        <row r="106">
          <cell r="M106" t="str">
            <v>% chg</v>
          </cell>
          <cell r="N106">
            <v>0.1189142610943561</v>
          </cell>
          <cell r="O106">
            <v>0.2835632207202643</v>
          </cell>
          <cell r="P106">
            <v>0.10857681220105309</v>
          </cell>
          <cell r="Q106">
            <v>6.4924671518323818E-2</v>
          </cell>
        </row>
        <row r="107">
          <cell r="M107" t="str">
            <v>EBITDA Margin</v>
          </cell>
          <cell r="N107">
            <v>0.23367042944287958</v>
          </cell>
          <cell r="O107">
            <v>0.24892628152414903</v>
          </cell>
          <cell r="P107">
            <v>0.25928073743537072</v>
          </cell>
          <cell r="Q107">
            <v>0.27436400055893939</v>
          </cell>
        </row>
        <row r="108">
          <cell r="M108" t="str">
            <v>EBITDA</v>
          </cell>
          <cell r="N108">
            <v>23.060000000000016</v>
          </cell>
          <cell r="O108">
            <v>31.531422381305134</v>
          </cell>
          <cell r="P108">
            <v>36.409008654603426</v>
          </cell>
          <cell r="Q108">
            <v>41.028403337195087</v>
          </cell>
        </row>
        <row r="109">
          <cell r="M109" t="str">
            <v>EBIT Margin</v>
          </cell>
          <cell r="N109">
            <v>0.14275581136128748</v>
          </cell>
          <cell r="O109">
            <v>0.15702682473476573</v>
          </cell>
          <cell r="P109">
            <v>0.17022031108577787</v>
          </cell>
          <cell r="Q109">
            <v>0.18697412975068484</v>
          </cell>
        </row>
        <row r="110">
          <cell r="M110" t="str">
            <v>EBIT</v>
          </cell>
          <cell r="N110">
            <v>19.89054392164185</v>
          </cell>
          <cell r="O110">
            <v>23.902866216801776</v>
          </cell>
          <cell r="P110">
            <v>27.960118650421094</v>
          </cell>
          <cell r="Q110">
            <v>31.268857271187688</v>
          </cell>
        </row>
        <row r="111">
          <cell r="M111" t="str">
            <v>NPAT</v>
          </cell>
          <cell r="N111">
            <v>7.9640000000000164</v>
          </cell>
          <cell r="O111">
            <v>12.462264537496457</v>
          </cell>
          <cell r="P111">
            <v>15.676095717377819</v>
          </cell>
          <cell r="Q111">
            <v>19.104522164427443</v>
          </cell>
        </row>
        <row r="112">
          <cell r="M112" t="str">
            <v>EPS</v>
          </cell>
          <cell r="N112">
            <v>9.1200000000000045</v>
          </cell>
          <cell r="O112">
            <v>13.58359749843995</v>
          </cell>
          <cell r="P112">
            <v>16.905886733217297</v>
          </cell>
          <cell r="Q112">
            <v>20.203737500666264</v>
          </cell>
        </row>
        <row r="113">
          <cell r="M113" t="str">
            <v>EPS growth</v>
          </cell>
          <cell r="N113">
            <v>9.5031677547550812E-3</v>
          </cell>
          <cell r="O113">
            <v>0.48942955026753765</v>
          </cell>
          <cell r="P113">
            <v>0.24458095398946456</v>
          </cell>
          <cell r="Q113">
            <v>0.19507115003729622</v>
          </cell>
        </row>
        <row r="114">
          <cell r="M114" t="str">
            <v>P/E</v>
          </cell>
          <cell r="N114">
            <v>25.657894736842092</v>
          </cell>
          <cell r="O114">
            <v>17.226658845484376</v>
          </cell>
          <cell r="P114">
            <v>13.84133253065208</v>
          </cell>
          <cell r="Q114">
            <v>11.582015455916675</v>
          </cell>
        </row>
        <row r="115">
          <cell r="M115" t="str">
            <v>Yield</v>
          </cell>
          <cell r="N115">
            <v>8.5470085470085479E-3</v>
          </cell>
          <cell r="O115">
            <v>1.0683760683760686E-2</v>
          </cell>
          <cell r="P115">
            <v>1.7094017094017096E-2</v>
          </cell>
          <cell r="Q115">
            <v>2.1367521367521371E-2</v>
          </cell>
        </row>
        <row r="117">
          <cell r="M117" t="str">
            <v>NPAT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</row>
        <row r="118">
          <cell r="M118" t="str">
            <v>% chg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</row>
        <row r="119">
          <cell r="M119" t="str">
            <v>EPS</v>
          </cell>
          <cell r="N119">
            <v>0.12704062670203253</v>
          </cell>
          <cell r="O119">
            <v>9.5031677547550812E-3</v>
          </cell>
          <cell r="P119">
            <v>0.48942955026753765</v>
          </cell>
          <cell r="Q119">
            <v>0.24458095398946456</v>
          </cell>
          <cell r="R119">
            <v>0.19507115003729622</v>
          </cell>
        </row>
        <row r="120">
          <cell r="M120" t="str">
            <v>DPS</v>
          </cell>
          <cell r="N120">
            <v>0</v>
          </cell>
          <cell r="O120">
            <v>0.21929824561403496</v>
          </cell>
          <cell r="P120">
            <v>0.18404550048594417</v>
          </cell>
          <cell r="Q120">
            <v>0.23660397488294155</v>
          </cell>
          <cell r="R120">
            <v>0.24747896273326228</v>
          </cell>
        </row>
        <row r="121">
          <cell r="M121" t="str">
            <v>Source: Company data, Merrill Lynch estimates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>
        <row r="3">
          <cell r="B3" t="str">
            <v>TOX DCF Valuation (June YE, $Am)</v>
          </cell>
          <cell r="C3" t="str">
            <v>FY08</v>
          </cell>
          <cell r="D3" t="str">
            <v>FY09</v>
          </cell>
          <cell r="E3" t="str">
            <v>FY10</v>
          </cell>
          <cell r="F3" t="str">
            <v>FY11</v>
          </cell>
          <cell r="G3" t="str">
            <v>FY12</v>
          </cell>
          <cell r="H3" t="str">
            <v>FY13</v>
          </cell>
          <cell r="I3" t="str">
            <v>FY14</v>
          </cell>
          <cell r="J3" t="str">
            <v>FY15</v>
          </cell>
          <cell r="K3" t="str">
            <v>FY16</v>
          </cell>
          <cell r="L3" t="str">
            <v>FY17</v>
          </cell>
          <cell r="M3" t="str">
            <v>FY18</v>
          </cell>
          <cell r="N3" t="str">
            <v>FY19</v>
          </cell>
          <cell r="O3" t="str">
            <v>FY20</v>
          </cell>
          <cell r="P3" t="str">
            <v>FY21</v>
          </cell>
        </row>
        <row r="4">
          <cell r="B4" t="str">
            <v>Sales</v>
          </cell>
          <cell r="C4">
            <v>33.65</v>
          </cell>
          <cell r="D4">
            <v>88.197999999999993</v>
          </cell>
          <cell r="E4">
            <v>98.686000000000007</v>
          </cell>
          <cell r="F4">
            <v>126.66972000000001</v>
          </cell>
          <cell r="G4">
            <v>140.4231144</v>
          </cell>
          <cell r="H4">
            <v>149.54003897600001</v>
          </cell>
          <cell r="I4">
            <v>160.03083975552002</v>
          </cell>
          <cell r="J4">
            <v>166.43207334574083</v>
          </cell>
          <cell r="K4">
            <v>172.95066288511569</v>
          </cell>
          <cell r="L4">
            <v>179.58043829571179</v>
          </cell>
          <cell r="M4">
            <v>186.31470473180099</v>
          </cell>
          <cell r="N4">
            <v>193.14624390530034</v>
          </cell>
          <cell r="O4">
            <v>200.06731764524028</v>
          </cell>
          <cell r="P4">
            <v>207.06967376282367</v>
          </cell>
        </row>
        <row r="5">
          <cell r="C5">
            <v>88.197999999999993</v>
          </cell>
          <cell r="D5">
            <v>98.686000000000007</v>
          </cell>
          <cell r="E5">
            <v>126.66972000000001</v>
          </cell>
          <cell r="F5">
            <v>140.4231144</v>
          </cell>
          <cell r="G5">
            <v>149.54003897600001</v>
          </cell>
        </row>
        <row r="6">
          <cell r="B6" t="str">
            <v>% Chg</v>
          </cell>
          <cell r="D6">
            <v>1.6210401188707282</v>
          </cell>
          <cell r="E6">
            <v>0.1189142610943561</v>
          </cell>
          <cell r="F6">
            <v>0.2835632207202643</v>
          </cell>
          <cell r="G6">
            <v>0.10857681220105309</v>
          </cell>
          <cell r="H6">
            <v>6.4924671518323818E-2</v>
          </cell>
          <cell r="I6">
            <v>7.0153791929957299E-2</v>
          </cell>
          <cell r="J6">
            <v>4.0000000000000036E-2</v>
          </cell>
          <cell r="K6">
            <v>3.9166666666666794E-2</v>
          </cell>
          <cell r="L6">
            <v>3.833333333333333E-2</v>
          </cell>
          <cell r="M6">
            <v>3.7500000000000089E-2</v>
          </cell>
          <cell r="N6">
            <v>3.6666666666666625E-2</v>
          </cell>
          <cell r="O6">
            <v>3.5833333333333384E-2</v>
          </cell>
          <cell r="P6">
            <v>3.499999999999992E-2</v>
          </cell>
        </row>
        <row r="7">
          <cell r="B7" t="str">
            <v>EBIT Margin</v>
          </cell>
          <cell r="C7">
            <v>0.44383358098068354</v>
          </cell>
          <cell r="D7">
            <v>0.15973151318624026</v>
          </cell>
          <cell r="E7">
            <v>0.20155385689603236</v>
          </cell>
          <cell r="F7">
            <v>0.18870228983534323</v>
          </cell>
          <cell r="G7">
            <v>0.1991133637071725</v>
          </cell>
          <cell r="H7">
            <v>0.21089697847120958</v>
          </cell>
          <cell r="I7">
            <v>0.21774728580132902</v>
          </cell>
          <cell r="J7">
            <v>0.22188907925983201</v>
          </cell>
          <cell r="K7">
            <v>0.22812066198496267</v>
          </cell>
          <cell r="L7">
            <v>0.23439875473512833</v>
          </cell>
          <cell r="M7">
            <v>0.24072044969621684</v>
          </cell>
          <cell r="N7">
            <v>0.24708304705287282</v>
          </cell>
          <cell r="O7">
            <v>0.25348403910498413</v>
          </cell>
          <cell r="P7">
            <v>0.25992109569470168</v>
          </cell>
        </row>
        <row r="8">
          <cell r="B8" t="str">
            <v>EBIT</v>
          </cell>
          <cell r="C8">
            <v>14.935</v>
          </cell>
          <cell r="D8">
            <v>14.088000000000017</v>
          </cell>
          <cell r="E8">
            <v>19.89054392164185</v>
          </cell>
          <cell r="F8">
            <v>23.902866216801776</v>
          </cell>
          <cell r="G8">
            <v>27.960118650421094</v>
          </cell>
          <cell r="H8">
            <v>31.537542380505315</v>
          </cell>
          <cell r="I8">
            <v>34.846281001271905</v>
          </cell>
          <cell r="J8">
            <v>36.929459513991262</v>
          </cell>
          <cell r="K8">
            <v>39.453619708090706</v>
          </cell>
          <cell r="L8">
            <v>42.093431111303396</v>
          </cell>
          <cell r="M8">
            <v>44.849759508056991</v>
          </cell>
          <cell r="N8">
            <v>47.723162470938973</v>
          </cell>
          <cell r="O8">
            <v>50.713871769615366</v>
          </cell>
          <cell r="P8">
            <v>53.821776489577552</v>
          </cell>
        </row>
        <row r="9">
          <cell r="C9">
            <v>10.072999999999997</v>
          </cell>
          <cell r="D9">
            <v>14.935</v>
          </cell>
          <cell r="E9">
            <v>14.088000000000017</v>
          </cell>
          <cell r="F9">
            <v>19.89054392164185</v>
          </cell>
          <cell r="G9">
            <v>23.902866216801776</v>
          </cell>
          <cell r="H9">
            <v>3.5774237300842193</v>
          </cell>
          <cell r="I9">
            <v>3.5774237300842193</v>
          </cell>
          <cell r="J9">
            <v>3.5774237300842193</v>
          </cell>
          <cell r="K9">
            <v>3.5774237300842193</v>
          </cell>
          <cell r="L9">
            <v>3.5774237300842193</v>
          </cell>
          <cell r="M9">
            <v>3.5774237300842193</v>
          </cell>
          <cell r="N9">
            <v>3.5774237300842193</v>
          </cell>
          <cell r="O9">
            <v>3.5774237300842193</v>
          </cell>
          <cell r="P9">
            <v>3.5774237300842193</v>
          </cell>
        </row>
        <row r="10">
          <cell r="B10" t="str">
            <v>% Chg</v>
          </cell>
          <cell r="D10">
            <v>-5.6712420488783666E-2</v>
          </cell>
          <cell r="E10">
            <v>0.41187847257537102</v>
          </cell>
          <cell r="F10">
            <v>0.20172008925277951</v>
          </cell>
          <cell r="G10">
            <v>0.16973916001619083</v>
          </cell>
          <cell r="H10">
            <v>0.12794737299980463</v>
          </cell>
          <cell r="I10">
            <v>0.10491428218616883</v>
          </cell>
          <cell r="J10">
            <v>5.9781946677274433E-2</v>
          </cell>
          <cell r="K10">
            <v>6.8350856668864202E-2</v>
          </cell>
          <cell r="L10">
            <v>6.6909232226196602E-2</v>
          </cell>
          <cell r="M10">
            <v>6.548120036747096E-2</v>
          </cell>
          <cell r="N10">
            <v>6.4067299231912012E-2</v>
          </cell>
          <cell r="O10">
            <v>6.2667877479779088E-2</v>
          </cell>
          <cell r="P10">
            <v>6.1283128491566918E-2</v>
          </cell>
        </row>
        <row r="11">
          <cell r="B11" t="str">
            <v>Less: Tax</v>
          </cell>
          <cell r="C11">
            <v>-2.569</v>
          </cell>
          <cell r="D11">
            <v>-5.0979999999999999</v>
          </cell>
          <cell r="E11">
            <v>-4.1970000000000001</v>
          </cell>
          <cell r="F11">
            <v>-5.1623843750387408</v>
          </cell>
          <cell r="G11">
            <v>-6.8597649215047447</v>
          </cell>
          <cell r="H11">
            <v>-8.1820579495516625</v>
          </cell>
          <cell r="I11">
            <v>-9.7942262336262438</v>
          </cell>
          <cell r="J11">
            <v>-10.164440846853747</v>
          </cell>
          <cell r="K11">
            <v>-10.700471704267418</v>
          </cell>
          <cell r="L11">
            <v>-11.294958220311162</v>
          </cell>
          <cell r="M11">
            <v>-11.948315204886651</v>
          </cell>
          <cell r="N11">
            <v>-12.662048407516574</v>
          </cell>
          <cell r="O11">
            <v>-13.438808277594736</v>
          </cell>
          <cell r="P11">
            <v>-14.282513885994366</v>
          </cell>
        </row>
        <row r="12">
          <cell r="B12" t="str">
            <v>Add: D&amp;A</v>
          </cell>
          <cell r="C12">
            <v>2.8340000000000001</v>
          </cell>
          <cell r="D12">
            <v>7.577</v>
          </cell>
          <cell r="E12">
            <v>8.9719999999999995</v>
          </cell>
          <cell r="F12">
            <v>11.640878459663284</v>
          </cell>
          <cell r="G12">
            <v>12.50614243780165</v>
          </cell>
          <cell r="H12">
            <v>13.068284686773991</v>
          </cell>
          <cell r="I12">
            <v>13.399259326279772</v>
          </cell>
          <cell r="J12">
            <v>13.161168734148363</v>
          </cell>
          <cell r="K12">
            <v>13.0899238823216</v>
          </cell>
          <cell r="L12">
            <v>13.17052507440952</v>
          </cell>
          <cell r="M12">
            <v>13.404004725608345</v>
          </cell>
          <cell r="N12">
            <v>13.79669568028093</v>
          </cell>
          <cell r="O12">
            <v>14.360494813767541</v>
          </cell>
          <cell r="P12">
            <v>15.113446987735699</v>
          </cell>
        </row>
        <row r="13">
          <cell r="B13" t="str">
            <v>Working Capital Change</v>
          </cell>
          <cell r="C13">
            <v>-3.3489999999999989</v>
          </cell>
          <cell r="D13">
            <v>-9.4069999999999965</v>
          </cell>
          <cell r="E13">
            <v>-1.2950000000000035</v>
          </cell>
          <cell r="F13">
            <v>-2.3132018447321077</v>
          </cell>
          <cell r="G13">
            <v>-2.8639481816298265</v>
          </cell>
          <cell r="H13">
            <v>-1.6860984853859229</v>
          </cell>
          <cell r="I13">
            <v>-2.8639481816298265</v>
          </cell>
          <cell r="J13">
            <v>-1.6860984853859229</v>
          </cell>
          <cell r="K13">
            <v>-1.8448303276619988</v>
          </cell>
          <cell r="L13">
            <v>-0.49145068026544436</v>
          </cell>
          <cell r="M13">
            <v>-2.8300333077277742</v>
          </cell>
          <cell r="N13">
            <v>-0.96634397489976109</v>
          </cell>
          <cell r="O13">
            <v>-0.97584666514096341</v>
          </cell>
          <cell r="P13">
            <v>-0.98404865125103314</v>
          </cell>
        </row>
        <row r="14">
          <cell r="B14" t="str">
            <v>Less Capex</v>
          </cell>
          <cell r="C14">
            <v>-8.32</v>
          </cell>
          <cell r="D14">
            <v>-9.7330000000000005</v>
          </cell>
          <cell r="E14">
            <v>-21.768999999999998</v>
          </cell>
          <cell r="F14">
            <v>-21.574666666666666</v>
          </cell>
          <cell r="G14">
            <v>-13.826700000000001</v>
          </cell>
          <cell r="H14">
            <v>-19.393035000000001</v>
          </cell>
          <cell r="I14">
            <v>-12.487686750000002</v>
          </cell>
          <cell r="J14">
            <v>-13.112071087500002</v>
          </cell>
          <cell r="K14">
            <v>-13.94330669363065</v>
          </cell>
          <cell r="L14">
            <v>-14.807657319150636</v>
          </cell>
          <cell r="M14">
            <v>-15.705171315967835</v>
          </cell>
          <cell r="N14">
            <v>-16.635802762638502</v>
          </cell>
          <cell r="O14">
            <v>-17.599406970133785</v>
          </cell>
          <cell r="P14">
            <v>-18.595736233886729</v>
          </cell>
        </row>
        <row r="15">
          <cell r="B15" t="str">
            <v>Capex/D&amp;A</v>
          </cell>
          <cell r="C15">
            <v>2.9357798165137616</v>
          </cell>
          <cell r="D15">
            <v>1.2845453345651314</v>
          </cell>
          <cell r="E15">
            <v>2.426326348640214</v>
          </cell>
          <cell r="F15">
            <v>1.8533538290451939</v>
          </cell>
          <cell r="G15">
            <v>1.1055927172400317</v>
          </cell>
          <cell r="H15">
            <v>1.4839770838193551</v>
          </cell>
          <cell r="I15">
            <v>0.93196843541255181</v>
          </cell>
          <cell r="J15">
            <v>0.99626950709012863</v>
          </cell>
          <cell r="K15">
            <v>1.0651938711776294</v>
          </cell>
          <cell r="L15">
            <v>1.1243027317052137</v>
          </cell>
          <cell r="M15">
            <v>1.1716775424558834</v>
          </cell>
          <cell r="N15">
            <v>1.2057816703470088</v>
          </cell>
          <cell r="O15">
            <v>1.2255432141001903</v>
          </cell>
          <cell r="P15">
            <v>1.2304099950843013</v>
          </cell>
        </row>
        <row r="16">
          <cell r="B16" t="str">
            <v>Free Cash Flow</v>
          </cell>
          <cell r="C16">
            <v>3.5310000000000006</v>
          </cell>
          <cell r="D16">
            <v>-2.5729999999999826</v>
          </cell>
          <cell r="E16">
            <v>1.6015439216418486</v>
          </cell>
          <cell r="F16">
            <v>6.4934917900275479</v>
          </cell>
          <cell r="G16">
            <v>16.915847985088178</v>
          </cell>
          <cell r="H16">
            <v>15.344635632341717</v>
          </cell>
          <cell r="I16">
            <v>23.099679162295608</v>
          </cell>
          <cell r="J16">
            <v>25.128017828399958</v>
          </cell>
          <cell r="K16">
            <v>26.054934864852239</v>
          </cell>
          <cell r="L16">
            <v>28.669889965985675</v>
          </cell>
          <cell r="M16">
            <v>27.770244405083073</v>
          </cell>
          <cell r="N16">
            <v>31.255663006165069</v>
          </cell>
          <cell r="O16">
            <v>33.060304670513418</v>
          </cell>
          <cell r="P16">
            <v>35.072924706181126</v>
          </cell>
        </row>
        <row r="17">
          <cell r="B17" t="str">
            <v>% Chg</v>
          </cell>
        </row>
        <row r="19">
          <cell r="B19" t="str">
            <v>WACC Assumptions</v>
          </cell>
          <cell r="N19" t="str">
            <v>DCF Valuation</v>
          </cell>
        </row>
        <row r="20">
          <cell r="B20" t="str">
            <v>Risk Free Rate</v>
          </cell>
          <cell r="C20">
            <v>6.25E-2</v>
          </cell>
          <cell r="N20" t="str">
            <v>Terminal Growth rate (%)</v>
          </cell>
          <cell r="P20">
            <v>3.5000000000000003E-2</v>
          </cell>
        </row>
        <row r="21">
          <cell r="B21" t="str">
            <v>Market Risk Premium</v>
          </cell>
          <cell r="C21">
            <v>5.2499999999999998E-2</v>
          </cell>
          <cell r="N21" t="str">
            <v>Firm Value</v>
          </cell>
          <cell r="P21">
            <v>282.52383892733957</v>
          </cell>
        </row>
        <row r="22">
          <cell r="B22" t="str">
            <v>Equity Beta</v>
          </cell>
          <cell r="C22">
            <v>0.88</v>
          </cell>
          <cell r="N22" t="str">
            <v>Less Net Debt</v>
          </cell>
          <cell r="P22">
            <v>13.178999999999998</v>
          </cell>
        </row>
        <row r="23">
          <cell r="B23" t="str">
            <v>Cost of Equity</v>
          </cell>
          <cell r="C23">
            <v>0.10869999999999999</v>
          </cell>
          <cell r="N23" t="str">
            <v>Net Firm Value</v>
          </cell>
          <cell r="P23">
            <v>295.70283892733954</v>
          </cell>
        </row>
        <row r="24">
          <cell r="B24" t="str">
            <v>Cost of Debt</v>
          </cell>
          <cell r="C24">
            <v>7.2499999999999995E-2</v>
          </cell>
        </row>
        <row r="25">
          <cell r="B25" t="str">
            <v>Cash Tax Rate</v>
          </cell>
          <cell r="C25">
            <v>0.28968504963771546</v>
          </cell>
          <cell r="N25" t="str">
            <v>Shares on Issue (m)</v>
          </cell>
          <cell r="P25">
            <v>91.765500000000003</v>
          </cell>
        </row>
        <row r="26">
          <cell r="B26" t="str">
            <v>WACC</v>
          </cell>
          <cell r="N26" t="str">
            <v>DCF Value A$/share</v>
          </cell>
          <cell r="P26">
            <v>2.9351427162423742</v>
          </cell>
        </row>
        <row r="33">
          <cell r="B33" t="str">
            <v>FY10E</v>
          </cell>
          <cell r="C33">
            <v>2.25</v>
          </cell>
          <cell r="D33">
            <v>2.5</v>
          </cell>
          <cell r="E33">
            <v>2.75</v>
          </cell>
          <cell r="F33">
            <v>3</v>
          </cell>
          <cell r="G33">
            <v>3.25</v>
          </cell>
          <cell r="H33">
            <v>3.5</v>
          </cell>
          <cell r="J33" t="str">
            <v>Price</v>
          </cell>
          <cell r="K33">
            <v>2.34</v>
          </cell>
          <cell r="O33" t="str">
            <v>FY10E</v>
          </cell>
          <cell r="P33" t="str">
            <v>FY11E</v>
          </cell>
        </row>
        <row r="34">
          <cell r="B34" t="str">
            <v>P/E</v>
          </cell>
          <cell r="C34">
            <v>16.564095043734977</v>
          </cell>
          <cell r="D34">
            <v>18.404550048594416</v>
          </cell>
          <cell r="E34">
            <v>20.245005053453859</v>
          </cell>
          <cell r="F34">
            <v>22.085460058313302</v>
          </cell>
          <cell r="G34">
            <v>23.925915063172745</v>
          </cell>
          <cell r="H34">
            <v>25.766370068032185</v>
          </cell>
          <cell r="J34" t="str">
            <v>Mkt Cap</v>
          </cell>
          <cell r="K34">
            <v>214.73126999999999</v>
          </cell>
          <cell r="M34" t="str">
            <v>EPS</v>
          </cell>
          <cell r="O34">
            <v>13.58359749843995</v>
          </cell>
          <cell r="P34">
            <v>16.905886733217297</v>
          </cell>
        </row>
        <row r="35">
          <cell r="B35" t="str">
            <v>PEG (3yr Growth)</v>
          </cell>
          <cell r="C35">
            <v>0.86173403470265053</v>
          </cell>
          <cell r="D35">
            <v>0.95748226078072274</v>
          </cell>
          <cell r="E35">
            <v>1.0532304868587952</v>
          </cell>
          <cell r="F35">
            <v>1.1489787129368674</v>
          </cell>
          <cell r="G35">
            <v>1.2447269390149398</v>
          </cell>
          <cell r="H35">
            <v>1.340475165093012</v>
          </cell>
          <cell r="J35" t="str">
            <v xml:space="preserve">EV </v>
          </cell>
          <cell r="K35">
            <v>201.55226999999999</v>
          </cell>
          <cell r="M35" t="str">
            <v>3 YR EPS CAGR</v>
          </cell>
          <cell r="O35">
            <v>0.19221818306678085</v>
          </cell>
          <cell r="P35">
            <v>0.17403435903999931</v>
          </cell>
        </row>
        <row r="36">
          <cell r="B36" t="str">
            <v>PER .rel.ex. Financials</v>
          </cell>
          <cell r="C36">
            <v>1.068651293144192</v>
          </cell>
          <cell r="D36">
            <v>1.1873903257157687</v>
          </cell>
          <cell r="E36">
            <v>1.3061293582873457</v>
          </cell>
          <cell r="F36">
            <v>1.4248683908589228</v>
          </cell>
          <cell r="G36">
            <v>1.5436074234304997</v>
          </cell>
          <cell r="H36">
            <v>1.6623464560020764</v>
          </cell>
          <cell r="M36" t="str">
            <v>EBIT</v>
          </cell>
          <cell r="O36">
            <v>19.89054392164185</v>
          </cell>
          <cell r="P36">
            <v>23.902866216801776</v>
          </cell>
        </row>
        <row r="37">
          <cell r="B37" t="str">
            <v>EV/EBIT</v>
          </cell>
          <cell r="C37">
            <v>9.7178526520678847</v>
          </cell>
          <cell r="D37">
            <v>10.871233630002767</v>
          </cell>
          <cell r="E37">
            <v>12.02461460793765</v>
          </cell>
          <cell r="F37">
            <v>13.177995585872534</v>
          </cell>
          <cell r="G37">
            <v>14.331376563807416</v>
          </cell>
          <cell r="H37">
            <v>15.484757541742297</v>
          </cell>
          <cell r="M37" t="str">
            <v>EBITDA</v>
          </cell>
          <cell r="O37">
            <v>28.862543921641851</v>
          </cell>
          <cell r="P37">
            <v>35.54374467646506</v>
          </cell>
        </row>
        <row r="38">
          <cell r="B38" t="str">
            <v>EV/EBITDA</v>
          </cell>
          <cell r="C38">
            <v>6.6970318182890258</v>
          </cell>
          <cell r="D38">
            <v>7.4918811933920288</v>
          </cell>
          <cell r="E38">
            <v>8.2867305684950328</v>
          </cell>
          <cell r="F38">
            <v>9.0815799435980367</v>
          </cell>
          <cell r="G38">
            <v>9.8764293187010388</v>
          </cell>
          <cell r="H38">
            <v>10.671278693804043</v>
          </cell>
          <cell r="M38" t="str">
            <v>DPS</v>
          </cell>
          <cell r="O38">
            <v>2.5</v>
          </cell>
          <cell r="P38">
            <v>4</v>
          </cell>
        </row>
        <row r="39">
          <cell r="B39" t="str">
            <v>Dividend Yield</v>
          </cell>
          <cell r="C39">
            <v>1.1111111111111112E-2</v>
          </cell>
          <cell r="D39">
            <v>0.01</v>
          </cell>
          <cell r="E39">
            <v>9.0909090909090905E-3</v>
          </cell>
          <cell r="F39">
            <v>8.3333333333333332E-3</v>
          </cell>
          <cell r="G39">
            <v>7.6923076923076927E-3</v>
          </cell>
          <cell r="H39">
            <v>7.1428571428571426E-3</v>
          </cell>
          <cell r="M39" t="str">
            <v>Ex Financials PE</v>
          </cell>
          <cell r="O39">
            <v>15.5</v>
          </cell>
          <cell r="P39">
            <v>15</v>
          </cell>
        </row>
        <row r="41">
          <cell r="B41" t="str">
            <v>FY11E</v>
          </cell>
          <cell r="C41">
            <v>2.25</v>
          </cell>
          <cell r="D41">
            <v>2.5</v>
          </cell>
          <cell r="E41">
            <v>2.75</v>
          </cell>
          <cell r="F41">
            <v>3</v>
          </cell>
          <cell r="G41">
            <v>3.25</v>
          </cell>
          <cell r="H41">
            <v>3.5</v>
          </cell>
        </row>
        <row r="42">
          <cell r="B42" t="str">
            <v>P/E</v>
          </cell>
          <cell r="C42">
            <v>13.308973587165463</v>
          </cell>
          <cell r="D42">
            <v>14.787748430183848</v>
          </cell>
          <cell r="E42">
            <v>16.266523273202228</v>
          </cell>
          <cell r="F42">
            <v>17.745298116220614</v>
          </cell>
          <cell r="G42">
            <v>19.224072959238999</v>
          </cell>
          <cell r="H42">
            <v>20.702847802257384</v>
          </cell>
        </row>
        <row r="43">
          <cell r="B43" t="str">
            <v>PEG (3yr Growth)</v>
          </cell>
          <cell r="C43">
            <v>0.76473253101168293</v>
          </cell>
          <cell r="D43">
            <v>0.84970281223520328</v>
          </cell>
          <cell r="E43">
            <v>0.9346730934587234</v>
          </cell>
          <cell r="F43">
            <v>1.0196433746822438</v>
          </cell>
          <cell r="G43">
            <v>1.104613655905764</v>
          </cell>
          <cell r="H43">
            <v>1.1895839371292845</v>
          </cell>
        </row>
        <row r="44">
          <cell r="B44" t="str">
            <v>PER .rel.ex. Financials</v>
          </cell>
          <cell r="C44">
            <v>0.8872649058110309</v>
          </cell>
          <cell r="D44">
            <v>0.98584989534558987</v>
          </cell>
          <cell r="E44">
            <v>1.0844348848801486</v>
          </cell>
          <cell r="F44">
            <v>1.1830198744147076</v>
          </cell>
          <cell r="G44">
            <v>1.2816048639492665</v>
          </cell>
          <cell r="H44">
            <v>1.3801898534838257</v>
          </cell>
        </row>
        <row r="45">
          <cell r="B45" t="str">
            <v>EV/EBIT</v>
          </cell>
          <cell r="C45">
            <v>8.0866191211885052</v>
          </cell>
          <cell r="D45">
            <v>9.0463941871541955</v>
          </cell>
          <cell r="E45">
            <v>10.006169253119888</v>
          </cell>
          <cell r="F45">
            <v>10.96594431908558</v>
          </cell>
          <cell r="G45">
            <v>11.92571938505127</v>
          </cell>
          <cell r="H45">
            <v>12.88549445101696</v>
          </cell>
        </row>
        <row r="46">
          <cell r="B46" t="str">
            <v>EV/EBITDA</v>
          </cell>
          <cell r="C46">
            <v>5.4381826326809986</v>
          </cell>
          <cell r="D46">
            <v>6.0836232076351173</v>
          </cell>
          <cell r="E46">
            <v>6.7290637825892361</v>
          </cell>
          <cell r="F46">
            <v>7.3745043575433566</v>
          </cell>
          <cell r="G46">
            <v>8.0199449324974754</v>
          </cell>
          <cell r="H46">
            <v>8.6653855074515924</v>
          </cell>
        </row>
        <row r="47">
          <cell r="B47" t="str">
            <v>Dividend Yield</v>
          </cell>
          <cell r="C47">
            <v>1.7777777777777778E-2</v>
          </cell>
          <cell r="D47">
            <v>1.6E-2</v>
          </cell>
          <cell r="E47">
            <v>1.4545454545454545E-2</v>
          </cell>
          <cell r="F47">
            <v>1.3333333333333332E-2</v>
          </cell>
          <cell r="G47">
            <v>1.2307692307692308E-2</v>
          </cell>
          <cell r="H47">
            <v>1.1428571428571429E-2</v>
          </cell>
        </row>
        <row r="50">
          <cell r="B50" t="str">
            <v>Mkt cap</v>
          </cell>
          <cell r="C50">
            <v>206.472375</v>
          </cell>
          <cell r="D50">
            <v>229.41374999999999</v>
          </cell>
          <cell r="E50">
            <v>252.35512500000002</v>
          </cell>
          <cell r="F50">
            <v>275.29650000000004</v>
          </cell>
          <cell r="G50">
            <v>298.23787500000003</v>
          </cell>
          <cell r="H50">
            <v>321.17925000000002</v>
          </cell>
        </row>
        <row r="51">
          <cell r="B51" t="str">
            <v>Net Debt</v>
          </cell>
          <cell r="C51">
            <v>-13.178999999999998</v>
          </cell>
          <cell r="D51">
            <v>-13.178999999999998</v>
          </cell>
          <cell r="E51">
            <v>-13.178999999999998</v>
          </cell>
          <cell r="F51">
            <v>-13.178999999999998</v>
          </cell>
          <cell r="G51">
            <v>-13.178999999999998</v>
          </cell>
          <cell r="H51">
            <v>-13.178999999999998</v>
          </cell>
        </row>
        <row r="52">
          <cell r="B52" t="str">
            <v>EV</v>
          </cell>
          <cell r="C52">
            <v>193.293375</v>
          </cell>
          <cell r="D52">
            <v>216.23474999999999</v>
          </cell>
          <cell r="E52">
            <v>239.17612500000001</v>
          </cell>
          <cell r="F52">
            <v>262.11750000000006</v>
          </cell>
          <cell r="G52">
            <v>285.05887500000006</v>
          </cell>
          <cell r="H52">
            <v>308.00025000000005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2-32"/>
      <sheetName val="Good 12-00 (3)"/>
      <sheetName val="Good 12-43"/>
      <sheetName val="Good 12-07"/>
      <sheetName val="Good 12-00 (2)"/>
      <sheetName val="Good 12-00"/>
      <sheetName val="Good 11-50"/>
      <sheetName val="Good 11-40"/>
      <sheetName val="Good 11-36"/>
      <sheetName val="Good 11-18"/>
      <sheetName val="Good 10-48 pm (2)"/>
      <sheetName val="Samples"/>
      <sheetName val="Good 10-48 pm"/>
      <sheetName val="Good 11-04 pm"/>
      <sheetName val="Sheet3 (6)"/>
      <sheetName val="Sheet3 (5)"/>
      <sheetName val="Sheet3 (3)"/>
      <sheetName val="Sheet3 (2)"/>
      <sheetName val="Sheet1"/>
      <sheetName val="Sheet2"/>
      <sheetName val="Sheet3"/>
      <sheetName val="Sheet3 (4)"/>
      <sheetName val="Good 12-22_tbnt"/>
      <sheetName val="c1"/>
      <sheetName val="DCF Model"/>
      <sheetName val="SoP Model"/>
      <sheetName val="Sheet4"/>
      <sheetName val="ForeignStake"/>
      <sheetName val="LBO 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3">
          <cell r="A3" t="str">
            <v>Base</v>
          </cell>
          <cell r="B3">
            <v>40</v>
          </cell>
        </row>
        <row r="4">
          <cell r="A4" t="str">
            <v>Price Target</v>
          </cell>
          <cell r="B4">
            <v>40</v>
          </cell>
          <cell r="S4" t="str">
            <v>Bear</v>
          </cell>
          <cell r="U4" t="str">
            <v>Base</v>
          </cell>
          <cell r="X4" t="str">
            <v>Bull</v>
          </cell>
        </row>
        <row r="5">
          <cell r="R5">
            <v>-30</v>
          </cell>
          <cell r="S5">
            <v>-30</v>
          </cell>
          <cell r="U5">
            <v>40</v>
          </cell>
          <cell r="X5">
            <v>17</v>
          </cell>
          <cell r="Z5">
            <v>17</v>
          </cell>
        </row>
        <row r="6">
          <cell r="C6" t="str">
            <v>Bear</v>
          </cell>
          <cell r="S6" t="str">
            <v>-space2</v>
          </cell>
          <cell r="T6" t="str">
            <v>-bear</v>
          </cell>
          <cell r="U6" t="str">
            <v>-space1</v>
          </cell>
          <cell r="V6" t="str">
            <v>+space1</v>
          </cell>
          <cell r="W6" t="str">
            <v>+bull</v>
          </cell>
          <cell r="X6" t="str">
            <v>+space2</v>
          </cell>
        </row>
        <row r="7">
          <cell r="A7" t="str">
            <v>Binary driver one</v>
          </cell>
          <cell r="C7">
            <v>-5</v>
          </cell>
          <cell r="S7">
            <v>-23</v>
          </cell>
          <cell r="T7">
            <v>-7</v>
          </cell>
          <cell r="U7">
            <v>0</v>
          </cell>
          <cell r="V7">
            <v>0</v>
          </cell>
          <cell r="W7">
            <v>3</v>
          </cell>
          <cell r="X7">
            <v>14</v>
          </cell>
          <cell r="Y7">
            <v>17</v>
          </cell>
        </row>
        <row r="8">
          <cell r="A8" t="str">
            <v>Binary driver two</v>
          </cell>
          <cell r="C8">
            <v>-5</v>
          </cell>
          <cell r="S8">
            <v>-18</v>
          </cell>
          <cell r="T8">
            <v>-5</v>
          </cell>
          <cell r="U8">
            <v>-7</v>
          </cell>
          <cell r="V8">
            <v>3</v>
          </cell>
          <cell r="W8">
            <v>2</v>
          </cell>
          <cell r="X8">
            <v>12</v>
          </cell>
          <cell r="Y8">
            <v>17</v>
          </cell>
        </row>
        <row r="9">
          <cell r="A9" t="str">
            <v>Binary driver three</v>
          </cell>
          <cell r="C9">
            <v>-6</v>
          </cell>
          <cell r="S9">
            <v>-12</v>
          </cell>
          <cell r="T9">
            <v>-6</v>
          </cell>
          <cell r="U9">
            <v>-12</v>
          </cell>
          <cell r="V9">
            <v>5</v>
          </cell>
          <cell r="W9">
            <v>3</v>
          </cell>
          <cell r="X9">
            <v>9</v>
          </cell>
          <cell r="Y9">
            <v>17</v>
          </cell>
        </row>
        <row r="10">
          <cell r="A10" t="str">
            <v>Bull only driver one</v>
          </cell>
          <cell r="C10">
            <v>0</v>
          </cell>
          <cell r="S10">
            <v>-12</v>
          </cell>
          <cell r="U10">
            <v>-18</v>
          </cell>
          <cell r="V10">
            <v>8</v>
          </cell>
          <cell r="W10">
            <v>4</v>
          </cell>
          <cell r="X10">
            <v>5</v>
          </cell>
          <cell r="Y10">
            <v>17</v>
          </cell>
        </row>
        <row r="11">
          <cell r="A11" t="str">
            <v>Bull only driver two</v>
          </cell>
          <cell r="C11">
            <v>0</v>
          </cell>
          <cell r="S11">
            <v>-12</v>
          </cell>
          <cell r="U11">
            <v>-18</v>
          </cell>
          <cell r="V11">
            <v>12</v>
          </cell>
          <cell r="W11">
            <v>5</v>
          </cell>
          <cell r="X11">
            <v>0</v>
          </cell>
          <cell r="Y11">
            <v>17</v>
          </cell>
        </row>
        <row r="12">
          <cell r="A12" t="str">
            <v>Bear only driver one</v>
          </cell>
          <cell r="C12">
            <v>-4</v>
          </cell>
          <cell r="S12">
            <v>-8</v>
          </cell>
          <cell r="T12">
            <v>-4</v>
          </cell>
          <cell r="U12">
            <v>-18</v>
          </cell>
          <cell r="V12">
            <v>17</v>
          </cell>
          <cell r="X12">
            <v>0</v>
          </cell>
          <cell r="Y12">
            <v>17</v>
          </cell>
        </row>
        <row r="13">
          <cell r="A13" t="str">
            <v>Bear only driver two</v>
          </cell>
          <cell r="C13">
            <v>-3</v>
          </cell>
          <cell r="S13">
            <v>-5</v>
          </cell>
          <cell r="T13">
            <v>-3</v>
          </cell>
          <cell r="U13">
            <v>-22</v>
          </cell>
          <cell r="V13">
            <v>17</v>
          </cell>
          <cell r="X13">
            <v>0</v>
          </cell>
          <cell r="Y13">
            <v>17</v>
          </cell>
        </row>
        <row r="14">
          <cell r="A14" t="str">
            <v>Bear only driver three</v>
          </cell>
          <cell r="C14">
            <v>-5</v>
          </cell>
          <cell r="S14">
            <v>0</v>
          </cell>
          <cell r="T14">
            <v>-5</v>
          </cell>
          <cell r="U14">
            <v>-25</v>
          </cell>
          <cell r="V14">
            <v>17</v>
          </cell>
          <cell r="X14">
            <v>0</v>
          </cell>
          <cell r="Y14">
            <v>17</v>
          </cell>
        </row>
        <row r="15">
          <cell r="C15">
            <v>0</v>
          </cell>
        </row>
        <row r="16">
          <cell r="S16" t="str">
            <v>-space1</v>
          </cell>
          <cell r="T16" t="str">
            <v>-bear</v>
          </cell>
          <cell r="U16" t="str">
            <v>-space2</v>
          </cell>
          <cell r="V16" t="str">
            <v>+space1</v>
          </cell>
          <cell r="W16" t="str">
            <v>+bull</v>
          </cell>
          <cell r="X16" t="str">
            <v>+space2</v>
          </cell>
          <cell r="Y16" t="str">
            <v>Bear 
10.00</v>
          </cell>
          <cell r="Z16" t="str">
            <v>Base 
40.00</v>
          </cell>
          <cell r="AA16" t="str">
            <v>Bull
57.00</v>
          </cell>
          <cell r="AB16" t="str">
            <v/>
          </cell>
        </row>
        <row r="18">
          <cell r="R18" t="str">
            <v>Binary driver one</v>
          </cell>
          <cell r="S18">
            <v>0</v>
          </cell>
          <cell r="T18">
            <v>-5</v>
          </cell>
          <cell r="U18">
            <v>-23</v>
          </cell>
          <cell r="V18">
            <v>0</v>
          </cell>
          <cell r="W18">
            <v>3</v>
          </cell>
          <cell r="X18">
            <v>14</v>
          </cell>
          <cell r="Y18">
            <v>-30</v>
          </cell>
          <cell r="Z18">
            <v>0</v>
          </cell>
          <cell r="AA18">
            <v>17</v>
          </cell>
          <cell r="AB18" t="str">
            <v/>
          </cell>
        </row>
        <row r="19">
          <cell r="R19" t="str">
            <v>Binary driver two</v>
          </cell>
          <cell r="S19">
            <v>-7</v>
          </cell>
          <cell r="T19">
            <v>-5</v>
          </cell>
          <cell r="U19">
            <v>-18</v>
          </cell>
          <cell r="V19">
            <v>3</v>
          </cell>
          <cell r="W19">
            <v>2</v>
          </cell>
          <cell r="X19">
            <v>12</v>
          </cell>
          <cell r="Y19">
            <v>-30</v>
          </cell>
          <cell r="Z19">
            <v>0</v>
          </cell>
          <cell r="AA19">
            <v>17</v>
          </cell>
          <cell r="AB19" t="str">
            <v/>
          </cell>
        </row>
        <row r="20">
          <cell r="R20" t="str">
            <v>Binary driver three</v>
          </cell>
          <cell r="S20">
            <v>-12</v>
          </cell>
          <cell r="T20">
            <v>-6</v>
          </cell>
          <cell r="U20">
            <v>-12</v>
          </cell>
          <cell r="V20">
            <v>5</v>
          </cell>
          <cell r="W20">
            <v>3</v>
          </cell>
          <cell r="X20">
            <v>9</v>
          </cell>
          <cell r="Y20">
            <v>-30</v>
          </cell>
          <cell r="Z20">
            <v>0</v>
          </cell>
          <cell r="AA20">
            <v>17</v>
          </cell>
          <cell r="AB20" t="str">
            <v/>
          </cell>
        </row>
        <row r="21">
          <cell r="R21" t="str">
            <v>Bull only driver one</v>
          </cell>
          <cell r="S21">
            <v>-18</v>
          </cell>
          <cell r="T21">
            <v>0</v>
          </cell>
          <cell r="U21">
            <v>-12</v>
          </cell>
          <cell r="V21">
            <v>8</v>
          </cell>
          <cell r="W21">
            <v>4</v>
          </cell>
          <cell r="X21">
            <v>5</v>
          </cell>
          <cell r="Y21">
            <v>-30</v>
          </cell>
          <cell r="Z21">
            <v>0</v>
          </cell>
          <cell r="AA21">
            <v>17</v>
          </cell>
          <cell r="AB21" t="str">
            <v/>
          </cell>
        </row>
        <row r="22">
          <cell r="R22" t="str">
            <v>Bull only driver two</v>
          </cell>
          <cell r="S22">
            <v>-18</v>
          </cell>
          <cell r="T22">
            <v>0</v>
          </cell>
          <cell r="U22">
            <v>-12</v>
          </cell>
          <cell r="V22">
            <v>12</v>
          </cell>
          <cell r="W22">
            <v>5</v>
          </cell>
          <cell r="X22">
            <v>0</v>
          </cell>
          <cell r="Y22">
            <v>-30</v>
          </cell>
          <cell r="Z22">
            <v>0</v>
          </cell>
          <cell r="AA22">
            <v>17</v>
          </cell>
          <cell r="AB22" t="str">
            <v/>
          </cell>
        </row>
        <row r="23">
          <cell r="R23" t="str">
            <v>Bear only driver one</v>
          </cell>
          <cell r="S23">
            <v>-18</v>
          </cell>
          <cell r="T23">
            <v>-4</v>
          </cell>
          <cell r="U23">
            <v>-8</v>
          </cell>
          <cell r="V23">
            <v>17</v>
          </cell>
          <cell r="W23">
            <v>0</v>
          </cell>
          <cell r="X23">
            <v>0</v>
          </cell>
          <cell r="Y23">
            <v>-30</v>
          </cell>
          <cell r="Z23">
            <v>0</v>
          </cell>
          <cell r="AA23">
            <v>17</v>
          </cell>
          <cell r="AB23" t="str">
            <v/>
          </cell>
        </row>
        <row r="24">
          <cell r="R24" t="str">
            <v>Bear only driver two</v>
          </cell>
          <cell r="S24">
            <v>-22</v>
          </cell>
          <cell r="T24">
            <v>-3</v>
          </cell>
          <cell r="U24">
            <v>-5</v>
          </cell>
          <cell r="V24">
            <v>17</v>
          </cell>
          <cell r="W24">
            <v>0</v>
          </cell>
          <cell r="X24">
            <v>0</v>
          </cell>
          <cell r="Y24">
            <v>-30</v>
          </cell>
          <cell r="Z24">
            <v>0</v>
          </cell>
          <cell r="AA24">
            <v>17</v>
          </cell>
          <cell r="AB24" t="str">
            <v/>
          </cell>
        </row>
        <row r="25">
          <cell r="R25" t="str">
            <v>Bear only driver three</v>
          </cell>
          <cell r="S25">
            <v>-25</v>
          </cell>
          <cell r="T25">
            <v>-5</v>
          </cell>
          <cell r="U25">
            <v>0</v>
          </cell>
          <cell r="V25">
            <v>17</v>
          </cell>
          <cell r="W25">
            <v>0</v>
          </cell>
          <cell r="X25">
            <v>0</v>
          </cell>
          <cell r="Y25">
            <v>-30</v>
          </cell>
          <cell r="Z25">
            <v>0</v>
          </cell>
          <cell r="AA25">
            <v>17</v>
          </cell>
          <cell r="AB25" t="str">
            <v/>
          </cell>
        </row>
        <row r="26">
          <cell r="Y26">
            <v>-30</v>
          </cell>
          <cell r="Z26">
            <v>0</v>
          </cell>
          <cell r="AA26">
            <v>17</v>
          </cell>
          <cell r="AB26" t="str">
            <v/>
          </cell>
        </row>
        <row r="27">
          <cell r="Y27">
            <v>-30</v>
          </cell>
          <cell r="Z27">
            <v>0</v>
          </cell>
          <cell r="AA27">
            <v>17</v>
          </cell>
          <cell r="AB27" t="str">
            <v/>
          </cell>
        </row>
        <row r="29">
          <cell r="AA29" t="str">
            <v>Note: Price Target = Base Case unless otherwise indicated.</v>
          </cell>
        </row>
        <row r="31">
          <cell r="R31" t="str">
            <v>Bear</v>
          </cell>
          <cell r="S31">
            <v>10</v>
          </cell>
        </row>
        <row r="32">
          <cell r="S32">
            <v>20</v>
          </cell>
        </row>
        <row r="33">
          <cell r="R33" t="str">
            <v>Bull</v>
          </cell>
          <cell r="S33">
            <v>57</v>
          </cell>
        </row>
      </sheetData>
      <sheetData sheetId="5" refreshError="1"/>
      <sheetData sheetId="6" refreshError="1">
        <row r="4">
          <cell r="C4" t="str">
            <v>Bear</v>
          </cell>
          <cell r="E4" t="str">
            <v>Base</v>
          </cell>
          <cell r="H4" t="str">
            <v>Bull</v>
          </cell>
        </row>
        <row r="5">
          <cell r="B5">
            <v>-30</v>
          </cell>
          <cell r="C5">
            <v>-30</v>
          </cell>
          <cell r="E5">
            <v>40</v>
          </cell>
          <cell r="H5">
            <v>17</v>
          </cell>
          <cell r="J5">
            <v>17</v>
          </cell>
        </row>
        <row r="6">
          <cell r="C6" t="str">
            <v>-space2</v>
          </cell>
          <cell r="D6" t="str">
            <v>-bear</v>
          </cell>
          <cell r="E6" t="str">
            <v>-space1</v>
          </cell>
          <cell r="F6" t="str">
            <v>+space1</v>
          </cell>
          <cell r="G6" t="str">
            <v>+bull</v>
          </cell>
          <cell r="H6" t="str">
            <v>+space2</v>
          </cell>
        </row>
        <row r="7">
          <cell r="B7" t="str">
            <v>Binary driver one</v>
          </cell>
          <cell r="C7">
            <v>-23</v>
          </cell>
          <cell r="D7">
            <v>-7</v>
          </cell>
          <cell r="E7">
            <v>0</v>
          </cell>
          <cell r="F7">
            <v>0</v>
          </cell>
          <cell r="G7">
            <v>3</v>
          </cell>
          <cell r="H7">
            <v>14</v>
          </cell>
          <cell r="I7">
            <v>17</v>
          </cell>
        </row>
        <row r="8">
          <cell r="B8" t="str">
            <v>Binary driver two</v>
          </cell>
          <cell r="C8">
            <v>-18</v>
          </cell>
          <cell r="D8">
            <v>-5</v>
          </cell>
          <cell r="E8">
            <v>-7</v>
          </cell>
          <cell r="F8">
            <v>3</v>
          </cell>
          <cell r="G8">
            <v>2</v>
          </cell>
          <cell r="H8">
            <v>12</v>
          </cell>
          <cell r="I8">
            <v>17</v>
          </cell>
        </row>
        <row r="9">
          <cell r="B9" t="str">
            <v>Binary driver three</v>
          </cell>
          <cell r="C9">
            <v>-12</v>
          </cell>
          <cell r="D9">
            <v>-6</v>
          </cell>
          <cell r="E9">
            <v>-12</v>
          </cell>
          <cell r="F9">
            <v>5</v>
          </cell>
          <cell r="G9">
            <v>3</v>
          </cell>
          <cell r="H9">
            <v>9</v>
          </cell>
          <cell r="I9">
            <v>17</v>
          </cell>
        </row>
        <row r="10">
          <cell r="B10" t="str">
            <v>Bull only driver one</v>
          </cell>
          <cell r="C10">
            <v>-12</v>
          </cell>
          <cell r="E10">
            <v>-18</v>
          </cell>
          <cell r="F10">
            <v>8</v>
          </cell>
          <cell r="G10">
            <v>4</v>
          </cell>
          <cell r="H10">
            <v>5</v>
          </cell>
          <cell r="I10">
            <v>17</v>
          </cell>
        </row>
        <row r="11">
          <cell r="B11" t="str">
            <v>Bull only driver two</v>
          </cell>
          <cell r="C11">
            <v>-12</v>
          </cell>
          <cell r="E11">
            <v>-18</v>
          </cell>
          <cell r="F11">
            <v>12</v>
          </cell>
          <cell r="G11">
            <v>5</v>
          </cell>
          <cell r="H11">
            <v>0</v>
          </cell>
          <cell r="I11">
            <v>17</v>
          </cell>
        </row>
        <row r="12">
          <cell r="B12" t="str">
            <v>Bear only driver one</v>
          </cell>
          <cell r="C12">
            <v>-8</v>
          </cell>
          <cell r="D12">
            <v>-4</v>
          </cell>
          <cell r="E12">
            <v>-18</v>
          </cell>
          <cell r="F12">
            <v>17</v>
          </cell>
          <cell r="H12">
            <v>0</v>
          </cell>
          <cell r="I12">
            <v>17</v>
          </cell>
        </row>
        <row r="13">
          <cell r="B13" t="str">
            <v>Bear only driver two</v>
          </cell>
          <cell r="C13">
            <v>-5</v>
          </cell>
          <cell r="D13">
            <v>-3</v>
          </cell>
          <cell r="E13">
            <v>-22</v>
          </cell>
          <cell r="F13">
            <v>17</v>
          </cell>
          <cell r="H13">
            <v>0</v>
          </cell>
          <cell r="I13">
            <v>17</v>
          </cell>
        </row>
        <row r="14">
          <cell r="B14" t="str">
            <v>Bear only driver three</v>
          </cell>
          <cell r="C14">
            <v>0</v>
          </cell>
          <cell r="D14">
            <v>-5</v>
          </cell>
          <cell r="E14">
            <v>-25</v>
          </cell>
          <cell r="F14">
            <v>17</v>
          </cell>
          <cell r="H14">
            <v>0</v>
          </cell>
          <cell r="I14">
            <v>17</v>
          </cell>
        </row>
        <row r="16">
          <cell r="C16" t="str">
            <v>-space1</v>
          </cell>
          <cell r="D16" t="str">
            <v>-bear</v>
          </cell>
          <cell r="E16" t="str">
            <v>-space2</v>
          </cell>
          <cell r="F16" t="str">
            <v>+space1</v>
          </cell>
          <cell r="G16" t="str">
            <v>+bull</v>
          </cell>
          <cell r="H16" t="str">
            <v>+space2</v>
          </cell>
          <cell r="I16" t="str">
            <v>Bear  10.00</v>
          </cell>
          <cell r="J16" t="str">
            <v>Base  40.00</v>
          </cell>
          <cell r="K16" t="str">
            <v>Bull: 57.00</v>
          </cell>
          <cell r="L16" t="str">
            <v/>
          </cell>
        </row>
        <row r="18">
          <cell r="B18" t="str">
            <v>Binary driver one</v>
          </cell>
          <cell r="C18">
            <v>0</v>
          </cell>
          <cell r="D18">
            <v>-7</v>
          </cell>
          <cell r="E18">
            <v>-23</v>
          </cell>
          <cell r="F18">
            <v>0</v>
          </cell>
          <cell r="G18">
            <v>3</v>
          </cell>
          <cell r="H18">
            <v>14</v>
          </cell>
          <cell r="I18">
            <v>-30</v>
          </cell>
          <cell r="J18">
            <v>0</v>
          </cell>
          <cell r="K18">
            <v>17</v>
          </cell>
          <cell r="L18" t="str">
            <v/>
          </cell>
        </row>
        <row r="19">
          <cell r="B19" t="str">
            <v>Binary driver two</v>
          </cell>
          <cell r="C19">
            <v>-7</v>
          </cell>
          <cell r="D19">
            <v>-5</v>
          </cell>
          <cell r="E19">
            <v>-18</v>
          </cell>
          <cell r="F19">
            <v>3</v>
          </cell>
          <cell r="G19">
            <v>2</v>
          </cell>
          <cell r="H19">
            <v>12</v>
          </cell>
          <cell r="I19">
            <v>-30</v>
          </cell>
          <cell r="J19">
            <v>0</v>
          </cell>
          <cell r="K19">
            <v>17</v>
          </cell>
          <cell r="L19" t="str">
            <v/>
          </cell>
        </row>
        <row r="20">
          <cell r="B20" t="str">
            <v>Binary driver three</v>
          </cell>
          <cell r="C20">
            <v>-12</v>
          </cell>
          <cell r="D20">
            <v>-6</v>
          </cell>
          <cell r="E20">
            <v>-12</v>
          </cell>
          <cell r="F20">
            <v>5</v>
          </cell>
          <cell r="G20">
            <v>3</v>
          </cell>
          <cell r="H20">
            <v>9</v>
          </cell>
          <cell r="I20">
            <v>-30</v>
          </cell>
          <cell r="J20">
            <v>0</v>
          </cell>
          <cell r="K20">
            <v>17</v>
          </cell>
          <cell r="L20" t="str">
            <v/>
          </cell>
        </row>
        <row r="21">
          <cell r="B21" t="str">
            <v>Bull only driver one</v>
          </cell>
          <cell r="C21">
            <v>-18</v>
          </cell>
          <cell r="D21">
            <v>0</v>
          </cell>
          <cell r="E21">
            <v>-12</v>
          </cell>
          <cell r="F21">
            <v>8</v>
          </cell>
          <cell r="G21">
            <v>4</v>
          </cell>
          <cell r="H21">
            <v>5</v>
          </cell>
          <cell r="I21">
            <v>-30</v>
          </cell>
          <cell r="J21">
            <v>0</v>
          </cell>
          <cell r="K21">
            <v>17</v>
          </cell>
          <cell r="L21" t="str">
            <v/>
          </cell>
        </row>
        <row r="22">
          <cell r="B22" t="str">
            <v>Bull only driver two</v>
          </cell>
          <cell r="C22">
            <v>-18</v>
          </cell>
          <cell r="D22">
            <v>0</v>
          </cell>
          <cell r="E22">
            <v>-12</v>
          </cell>
          <cell r="F22">
            <v>12</v>
          </cell>
          <cell r="G22">
            <v>5</v>
          </cell>
          <cell r="H22">
            <v>0</v>
          </cell>
          <cell r="I22">
            <v>-30</v>
          </cell>
          <cell r="J22">
            <v>0</v>
          </cell>
          <cell r="K22">
            <v>17</v>
          </cell>
          <cell r="L22" t="str">
            <v/>
          </cell>
        </row>
        <row r="23">
          <cell r="B23" t="str">
            <v>Bear only driver one</v>
          </cell>
          <cell r="C23">
            <v>-18</v>
          </cell>
          <cell r="D23">
            <v>-4</v>
          </cell>
          <cell r="E23">
            <v>-8</v>
          </cell>
          <cell r="F23">
            <v>17</v>
          </cell>
          <cell r="G23">
            <v>0</v>
          </cell>
          <cell r="H23">
            <v>0</v>
          </cell>
          <cell r="I23">
            <v>-30</v>
          </cell>
          <cell r="J23">
            <v>0</v>
          </cell>
          <cell r="K23">
            <v>17</v>
          </cell>
          <cell r="L23" t="str">
            <v/>
          </cell>
        </row>
        <row r="24">
          <cell r="B24" t="str">
            <v>Bear only driver two</v>
          </cell>
          <cell r="C24">
            <v>-22</v>
          </cell>
          <cell r="D24">
            <v>-3</v>
          </cell>
          <cell r="E24">
            <v>-5</v>
          </cell>
          <cell r="F24">
            <v>17</v>
          </cell>
          <cell r="G24">
            <v>0</v>
          </cell>
          <cell r="H24">
            <v>0</v>
          </cell>
          <cell r="I24">
            <v>-30</v>
          </cell>
          <cell r="J24">
            <v>0</v>
          </cell>
          <cell r="K24">
            <v>17</v>
          </cell>
          <cell r="L24" t="str">
            <v/>
          </cell>
        </row>
        <row r="25">
          <cell r="B25" t="str">
            <v>Bear only driver three</v>
          </cell>
          <cell r="C25">
            <v>-25</v>
          </cell>
          <cell r="D25">
            <v>-5</v>
          </cell>
          <cell r="E25">
            <v>0</v>
          </cell>
          <cell r="F25">
            <v>17</v>
          </cell>
          <cell r="G25">
            <v>0</v>
          </cell>
          <cell r="H25">
            <v>0</v>
          </cell>
          <cell r="I25">
            <v>-30</v>
          </cell>
          <cell r="J25">
            <v>0</v>
          </cell>
          <cell r="K25">
            <v>17</v>
          </cell>
          <cell r="L25" t="str">
            <v/>
          </cell>
        </row>
        <row r="26">
          <cell r="I26">
            <v>-30</v>
          </cell>
          <cell r="J26">
            <v>0</v>
          </cell>
          <cell r="K26">
            <v>17</v>
          </cell>
          <cell r="L26" t="str">
            <v/>
          </cell>
        </row>
        <row r="27">
          <cell r="I27">
            <v>-30</v>
          </cell>
          <cell r="J27">
            <v>0</v>
          </cell>
          <cell r="K27">
            <v>17</v>
          </cell>
          <cell r="L27" t="str">
            <v/>
          </cell>
        </row>
        <row r="28">
          <cell r="B28" t="str">
            <v>Bear</v>
          </cell>
          <cell r="C28">
            <v>10</v>
          </cell>
        </row>
        <row r="29">
          <cell r="B29" t="str">
            <v>Base</v>
          </cell>
          <cell r="C29">
            <v>40</v>
          </cell>
          <cell r="K29" t="str">
            <v>Note: Price Target = Base Case unless otherwise indicated.</v>
          </cell>
        </row>
        <row r="30">
          <cell r="B30" t="str">
            <v>Bull</v>
          </cell>
          <cell r="C30">
            <v>57</v>
          </cell>
        </row>
        <row r="31">
          <cell r="B31" t="str">
            <v>Price Target</v>
          </cell>
          <cell r="C31">
            <v>40</v>
          </cell>
        </row>
        <row r="35">
          <cell r="I35" t="str">
            <v>s</v>
          </cell>
        </row>
      </sheetData>
      <sheetData sheetId="7" refreshError="1"/>
      <sheetData sheetId="8" refreshError="1">
        <row r="4">
          <cell r="C4" t="str">
            <v>Bear</v>
          </cell>
          <cell r="E4" t="str">
            <v>Base</v>
          </cell>
          <cell r="H4" t="str">
            <v>Bull</v>
          </cell>
        </row>
        <row r="5">
          <cell r="B5">
            <v>-30</v>
          </cell>
          <cell r="C5">
            <v>-30</v>
          </cell>
          <cell r="E5">
            <v>40</v>
          </cell>
          <cell r="H5">
            <v>17</v>
          </cell>
          <cell r="J5">
            <v>17</v>
          </cell>
        </row>
        <row r="6">
          <cell r="C6" t="str">
            <v>-space2</v>
          </cell>
          <cell r="D6" t="str">
            <v>-bear</v>
          </cell>
          <cell r="E6" t="str">
            <v>-space1</v>
          </cell>
          <cell r="F6" t="str">
            <v>+space1</v>
          </cell>
          <cell r="G6" t="str">
            <v>+bull</v>
          </cell>
          <cell r="H6" t="str">
            <v>+space2</v>
          </cell>
        </row>
        <row r="7">
          <cell r="B7" t="str">
            <v>Binary driver one</v>
          </cell>
          <cell r="C7">
            <v>-23</v>
          </cell>
          <cell r="D7">
            <v>-7</v>
          </cell>
          <cell r="E7">
            <v>0</v>
          </cell>
          <cell r="F7">
            <v>0</v>
          </cell>
          <cell r="G7">
            <v>3</v>
          </cell>
          <cell r="H7">
            <v>14</v>
          </cell>
          <cell r="I7">
            <v>17</v>
          </cell>
        </row>
        <row r="8">
          <cell r="B8" t="str">
            <v>Binary driver two</v>
          </cell>
          <cell r="C8">
            <v>-18</v>
          </cell>
          <cell r="D8">
            <v>-5</v>
          </cell>
          <cell r="E8">
            <v>-7</v>
          </cell>
          <cell r="F8">
            <v>3</v>
          </cell>
          <cell r="G8">
            <v>2</v>
          </cell>
          <cell r="H8">
            <v>12</v>
          </cell>
          <cell r="I8">
            <v>17</v>
          </cell>
        </row>
        <row r="9">
          <cell r="B9" t="str">
            <v>Driver number three</v>
          </cell>
          <cell r="C9">
            <v>-12</v>
          </cell>
          <cell r="D9">
            <v>-6</v>
          </cell>
          <cell r="E9">
            <v>-12</v>
          </cell>
          <cell r="F9">
            <v>5</v>
          </cell>
          <cell r="G9">
            <v>3</v>
          </cell>
          <cell r="H9">
            <v>9</v>
          </cell>
          <cell r="I9">
            <v>17</v>
          </cell>
        </row>
        <row r="10">
          <cell r="B10" t="str">
            <v>Bull only driver one</v>
          </cell>
          <cell r="C10">
            <v>-12</v>
          </cell>
          <cell r="E10">
            <v>-18</v>
          </cell>
          <cell r="F10">
            <v>8</v>
          </cell>
          <cell r="G10">
            <v>4</v>
          </cell>
          <cell r="H10">
            <v>5</v>
          </cell>
          <cell r="I10">
            <v>17</v>
          </cell>
        </row>
        <row r="11">
          <cell r="B11" t="str">
            <v>Bull only driver two</v>
          </cell>
          <cell r="C11">
            <v>-12</v>
          </cell>
          <cell r="E11">
            <v>-18</v>
          </cell>
          <cell r="F11">
            <v>12</v>
          </cell>
          <cell r="G11">
            <v>5</v>
          </cell>
          <cell r="H11">
            <v>0</v>
          </cell>
          <cell r="I11">
            <v>17</v>
          </cell>
        </row>
        <row r="12">
          <cell r="B12" t="str">
            <v>Bear only driver one</v>
          </cell>
          <cell r="C12">
            <v>-8</v>
          </cell>
          <cell r="D12">
            <v>-4</v>
          </cell>
          <cell r="E12">
            <v>-18</v>
          </cell>
          <cell r="F12">
            <v>17</v>
          </cell>
          <cell r="H12">
            <v>0</v>
          </cell>
          <cell r="I12">
            <v>17</v>
          </cell>
        </row>
        <row r="13">
          <cell r="B13" t="str">
            <v>Bear only driver two</v>
          </cell>
          <cell r="C13">
            <v>-5</v>
          </cell>
          <cell r="D13">
            <v>-3</v>
          </cell>
          <cell r="E13">
            <v>-22</v>
          </cell>
          <cell r="F13">
            <v>17</v>
          </cell>
          <cell r="H13">
            <v>0</v>
          </cell>
          <cell r="I13">
            <v>17</v>
          </cell>
        </row>
        <row r="14">
          <cell r="B14" t="str">
            <v>Bear only driver three</v>
          </cell>
          <cell r="C14">
            <v>0</v>
          </cell>
          <cell r="D14">
            <v>-5</v>
          </cell>
          <cell r="E14">
            <v>-25</v>
          </cell>
          <cell r="F14">
            <v>17</v>
          </cell>
          <cell r="H14">
            <v>0</v>
          </cell>
          <cell r="I14">
            <v>17</v>
          </cell>
        </row>
        <row r="16">
          <cell r="C16" t="str">
            <v>-space1</v>
          </cell>
          <cell r="D16" t="str">
            <v>-bear</v>
          </cell>
          <cell r="E16" t="str">
            <v>-space2</v>
          </cell>
          <cell r="F16" t="str">
            <v>+space1</v>
          </cell>
          <cell r="G16" t="str">
            <v>+bull</v>
          </cell>
          <cell r="H16" t="str">
            <v>+space2</v>
          </cell>
          <cell r="I16" t="str">
            <v>Bear  10.00</v>
          </cell>
          <cell r="J16" t="str">
            <v>Base  40.00</v>
          </cell>
          <cell r="K16" t="str">
            <v>Bull: 57.00</v>
          </cell>
          <cell r="L16" t="str">
            <v/>
          </cell>
        </row>
        <row r="18">
          <cell r="B18" t="str">
            <v>Binary driver one</v>
          </cell>
          <cell r="C18">
            <v>0</v>
          </cell>
          <cell r="D18">
            <v>-7</v>
          </cell>
          <cell r="E18">
            <v>-23</v>
          </cell>
          <cell r="F18">
            <v>0</v>
          </cell>
          <cell r="G18">
            <v>3</v>
          </cell>
          <cell r="H18">
            <v>14</v>
          </cell>
          <cell r="I18">
            <v>-30</v>
          </cell>
          <cell r="J18">
            <v>0</v>
          </cell>
          <cell r="K18">
            <v>17</v>
          </cell>
          <cell r="L18" t="str">
            <v/>
          </cell>
        </row>
        <row r="19">
          <cell r="B19" t="str">
            <v>Binary driver two</v>
          </cell>
          <cell r="C19">
            <v>-7</v>
          </cell>
          <cell r="D19">
            <v>-5</v>
          </cell>
          <cell r="E19">
            <v>-18</v>
          </cell>
          <cell r="F19">
            <v>3</v>
          </cell>
          <cell r="G19">
            <v>2</v>
          </cell>
          <cell r="H19">
            <v>12</v>
          </cell>
          <cell r="I19">
            <v>-30</v>
          </cell>
          <cell r="J19">
            <v>0</v>
          </cell>
          <cell r="K19">
            <v>17</v>
          </cell>
          <cell r="L19" t="str">
            <v/>
          </cell>
        </row>
        <row r="20">
          <cell r="B20" t="str">
            <v>Driver number three</v>
          </cell>
          <cell r="C20">
            <v>-12</v>
          </cell>
          <cell r="D20">
            <v>-6</v>
          </cell>
          <cell r="E20">
            <v>-12</v>
          </cell>
          <cell r="F20">
            <v>5</v>
          </cell>
          <cell r="G20">
            <v>3</v>
          </cell>
          <cell r="H20">
            <v>9</v>
          </cell>
          <cell r="I20">
            <v>-30</v>
          </cell>
          <cell r="J20">
            <v>0</v>
          </cell>
          <cell r="K20">
            <v>17</v>
          </cell>
          <cell r="L20" t="str">
            <v/>
          </cell>
        </row>
        <row r="21">
          <cell r="B21" t="str">
            <v>Bull only driver one</v>
          </cell>
          <cell r="C21">
            <v>-18</v>
          </cell>
          <cell r="D21">
            <v>0</v>
          </cell>
          <cell r="E21">
            <v>-12</v>
          </cell>
          <cell r="F21">
            <v>8</v>
          </cell>
          <cell r="G21">
            <v>4</v>
          </cell>
          <cell r="H21">
            <v>5</v>
          </cell>
          <cell r="I21">
            <v>-30</v>
          </cell>
          <cell r="J21">
            <v>0</v>
          </cell>
          <cell r="K21">
            <v>17</v>
          </cell>
          <cell r="L21" t="str">
            <v/>
          </cell>
        </row>
        <row r="22">
          <cell r="B22" t="str">
            <v>Bull only driver two</v>
          </cell>
          <cell r="C22">
            <v>-18</v>
          </cell>
          <cell r="D22">
            <v>0</v>
          </cell>
          <cell r="E22">
            <v>-12</v>
          </cell>
          <cell r="F22">
            <v>12</v>
          </cell>
          <cell r="G22">
            <v>5</v>
          </cell>
          <cell r="H22">
            <v>0</v>
          </cell>
          <cell r="I22">
            <v>-30</v>
          </cell>
          <cell r="J22">
            <v>0</v>
          </cell>
          <cell r="K22">
            <v>17</v>
          </cell>
          <cell r="L22" t="str">
            <v/>
          </cell>
        </row>
        <row r="23">
          <cell r="B23" t="str">
            <v>Bear only driver one</v>
          </cell>
          <cell r="C23">
            <v>-18</v>
          </cell>
          <cell r="D23">
            <v>-4</v>
          </cell>
          <cell r="E23">
            <v>-8</v>
          </cell>
          <cell r="F23">
            <v>17</v>
          </cell>
          <cell r="G23">
            <v>0</v>
          </cell>
          <cell r="H23">
            <v>0</v>
          </cell>
          <cell r="I23">
            <v>-30</v>
          </cell>
          <cell r="J23">
            <v>0</v>
          </cell>
          <cell r="K23">
            <v>17</v>
          </cell>
          <cell r="L23" t="str">
            <v/>
          </cell>
        </row>
        <row r="24">
          <cell r="B24" t="str">
            <v>Bear only driver two</v>
          </cell>
          <cell r="C24">
            <v>-22</v>
          </cell>
          <cell r="D24">
            <v>-3</v>
          </cell>
          <cell r="E24">
            <v>-5</v>
          </cell>
          <cell r="F24">
            <v>17</v>
          </cell>
          <cell r="G24">
            <v>0</v>
          </cell>
          <cell r="H24">
            <v>0</v>
          </cell>
          <cell r="I24">
            <v>-30</v>
          </cell>
          <cell r="J24">
            <v>0</v>
          </cell>
          <cell r="K24">
            <v>17</v>
          </cell>
          <cell r="L24" t="str">
            <v/>
          </cell>
        </row>
        <row r="25">
          <cell r="B25" t="str">
            <v>Bear only driver three</v>
          </cell>
          <cell r="C25">
            <v>-25</v>
          </cell>
          <cell r="D25">
            <v>-5</v>
          </cell>
          <cell r="E25">
            <v>0</v>
          </cell>
          <cell r="F25">
            <v>17</v>
          </cell>
          <cell r="G25">
            <v>0</v>
          </cell>
          <cell r="H25">
            <v>0</v>
          </cell>
          <cell r="I25">
            <v>-30</v>
          </cell>
          <cell r="J25">
            <v>0</v>
          </cell>
          <cell r="K25">
            <v>17</v>
          </cell>
          <cell r="L25" t="str">
            <v/>
          </cell>
        </row>
        <row r="26">
          <cell r="I26">
            <v>-30</v>
          </cell>
          <cell r="J26">
            <v>0</v>
          </cell>
          <cell r="K26">
            <v>17</v>
          </cell>
          <cell r="L26" t="str">
            <v/>
          </cell>
        </row>
        <row r="27">
          <cell r="I27">
            <v>-30</v>
          </cell>
          <cell r="J27">
            <v>0</v>
          </cell>
          <cell r="K27">
            <v>17</v>
          </cell>
          <cell r="L27" t="str">
            <v/>
          </cell>
        </row>
        <row r="28">
          <cell r="B28" t="str">
            <v>Bear</v>
          </cell>
          <cell r="C28">
            <v>10</v>
          </cell>
        </row>
        <row r="29">
          <cell r="B29" t="str">
            <v>Base</v>
          </cell>
          <cell r="C29">
            <v>40</v>
          </cell>
          <cell r="K29" t="str">
            <v>Note: Price Target = Base Case unless otherwise indicated.</v>
          </cell>
        </row>
        <row r="30">
          <cell r="B30" t="str">
            <v>Bull</v>
          </cell>
          <cell r="C30">
            <v>57</v>
          </cell>
        </row>
        <row r="31">
          <cell r="B31" t="str">
            <v>Price Target</v>
          </cell>
          <cell r="C31">
            <v>40</v>
          </cell>
        </row>
        <row r="35">
          <cell r="I35" t="str">
            <v>s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4">
          <cell r="C4" t="str">
            <v>Bear</v>
          </cell>
          <cell r="E4" t="str">
            <v>Base</v>
          </cell>
          <cell r="H4" t="str">
            <v>Bull</v>
          </cell>
        </row>
        <row r="5">
          <cell r="B5">
            <v>-36</v>
          </cell>
          <cell r="C5">
            <v>-36</v>
          </cell>
          <cell r="E5">
            <v>40</v>
          </cell>
          <cell r="H5">
            <v>18</v>
          </cell>
          <cell r="J5">
            <v>18</v>
          </cell>
        </row>
        <row r="6">
          <cell r="A6" t="str">
            <v>check</v>
          </cell>
          <cell r="C6" t="str">
            <v>-space2</v>
          </cell>
          <cell r="D6" t="str">
            <v>-bear</v>
          </cell>
          <cell r="E6" t="str">
            <v>-space1</v>
          </cell>
          <cell r="F6" t="str">
            <v>+space1</v>
          </cell>
          <cell r="G6" t="str">
            <v>+bull</v>
          </cell>
          <cell r="H6" t="str">
            <v>+space2</v>
          </cell>
        </row>
        <row r="7">
          <cell r="A7">
            <v>-36</v>
          </cell>
          <cell r="B7" t="str">
            <v>This is long label number one</v>
          </cell>
          <cell r="C7">
            <v>-32</v>
          </cell>
          <cell r="D7">
            <v>-4</v>
          </cell>
          <cell r="E7">
            <v>0</v>
          </cell>
          <cell r="F7">
            <v>0</v>
          </cell>
          <cell r="G7">
            <v>4</v>
          </cell>
          <cell r="H7">
            <v>14</v>
          </cell>
          <cell r="I7">
            <v>18</v>
          </cell>
        </row>
        <row r="8">
          <cell r="A8">
            <v>-36</v>
          </cell>
          <cell r="B8" t="str">
            <v>This is long label number two</v>
          </cell>
          <cell r="C8">
            <v>-27</v>
          </cell>
          <cell r="D8">
            <v>-5</v>
          </cell>
          <cell r="E8">
            <v>-4</v>
          </cell>
          <cell r="F8">
            <v>4</v>
          </cell>
          <cell r="G8">
            <v>2</v>
          </cell>
          <cell r="H8">
            <v>12</v>
          </cell>
          <cell r="I8">
            <v>18</v>
          </cell>
        </row>
        <row r="9">
          <cell r="A9">
            <v>-36</v>
          </cell>
          <cell r="B9" t="str">
            <v>This is long label number three</v>
          </cell>
          <cell r="C9">
            <v>-21</v>
          </cell>
          <cell r="D9">
            <v>-6</v>
          </cell>
          <cell r="E9">
            <v>-9</v>
          </cell>
          <cell r="F9">
            <v>6</v>
          </cell>
          <cell r="G9">
            <v>3</v>
          </cell>
          <cell r="H9">
            <v>9</v>
          </cell>
          <cell r="I9">
            <v>18</v>
          </cell>
        </row>
        <row r="10">
          <cell r="A10">
            <v>-36</v>
          </cell>
          <cell r="B10" t="str">
            <v>This is long label number four</v>
          </cell>
          <cell r="C10">
            <v>-17</v>
          </cell>
          <cell r="D10">
            <v>-4</v>
          </cell>
          <cell r="E10">
            <v>-15</v>
          </cell>
          <cell r="F10">
            <v>9</v>
          </cell>
          <cell r="G10">
            <v>4</v>
          </cell>
          <cell r="H10">
            <v>5</v>
          </cell>
          <cell r="I10">
            <v>18</v>
          </cell>
        </row>
        <row r="11">
          <cell r="A11">
            <v>-36</v>
          </cell>
          <cell r="B11" t="str">
            <v>This is long label number five</v>
          </cell>
          <cell r="C11">
            <v>-12</v>
          </cell>
          <cell r="D11">
            <v>-5</v>
          </cell>
          <cell r="E11">
            <v>-19</v>
          </cell>
          <cell r="F11">
            <v>13</v>
          </cell>
          <cell r="G11">
            <v>5</v>
          </cell>
          <cell r="H11">
            <v>0</v>
          </cell>
          <cell r="I11">
            <v>18</v>
          </cell>
        </row>
        <row r="12">
          <cell r="A12">
            <v>-36</v>
          </cell>
          <cell r="B12" t="str">
            <v>This is long label number six</v>
          </cell>
          <cell r="C12">
            <v>-8</v>
          </cell>
          <cell r="D12">
            <v>-4</v>
          </cell>
          <cell r="E12">
            <v>-24</v>
          </cell>
          <cell r="F12">
            <v>18</v>
          </cell>
          <cell r="H12">
            <v>0</v>
          </cell>
          <cell r="I12">
            <v>18</v>
          </cell>
        </row>
        <row r="13">
          <cell r="A13">
            <v>-36</v>
          </cell>
          <cell r="B13" t="str">
            <v>This is long label number seven</v>
          </cell>
          <cell r="C13">
            <v>-5</v>
          </cell>
          <cell r="D13">
            <v>-3</v>
          </cell>
          <cell r="E13">
            <v>-28</v>
          </cell>
          <cell r="F13">
            <v>18</v>
          </cell>
          <cell r="H13">
            <v>0</v>
          </cell>
          <cell r="I13">
            <v>18</v>
          </cell>
        </row>
        <row r="14">
          <cell r="A14">
            <v>-36</v>
          </cell>
          <cell r="B14" t="str">
            <v>This is long label number eight</v>
          </cell>
          <cell r="C14">
            <v>0</v>
          </cell>
          <cell r="D14">
            <v>-5</v>
          </cell>
          <cell r="E14">
            <v>-31</v>
          </cell>
          <cell r="F14">
            <v>18</v>
          </cell>
          <cell r="H14">
            <v>0</v>
          </cell>
          <cell r="I14">
            <v>18</v>
          </cell>
        </row>
        <row r="16">
          <cell r="C16" t="str">
            <v>-space1</v>
          </cell>
          <cell r="D16" t="str">
            <v>-bear</v>
          </cell>
          <cell r="E16" t="str">
            <v>-space2</v>
          </cell>
          <cell r="F16" t="str">
            <v>+space1</v>
          </cell>
          <cell r="G16" t="str">
            <v>+bull</v>
          </cell>
          <cell r="H16" t="str">
            <v>+space2</v>
          </cell>
          <cell r="I16" t="str">
            <v>Bear  4.00</v>
          </cell>
          <cell r="J16" t="str">
            <v>Base  40.00</v>
          </cell>
          <cell r="K16" t="str">
            <v>Bull: 58.00</v>
          </cell>
          <cell r="L16" t="str">
            <v>PT:
42.00</v>
          </cell>
        </row>
        <row r="18">
          <cell r="B18" t="str">
            <v>Driver number one</v>
          </cell>
          <cell r="C18">
            <v>0</v>
          </cell>
          <cell r="D18">
            <v>-4</v>
          </cell>
          <cell r="E18">
            <v>-32</v>
          </cell>
          <cell r="F18">
            <v>0</v>
          </cell>
          <cell r="G18">
            <v>4</v>
          </cell>
          <cell r="H18">
            <v>14</v>
          </cell>
          <cell r="I18">
            <v>-36</v>
          </cell>
          <cell r="J18">
            <v>0</v>
          </cell>
          <cell r="K18">
            <v>18</v>
          </cell>
          <cell r="L18">
            <v>2</v>
          </cell>
        </row>
        <row r="19">
          <cell r="B19" t="str">
            <v>Driver number two</v>
          </cell>
          <cell r="C19">
            <v>-4</v>
          </cell>
          <cell r="D19">
            <v>-5</v>
          </cell>
          <cell r="E19">
            <v>-27</v>
          </cell>
          <cell r="F19">
            <v>4</v>
          </cell>
          <cell r="G19">
            <v>2</v>
          </cell>
          <cell r="H19">
            <v>12</v>
          </cell>
          <cell r="I19">
            <v>-36</v>
          </cell>
          <cell r="J19">
            <v>0</v>
          </cell>
          <cell r="K19">
            <v>18</v>
          </cell>
          <cell r="L19">
            <v>2</v>
          </cell>
        </row>
        <row r="20">
          <cell r="B20" t="str">
            <v>Driver number three</v>
          </cell>
          <cell r="C20">
            <v>-9</v>
          </cell>
          <cell r="D20">
            <v>-6</v>
          </cell>
          <cell r="E20">
            <v>-21</v>
          </cell>
          <cell r="F20">
            <v>6</v>
          </cell>
          <cell r="G20">
            <v>3</v>
          </cell>
          <cell r="H20">
            <v>9</v>
          </cell>
          <cell r="I20">
            <v>-36</v>
          </cell>
          <cell r="J20">
            <v>0</v>
          </cell>
          <cell r="K20">
            <v>18</v>
          </cell>
          <cell r="L20">
            <v>2</v>
          </cell>
        </row>
        <row r="21">
          <cell r="B21" t="str">
            <v>Driver number four</v>
          </cell>
          <cell r="C21">
            <v>-15</v>
          </cell>
          <cell r="D21">
            <v>-4</v>
          </cell>
          <cell r="E21">
            <v>-17</v>
          </cell>
          <cell r="F21">
            <v>9</v>
          </cell>
          <cell r="G21">
            <v>4</v>
          </cell>
          <cell r="H21">
            <v>5</v>
          </cell>
          <cell r="I21">
            <v>-36</v>
          </cell>
          <cell r="J21">
            <v>0</v>
          </cell>
          <cell r="K21">
            <v>18</v>
          </cell>
          <cell r="L21">
            <v>2</v>
          </cell>
        </row>
        <row r="22">
          <cell r="B22" t="str">
            <v>Driver number five</v>
          </cell>
          <cell r="C22">
            <v>-19</v>
          </cell>
          <cell r="D22">
            <v>-5</v>
          </cell>
          <cell r="E22">
            <v>-12</v>
          </cell>
          <cell r="F22">
            <v>13</v>
          </cell>
          <cell r="G22">
            <v>5</v>
          </cell>
          <cell r="H22">
            <v>0</v>
          </cell>
          <cell r="I22">
            <v>-36</v>
          </cell>
          <cell r="J22">
            <v>0</v>
          </cell>
          <cell r="K22">
            <v>18</v>
          </cell>
          <cell r="L22">
            <v>2</v>
          </cell>
        </row>
        <row r="23">
          <cell r="B23" t="str">
            <v>Driver number six</v>
          </cell>
          <cell r="C23">
            <v>-24</v>
          </cell>
          <cell r="D23">
            <v>-4</v>
          </cell>
          <cell r="E23">
            <v>-8</v>
          </cell>
          <cell r="F23">
            <v>18</v>
          </cell>
          <cell r="G23">
            <v>0</v>
          </cell>
          <cell r="H23">
            <v>0</v>
          </cell>
          <cell r="I23">
            <v>-36</v>
          </cell>
          <cell r="J23">
            <v>0</v>
          </cell>
          <cell r="K23">
            <v>18</v>
          </cell>
          <cell r="L23">
            <v>2</v>
          </cell>
        </row>
        <row r="24">
          <cell r="B24" t="str">
            <v>Driver number seven</v>
          </cell>
          <cell r="C24">
            <v>-28</v>
          </cell>
          <cell r="D24">
            <v>-3</v>
          </cell>
          <cell r="E24">
            <v>-5</v>
          </cell>
          <cell r="F24">
            <v>18</v>
          </cell>
          <cell r="G24">
            <v>0</v>
          </cell>
          <cell r="H24">
            <v>0</v>
          </cell>
          <cell r="I24">
            <v>-36</v>
          </cell>
          <cell r="J24">
            <v>0</v>
          </cell>
          <cell r="K24">
            <v>18</v>
          </cell>
          <cell r="L24">
            <v>2</v>
          </cell>
        </row>
        <row r="25">
          <cell r="B25" t="str">
            <v>Driver number eight</v>
          </cell>
          <cell r="C25">
            <v>-31</v>
          </cell>
          <cell r="D25">
            <v>-5</v>
          </cell>
          <cell r="E25">
            <v>0</v>
          </cell>
          <cell r="F25">
            <v>18</v>
          </cell>
          <cell r="G25">
            <v>0</v>
          </cell>
          <cell r="H25">
            <v>0</v>
          </cell>
          <cell r="I25">
            <v>-36</v>
          </cell>
          <cell r="J25">
            <v>0</v>
          </cell>
          <cell r="K25">
            <v>18</v>
          </cell>
          <cell r="L25">
            <v>2</v>
          </cell>
        </row>
        <row r="26">
          <cell r="I26">
            <v>-36</v>
          </cell>
          <cell r="J26">
            <v>0</v>
          </cell>
          <cell r="K26">
            <v>18</v>
          </cell>
          <cell r="L26">
            <v>2</v>
          </cell>
        </row>
        <row r="27">
          <cell r="I27">
            <v>-36</v>
          </cell>
          <cell r="J27">
            <v>0</v>
          </cell>
          <cell r="K27">
            <v>18</v>
          </cell>
          <cell r="L27">
            <v>2</v>
          </cell>
        </row>
        <row r="28">
          <cell r="B28" t="str">
            <v>Bear</v>
          </cell>
          <cell r="C28">
            <v>4</v>
          </cell>
        </row>
        <row r="29">
          <cell r="B29" t="str">
            <v>Base</v>
          </cell>
          <cell r="C29">
            <v>40</v>
          </cell>
        </row>
        <row r="30">
          <cell r="B30" t="str">
            <v>Bull</v>
          </cell>
          <cell r="C30">
            <v>58</v>
          </cell>
        </row>
        <row r="31">
          <cell r="B31" t="str">
            <v>Price Target</v>
          </cell>
          <cell r="C31">
            <v>42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ces"/>
      <sheetName val="Bulks"/>
      <sheetName val="Charts"/>
      <sheetName val="Data"/>
      <sheetName val="AFOSHEET"/>
      <sheetName val="MS Commodities Daily"/>
      <sheetName val="Consensus"/>
      <sheetName val="SMRM Costs"/>
      <sheetName val="MS Prices"/>
      <sheetName val="Daily Source"/>
      <sheetName val="Aust Steel team"/>
      <sheetName val="Summary"/>
      <sheetName val="Steel Making Raw Materials"/>
      <sheetName val="Thermal Coal"/>
      <sheetName val="Other Prices"/>
      <sheetName val="CFS Prices"/>
      <sheetName val="Metals &amp; Energy"/>
      <sheetName val="FX"/>
    </sheetNames>
    <sheetDataSet>
      <sheetData sheetId="0"/>
      <sheetData sheetId="1" refreshError="1"/>
      <sheetData sheetId="2" refreshError="1">
        <row r="1">
          <cell r="A1" t="str">
            <v>US$ TWI vs Gold</v>
          </cell>
          <cell r="I1" t="str">
            <v>US$ TWI vs USD/EUR</v>
          </cell>
          <cell r="Q1" t="str">
            <v>US$ TWI</v>
          </cell>
        </row>
        <row r="21">
          <cell r="A21" t="str">
            <v>Gold:Silver Ratio</v>
          </cell>
          <cell r="I21" t="str">
            <v>Platinum:Palladium Ratio</v>
          </cell>
          <cell r="Q21" t="str">
            <v>Gold:Platinum Ratio</v>
          </cell>
        </row>
        <row r="41">
          <cell r="A41" t="str">
            <v>Copper:Aluminium Ratio</v>
          </cell>
          <cell r="I41" t="str">
            <v>Copper vs Oil</v>
          </cell>
          <cell r="Q41" t="str">
            <v>Tin:Aluminium Ratio</v>
          </cell>
        </row>
        <row r="61">
          <cell r="A61" t="str">
            <v>S&amp;P vs CRB</v>
          </cell>
          <cell r="I61" t="str">
            <v>Ali vs Oil</v>
          </cell>
          <cell r="Q61" t="str">
            <v>Spot Met Coal, iron Roe and China HRC</v>
          </cell>
        </row>
        <row r="69">
          <cell r="H69" t="str">
            <v>Metals</v>
          </cell>
        </row>
        <row r="70">
          <cell r="H70" t="str">
            <v>↕ Strength</v>
          </cell>
        </row>
        <row r="71">
          <cell r="H71" t="str">
            <v>Oil</v>
          </cell>
        </row>
        <row r="81">
          <cell r="A81" t="str">
            <v>Metals:Oil Ratio</v>
          </cell>
          <cell r="I81" t="str">
            <v>Iron Ore spot vs contract and forecast</v>
          </cell>
          <cell r="Q81" t="str">
            <v>Spot Met Coal, iron Roe and China HRC</v>
          </cell>
        </row>
        <row r="82">
          <cell r="A82" t="str">
            <v>Uranium vs Oil</v>
          </cell>
          <cell r="I82" t="str">
            <v>Gold:Oil ratio</v>
          </cell>
          <cell r="Q82" t="str">
            <v>Coke Spot vs Coking Coal Price and Forecast</v>
          </cell>
        </row>
        <row r="89">
          <cell r="H89" t="str">
            <v>Metals</v>
          </cell>
        </row>
        <row r="90">
          <cell r="H90" t="str">
            <v>↕ Strength</v>
          </cell>
        </row>
        <row r="91">
          <cell r="H91" t="str">
            <v>Oil</v>
          </cell>
        </row>
        <row r="101">
          <cell r="A101" t="str">
            <v>Thermal Coal</v>
          </cell>
          <cell r="I101" t="str">
            <v>Spot Iron Ore vs BDI</v>
          </cell>
        </row>
        <row r="102">
          <cell r="A102" t="str">
            <v>Uranium vs Oil</v>
          </cell>
          <cell r="I102" t="str">
            <v>Gold:Oil ratio</v>
          </cell>
          <cell r="Q102" t="str">
            <v>Coke Spot vs Coking Coal Price and Forecast</v>
          </cell>
        </row>
        <row r="122">
          <cell r="A122" t="str">
            <v>Uranium vs Oil</v>
          </cell>
          <cell r="I122" t="str">
            <v>Gold:Oil ratio</v>
          </cell>
          <cell r="Q122" t="str">
            <v>Coke Spot vs Coking Coal Price and Forecast</v>
          </cell>
        </row>
        <row r="128">
          <cell r="C128" t="str">
            <v>Bulks</v>
          </cell>
          <cell r="D128" t="str">
            <v>Base Metals</v>
          </cell>
          <cell r="E128" t="str">
            <v>Precious Metals</v>
          </cell>
        </row>
        <row r="129">
          <cell r="A129" t="str">
            <v>Iron Ore</v>
          </cell>
          <cell r="C129">
            <v>0.3199251637043965</v>
          </cell>
        </row>
        <row r="130">
          <cell r="A130" t="str">
            <v>Coking Coal</v>
          </cell>
          <cell r="C130">
            <v>0.23529411764705888</v>
          </cell>
        </row>
        <row r="131">
          <cell r="A131" t="str">
            <v>Spot Coke</v>
          </cell>
          <cell r="C131" t="e">
            <v>#N/A</v>
          </cell>
        </row>
        <row r="132">
          <cell r="A132" t="str">
            <v>China HRC</v>
          </cell>
          <cell r="C132" t="e">
            <v>#N/A</v>
          </cell>
        </row>
        <row r="133">
          <cell r="A133" t="str">
            <v>Aluminium</v>
          </cell>
          <cell r="D133" t="e">
            <v>#NAME?</v>
          </cell>
        </row>
        <row r="134">
          <cell r="A134" t="str">
            <v>Copper</v>
          </cell>
          <cell r="D134" t="e">
            <v>#NAME?</v>
          </cell>
        </row>
        <row r="135">
          <cell r="A135" t="str">
            <v>Lead</v>
          </cell>
          <cell r="D135" t="e">
            <v>#NAME?</v>
          </cell>
        </row>
        <row r="136">
          <cell r="A136" t="str">
            <v>Nickel</v>
          </cell>
          <cell r="D136" t="e">
            <v>#NAME?</v>
          </cell>
        </row>
        <row r="137">
          <cell r="A137" t="str">
            <v>Tin</v>
          </cell>
          <cell r="D137" t="e">
            <v>#NAME?</v>
          </cell>
        </row>
        <row r="138">
          <cell r="A138" t="str">
            <v>Zinc</v>
          </cell>
          <cell r="D138" t="e">
            <v>#N/A</v>
          </cell>
        </row>
        <row r="139">
          <cell r="A139" t="str">
            <v>Gold</v>
          </cell>
          <cell r="E139" t="e">
            <v>#NAME?</v>
          </cell>
        </row>
        <row r="140">
          <cell r="A140" t="str">
            <v>Silver</v>
          </cell>
          <cell r="E140" t="e">
            <v>#N/A</v>
          </cell>
        </row>
        <row r="141">
          <cell r="A141" t="str">
            <v>Platinum</v>
          </cell>
          <cell r="E141" t="e">
            <v>#N/A</v>
          </cell>
        </row>
        <row r="142">
          <cell r="A142" t="str">
            <v>Spot Iron Ore vs Scrap Prices</v>
          </cell>
          <cell r="E142" t="e">
            <v>#N/A</v>
          </cell>
          <cell r="Q142" t="str">
            <v>Spot vs Quarterly Contract Prices for Hard Coking Coal</v>
          </cell>
        </row>
        <row r="146">
          <cell r="A146" t="str">
            <v>Copper vs S&amp;P</v>
          </cell>
        </row>
        <row r="148">
          <cell r="C148" t="str">
            <v>Bulks</v>
          </cell>
          <cell r="D148" t="str">
            <v>Base Metals</v>
          </cell>
          <cell r="E148" t="str">
            <v>Precious Metals</v>
          </cell>
        </row>
        <row r="149">
          <cell r="A149" t="str">
            <v>Iron Ore</v>
          </cell>
          <cell r="C149">
            <v>3.1158142269253508E-2</v>
          </cell>
        </row>
        <row r="150">
          <cell r="A150" t="str">
            <v>Coking Coal</v>
          </cell>
          <cell r="C150">
            <v>9.4435483870967785E-2</v>
          </cell>
        </row>
        <row r="151">
          <cell r="A151" t="str">
            <v>Spot Coke</v>
          </cell>
          <cell r="C151" t="e">
            <v>#N/A</v>
          </cell>
        </row>
        <row r="152">
          <cell r="A152" t="str">
            <v>China HRC</v>
          </cell>
          <cell r="C152" t="e">
            <v>#N/A</v>
          </cell>
        </row>
        <row r="153">
          <cell r="A153" t="str">
            <v>Aluminium</v>
          </cell>
          <cell r="D153">
            <v>1.4170040485830038E-2</v>
          </cell>
        </row>
        <row r="154">
          <cell r="A154" t="str">
            <v>Copper</v>
          </cell>
          <cell r="D154">
            <v>7.2916666666666963E-3</v>
          </cell>
        </row>
        <row r="155">
          <cell r="A155" t="str">
            <v>Lead</v>
          </cell>
          <cell r="D155">
            <v>4.3137254901960853E-2</v>
          </cell>
        </row>
        <row r="156">
          <cell r="A156" t="str">
            <v>Nickel</v>
          </cell>
          <cell r="D156">
            <v>4.6464646464646542E-2</v>
          </cell>
        </row>
        <row r="157">
          <cell r="A157" t="str">
            <v>Tin</v>
          </cell>
          <cell r="D157">
            <v>-1.3011152416356864E-2</v>
          </cell>
        </row>
        <row r="158">
          <cell r="A158" t="str">
            <v>Zinc</v>
          </cell>
          <cell r="D158">
            <v>4.4824775876119993E-3</v>
          </cell>
        </row>
        <row r="159">
          <cell r="A159" t="str">
            <v>Gold</v>
          </cell>
          <cell r="E159" t="e">
            <v>#N/A</v>
          </cell>
        </row>
        <row r="160">
          <cell r="A160" t="str">
            <v>Silver</v>
          </cell>
          <cell r="E160" t="e">
            <v>#N/A</v>
          </cell>
        </row>
        <row r="161">
          <cell r="A161" t="str">
            <v>Platinum</v>
          </cell>
          <cell r="E161" t="e">
            <v>#N/A</v>
          </cell>
        </row>
        <row r="162">
          <cell r="A162" t="str">
            <v>Palladium</v>
          </cell>
          <cell r="E162" t="e">
            <v>#N/A</v>
          </cell>
        </row>
        <row r="166">
          <cell r="A166" t="str">
            <v>Copper vs S&amp;P</v>
          </cell>
        </row>
        <row r="172">
          <cell r="C172" t="str">
            <v>Bulks</v>
          </cell>
          <cell r="D172" t="str">
            <v>Base Metals</v>
          </cell>
          <cell r="E172" t="str">
            <v>Precious Metals</v>
          </cell>
        </row>
        <row r="173">
          <cell r="A173" t="str">
            <v>Iron Ore</v>
          </cell>
          <cell r="C173">
            <v>2.2339800117577857E-2</v>
          </cell>
        </row>
        <row r="174">
          <cell r="A174" t="str">
            <v>Coking Coal</v>
          </cell>
          <cell r="C174">
            <v>0.33870967741935476</v>
          </cell>
        </row>
        <row r="175">
          <cell r="A175" t="str">
            <v>Spot Coke</v>
          </cell>
          <cell r="C175" t="e">
            <v>#N/A</v>
          </cell>
        </row>
        <row r="176">
          <cell r="A176" t="str">
            <v>China HRC</v>
          </cell>
          <cell r="C176" t="e">
            <v>#N/A</v>
          </cell>
        </row>
        <row r="177">
          <cell r="A177" t="str">
            <v>Aluminium</v>
          </cell>
          <cell r="D177">
            <v>6.9230769230769207E-2</v>
          </cell>
        </row>
        <row r="178">
          <cell r="A178" t="str">
            <v>Copper</v>
          </cell>
          <cell r="D178" t="e">
            <v>#N/A</v>
          </cell>
        </row>
        <row r="179">
          <cell r="A179" t="str">
            <v>Lead</v>
          </cell>
          <cell r="D179">
            <v>9.4117647058823639E-2</v>
          </cell>
        </row>
        <row r="180">
          <cell r="A180" t="str">
            <v>Nickel</v>
          </cell>
          <cell r="D180">
            <v>2.6464646464646524E-2</v>
          </cell>
        </row>
        <row r="181">
          <cell r="A181" t="str">
            <v>Tin</v>
          </cell>
          <cell r="D181">
            <v>0.17490706319702598</v>
          </cell>
        </row>
        <row r="182">
          <cell r="A182" t="str">
            <v>Zinc</v>
          </cell>
          <cell r="D182">
            <v>-1.1817440912795463E-2</v>
          </cell>
        </row>
        <row r="183">
          <cell r="A183" t="str">
            <v>Gold</v>
          </cell>
          <cell r="E183">
            <v>2.4975376389475112E-2</v>
          </cell>
        </row>
        <row r="184">
          <cell r="A184" t="str">
            <v>Silver</v>
          </cell>
          <cell r="E184" t="e">
            <v>#N/A</v>
          </cell>
        </row>
        <row r="185">
          <cell r="A185" t="str">
            <v>Platinum</v>
          </cell>
          <cell r="E185" t="e">
            <v>#N/A</v>
          </cell>
        </row>
        <row r="186">
          <cell r="A186" t="str">
            <v>Palladium</v>
          </cell>
          <cell r="E186" t="e">
            <v>#N/A</v>
          </cell>
        </row>
        <row r="192">
          <cell r="C192" t="str">
            <v>Bulks</v>
          </cell>
          <cell r="D192" t="str">
            <v>Base Metals</v>
          </cell>
          <cell r="E192" t="str">
            <v>Precious Metals</v>
          </cell>
        </row>
        <row r="193">
          <cell r="A193" t="str">
            <v>Iron Ore</v>
          </cell>
          <cell r="C193" t="e">
            <v>#REF!</v>
          </cell>
        </row>
        <row r="194">
          <cell r="A194" t="str">
            <v>Coking Coal</v>
          </cell>
          <cell r="C194" t="e">
            <v>#REF!</v>
          </cell>
        </row>
        <row r="195">
          <cell r="A195" t="str">
            <v>Spot Coke</v>
          </cell>
          <cell r="C195" t="e">
            <v>#REF!</v>
          </cell>
        </row>
        <row r="196">
          <cell r="A196" t="str">
            <v>China HRC</v>
          </cell>
          <cell r="C196" t="e">
            <v>#REF!</v>
          </cell>
        </row>
        <row r="197">
          <cell r="A197" t="str">
            <v>Aluminium</v>
          </cell>
          <cell r="D197" t="e">
            <v>#REF!</v>
          </cell>
        </row>
        <row r="198">
          <cell r="A198" t="str">
            <v>Copper</v>
          </cell>
          <cell r="D198" t="e">
            <v>#REF!</v>
          </cell>
        </row>
        <row r="199">
          <cell r="A199" t="str">
            <v>Lead</v>
          </cell>
          <cell r="D199" t="e">
            <v>#REF!</v>
          </cell>
        </row>
        <row r="200">
          <cell r="A200" t="str">
            <v>Nickel</v>
          </cell>
          <cell r="D200" t="e">
            <v>#REF!</v>
          </cell>
        </row>
        <row r="201">
          <cell r="A201" t="str">
            <v>Tin</v>
          </cell>
          <cell r="D201" t="e">
            <v>#REF!</v>
          </cell>
        </row>
        <row r="202">
          <cell r="A202" t="str">
            <v>Zinc</v>
          </cell>
          <cell r="D202" t="e">
            <v>#REF!</v>
          </cell>
        </row>
        <row r="203">
          <cell r="A203" t="str">
            <v>Gold</v>
          </cell>
          <cell r="E203" t="e">
            <v>#REF!</v>
          </cell>
        </row>
        <row r="204">
          <cell r="A204" t="str">
            <v>Silver</v>
          </cell>
          <cell r="E204" t="e">
            <v>#REF!</v>
          </cell>
        </row>
        <row r="205">
          <cell r="A205" t="str">
            <v>Platinum</v>
          </cell>
          <cell r="E205" t="e">
            <v>#REF!</v>
          </cell>
        </row>
        <row r="206">
          <cell r="A206" t="str">
            <v>Palladium</v>
          </cell>
          <cell r="E206" t="e">
            <v>#REF!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WC Summary"/>
      <sheetName val="__FDSCACHE__"/>
      <sheetName val="Scenarios"/>
      <sheetName val="Inputs"/>
      <sheetName val="Sensitivity"/>
      <sheetName val="WACC"/>
      <sheetName val="Financials"/>
      <sheetName val="Fin Charts"/>
      <sheetName val="Charts"/>
      <sheetName val="AWAC"/>
      <sheetName val="mwareTaxoPres"/>
      <sheetName val="mwareValPrintout"/>
      <sheetName val="MW-Cache"/>
      <sheetName val="X-Check"/>
      <sheetName val="MWA RR"/>
      <sheetName val="mwareDates"/>
      <sheetName val="mwareSettings"/>
      <sheetName val="(Disclaimers for All Sheets)"/>
      <sheetName val="(Disclosures for All Sheets)"/>
      <sheetName val="AWC Summary - old"/>
      <sheetName val="GE3"/>
      <sheetName val="Fin Charts (2)"/>
      <sheetName val="R3000"/>
    </sheetNames>
    <sheetDataSet>
      <sheetData sheetId="0" refreshError="1">
        <row r="2">
          <cell r="C2" t="str">
            <v>Morgan Stanley</v>
          </cell>
          <cell r="E2" t="str">
            <v>Brendan Fitzpatrick</v>
          </cell>
          <cell r="H2" t="str">
            <v>Brendan.Fitzpatrick@morganstanley.com</v>
          </cell>
          <cell r="I2" t="str">
            <v>Brendan.Fitzpatrick@morganstanley.com</v>
          </cell>
          <cell r="L2" t="str">
            <v>+61 2 9770 1148</v>
          </cell>
          <cell r="M2" t="str">
            <v>+61 2 9770 1148</v>
          </cell>
        </row>
        <row r="3">
          <cell r="C3" t="str">
            <v>Australian Mining Team</v>
          </cell>
          <cell r="E3" t="str">
            <v>Stefan Hansen</v>
          </cell>
          <cell r="H3" t="str">
            <v>Stefan.Hansen@morganstanley.com</v>
          </cell>
          <cell r="I3" t="str">
            <v>Stefan.Hansen@morganstanley.com</v>
          </cell>
          <cell r="L3" t="str">
            <v>+61 2 9770 1390</v>
          </cell>
          <cell r="M3" t="str">
            <v>+61 2 9770 1390</v>
          </cell>
        </row>
        <row r="4">
          <cell r="E4" t="str">
            <v>Sarah Lester</v>
          </cell>
          <cell r="H4" t="str">
            <v>Sarah.Lester@morganstanley.com</v>
          </cell>
          <cell r="I4" t="str">
            <v>Cameron.M.ONeill@morganstanley.com</v>
          </cell>
          <cell r="L4" t="str">
            <v>+61 3 9256 8436</v>
          </cell>
          <cell r="M4" t="str">
            <v>+61 3 9256 8936</v>
          </cell>
        </row>
        <row r="5">
          <cell r="E5" t="str">
            <v>Rachel Bentvelzen</v>
          </cell>
          <cell r="I5" t="str">
            <v>Rachel.Bentvelzen@morganstanley.com</v>
          </cell>
          <cell r="M5" t="str">
            <v>+61 2 9770 9225</v>
          </cell>
        </row>
        <row r="7">
          <cell r="B7" t="str">
            <v/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</row>
        <row r="8">
          <cell r="B8" t="str">
            <v/>
          </cell>
          <cell r="C8" t="str">
            <v>AWAC &amp; ALUMINA LIMITED - Consolidated</v>
          </cell>
          <cell r="D8" t="str">
            <v/>
          </cell>
          <cell r="E8" t="str">
            <v/>
          </cell>
          <cell r="F8" t="str">
            <v>Price:</v>
          </cell>
          <cell r="G8">
            <v>1.23</v>
          </cell>
          <cell r="H8">
            <v>0.98</v>
          </cell>
          <cell r="I8" t="str">
            <v/>
          </cell>
          <cell r="J8" t="str">
            <v>Target Price:</v>
          </cell>
          <cell r="K8">
            <v>1.5</v>
          </cell>
          <cell r="L8">
            <v>0.21951219512195119</v>
          </cell>
          <cell r="M8" t="str">
            <v>diff to last price</v>
          </cell>
          <cell r="N8" t="str">
            <v/>
          </cell>
          <cell r="O8" t="str">
            <v/>
          </cell>
          <cell r="P8" t="str">
            <v/>
          </cell>
          <cell r="Q8" t="str">
            <v>Spot FX</v>
          </cell>
          <cell r="R8">
            <v>1.03</v>
          </cell>
        </row>
        <row r="9">
          <cell r="B9" t="str">
            <v/>
          </cell>
          <cell r="C9" t="str">
            <v>AWAC &amp; ALUMINA LIMITED - Consolidated</v>
          </cell>
          <cell r="H9" t="str">
            <v>Last Price:</v>
          </cell>
          <cell r="I9">
            <v>0.96</v>
          </cell>
          <cell r="K9" t="str">
            <v>Target Price:</v>
          </cell>
          <cell r="L9">
            <v>1.0496686025583111</v>
          </cell>
          <cell r="M9">
            <v>9.3404794331574115E-2</v>
          </cell>
          <cell r="N9" t="str">
            <v>to last price</v>
          </cell>
          <cell r="Q9" t="str">
            <v/>
          </cell>
          <cell r="S9" t="str">
            <v>Spot FX</v>
          </cell>
          <cell r="T9">
            <v>0.95</v>
          </cell>
        </row>
        <row r="10">
          <cell r="B10" t="str">
            <v/>
          </cell>
          <cell r="C10" t="str">
            <v>Assumptions (Yr to Dec)</v>
          </cell>
          <cell r="D10" t="str">
            <v>2010A</v>
          </cell>
          <cell r="E10" t="str">
            <v>2011e</v>
          </cell>
          <cell r="F10" t="str">
            <v>2012e</v>
          </cell>
          <cell r="G10" t="str">
            <v>2013e</v>
          </cell>
          <cell r="H10" t="str">
            <v>LT</v>
          </cell>
          <cell r="J10" t="str">
            <v xml:space="preserve">Profit &amp; Loss (US$m) </v>
          </cell>
          <cell r="K10" t="str">
            <v>2010A</v>
          </cell>
          <cell r="L10" t="str">
            <v>2011e</v>
          </cell>
          <cell r="M10" t="str">
            <v>2012e</v>
          </cell>
          <cell r="N10" t="str">
            <v>2013e</v>
          </cell>
          <cell r="Q10" t="str">
            <v>Share price US$</v>
          </cell>
          <cell r="R10">
            <v>1.2668999999999999</v>
          </cell>
        </row>
        <row r="11">
          <cell r="B11" t="str">
            <v/>
          </cell>
          <cell r="C11" t="str">
            <v>LME Aluminium US$/lb (spot)</v>
          </cell>
          <cell r="D11">
            <v>0.99384687210912803</v>
          </cell>
          <cell r="E11">
            <v>1.1000482730756047</v>
          </cell>
          <cell r="F11">
            <v>1.0225</v>
          </cell>
          <cell r="G11">
            <v>1.1100000000000001</v>
          </cell>
          <cell r="H11">
            <v>1.3</v>
          </cell>
          <cell r="I11" t="str">
            <v>LT</v>
          </cell>
          <cell r="J11" t="str">
            <v>AWAC (AWC 40% share)</v>
          </cell>
          <cell r="K11" t="str">
            <v xml:space="preserve">Profit &amp; Loss (US$m) </v>
          </cell>
          <cell r="L11" t="str">
            <v>CY11</v>
          </cell>
          <cell r="M11" t="str">
            <v>CY12</v>
          </cell>
          <cell r="N11" t="str">
            <v>CY13e</v>
          </cell>
          <cell r="O11" t="str">
            <v>CY14e</v>
          </cell>
          <cell r="P11" t="str">
            <v>CY15e</v>
          </cell>
          <cell r="Q11" t="str">
            <v/>
          </cell>
          <cell r="S11" t="str">
            <v>Price:</v>
          </cell>
          <cell r="T11">
            <v>0.96</v>
          </cell>
        </row>
        <row r="12">
          <cell r="B12" t="str">
            <v/>
          </cell>
          <cell r="C12" t="str">
            <v>Alumina US$/t (Received)</v>
          </cell>
          <cell r="D12">
            <v>339.85986788583693</v>
          </cell>
          <cell r="E12">
            <v>360.86871709020141</v>
          </cell>
          <cell r="F12">
            <v>336.65425803281249</v>
          </cell>
          <cell r="G12">
            <v>371.65759537499991</v>
          </cell>
          <cell r="H12">
            <v>420</v>
          </cell>
          <cell r="I12">
            <v>1.05</v>
          </cell>
          <cell r="J12" t="str">
            <v>Sales Revenue</v>
          </cell>
          <cell r="K12">
            <v>2182.6</v>
          </cell>
          <cell r="L12">
            <v>2711.2769450307424</v>
          </cell>
          <cell r="M12">
            <v>2362.5270456018193</v>
          </cell>
          <cell r="N12">
            <v>2612.9664231310194</v>
          </cell>
          <cell r="Q12" t="str">
            <v>Share price US$</v>
          </cell>
          <cell r="R12">
            <v>0.99960000000000004</v>
          </cell>
        </row>
        <row r="13">
          <cell r="B13" t="str">
            <v/>
          </cell>
          <cell r="C13" t="str">
            <v>Oil price US$/bbl</v>
          </cell>
          <cell r="D13">
            <v>82.714745762711871</v>
          </cell>
          <cell r="E13">
            <v>113.32</v>
          </cell>
          <cell r="F13">
            <v>112.69</v>
          </cell>
          <cell r="G13">
            <v>90</v>
          </cell>
          <cell r="H13">
            <v>90</v>
          </cell>
          <cell r="I13">
            <v>390.40788847499999</v>
          </cell>
          <cell r="J13" t="str">
            <v>Expenses</v>
          </cell>
          <cell r="K13">
            <v>-1872.2</v>
          </cell>
          <cell r="L13">
            <v>-2152.9334674284137</v>
          </cell>
          <cell r="M13">
            <v>-2052.2812126110707</v>
          </cell>
          <cell r="N13">
            <v>-2153.5025875394381</v>
          </cell>
          <cell r="O13">
            <v>2483.5552295770776</v>
          </cell>
          <cell r="P13">
            <v>2483.5552295770776</v>
          </cell>
          <cell r="Q13" t="str">
            <v/>
          </cell>
          <cell r="S13" t="str">
            <v>DCF date</v>
          </cell>
          <cell r="T13">
            <v>41446</v>
          </cell>
        </row>
        <row r="14">
          <cell r="B14" t="str">
            <v/>
          </cell>
          <cell r="C14" t="str">
            <v>Caustic Price US$/t</v>
          </cell>
          <cell r="D14">
            <v>275</v>
          </cell>
          <cell r="E14">
            <v>375</v>
          </cell>
          <cell r="F14">
            <v>450</v>
          </cell>
          <cell r="G14">
            <v>450</v>
          </cell>
          <cell r="H14">
            <v>400</v>
          </cell>
          <cell r="I14">
            <v>90</v>
          </cell>
          <cell r="J14" t="str">
            <v>EBITDA</v>
          </cell>
          <cell r="K14">
            <v>310.39999999999986</v>
          </cell>
          <cell r="L14">
            <v>558.34347760232868</v>
          </cell>
          <cell r="M14">
            <v>310.24583299074857</v>
          </cell>
          <cell r="N14">
            <v>459.4638355915813</v>
          </cell>
          <cell r="O14">
            <v>-2185.0350718864815</v>
          </cell>
          <cell r="P14">
            <v>-1055.7414803460733</v>
          </cell>
          <cell r="Q14" t="str">
            <v>DCF date</v>
          </cell>
          <cell r="R14">
            <v>41283</v>
          </cell>
        </row>
        <row r="15">
          <cell r="B15" t="str">
            <v/>
          </cell>
          <cell r="C15" t="str">
            <v>Exchange Rate Spot A$/US$</v>
          </cell>
          <cell r="D15">
            <v>0.91515000000000002</v>
          </cell>
          <cell r="E15">
            <v>1.0365900961538463</v>
          </cell>
          <cell r="F15">
            <v>1.0044240802492228</v>
          </cell>
          <cell r="G15">
            <v>0.97303179524587458</v>
          </cell>
          <cell r="H15">
            <v>0.8432985181934054</v>
          </cell>
          <cell r="I15">
            <v>400</v>
          </cell>
          <cell r="J15" t="str">
            <v>Depreciation</v>
          </cell>
          <cell r="K15">
            <v>-169.8</v>
          </cell>
          <cell r="L15">
            <v>-136</v>
          </cell>
          <cell r="M15">
            <v>-132</v>
          </cell>
          <cell r="N15">
            <v>-143</v>
          </cell>
          <cell r="O15">
            <v>298.52015769059608</v>
          </cell>
          <cell r="P15">
            <v>1427.8137492310043</v>
          </cell>
          <cell r="Q15" t="str">
            <v/>
          </cell>
          <cell r="S15" t="str">
            <v>Share price US$</v>
          </cell>
          <cell r="T15">
            <v>0.91199999999999992</v>
          </cell>
        </row>
        <row r="16">
          <cell r="B16" t="str">
            <v/>
          </cell>
          <cell r="C16" t="str">
            <v>Exchange Rate Spot A$/US$</v>
          </cell>
          <cell r="D16">
            <v>1.0365900961538461</v>
          </cell>
          <cell r="E16">
            <v>1.032343887496519</v>
          </cell>
          <cell r="F16">
            <v>0.97750000000000004</v>
          </cell>
          <cell r="G16">
            <v>0.91</v>
          </cell>
          <cell r="H16">
            <v>0.86</v>
          </cell>
          <cell r="I16">
            <v>0.92500000000000004</v>
          </cell>
          <cell r="J16" t="str">
            <v>EBIT</v>
          </cell>
          <cell r="K16">
            <v>140.59999999999985</v>
          </cell>
          <cell r="L16">
            <v>422.34347760232868</v>
          </cell>
          <cell r="M16">
            <v>178.24583299074857</v>
          </cell>
          <cell r="N16">
            <v>316.4638355915813</v>
          </cell>
          <cell r="O16">
            <v>-191.56</v>
          </cell>
          <cell r="P16">
            <v>-95.48</v>
          </cell>
          <cell r="Q16" t="str">
            <v>Today's date</v>
          </cell>
          <cell r="R16">
            <v>41283</v>
          </cell>
        </row>
        <row r="17">
          <cell r="B17" t="str">
            <v/>
          </cell>
          <cell r="J17" t="str">
            <v>Tax - AWAC operations</v>
          </cell>
          <cell r="K17">
            <v>-55.9</v>
          </cell>
          <cell r="L17">
            <v>-168.15527348981593</v>
          </cell>
          <cell r="M17">
            <v>-20.968248320390586</v>
          </cell>
          <cell r="N17">
            <v>12.772244502052693</v>
          </cell>
          <cell r="O17">
            <v>106.96015769059608</v>
          </cell>
          <cell r="P17">
            <v>1332.3337492310043</v>
          </cell>
          <cell r="Q17" t="str">
            <v/>
          </cell>
          <cell r="S17" t="str">
            <v>Today's date</v>
          </cell>
          <cell r="T17">
            <v>41450</v>
          </cell>
        </row>
        <row r="18">
          <cell r="B18" t="str">
            <v/>
          </cell>
          <cell r="C18" t="str">
            <v xml:space="preserve">Production </v>
          </cell>
          <cell r="D18" t="str">
            <v>2010A</v>
          </cell>
          <cell r="E18" t="str">
            <v>2011e</v>
          </cell>
          <cell r="F18" t="str">
            <v>2012e</v>
          </cell>
          <cell r="G18" t="str">
            <v>2013e</v>
          </cell>
          <cell r="H18" t="str">
            <v>CY15e</v>
          </cell>
          <cell r="J18" t="str">
            <v>AWC share of net profit</v>
          </cell>
          <cell r="K18">
            <v>84.699999999999847</v>
          </cell>
          <cell r="L18">
            <v>254.18820411251275</v>
          </cell>
          <cell r="M18">
            <v>157.27758467035798</v>
          </cell>
          <cell r="N18">
            <v>329.23608009363397</v>
          </cell>
          <cell r="O18">
            <v>-39.448904313083958</v>
          </cell>
          <cell r="P18">
            <v>-66.647888442174619</v>
          </cell>
          <cell r="Q18" t="str">
            <v/>
          </cell>
        </row>
        <row r="19">
          <cell r="B19" t="str">
            <v/>
          </cell>
          <cell r="C19" t="str">
            <v>Alumina - AWAC 100% ('000t)</v>
          </cell>
          <cell r="D19">
            <v>15200</v>
          </cell>
          <cell r="E19">
            <v>15700</v>
          </cell>
          <cell r="F19">
            <v>16171.000000000002</v>
          </cell>
          <cell r="G19">
            <v>16171.000000000002</v>
          </cell>
          <cell r="H19">
            <v>0.19099680755848625</v>
          </cell>
          <cell r="J19" t="str">
            <v>AWC revenue &amp; expenses</v>
          </cell>
          <cell r="K19">
            <v>-11.2</v>
          </cell>
          <cell r="L19">
            <v>-14.7</v>
          </cell>
          <cell r="M19">
            <v>-14.7</v>
          </cell>
          <cell r="N19">
            <v>-14.7</v>
          </cell>
          <cell r="O19">
            <v>67.511253377512119</v>
          </cell>
          <cell r="P19">
            <v>1265.6858607888296</v>
          </cell>
          <cell r="Q19" t="str">
            <v/>
          </cell>
        </row>
        <row r="20">
          <cell r="B20" t="str">
            <v/>
          </cell>
          <cell r="C20" t="str">
            <v>Alumina - 40% of AWAC ('000t)</v>
          </cell>
          <cell r="D20">
            <v>6080</v>
          </cell>
          <cell r="E20">
            <v>6280</v>
          </cell>
          <cell r="F20">
            <v>6468.4000000000015</v>
          </cell>
          <cell r="G20">
            <v>6468.4000000000015</v>
          </cell>
          <cell r="H20">
            <v>0.05</v>
          </cell>
          <cell r="J20" t="str">
            <v>Net finance costs</v>
          </cell>
          <cell r="K20">
            <v>-38.700000000000003</v>
          </cell>
          <cell r="L20">
            <v>-29.452014758881074</v>
          </cell>
          <cell r="M20">
            <v>-37.343146112345444</v>
          </cell>
          <cell r="N20">
            <v>-37.137428771536023</v>
          </cell>
          <cell r="O20">
            <v>-17.3</v>
          </cell>
          <cell r="P20">
            <v>-9.1</v>
          </cell>
          <cell r="Q20" t="str">
            <v/>
          </cell>
        </row>
        <row r="21">
          <cell r="B21" t="str">
            <v/>
          </cell>
          <cell r="C21" t="str">
            <v>Aluminium - AWAC 100%  ('000t)</v>
          </cell>
          <cell r="D21">
            <v>354</v>
          </cell>
          <cell r="E21">
            <v>364.62</v>
          </cell>
          <cell r="F21">
            <v>375.55860000000001</v>
          </cell>
          <cell r="G21">
            <v>386.82535800000005</v>
          </cell>
          <cell r="J21" t="str">
            <v>AWC Pre-tax Profit</v>
          </cell>
          <cell r="K21">
            <v>34.799999999999841</v>
          </cell>
          <cell r="L21">
            <v>210.0361893536317</v>
          </cell>
          <cell r="M21">
            <v>105.23443855801256</v>
          </cell>
          <cell r="N21">
            <v>277.39865132209798</v>
          </cell>
          <cell r="O21">
            <v>-13.734163101289486</v>
          </cell>
          <cell r="P21">
            <v>-5.6266276046971431</v>
          </cell>
          <cell r="Q21" t="str">
            <v/>
          </cell>
        </row>
        <row r="22">
          <cell r="B22" t="str">
            <v/>
          </cell>
          <cell r="C22" t="str">
            <v>Aluminium - 40% of AWAC ('000t)</v>
          </cell>
          <cell r="D22">
            <v>141.6</v>
          </cell>
          <cell r="E22">
            <v>145.84800000000001</v>
          </cell>
          <cell r="F22">
            <v>150.22344000000001</v>
          </cell>
          <cell r="G22">
            <v>154.73014320000004</v>
          </cell>
          <cell r="H22" t="str">
            <v>CY15e</v>
          </cell>
          <cell r="J22" t="str">
            <v>Tax - AWC</v>
          </cell>
          <cell r="K22">
            <v>0</v>
          </cell>
          <cell r="L22">
            <v>-1</v>
          </cell>
          <cell r="M22">
            <v>0</v>
          </cell>
          <cell r="N22">
            <v>0</v>
          </cell>
          <cell r="O22">
            <v>36.47709027622264</v>
          </cell>
          <cell r="P22">
            <v>1250.9592331841325</v>
          </cell>
          <cell r="Q22" t="str">
            <v/>
          </cell>
        </row>
        <row r="23">
          <cell r="B23" t="str">
            <v/>
          </cell>
          <cell r="C23" t="str">
            <v>Alumina - AWAC 100% ('000t)</v>
          </cell>
          <cell r="D23">
            <v>15700</v>
          </cell>
          <cell r="E23">
            <v>15600</v>
          </cell>
          <cell r="F23">
            <v>16068</v>
          </cell>
          <cell r="G23">
            <v>16550.04</v>
          </cell>
          <cell r="H23">
            <v>8507.9724220000007</v>
          </cell>
          <cell r="J23" t="str">
            <v>Profit attributable</v>
          </cell>
          <cell r="K23">
            <v>34.799999999999841</v>
          </cell>
          <cell r="L23">
            <v>209.0361893536317</v>
          </cell>
          <cell r="M23">
            <v>105.23443855801256</v>
          </cell>
          <cell r="N23">
            <v>277.39865132209798</v>
          </cell>
          <cell r="O23">
            <v>0</v>
          </cell>
          <cell r="P23">
            <v>0</v>
          </cell>
          <cell r="Q23" t="str">
            <v/>
          </cell>
        </row>
        <row r="24">
          <cell r="B24" t="str">
            <v/>
          </cell>
          <cell r="C24" t="str">
            <v>Alumina - 40% of AWAC ('000t)</v>
          </cell>
          <cell r="D24">
            <v>6280</v>
          </cell>
          <cell r="E24">
            <v>6240</v>
          </cell>
          <cell r="F24">
            <v>6427.2000000000007</v>
          </cell>
          <cell r="G24">
            <v>6620.0160000000005</v>
          </cell>
          <cell r="H24">
            <v>3403.1889688000006</v>
          </cell>
          <cell r="J24" t="str">
            <v>Other abnormals net of tax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36.47709027622264</v>
          </cell>
          <cell r="P24">
            <v>1250.9592331841325</v>
          </cell>
          <cell r="Q24" t="str">
            <v/>
          </cell>
        </row>
        <row r="25">
          <cell r="B25" t="str">
            <v/>
          </cell>
          <cell r="C25" t="str">
            <v>Earnings Sensitivities</v>
          </cell>
          <cell r="D25">
            <v>357</v>
          </cell>
          <cell r="E25" t="str">
            <v>2011e</v>
          </cell>
          <cell r="F25" t="str">
            <v>2012e</v>
          </cell>
          <cell r="G25" t="str">
            <v>2013e</v>
          </cell>
          <cell r="H25">
            <v>194.50540600000002</v>
          </cell>
          <cell r="J25" t="str">
            <v>Profit after Non-Recurring Items</v>
          </cell>
          <cell r="K25">
            <v>34.799999999999841</v>
          </cell>
          <cell r="L25">
            <v>209.0361893536317</v>
          </cell>
          <cell r="M25">
            <v>105.23443855801256</v>
          </cell>
          <cell r="N25">
            <v>277.39865132209798</v>
          </cell>
          <cell r="O25">
            <v>0</v>
          </cell>
          <cell r="P25">
            <v>0</v>
          </cell>
          <cell r="Q25" t="str">
            <v/>
          </cell>
        </row>
        <row r="26">
          <cell r="B26" t="str">
            <v/>
          </cell>
          <cell r="C26" t="str">
            <v>Alumina +10%</v>
          </cell>
          <cell r="D26">
            <v>142.80000000000001</v>
          </cell>
          <cell r="E26">
            <v>0</v>
          </cell>
          <cell r="F26">
            <v>1.1635149472871702</v>
          </cell>
          <cell r="G26">
            <v>0.42793998041983983</v>
          </cell>
          <cell r="H26">
            <v>77.802162400000014</v>
          </cell>
          <cell r="K26" t="str">
            <v>Profit after Non-Recurring Items</v>
          </cell>
          <cell r="L26">
            <v>127.60000000000014</v>
          </cell>
          <cell r="M26">
            <v>-55.700000000000252</v>
          </cell>
          <cell r="N26">
            <v>-143.07680258337018</v>
          </cell>
          <cell r="O26">
            <v>36.47709027622264</v>
          </cell>
          <cell r="P26">
            <v>1250.9592331841325</v>
          </cell>
          <cell r="Q26" t="str">
            <v/>
          </cell>
        </row>
        <row r="27">
          <cell r="B27" t="str">
            <v/>
          </cell>
          <cell r="C27" t="str">
            <v>Aluminium +10%</v>
          </cell>
          <cell r="E27">
            <v>0.10183806671191453</v>
          </cell>
          <cell r="F27">
            <v>0.19649305068526912</v>
          </cell>
          <cell r="G27">
            <v>6.4720679247708857E-2</v>
          </cell>
          <cell r="J27" t="str">
            <v>Cashflow (US$m)</v>
          </cell>
          <cell r="K27" t="str">
            <v>2010A</v>
          </cell>
          <cell r="L27" t="str">
            <v>2011e</v>
          </cell>
          <cell r="M27" t="str">
            <v>2012e</v>
          </cell>
          <cell r="N27" t="str">
            <v>2013e</v>
          </cell>
          <cell r="Q27" t="str">
            <v/>
          </cell>
        </row>
        <row r="28">
          <cell r="B28" t="str">
            <v/>
          </cell>
          <cell r="C28" t="str">
            <v>Operating costs</v>
          </cell>
          <cell r="D28" t="str">
            <v>CY11</v>
          </cell>
          <cell r="E28" t="str">
            <v>CY12</v>
          </cell>
          <cell r="F28" t="str">
            <v>CY13e</v>
          </cell>
          <cell r="G28" t="str">
            <v>CY13e</v>
          </cell>
          <cell r="H28" t="str">
            <v>CY13e</v>
          </cell>
          <cell r="J28" t="str">
            <v>Payments to suppliers &amp; employees</v>
          </cell>
          <cell r="K28">
            <v>-12.1</v>
          </cell>
          <cell r="L28">
            <v>-12.1</v>
          </cell>
          <cell r="M28">
            <v>-12.1</v>
          </cell>
          <cell r="N28">
            <v>-12.1</v>
          </cell>
          <cell r="O28" t="str">
            <v>CY14e</v>
          </cell>
          <cell r="P28" t="str">
            <v>CY15e</v>
          </cell>
          <cell r="Q28" t="str">
            <v/>
          </cell>
        </row>
        <row r="29">
          <cell r="B29" t="str">
            <v/>
          </cell>
          <cell r="C29" t="str">
            <v>Alumina</v>
          </cell>
          <cell r="D29">
            <v>295.54094449853943</v>
          </cell>
          <cell r="E29">
            <v>278.82381126671612</v>
          </cell>
          <cell r="F29">
            <v>278.52031474695912</v>
          </cell>
          <cell r="G29">
            <v>278.97303414447424</v>
          </cell>
          <cell r="H29">
            <v>261.81326049436979</v>
          </cell>
          <cell r="J29" t="str">
            <v xml:space="preserve">Interest  </v>
          </cell>
          <cell r="K29">
            <v>-29.900000000000002</v>
          </cell>
          <cell r="L29">
            <v>-29.452014758881074</v>
          </cell>
          <cell r="M29">
            <v>-37.343146112345444</v>
          </cell>
          <cell r="N29">
            <v>-37.137428771536023</v>
          </cell>
          <cell r="O29">
            <v>-18.899999999999999</v>
          </cell>
          <cell r="P29">
            <v>-7.3</v>
          </cell>
          <cell r="Q29" t="str">
            <v/>
          </cell>
        </row>
        <row r="30">
          <cell r="B30" t="str">
            <v/>
          </cell>
          <cell r="C30" t="str">
            <v xml:space="preserve">Earnings Ratios  </v>
          </cell>
          <cell r="D30" t="str">
            <v>2010A</v>
          </cell>
          <cell r="E30" t="str">
            <v>2011e</v>
          </cell>
          <cell r="F30" t="str">
            <v>2012e</v>
          </cell>
          <cell r="G30" t="str">
            <v>2013e</v>
          </cell>
          <cell r="H30">
            <v>2686.3006573709317</v>
          </cell>
          <cell r="J30" t="str">
            <v>Income taxes</v>
          </cell>
          <cell r="K30">
            <v>0</v>
          </cell>
          <cell r="L30">
            <v>-1</v>
          </cell>
          <cell r="M30">
            <v>0</v>
          </cell>
          <cell r="N30">
            <v>0</v>
          </cell>
          <cell r="O30">
            <v>-13.734163101289486</v>
          </cell>
          <cell r="P30">
            <v>-5.6266276046971431</v>
          </cell>
          <cell r="Q30" t="str">
            <v/>
          </cell>
        </row>
        <row r="31">
          <cell r="B31" t="str">
            <v/>
          </cell>
          <cell r="C31" t="str">
            <v>Net Profit (A$m)</v>
          </cell>
          <cell r="D31">
            <v>34.60000000000008</v>
          </cell>
          <cell r="E31">
            <v>209.03618935363167</v>
          </cell>
          <cell r="F31">
            <v>105.23443855801254</v>
          </cell>
          <cell r="G31">
            <v>277.39865132209798</v>
          </cell>
          <cell r="H31">
            <v>2440.196187</v>
          </cell>
          <cell r="J31" t="str">
            <v>Dividends/distributions from associates</v>
          </cell>
          <cell r="K31">
            <v>242.1</v>
          </cell>
          <cell r="L31">
            <v>238.7</v>
          </cell>
          <cell r="M31">
            <v>164.97758467035797</v>
          </cell>
          <cell r="N31">
            <v>336.93608009363396</v>
          </cell>
          <cell r="O31">
            <v>0</v>
          </cell>
          <cell r="P31">
            <v>0</v>
          </cell>
          <cell r="Q31" t="str">
            <v/>
          </cell>
        </row>
        <row r="32">
          <cell r="B32" t="str">
            <v/>
          </cell>
          <cell r="C32" t="str">
            <v>Issued Shares (M)</v>
          </cell>
          <cell r="D32">
            <v>2440.196187</v>
          </cell>
          <cell r="E32">
            <v>2440.196187</v>
          </cell>
          <cell r="F32">
            <v>2440.196187</v>
          </cell>
          <cell r="G32">
            <v>2440.196187</v>
          </cell>
          <cell r="H32">
            <v>0</v>
          </cell>
          <cell r="J32" t="str">
            <v>Other</v>
          </cell>
          <cell r="K32">
            <v>-0.1</v>
          </cell>
          <cell r="L32">
            <v>0</v>
          </cell>
          <cell r="M32">
            <v>0</v>
          </cell>
          <cell r="N32">
            <v>0</v>
          </cell>
          <cell r="O32">
            <v>149.26007884529776</v>
          </cell>
          <cell r="P32">
            <v>138.09318954544307</v>
          </cell>
          <cell r="Q32" t="str">
            <v/>
          </cell>
        </row>
        <row r="33">
          <cell r="B33" t="str">
            <v/>
          </cell>
          <cell r="C33" t="str">
            <v>EPS (USc)</v>
          </cell>
          <cell r="D33">
            <v>1.4179187798230946</v>
          </cell>
          <cell r="E33">
            <v>8.5663681661031816</v>
          </cell>
          <cell r="F33">
            <v>4.3125400784839663</v>
          </cell>
          <cell r="G33">
            <v>11.367883156277465</v>
          </cell>
          <cell r="H33">
            <v>2806.2256150000003</v>
          </cell>
          <cell r="J33" t="str">
            <v>Net operating cash flows</v>
          </cell>
          <cell r="K33">
            <v>200.6</v>
          </cell>
          <cell r="L33">
            <v>147.1</v>
          </cell>
          <cell r="M33">
            <v>115.53443855801254</v>
          </cell>
          <cell r="N33">
            <v>287.69865132209793</v>
          </cell>
          <cell r="O33">
            <v>0</v>
          </cell>
          <cell r="P33">
            <v>0</v>
          </cell>
          <cell r="Q33" t="str">
            <v>Price Target Risk / Reward</v>
          </cell>
          <cell r="T33" t="str">
            <v>2013 PER</v>
          </cell>
        </row>
        <row r="34">
          <cell r="B34" t="str">
            <v/>
          </cell>
          <cell r="C34" t="str">
            <v>EPS Growth (%)</v>
          </cell>
          <cell r="D34" t="str">
            <v>-</v>
          </cell>
          <cell r="E34">
            <v>5.0415083628217108</v>
          </cell>
          <cell r="F34">
            <v>-0.49657311069718713</v>
          </cell>
          <cell r="G34">
            <v>1.6360063789305674</v>
          </cell>
          <cell r="H34">
            <v>7.3466737380355669</v>
          </cell>
          <cell r="J34" t="str">
            <v>Payments for property, plant, equipment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116.62591574400827</v>
          </cell>
          <cell r="P34">
            <v>125.16656194074591</v>
          </cell>
          <cell r="Q34" t="str">
            <v>Bull</v>
          </cell>
          <cell r="R34">
            <v>0.05</v>
          </cell>
          <cell r="S34">
            <v>3.3000000000000007</v>
          </cell>
          <cell r="T34">
            <v>29.02915129082503</v>
          </cell>
        </row>
        <row r="35">
          <cell r="B35" t="str">
            <v/>
          </cell>
          <cell r="C35" t="str">
            <v>CFPS (c) **</v>
          </cell>
          <cell r="D35">
            <v>8.2206504980494817</v>
          </cell>
          <cell r="E35">
            <v>8.0382055461804942</v>
          </cell>
          <cell r="F35">
            <v>4.7346372875064473</v>
          </cell>
          <cell r="G35">
            <v>11.789980365299945</v>
          </cell>
          <cell r="H35">
            <v>8.9885832319668353</v>
          </cell>
          <cell r="J35" t="str">
            <v>Proceeds from asset sales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 t="str">
            <v>Lower cost profiles</v>
          </cell>
          <cell r="S35">
            <v>0.19999999999999996</v>
          </cell>
          <cell r="T35" t="str">
            <v>CY11</v>
          </cell>
          <cell r="U35" t="str">
            <v>CY12</v>
          </cell>
          <cell r="V35" t="str">
            <v>CY13e</v>
          </cell>
          <cell r="W35" t="str">
            <v>CY14e</v>
          </cell>
        </row>
        <row r="36">
          <cell r="B36" t="str">
            <v/>
          </cell>
          <cell r="C36" t="str">
            <v>P/E (x)</v>
          </cell>
          <cell r="D36">
            <v>89.349264430933317</v>
          </cell>
          <cell r="E36">
            <v>13.7</v>
          </cell>
          <cell r="F36">
            <v>9.1999999999999993</v>
          </cell>
          <cell r="G36">
            <v>6.1</v>
          </cell>
          <cell r="H36">
            <v>13.067138057728627</v>
          </cell>
          <cell r="J36" t="str">
            <v>Payment for Equity Investments</v>
          </cell>
          <cell r="K36">
            <v>-161.6</v>
          </cell>
          <cell r="L36">
            <v>-200</v>
          </cell>
          <cell r="M36">
            <v>-105</v>
          </cell>
          <cell r="N36">
            <v>-108.15</v>
          </cell>
          <cell r="O36">
            <v>0</v>
          </cell>
          <cell r="P36">
            <v>0</v>
          </cell>
          <cell r="Q36" t="str">
            <v>Increased output</v>
          </cell>
          <cell r="S36">
            <v>0.30000000000000004</v>
          </cell>
          <cell r="T36">
            <v>5.1881074429365137</v>
          </cell>
          <cell r="U36">
            <v>-2.5448773476015596</v>
          </cell>
          <cell r="V36">
            <v>-5.0985495185628684</v>
          </cell>
          <cell r="W36">
            <v>1.2998630645106743</v>
          </cell>
        </row>
        <row r="37">
          <cell r="B37" t="str">
            <v/>
          </cell>
          <cell r="C37" t="str">
            <v>P/CF (x)</v>
          </cell>
          <cell r="D37">
            <v>15.41118917901446</v>
          </cell>
          <cell r="E37">
            <v>15.760980391973076</v>
          </cell>
          <cell r="F37">
            <v>26.758121542764005</v>
          </cell>
          <cell r="G37">
            <v>10.745564969121721</v>
          </cell>
          <cell r="H37">
            <v>10.146204095397144</v>
          </cell>
          <cell r="J37" t="str">
            <v>Procees from return of invested capital</v>
          </cell>
          <cell r="K37">
            <v>13.8</v>
          </cell>
          <cell r="L37">
            <v>17.3</v>
          </cell>
          <cell r="M37">
            <v>17.3</v>
          </cell>
          <cell r="N37">
            <v>17.819000000000003</v>
          </cell>
          <cell r="O37">
            <v>-50</v>
          </cell>
          <cell r="P37">
            <v>-51.5</v>
          </cell>
          <cell r="Q37" t="str">
            <v>Bull case prices</v>
          </cell>
          <cell r="S37">
            <v>1.0000000000000004</v>
          </cell>
          <cell r="T37">
            <v>5.1881074429365102</v>
          </cell>
          <cell r="U37">
            <v>-2.54487734760156</v>
          </cell>
          <cell r="V37">
            <v>-4.8417622532145597</v>
          </cell>
          <cell r="W37">
            <v>2.3408213150081703</v>
          </cell>
        </row>
        <row r="38">
          <cell r="B38" t="str">
            <v/>
          </cell>
          <cell r="C38" t="str">
            <v>FCF Yield (%)</v>
          </cell>
          <cell r="D38">
            <v>6.4887919315253631E-2</v>
          </cell>
          <cell r="E38">
            <v>4.7582317703259276E-2</v>
          </cell>
          <cell r="F38">
            <v>3.7371831142998239E-2</v>
          </cell>
          <cell r="G38">
            <v>9.3061649422211262E-2</v>
          </cell>
          <cell r="H38">
            <v>4.8906986124752534E-2</v>
          </cell>
          <cell r="J38" t="str">
            <v>Other Investing Cashflows</v>
          </cell>
          <cell r="K38">
            <v>5.4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 t="str">
            <v>Base</v>
          </cell>
          <cell r="R38">
            <v>0.55000000000000004</v>
          </cell>
          <cell r="S38">
            <v>1.8</v>
          </cell>
          <cell r="T38">
            <v>15.834082522268195</v>
          </cell>
          <cell r="U38" t="b">
            <v>1</v>
          </cell>
          <cell r="V38" t="b">
            <v>0</v>
          </cell>
          <cell r="W38" t="b">
            <v>0</v>
          </cell>
        </row>
        <row r="39">
          <cell r="B39" t="str">
            <v/>
          </cell>
          <cell r="C39" t="str">
            <v>Dividend (c)</v>
          </cell>
          <cell r="D39">
            <v>6</v>
          </cell>
          <cell r="E39">
            <v>5.9964577162722268</v>
          </cell>
          <cell r="F39">
            <v>2.1562700392419831</v>
          </cell>
          <cell r="G39">
            <v>5.6839415781387324</v>
          </cell>
          <cell r="H39">
            <v>4.5227996588051989</v>
          </cell>
          <cell r="J39" t="str">
            <v>Net investing cash flows</v>
          </cell>
          <cell r="K39">
            <v>-142.39999999999998</v>
          </cell>
          <cell r="L39">
            <v>-182.7</v>
          </cell>
          <cell r="M39">
            <v>-87.7</v>
          </cell>
          <cell r="N39">
            <v>-90.331000000000003</v>
          </cell>
          <cell r="O39">
            <v>0</v>
          </cell>
          <cell r="P39">
            <v>0</v>
          </cell>
          <cell r="Q39" t="str">
            <v>Bear case prices</v>
          </cell>
          <cell r="S39">
            <v>-0.69999999999999973</v>
          </cell>
        </row>
        <row r="40">
          <cell r="B40" t="str">
            <v/>
          </cell>
          <cell r="C40" t="str">
            <v>Dividend Yield (%)</v>
          </cell>
          <cell r="D40">
            <v>4.7359696897939854E-2</v>
          </cell>
          <cell r="E40">
            <v>5.0999999999999997E-2</v>
          </cell>
          <cell r="F40">
            <v>5.5E-2</v>
          </cell>
          <cell r="G40">
            <v>8.3000000000000004E-2</v>
          </cell>
          <cell r="H40">
            <v>4.4999999999999998E-2</v>
          </cell>
          <cell r="J40" t="str">
            <v>Repurchase of convertible bonds</v>
          </cell>
          <cell r="K40">
            <v>-181.5</v>
          </cell>
          <cell r="L40">
            <v>-167.6</v>
          </cell>
          <cell r="M40">
            <v>0</v>
          </cell>
          <cell r="N40">
            <v>0</v>
          </cell>
          <cell r="O40">
            <v>-50</v>
          </cell>
          <cell r="P40">
            <v>-51.5</v>
          </cell>
          <cell r="Q40" t="str">
            <v>Higher cost profiles</v>
          </cell>
          <cell r="S40">
            <v>-9.9999999999999867E-2</v>
          </cell>
        </row>
        <row r="41">
          <cell r="B41" t="str">
            <v/>
          </cell>
          <cell r="C41" t="str">
            <v>Franking (%)</v>
          </cell>
          <cell r="D41">
            <v>100</v>
          </cell>
          <cell r="E41">
            <v>100</v>
          </cell>
          <cell r="F41">
            <v>100</v>
          </cell>
          <cell r="G41">
            <v>100</v>
          </cell>
          <cell r="H41">
            <v>100</v>
          </cell>
          <cell r="J41" t="str">
            <v>Proceeds from share issue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 t="str">
            <v>Reduced output</v>
          </cell>
          <cell r="S41">
            <v>-0.19999999999999973</v>
          </cell>
        </row>
        <row r="42">
          <cell r="B42" t="str">
            <v/>
          </cell>
          <cell r="C42" t="str">
            <v>Enterprise Value (US$M)</v>
          </cell>
          <cell r="D42">
            <v>6308.8069317044001</v>
          </cell>
          <cell r="E42">
            <v>3506.6992103788812</v>
          </cell>
          <cell r="F42">
            <v>3572.0257279861703</v>
          </cell>
          <cell r="G42">
            <v>3483.1063121476914</v>
          </cell>
          <cell r="H42">
            <v>2903.3536881913851</v>
          </cell>
          <cell r="J42" t="str">
            <v>Proceeds from borrowings</v>
          </cell>
          <cell r="K42">
            <v>33.700000000000003</v>
          </cell>
          <cell r="L42">
            <v>305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 t="str">
            <v>Bear</v>
          </cell>
          <cell r="R42">
            <v>0.39999999999999991</v>
          </cell>
          <cell r="S42">
            <v>0.80000000000000071</v>
          </cell>
          <cell r="T42">
            <v>7.037370009896982</v>
          </cell>
        </row>
        <row r="43">
          <cell r="B43" t="str">
            <v/>
          </cell>
          <cell r="C43" t="str">
            <v>EV/EBITDA</v>
          </cell>
          <cell r="D43">
            <v>20.324764599563153</v>
          </cell>
          <cell r="E43">
            <v>6.2805411920231515</v>
          </cell>
          <cell r="F43">
            <v>11.513533295683901</v>
          </cell>
          <cell r="G43">
            <v>7.5808062405238665</v>
          </cell>
          <cell r="J43" t="str">
            <v>Repayment of borrowings</v>
          </cell>
          <cell r="K43">
            <v>-1.1000000000000001</v>
          </cell>
          <cell r="L43">
            <v>-24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 t="str">
            <v>Weighted Target Price</v>
          </cell>
          <cell r="S43">
            <v>1.5</v>
          </cell>
          <cell r="T43">
            <v>13.19506876855683</v>
          </cell>
        </row>
        <row r="44">
          <cell r="B44" t="str">
            <v/>
          </cell>
          <cell r="C44" t="str">
            <v>Ratios</v>
          </cell>
          <cell r="D44" t="str">
            <v>CY11a</v>
          </cell>
          <cell r="E44" t="str">
            <v>CY12e</v>
          </cell>
          <cell r="F44" t="str">
            <v>CY13e</v>
          </cell>
          <cell r="G44" t="str">
            <v>CY14e</v>
          </cell>
          <cell r="H44" t="str">
            <v>CY15e</v>
          </cell>
          <cell r="J44" t="str">
            <v>Dividends paid</v>
          </cell>
          <cell r="K44">
            <v>-93.7</v>
          </cell>
          <cell r="L44">
            <v>-170.60588561000003</v>
          </cell>
          <cell r="M44">
            <v>-93.160956165301513</v>
          </cell>
          <cell r="N44">
            <v>-108.44823548361899</v>
          </cell>
          <cell r="O44">
            <v>-52</v>
          </cell>
          <cell r="P44">
            <v>-126</v>
          </cell>
          <cell r="Q44" t="str">
            <v>Share Price</v>
          </cell>
          <cell r="S44">
            <v>1.23</v>
          </cell>
        </row>
        <row r="45">
          <cell r="B45" t="str">
            <v/>
          </cell>
          <cell r="C45" t="str">
            <v>Net debt/(net debt + equity)</v>
          </cell>
          <cell r="D45">
            <v>0.14180899687274479</v>
          </cell>
          <cell r="E45">
            <v>0.20103408991487959</v>
          </cell>
          <cell r="F45">
            <v>0.24789564486320126</v>
          </cell>
          <cell r="G45">
            <v>0.27949709410338469</v>
          </cell>
          <cell r="H45">
            <v>1.9136186761441312E-2</v>
          </cell>
          <cell r="J45" t="str">
            <v>Net financing cash flows</v>
          </cell>
          <cell r="K45">
            <v>-242.60000000000002</v>
          </cell>
          <cell r="L45">
            <v>-57.205885610000024</v>
          </cell>
          <cell r="M45">
            <v>-93.160956165301513</v>
          </cell>
          <cell r="N45">
            <v>-108.44823548361899</v>
          </cell>
          <cell r="O45">
            <v>-25.168968625040101</v>
          </cell>
          <cell r="P45">
            <v>-87.9471026213225</v>
          </cell>
          <cell r="Q45" t="str">
            <v>Upside</v>
          </cell>
          <cell r="S45">
            <v>0.21951219512195119</v>
          </cell>
        </row>
        <row r="46">
          <cell r="B46" t="str">
            <v/>
          </cell>
          <cell r="C46" t="str">
            <v>Ratios</v>
          </cell>
          <cell r="D46" t="str">
            <v>2010A</v>
          </cell>
          <cell r="E46" t="str">
            <v>2011e</v>
          </cell>
          <cell r="F46" t="str">
            <v>2012e</v>
          </cell>
          <cell r="G46" t="str">
            <v>2013e</v>
          </cell>
          <cell r="H46">
            <v>26.657128717836851</v>
          </cell>
          <cell r="J46" t="str">
            <v>FX Adj</v>
          </cell>
          <cell r="K46">
            <v>-9.1</v>
          </cell>
          <cell r="L46">
            <v>0</v>
          </cell>
          <cell r="M46">
            <v>0</v>
          </cell>
          <cell r="N46">
            <v>0</v>
          </cell>
          <cell r="O46">
            <v>-77.168968625040094</v>
          </cell>
          <cell r="P46">
            <v>-213.9471026213225</v>
          </cell>
          <cell r="Q46" t="str">
            <v/>
          </cell>
        </row>
        <row r="47">
          <cell r="B47" t="str">
            <v/>
          </cell>
          <cell r="C47" t="str">
            <v xml:space="preserve"> - Net debt/(net debt + equity)</v>
          </cell>
          <cell r="D47">
            <v>0.14009238611022623</v>
          </cell>
          <cell r="E47">
            <v>0.17722390790250067</v>
          </cell>
          <cell r="F47">
            <v>0.19565458514918851</v>
          </cell>
          <cell r="G47">
            <v>0.17035826706969845</v>
          </cell>
          <cell r="H47">
            <v>1.006926270623058</v>
          </cell>
          <cell r="J47" t="str">
            <v>Net (Decrease)/Increase in Cash Held</v>
          </cell>
          <cell r="K47">
            <v>-193.5</v>
          </cell>
          <cell r="L47">
            <v>-43.757900368881081</v>
          </cell>
          <cell r="M47">
            <v>-65.326517607288977</v>
          </cell>
          <cell r="N47">
            <v>88.919415838478926</v>
          </cell>
          <cell r="O47">
            <v>0</v>
          </cell>
          <cell r="P47">
            <v>0</v>
          </cell>
          <cell r="Q47" t="str">
            <v/>
          </cell>
        </row>
        <row r="48">
          <cell r="B48" t="str">
            <v/>
          </cell>
          <cell r="C48" t="str">
            <v>Interest Cover (X)</v>
          </cell>
          <cell r="D48">
            <v>1.803617571059434</v>
          </cell>
          <cell r="E48">
            <v>7.6926664068278336</v>
          </cell>
          <cell r="F48">
            <v>3.7426237024881885</v>
          </cell>
          <cell r="G48">
            <v>8.2564885032092761</v>
          </cell>
          <cell r="H48">
            <v>0.95339651770727829</v>
          </cell>
          <cell r="K48" t="str">
            <v>Net (Decrease)/Increase in Cash</v>
          </cell>
          <cell r="L48">
            <v>-93.100000000000037</v>
          </cell>
          <cell r="M48">
            <v>-8.9000000000000092</v>
          </cell>
          <cell r="N48">
            <v>29.022902208614855</v>
          </cell>
          <cell r="O48">
            <v>-10.543052881031826</v>
          </cell>
          <cell r="P48">
            <v>-13.207177540274245</v>
          </cell>
          <cell r="Q48" t="str">
            <v/>
          </cell>
        </row>
        <row r="49">
          <cell r="B49" t="str">
            <v/>
          </cell>
          <cell r="C49" t="str">
            <v>Book value per share (A$/share)</v>
          </cell>
          <cell r="D49">
            <v>1.2587102694296604</v>
          </cell>
          <cell r="E49">
            <v>1.3362064914608685</v>
          </cell>
          <cell r="F49">
            <v>1.2961424140935101</v>
          </cell>
          <cell r="G49">
            <v>1.2925905684483172</v>
          </cell>
          <cell r="H49">
            <v>0.57490718637013982</v>
          </cell>
          <cell r="J49" t="str">
            <v>Balance Sheet (US$m)</v>
          </cell>
          <cell r="K49" t="str">
            <v>2010A</v>
          </cell>
          <cell r="L49" t="str">
            <v>2011e</v>
          </cell>
          <cell r="M49" t="str">
            <v>2012e</v>
          </cell>
          <cell r="N49" t="str">
            <v>2013e</v>
          </cell>
          <cell r="Q49" t="str">
            <v/>
          </cell>
        </row>
        <row r="50">
          <cell r="B50" t="str">
            <v/>
          </cell>
          <cell r="C50" t="str">
            <v>Price to book (X)</v>
          </cell>
          <cell r="D50">
            <v>0.97719072440501387</v>
          </cell>
          <cell r="E50">
            <v>0.92051640810040269</v>
          </cell>
          <cell r="F50">
            <v>0.94896979423378536</v>
          </cell>
          <cell r="G50">
            <v>0.95157742136131029</v>
          </cell>
          <cell r="H50">
            <v>0.53646229943430179</v>
          </cell>
          <cell r="J50" t="str">
            <v>Cash &amp; short term deposits</v>
          </cell>
          <cell r="K50">
            <v>112.09999999999985</v>
          </cell>
          <cell r="L50">
            <v>68.342099631118771</v>
          </cell>
          <cell r="M50">
            <v>3.0155820238297935</v>
          </cell>
          <cell r="N50">
            <v>91.93499786230872</v>
          </cell>
          <cell r="O50" t="str">
            <v>CY14e</v>
          </cell>
          <cell r="P50" t="str">
            <v>CY15e</v>
          </cell>
          <cell r="Q50" t="str">
            <v/>
          </cell>
        </row>
        <row r="51">
          <cell r="B51" t="str">
            <v/>
          </cell>
          <cell r="C51" t="str">
            <v>EBITDA/sales</v>
          </cell>
          <cell r="D51">
            <v>0.14221570603866943</v>
          </cell>
          <cell r="E51">
            <v>0.2059337680813709</v>
          </cell>
          <cell r="F51">
            <v>0.13131948418043102</v>
          </cell>
          <cell r="G51">
            <v>0.17583993101642043</v>
          </cell>
          <cell r="H51">
            <v>2.0334260611757529</v>
          </cell>
          <cell r="J51" t="str">
            <v>Receivables</v>
          </cell>
          <cell r="K51">
            <v>0.2</v>
          </cell>
          <cell r="L51">
            <v>0.1</v>
          </cell>
          <cell r="M51">
            <v>0.1</v>
          </cell>
          <cell r="N51">
            <v>0.1</v>
          </cell>
          <cell r="O51">
            <v>28.57984932758302</v>
          </cell>
          <cell r="P51">
            <v>15.372671787308775</v>
          </cell>
          <cell r="Q51" t="str">
            <v/>
          </cell>
        </row>
        <row r="52">
          <cell r="B52" t="str">
            <v/>
          </cell>
          <cell r="C52" t="str">
            <v>EBIT/Sales</v>
          </cell>
          <cell r="D52">
            <v>6.4418583340969421E-2</v>
          </cell>
          <cell r="E52">
            <v>0.15577290190749579</v>
          </cell>
          <cell r="F52">
            <v>7.5447107927326618E-2</v>
          </cell>
          <cell r="G52">
            <v>0.12111285961814029</v>
          </cell>
          <cell r="H52">
            <v>0.43068769300703763</v>
          </cell>
          <cell r="J52" t="str">
            <v>Inventories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0.1</v>
          </cell>
          <cell r="P52">
            <v>0.1</v>
          </cell>
          <cell r="Q52" t="str">
            <v/>
          </cell>
        </row>
        <row r="53">
          <cell r="B53" t="str">
            <v/>
          </cell>
          <cell r="C53" t="str">
            <v>EV/EBITDA Multiple</v>
          </cell>
          <cell r="D53">
            <v>20.324764599563153</v>
          </cell>
          <cell r="E53">
            <v>6.2805411920231515</v>
          </cell>
          <cell r="F53">
            <v>11.513533295683901</v>
          </cell>
          <cell r="G53">
            <v>7.5808062405238665</v>
          </cell>
          <cell r="H53">
            <v>0.44271363788444557</v>
          </cell>
          <cell r="J53" t="str">
            <v>Investments</v>
          </cell>
          <cell r="K53">
            <v>3415.6</v>
          </cell>
          <cell r="L53">
            <v>3754.4638858763401</v>
          </cell>
          <cell r="M53">
            <v>3722.0261946561291</v>
          </cell>
          <cell r="N53">
            <v>3624.4395786174373</v>
          </cell>
          <cell r="O53">
            <v>3027.4425654271458</v>
          </cell>
          <cell r="P53">
            <v>2883.9896212515391</v>
          </cell>
          <cell r="Q53" t="str">
            <v/>
          </cell>
          <cell r="V53" t="str">
            <v>CY14</v>
          </cell>
        </row>
        <row r="54">
          <cell r="B54" t="str">
            <v/>
          </cell>
          <cell r="C54" t="str">
            <v>ROA (Pre-Tax Profit /Assets) %</v>
          </cell>
          <cell r="D54">
            <v>9.8235709244883125E-3</v>
          </cell>
          <cell r="E54">
            <v>5.4705386756819095E-2</v>
          </cell>
          <cell r="F54">
            <v>2.812520407856612E-2</v>
          </cell>
          <cell r="G54">
            <v>7.4310351072277944E-2</v>
          </cell>
          <cell r="H54">
            <v>810.47101088670388</v>
          </cell>
          <cell r="J54" t="str">
            <v>Property, Plant and equipment</v>
          </cell>
          <cell r="K54">
            <v>0.2</v>
          </cell>
          <cell r="L54">
            <v>0.2</v>
          </cell>
          <cell r="M54">
            <v>0.2</v>
          </cell>
          <cell r="N54">
            <v>0.2</v>
          </cell>
          <cell r="O54">
            <v>0.2</v>
          </cell>
          <cell r="P54">
            <v>0.2</v>
          </cell>
          <cell r="Q54" t="str">
            <v/>
          </cell>
          <cell r="S54" t="str">
            <v>Price Target Elements</v>
          </cell>
          <cell r="T54" t="str">
            <v>Weighting</v>
          </cell>
          <cell r="U54" t="str">
            <v>A$/sh</v>
          </cell>
          <cell r="V54" t="str">
            <v>BBB EPS</v>
          </cell>
          <cell r="W54" t="str">
            <v>BBB PER</v>
          </cell>
        </row>
        <row r="55">
          <cell r="B55" t="str">
            <v/>
          </cell>
          <cell r="C55" t="str">
            <v>ROE (NPAT/Equity) %</v>
          </cell>
          <cell r="D55">
            <v>1.1329969070486681E-2</v>
          </cell>
          <cell r="E55">
            <v>6.4109613453064526E-2</v>
          </cell>
          <cell r="F55">
            <v>3.3272116023608793E-2</v>
          </cell>
          <cell r="G55">
            <v>8.7946511708838909E-2</v>
          </cell>
          <cell r="J55" t="str">
            <v>Intangibles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4.9000000000000004</v>
          </cell>
          <cell r="P55">
            <v>4.9000000000000004</v>
          </cell>
          <cell r="Q55" t="str">
            <v>Price Target Risk / Reward</v>
          </cell>
          <cell r="S55" t="str">
            <v>Bull</v>
          </cell>
          <cell r="T55" t="str">
            <v>BBB EPS</v>
          </cell>
          <cell r="U55" t="str">
            <v>BBB PER</v>
          </cell>
          <cell r="V55">
            <v>0.11895779203502797</v>
          </cell>
          <cell r="W55">
            <v>14.841388342241505</v>
          </cell>
        </row>
        <row r="56">
          <cell r="B56" t="str">
            <v/>
          </cell>
          <cell r="C56" t="str">
            <v>US$ EV/tonne prod'n</v>
          </cell>
          <cell r="D56">
            <v>1068.7617006012388</v>
          </cell>
          <cell r="E56">
            <v>575.14334182965729</v>
          </cell>
          <cell r="F56">
            <v>568.79390573028184</v>
          </cell>
          <cell r="G56">
            <v>554.6347630808425</v>
          </cell>
          <cell r="J56" t="str">
            <v>Other assets</v>
          </cell>
          <cell r="K56">
            <v>14.4</v>
          </cell>
          <cell r="L56">
            <v>16.3</v>
          </cell>
          <cell r="M56">
            <v>16.3</v>
          </cell>
          <cell r="N56">
            <v>16.3</v>
          </cell>
          <cell r="O56">
            <v>3061.2224147547286</v>
          </cell>
          <cell r="P56">
            <v>2904.5622930388477</v>
          </cell>
          <cell r="Q56" t="str">
            <v>Bull</v>
          </cell>
          <cell r="R56">
            <v>0.15</v>
          </cell>
          <cell r="S56">
            <v>1.6</v>
          </cell>
          <cell r="T56">
            <v>7.2385554927956147E-2</v>
          </cell>
          <cell r="U56">
            <v>22.103857621765105</v>
          </cell>
        </row>
        <row r="57">
          <cell r="B57" t="str">
            <v/>
          </cell>
          <cell r="C57" t="str">
            <v>DCF Valuation</v>
          </cell>
          <cell r="E57" t="str">
            <v>A$/sh</v>
          </cell>
          <cell r="F57" t="str">
            <v>US$m</v>
          </cell>
          <cell r="G57" t="str">
            <v>US$/sh</v>
          </cell>
          <cell r="J57" t="str">
            <v>Total assets</v>
          </cell>
          <cell r="K57">
            <v>3542.4999999999995</v>
          </cell>
          <cell r="L57">
            <v>3839.4059855074588</v>
          </cell>
          <cell r="M57">
            <v>3741.6417766799586</v>
          </cell>
          <cell r="N57">
            <v>3732.9745764797458</v>
          </cell>
          <cell r="O57">
            <v>2.7</v>
          </cell>
          <cell r="P57">
            <v>2.7</v>
          </cell>
          <cell r="Q57" t="str">
            <v>Lower cost profiles</v>
          </cell>
          <cell r="S57">
            <v>0.30000000000000004</v>
          </cell>
          <cell r="U57">
            <v>0.27605962242813309</v>
          </cell>
        </row>
        <row r="58">
          <cell r="B58" t="str">
            <v/>
          </cell>
          <cell r="C58" t="str">
            <v>NPV Cashflows</v>
          </cell>
          <cell r="E58">
            <v>1.4289170882308568</v>
          </cell>
          <cell r="F58">
            <v>2971.1242620337252</v>
          </cell>
          <cell r="G58">
            <v>1.2175759792848677</v>
          </cell>
          <cell r="J58" t="str">
            <v>Creditors</v>
          </cell>
          <cell r="K58">
            <v>5.9</v>
          </cell>
          <cell r="L58">
            <v>3.7</v>
          </cell>
          <cell r="M58">
            <v>3.7</v>
          </cell>
          <cell r="N58">
            <v>3.7</v>
          </cell>
          <cell r="O58">
            <v>196.5</v>
          </cell>
          <cell r="P58">
            <v>70.5</v>
          </cell>
          <cell r="Q58" t="str">
            <v>Increased output</v>
          </cell>
          <cell r="S58">
            <v>5.0000000000000044E-2</v>
          </cell>
          <cell r="U58">
            <v>0.17587909769295351</v>
          </cell>
        </row>
        <row r="59">
          <cell r="B59" t="str">
            <v/>
          </cell>
          <cell r="C59" t="str">
            <v>DCF Valuation</v>
          </cell>
          <cell r="D59" t="str">
            <v>A$m</v>
          </cell>
          <cell r="E59" t="str">
            <v>A$/sh</v>
          </cell>
          <cell r="F59" t="str">
            <v>US$m</v>
          </cell>
          <cell r="G59" t="str">
            <v>US$/sh</v>
          </cell>
          <cell r="J59" t="str">
            <v>Borrowings</v>
          </cell>
          <cell r="K59">
            <v>463.9</v>
          </cell>
          <cell r="L59">
            <v>573.6</v>
          </cell>
          <cell r="M59">
            <v>573.6</v>
          </cell>
          <cell r="N59">
            <v>573.6</v>
          </cell>
          <cell r="O59">
            <v>5.0999999999999996</v>
          </cell>
          <cell r="P59">
            <v>5.0999999999999996</v>
          </cell>
          <cell r="Q59" t="str">
            <v>Bull case prices</v>
          </cell>
          <cell r="S59">
            <v>0.15000000000000013</v>
          </cell>
          <cell r="T59">
            <v>0.6</v>
          </cell>
          <cell r="U59">
            <v>1.0056544897189805</v>
          </cell>
          <cell r="V59">
            <v>1.2998630645106743E-2</v>
          </cell>
          <cell r="W59">
            <v>77.366187037367141</v>
          </cell>
        </row>
        <row r="60">
          <cell r="B60" t="str">
            <v/>
          </cell>
          <cell r="C60" t="str">
            <v>NPV Cashflows</v>
          </cell>
          <cell r="D60">
            <v>4656.3629000152177</v>
          </cell>
          <cell r="E60">
            <v>1.9081920235847076</v>
          </cell>
          <cell r="F60">
            <v>4020.1211460885156</v>
          </cell>
          <cell r="G60">
            <v>1.6474581705788542</v>
          </cell>
          <cell r="J60" t="str">
            <v>Other current liabilities</v>
          </cell>
          <cell r="K60">
            <v>0.8</v>
          </cell>
          <cell r="L60">
            <v>1</v>
          </cell>
          <cell r="M60">
            <v>1</v>
          </cell>
          <cell r="N60">
            <v>1</v>
          </cell>
          <cell r="O60">
            <v>0.6</v>
          </cell>
          <cell r="P60">
            <v>0.6</v>
          </cell>
          <cell r="Q60" t="str">
            <v>Base</v>
          </cell>
          <cell r="R60">
            <v>0.6</v>
          </cell>
          <cell r="S60">
            <v>1.1000000000000001</v>
          </cell>
          <cell r="T60">
            <v>3.4296918977400809E-2</v>
          </cell>
          <cell r="U60">
            <v>32.072851812864606</v>
          </cell>
        </row>
        <row r="61">
          <cell r="B61" t="str">
            <v/>
          </cell>
          <cell r="C61" t="str">
            <v xml:space="preserve"> Less Corporate</v>
          </cell>
          <cell r="D61">
            <v>-129.63075348371814</v>
          </cell>
          <cell r="E61">
            <v>-5.3123086649474439E-2</v>
          </cell>
          <cell r="F61">
            <v>-113.87543418125921</v>
          </cell>
          <cell r="G61">
            <v>-4.666650771275023E-2</v>
          </cell>
          <cell r="J61" t="str">
            <v>Other liabilities</v>
          </cell>
          <cell r="K61">
            <v>0.4</v>
          </cell>
          <cell r="L61">
            <v>0.5</v>
          </cell>
          <cell r="M61">
            <v>0.5</v>
          </cell>
          <cell r="N61">
            <v>0.5</v>
          </cell>
          <cell r="O61">
            <v>204.89999999999998</v>
          </cell>
          <cell r="P61">
            <v>78.899999999999991</v>
          </cell>
          <cell r="Q61" t="str">
            <v>Bear case prices</v>
          </cell>
          <cell r="S61">
            <v>-0.35000000000000009</v>
          </cell>
          <cell r="U61">
            <v>-0.21993255577670567</v>
          </cell>
        </row>
        <row r="62">
          <cell r="B62" t="str">
            <v/>
          </cell>
          <cell r="C62" t="str">
            <v xml:space="preserve"> Less Net Debt</v>
          </cell>
          <cell r="D62">
            <v>-74.241400390014405</v>
          </cell>
          <cell r="E62">
            <v>-3.0424357183053988E-2</v>
          </cell>
          <cell r="F62">
            <v>-76.957900368881241</v>
          </cell>
          <cell r="G62">
            <v>-3.1537587337800904E-2</v>
          </cell>
          <cell r="J62" t="str">
            <v>Total liabilities</v>
          </cell>
          <cell r="K62">
            <v>470.99999999999994</v>
          </cell>
          <cell r="L62">
            <v>578.80000000000007</v>
          </cell>
          <cell r="M62">
            <v>578.80000000000007</v>
          </cell>
          <cell r="N62">
            <v>578.80000000000007</v>
          </cell>
          <cell r="O62">
            <v>2856.3224147547285</v>
          </cell>
          <cell r="P62">
            <v>2825.6622930388476</v>
          </cell>
          <cell r="Q62" t="str">
            <v>Higher cost profiles</v>
          </cell>
          <cell r="S62">
            <v>-0.30000000000000004</v>
          </cell>
          <cell r="U62">
            <v>-0.2208476979425068</v>
          </cell>
        </row>
        <row r="63">
          <cell r="B63" t="str">
            <v/>
          </cell>
          <cell r="C63" t="str">
            <v>Alumina Limited DCF Valuation</v>
          </cell>
          <cell r="D63">
            <v>4452.4907461414859</v>
          </cell>
          <cell r="E63">
            <v>1.8</v>
          </cell>
          <cell r="F63">
            <v>3829.2878115383751</v>
          </cell>
          <cell r="G63">
            <v>1.5692540755283031</v>
          </cell>
          <cell r="J63" t="str">
            <v>Net assets</v>
          </cell>
          <cell r="K63">
            <v>3071.4999999999995</v>
          </cell>
          <cell r="L63">
            <v>3260.6059855074586</v>
          </cell>
          <cell r="M63">
            <v>3162.8417766799585</v>
          </cell>
          <cell r="N63">
            <v>3154.1745764797456</v>
          </cell>
          <cell r="O63">
            <v>2856.3224147547289</v>
          </cell>
          <cell r="P63">
            <v>2825.6622930388476</v>
          </cell>
          <cell r="Q63" t="str">
            <v>Reduced output</v>
          </cell>
          <cell r="S63">
            <v>-0.15000000000000002</v>
          </cell>
          <cell r="T63">
            <v>0.20000000000000007</v>
          </cell>
          <cell r="U63">
            <v>0.4658807557071607</v>
          </cell>
          <cell r="V63">
            <v>-6.8629198600630603E-2</v>
          </cell>
          <cell r="W63">
            <v>-6.7883752864175211</v>
          </cell>
        </row>
        <row r="64">
          <cell r="B64" t="str">
            <v/>
          </cell>
          <cell r="D64">
            <v>1.3</v>
          </cell>
          <cell r="E64">
            <v>0.13800000000000001</v>
          </cell>
          <cell r="F64">
            <v>0.05</v>
          </cell>
          <cell r="G64">
            <v>9.2249999999999999E-2</v>
          </cell>
          <cell r="J64" t="str">
            <v>Shareholder equity</v>
          </cell>
          <cell r="K64">
            <v>3071.5</v>
          </cell>
          <cell r="L64">
            <v>3260.6059855074591</v>
          </cell>
          <cell r="M64">
            <v>3162.8417766799585</v>
          </cell>
          <cell r="N64">
            <v>3154.1745764797461</v>
          </cell>
          <cell r="O64">
            <v>0</v>
          </cell>
          <cell r="P64">
            <v>0</v>
          </cell>
          <cell r="Q64" t="str">
            <v>Bear</v>
          </cell>
          <cell r="R64">
            <v>0.25</v>
          </cell>
          <cell r="S64">
            <v>0.30000000000000004</v>
          </cell>
          <cell r="T64">
            <v>-3.8172209905710033E-2</v>
          </cell>
          <cell r="U64">
            <v>-7.8591205681053378</v>
          </cell>
        </row>
        <row r="65">
          <cell r="B65" t="str">
            <v/>
          </cell>
          <cell r="C65" t="str">
            <v>WACC</v>
          </cell>
          <cell r="D65">
            <v>9.2249999999999999E-2</v>
          </cell>
          <cell r="J65" t="str">
            <v>Minorities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2856.3224147547289</v>
          </cell>
          <cell r="P65">
            <v>2825.6622930388476</v>
          </cell>
          <cell r="Q65" t="str">
            <v>Weighted Target Price</v>
          </cell>
          <cell r="S65">
            <v>1</v>
          </cell>
          <cell r="U65">
            <v>0.96</v>
          </cell>
        </row>
        <row r="66">
          <cell r="B66" t="str">
            <v/>
          </cell>
          <cell r="C66" t="str">
            <v>N.B. Some references may vary with Modelware to due definitional differences</v>
          </cell>
          <cell r="J66" t="str">
            <v>Total Shareholder equity</v>
          </cell>
          <cell r="K66">
            <v>3071.5</v>
          </cell>
          <cell r="L66">
            <v>3260.6059855074591</v>
          </cell>
          <cell r="M66">
            <v>3162.8417766799585</v>
          </cell>
          <cell r="N66">
            <v>3154.1745764797461</v>
          </cell>
          <cell r="O66">
            <v>3061.222414754729</v>
          </cell>
          <cell r="P66">
            <v>2904.5622930388477</v>
          </cell>
          <cell r="Q66" t="str">
            <v>Share Price</v>
          </cell>
          <cell r="S66">
            <v>0.98</v>
          </cell>
          <cell r="U66">
            <v>9.3404794331574115E-2</v>
          </cell>
        </row>
        <row r="67">
          <cell r="B67" t="str">
            <v/>
          </cell>
          <cell r="C67" t="str">
            <v>N.B. Some references may vary with Modelware to due definitional differences</v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>Shareholder equity+Total liab.</v>
          </cell>
          <cell r="K67">
            <v>3542.5</v>
          </cell>
          <cell r="L67">
            <v>3839.4059855074593</v>
          </cell>
          <cell r="M67">
            <v>3741.6417766799586</v>
          </cell>
          <cell r="N67">
            <v>3732.9745764797462</v>
          </cell>
          <cell r="O67" t="str">
            <v/>
          </cell>
          <cell r="P67" t="str">
            <v/>
          </cell>
          <cell r="Q67" t="str">
            <v>Upside</v>
          </cell>
          <cell r="S67">
            <v>2.0408163265306145E-2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>
        <row r="2">
          <cell r="B2" t="str">
            <v>FULL YEAR</v>
          </cell>
          <cell r="C2" t="str">
            <v>FY10a</v>
          </cell>
          <cell r="D2" t="str">
            <v>MS FY11e</v>
          </cell>
          <cell r="E2" t="str">
            <v>FY11a</v>
          </cell>
          <cell r="F2" t="str">
            <v>FY12e</v>
          </cell>
          <cell r="G2" t="str">
            <v>FY13e</v>
          </cell>
          <cell r="H2" t="str">
            <v>CY15e</v>
          </cell>
          <cell r="K2" t="str">
            <v>FY15e</v>
          </cell>
          <cell r="L2" t="str">
            <v>FY16e</v>
          </cell>
        </row>
        <row r="3">
          <cell r="B3" t="str">
            <v>Production, koz</v>
          </cell>
          <cell r="C3" t="e">
            <v>#REF!</v>
          </cell>
          <cell r="E3" t="e">
            <v>#REF!</v>
          </cell>
        </row>
        <row r="4">
          <cell r="D4">
            <v>2795.9354405144695</v>
          </cell>
          <cell r="F4" t="e">
            <v>#REF!</v>
          </cell>
          <cell r="G4" t="e">
            <v>#REF!</v>
          </cell>
          <cell r="H4">
            <v>15562.865461603786</v>
          </cell>
          <cell r="L4">
            <v>3595.2297593544663</v>
          </cell>
        </row>
        <row r="5">
          <cell r="B5" t="str">
            <v>% Change</v>
          </cell>
          <cell r="E5" t="e">
            <v>#REF!</v>
          </cell>
          <cell r="F5" t="e">
            <v>#REF!</v>
          </cell>
          <cell r="G5" t="e">
            <v>#REF!</v>
          </cell>
        </row>
        <row r="6">
          <cell r="B6" t="str">
            <v>Sales revenue, A$M</v>
          </cell>
          <cell r="C6" t="e">
            <v>#REF!</v>
          </cell>
          <cell r="E6" t="e">
            <v>#REF!</v>
          </cell>
        </row>
        <row r="7">
          <cell r="D7">
            <v>4386.4382361116468</v>
          </cell>
          <cell r="F7" t="e">
            <v>#REF!</v>
          </cell>
          <cell r="G7" t="e">
            <v>#REF!</v>
          </cell>
          <cell r="H7">
            <v>6245.2698391373779</v>
          </cell>
        </row>
        <row r="8">
          <cell r="B8" t="str">
            <v>% Change</v>
          </cell>
          <cell r="E8" t="e">
            <v>#REF!</v>
          </cell>
          <cell r="F8" t="e">
            <v>#REF!</v>
          </cell>
          <cell r="G8" t="e">
            <v>#REF!</v>
          </cell>
          <cell r="H8">
            <v>2.1847223751390032E-3</v>
          </cell>
        </row>
        <row r="9">
          <cell r="B9" t="str">
            <v>EBITDA</v>
          </cell>
          <cell r="C9" t="e">
            <v>#REF!</v>
          </cell>
          <cell r="E9" t="e">
            <v>#REF!</v>
          </cell>
        </row>
        <row r="10">
          <cell r="D10">
            <v>2372.0807530436928</v>
          </cell>
          <cell r="F10" t="e">
            <v>#REF!</v>
          </cell>
          <cell r="G10" t="e">
            <v>#REF!</v>
          </cell>
          <cell r="H10">
            <v>391.03364838795653</v>
          </cell>
        </row>
        <row r="11">
          <cell r="B11" t="str">
            <v>% Change</v>
          </cell>
          <cell r="E11" t="e">
            <v>#REF!</v>
          </cell>
          <cell r="F11" t="e">
            <v>#REF!</v>
          </cell>
          <cell r="G11" t="e">
            <v>#REF!</v>
          </cell>
          <cell r="H11">
            <v>-3.4726426039159763E-2</v>
          </cell>
        </row>
        <row r="12">
          <cell r="B12" t="str">
            <v>NPAT (adj), A$M</v>
          </cell>
          <cell r="C12" t="e">
            <v>#REF!</v>
          </cell>
          <cell r="E12" t="e">
            <v>#REF!</v>
          </cell>
        </row>
        <row r="13">
          <cell r="D13">
            <v>1268.4279503286748</v>
          </cell>
          <cell r="F13" t="e">
            <v>#REF!</v>
          </cell>
          <cell r="G13" t="e">
            <v>#REF!</v>
          </cell>
          <cell r="H13">
            <v>73.862388989074745</v>
          </cell>
        </row>
        <row r="14">
          <cell r="B14" t="str">
            <v>% Change</v>
          </cell>
          <cell r="E14" t="e">
            <v>#REF!</v>
          </cell>
          <cell r="F14" t="e">
            <v>#REF!</v>
          </cell>
          <cell r="G14" t="e">
            <v>#REF!</v>
          </cell>
          <cell r="H14">
            <v>-0.11744150691603372</v>
          </cell>
        </row>
        <row r="15">
          <cell r="B15" t="str">
            <v>EPS</v>
          </cell>
          <cell r="C15" t="e">
            <v>#REF!</v>
          </cell>
          <cell r="E15" t="e">
            <v>#REF!</v>
          </cell>
        </row>
        <row r="16">
          <cell r="D16">
            <v>158.75509120144866</v>
          </cell>
          <cell r="F16" t="e">
            <v>#REF!</v>
          </cell>
          <cell r="G16" t="e">
            <v>#REF!</v>
          </cell>
          <cell r="H16">
            <v>3.0269037130117744</v>
          </cell>
        </row>
        <row r="17">
          <cell r="B17" t="str">
            <v>% Change</v>
          </cell>
          <cell r="E17" t="e">
            <v>#REF!</v>
          </cell>
          <cell r="F17" t="e">
            <v>#REF!</v>
          </cell>
          <cell r="G17" t="e">
            <v>#REF!</v>
          </cell>
          <cell r="H17">
            <v>-0.11744150691603372</v>
          </cell>
        </row>
        <row r="18">
          <cell r="B18" t="str">
            <v>DPS</v>
          </cell>
          <cell r="C18" t="e">
            <v>#REF!</v>
          </cell>
          <cell r="E18" t="e">
            <v>#REF!</v>
          </cell>
        </row>
        <row r="19">
          <cell r="D19">
            <v>30</v>
          </cell>
          <cell r="F19" t="e">
            <v>#REF!</v>
          </cell>
          <cell r="G19" t="e">
            <v>#REF!</v>
          </cell>
          <cell r="H19">
            <v>6.5895620446164944</v>
          </cell>
        </row>
        <row r="20">
          <cell r="B20" t="str">
            <v>% Change</v>
          </cell>
          <cell r="E20" t="e">
            <v>#REF!</v>
          </cell>
          <cell r="F20" t="e">
            <v>#REF!</v>
          </cell>
          <cell r="G20" t="e">
            <v>#REF!</v>
          </cell>
          <cell r="H20">
            <v>0.59690490090987858</v>
          </cell>
        </row>
        <row r="22">
          <cell r="B22" t="str">
            <v>Operating Cashflow, A$M</v>
          </cell>
          <cell r="C22" t="e">
            <v>#REF!</v>
          </cell>
          <cell r="E22" t="e">
            <v>#REF!</v>
          </cell>
        </row>
        <row r="23">
          <cell r="D23">
            <v>2164.1684409421209</v>
          </cell>
          <cell r="F23" t="e">
            <v>#REF!</v>
          </cell>
          <cell r="G23" t="e">
            <v>#REF!</v>
          </cell>
          <cell r="H23">
            <v>321.29648350546177</v>
          </cell>
        </row>
        <row r="24">
          <cell r="B24" t="str">
            <v>% Change</v>
          </cell>
          <cell r="E24" t="e">
            <v>#REF!</v>
          </cell>
          <cell r="F24" t="e">
            <v>#REF!</v>
          </cell>
          <cell r="G24" t="e">
            <v>#REF!</v>
          </cell>
          <cell r="H24">
            <v>-4.1894504755285333E-2</v>
          </cell>
        </row>
        <row r="25">
          <cell r="B25" t="str">
            <v>Capex, A$M</v>
          </cell>
          <cell r="C25" t="e">
            <v>#REF!</v>
          </cell>
          <cell r="E25" t="e">
            <v>#REF!</v>
          </cell>
        </row>
        <row r="26">
          <cell r="D26">
            <v>2031.9</v>
          </cell>
          <cell r="F26" t="e">
            <v>#REF!</v>
          </cell>
          <cell r="G26" t="e">
            <v>#REF!</v>
          </cell>
          <cell r="H26">
            <v>400</v>
          </cell>
          <cell r="L26">
            <v>1493</v>
          </cell>
        </row>
        <row r="27">
          <cell r="B27" t="str">
            <v>% Change</v>
          </cell>
          <cell r="E27" t="e">
            <v>#REF!</v>
          </cell>
          <cell r="F27" t="e">
            <v>#REF!</v>
          </cell>
          <cell r="G27" t="e">
            <v>#REF!</v>
          </cell>
          <cell r="H27">
            <v>0</v>
          </cell>
        </row>
        <row r="28">
          <cell r="B28" t="str">
            <v>Cash</v>
          </cell>
          <cell r="C28" t="e">
            <v>#REF!</v>
          </cell>
          <cell r="E28" t="e">
            <v>#REF!</v>
          </cell>
        </row>
        <row r="29">
          <cell r="D29">
            <v>88.834602842120802</v>
          </cell>
          <cell r="F29" t="e">
            <v>#REF!</v>
          </cell>
          <cell r="G29" t="e">
            <v>#REF!</v>
          </cell>
          <cell r="H29">
            <v>130.52713333489424</v>
          </cell>
        </row>
        <row r="30">
          <cell r="B30" t="str">
            <v>% Change</v>
          </cell>
          <cell r="E30" t="e">
            <v>#REF!</v>
          </cell>
          <cell r="F30" t="e">
            <v>#REF!</v>
          </cell>
          <cell r="G30" t="e">
            <v>#REF!</v>
          </cell>
          <cell r="H30">
            <v>0.48146904457011774</v>
          </cell>
        </row>
        <row r="31">
          <cell r="B31" t="str">
            <v>Net Debt, A$M</v>
          </cell>
          <cell r="C31" t="e">
            <v>#REF!</v>
          </cell>
          <cell r="E31" t="e">
            <v>#REF!</v>
          </cell>
        </row>
        <row r="32">
          <cell r="D32">
            <v>266.86539715787922</v>
          </cell>
          <cell r="F32" t="e">
            <v>#REF!</v>
          </cell>
          <cell r="G32" t="e">
            <v>#REF!</v>
          </cell>
          <cell r="H32">
            <v>769.27286666510577</v>
          </cell>
        </row>
        <row r="33">
          <cell r="B33" t="str">
            <v>Gearing, (ND/E), %</v>
          </cell>
          <cell r="C33" t="e">
            <v>#REF!</v>
          </cell>
          <cell r="E33" t="e">
            <v>#REF!</v>
          </cell>
        </row>
        <row r="34">
          <cell r="D34">
            <v>1.7929793445102156E-2</v>
          </cell>
          <cell r="F34" t="e">
            <v>#REF!</v>
          </cell>
          <cell r="G34" t="e">
            <v>#REF!</v>
          </cell>
          <cell r="H34">
            <v>0.3912774708168974</v>
          </cell>
        </row>
        <row r="35">
          <cell r="B35" t="str">
            <v>EBITDA Margin</v>
          </cell>
          <cell r="C35" t="e">
            <v>#REF!</v>
          </cell>
          <cell r="E35" t="e">
            <v>#REF!</v>
          </cell>
        </row>
        <row r="36">
          <cell r="D36">
            <v>0.5407760523140116</v>
          </cell>
          <cell r="F36" t="e">
            <v>#REF!</v>
          </cell>
          <cell r="G36" t="e">
            <v>#REF!</v>
          </cell>
          <cell r="H36">
            <v>5.0437994320903921E-2</v>
          </cell>
        </row>
        <row r="40">
          <cell r="B40" t="str">
            <v>HALF YEAR</v>
          </cell>
          <cell r="C40" t="str">
            <v>DH10a</v>
          </cell>
          <cell r="D40" t="str">
            <v>MS JH11e</v>
          </cell>
          <cell r="E40" t="str">
            <v>JH11a</v>
          </cell>
          <cell r="F40" t="str">
            <v>DH11e</v>
          </cell>
          <cell r="G40" t="str">
            <v>JH12e</v>
          </cell>
          <cell r="H40" t="str">
            <v>DH13e</v>
          </cell>
        </row>
        <row r="41">
          <cell r="B41" t="str">
            <v>Production, koz</v>
          </cell>
          <cell r="C41">
            <v>3120</v>
          </cell>
          <cell r="E41">
            <v>3120</v>
          </cell>
        </row>
        <row r="42">
          <cell r="D42">
            <v>1399.8158317463062</v>
          </cell>
          <cell r="F42">
            <v>3160</v>
          </cell>
          <cell r="G42">
            <v>3244.8000000000006</v>
          </cell>
          <cell r="H42">
            <v>7776.8654616037857</v>
          </cell>
        </row>
        <row r="43">
          <cell r="B43" t="str">
            <v>% Change</v>
          </cell>
          <cell r="E43">
            <v>0</v>
          </cell>
          <cell r="F43">
            <v>1.2820512820512775E-2</v>
          </cell>
          <cell r="G43">
            <v>2.6835443037974915E-2</v>
          </cell>
          <cell r="H43">
            <v>-1.1732004105078353E-3</v>
          </cell>
        </row>
        <row r="44">
          <cell r="B44" t="str">
            <v>Sales revenue, A$M</v>
          </cell>
          <cell r="C44">
            <v>1120.76</v>
          </cell>
          <cell r="E44">
            <v>1351.7200000000003</v>
          </cell>
        </row>
        <row r="45">
          <cell r="D45">
            <v>1426</v>
          </cell>
          <cell r="F45">
            <v>1359.5569450307421</v>
          </cell>
          <cell r="G45">
            <v>1214.1181239368557</v>
          </cell>
          <cell r="H45">
            <v>3159.267538797822</v>
          </cell>
        </row>
        <row r="46">
          <cell r="B46" t="str">
            <v>% Change</v>
          </cell>
          <cell r="E46">
            <v>0.20607444948070985</v>
          </cell>
          <cell r="F46">
            <v>5.797757694449901E-3</v>
          </cell>
          <cell r="G46">
            <v>-0.10697515953669579</v>
          </cell>
          <cell r="H46">
            <v>0.12155613388878694</v>
          </cell>
        </row>
        <row r="47">
          <cell r="B47" t="str">
            <v>AWC share of net profit</v>
          </cell>
          <cell r="C47">
            <v>13.10000000000008</v>
          </cell>
          <cell r="E47">
            <v>93.250000000000213</v>
          </cell>
        </row>
        <row r="48">
          <cell r="D48">
            <v>100</v>
          </cell>
          <cell r="F48">
            <v>160.93820411251255</v>
          </cell>
          <cell r="G48">
            <v>66.847409369281308</v>
          </cell>
          <cell r="H48">
            <v>387.45340991418078</v>
          </cell>
        </row>
        <row r="49">
          <cell r="B49" t="str">
            <v>% Change</v>
          </cell>
          <cell r="E49">
            <v>6.1183206106869958</v>
          </cell>
          <cell r="F49">
            <v>0.7258788644773424</v>
          </cell>
          <cell r="G49">
            <v>-0.58463927357765211</v>
          </cell>
          <cell r="H49">
            <v>5.5556707765672053</v>
          </cell>
        </row>
        <row r="50">
          <cell r="B50" t="str">
            <v>NPAT (adj), A$M</v>
          </cell>
          <cell r="C50">
            <v>-9.5999999999999233</v>
          </cell>
          <cell r="E50">
            <v>67.650000000000205</v>
          </cell>
        </row>
        <row r="51">
          <cell r="D51">
            <v>83</v>
          </cell>
          <cell r="F51">
            <v>141.38618935363147</v>
          </cell>
          <cell r="G51">
            <v>40.083018455518705</v>
          </cell>
          <cell r="H51">
            <v>7.0769261357366986</v>
          </cell>
        </row>
        <row r="52">
          <cell r="B52" t="str">
            <v>% Change</v>
          </cell>
          <cell r="E52">
            <v>-8.0468750000000782</v>
          </cell>
          <cell r="F52">
            <v>1.0899658441039324</v>
          </cell>
          <cell r="G52">
            <v>-0.71649976112402247</v>
          </cell>
          <cell r="H52">
            <v>-1.0868530348729215</v>
          </cell>
        </row>
        <row r="53">
          <cell r="B53" t="str">
            <v>EPS</v>
          </cell>
          <cell r="C53">
            <v>-0.40000000000000013</v>
          </cell>
          <cell r="E53">
            <v>2.7723180767350408</v>
          </cell>
        </row>
        <row r="54">
          <cell r="D54">
            <v>3.4</v>
          </cell>
          <cell r="F54">
            <v>5.7940500893681408</v>
          </cell>
          <cell r="G54">
            <v>1.6426145843952467</v>
          </cell>
          <cell r="H54">
            <v>0.29001463789832149</v>
          </cell>
        </row>
        <row r="55">
          <cell r="B55" t="str">
            <v>% Change</v>
          </cell>
          <cell r="E55">
            <v>-7.9307951918375998</v>
          </cell>
          <cell r="F55">
            <v>1.0899658441039328</v>
          </cell>
          <cell r="G55">
            <v>-0.71649976112402247</v>
          </cell>
          <cell r="H55">
            <v>-1.0868530348729215</v>
          </cell>
        </row>
        <row r="56">
          <cell r="B56" t="str">
            <v>DPS</v>
          </cell>
          <cell r="C56">
            <v>4</v>
          </cell>
          <cell r="E56">
            <v>3</v>
          </cell>
        </row>
        <row r="57">
          <cell r="D57">
            <v>2</v>
          </cell>
          <cell r="F57">
            <v>2.9964577162722268</v>
          </cell>
          <cell r="G57">
            <v>0.82130729219762333</v>
          </cell>
          <cell r="H57">
            <v>3.7898484498029563</v>
          </cell>
        </row>
        <row r="58">
          <cell r="B58" t="str">
            <v>% Change</v>
          </cell>
          <cell r="E58">
            <v>-0.25</v>
          </cell>
          <cell r="F58">
            <v>-1.180761242591033E-3</v>
          </cell>
          <cell r="G58">
            <v>-0.72590726452186383</v>
          </cell>
          <cell r="H58">
            <v>-15.767210520965016</v>
          </cell>
        </row>
        <row r="60">
          <cell r="B60" t="str">
            <v>Operating Cashflow, A$M</v>
          </cell>
          <cell r="C60">
            <v>121.59999999999998</v>
          </cell>
          <cell r="E60">
            <v>147.1</v>
          </cell>
        </row>
        <row r="61">
          <cell r="D61">
            <v>4</v>
          </cell>
          <cell r="F61">
            <v>49.047985241118937</v>
          </cell>
          <cell r="G61">
            <v>44.383018455518695</v>
          </cell>
          <cell r="H61">
            <v>116.19967170646294</v>
          </cell>
        </row>
        <row r="62">
          <cell r="B62" t="str">
            <v>% Change</v>
          </cell>
          <cell r="E62">
            <v>0.20970394736842124</v>
          </cell>
          <cell r="F62">
            <v>-0.66656706158314794</v>
          </cell>
          <cell r="G62">
            <v>-9.5110263197710543E-2</v>
          </cell>
          <cell r="H62">
            <v>-20.276232453945976</v>
          </cell>
        </row>
        <row r="63">
          <cell r="B63" t="str">
            <v>Capex, US$M</v>
          </cell>
          <cell r="C63">
            <v>39.899999999999991</v>
          </cell>
          <cell r="E63">
            <v>110.1</v>
          </cell>
        </row>
        <row r="64">
          <cell r="D64">
            <v>104</v>
          </cell>
          <cell r="F64">
            <v>49.900000000000006</v>
          </cell>
          <cell r="G64">
            <v>50</v>
          </cell>
          <cell r="H64">
            <v>50</v>
          </cell>
        </row>
        <row r="65">
          <cell r="B65" t="str">
            <v>% Change</v>
          </cell>
          <cell r="E65" t="e">
            <v>#DIV/0!</v>
          </cell>
          <cell r="F65" t="e">
            <v>#DIV/0!</v>
          </cell>
          <cell r="G65" t="e">
            <v>#DIV/0!</v>
          </cell>
          <cell r="H65">
            <v>0</v>
          </cell>
        </row>
        <row r="66">
          <cell r="B66" t="str">
            <v>Cash</v>
          </cell>
          <cell r="C66">
            <v>112.09999999999985</v>
          </cell>
          <cell r="E66">
            <v>55.899999999999842</v>
          </cell>
        </row>
        <row r="67">
          <cell r="D67">
            <v>245</v>
          </cell>
          <cell r="F67">
            <v>68.342099631118771</v>
          </cell>
          <cell r="G67">
            <v>6.9056711490952978</v>
          </cell>
          <cell r="H67">
            <v>117.90396280842091</v>
          </cell>
        </row>
        <row r="68">
          <cell r="B68" t="str">
            <v>% Change</v>
          </cell>
          <cell r="E68">
            <v>-0.50133809099018811</v>
          </cell>
          <cell r="F68">
            <v>0.22257781093236062</v>
          </cell>
          <cell r="G68">
            <v>-0.89895436068881207</v>
          </cell>
          <cell r="H68">
            <v>1.4500652108223777</v>
          </cell>
        </row>
        <row r="69">
          <cell r="B69" t="str">
            <v>Net Debt, US$M</v>
          </cell>
          <cell r="C69">
            <v>351.80000000000013</v>
          </cell>
          <cell r="E69">
            <v>417.70000000000016</v>
          </cell>
        </row>
        <row r="70">
          <cell r="D70">
            <v>-41.914588475692028</v>
          </cell>
          <cell r="F70">
            <v>505.25790036888122</v>
          </cell>
          <cell r="G70">
            <v>566.69432885090475</v>
          </cell>
          <cell r="H70">
            <v>781.89603719157913</v>
          </cell>
        </row>
        <row r="71">
          <cell r="B71" t="str">
            <v>Gearing, (ND/ND+E), %</v>
          </cell>
          <cell r="C71">
            <v>0.14047276792844599</v>
          </cell>
          <cell r="E71">
            <v>0.16251021281562469</v>
          </cell>
        </row>
        <row r="72">
          <cell r="D72">
            <v>-2.8033330836541746E-3</v>
          </cell>
          <cell r="F72">
            <v>0.19009966646401866</v>
          </cell>
          <cell r="G72">
            <v>0.20839756948648272</v>
          </cell>
          <cell r="H72">
            <v>0.32960272490126985</v>
          </cell>
        </row>
        <row r="73">
          <cell r="B73" t="str">
            <v>Operating Margin (AWAC)</v>
          </cell>
          <cell r="C73">
            <v>5.2954610333999619E-2</v>
          </cell>
          <cell r="E73">
            <v>0.1142544313911166</v>
          </cell>
        </row>
        <row r="74">
          <cell r="D74">
            <v>0.59414840972166039</v>
          </cell>
          <cell r="F74">
            <v>0.19705204594888859</v>
          </cell>
          <cell r="G74">
            <v>9.148166025321923E-2</v>
          </cell>
          <cell r="H74">
            <v>0.12264026555396325</v>
          </cell>
        </row>
        <row r="78">
          <cell r="C78">
            <v>3120</v>
          </cell>
          <cell r="D78">
            <v>3120</v>
          </cell>
          <cell r="E78">
            <v>3120</v>
          </cell>
          <cell r="F78">
            <v>3160</v>
          </cell>
          <cell r="G78">
            <v>3244.8000000000006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/>
      <sheetData sheetId="2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  <sheetName val="AN pricing"/>
      <sheetName val="JL"/>
      <sheetName val="CH"/>
      <sheetName val="Revisions"/>
      <sheetName val="Charts"/>
      <sheetName val="Financial summary page"/>
      <sheetName val="Revenue Drivers"/>
      <sheetName val="Historical EBIT"/>
      <sheetName val="AFOSHEET"/>
      <sheetName val="Bontang"/>
      <sheetName val="Burrup"/>
      <sheetName val="KI"/>
      <sheetName val="Inputs &amp; Sens."/>
      <sheetName val="Valuation"/>
      <sheetName val="K mgmt options"/>
      <sheetName val="DCF"/>
      <sheetName val="vs Cons."/>
      <sheetName val="Modelware"/>
      <sheetName val="mwareDates"/>
      <sheetName val="MWA RR"/>
      <sheetName val="Minova DCF"/>
      <sheetName val="M&amp;A Proforma"/>
      <sheetName val="Minova DCF Bull"/>
      <sheetName val="Minova DCF Bear"/>
      <sheetName val="For initiation"/>
      <sheetName val="Remarks"/>
      <sheetName val="mwareSettings"/>
      <sheetName val="MW-Cache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">
          <cell r="B1" t="str">
            <v>FY12 EBIT</v>
          </cell>
        </row>
        <row r="2">
          <cell r="A2" t="str">
            <v>Mining Services</v>
          </cell>
          <cell r="B2">
            <v>876.69999999999993</v>
          </cell>
          <cell r="C2">
            <v>0.71</v>
          </cell>
        </row>
        <row r="3">
          <cell r="A3" t="str">
            <v>Minova</v>
          </cell>
          <cell r="B3">
            <v>109</v>
          </cell>
          <cell r="C3">
            <v>0.1</v>
          </cell>
          <cell r="O3" t="str">
            <v>Minova</v>
          </cell>
          <cell r="P3">
            <v>0.1</v>
          </cell>
          <cell r="R3">
            <v>109</v>
          </cell>
        </row>
        <row r="4">
          <cell r="A4" t="str">
            <v>Chemicals</v>
          </cell>
          <cell r="B4">
            <v>214.2</v>
          </cell>
          <cell r="C4">
            <v>0.19</v>
          </cell>
          <cell r="O4" t="str">
            <v>Chemicals</v>
          </cell>
          <cell r="P4">
            <v>0.19</v>
          </cell>
          <cell r="R4">
            <v>214.2</v>
          </cell>
        </row>
        <row r="5">
          <cell r="B5">
            <v>1199.8999999999999</v>
          </cell>
          <cell r="O5" t="str">
            <v>OMS Australia / Asia</v>
          </cell>
          <cell r="P5">
            <v>0.41611800983415281</v>
          </cell>
          <cell r="R5">
            <v>499.3</v>
          </cell>
        </row>
        <row r="6">
          <cell r="O6" t="str">
            <v>OMS North America</v>
          </cell>
          <cell r="P6">
            <v>9.2174347862321843E-2</v>
          </cell>
          <cell r="R6">
            <v>110.6</v>
          </cell>
        </row>
        <row r="7">
          <cell r="B7" t="str">
            <v>FY12 Mining Services EBIT</v>
          </cell>
          <cell r="O7" t="str">
            <v>OMS Latin America</v>
          </cell>
          <cell r="P7">
            <v>7.1589299108259022E-2</v>
          </cell>
          <cell r="R7">
            <v>85.9</v>
          </cell>
        </row>
        <row r="8">
          <cell r="A8" t="str">
            <v>Australia / Asia</v>
          </cell>
          <cell r="B8">
            <v>499.3</v>
          </cell>
          <cell r="C8">
            <v>0.56952207140412914</v>
          </cell>
          <cell r="O8" t="str">
            <v>OMS EMEA</v>
          </cell>
          <cell r="P8">
            <v>6.2005167097258104E-2</v>
          </cell>
          <cell r="R8">
            <v>74.400000000000006</v>
          </cell>
        </row>
        <row r="9">
          <cell r="A9" t="str">
            <v>North America</v>
          </cell>
          <cell r="B9">
            <v>110.6</v>
          </cell>
          <cell r="C9">
            <v>0.12615489905326793</v>
          </cell>
          <cell r="O9" t="str">
            <v>OMS Other</v>
          </cell>
          <cell r="P9">
            <v>7.0000000000000007E-2</v>
          </cell>
          <cell r="R9">
            <v>106.5</v>
          </cell>
        </row>
        <row r="10">
          <cell r="A10" t="str">
            <v>Latin America</v>
          </cell>
          <cell r="B10">
            <v>85.9</v>
          </cell>
          <cell r="C10">
            <v>9.798106535873162E-2</v>
          </cell>
        </row>
        <row r="11">
          <cell r="A11" t="str">
            <v>EMEA</v>
          </cell>
          <cell r="B11">
            <v>74.400000000000006</v>
          </cell>
          <cell r="C11">
            <v>8.4863693395688389E-2</v>
          </cell>
        </row>
        <row r="12">
          <cell r="A12" t="str">
            <v>Other</v>
          </cell>
          <cell r="B12">
            <v>106.5</v>
          </cell>
          <cell r="C12">
            <v>0.12147827078818296</v>
          </cell>
        </row>
        <row r="13">
          <cell r="B13">
            <v>876.69999999999993</v>
          </cell>
        </row>
        <row r="14">
          <cell r="A14" t="str">
            <v>Note: Does not equal Grup contribution due to productivity adjustments</v>
          </cell>
        </row>
        <row r="16">
          <cell r="A16" t="str">
            <v>Mining Services Australia / Asia</v>
          </cell>
          <cell r="B16">
            <v>499.3</v>
          </cell>
          <cell r="C16">
            <v>0.41611800983415292</v>
          </cell>
        </row>
        <row r="17">
          <cell r="A17" t="str">
            <v>Mining Services North America</v>
          </cell>
          <cell r="B17">
            <v>110.6</v>
          </cell>
          <cell r="C17">
            <v>9.217434786232187E-2</v>
          </cell>
        </row>
        <row r="18">
          <cell r="A18" t="str">
            <v>Mining Services Latin America</v>
          </cell>
          <cell r="B18">
            <v>85.9</v>
          </cell>
          <cell r="C18">
            <v>7.1589299108259036E-2</v>
          </cell>
        </row>
        <row r="19">
          <cell r="A19" t="str">
            <v>Mining Services EMEA</v>
          </cell>
          <cell r="B19">
            <v>74.400000000000006</v>
          </cell>
          <cell r="C19">
            <v>6.2005167097258118E-2</v>
          </cell>
        </row>
        <row r="20">
          <cell r="A20" t="str">
            <v>Other</v>
          </cell>
          <cell r="B20">
            <v>106.5</v>
          </cell>
          <cell r="C20">
            <v>8.8757396449704151E-2</v>
          </cell>
        </row>
        <row r="21">
          <cell r="A21" t="str">
            <v>Minova</v>
          </cell>
          <cell r="B21">
            <v>109</v>
          </cell>
          <cell r="C21">
            <v>9.0840903408617391E-2</v>
          </cell>
        </row>
        <row r="22">
          <cell r="A22" t="str">
            <v>Chemicals</v>
          </cell>
          <cell r="B22">
            <v>214.2</v>
          </cell>
          <cell r="C22">
            <v>0.17851487623968665</v>
          </cell>
        </row>
        <row r="24">
          <cell r="A24" t="str">
            <v>Australia</v>
          </cell>
          <cell r="B24">
            <v>0.52</v>
          </cell>
        </row>
        <row r="25">
          <cell r="A25" t="str">
            <v>New Zealand</v>
          </cell>
          <cell r="B25">
            <v>0.03</v>
          </cell>
        </row>
        <row r="26">
          <cell r="A26" t="str">
            <v>Asia</v>
          </cell>
          <cell r="B26">
            <v>7.0000000000000007E-2</v>
          </cell>
        </row>
        <row r="27">
          <cell r="A27" t="str">
            <v>North America</v>
          </cell>
          <cell r="B27">
            <v>0.13</v>
          </cell>
        </row>
        <row r="28">
          <cell r="A28" t="str">
            <v>Latin America</v>
          </cell>
          <cell r="B28">
            <v>0.1</v>
          </cell>
        </row>
        <row r="29">
          <cell r="A29" t="str">
            <v>Europe</v>
          </cell>
          <cell r="B29">
            <v>0.14000000000000001</v>
          </cell>
        </row>
        <row r="30">
          <cell r="A30" t="str">
            <v>Other</v>
          </cell>
          <cell r="B30">
            <v>0.01</v>
          </cell>
        </row>
        <row r="35">
          <cell r="B35" t="str">
            <v>FY12 Consensus</v>
          </cell>
          <cell r="C35" t="str">
            <v>42% Skew</v>
          </cell>
        </row>
        <row r="37">
          <cell r="A37" t="str">
            <v>Revenue</v>
          </cell>
          <cell r="B37">
            <v>6605</v>
          </cell>
        </row>
        <row r="39">
          <cell r="A39" t="str">
            <v>EBITDA</v>
          </cell>
          <cell r="B39">
            <v>1337</v>
          </cell>
        </row>
        <row r="40">
          <cell r="B40">
            <v>0.2024224072672218</v>
          </cell>
        </row>
        <row r="41">
          <cell r="A41" t="str">
            <v>EBIT</v>
          </cell>
          <cell r="B41">
            <v>1080</v>
          </cell>
        </row>
        <row r="42">
          <cell r="B42">
            <v>0.16351249053747161</v>
          </cell>
        </row>
        <row r="43">
          <cell r="A43" t="str">
            <v>Undelrying NPAT</v>
          </cell>
          <cell r="B43">
            <v>662</v>
          </cell>
          <cell r="C43">
            <v>278.03999999999996</v>
          </cell>
        </row>
        <row r="45">
          <cell r="B45">
            <v>2009</v>
          </cell>
          <cell r="C45">
            <v>2010</v>
          </cell>
          <cell r="D45">
            <v>2011</v>
          </cell>
        </row>
        <row r="46">
          <cell r="A46" t="str">
            <v>HY NPAT</v>
          </cell>
          <cell r="B46">
            <v>264.40000000000003</v>
          </cell>
          <cell r="C46">
            <v>293.2000000000001</v>
          </cell>
          <cell r="D46">
            <v>263.7999999999999</v>
          </cell>
        </row>
        <row r="47">
          <cell r="A47" t="str">
            <v>FY NPAT</v>
          </cell>
          <cell r="B47">
            <v>646.4</v>
          </cell>
          <cell r="C47">
            <v>675.90000000000009</v>
          </cell>
          <cell r="D47">
            <v>656.99999999999989</v>
          </cell>
        </row>
        <row r="48">
          <cell r="B48">
            <v>0.40903465346534662</v>
          </cell>
          <cell r="C48">
            <v>0.43379198106228739</v>
          </cell>
          <cell r="D48">
            <v>0.40152207001522061</v>
          </cell>
        </row>
        <row r="55">
          <cell r="A55" t="str">
            <v>('$m)</v>
          </cell>
          <cell r="B55" t="str">
            <v>HY12</v>
          </cell>
          <cell r="C55" t="str">
            <v>HY11</v>
          </cell>
          <cell r="D55" t="str">
            <v>% yoy</v>
          </cell>
        </row>
        <row r="56">
          <cell r="A56" t="str">
            <v>Revenue</v>
          </cell>
          <cell r="B56">
            <v>3290.7</v>
          </cell>
          <cell r="C56">
            <v>2949.3</v>
          </cell>
          <cell r="D56">
            <v>0.11575628115145964</v>
          </cell>
        </row>
        <row r="57">
          <cell r="A57" t="str">
            <v xml:space="preserve">EBIT </v>
          </cell>
          <cell r="B57">
            <v>418.7</v>
          </cell>
          <cell r="C57">
            <v>437</v>
          </cell>
          <cell r="D57">
            <v>-4.1876430205949666E-2</v>
          </cell>
        </row>
        <row r="58">
          <cell r="A58" t="str">
            <v>Margin (%)</v>
          </cell>
          <cell r="B58">
            <v>0.12723736590998877</v>
          </cell>
          <cell r="C58">
            <v>0.14817075238192112</v>
          </cell>
          <cell r="D58" t="str">
            <v>-110 bps</v>
          </cell>
        </row>
        <row r="59">
          <cell r="A59" t="str">
            <v>NPAT (pre-ab)</v>
          </cell>
          <cell r="B59">
            <v>253</v>
          </cell>
          <cell r="C59">
            <v>263.8</v>
          </cell>
          <cell r="D59">
            <v>-4.0940106141015953E-2</v>
          </cell>
        </row>
        <row r="60">
          <cell r="A60" t="str">
            <v>Thomson Cons.</v>
          </cell>
          <cell r="B60">
            <v>241</v>
          </cell>
        </row>
        <row r="61">
          <cell r="A61" t="str">
            <v>(vs. Thomson)</v>
          </cell>
          <cell r="B61">
            <v>4.9792531120331995E-2</v>
          </cell>
        </row>
        <row r="62">
          <cell r="A62" t="str">
            <v>EPS</v>
          </cell>
          <cell r="B62">
            <v>67.900000000000006</v>
          </cell>
          <cell r="C62">
            <v>71.099999999999994</v>
          </cell>
          <cell r="D62">
            <v>-4.5007032348804321E-2</v>
          </cell>
          <cell r="H62">
            <v>241</v>
          </cell>
        </row>
        <row r="63">
          <cell r="A63" t="str">
            <v>DPS</v>
          </cell>
          <cell r="B63">
            <v>38</v>
          </cell>
          <cell r="C63">
            <v>37</v>
          </cell>
          <cell r="D63">
            <v>2.7027027027026973E-2</v>
          </cell>
        </row>
        <row r="65">
          <cell r="A65" t="str">
            <v>EBIT ('$m)</v>
          </cell>
          <cell r="B65" t="str">
            <v>HY12</v>
          </cell>
          <cell r="C65" t="str">
            <v>HY11</v>
          </cell>
          <cell r="D65" t="str">
            <v>% yoy</v>
          </cell>
        </row>
        <row r="66">
          <cell r="A66" t="str">
            <v>Mining Services</v>
          </cell>
          <cell r="B66">
            <v>313</v>
          </cell>
          <cell r="C66">
            <v>334.5</v>
          </cell>
          <cell r="D66">
            <v>-6.427503736920781E-2</v>
          </cell>
        </row>
        <row r="67">
          <cell r="A67" t="str">
            <v>Margin (%)</v>
          </cell>
          <cell r="B67">
            <v>0.14667291471415184</v>
          </cell>
          <cell r="C67">
            <v>0.183</v>
          </cell>
          <cell r="D67" t="str">
            <v>-360 bps</v>
          </cell>
          <cell r="F67">
            <v>-3.6000000000000014</v>
          </cell>
        </row>
        <row r="69">
          <cell r="A69" t="str">
            <v>Minova</v>
          </cell>
          <cell r="B69">
            <v>57</v>
          </cell>
          <cell r="C69">
            <v>55.4</v>
          </cell>
          <cell r="D69">
            <v>2.8880866425992746E-2</v>
          </cell>
        </row>
        <row r="70">
          <cell r="A70" t="str">
            <v>Margin (%)</v>
          </cell>
          <cell r="B70">
            <v>0.130715935334873</v>
          </cell>
          <cell r="C70">
            <v>0.13500000000000001</v>
          </cell>
          <cell r="D70" t="str">
            <v>-40 bps</v>
          </cell>
        </row>
        <row r="72">
          <cell r="A72" t="str">
            <v>Chemicals</v>
          </cell>
          <cell r="B72">
            <v>95.9</v>
          </cell>
          <cell r="C72">
            <v>94.7</v>
          </cell>
          <cell r="D72">
            <v>1.2671594508975703E-2</v>
          </cell>
        </row>
        <row r="73">
          <cell r="A73" t="str">
            <v>Margin (%)</v>
          </cell>
          <cell r="B73">
            <v>0.11917484776935504</v>
          </cell>
          <cell r="C73">
            <v>0.126</v>
          </cell>
          <cell r="D73" t="str">
            <v>-70 bps</v>
          </cell>
        </row>
        <row r="76">
          <cell r="A76" t="str">
            <v>EBIT ('$m)</v>
          </cell>
          <cell r="B76" t="str">
            <v>HY12</v>
          </cell>
          <cell r="C76" t="str">
            <v>HY11</v>
          </cell>
          <cell r="D76" t="str">
            <v>% yoy</v>
          </cell>
        </row>
        <row r="77">
          <cell r="A77" t="str">
            <v>Mining Services</v>
          </cell>
          <cell r="B77">
            <v>313</v>
          </cell>
          <cell r="C77">
            <v>334.5</v>
          </cell>
          <cell r="D77">
            <v>-6.427503736920781E-2</v>
          </cell>
          <cell r="F77">
            <v>0.13518032003821351</v>
          </cell>
        </row>
        <row r="78">
          <cell r="A78" t="str">
            <v>Minova</v>
          </cell>
          <cell r="B78">
            <v>56.6</v>
          </cell>
          <cell r="C78">
            <v>55.4</v>
          </cell>
          <cell r="D78">
            <v>2.1660649819494671E-2</v>
          </cell>
        </row>
        <row r="79">
          <cell r="A79" t="str">
            <v>Chemicals</v>
          </cell>
          <cell r="B79">
            <v>95.9</v>
          </cell>
          <cell r="C79">
            <v>94.7</v>
          </cell>
          <cell r="D79">
            <v>1.2671594508975703E-2</v>
          </cell>
        </row>
        <row r="80">
          <cell r="A80" t="str">
            <v>Corporate Centre</v>
          </cell>
          <cell r="B80">
            <v>-22.9</v>
          </cell>
          <cell r="C80">
            <v>-23.8</v>
          </cell>
          <cell r="D80">
            <v>-3.7815126050420256E-2</v>
          </cell>
        </row>
        <row r="81">
          <cell r="A81" t="str">
            <v>Other Support Costs</v>
          </cell>
          <cell r="B81">
            <v>-23.9</v>
          </cell>
          <cell r="C81">
            <v>-23.8</v>
          </cell>
          <cell r="D81">
            <v>4.2016806722688926E-3</v>
          </cell>
        </row>
        <row r="82">
          <cell r="A82" t="str">
            <v>Total EBIT</v>
          </cell>
          <cell r="B82">
            <v>418.70000000000005</v>
          </cell>
          <cell r="C82">
            <v>436.99999999999994</v>
          </cell>
          <cell r="D82">
            <v>-4.1876430205949444E-2</v>
          </cell>
        </row>
        <row r="83">
          <cell r="A83" t="str">
            <v>Net Interest</v>
          </cell>
          <cell r="B83">
            <v>-65.3</v>
          </cell>
          <cell r="C83">
            <v>-62.5</v>
          </cell>
          <cell r="D83">
            <v>4.4799999999999951E-2</v>
          </cell>
        </row>
        <row r="84">
          <cell r="A84" t="str">
            <v>Tax Expense</v>
          </cell>
          <cell r="B84">
            <v>-90</v>
          </cell>
          <cell r="C84">
            <v>-97.3</v>
          </cell>
          <cell r="D84">
            <v>-7.5025693730729648E-2</v>
          </cell>
        </row>
        <row r="85">
          <cell r="A85" t="str">
            <v>Non-controlling Interest</v>
          </cell>
          <cell r="B85">
            <v>-10.1</v>
          </cell>
          <cell r="C85">
            <v>-13.4</v>
          </cell>
          <cell r="D85">
            <v>-0.24626865671641796</v>
          </cell>
        </row>
        <row r="86">
          <cell r="A86" t="str">
            <v>NPAT</v>
          </cell>
          <cell r="B86">
            <v>253.30000000000004</v>
          </cell>
          <cell r="C86">
            <v>263.79999999999995</v>
          </cell>
          <cell r="D86">
            <v>-3.9802880970431831E-2</v>
          </cell>
        </row>
        <row r="89">
          <cell r="B89" t="str">
            <v>FY07A</v>
          </cell>
          <cell r="C89" t="str">
            <v>FY08A</v>
          </cell>
          <cell r="D89" t="str">
            <v>FY09A</v>
          </cell>
          <cell r="E89" t="str">
            <v>FY10A</v>
          </cell>
          <cell r="F89" t="str">
            <v>FY11A</v>
          </cell>
          <cell r="H89" t="str">
            <v>FY12A</v>
          </cell>
          <cell r="J89" t="str">
            <v>FY14E</v>
          </cell>
          <cell r="K89" t="str">
            <v>FY15E</v>
          </cell>
          <cell r="L89" t="str">
            <v>FY16E</v>
          </cell>
        </row>
        <row r="90">
          <cell r="A90" t="str">
            <v>Sales</v>
          </cell>
          <cell r="B90">
            <v>5588.6999999999989</v>
          </cell>
          <cell r="C90">
            <v>6597.9</v>
          </cell>
          <cell r="D90">
            <v>7327.8</v>
          </cell>
          <cell r="E90">
            <v>7378.6</v>
          </cell>
          <cell r="F90">
            <v>6267.9999999999991</v>
          </cell>
          <cell r="H90">
            <v>6741.6</v>
          </cell>
          <cell r="J90">
            <v>7361.3226550835216</v>
          </cell>
          <cell r="K90">
            <v>8037.7905581741616</v>
          </cell>
          <cell r="L90">
            <v>8396.0933562198097</v>
          </cell>
        </row>
        <row r="91">
          <cell r="A91" t="str">
            <v>EBITDA</v>
          </cell>
          <cell r="B91">
            <v>995.90000000000009</v>
          </cell>
          <cell r="C91">
            <v>1188.8000000000002</v>
          </cell>
          <cell r="D91">
            <v>1330.2</v>
          </cell>
          <cell r="E91">
            <v>1340.9</v>
          </cell>
          <cell r="F91">
            <v>1273.5</v>
          </cell>
          <cell r="H91">
            <v>1364</v>
          </cell>
          <cell r="J91">
            <v>1460.2836832046585</v>
          </cell>
          <cell r="K91">
            <v>1594.7523544895053</v>
          </cell>
          <cell r="L91">
            <v>1709.1558640567448</v>
          </cell>
          <cell r="M91" t="str">
            <v>If stop investing in capex then they will stop growing</v>
          </cell>
        </row>
        <row r="92">
          <cell r="A92" t="str">
            <v>Underlying Operating cash flow</v>
          </cell>
          <cell r="B92">
            <v>546.10000000000014</v>
          </cell>
          <cell r="C92">
            <v>812.40000000000032</v>
          </cell>
          <cell r="D92">
            <v>959.90000000000009</v>
          </cell>
          <cell r="E92">
            <v>1034.4000000000001</v>
          </cell>
          <cell r="F92">
            <v>927.30000000000007</v>
          </cell>
          <cell r="H92">
            <v>1056.6000000000001</v>
          </cell>
          <cell r="J92">
            <v>1002.5744110932849</v>
          </cell>
          <cell r="K92">
            <v>1121.5067858302882</v>
          </cell>
          <cell r="L92">
            <v>1225.6027370289405</v>
          </cell>
        </row>
        <row r="93">
          <cell r="A93" t="str">
            <v>Capex</v>
          </cell>
          <cell r="B93">
            <v>-1171.8</v>
          </cell>
          <cell r="C93">
            <v>-1270</v>
          </cell>
          <cell r="D93">
            <v>-516.29999999999995</v>
          </cell>
          <cell r="E93">
            <v>-697.8</v>
          </cell>
          <cell r="F93">
            <v>-766</v>
          </cell>
          <cell r="H93">
            <v>-670</v>
          </cell>
          <cell r="J93">
            <v>-809.01131976753027</v>
          </cell>
          <cell r="K93">
            <v>-839.42437428189169</v>
          </cell>
          <cell r="L93">
            <v>-668.31809804079398</v>
          </cell>
          <cell r="M93" t="str">
            <v>High capex in FY07-08 was for acquisitions</v>
          </cell>
        </row>
        <row r="94">
          <cell r="A94" t="str">
            <v>FCF</v>
          </cell>
          <cell r="B94">
            <v>-625.69999999999982</v>
          </cell>
          <cell r="C94">
            <v>-457.59999999999968</v>
          </cell>
          <cell r="D94">
            <v>443.60000000000014</v>
          </cell>
          <cell r="E94">
            <v>336.60000000000014</v>
          </cell>
          <cell r="F94">
            <v>161.30000000000007</v>
          </cell>
          <cell r="H94">
            <v>386.60000000000014</v>
          </cell>
          <cell r="I94">
            <v>0</v>
          </cell>
          <cell r="J94">
            <v>193.56309132575461</v>
          </cell>
          <cell r="K94">
            <v>282.08241154839652</v>
          </cell>
          <cell r="L94">
            <v>557.28463898814653</v>
          </cell>
        </row>
        <row r="97">
          <cell r="A97" t="str">
            <v>ROIC</v>
          </cell>
          <cell r="B97">
            <v>0.15217385321688506</v>
          </cell>
          <cell r="C97">
            <v>0.13090893410426693</v>
          </cell>
          <cell r="D97">
            <v>0.15146873547781683</v>
          </cell>
          <cell r="E97">
            <v>0.16957278182213908</v>
          </cell>
          <cell r="F97">
            <v>0.14514225717444207</v>
          </cell>
          <cell r="H97">
            <v>0.14931156819772662</v>
          </cell>
          <cell r="J97">
            <v>0.12609472723430495</v>
          </cell>
          <cell r="K97">
            <v>0.12570467927600573</v>
          </cell>
          <cell r="L97">
            <v>0.12876663604216687</v>
          </cell>
        </row>
        <row r="98">
          <cell r="A98" t="str">
            <v>Invested capital</v>
          </cell>
          <cell r="B98">
            <v>4054.3999999999996</v>
          </cell>
          <cell r="C98">
            <v>5477.5999999999995</v>
          </cell>
          <cell r="D98">
            <v>5166.0999999999995</v>
          </cell>
          <cell r="E98">
            <v>4748.2999999999993</v>
          </cell>
          <cell r="F98">
            <v>5295.2000000000007</v>
          </cell>
          <cell r="H98">
            <v>5556.1</v>
          </cell>
          <cell r="J98">
            <v>6623.5871347444372</v>
          </cell>
          <cell r="K98">
            <v>7205.2401446973581</v>
          </cell>
          <cell r="L98">
            <v>7549.8942667037845</v>
          </cell>
        </row>
        <row r="100">
          <cell r="A100" t="str">
            <v>Net debt</v>
          </cell>
          <cell r="B100">
            <v>-1426.8</v>
          </cell>
          <cell r="C100">
            <v>-1159.2</v>
          </cell>
          <cell r="D100">
            <v>-1193.3</v>
          </cell>
          <cell r="E100">
            <v>-1115.6999999999998</v>
          </cell>
          <cell r="F100">
            <v>-1419.6</v>
          </cell>
          <cell r="H100">
            <v>-2309.6</v>
          </cell>
          <cell r="J100">
            <v>-2622.1177961773205</v>
          </cell>
          <cell r="K100">
            <v>-2766.3126199193925</v>
          </cell>
          <cell r="L100">
            <v>-2640.4915811444448</v>
          </cell>
        </row>
        <row r="101">
          <cell r="A101" t="str">
            <v>Gearing</v>
          </cell>
          <cell r="B101">
            <v>0.38884495511001538</v>
          </cell>
          <cell r="C101">
            <v>0.24537797504630765</v>
          </cell>
          <cell r="D101">
            <v>0.26580547393321136</v>
          </cell>
          <cell r="E101">
            <v>0.27250515691025973</v>
          </cell>
          <cell r="F101">
            <v>0.30045846720335001</v>
          </cell>
          <cell r="H101">
            <v>0.41568726264826045</v>
          </cell>
          <cell r="J101">
            <v>0.39587579099289555</v>
          </cell>
          <cell r="K101">
            <v>0.38393066217997457</v>
          </cell>
          <cell r="L101">
            <v>0.34973888214427401</v>
          </cell>
        </row>
        <row r="103">
          <cell r="A103" t="str">
            <v>Net cash</v>
          </cell>
          <cell r="C103">
            <v>267.59999999999991</v>
          </cell>
          <cell r="D103">
            <v>-34.099999999999909</v>
          </cell>
          <cell r="E103">
            <v>77.600000000000136</v>
          </cell>
          <cell r="F103">
            <v>-303.90000000000009</v>
          </cell>
          <cell r="H103">
            <v>-890</v>
          </cell>
          <cell r="I103">
            <v>2309.6</v>
          </cell>
          <cell r="J103" t="e">
            <v>#REF!</v>
          </cell>
          <cell r="K103">
            <v>-144.194823742072</v>
          </cell>
          <cell r="L103">
            <v>125.82103877494774</v>
          </cell>
        </row>
        <row r="105">
          <cell r="A105" t="str">
            <v>Incremental IC</v>
          </cell>
          <cell r="H105">
            <v>260.89999999999964</v>
          </cell>
          <cell r="J105" t="e">
            <v>#REF!</v>
          </cell>
          <cell r="K105">
            <v>581.65300995292091</v>
          </cell>
          <cell r="L105">
            <v>344.65412200642641</v>
          </cell>
        </row>
        <row r="106">
          <cell r="A106" t="str">
            <v>Taxed EBIT</v>
          </cell>
          <cell r="F106">
            <v>768.55728019010576</v>
          </cell>
          <cell r="H106">
            <v>829.59000406338885</v>
          </cell>
          <cell r="J106">
            <v>835.19941306825126</v>
          </cell>
          <cell r="K106">
            <v>905.73240149578248</v>
          </cell>
          <cell r="L106">
            <v>972.17448719748847</v>
          </cell>
        </row>
        <row r="107">
          <cell r="A107" t="str">
            <v>Incremental taxed EBIT</v>
          </cell>
          <cell r="H107">
            <v>61.032723873283089</v>
          </cell>
          <cell r="I107">
            <v>-829.59000406338885</v>
          </cell>
          <cell r="J107" t="e">
            <v>#REF!</v>
          </cell>
          <cell r="K107">
            <v>70.532988427531222</v>
          </cell>
          <cell r="L107">
            <v>66.442085701705992</v>
          </cell>
        </row>
        <row r="108">
          <cell r="A108" t="str">
            <v>Incremental ROIC</v>
          </cell>
          <cell r="H108">
            <v>0.23393148284125403</v>
          </cell>
          <cell r="I108" t="e">
            <v>#DIV/0!</v>
          </cell>
          <cell r="J108" t="e">
            <v>#REF!</v>
          </cell>
          <cell r="K108">
            <v>0.12126299910876448</v>
          </cell>
          <cell r="L108">
            <v>0.19277902528746521</v>
          </cell>
        </row>
        <row r="117">
          <cell r="A117" t="str">
            <v>Minova Margins</v>
          </cell>
        </row>
        <row r="155">
          <cell r="A155" t="str">
            <v>Minova</v>
          </cell>
        </row>
        <row r="156">
          <cell r="A156" t="str">
            <v>EMEA</v>
          </cell>
          <cell r="B156">
            <v>0.4</v>
          </cell>
        </row>
        <row r="157">
          <cell r="A157" t="str">
            <v>North America</v>
          </cell>
          <cell r="B157">
            <v>0.3</v>
          </cell>
        </row>
        <row r="158">
          <cell r="A158" t="str">
            <v>Australia / Asia</v>
          </cell>
          <cell r="B158">
            <v>0.25</v>
          </cell>
        </row>
        <row r="159">
          <cell r="A159" t="str">
            <v>Other</v>
          </cell>
          <cell r="B159">
            <v>0.05</v>
          </cell>
        </row>
        <row r="161">
          <cell r="A161" t="str">
            <v>Source: From DT call with ORI</v>
          </cell>
        </row>
        <row r="169">
          <cell r="A169" t="str">
            <v>Coal</v>
          </cell>
        </row>
        <row r="182">
          <cell r="B182" t="str">
            <v>FY08A</v>
          </cell>
          <cell r="C182" t="str">
            <v>FY09A</v>
          </cell>
          <cell r="D182" t="str">
            <v>FY10A</v>
          </cell>
          <cell r="E182" t="str">
            <v>FY11A</v>
          </cell>
          <cell r="F182" t="str">
            <v>FY12A</v>
          </cell>
          <cell r="G182" t="str">
            <v>FY13E</v>
          </cell>
          <cell r="H182" t="str">
            <v>FY14E</v>
          </cell>
          <cell r="I182" t="str">
            <v>FY15E</v>
          </cell>
          <cell r="J182" t="str">
            <v>FY16E</v>
          </cell>
          <cell r="K182" t="str">
            <v>CAGR</v>
          </cell>
        </row>
        <row r="183">
          <cell r="A183" t="str">
            <v>Reported EPS</v>
          </cell>
          <cell r="B183">
            <v>1.6177265607760503</v>
          </cell>
          <cell r="C183">
            <v>1.5067748468340283</v>
          </cell>
          <cell r="D183">
            <v>3.6526252356138209</v>
          </cell>
          <cell r="E183">
            <v>1.7692582089531674</v>
          </cell>
          <cell r="F183">
            <v>1.1047007219638614</v>
          </cell>
          <cell r="G183">
            <v>1.7966233082938587</v>
          </cell>
          <cell r="H183">
            <v>1.8858859289504986</v>
          </cell>
          <cell r="I183">
            <v>2.0419581258476978</v>
          </cell>
          <cell r="J183">
            <v>2.1877731775481011</v>
          </cell>
          <cell r="K183">
            <v>2.9084702755449943E-2</v>
          </cell>
        </row>
        <row r="184">
          <cell r="A184" t="str">
            <v>Underlying EPS</v>
          </cell>
          <cell r="B184">
            <v>1.7172605152196474</v>
          </cell>
          <cell r="C184">
            <v>1.7976730546207382</v>
          </cell>
          <cell r="D184">
            <v>1.8721539370223563</v>
          </cell>
          <cell r="E184">
            <v>1.8097503398446693</v>
          </cell>
          <cell r="F184">
            <v>1.9544705080899087</v>
          </cell>
          <cell r="G184">
            <v>1.7966233082938587</v>
          </cell>
          <cell r="H184">
            <v>1.8858859289504986</v>
          </cell>
          <cell r="I184">
            <v>2.0419581258476978</v>
          </cell>
          <cell r="J184">
            <v>2.1877731775481011</v>
          </cell>
          <cell r="K184">
            <v>2.4437890060305945E-2</v>
          </cell>
        </row>
        <row r="185">
          <cell r="A185" t="str">
            <v>EPS growth</v>
          </cell>
          <cell r="C185">
            <v>4.6826057367775453E-2</v>
          </cell>
          <cell r="D185">
            <v>4.1431828891339562E-2</v>
          </cell>
          <cell r="E185">
            <v>-3.3332513926146112E-2</v>
          </cell>
          <cell r="F185">
            <v>7.996692419887097E-2</v>
          </cell>
          <cell r="G185">
            <v>-8.0762129253264092E-2</v>
          </cell>
          <cell r="H185">
            <v>4.9683548156461921E-2</v>
          </cell>
          <cell r="I185">
            <v>8.275802608276206E-2</v>
          </cell>
          <cell r="J185">
            <v>7.1409423070255107E-2</v>
          </cell>
        </row>
        <row r="187">
          <cell r="A187" t="str">
            <v>Sales</v>
          </cell>
          <cell r="B187">
            <v>6597.9</v>
          </cell>
          <cell r="C187">
            <v>7327.8</v>
          </cell>
          <cell r="D187">
            <v>7378.6</v>
          </cell>
          <cell r="E187">
            <v>6267.9999999999991</v>
          </cell>
          <cell r="F187">
            <v>6741.6</v>
          </cell>
          <cell r="G187">
            <v>6868.7587544931685</v>
          </cell>
          <cell r="H187">
            <v>7361.3226550835216</v>
          </cell>
          <cell r="I187">
            <v>8037.7905581741616</v>
          </cell>
          <cell r="J187">
            <v>8396.0933562198097</v>
          </cell>
          <cell r="K187">
            <v>5.099715289943374E-2</v>
          </cell>
        </row>
        <row r="188">
          <cell r="A188" t="str">
            <v>Depreciation</v>
          </cell>
          <cell r="B188">
            <v>177.6</v>
          </cell>
          <cell r="C188">
            <v>202.7</v>
          </cell>
          <cell r="D188">
            <v>198.6</v>
          </cell>
          <cell r="E188">
            <v>187.5</v>
          </cell>
          <cell r="F188">
            <v>214.7</v>
          </cell>
          <cell r="G188">
            <v>254.98591812106866</v>
          </cell>
          <cell r="H188">
            <v>294.63582770702175</v>
          </cell>
          <cell r="I188">
            <v>333.78964976547491</v>
          </cell>
          <cell r="J188">
            <v>358.40655703311177</v>
          </cell>
        </row>
        <row r="189">
          <cell r="A189" t="str">
            <v>EBITDA</v>
          </cell>
          <cell r="B189">
            <v>1188.8000000000002</v>
          </cell>
          <cell r="C189">
            <v>1330.2</v>
          </cell>
          <cell r="D189">
            <v>1340.9</v>
          </cell>
          <cell r="E189">
            <v>1273.5</v>
          </cell>
          <cell r="F189">
            <v>1364</v>
          </cell>
          <cell r="G189">
            <v>1354.5093410906977</v>
          </cell>
          <cell r="H189">
            <v>1460.2836832046585</v>
          </cell>
          <cell r="I189">
            <v>1594.7523544895053</v>
          </cell>
          <cell r="J189">
            <v>1709.1558640567448</v>
          </cell>
          <cell r="K189">
            <v>4.6017283595799929E-2</v>
          </cell>
        </row>
        <row r="191">
          <cell r="A191" t="str">
            <v>Depn / EBITDA</v>
          </cell>
          <cell r="B191">
            <v>0.14939434724091519</v>
          </cell>
          <cell r="C191">
            <v>0.15238310028567131</v>
          </cell>
          <cell r="D191">
            <v>0.14810947870833022</v>
          </cell>
          <cell r="E191">
            <v>0.14723203769140164</v>
          </cell>
          <cell r="F191">
            <v>0.15740469208211144</v>
          </cell>
          <cell r="G191">
            <v>0.18824965645179323</v>
          </cell>
          <cell r="H191">
            <v>0.20176615755948879</v>
          </cell>
          <cell r="I191">
            <v>0.20930500514753841</v>
          </cell>
          <cell r="J191">
            <v>0.20969799453071561</v>
          </cell>
        </row>
        <row r="192">
          <cell r="A192" t="str">
            <v>EBITDA Margin</v>
          </cell>
          <cell r="B192">
            <v>0.18017854165719399</v>
          </cell>
          <cell r="C192">
            <v>0.18152788012773274</v>
          </cell>
          <cell r="D192">
            <v>0.18172824112975361</v>
          </cell>
          <cell r="E192">
            <v>0.20317485641352906</v>
          </cell>
          <cell r="F192">
            <v>0.20232585736323722</v>
          </cell>
          <cell r="G192">
            <v>0.19719856083235582</v>
          </cell>
          <cell r="H192">
            <v>0.19837245989974747</v>
          </cell>
          <cell r="I192">
            <v>0.19840680631665575</v>
          </cell>
          <cell r="J192">
            <v>0.20356560980716173</v>
          </cell>
        </row>
        <row r="194">
          <cell r="A194" t="str">
            <v>Mining Services EBIT</v>
          </cell>
          <cell r="B194">
            <v>635.6</v>
          </cell>
          <cell r="C194">
            <v>736.5</v>
          </cell>
          <cell r="D194">
            <v>767.69999999999993</v>
          </cell>
          <cell r="E194">
            <v>838</v>
          </cell>
          <cell r="F194">
            <v>876.69999999999993</v>
          </cell>
          <cell r="G194">
            <v>878.63056200308336</v>
          </cell>
          <cell r="H194">
            <v>922.40981838112657</v>
          </cell>
          <cell r="I194">
            <v>994.75369780632946</v>
          </cell>
          <cell r="J194">
            <v>1081.9847672032029</v>
          </cell>
          <cell r="K194">
            <v>3.4890281854511151E-2</v>
          </cell>
        </row>
        <row r="195">
          <cell r="A195" t="str">
            <v>Minova EBIT</v>
          </cell>
          <cell r="B195">
            <v>150.1</v>
          </cell>
          <cell r="C195">
            <v>145.1</v>
          </cell>
          <cell r="D195">
            <v>147.30000000000001</v>
          </cell>
          <cell r="E195">
            <v>105.1</v>
          </cell>
          <cell r="F195">
            <v>109</v>
          </cell>
          <cell r="G195">
            <v>22.873936799999999</v>
          </cell>
          <cell r="H195">
            <v>79.901187881703748</v>
          </cell>
          <cell r="I195">
            <v>115.28799466661586</v>
          </cell>
          <cell r="J195">
            <v>120.94549448367687</v>
          </cell>
          <cell r="K195">
            <v>1.8676467959993115E-2</v>
          </cell>
        </row>
        <row r="196">
          <cell r="A196" t="str">
            <v xml:space="preserve">Chemicals EBIT </v>
          </cell>
          <cell r="B196">
            <v>146.1</v>
          </cell>
          <cell r="C196">
            <v>170.4</v>
          </cell>
          <cell r="D196">
            <v>188</v>
          </cell>
          <cell r="E196">
            <v>196</v>
          </cell>
          <cell r="F196">
            <v>214.2</v>
          </cell>
          <cell r="G196">
            <v>244.38967270622641</v>
          </cell>
          <cell r="H196">
            <v>214.89604192305353</v>
          </cell>
          <cell r="I196">
            <v>209.95907096257892</v>
          </cell>
          <cell r="J196">
            <v>213.90219696641631</v>
          </cell>
          <cell r="K196">
            <v>1.3854689300598189E-2</v>
          </cell>
        </row>
        <row r="197">
          <cell r="A197" t="str">
            <v>Mining Services Project EBIT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14.454728682170543</v>
          </cell>
          <cell r="G197">
            <v>51.697700149827369</v>
          </cell>
          <cell r="H197">
            <v>58.201317543859645</v>
          </cell>
          <cell r="I197">
            <v>57.165665479311542</v>
          </cell>
          <cell r="J197">
            <v>121.92241248365303</v>
          </cell>
        </row>
        <row r="198">
          <cell r="A198" t="str">
            <v>Mining Services EBIT (% YoY)</v>
          </cell>
          <cell r="C198">
            <v>0.15874764002517305</v>
          </cell>
          <cell r="D198">
            <v>4.2362525458248479E-2</v>
          </cell>
          <cell r="E198">
            <v>9.1572228735183003E-2</v>
          </cell>
          <cell r="F198">
            <v>4.6181384248209945E-2</v>
          </cell>
          <cell r="G198">
            <v>2.2020782514924342E-3</v>
          </cell>
          <cell r="H198">
            <v>4.9826694257295356E-2</v>
          </cell>
          <cell r="I198">
            <v>7.8429216584196659E-2</v>
          </cell>
          <cell r="J198">
            <v>8.7691123530617476E-2</v>
          </cell>
        </row>
        <row r="199">
          <cell r="A199" t="str">
            <v>Minova EBIT (% YoY)</v>
          </cell>
          <cell r="C199">
            <v>-3.3311125916056006E-2</v>
          </cell>
          <cell r="D199">
            <v>1.5161957270847903E-2</v>
          </cell>
          <cell r="E199">
            <v>-0.28649015614392404</v>
          </cell>
          <cell r="F199">
            <v>3.7107516650808803E-2</v>
          </cell>
          <cell r="G199">
            <v>-0.79014736880733949</v>
          </cell>
          <cell r="H199">
            <v>2.4931104593112172</v>
          </cell>
          <cell r="I199">
            <v>0.44288211130607236</v>
          </cell>
          <cell r="J199">
            <v>4.9072757605170381E-2</v>
          </cell>
        </row>
        <row r="200">
          <cell r="A200" t="str">
            <v>Chemicals EBIT  (% YoY)</v>
          </cell>
          <cell r="C200">
            <v>0.16632443531827534</v>
          </cell>
          <cell r="D200">
            <v>0.10328638497652576</v>
          </cell>
          <cell r="E200">
            <v>4.2553191489361764E-2</v>
          </cell>
          <cell r="F200">
            <v>9.2857142857142749E-2</v>
          </cell>
          <cell r="G200">
            <v>0.14094151590208415</v>
          </cell>
          <cell r="H200">
            <v>-0.12068280323214109</v>
          </cell>
          <cell r="I200">
            <v>-2.2973764040951306E-2</v>
          </cell>
          <cell r="J200">
            <v>1.8780450807672766E-2</v>
          </cell>
        </row>
        <row r="202">
          <cell r="A202" t="str">
            <v>Mining Services Revenue</v>
          </cell>
          <cell r="B202">
            <v>3552.1</v>
          </cell>
          <cell r="C202">
            <v>4057.8</v>
          </cell>
          <cell r="D202">
            <v>3610.7</v>
          </cell>
          <cell r="E202">
            <v>3938</v>
          </cell>
          <cell r="F202">
            <v>4377.1000000000004</v>
          </cell>
          <cell r="G202">
            <v>4518.1501765276107</v>
          </cell>
          <cell r="H202">
            <v>4939.4613851587401</v>
          </cell>
          <cell r="I202">
            <v>5477.3400605450261</v>
          </cell>
          <cell r="J202">
            <v>5788.248222394599</v>
          </cell>
          <cell r="K202">
            <v>6.821531123428537E-2</v>
          </cell>
        </row>
        <row r="203">
          <cell r="A203" t="str">
            <v>Minova Revenue</v>
          </cell>
          <cell r="B203">
            <v>794.2</v>
          </cell>
          <cell r="C203">
            <v>940.9</v>
          </cell>
          <cell r="D203">
            <v>835.5</v>
          </cell>
          <cell r="E203">
            <v>821.9</v>
          </cell>
          <cell r="F203">
            <v>854.1</v>
          </cell>
          <cell r="G203">
            <v>714.81052499999998</v>
          </cell>
          <cell r="H203">
            <v>799.01187881703743</v>
          </cell>
          <cell r="I203">
            <v>922.30395733292687</v>
          </cell>
          <cell r="J203">
            <v>944.88667565372555</v>
          </cell>
          <cell r="K203">
            <v>2.3318954198046082E-2</v>
          </cell>
        </row>
        <row r="204">
          <cell r="A204" t="str">
            <v xml:space="preserve">Chemicals Revenue </v>
          </cell>
          <cell r="B204">
            <v>1406.1</v>
          </cell>
          <cell r="C204">
            <v>1548.3</v>
          </cell>
          <cell r="D204">
            <v>1427.4</v>
          </cell>
          <cell r="E204">
            <v>1510</v>
          </cell>
          <cell r="F204">
            <v>1592.8</v>
          </cell>
          <cell r="G204">
            <v>1721.0540331424397</v>
          </cell>
          <cell r="H204">
            <v>1719.1683353844282</v>
          </cell>
          <cell r="I204">
            <v>1749.6589246881576</v>
          </cell>
          <cell r="J204">
            <v>1782.5183080534694</v>
          </cell>
          <cell r="K204">
            <v>2.9900549387281705E-2</v>
          </cell>
        </row>
        <row r="206">
          <cell r="A206" t="str">
            <v>Mining Services EBIT Margin</v>
          </cell>
          <cell r="B206">
            <v>0.17893640381746009</v>
          </cell>
          <cell r="C206">
            <v>0.18150229188230074</v>
          </cell>
          <cell r="D206">
            <v>0.21261805190129338</v>
          </cell>
          <cell r="E206">
            <v>0.212798374809548</v>
          </cell>
          <cell r="F206">
            <v>0.20029243106166181</v>
          </cell>
          <cell r="G206">
            <v>0.1944668786282682</v>
          </cell>
          <cell r="H206">
            <v>0.18674299613974671</v>
          </cell>
          <cell r="I206">
            <v>0.18161255040048507</v>
          </cell>
          <cell r="J206">
            <v>0.1869278451150434</v>
          </cell>
        </row>
        <row r="207">
          <cell r="A207" t="str">
            <v>Minova EBIT Margin</v>
          </cell>
          <cell r="B207">
            <v>0.18899521531100477</v>
          </cell>
          <cell r="C207">
            <v>0.15421405037729832</v>
          </cell>
          <cell r="D207">
            <v>0.17630161579892281</v>
          </cell>
          <cell r="E207">
            <v>0.1278744372794744</v>
          </cell>
          <cell r="F207">
            <v>0.12761971666081254</v>
          </cell>
          <cell r="G207">
            <v>3.2000000000000001E-2</v>
          </cell>
          <cell r="H207">
            <v>0.1</v>
          </cell>
          <cell r="I207">
            <v>0.125</v>
          </cell>
          <cell r="J207">
            <v>0.128</v>
          </cell>
        </row>
        <row r="208">
          <cell r="A208" t="str">
            <v>Chemicals EBIT Margin</v>
          </cell>
          <cell r="B208">
            <v>0.10390441647109025</v>
          </cell>
          <cell r="C208">
            <v>0.11005619066072467</v>
          </cell>
          <cell r="D208">
            <v>0.13170800056045956</v>
          </cell>
          <cell r="E208">
            <v>0.12980132450331125</v>
          </cell>
          <cell r="F208">
            <v>0.13448016072325464</v>
          </cell>
          <cell r="G208">
            <v>0.14199999999999999</v>
          </cell>
          <cell r="H208">
            <v>0.125</v>
          </cell>
          <cell r="I208">
            <v>0.12</v>
          </cell>
          <cell r="J208">
            <v>0.12</v>
          </cell>
        </row>
        <row r="210">
          <cell r="A210" t="str">
            <v>Operating Cashflow</v>
          </cell>
          <cell r="B210">
            <v>812.40000000000032</v>
          </cell>
          <cell r="C210">
            <v>959.90000000000009</v>
          </cell>
          <cell r="D210">
            <v>1034.4000000000001</v>
          </cell>
          <cell r="E210">
            <v>774.30000000000007</v>
          </cell>
          <cell r="F210">
            <v>576.20000000000016</v>
          </cell>
          <cell r="G210">
            <v>1008.2748523096932</v>
          </cell>
          <cell r="H210">
            <v>996.52796501734167</v>
          </cell>
          <cell r="I210">
            <v>1082.1119988932037</v>
          </cell>
          <cell r="J210">
            <v>1196.9385131852887</v>
          </cell>
        </row>
        <row r="211">
          <cell r="A211" t="str">
            <v>NPAT</v>
          </cell>
          <cell r="B211">
            <v>572.80000000000007</v>
          </cell>
          <cell r="C211">
            <v>646.4</v>
          </cell>
          <cell r="D211">
            <v>675.90000000000009</v>
          </cell>
          <cell r="E211">
            <v>656.99999999999989</v>
          </cell>
          <cell r="F211">
            <v>712.99999999999989</v>
          </cell>
          <cell r="G211">
            <v>658.17071353188896</v>
          </cell>
          <cell r="H211">
            <v>693.39000500591396</v>
          </cell>
          <cell r="I211">
            <v>753.50426520653787</v>
          </cell>
          <cell r="J211">
            <v>810.47354522283308</v>
          </cell>
          <cell r="K211">
            <v>2.7789245611808511E-2</v>
          </cell>
        </row>
        <row r="212">
          <cell r="A212" t="str">
            <v>D&amp;A</v>
          </cell>
          <cell r="B212">
            <v>218.7</v>
          </cell>
          <cell r="C212">
            <v>247.7</v>
          </cell>
          <cell r="D212">
            <v>239.5</v>
          </cell>
          <cell r="E212">
            <v>224.2</v>
          </cell>
          <cell r="F212">
            <v>251.39999999999998</v>
          </cell>
          <cell r="G212">
            <v>291.98591812106866</v>
          </cell>
          <cell r="H212">
            <v>331.63582770702175</v>
          </cell>
          <cell r="I212">
            <v>370.78964976547491</v>
          </cell>
          <cell r="J212">
            <v>395.40655703311177</v>
          </cell>
        </row>
        <row r="213">
          <cell r="A213" t="str">
            <v>Capex</v>
          </cell>
          <cell r="B213">
            <v>-1270</v>
          </cell>
          <cell r="C213">
            <v>-516.29999999999995</v>
          </cell>
          <cell r="D213">
            <v>-697.8</v>
          </cell>
          <cell r="E213">
            <v>-766</v>
          </cell>
          <cell r="F213">
            <v>-670</v>
          </cell>
          <cell r="G213">
            <v>-780</v>
          </cell>
          <cell r="H213">
            <v>-809.01131976753027</v>
          </cell>
          <cell r="I213">
            <v>-839.42437428189169</v>
          </cell>
          <cell r="J213">
            <v>-668.31809804079398</v>
          </cell>
        </row>
        <row r="214">
          <cell r="A214" t="str">
            <v>Acquisitions</v>
          </cell>
          <cell r="B214">
            <v>-869.2</v>
          </cell>
          <cell r="C214">
            <v>-167</v>
          </cell>
          <cell r="D214">
            <v>-180.6</v>
          </cell>
          <cell r="E214">
            <v>-91.7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Net Working Capital</v>
          </cell>
          <cell r="B215">
            <v>599</v>
          </cell>
          <cell r="C215">
            <v>526.79999999999973</v>
          </cell>
          <cell r="D215">
            <v>395.50000000000011</v>
          </cell>
          <cell r="E215">
            <v>415.09999999999991</v>
          </cell>
          <cell r="F215">
            <v>670</v>
          </cell>
          <cell r="G215">
            <v>597.58201164090565</v>
          </cell>
          <cell r="H215">
            <v>603.62845771684874</v>
          </cell>
          <cell r="I215">
            <v>643.02324465393303</v>
          </cell>
          <cell r="J215">
            <v>671.68746849758486</v>
          </cell>
        </row>
        <row r="217">
          <cell r="A217" t="str">
            <v>Cash generation</v>
          </cell>
          <cell r="B217">
            <v>1.0264055590650667</v>
          </cell>
          <cell r="C217">
            <v>1.0735935577675877</v>
          </cell>
          <cell r="D217">
            <v>1.1299978151627703</v>
          </cell>
          <cell r="E217">
            <v>0.87868815251929211</v>
          </cell>
          <cell r="F217">
            <v>0.59746992948983846</v>
          </cell>
          <cell r="G217">
            <v>1.0611669894421818</v>
          </cell>
          <cell r="H217">
            <v>0.97219790293463271</v>
          </cell>
          <cell r="I217">
            <v>0.96248141565378909</v>
          </cell>
          <cell r="J217">
            <v>0.99258500985800469</v>
          </cell>
        </row>
        <row r="218">
          <cell r="A218" t="str">
            <v>Capex / Sales</v>
          </cell>
          <cell r="B218">
            <v>0.19248548780672639</v>
          </cell>
          <cell r="C218">
            <v>7.0457708998608037E-2</v>
          </cell>
          <cell r="D218">
            <v>9.4570785785921443E-2</v>
          </cell>
          <cell r="E218">
            <v>0.12220804084237398</v>
          </cell>
          <cell r="F218">
            <v>9.9382935801590119E-2</v>
          </cell>
          <cell r="G218">
            <v>0.11355763506612697</v>
          </cell>
          <cell r="H218">
            <v>0.10990026625294708</v>
          </cell>
          <cell r="I218">
            <v>0.10443471600889444</v>
          </cell>
          <cell r="J218">
            <v>7.9598697833166088E-2</v>
          </cell>
        </row>
        <row r="219">
          <cell r="A219" t="str">
            <v>Capex (ex acq) / Sales</v>
          </cell>
          <cell r="B219">
            <v>6.0746601191288135E-2</v>
          </cell>
          <cell r="C219">
            <v>4.7667785692840955E-2</v>
          </cell>
          <cell r="D219">
            <v>7.0094597891198859E-2</v>
          </cell>
          <cell r="E219">
            <v>0.10757817485641354</v>
          </cell>
          <cell r="F219">
            <v>9.9382935801590119E-2</v>
          </cell>
          <cell r="G219">
            <v>0.11355763506612697</v>
          </cell>
          <cell r="H219">
            <v>0.10990026625294708</v>
          </cell>
          <cell r="I219">
            <v>0.10443471600889444</v>
          </cell>
          <cell r="J219">
            <v>7.9598697833166088E-2</v>
          </cell>
        </row>
        <row r="220">
          <cell r="A220" t="str">
            <v>Growth capex / Sales</v>
          </cell>
          <cell r="B220">
            <v>3.3177223055820791E-2</v>
          </cell>
          <cell r="C220">
            <v>2.8889980621741859E-2</v>
          </cell>
          <cell r="D220">
            <v>4.7488683490092963E-2</v>
          </cell>
          <cell r="E220">
            <v>7.2064454371410347E-2</v>
          </cell>
          <cell r="F220">
            <v>5.8591432300937461E-2</v>
          </cell>
          <cell r="G220">
            <v>4.0764279254507117E-2</v>
          </cell>
          <cell r="H220">
            <v>2.5131353245635039E-2</v>
          </cell>
          <cell r="I220">
            <v>1.8661844808515828E-2</v>
          </cell>
          <cell r="J220">
            <v>1.6078906495244273E-2</v>
          </cell>
        </row>
        <row r="221">
          <cell r="A221" t="str">
            <v>Sustenance  / Sales</v>
          </cell>
          <cell r="B221">
            <v>3.1434244229224452E-2</v>
          </cell>
          <cell r="C221">
            <v>2.1725483774120469E-2</v>
          </cell>
          <cell r="D221">
            <v>2.6061854552354106E-2</v>
          </cell>
          <cell r="E221">
            <v>3.8433312061263568E-2</v>
          </cell>
          <cell r="F221">
            <v>3.4709861160555355E-2</v>
          </cell>
          <cell r="G221">
            <v>4.3676013486971907E-2</v>
          </cell>
          <cell r="H221">
            <v>3.7223109569624123E-2</v>
          </cell>
          <cell r="I221">
            <v>3.8620609984195295E-2</v>
          </cell>
          <cell r="J221">
            <v>3.9699189122745115E-2</v>
          </cell>
        </row>
        <row r="222">
          <cell r="A222" t="str">
            <v>Sustenance  / Depn</v>
          </cell>
          <cell r="B222">
            <v>1.1677927927927929</v>
          </cell>
          <cell r="C222">
            <v>0.78539713862851501</v>
          </cell>
          <cell r="D222">
            <v>0.96827794561933545</v>
          </cell>
          <cell r="E222">
            <v>1.2847999999999999</v>
          </cell>
          <cell r="F222">
            <v>1.0898928737773639</v>
          </cell>
          <cell r="G222">
            <v>1.176535560122808</v>
          </cell>
          <cell r="H222">
            <v>0.93000000000000016</v>
          </cell>
          <cell r="I222">
            <v>0.93</v>
          </cell>
          <cell r="J222">
            <v>0.93000000000000016</v>
          </cell>
        </row>
        <row r="223">
          <cell r="A223" t="str">
            <v>NWC / Sales</v>
          </cell>
          <cell r="B223">
            <v>9.0786462359235515E-2</v>
          </cell>
          <cell r="C223">
            <v>7.1890608368132283E-2</v>
          </cell>
          <cell r="D223">
            <v>5.3600954110535885E-2</v>
          </cell>
          <cell r="E223">
            <v>6.6225271218889589E-2</v>
          </cell>
          <cell r="F223">
            <v>9.9382935801590119E-2</v>
          </cell>
          <cell r="G223">
            <v>8.6999999999999994E-2</v>
          </cell>
          <cell r="H223">
            <v>8.2000000000000003E-2</v>
          </cell>
          <cell r="I223">
            <v>8.0000000000000016E-2</v>
          </cell>
          <cell r="J223">
            <v>8.0000000000000016E-2</v>
          </cell>
        </row>
        <row r="224">
          <cell r="A224" t="str">
            <v>Combined Capital Intensity (ex acq)</v>
          </cell>
          <cell r="B224">
            <v>0.15153306355052365</v>
          </cell>
          <cell r="C224">
            <v>0.11955839406097324</v>
          </cell>
          <cell r="D224">
            <v>0.12369555200173474</v>
          </cell>
          <cell r="E224">
            <v>0.17380344607530313</v>
          </cell>
          <cell r="F224">
            <v>0.19876587160318024</v>
          </cell>
          <cell r="G224">
            <v>0.20055763506612695</v>
          </cell>
          <cell r="H224">
            <v>0.19190026625294709</v>
          </cell>
          <cell r="I224">
            <v>0.18443471600889444</v>
          </cell>
          <cell r="J224">
            <v>0.1595986978331661</v>
          </cell>
        </row>
        <row r="225">
          <cell r="A225" t="str">
            <v>ROE</v>
          </cell>
          <cell r="B225">
            <v>0.1326417191552427</v>
          </cell>
          <cell r="C225">
            <v>0.16270640354409988</v>
          </cell>
          <cell r="D225">
            <v>0.18606507735506253</v>
          </cell>
          <cell r="E225">
            <v>0.16952213850758588</v>
          </cell>
          <cell r="F225">
            <v>0.21962113044817491</v>
          </cell>
          <cell r="G225">
            <v>0.18288299068848932</v>
          </cell>
          <cell r="H225">
            <v>0.17328384809121378</v>
          </cell>
          <cell r="I225">
            <v>0.16974917049230895</v>
          </cell>
          <cell r="J225">
            <v>0.16508597830175625</v>
          </cell>
        </row>
        <row r="226">
          <cell r="A226" t="str">
            <v>Adj ROE</v>
          </cell>
          <cell r="B226">
            <v>0.1408928791046612</v>
          </cell>
          <cell r="C226">
            <v>0.14957423176601256</v>
          </cell>
          <cell r="D226">
            <v>0.14418584807048235</v>
          </cell>
          <cell r="E226">
            <v>0.13056957748718151</v>
          </cell>
          <cell r="F226">
            <v>0.1439909526021366</v>
          </cell>
          <cell r="G226">
            <v>0.12455900319069431</v>
          </cell>
          <cell r="H226">
            <v>0.12239220918877068</v>
          </cell>
          <cell r="I226">
            <v>0.12393839293732385</v>
          </cell>
          <cell r="J226">
            <v>0.1242039113614275</v>
          </cell>
        </row>
        <row r="227">
          <cell r="A227" t="str">
            <v>ROIC</v>
          </cell>
          <cell r="B227">
            <v>0.13090893410426693</v>
          </cell>
          <cell r="C227">
            <v>0.15146873547781683</v>
          </cell>
          <cell r="D227">
            <v>0.16957278182213908</v>
          </cell>
          <cell r="E227">
            <v>0.14514225717444207</v>
          </cell>
          <cell r="F227">
            <v>0.14931156819772662</v>
          </cell>
          <cell r="G227">
            <v>0.12995282389792093</v>
          </cell>
          <cell r="H227">
            <v>0.12609472723430495</v>
          </cell>
          <cell r="I227">
            <v>0.12570467927600573</v>
          </cell>
          <cell r="J227">
            <v>0.12876663604216687</v>
          </cell>
        </row>
        <row r="228">
          <cell r="A228" t="str">
            <v>ROA</v>
          </cell>
          <cell r="B228">
            <v>8.0550125859571664E-2</v>
          </cell>
          <cell r="C228">
            <v>8.4155708892071343E-2</v>
          </cell>
          <cell r="D228">
            <v>9.4244122814356249E-2</v>
          </cell>
          <cell r="E228">
            <v>8.9891637478108563E-2</v>
          </cell>
          <cell r="F228">
            <v>9.3497160990833855E-2</v>
          </cell>
          <cell r="G228">
            <v>8.3279569058261629E-2</v>
          </cell>
          <cell r="H228">
            <v>8.1586082453532535E-2</v>
          </cell>
          <cell r="I228">
            <v>8.2384078532209762E-2</v>
          </cell>
          <cell r="J228">
            <v>8.3792262461822267E-2</v>
          </cell>
        </row>
        <row r="229">
          <cell r="A229" t="str">
            <v>Adj ROIC</v>
          </cell>
          <cell r="B229">
            <v>0.13724554088264063</v>
          </cell>
          <cell r="C229">
            <v>0.14188881654281119</v>
          </cell>
          <cell r="D229">
            <v>0.1387432263717929</v>
          </cell>
          <cell r="E229">
            <v>0.11913030972968748</v>
          </cell>
          <cell r="F229">
            <v>0.11424813794546276</v>
          </cell>
          <cell r="G229">
            <v>0.10164335085469572</v>
          </cell>
          <cell r="H229">
            <v>0.10077906803800199</v>
          </cell>
          <cell r="I229">
            <v>0.10238914755556501</v>
          </cell>
          <cell r="J229">
            <v>0.10606498715649654</v>
          </cell>
        </row>
        <row r="230">
          <cell r="A230" t="str">
            <v>Gearing</v>
          </cell>
          <cell r="B230">
            <v>0.24537797504630765</v>
          </cell>
          <cell r="C230">
            <v>0.26580547393321136</v>
          </cell>
          <cell r="D230">
            <v>0.27250515691025973</v>
          </cell>
          <cell r="E230">
            <v>0.30045846720335001</v>
          </cell>
          <cell r="F230">
            <v>0.41568726264826045</v>
          </cell>
          <cell r="G230">
            <v>0.40518662249142845</v>
          </cell>
          <cell r="H230">
            <v>0.39587579099289555</v>
          </cell>
          <cell r="I230">
            <v>0.38393066217997457</v>
          </cell>
          <cell r="J230">
            <v>0.34973888214427401</v>
          </cell>
        </row>
        <row r="231">
          <cell r="A231" t="str">
            <v>FCF</v>
          </cell>
          <cell r="B231">
            <v>-459.59999999999968</v>
          </cell>
          <cell r="C231">
            <v>438.60000000000014</v>
          </cell>
          <cell r="D231">
            <v>317.60000000000014</v>
          </cell>
          <cell r="E231">
            <v>-28.699999999999932</v>
          </cell>
          <cell r="F231">
            <v>-131.89999999999984</v>
          </cell>
          <cell r="G231">
            <v>183.91962842909618</v>
          </cell>
          <cell r="H231">
            <v>141.511673185419</v>
          </cell>
          <cell r="I231">
            <v>194.95319377528205</v>
          </cell>
          <cell r="J231">
            <v>490.6160576290406</v>
          </cell>
        </row>
        <row r="232">
          <cell r="A232" t="str">
            <v>CF:</v>
          </cell>
        </row>
        <row r="233">
          <cell r="A233" t="str">
            <v xml:space="preserve">Sustenance </v>
          </cell>
          <cell r="B233">
            <v>-207.4</v>
          </cell>
          <cell r="C233">
            <v>-159.19999999999999</v>
          </cell>
          <cell r="D233">
            <v>-192.3</v>
          </cell>
          <cell r="E233">
            <v>-240.9</v>
          </cell>
          <cell r="F233">
            <v>-234</v>
          </cell>
          <cell r="G233">
            <v>-300</v>
          </cell>
          <cell r="H233">
            <v>-274.01131976753027</v>
          </cell>
          <cell r="I233">
            <v>-310.42437428189169</v>
          </cell>
          <cell r="J233">
            <v>-333.31809804079398</v>
          </cell>
        </row>
        <row r="234">
          <cell r="A234" t="str">
            <v xml:space="preserve">Growth </v>
          </cell>
          <cell r="B234">
            <v>-218.9</v>
          </cell>
          <cell r="C234">
            <v>-211.7</v>
          </cell>
          <cell r="D234">
            <v>-350.4</v>
          </cell>
          <cell r="E234">
            <v>-451.7</v>
          </cell>
          <cell r="F234">
            <v>-395</v>
          </cell>
          <cell r="G234">
            <v>-280</v>
          </cell>
          <cell r="H234">
            <v>-185</v>
          </cell>
          <cell r="I234">
            <v>-150</v>
          </cell>
          <cell r="J234">
            <v>-135</v>
          </cell>
        </row>
        <row r="235">
          <cell r="A235" t="str">
            <v>Acquisitions</v>
          </cell>
          <cell r="B235">
            <v>-869.2</v>
          </cell>
          <cell r="C235">
            <v>-167</v>
          </cell>
          <cell r="D235">
            <v>-180.6</v>
          </cell>
          <cell r="E235">
            <v>-91.7</v>
          </cell>
        </row>
        <row r="237">
          <cell r="A237" t="str">
            <v>Asset turn</v>
          </cell>
          <cell r="B237">
            <v>0.82393416418991472</v>
          </cell>
          <cell r="C237">
            <v>0.99641021457126555</v>
          </cell>
          <cell r="D237">
            <v>1.0556843219732739</v>
          </cell>
          <cell r="E237">
            <v>0.8216879473532418</v>
          </cell>
          <cell r="F237">
            <v>0.88430662679049277</v>
          </cell>
          <cell r="G237">
            <v>0.83942501152064353</v>
          </cell>
          <cell r="H237">
            <v>0.83508506229639723</v>
          </cell>
          <cell r="I237">
            <v>0.84809939872437012</v>
          </cell>
          <cell r="J237">
            <v>0.85089091444645037</v>
          </cell>
        </row>
        <row r="238">
          <cell r="A238" t="str">
            <v>Asset replacement</v>
          </cell>
          <cell r="B238">
            <v>5.8070416095107458</v>
          </cell>
          <cell r="C238">
            <v>2.0843762616067822</v>
          </cell>
          <cell r="D238">
            <v>2.9135699373695196</v>
          </cell>
          <cell r="E238">
            <v>3.4165923282783233</v>
          </cell>
          <cell r="F238">
            <v>2.6650755767700876</v>
          </cell>
          <cell r="G238">
            <v>2.6713617047674942</v>
          </cell>
          <cell r="H238">
            <v>2.4394569349191007</v>
          </cell>
          <cell r="I238">
            <v>2.2638829719568201</v>
          </cell>
          <cell r="J238">
            <v>1.6902048945658439</v>
          </cell>
        </row>
        <row r="239">
          <cell r="A239" t="str">
            <v>EBIT / Interest</v>
          </cell>
          <cell r="B239">
            <v>6.0745147150907952</v>
          </cell>
          <cell r="C239">
            <v>7.8158844765342961</v>
          </cell>
          <cell r="D239">
            <v>7.512960436562075</v>
          </cell>
          <cell r="E239">
            <v>6.5376947040498443</v>
          </cell>
          <cell r="F239">
            <v>6.6903187011425134</v>
          </cell>
          <cell r="G239">
            <v>5.5817214911119892</v>
          </cell>
          <cell r="H239">
            <v>5.4040659511651521</v>
          </cell>
          <cell r="I239">
            <v>5.507656933705146</v>
          </cell>
          <cell r="J239">
            <v>5.8909836115721648</v>
          </cell>
        </row>
        <row r="240">
          <cell r="A240" t="str">
            <v>Mining Services</v>
          </cell>
        </row>
        <row r="241">
          <cell r="A241" t="str">
            <v>Assets</v>
          </cell>
          <cell r="B241">
            <v>3599.3</v>
          </cell>
          <cell r="C241">
            <v>3238.1</v>
          </cell>
          <cell r="D241">
            <v>3560</v>
          </cell>
          <cell r="E241">
            <v>4186.3999999999996</v>
          </cell>
        </row>
        <row r="242">
          <cell r="A242" t="str">
            <v>Liabilitites</v>
          </cell>
          <cell r="B242">
            <v>1121.5</v>
          </cell>
          <cell r="C242">
            <v>815.6</v>
          </cell>
          <cell r="D242">
            <v>913.9</v>
          </cell>
          <cell r="E242">
            <v>956.9</v>
          </cell>
        </row>
        <row r="243">
          <cell r="A243" t="str">
            <v>Net Assets</v>
          </cell>
          <cell r="B243">
            <v>2477.8000000000002</v>
          </cell>
          <cell r="C243">
            <v>2422.5</v>
          </cell>
          <cell r="D243">
            <v>2646.1</v>
          </cell>
          <cell r="E243">
            <v>3229.4999999999995</v>
          </cell>
        </row>
        <row r="244">
          <cell r="A244" t="str">
            <v>D</v>
          </cell>
          <cell r="B244">
            <v>118.3</v>
          </cell>
          <cell r="C244">
            <v>137.9</v>
          </cell>
          <cell r="D244">
            <v>137.4</v>
          </cell>
          <cell r="E244">
            <v>135.69999999999999</v>
          </cell>
        </row>
        <row r="245">
          <cell r="A245" t="str">
            <v>A</v>
          </cell>
          <cell r="B245">
            <v>14</v>
          </cell>
          <cell r="C245">
            <v>14.2</v>
          </cell>
          <cell r="D245">
            <v>14</v>
          </cell>
          <cell r="E245">
            <v>13</v>
          </cell>
        </row>
        <row r="246">
          <cell r="A246" t="str">
            <v>Acq of PPE and Impairments</v>
          </cell>
          <cell r="B246">
            <v>299.7</v>
          </cell>
          <cell r="C246">
            <v>273.3</v>
          </cell>
          <cell r="D246">
            <v>452.7</v>
          </cell>
          <cell r="E246">
            <v>611.79999999999995</v>
          </cell>
        </row>
        <row r="247">
          <cell r="A247" t="str">
            <v>Goodwill</v>
          </cell>
          <cell r="B247">
            <v>973.3</v>
          </cell>
          <cell r="C247">
            <v>895</v>
          </cell>
          <cell r="D247">
            <v>883.5</v>
          </cell>
          <cell r="E247">
            <v>912.2</v>
          </cell>
        </row>
        <row r="248">
          <cell r="A248" t="str">
            <v>Tangible Assets</v>
          </cell>
          <cell r="B248">
            <v>2626</v>
          </cell>
          <cell r="C248">
            <v>2343.1</v>
          </cell>
          <cell r="D248">
            <v>2676.5</v>
          </cell>
          <cell r="E248">
            <v>3274.2</v>
          </cell>
        </row>
        <row r="249">
          <cell r="A249" t="str">
            <v>Minova</v>
          </cell>
        </row>
        <row r="250">
          <cell r="A250" t="str">
            <v>Assets</v>
          </cell>
          <cell r="B250">
            <v>2037</v>
          </cell>
          <cell r="C250">
            <v>1799</v>
          </cell>
          <cell r="D250">
            <v>1665.7</v>
          </cell>
          <cell r="E250">
            <v>1650.6</v>
          </cell>
        </row>
        <row r="251">
          <cell r="A251" t="str">
            <v>Liabilitites</v>
          </cell>
          <cell r="B251">
            <v>197.3</v>
          </cell>
          <cell r="C251">
            <v>139.5</v>
          </cell>
          <cell r="D251">
            <v>190.7</v>
          </cell>
          <cell r="E251">
            <v>155.80000000000001</v>
          </cell>
        </row>
        <row r="252">
          <cell r="A252" t="str">
            <v>Net Assets</v>
          </cell>
          <cell r="B252">
            <v>1839.7</v>
          </cell>
          <cell r="C252">
            <v>1659.5</v>
          </cell>
          <cell r="D252">
            <v>1475</v>
          </cell>
          <cell r="E252">
            <v>1494.8</v>
          </cell>
        </row>
        <row r="253">
          <cell r="A253" t="str">
            <v>D</v>
          </cell>
          <cell r="B253">
            <v>7.9</v>
          </cell>
          <cell r="C253">
            <v>9.8000000000000007</v>
          </cell>
          <cell r="D253">
            <v>8.9</v>
          </cell>
          <cell r="E253">
            <v>9.1</v>
          </cell>
        </row>
        <row r="254">
          <cell r="A254" t="str">
            <v>A</v>
          </cell>
          <cell r="B254">
            <v>21.9</v>
          </cell>
          <cell r="C254">
            <v>26.1</v>
          </cell>
          <cell r="D254">
            <v>21.5</v>
          </cell>
          <cell r="E254">
            <v>19.399999999999999</v>
          </cell>
        </row>
        <row r="255">
          <cell r="A255" t="str">
            <v>Acq of PPE and Impairments</v>
          </cell>
          <cell r="B255">
            <v>13.3</v>
          </cell>
          <cell r="C255">
            <v>14.6</v>
          </cell>
          <cell r="D255">
            <v>17.100000000000001</v>
          </cell>
          <cell r="E255">
            <v>22.7</v>
          </cell>
        </row>
        <row r="256">
          <cell r="A256" t="str">
            <v>Goodwill</v>
          </cell>
          <cell r="B256">
            <v>1414.2</v>
          </cell>
          <cell r="C256">
            <v>1273.9000000000001</v>
          </cell>
          <cell r="D256">
            <v>1175.7</v>
          </cell>
          <cell r="E256">
            <v>1156</v>
          </cell>
        </row>
        <row r="257">
          <cell r="A257" t="str">
            <v>Tangible Assets</v>
          </cell>
          <cell r="B257">
            <v>622.79999999999995</v>
          </cell>
          <cell r="C257">
            <v>525.09999999999991</v>
          </cell>
          <cell r="D257">
            <v>490</v>
          </cell>
          <cell r="E257">
            <v>494.59999999999991</v>
          </cell>
        </row>
        <row r="258">
          <cell r="A258" t="str">
            <v>Chemicals</v>
          </cell>
        </row>
        <row r="259">
          <cell r="A259" t="str">
            <v>Assets</v>
          </cell>
          <cell r="B259">
            <v>1049.5999999999999</v>
          </cell>
          <cell r="C259">
            <v>976.7</v>
          </cell>
          <cell r="D259">
            <v>970.2</v>
          </cell>
          <cell r="E259">
            <v>1061.4000000000001</v>
          </cell>
        </row>
        <row r="260">
          <cell r="A260" t="str">
            <v>Liabilitites</v>
          </cell>
          <cell r="B260">
            <v>288.5</v>
          </cell>
          <cell r="C260">
            <v>225.4</v>
          </cell>
          <cell r="D260">
            <v>224.7</v>
          </cell>
          <cell r="E260">
            <v>250.2</v>
          </cell>
        </row>
        <row r="261">
          <cell r="A261" t="str">
            <v>Net Assets</v>
          </cell>
          <cell r="B261">
            <v>761.09999999999991</v>
          </cell>
          <cell r="C261">
            <v>751.30000000000007</v>
          </cell>
          <cell r="D261">
            <v>745.5</v>
          </cell>
          <cell r="E261">
            <v>811.2</v>
          </cell>
        </row>
        <row r="262">
          <cell r="A262" t="str">
            <v>D</v>
          </cell>
          <cell r="B262">
            <v>31.6</v>
          </cell>
          <cell r="C262">
            <v>33.200000000000003</v>
          </cell>
          <cell r="D262">
            <v>35.299999999999997</v>
          </cell>
          <cell r="E262">
            <v>38.700000000000003</v>
          </cell>
        </row>
        <row r="263">
          <cell r="A263" t="str">
            <v>A</v>
          </cell>
          <cell r="B263">
            <v>0.5</v>
          </cell>
          <cell r="C263">
            <v>0.6</v>
          </cell>
          <cell r="D263">
            <v>0.7</v>
          </cell>
          <cell r="E263">
            <v>0.7</v>
          </cell>
        </row>
        <row r="264">
          <cell r="A264" t="str">
            <v>Acq of PPE and Impairments</v>
          </cell>
          <cell r="B264">
            <v>75.099999999999994</v>
          </cell>
          <cell r="C264">
            <v>53.7</v>
          </cell>
          <cell r="D264">
            <v>59</v>
          </cell>
          <cell r="E264">
            <v>79.8</v>
          </cell>
        </row>
        <row r="265">
          <cell r="A265" t="str">
            <v>Goodwill</v>
          </cell>
          <cell r="B265">
            <v>157</v>
          </cell>
          <cell r="C265">
            <v>147.9</v>
          </cell>
          <cell r="D265">
            <v>147.19999999999999</v>
          </cell>
          <cell r="E265">
            <v>146.69999999999999</v>
          </cell>
        </row>
        <row r="266">
          <cell r="A266" t="str">
            <v>Tangible Assets</v>
          </cell>
          <cell r="B266">
            <v>892.59999999999991</v>
          </cell>
          <cell r="C266">
            <v>828.80000000000007</v>
          </cell>
          <cell r="D266">
            <v>823</v>
          </cell>
          <cell r="E266">
            <v>914.7</v>
          </cell>
        </row>
        <row r="267">
          <cell r="A267" t="str">
            <v>Capex / Sales</v>
          </cell>
        </row>
        <row r="268">
          <cell r="A268" t="str">
            <v>Mining Services</v>
          </cell>
          <cell r="B268">
            <v>8.4372624644576441E-2</v>
          </cell>
          <cell r="C268">
            <v>6.7351766967322188E-2</v>
          </cell>
          <cell r="D268">
            <v>0.1253773506522281</v>
          </cell>
          <cell r="E268">
            <v>0.15535804977145759</v>
          </cell>
        </row>
        <row r="269">
          <cell r="A269" t="str">
            <v>Minova</v>
          </cell>
          <cell r="B269">
            <v>1.6746411483253589E-2</v>
          </cell>
          <cell r="C269">
            <v>1.55170581358274E-2</v>
          </cell>
          <cell r="D269">
            <v>2.0466786355475764E-2</v>
          </cell>
          <cell r="E269">
            <v>2.7618931743521109E-2</v>
          </cell>
        </row>
        <row r="270">
          <cell r="A270" t="str">
            <v>Chemicals</v>
          </cell>
          <cell r="B270">
            <v>5.3410141526207239E-2</v>
          </cell>
          <cell r="C270">
            <v>3.4683200930052317E-2</v>
          </cell>
          <cell r="D270">
            <v>4.1333893792910185E-2</v>
          </cell>
          <cell r="E270">
            <v>5.2847682119205298E-2</v>
          </cell>
        </row>
        <row r="272">
          <cell r="A272" t="str">
            <v>EBIT / Net Assets</v>
          </cell>
        </row>
        <row r="273">
          <cell r="A273" t="str">
            <v>Mining Services</v>
          </cell>
          <cell r="B273">
            <v>0.25651787876341914</v>
          </cell>
          <cell r="C273">
            <v>0.30402476780185761</v>
          </cell>
          <cell r="D273">
            <v>0.29012508975473339</v>
          </cell>
          <cell r="E273">
            <v>0.25948289208855863</v>
          </cell>
        </row>
        <row r="274">
          <cell r="A274" t="str">
            <v>Minova</v>
          </cell>
          <cell r="B274">
            <v>8.1589389574387119E-2</v>
          </cell>
          <cell r="C274">
            <v>8.7435974691172036E-2</v>
          </cell>
          <cell r="D274">
            <v>9.9864406779661019E-2</v>
          </cell>
          <cell r="E274">
            <v>7.0310409419320305E-2</v>
          </cell>
        </row>
        <row r="275">
          <cell r="A275" t="str">
            <v>Chemicals</v>
          </cell>
          <cell r="B275">
            <v>0.19195900670082777</v>
          </cell>
          <cell r="C275">
            <v>0.22680686809530146</v>
          </cell>
          <cell r="D275">
            <v>0.25217974513749164</v>
          </cell>
          <cell r="E275">
            <v>0.24161735700197237</v>
          </cell>
        </row>
        <row r="277">
          <cell r="A277" t="str">
            <v>EBIT / NTA</v>
          </cell>
        </row>
        <row r="278">
          <cell r="A278" t="str">
            <v>Mining Services</v>
          </cell>
          <cell r="B278">
            <v>0.42246593552675304</v>
          </cell>
          <cell r="C278">
            <v>0.48216039279869066</v>
          </cell>
          <cell r="D278">
            <v>0.43554975604221036</v>
          </cell>
          <cell r="E278">
            <v>0.3616277564406854</v>
          </cell>
        </row>
        <row r="279">
          <cell r="A279" t="str">
            <v>Minova</v>
          </cell>
          <cell r="B279">
            <v>0.35276145710928319</v>
          </cell>
          <cell r="C279">
            <v>0.37629668049792536</v>
          </cell>
          <cell r="D279">
            <v>0.49214834614099578</v>
          </cell>
          <cell r="E279">
            <v>0.31021251475796935</v>
          </cell>
        </row>
        <row r="280">
          <cell r="A280" t="str">
            <v>Chemicals</v>
          </cell>
          <cell r="B280">
            <v>0.24184737626220826</v>
          </cell>
          <cell r="C280">
            <v>0.28239973483592967</v>
          </cell>
          <cell r="D280">
            <v>0.31422363362861444</v>
          </cell>
          <cell r="E280">
            <v>0.29495861550037622</v>
          </cell>
        </row>
        <row r="282">
          <cell r="A282" t="str">
            <v>Asset Turn</v>
          </cell>
        </row>
        <row r="283">
          <cell r="A283" t="str">
            <v>Mining Services</v>
          </cell>
          <cell r="B283">
            <v>0.98688633901036305</v>
          </cell>
          <cell r="C283">
            <v>1.2531422747907726</v>
          </cell>
          <cell r="D283">
            <v>1.0142415730337078</v>
          </cell>
          <cell r="E283">
            <v>0.94066501051022366</v>
          </cell>
        </row>
        <row r="284">
          <cell r="A284" t="str">
            <v>Minova</v>
          </cell>
          <cell r="B284">
            <v>0.38988708885616102</v>
          </cell>
          <cell r="C284">
            <v>0.52301278488048919</v>
          </cell>
          <cell r="D284">
            <v>0.50159092273518635</v>
          </cell>
          <cell r="E284">
            <v>0.49794014297831091</v>
          </cell>
        </row>
        <row r="285">
          <cell r="A285" t="str">
            <v>Chemicals</v>
          </cell>
          <cell r="B285">
            <v>1.3396532012195121</v>
          </cell>
          <cell r="C285">
            <v>1.5852359987713729</v>
          </cell>
          <cell r="D285">
            <v>1.4712430426716141</v>
          </cell>
          <cell r="E285">
            <v>1.4226493310721686</v>
          </cell>
        </row>
        <row r="287">
          <cell r="A287" t="str">
            <v>Depn / Sales</v>
          </cell>
        </row>
        <row r="288">
          <cell r="A288" t="str">
            <v>Mining Services</v>
          </cell>
          <cell r="B288">
            <v>3.3304242560738717E-2</v>
          </cell>
          <cell r="C288">
            <v>3.3983932179999017E-2</v>
          </cell>
          <cell r="D288">
            <v>3.8053563021020857E-2</v>
          </cell>
          <cell r="E288">
            <v>3.4459116302691717E-2</v>
          </cell>
        </row>
        <row r="289">
          <cell r="A289" t="str">
            <v>Minova</v>
          </cell>
          <cell r="B289">
            <v>9.9471165953160419E-3</v>
          </cell>
          <cell r="C289">
            <v>1.0415559570623872E-2</v>
          </cell>
          <cell r="D289">
            <v>1.0652304009575106E-2</v>
          </cell>
          <cell r="E289">
            <v>1.1071906557975422E-2</v>
          </cell>
        </row>
        <row r="290">
          <cell r="A290" t="str">
            <v>Chemicals</v>
          </cell>
          <cell r="B290">
            <v>2.2473508285328216E-2</v>
          </cell>
          <cell r="C290">
            <v>2.1442872828263258E-2</v>
          </cell>
          <cell r="D290">
            <v>2.4730278828639481E-2</v>
          </cell>
          <cell r="E290">
            <v>2.5629139072847685E-2</v>
          </cell>
        </row>
        <row r="292">
          <cell r="A292" t="str">
            <v>D+A/Sales</v>
          </cell>
          <cell r="B292">
            <v>3.7245573041299516E-2</v>
          </cell>
          <cell r="C292">
            <v>3.7483365370397752E-2</v>
          </cell>
          <cell r="D292">
            <v>4.1930927520979315E-2</v>
          </cell>
          <cell r="E292">
            <v>3.7760284408329098E-2</v>
          </cell>
        </row>
        <row r="294">
          <cell r="A294" t="str">
            <v>Sales / Tangible Assets</v>
          </cell>
        </row>
        <row r="295">
          <cell r="A295" t="str">
            <v>Mining Services</v>
          </cell>
          <cell r="B295">
            <v>1.3526656511805026</v>
          </cell>
          <cell r="C295">
            <v>1.7318082881652512</v>
          </cell>
          <cell r="D295">
            <v>1.3490379226601905</v>
          </cell>
          <cell r="E295">
            <v>1.2027365463319284</v>
          </cell>
        </row>
        <row r="296">
          <cell r="A296" t="str">
            <v>Minova</v>
          </cell>
          <cell r="B296">
            <v>1.2752087347463072</v>
          </cell>
          <cell r="C296">
            <v>1.7918491715863647</v>
          </cell>
          <cell r="D296">
            <v>1.7051020408163264</v>
          </cell>
          <cell r="E296">
            <v>1.6617468661544685</v>
          </cell>
        </row>
        <row r="297">
          <cell r="A297" t="str">
            <v>Chemicals</v>
          </cell>
          <cell r="B297">
            <v>1.5752856822764958</v>
          </cell>
          <cell r="C297">
            <v>1.8681225868725866</v>
          </cell>
          <cell r="D297">
            <v>1.7343863912515189</v>
          </cell>
          <cell r="E297">
            <v>1.6508144746911555</v>
          </cell>
          <cell r="J297" t="str">
            <v>Minova</v>
          </cell>
          <cell r="K297" t="str">
            <v>Mining Services</v>
          </cell>
          <cell r="L297" t="str">
            <v>Chemicals</v>
          </cell>
        </row>
        <row r="298">
          <cell r="B298" t="str">
            <v>Minova impairments</v>
          </cell>
          <cell r="I298" t="str">
            <v>Assets</v>
          </cell>
          <cell r="J298">
            <v>1202.8</v>
          </cell>
          <cell r="K298">
            <v>4727.3</v>
          </cell>
          <cell r="L298">
            <v>1059.8</v>
          </cell>
        </row>
        <row r="299">
          <cell r="I299" t="str">
            <v>Liabilitites</v>
          </cell>
          <cell r="J299">
            <v>136.19999999999999</v>
          </cell>
          <cell r="K299">
            <v>975.5</v>
          </cell>
          <cell r="L299">
            <v>250.7</v>
          </cell>
        </row>
        <row r="300">
          <cell r="I300" t="str">
            <v>Net Assets</v>
          </cell>
          <cell r="J300">
            <v>1066.5999999999999</v>
          </cell>
          <cell r="K300">
            <v>3751.8</v>
          </cell>
          <cell r="L300">
            <v>809.09999999999991</v>
          </cell>
          <cell r="O300">
            <v>2.5823790605281612E-2</v>
          </cell>
        </row>
        <row r="301">
          <cell r="B301" t="str">
            <v>Bull</v>
          </cell>
          <cell r="C301" t="str">
            <v>Base</v>
          </cell>
          <cell r="D301" t="str">
            <v>Bear</v>
          </cell>
          <cell r="I301" t="str">
            <v>Goodwill</v>
          </cell>
          <cell r="J301">
            <v>724.7</v>
          </cell>
          <cell r="K301">
            <v>886.90000000000009</v>
          </cell>
          <cell r="L301">
            <v>146.30000000000001</v>
          </cell>
        </row>
        <row r="302">
          <cell r="A302" t="str">
            <v>Size of Additional Impairment ($m)</v>
          </cell>
          <cell r="B302">
            <v>253.1493521194875</v>
          </cell>
          <cell r="C302">
            <v>-55.96173818993725</v>
          </cell>
          <cell r="D302">
            <v>-292.38189732826038</v>
          </cell>
          <cell r="I302" t="str">
            <v>NTA</v>
          </cell>
          <cell r="J302">
            <v>341.89999999999986</v>
          </cell>
          <cell r="K302">
            <v>2864.9</v>
          </cell>
          <cell r="L302">
            <v>662.8</v>
          </cell>
        </row>
        <row r="303">
          <cell r="A303" t="str">
            <v>% of Existing Goodwill</v>
          </cell>
          <cell r="B303">
            <v>0.23734235150898886</v>
          </cell>
          <cell r="C303">
            <v>-5.2467408766114061E-2</v>
          </cell>
          <cell r="D303">
            <v>-0.27412516156784211</v>
          </cell>
        </row>
        <row r="307">
          <cell r="A307" t="str">
            <v>FY13 Assets</v>
          </cell>
          <cell r="B307">
            <v>8182.6948926029809</v>
          </cell>
        </row>
        <row r="308">
          <cell r="A308" t="str">
            <v>Impairment</v>
          </cell>
          <cell r="B308">
            <v>-292.38189732826038</v>
          </cell>
        </row>
        <row r="309">
          <cell r="A309" t="str">
            <v>Adj. FY13 Assets</v>
          </cell>
          <cell r="B309">
            <v>7890.3129952747204</v>
          </cell>
        </row>
        <row r="310">
          <cell r="A310" t="str">
            <v>FY13 Liabs</v>
          </cell>
          <cell r="B310">
            <v>4583.8325213452126</v>
          </cell>
        </row>
        <row r="311">
          <cell r="A311" t="str">
            <v>Equity</v>
          </cell>
          <cell r="B311">
            <v>3598.8623712577682</v>
          </cell>
        </row>
        <row r="312">
          <cell r="A312" t="str">
            <v>Adj Equity</v>
          </cell>
          <cell r="B312">
            <v>3306.4804739295078</v>
          </cell>
        </row>
        <row r="314">
          <cell r="A314" t="str">
            <v>FY13 Net Debt</v>
          </cell>
          <cell r="B314">
            <v>-2451.5435330813734</v>
          </cell>
        </row>
        <row r="316">
          <cell r="A316" t="str">
            <v>ND / ND + E</v>
          </cell>
          <cell r="B316">
            <v>0.40518662249142845</v>
          </cell>
        </row>
        <row r="318">
          <cell r="A318" t="str">
            <v>Adj ND / ND + E</v>
          </cell>
          <cell r="B318">
            <v>0.42576125596149161</v>
          </cell>
        </row>
        <row r="321">
          <cell r="A321" t="str">
            <v>Minova EBIT</v>
          </cell>
          <cell r="B321">
            <v>109</v>
          </cell>
          <cell r="C321">
            <v>724.7</v>
          </cell>
        </row>
        <row r="322">
          <cell r="A322" t="str">
            <v>ORI EBIT</v>
          </cell>
          <cell r="B322">
            <v>1112.5999999999999</v>
          </cell>
          <cell r="C322">
            <v>1757.2</v>
          </cell>
        </row>
        <row r="323">
          <cell r="B323">
            <v>9.7968721912637072E-2</v>
          </cell>
          <cell r="C323">
            <v>0.41241748235829728</v>
          </cell>
        </row>
        <row r="324">
          <cell r="B324" t="str">
            <v>Minova FY12 EBIT Contribution</v>
          </cell>
          <cell r="C324" t="str">
            <v>Minova FY12 Goodwill Contribution</v>
          </cell>
        </row>
        <row r="348">
          <cell r="A348" t="str">
            <v>North America ('000)</v>
          </cell>
          <cell r="B348" t="str">
            <v>FY09A</v>
          </cell>
          <cell r="C348" t="str">
            <v>1H10</v>
          </cell>
          <cell r="D348" t="str">
            <v>2H10</v>
          </cell>
          <cell r="E348" t="str">
            <v>FY10A</v>
          </cell>
          <cell r="F348" t="str">
            <v>1H11</v>
          </cell>
          <cell r="G348" t="str">
            <v>2H11</v>
          </cell>
          <cell r="H348" t="str">
            <v>FY11A</v>
          </cell>
          <cell r="I348" t="str">
            <v>1H12</v>
          </cell>
          <cell r="J348" t="str">
            <v>2H12</v>
          </cell>
          <cell r="K348" t="str">
            <v>FY12A</v>
          </cell>
        </row>
        <row r="349">
          <cell r="A349" t="str">
            <v>Revenue</v>
          </cell>
          <cell r="B349">
            <v>1021.4</v>
          </cell>
          <cell r="C349">
            <v>409.9</v>
          </cell>
          <cell r="D349">
            <v>547.9</v>
          </cell>
          <cell r="E349">
            <v>957.8</v>
          </cell>
          <cell r="F349">
            <v>504.2</v>
          </cell>
          <cell r="G349">
            <v>513.90000000000009</v>
          </cell>
          <cell r="H349">
            <v>1018.1</v>
          </cell>
          <cell r="I349">
            <v>497.1</v>
          </cell>
          <cell r="J349">
            <v>521.4</v>
          </cell>
          <cell r="K349">
            <v>1018.5</v>
          </cell>
        </row>
        <row r="350">
          <cell r="A350" t="str">
            <v>EBIT</v>
          </cell>
          <cell r="B350">
            <v>122.9</v>
          </cell>
          <cell r="C350">
            <v>50.6</v>
          </cell>
          <cell r="D350">
            <v>54.499999999999993</v>
          </cell>
          <cell r="E350">
            <v>105.1</v>
          </cell>
          <cell r="F350">
            <v>32.299999999999997</v>
          </cell>
          <cell r="G350">
            <v>70.600000000000009</v>
          </cell>
          <cell r="H350">
            <v>102.9</v>
          </cell>
          <cell r="I350">
            <v>40.200000000000003</v>
          </cell>
          <cell r="J350">
            <v>70.399999999999991</v>
          </cell>
          <cell r="K350">
            <v>110.6</v>
          </cell>
        </row>
        <row r="351">
          <cell r="A351" t="str">
            <v>EBIT margin (%)</v>
          </cell>
          <cell r="B351">
            <v>0.12032504405717644</v>
          </cell>
          <cell r="C351">
            <v>0.12344474262015126</v>
          </cell>
          <cell r="D351">
            <v>9.9470706333272485E-2</v>
          </cell>
          <cell r="E351">
            <v>0.10973063269993735</v>
          </cell>
          <cell r="F351">
            <v>6.4061880206267352E-2</v>
          </cell>
          <cell r="G351">
            <v>0.13738081338781863</v>
          </cell>
          <cell r="H351">
            <v>0.10107062174639034</v>
          </cell>
          <cell r="I351">
            <v>8.0869040434520215E-2</v>
          </cell>
          <cell r="J351">
            <v>0.13502109704641349</v>
          </cell>
          <cell r="K351">
            <v>0.10859106529209621</v>
          </cell>
        </row>
        <row r="352">
          <cell r="A352" t="str">
            <v>YoY Growth (%)</v>
          </cell>
          <cell r="E352">
            <v>-0.14483319772172509</v>
          </cell>
          <cell r="F352">
            <v>-0.36166007905138342</v>
          </cell>
          <cell r="G352">
            <v>0.29541284403669765</v>
          </cell>
          <cell r="H352">
            <v>-2.0932445290199664E-2</v>
          </cell>
          <cell r="I352">
            <v>0.24458204334365341</v>
          </cell>
          <cell r="J352">
            <v>-2.8328611898019718E-3</v>
          </cell>
          <cell r="K352">
            <v>7.4829931972788977E-2</v>
          </cell>
        </row>
        <row r="377">
          <cell r="B377" t="str">
            <v>FY09A</v>
          </cell>
          <cell r="C377" t="str">
            <v>FY10A</v>
          </cell>
          <cell r="D377" t="str">
            <v>FY11A</v>
          </cell>
          <cell r="E377" t="str">
            <v>FY12A</v>
          </cell>
          <cell r="F377" t="str">
            <v>FY13E</v>
          </cell>
          <cell r="G377" t="str">
            <v>FY14E</v>
          </cell>
        </row>
        <row r="378">
          <cell r="B378">
            <v>0.12032504405717644</v>
          </cell>
          <cell r="C378">
            <v>0.10973063269993735</v>
          </cell>
          <cell r="D378">
            <v>0.10107062174639034</v>
          </cell>
          <cell r="E378">
            <v>0.10859106529209621</v>
          </cell>
          <cell r="F378">
            <v>0.11</v>
          </cell>
          <cell r="G378">
            <v>0.112</v>
          </cell>
        </row>
        <row r="383">
          <cell r="B383" t="str">
            <v>FY12A</v>
          </cell>
          <cell r="C383" t="str">
            <v>FY13E</v>
          </cell>
          <cell r="D383" t="str">
            <v>FY14E</v>
          </cell>
          <cell r="E383" t="str">
            <v>FY15E</v>
          </cell>
          <cell r="F383" t="str">
            <v>FY16E</v>
          </cell>
        </row>
        <row r="384">
          <cell r="A384" t="str">
            <v>Organic Revenue</v>
          </cell>
          <cell r="B384">
            <v>1822.7</v>
          </cell>
          <cell r="C384">
            <v>1745.329549510614</v>
          </cell>
          <cell r="D384">
            <v>1838.3304451584904</v>
          </cell>
          <cell r="E384">
            <v>1837.8299457599369</v>
          </cell>
          <cell r="F384">
            <v>1744.5418279981754</v>
          </cell>
        </row>
        <row r="385">
          <cell r="A385" t="str">
            <v>Bontang</v>
          </cell>
          <cell r="B385">
            <v>33.6</v>
          </cell>
          <cell r="C385">
            <v>137.5</v>
          </cell>
          <cell r="D385">
            <v>165</v>
          </cell>
          <cell r="E385">
            <v>165</v>
          </cell>
          <cell r="F385">
            <v>165</v>
          </cell>
        </row>
        <row r="386">
          <cell r="A386" t="str">
            <v>Burrup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74.680000000000007</v>
          </cell>
        </row>
        <row r="387">
          <cell r="A387" t="str">
            <v>KI expansion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81.75</v>
          </cell>
        </row>
        <row r="391">
          <cell r="B391" t="str">
            <v>FY09A</v>
          </cell>
          <cell r="C391" t="str">
            <v>FY10A</v>
          </cell>
          <cell r="D391" t="str">
            <v>FY11A</v>
          </cell>
          <cell r="E391" t="str">
            <v>FY12A</v>
          </cell>
          <cell r="F391" t="str">
            <v>FY13E</v>
          </cell>
          <cell r="G391" t="str">
            <v>FY14E</v>
          </cell>
          <cell r="H391" t="str">
            <v>FY15E</v>
          </cell>
        </row>
        <row r="392">
          <cell r="A392" t="str">
            <v>ORI Mining Services Australi / Asia EBIT Margin (%)</v>
          </cell>
          <cell r="B392">
            <v>0.24121613628297647</v>
          </cell>
          <cell r="C392">
            <v>0.29509085977759697</v>
          </cell>
          <cell r="D392">
            <v>0.29457973291437545</v>
          </cell>
          <cell r="E392">
            <v>0.26897591984054303</v>
          </cell>
          <cell r="F392">
            <v>0.26847007109803034</v>
          </cell>
          <cell r="G392">
            <v>0.25387338261484532</v>
          </cell>
          <cell r="H392">
            <v>0.24877042282920658</v>
          </cell>
        </row>
        <row r="393">
          <cell r="A393" t="str">
            <v>Dyno Asia Pacific EBIT margin (%) - Underlying</v>
          </cell>
          <cell r="B393">
            <v>9.5313426932964199E-2</v>
          </cell>
          <cell r="C393">
            <v>0.18127250900360142</v>
          </cell>
          <cell r="D393">
            <v>0.20915400487713373</v>
          </cell>
          <cell r="E393">
            <v>0.20785440613026823</v>
          </cell>
          <cell r="F393">
            <v>0.27972053517531392</v>
          </cell>
          <cell r="G393">
            <v>0.30619595222448315</v>
          </cell>
          <cell r="H393">
            <v>0.31002522425596152</v>
          </cell>
          <cell r="J393" t="str">
            <v>Update source</v>
          </cell>
        </row>
        <row r="395">
          <cell r="E395">
            <v>0.19897591984054305</v>
          </cell>
          <cell r="F395">
            <v>0.19847007109803036</v>
          </cell>
          <cell r="G395">
            <v>0.18387338261484534</v>
          </cell>
          <cell r="H395">
            <v>0.1787704228292066</v>
          </cell>
          <cell r="Q395" t="str">
            <v>FY16E</v>
          </cell>
        </row>
        <row r="396">
          <cell r="E396">
            <v>0.09</v>
          </cell>
          <cell r="F396">
            <v>0.09</v>
          </cell>
          <cell r="G396">
            <v>0.09</v>
          </cell>
          <cell r="H396">
            <v>0.09</v>
          </cell>
          <cell r="Q396">
            <v>2.7381520385285407E-2</v>
          </cell>
        </row>
        <row r="400">
          <cell r="B400" t="str">
            <v>FY05</v>
          </cell>
          <cell r="C400" t="str">
            <v>FY06</v>
          </cell>
          <cell r="D400" t="str">
            <v>FY07</v>
          </cell>
          <cell r="E400" t="str">
            <v>FY08</v>
          </cell>
          <cell r="F400" t="str">
            <v>FY09</v>
          </cell>
          <cell r="G400" t="str">
            <v>FY10</v>
          </cell>
          <cell r="H400" t="str">
            <v>FY11</v>
          </cell>
          <cell r="I400" t="str">
            <v>FY12</v>
          </cell>
        </row>
        <row r="401">
          <cell r="A401" t="str">
            <v>Revenue:</v>
          </cell>
        </row>
        <row r="402">
          <cell r="A402" t="str">
            <v>Mining Services Aust/Asia</v>
          </cell>
          <cell r="F402">
            <v>1690.6</v>
          </cell>
          <cell r="G402">
            <v>1474.8</v>
          </cell>
          <cell r="H402">
            <v>1654.9</v>
          </cell>
          <cell r="I402">
            <v>1856.3</v>
          </cell>
        </row>
        <row r="403">
          <cell r="A403" t="str">
            <v>Mining Services North America</v>
          </cell>
          <cell r="F403">
            <v>1021.4</v>
          </cell>
          <cell r="G403">
            <v>957.8</v>
          </cell>
          <cell r="H403">
            <v>1018.1</v>
          </cell>
          <cell r="I403">
            <v>1018.5</v>
          </cell>
        </row>
        <row r="404">
          <cell r="A404" t="str">
            <v>Mining Services Latin America</v>
          </cell>
          <cell r="F404">
            <v>888.8</v>
          </cell>
          <cell r="G404">
            <v>782.1</v>
          </cell>
          <cell r="H404">
            <v>865.2</v>
          </cell>
          <cell r="I404">
            <v>1019.3</v>
          </cell>
        </row>
        <row r="405">
          <cell r="A405" t="str">
            <v>Mining Services EMET</v>
          </cell>
          <cell r="F405">
            <v>584.70000000000005</v>
          </cell>
          <cell r="G405">
            <v>473.4</v>
          </cell>
          <cell r="H405">
            <v>465.4</v>
          </cell>
          <cell r="I405">
            <v>465.2</v>
          </cell>
        </row>
        <row r="407">
          <cell r="A407" t="str">
            <v>EBIT:</v>
          </cell>
        </row>
        <row r="408">
          <cell r="A408" t="str">
            <v>Mining Services Aust/Asia</v>
          </cell>
          <cell r="F408">
            <v>407.8</v>
          </cell>
          <cell r="G408">
            <v>435.2</v>
          </cell>
          <cell r="H408">
            <v>487.5</v>
          </cell>
          <cell r="I408">
            <v>499.3</v>
          </cell>
        </row>
        <row r="409">
          <cell r="A409" t="str">
            <v>Mining Services North America</v>
          </cell>
          <cell r="F409">
            <v>122.9</v>
          </cell>
          <cell r="G409">
            <v>105.1</v>
          </cell>
          <cell r="H409">
            <v>102.9</v>
          </cell>
          <cell r="I409">
            <v>110.6</v>
          </cell>
        </row>
        <row r="410">
          <cell r="A410" t="str">
            <v>Mining Services Latin America</v>
          </cell>
          <cell r="F410">
            <v>116.8</v>
          </cell>
          <cell r="G410">
            <v>118.4</v>
          </cell>
          <cell r="H410">
            <v>111.6</v>
          </cell>
          <cell r="I410">
            <v>85.9</v>
          </cell>
        </row>
        <row r="411">
          <cell r="A411" t="str">
            <v>Mining Services EMET</v>
          </cell>
          <cell r="F411">
            <v>89</v>
          </cell>
          <cell r="G411">
            <v>73.599999999999994</v>
          </cell>
          <cell r="H411">
            <v>59.4</v>
          </cell>
          <cell r="I411">
            <v>74.400000000000006</v>
          </cell>
        </row>
        <row r="413">
          <cell r="A413" t="str">
            <v>Assets:</v>
          </cell>
        </row>
        <row r="414">
          <cell r="A414" t="str">
            <v>Mining Services Aust/Asia</v>
          </cell>
          <cell r="F414">
            <v>1313.3</v>
          </cell>
          <cell r="G414">
            <v>1474.9</v>
          </cell>
          <cell r="H414">
            <v>1852.5</v>
          </cell>
          <cell r="I414">
            <v>2178.1999999999998</v>
          </cell>
        </row>
        <row r="415">
          <cell r="A415" t="str">
            <v>Mining Services North America</v>
          </cell>
          <cell r="F415">
            <v>520.5</v>
          </cell>
          <cell r="G415">
            <v>561.6</v>
          </cell>
          <cell r="H415">
            <v>602.4</v>
          </cell>
          <cell r="I415">
            <v>603.9</v>
          </cell>
        </row>
        <row r="416">
          <cell r="A416" t="str">
            <v>Mining Services Latin America</v>
          </cell>
          <cell r="F416">
            <v>545.20000000000005</v>
          </cell>
          <cell r="G416">
            <v>491.4</v>
          </cell>
          <cell r="H416">
            <v>518.1</v>
          </cell>
          <cell r="I416">
            <v>610</v>
          </cell>
        </row>
        <row r="417">
          <cell r="A417" t="str">
            <v>Mining Services EMET</v>
          </cell>
          <cell r="F417">
            <v>859.1</v>
          </cell>
          <cell r="G417">
            <v>619.20000000000005</v>
          </cell>
          <cell r="H417">
            <v>705.1</v>
          </cell>
          <cell r="I417">
            <v>735.9</v>
          </cell>
        </row>
        <row r="419">
          <cell r="A419" t="str">
            <v>Liabilitites:</v>
          </cell>
        </row>
        <row r="420">
          <cell r="A420" t="str">
            <v>Mining Services Aust/Asia</v>
          </cell>
          <cell r="F420">
            <v>296.3</v>
          </cell>
          <cell r="G420">
            <v>283.8</v>
          </cell>
          <cell r="H420">
            <v>367.6</v>
          </cell>
          <cell r="I420">
            <v>368</v>
          </cell>
        </row>
        <row r="421">
          <cell r="A421" t="str">
            <v>Mining Services North America</v>
          </cell>
          <cell r="F421">
            <v>200.1</v>
          </cell>
          <cell r="G421">
            <v>203.8</v>
          </cell>
          <cell r="H421">
            <v>147.6</v>
          </cell>
          <cell r="I421">
            <v>160.30000000000001</v>
          </cell>
        </row>
        <row r="422">
          <cell r="A422" t="str">
            <v>Mining Services Latin America</v>
          </cell>
          <cell r="F422">
            <v>114.6</v>
          </cell>
          <cell r="G422">
            <v>142.19999999999999</v>
          </cell>
          <cell r="H422">
            <v>151.9</v>
          </cell>
          <cell r="I422">
            <v>165.6</v>
          </cell>
        </row>
        <row r="423">
          <cell r="A423" t="str">
            <v>Mining Services EMET</v>
          </cell>
          <cell r="F423">
            <v>204.6</v>
          </cell>
          <cell r="G423">
            <v>197.7</v>
          </cell>
          <cell r="H423">
            <v>177.2</v>
          </cell>
          <cell r="I423">
            <v>171.4</v>
          </cell>
        </row>
        <row r="425">
          <cell r="A425" t="str">
            <v>Net Assets:</v>
          </cell>
        </row>
        <row r="426">
          <cell r="A426" t="str">
            <v>Mining Services Aust/Asia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1017</v>
          </cell>
          <cell r="G426">
            <v>1191.1000000000001</v>
          </cell>
          <cell r="H426">
            <v>1484.9</v>
          </cell>
          <cell r="I426">
            <v>1810.1999999999998</v>
          </cell>
        </row>
        <row r="427">
          <cell r="A427" t="str">
            <v>Mining Services North America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320.39999999999998</v>
          </cell>
          <cell r="G427">
            <v>357.8</v>
          </cell>
          <cell r="H427">
            <v>454.79999999999995</v>
          </cell>
          <cell r="I427">
            <v>443.59999999999997</v>
          </cell>
        </row>
        <row r="428">
          <cell r="A428" t="str">
            <v>Mining Services Latin America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430.6</v>
          </cell>
          <cell r="G428">
            <v>349.2</v>
          </cell>
          <cell r="H428">
            <v>366.20000000000005</v>
          </cell>
          <cell r="I428">
            <v>444.4</v>
          </cell>
        </row>
        <row r="429">
          <cell r="A429" t="str">
            <v>Mining Services EMET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654.5</v>
          </cell>
          <cell r="G429">
            <v>421.50000000000006</v>
          </cell>
          <cell r="H429">
            <v>527.90000000000009</v>
          </cell>
          <cell r="I429">
            <v>564.5</v>
          </cell>
        </row>
        <row r="431">
          <cell r="A431" t="str">
            <v>ROA:</v>
          </cell>
        </row>
        <row r="432">
          <cell r="A432" t="e">
            <v>#VALUE!</v>
          </cell>
          <cell r="B432" t="e">
            <v>#DIV/0!</v>
          </cell>
          <cell r="C432" t="e">
            <v>#DIV/0!</v>
          </cell>
          <cell r="D432" t="e">
            <v>#DIV/0!</v>
          </cell>
          <cell r="E432" t="e">
            <v>#DIV/0!</v>
          </cell>
          <cell r="F432">
            <v>0.31051549531714007</v>
          </cell>
          <cell r="G432">
            <v>0.29507085226117025</v>
          </cell>
          <cell r="H432">
            <v>0.26315789473684209</v>
          </cell>
          <cell r="I432">
            <v>0.22922596639427054</v>
          </cell>
        </row>
        <row r="433">
          <cell r="A433" t="e">
            <v>#VALUE!</v>
          </cell>
          <cell r="B433" t="e">
            <v>#DIV/0!</v>
          </cell>
          <cell r="C433" t="e">
            <v>#DIV/0!</v>
          </cell>
          <cell r="D433" t="e">
            <v>#DIV/0!</v>
          </cell>
          <cell r="E433" t="e">
            <v>#DIV/0!</v>
          </cell>
          <cell r="F433">
            <v>0.23611911623439003</v>
          </cell>
          <cell r="G433">
            <v>0.18714387464387464</v>
          </cell>
          <cell r="H433">
            <v>0.1708167330677291</v>
          </cell>
          <cell r="I433">
            <v>0.18314290445437986</v>
          </cell>
        </row>
        <row r="434">
          <cell r="A434" t="e">
            <v>#VALUE!</v>
          </cell>
          <cell r="B434" t="e">
            <v>#DIV/0!</v>
          </cell>
          <cell r="C434" t="e">
            <v>#DIV/0!</v>
          </cell>
          <cell r="D434" t="e">
            <v>#DIV/0!</v>
          </cell>
          <cell r="E434" t="e">
            <v>#DIV/0!</v>
          </cell>
          <cell r="F434">
            <v>0.21423330887747613</v>
          </cell>
          <cell r="G434">
            <v>0.24094424094424097</v>
          </cell>
          <cell r="H434">
            <v>0.21540243196294151</v>
          </cell>
          <cell r="I434">
            <v>0.14081967213114754</v>
          </cell>
        </row>
        <row r="435">
          <cell r="A435" t="e">
            <v>#VALUE!</v>
          </cell>
          <cell r="B435" t="e">
            <v>#DIV/0!</v>
          </cell>
          <cell r="C435" t="e">
            <v>#DIV/0!</v>
          </cell>
          <cell r="D435" t="e">
            <v>#DIV/0!</v>
          </cell>
          <cell r="E435" t="e">
            <v>#DIV/0!</v>
          </cell>
          <cell r="F435">
            <v>0.10359678733558375</v>
          </cell>
          <cell r="G435">
            <v>0.11886304909560721</v>
          </cell>
          <cell r="H435">
            <v>8.4243369734789381E-2</v>
          </cell>
          <cell r="I435">
            <v>0.10110069302894416</v>
          </cell>
        </row>
        <row r="437">
          <cell r="A437" t="str">
            <v>ROE:</v>
          </cell>
        </row>
        <row r="438">
          <cell r="A438" t="str">
            <v>Mining Services Aust/Asia</v>
          </cell>
          <cell r="B438" t="e">
            <v>#DIV/0!</v>
          </cell>
          <cell r="C438" t="e">
            <v>#DIV/0!</v>
          </cell>
          <cell r="D438" t="e">
            <v>#DIV/0!</v>
          </cell>
          <cell r="E438" t="e">
            <v>#DIV/0!</v>
          </cell>
          <cell r="F438">
            <v>0.40098328416912488</v>
          </cell>
          <cell r="G438">
            <v>0.36537654269162956</v>
          </cell>
          <cell r="H438">
            <v>0.32830493635935076</v>
          </cell>
          <cell r="I438">
            <v>0.27582587559385707</v>
          </cell>
        </row>
        <row r="439">
          <cell r="A439" t="str">
            <v>Mining Services North America</v>
          </cell>
          <cell r="B439" t="e">
            <v>#DIV/0!</v>
          </cell>
          <cell r="C439" t="e">
            <v>#DIV/0!</v>
          </cell>
          <cell r="D439" t="e">
            <v>#DIV/0!</v>
          </cell>
          <cell r="E439" t="e">
            <v>#DIV/0!</v>
          </cell>
          <cell r="F439">
            <v>0.38358302122347071</v>
          </cell>
          <cell r="G439">
            <v>0.29373951928451647</v>
          </cell>
          <cell r="H439">
            <v>0.22625329815303433</v>
          </cell>
          <cell r="I439">
            <v>0.24932371505861137</v>
          </cell>
        </row>
        <row r="440">
          <cell r="A440" t="str">
            <v>Mining Services Latin America</v>
          </cell>
          <cell r="B440" t="e">
            <v>#DIV/0!</v>
          </cell>
          <cell r="C440" t="e">
            <v>#DIV/0!</v>
          </cell>
          <cell r="D440" t="e">
            <v>#DIV/0!</v>
          </cell>
          <cell r="E440" t="e">
            <v>#DIV/0!</v>
          </cell>
          <cell r="F440">
            <v>0.27124941941477004</v>
          </cell>
          <cell r="G440">
            <v>0.33906071019473083</v>
          </cell>
          <cell r="H440">
            <v>0.30475150191152373</v>
          </cell>
          <cell r="I440">
            <v>0.19329432943294331</v>
          </cell>
        </row>
        <row r="441">
          <cell r="A441" t="str">
            <v>Mining Services EMET</v>
          </cell>
          <cell r="B441" t="e">
            <v>#DIV/0!</v>
          </cell>
          <cell r="C441" t="e">
            <v>#DIV/0!</v>
          </cell>
          <cell r="D441" t="e">
            <v>#DIV/0!</v>
          </cell>
          <cell r="E441" t="e">
            <v>#DIV/0!</v>
          </cell>
          <cell r="F441">
            <v>0.1359816653934301</v>
          </cell>
          <cell r="G441">
            <v>0.17461447212336889</v>
          </cell>
          <cell r="H441">
            <v>0.11252131085432845</v>
          </cell>
          <cell r="I441">
            <v>0.13179805137289638</v>
          </cell>
        </row>
        <row r="443">
          <cell r="A443" t="str">
            <v>Asset Turn:</v>
          </cell>
        </row>
        <row r="444">
          <cell r="A444" t="str">
            <v>Mining Services Aust/Asia</v>
          </cell>
          <cell r="B444" t="e">
            <v>#DIV/0!</v>
          </cell>
          <cell r="C444" t="e">
            <v>#DIV/0!</v>
          </cell>
          <cell r="D444" t="e">
            <v>#DIV/0!</v>
          </cell>
          <cell r="E444" t="e">
            <v>#DIV/0!</v>
          </cell>
          <cell r="F444">
            <v>1.2872915556232392</v>
          </cell>
          <cell r="G444">
            <v>0.99993219879313844</v>
          </cell>
          <cell r="H444">
            <v>0.89333333333333342</v>
          </cell>
          <cell r="I444">
            <v>0.85221742723349558</v>
          </cell>
        </row>
        <row r="445">
          <cell r="A445" t="str">
            <v>Mining Services North America</v>
          </cell>
          <cell r="B445" t="e">
            <v>#DIV/0!</v>
          </cell>
          <cell r="C445" t="e">
            <v>#DIV/0!</v>
          </cell>
          <cell r="D445" t="e">
            <v>#DIV/0!</v>
          </cell>
          <cell r="E445" t="e">
            <v>#DIV/0!</v>
          </cell>
          <cell r="F445">
            <v>1.9623439000960614</v>
          </cell>
          <cell r="G445">
            <v>1.7054843304843303</v>
          </cell>
          <cell r="H445">
            <v>1.6900730411686589</v>
          </cell>
          <cell r="I445">
            <v>1.6865375062096375</v>
          </cell>
        </row>
        <row r="446">
          <cell r="A446" t="str">
            <v>Mining Services Latin America</v>
          </cell>
          <cell r="B446" t="e">
            <v>#DIV/0!</v>
          </cell>
          <cell r="C446" t="e">
            <v>#DIV/0!</v>
          </cell>
          <cell r="D446" t="e">
            <v>#DIV/0!</v>
          </cell>
          <cell r="E446" t="e">
            <v>#DIV/0!</v>
          </cell>
          <cell r="F446">
            <v>1.6302274394717533</v>
          </cell>
          <cell r="G446">
            <v>1.5915750915750917</v>
          </cell>
          <cell r="H446">
            <v>1.6699478865083961</v>
          </cell>
          <cell r="I446">
            <v>1.6709836065573769</v>
          </cell>
        </row>
        <row r="447">
          <cell r="A447" t="str">
            <v>Mining Services EMET</v>
          </cell>
          <cell r="B447" t="e">
            <v>#DIV/0!</v>
          </cell>
          <cell r="C447" t="e">
            <v>#DIV/0!</v>
          </cell>
          <cell r="D447" t="e">
            <v>#DIV/0!</v>
          </cell>
          <cell r="E447" t="e">
            <v>#DIV/0!</v>
          </cell>
          <cell r="F447">
            <v>0.6805959725293913</v>
          </cell>
          <cell r="G447">
            <v>0.76453488372093015</v>
          </cell>
          <cell r="H447">
            <v>0.66004822011062259</v>
          </cell>
          <cell r="I447">
            <v>0.63215110748743031</v>
          </cell>
        </row>
        <row r="449">
          <cell r="F449" t="str">
            <v>FY09A</v>
          </cell>
          <cell r="G449" t="str">
            <v>FY10A</v>
          </cell>
          <cell r="H449" t="str">
            <v>FY11A</v>
          </cell>
          <cell r="I449" t="str">
            <v>FY12A</v>
          </cell>
        </row>
        <row r="450">
          <cell r="D450">
            <v>1</v>
          </cell>
          <cell r="E450" t="str">
            <v>ROE</v>
          </cell>
          <cell r="F450">
            <v>0.40098328416912488</v>
          </cell>
          <cell r="G450">
            <v>0.36537654269162956</v>
          </cell>
          <cell r="H450">
            <v>0.32830493635935076</v>
          </cell>
          <cell r="I450">
            <v>0.27582587559385707</v>
          </cell>
        </row>
        <row r="451">
          <cell r="E451" t="str">
            <v>=</v>
          </cell>
        </row>
        <row r="452">
          <cell r="D452">
            <v>2</v>
          </cell>
          <cell r="E452" t="str">
            <v>ROA</v>
          </cell>
          <cell r="F452">
            <v>0.31051549531714007</v>
          </cell>
          <cell r="G452">
            <v>0.29507085226117025</v>
          </cell>
          <cell r="H452">
            <v>0.26315789473684209</v>
          </cell>
          <cell r="I452">
            <v>0.22922596639427054</v>
          </cell>
        </row>
        <row r="453">
          <cell r="E453" t="str">
            <v>x</v>
          </cell>
        </row>
        <row r="454">
          <cell r="E454" t="str">
            <v>Leverage</v>
          </cell>
          <cell r="F454">
            <v>1.2913470993117011</v>
          </cell>
          <cell r="G454">
            <v>1.2382671480144403</v>
          </cell>
          <cell r="H454">
            <v>1.247558758165533</v>
          </cell>
          <cell r="I454">
            <v>1.2032924538725003</v>
          </cell>
        </row>
        <row r="455">
          <cell r="E455" t="str">
            <v>=</v>
          </cell>
        </row>
        <row r="456">
          <cell r="D456">
            <v>3</v>
          </cell>
          <cell r="E456" t="str">
            <v>EBIT Margin</v>
          </cell>
          <cell r="F456">
            <v>0.24121613628297647</v>
          </cell>
          <cell r="G456">
            <v>0.29509085977759697</v>
          </cell>
          <cell r="H456">
            <v>0.29457973291437545</v>
          </cell>
          <cell r="I456">
            <v>0.26897591984054303</v>
          </cell>
        </row>
        <row r="457">
          <cell r="E457" t="str">
            <v>x</v>
          </cell>
        </row>
        <row r="458">
          <cell r="E458" t="str">
            <v>Asset Turn</v>
          </cell>
          <cell r="F458">
            <v>1.2872915556232392</v>
          </cell>
          <cell r="G458">
            <v>0.99993219879313844</v>
          </cell>
          <cell r="H458">
            <v>0.89333333333333342</v>
          </cell>
          <cell r="I458">
            <v>0.85221742723349558</v>
          </cell>
        </row>
        <row r="459">
          <cell r="E459" t="str">
            <v>x</v>
          </cell>
        </row>
        <row r="460">
          <cell r="E460" t="str">
            <v>Leverage</v>
          </cell>
          <cell r="F460">
            <v>1.2913470993117011</v>
          </cell>
          <cell r="G460">
            <v>1.2382671480144403</v>
          </cell>
          <cell r="H460">
            <v>1.247558758165533</v>
          </cell>
          <cell r="I460">
            <v>1.2032924538725003</v>
          </cell>
        </row>
        <row r="462">
          <cell r="F462">
            <v>0.40098328416912488</v>
          </cell>
          <cell r="G462">
            <v>0.3653765426916295</v>
          </cell>
          <cell r="H462">
            <v>0.32830493635935082</v>
          </cell>
          <cell r="I462">
            <v>0.27582587559385707</v>
          </cell>
        </row>
        <row r="486">
          <cell r="F486" t="str">
            <v>FY09A</v>
          </cell>
          <cell r="G486" t="str">
            <v>FY10A</v>
          </cell>
          <cell r="H486" t="str">
            <v>FY11A</v>
          </cell>
          <cell r="I486" t="str">
            <v>FY12A</v>
          </cell>
        </row>
        <row r="487">
          <cell r="F487">
            <v>0.40098328416912488</v>
          </cell>
          <cell r="G487">
            <v>0.36537654269162956</v>
          </cell>
          <cell r="H487">
            <v>0.32830493635935076</v>
          </cell>
          <cell r="I487">
            <v>0.27582587559385707</v>
          </cell>
        </row>
        <row r="489">
          <cell r="A489" t="str">
            <v>AN</v>
          </cell>
          <cell r="B489">
            <v>0.35</v>
          </cell>
        </row>
        <row r="490">
          <cell r="A490" t="str">
            <v>Full Service and Bulk AN</v>
          </cell>
          <cell r="B490">
            <v>0.2</v>
          </cell>
        </row>
        <row r="491">
          <cell r="A491" t="str">
            <v>Initating Systems</v>
          </cell>
          <cell r="B491">
            <v>0.25</v>
          </cell>
        </row>
        <row r="492">
          <cell r="A492" t="str">
            <v>Packaged AN</v>
          </cell>
          <cell r="B492">
            <v>0.1</v>
          </cell>
        </row>
        <row r="493">
          <cell r="A493" t="str">
            <v>Services</v>
          </cell>
          <cell r="B493">
            <v>0.05</v>
          </cell>
        </row>
        <row r="494">
          <cell r="A494" t="str">
            <v>Other</v>
          </cell>
          <cell r="B494">
            <v>0.05</v>
          </cell>
        </row>
        <row r="528">
          <cell r="A528" t="str">
            <v>Minova</v>
          </cell>
        </row>
        <row r="529">
          <cell r="A529" t="str">
            <v>North America</v>
          </cell>
          <cell r="B529">
            <v>0.3</v>
          </cell>
        </row>
        <row r="530">
          <cell r="A530" t="str">
            <v>EMEA</v>
          </cell>
          <cell r="B530">
            <v>0.4</v>
          </cell>
        </row>
        <row r="531">
          <cell r="A531" t="str">
            <v>Australia / Asia</v>
          </cell>
          <cell r="B531">
            <v>0.25</v>
          </cell>
        </row>
        <row r="532">
          <cell r="A532" t="str">
            <v>Other</v>
          </cell>
          <cell r="B532">
            <v>0.05</v>
          </cell>
        </row>
        <row r="536">
          <cell r="A536" t="str">
            <v>Mining Chemicals</v>
          </cell>
          <cell r="B536">
            <v>313.3</v>
          </cell>
        </row>
        <row r="537">
          <cell r="A537" t="str">
            <v>General Chemicals</v>
          </cell>
          <cell r="B537">
            <v>1018.2</v>
          </cell>
        </row>
        <row r="538">
          <cell r="A538" t="str">
            <v>Watercare</v>
          </cell>
          <cell r="B538">
            <v>224.6</v>
          </cell>
        </row>
        <row r="563">
          <cell r="B563" t="str">
            <v>FY02A</v>
          </cell>
          <cell r="C563" t="str">
            <v>FY03A</v>
          </cell>
          <cell r="D563" t="str">
            <v>FY04A</v>
          </cell>
          <cell r="E563" t="str">
            <v>FY05A</v>
          </cell>
          <cell r="F563" t="str">
            <v>FY06A</v>
          </cell>
          <cell r="G563" t="str">
            <v>FY07A</v>
          </cell>
          <cell r="H563" t="str">
            <v>FY08A</v>
          </cell>
          <cell r="I563" t="str">
            <v>FY09A</v>
          </cell>
          <cell r="J563" t="str">
            <v>FY10A</v>
          </cell>
          <cell r="K563" t="str">
            <v>FY11A</v>
          </cell>
          <cell r="L563" t="str">
            <v>FY12A</v>
          </cell>
          <cell r="M563" t="str">
            <v>FY13A</v>
          </cell>
        </row>
        <row r="564">
          <cell r="A564" t="str">
            <v>Gross Margin Growth</v>
          </cell>
          <cell r="C564">
            <v>-1.2999999999999999E-2</v>
          </cell>
          <cell r="D564">
            <v>0.129</v>
          </cell>
          <cell r="E564">
            <v>6.2E-2</v>
          </cell>
          <cell r="F564">
            <v>9.1999999999999998E-2</v>
          </cell>
          <cell r="G564">
            <v>0.191</v>
          </cell>
          <cell r="H564">
            <v>0.183</v>
          </cell>
          <cell r="I564">
            <v>0.11700000000000001</v>
          </cell>
          <cell r="J564">
            <v>-8.9999999999999993E-3</v>
          </cell>
          <cell r="K564">
            <v>2.4E-2</v>
          </cell>
          <cell r="L564">
            <v>4.5999999999999999E-2</v>
          </cell>
        </row>
        <row r="565">
          <cell r="A565" t="str">
            <v xml:space="preserve">Gross Margin </v>
          </cell>
          <cell r="B565">
            <v>1300</v>
          </cell>
          <cell r="C565">
            <v>1250</v>
          </cell>
          <cell r="D565">
            <v>1450</v>
          </cell>
          <cell r="E565">
            <v>1550</v>
          </cell>
          <cell r="F565">
            <v>1700</v>
          </cell>
          <cell r="G565">
            <v>2000</v>
          </cell>
          <cell r="H565">
            <v>2400</v>
          </cell>
          <cell r="I565">
            <v>2650</v>
          </cell>
          <cell r="J565">
            <v>2600</v>
          </cell>
          <cell r="K565">
            <v>2720</v>
          </cell>
          <cell r="L565">
            <v>2850</v>
          </cell>
        </row>
        <row r="566">
          <cell r="A566" t="str">
            <v>Productivity</v>
          </cell>
          <cell r="B566">
            <v>0.78900000000000003</v>
          </cell>
          <cell r="C566">
            <v>0.751</v>
          </cell>
          <cell r="D566">
            <v>0.74</v>
          </cell>
          <cell r="E566">
            <v>0.73199999999999998</v>
          </cell>
          <cell r="F566">
            <v>0.72799999999999998</v>
          </cell>
          <cell r="G566">
            <v>0.69799999999999995</v>
          </cell>
          <cell r="H566">
            <v>0.69</v>
          </cell>
          <cell r="I566">
            <v>0.68500000000000005</v>
          </cell>
          <cell r="J566">
            <v>0.65300000000000002</v>
          </cell>
          <cell r="K566">
            <v>0.66800000000000004</v>
          </cell>
          <cell r="L566">
            <v>0.66800000000000004</v>
          </cell>
        </row>
        <row r="567">
          <cell r="A567" t="str">
            <v>Fixed Costs</v>
          </cell>
          <cell r="B567">
            <v>1025.7</v>
          </cell>
          <cell r="C567">
            <v>938.75</v>
          </cell>
          <cell r="D567">
            <v>1073</v>
          </cell>
          <cell r="E567">
            <v>1134.5999999999999</v>
          </cell>
          <cell r="F567">
            <v>1237.5999999999999</v>
          </cell>
          <cell r="G567">
            <v>1396</v>
          </cell>
          <cell r="H567">
            <v>1655.9999999999998</v>
          </cell>
          <cell r="I567">
            <v>1815.2500000000002</v>
          </cell>
          <cell r="J567">
            <v>1697.8</v>
          </cell>
          <cell r="K567">
            <v>1816.96</v>
          </cell>
          <cell r="L567">
            <v>1903.8000000000002</v>
          </cell>
        </row>
        <row r="568">
          <cell r="A568" t="str">
            <v>Fixed Costs (excl. D&amp;A)</v>
          </cell>
          <cell r="B568">
            <v>853.90000000000009</v>
          </cell>
          <cell r="C568">
            <v>763.55</v>
          </cell>
          <cell r="D568">
            <v>902.1</v>
          </cell>
          <cell r="E568">
            <v>958.69999999999993</v>
          </cell>
          <cell r="F568">
            <v>1099.6999999999998</v>
          </cell>
          <cell r="G568">
            <v>1212.8</v>
          </cell>
          <cell r="H568">
            <v>1437.3</v>
          </cell>
          <cell r="I568">
            <v>1567.5500000000002</v>
          </cell>
          <cell r="J568">
            <v>1472.8</v>
          </cell>
          <cell r="K568">
            <v>1592.76</v>
          </cell>
          <cell r="L568">
            <v>1652.4</v>
          </cell>
        </row>
        <row r="570">
          <cell r="A570" t="str">
            <v>Raw materials and consumables</v>
          </cell>
          <cell r="B570">
            <v>2120.5</v>
          </cell>
          <cell r="C570">
            <v>1981.2</v>
          </cell>
          <cell r="D570">
            <v>2579</v>
          </cell>
          <cell r="E570">
            <v>2880.8</v>
          </cell>
          <cell r="F570">
            <v>2473.5</v>
          </cell>
          <cell r="G570">
            <v>2793.3</v>
          </cell>
          <cell r="H570">
            <v>3448.5</v>
          </cell>
          <cell r="I570">
            <v>3723.2</v>
          </cell>
          <cell r="J570">
            <v>2613.4</v>
          </cell>
          <cell r="K570">
            <v>3007.4</v>
          </cell>
          <cell r="L570">
            <v>3306</v>
          </cell>
        </row>
        <row r="571">
          <cell r="A571" t="str">
            <v>Other employee benfits expense</v>
          </cell>
          <cell r="F571">
            <v>780.5</v>
          </cell>
          <cell r="G571">
            <v>959.8</v>
          </cell>
          <cell r="H571">
            <v>1106.5999999999999</v>
          </cell>
          <cell r="I571">
            <v>1190.3</v>
          </cell>
          <cell r="J571">
            <v>982.4</v>
          </cell>
          <cell r="K571">
            <v>1041.8</v>
          </cell>
          <cell r="L571">
            <v>1096.3</v>
          </cell>
        </row>
        <row r="572">
          <cell r="A572" t="str">
            <v>Depn</v>
          </cell>
          <cell r="B572">
            <v>171.8</v>
          </cell>
          <cell r="C572">
            <v>175.2</v>
          </cell>
          <cell r="D572">
            <v>170.9</v>
          </cell>
          <cell r="E572">
            <v>175.9</v>
          </cell>
          <cell r="F572">
            <v>124.9</v>
          </cell>
          <cell r="G572">
            <v>153.30000000000001</v>
          </cell>
          <cell r="H572">
            <v>177.6</v>
          </cell>
          <cell r="I572">
            <v>202.7</v>
          </cell>
          <cell r="J572">
            <v>185.6</v>
          </cell>
          <cell r="K572">
            <v>187.5</v>
          </cell>
          <cell r="L572">
            <v>214.7</v>
          </cell>
        </row>
        <row r="573">
          <cell r="A573" t="str">
            <v>Amort</v>
          </cell>
          <cell r="F573">
            <v>13</v>
          </cell>
          <cell r="G573">
            <v>29.9</v>
          </cell>
          <cell r="H573">
            <v>41.1</v>
          </cell>
          <cell r="I573">
            <v>45</v>
          </cell>
          <cell r="J573">
            <v>39.4</v>
          </cell>
          <cell r="K573">
            <v>36.700000000000003</v>
          </cell>
          <cell r="L573">
            <v>36.700000000000003</v>
          </cell>
        </row>
        <row r="574">
          <cell r="A574" t="str">
            <v>Purchased services</v>
          </cell>
          <cell r="B574">
            <v>242.4</v>
          </cell>
          <cell r="C574">
            <v>238.4</v>
          </cell>
          <cell r="D574">
            <v>312.89999999999998</v>
          </cell>
          <cell r="E574">
            <v>351.6</v>
          </cell>
          <cell r="F574">
            <v>354.6</v>
          </cell>
          <cell r="G574">
            <v>374.5</v>
          </cell>
          <cell r="H574">
            <v>404.3</v>
          </cell>
          <cell r="I574">
            <v>405.4</v>
          </cell>
          <cell r="J574">
            <v>279</v>
          </cell>
          <cell r="K574">
            <v>262</v>
          </cell>
          <cell r="L574">
            <v>283.7</v>
          </cell>
        </row>
        <row r="575">
          <cell r="A575" t="str">
            <v>Repairs and maintenance</v>
          </cell>
          <cell r="B575">
            <v>100.6</v>
          </cell>
          <cell r="C575">
            <v>98.8</v>
          </cell>
          <cell r="D575">
            <v>116.3</v>
          </cell>
          <cell r="E575">
            <v>144</v>
          </cell>
          <cell r="F575">
            <v>119.4</v>
          </cell>
          <cell r="G575">
            <v>115</v>
          </cell>
          <cell r="H575">
            <v>133.30000000000001</v>
          </cell>
          <cell r="I575">
            <v>136</v>
          </cell>
          <cell r="J575">
            <v>148</v>
          </cell>
          <cell r="K575">
            <v>157.80000000000001</v>
          </cell>
          <cell r="L575">
            <v>182.6</v>
          </cell>
        </row>
        <row r="576">
          <cell r="A576" t="str">
            <v>Outgoing freight</v>
          </cell>
          <cell r="B576">
            <v>171.9</v>
          </cell>
          <cell r="C576">
            <v>167.9</v>
          </cell>
          <cell r="D576">
            <v>203.3</v>
          </cell>
          <cell r="E576">
            <v>221.2</v>
          </cell>
          <cell r="F576">
            <v>238.9</v>
          </cell>
          <cell r="G576">
            <v>256.60000000000002</v>
          </cell>
          <cell r="H576">
            <v>270.60000000000002</v>
          </cell>
          <cell r="I576">
            <v>310.3</v>
          </cell>
          <cell r="J576">
            <v>271.5</v>
          </cell>
          <cell r="K576">
            <v>276.10000000000002</v>
          </cell>
          <cell r="L576">
            <v>302.7</v>
          </cell>
        </row>
        <row r="578">
          <cell r="A578" t="str">
            <v>Sales</v>
          </cell>
          <cell r="B578">
            <v>4249.2</v>
          </cell>
          <cell r="C578">
            <v>4143.5</v>
          </cell>
          <cell r="D578">
            <v>4734.6000000000004</v>
          </cell>
          <cell r="E578">
            <v>5261.6</v>
          </cell>
          <cell r="F578">
            <v>4745.6000000000004</v>
          </cell>
          <cell r="G578">
            <v>5527.2</v>
          </cell>
          <cell r="H578">
            <v>6544.1</v>
          </cell>
          <cell r="I578">
            <v>7411</v>
          </cell>
          <cell r="J578">
            <v>5812.1</v>
          </cell>
          <cell r="K578">
            <v>6182.3</v>
          </cell>
          <cell r="L578">
            <v>6674.1</v>
          </cell>
        </row>
        <row r="580">
          <cell r="A580" t="str">
            <v>Raw materials and consumables</v>
          </cell>
          <cell r="B580">
            <v>0.49903511249176319</v>
          </cell>
          <cell r="C580">
            <v>0.47814649450947266</v>
          </cell>
          <cell r="D580">
            <v>0.54471338655852652</v>
          </cell>
          <cell r="E580">
            <v>0.5475140641629922</v>
          </cell>
          <cell r="F580">
            <v>0.52121965610249488</v>
          </cell>
          <cell r="G580">
            <v>0.50537342596613122</v>
          </cell>
          <cell r="H580">
            <v>0.52696321877721919</v>
          </cell>
          <cell r="I580">
            <v>0.50238834165429769</v>
          </cell>
          <cell r="J580">
            <v>0.44964814782952806</v>
          </cell>
          <cell r="K580">
            <v>0.48645326173107095</v>
          </cell>
          <cell r="L580">
            <v>0.49534768732862855</v>
          </cell>
        </row>
        <row r="581">
          <cell r="A581" t="str">
            <v>Other employee benfits expense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0.16446813890761969</v>
          </cell>
          <cell r="G581">
            <v>0.1736503111883051</v>
          </cell>
          <cell r="H581">
            <v>0.16909888296327988</v>
          </cell>
          <cell r="I581">
            <v>0.16061260288759951</v>
          </cell>
          <cell r="J581">
            <v>0.16902668570740351</v>
          </cell>
          <cell r="K581">
            <v>0.16851333646054056</v>
          </cell>
          <cell r="L581">
            <v>0.16426184803943603</v>
          </cell>
        </row>
        <row r="582">
          <cell r="A582" t="str">
            <v>Depn</v>
          </cell>
          <cell r="B582">
            <v>4.0431139979290223E-2</v>
          </cell>
          <cell r="C582">
            <v>4.2283094002654759E-2</v>
          </cell>
          <cell r="D582">
            <v>3.6095974316732143E-2</v>
          </cell>
          <cell r="E582">
            <v>3.3430895545081343E-2</v>
          </cell>
          <cell r="F582">
            <v>2.6319116655428184E-2</v>
          </cell>
          <cell r="G582">
            <v>2.7735562310030399E-2</v>
          </cell>
          <cell r="H582">
            <v>2.7138949588178661E-2</v>
          </cell>
          <cell r="I582">
            <v>2.735123465119417E-2</v>
          </cell>
          <cell r="J582">
            <v>3.1933380361659297E-2</v>
          </cell>
          <cell r="K582">
            <v>3.03285185125277E-2</v>
          </cell>
          <cell r="L582">
            <v>3.2169131418468402E-2</v>
          </cell>
        </row>
        <row r="583">
          <cell r="A583" t="str">
            <v>Amort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2.7393796358732296E-3</v>
          </cell>
          <cell r="G583">
            <v>5.4096106527717468E-3</v>
          </cell>
          <cell r="H583">
            <v>6.2804663742913464E-3</v>
          </cell>
          <cell r="I583">
            <v>6.0720550532991496E-3</v>
          </cell>
          <cell r="J583">
            <v>6.7789611328091387E-3</v>
          </cell>
          <cell r="K583">
            <v>5.9363020235187556E-3</v>
          </cell>
          <cell r="L583">
            <v>5.4988687613311158E-3</v>
          </cell>
        </row>
        <row r="584">
          <cell r="A584" t="str">
            <v>Purchased services</v>
          </cell>
          <cell r="B584">
            <v>5.7046032194295403E-2</v>
          </cell>
          <cell r="C584">
            <v>5.7535899601785928E-2</v>
          </cell>
          <cell r="D584">
            <v>6.6087948295526541E-2</v>
          </cell>
          <cell r="E584">
            <v>6.6823779838832295E-2</v>
          </cell>
          <cell r="F584">
            <v>7.4721847606203637E-2</v>
          </cell>
          <cell r="G584">
            <v>6.7755825734549135E-2</v>
          </cell>
          <cell r="H584">
            <v>6.1780840757323388E-2</v>
          </cell>
          <cell r="I584">
            <v>5.470246930238834E-2</v>
          </cell>
          <cell r="J584">
            <v>4.8003303453140855E-2</v>
          </cell>
          <cell r="K584">
            <v>4.2379049868172036E-2</v>
          </cell>
          <cell r="L584">
            <v>4.2507604021516009E-2</v>
          </cell>
        </row>
        <row r="585">
          <cell r="A585" t="str">
            <v>Repairs and maintenance</v>
          </cell>
          <cell r="B585">
            <v>2.3675044714299161E-2</v>
          </cell>
          <cell r="C585">
            <v>2.384457584167974E-2</v>
          </cell>
          <cell r="D585">
            <v>2.4563849110801332E-2</v>
          </cell>
          <cell r="E585">
            <v>2.7368100957883532E-2</v>
          </cell>
          <cell r="F585">
            <v>2.5160148347943358E-2</v>
          </cell>
          <cell r="G585">
            <v>2.0806194818352875E-2</v>
          </cell>
          <cell r="H585">
            <v>2.0369493131217432E-2</v>
          </cell>
          <cell r="I585">
            <v>1.8351099716637429E-2</v>
          </cell>
          <cell r="J585">
            <v>2.5464117960805905E-2</v>
          </cell>
          <cell r="K585">
            <v>2.5524481180143315E-2</v>
          </cell>
          <cell r="L585">
            <v>2.7359494164007129E-2</v>
          </cell>
        </row>
        <row r="586">
          <cell r="A586" t="str">
            <v>Outgoing freight</v>
          </cell>
          <cell r="B586">
            <v>4.0454673820954537E-2</v>
          </cell>
          <cell r="C586">
            <v>4.0521298419210816E-2</v>
          </cell>
          <cell r="D586">
            <v>4.2939213449921854E-2</v>
          </cell>
          <cell r="E586">
            <v>4.2040443971415535E-2</v>
          </cell>
          <cell r="F586">
            <v>5.034136884693189E-2</v>
          </cell>
          <cell r="G586">
            <v>4.6424952959907374E-2</v>
          </cell>
          <cell r="H586">
            <v>4.1350223865772223E-2</v>
          </cell>
          <cell r="I586">
            <v>4.1870192956416141E-2</v>
          </cell>
          <cell r="J586">
            <v>4.6712892069991914E-2</v>
          </cell>
          <cell r="K586">
            <v>4.4659754460314123E-2</v>
          </cell>
          <cell r="L586">
            <v>4.5354429810760995E-2</v>
          </cell>
        </row>
        <row r="588">
          <cell r="A588" t="str">
            <v>Fixed Costs (excl. D&amp;A) / Sales</v>
          </cell>
          <cell r="B588">
            <v>0.20095547397157115</v>
          </cell>
          <cell r="C588">
            <v>0.1842765777724146</v>
          </cell>
          <cell r="D588">
            <v>0.19053351919908756</v>
          </cell>
          <cell r="E588">
            <v>0.18220693325224263</v>
          </cell>
          <cell r="F588">
            <v>0.23173044504383003</v>
          </cell>
          <cell r="G588">
            <v>0.21942393978868144</v>
          </cell>
          <cell r="H588">
            <v>0.2196329518191959</v>
          </cell>
          <cell r="I588">
            <v>0.21151666441775741</v>
          </cell>
          <cell r="J588">
            <v>0.25340238468023601</v>
          </cell>
          <cell r="K588">
            <v>0.25763227277873929</v>
          </cell>
          <cell r="L588">
            <v>0.24758394390254865</v>
          </cell>
        </row>
        <row r="590">
          <cell r="A590" t="str">
            <v>Sales (ex-Dulux)</v>
          </cell>
          <cell r="B590">
            <v>3445.2</v>
          </cell>
          <cell r="C590">
            <v>3300.6</v>
          </cell>
          <cell r="D590">
            <v>3838.1</v>
          </cell>
          <cell r="E590">
            <v>4358.2</v>
          </cell>
          <cell r="F590">
            <v>4574.2</v>
          </cell>
          <cell r="G590">
            <v>4700.8999999999987</v>
          </cell>
          <cell r="H590">
            <v>5668.7</v>
          </cell>
          <cell r="I590">
            <v>6347.8</v>
          </cell>
          <cell r="J590">
            <v>5819.1</v>
          </cell>
          <cell r="K590">
            <v>6182.2999999999993</v>
          </cell>
          <cell r="L590">
            <v>6674.1</v>
          </cell>
        </row>
        <row r="591">
          <cell r="B591">
            <v>0.24785208405898065</v>
          </cell>
          <cell r="C591">
            <v>0.23133672665575955</v>
          </cell>
          <cell r="D591">
            <v>0.23503816992782889</v>
          </cell>
          <cell r="E591">
            <v>0.21997613693726767</v>
          </cell>
          <cell r="F591">
            <v>0.2404136242403043</v>
          </cell>
          <cell r="G591">
            <v>0.25799315024782493</v>
          </cell>
          <cell r="H591">
            <v>0.25355019669412743</v>
          </cell>
          <cell r="I591">
            <v>0.24694382305680709</v>
          </cell>
          <cell r="J591">
            <v>0.25309755804162154</v>
          </cell>
          <cell r="K591">
            <v>0.25763227277873935</v>
          </cell>
          <cell r="L591">
            <v>0.24758394390254865</v>
          </cell>
        </row>
        <row r="593">
          <cell r="A593" t="str">
            <v>Mining Services EBIT Bridge</v>
          </cell>
        </row>
        <row r="594">
          <cell r="A594" t="str">
            <v>EBIT</v>
          </cell>
          <cell r="C594">
            <v>247</v>
          </cell>
          <cell r="D594">
            <v>270</v>
          </cell>
          <cell r="E594">
            <v>340</v>
          </cell>
          <cell r="F594">
            <v>412</v>
          </cell>
          <cell r="G594">
            <v>575</v>
          </cell>
          <cell r="H594">
            <v>636</v>
          </cell>
          <cell r="I594">
            <v>737</v>
          </cell>
          <cell r="J594">
            <v>768</v>
          </cell>
          <cell r="K594">
            <v>817</v>
          </cell>
          <cell r="L594">
            <v>790</v>
          </cell>
          <cell r="M594" t="str">
            <v>Total EBIT Increase</v>
          </cell>
          <cell r="N594" t="str">
            <v>% Increase</v>
          </cell>
          <cell r="O594" t="str">
            <v>CAGR</v>
          </cell>
          <cell r="P594" t="str">
            <v>CAGR</v>
          </cell>
        </row>
        <row r="595">
          <cell r="A595" t="str">
            <v>Volume</v>
          </cell>
          <cell r="D595">
            <v>47</v>
          </cell>
          <cell r="E595">
            <v>51</v>
          </cell>
          <cell r="F595">
            <v>56</v>
          </cell>
          <cell r="G595">
            <v>53</v>
          </cell>
          <cell r="H595">
            <v>74</v>
          </cell>
          <cell r="I595">
            <v>-100</v>
          </cell>
          <cell r="J595">
            <v>12</v>
          </cell>
          <cell r="K595">
            <v>87</v>
          </cell>
          <cell r="L595">
            <v>74</v>
          </cell>
          <cell r="M595">
            <v>354</v>
          </cell>
          <cell r="N595">
            <v>1.4331983805668016</v>
          </cell>
          <cell r="O595">
            <v>0.10384631760914975</v>
          </cell>
          <cell r="P595">
            <v>8.9113406458883437E-2</v>
          </cell>
        </row>
        <row r="596">
          <cell r="A596" t="str">
            <v>Net Price</v>
          </cell>
          <cell r="D596">
            <v>70</v>
          </cell>
          <cell r="E596">
            <v>72</v>
          </cell>
          <cell r="F596">
            <v>165</v>
          </cell>
          <cell r="G596">
            <v>35</v>
          </cell>
          <cell r="H596">
            <v>283</v>
          </cell>
          <cell r="I596">
            <v>230</v>
          </cell>
          <cell r="J596">
            <v>79</v>
          </cell>
          <cell r="K596">
            <v>44</v>
          </cell>
          <cell r="L596">
            <v>60</v>
          </cell>
          <cell r="M596">
            <v>1038</v>
          </cell>
          <cell r="N596">
            <v>4.2024291497975712</v>
          </cell>
          <cell r="O596">
            <v>0.20109805535348935</v>
          </cell>
          <cell r="P596">
            <v>0.18255292445130356</v>
          </cell>
        </row>
        <row r="597">
          <cell r="A597" t="str">
            <v>% Change in OMS EBIT due to volume</v>
          </cell>
          <cell r="D597">
            <v>0.19028340080971659</v>
          </cell>
          <cell r="E597">
            <v>0.18888888888888888</v>
          </cell>
          <cell r="F597">
            <v>0.16470588235294117</v>
          </cell>
          <cell r="G597">
            <v>0.12864077669902912</v>
          </cell>
          <cell r="H597">
            <v>0.12869565217391304</v>
          </cell>
          <cell r="I597">
            <v>-0.15723270440251572</v>
          </cell>
          <cell r="J597">
            <v>1.6282225237449117E-2</v>
          </cell>
          <cell r="K597">
            <v>0.11328125</v>
          </cell>
          <cell r="L597">
            <v>9.057527539779682E-2</v>
          </cell>
          <cell r="M597">
            <v>-2.6582278481012658E-2</v>
          </cell>
        </row>
        <row r="598">
          <cell r="A598" t="str">
            <v>% Change in OMS EBIT due to price</v>
          </cell>
          <cell r="D598">
            <v>0.2834008097165992</v>
          </cell>
          <cell r="E598">
            <v>0.26666666666666666</v>
          </cell>
          <cell r="F598">
            <v>0.48529411764705882</v>
          </cell>
          <cell r="G598">
            <v>8.4951456310679616E-2</v>
          </cell>
          <cell r="H598">
            <v>0.49217391304347824</v>
          </cell>
          <cell r="I598">
            <v>0.36163522012578614</v>
          </cell>
          <cell r="J598">
            <v>0.10719131614654002</v>
          </cell>
          <cell r="K598">
            <v>5.7291666666666664E-2</v>
          </cell>
          <cell r="L598">
            <v>7.3439412484700123E-2</v>
          </cell>
          <cell r="M598">
            <v>4.5569620253164557E-2</v>
          </cell>
        </row>
        <row r="599">
          <cell r="A599" t="str">
            <v>IS % AN Volume Change</v>
          </cell>
          <cell r="D599" t="str">
            <v>+</v>
          </cell>
          <cell r="E599" t="str">
            <v>+</v>
          </cell>
          <cell r="F599" t="str">
            <v>+</v>
          </cell>
          <cell r="G599" t="str">
            <v>+</v>
          </cell>
          <cell r="H599" t="str">
            <v>+</v>
          </cell>
          <cell r="I599" t="str">
            <v>+</v>
          </cell>
          <cell r="J599">
            <v>0.32</v>
          </cell>
          <cell r="K599">
            <v>0.19</v>
          </cell>
        </row>
        <row r="600">
          <cell r="A600" t="str">
            <v>AR % AN Volume Change</v>
          </cell>
          <cell r="D600" t="str">
            <v>+</v>
          </cell>
          <cell r="E600" t="str">
            <v>+</v>
          </cell>
          <cell r="F600" t="str">
            <v>N/A</v>
          </cell>
          <cell r="G600" t="str">
            <v>+</v>
          </cell>
          <cell r="H600" t="str">
            <v>+</v>
          </cell>
          <cell r="I600" t="str">
            <v>+</v>
          </cell>
          <cell r="J600">
            <v>0</v>
          </cell>
          <cell r="K600">
            <v>0.09</v>
          </cell>
        </row>
        <row r="601">
          <cell r="A601" t="str">
            <v>AR % AN Volume Change (Aust)</v>
          </cell>
          <cell r="D601" t="str">
            <v>+</v>
          </cell>
          <cell r="E601" t="str">
            <v>+</v>
          </cell>
          <cell r="F601">
            <v>0.09</v>
          </cell>
          <cell r="G601">
            <v>0.11</v>
          </cell>
          <cell r="H601">
            <v>0.11</v>
          </cell>
          <cell r="I601" t="str">
            <v>flat</v>
          </cell>
          <cell r="J601">
            <v>-0.03</v>
          </cell>
          <cell r="K601">
            <v>0.09</v>
          </cell>
        </row>
        <row r="602">
          <cell r="A602" t="str">
            <v>Aust/Asia price direction</v>
          </cell>
          <cell r="D602" t="str">
            <v>N/A</v>
          </cell>
          <cell r="E602" t="str">
            <v>+</v>
          </cell>
          <cell r="F602" t="str">
            <v>+</v>
          </cell>
          <cell r="G602" t="str">
            <v>N/A</v>
          </cell>
          <cell r="H602" t="str">
            <v>+</v>
          </cell>
          <cell r="I602" t="str">
            <v>+</v>
          </cell>
          <cell r="J602" t="str">
            <v>+</v>
          </cell>
          <cell r="K602" t="str">
            <v>+</v>
          </cell>
        </row>
        <row r="603">
          <cell r="A603" t="str">
            <v>Nth America price direction</v>
          </cell>
          <cell r="D603" t="str">
            <v>N/A</v>
          </cell>
          <cell r="E603" t="str">
            <v>N/A</v>
          </cell>
          <cell r="F603" t="str">
            <v>N/A</v>
          </cell>
          <cell r="G603" t="str">
            <v>N/A</v>
          </cell>
          <cell r="H603" t="str">
            <v>N/A</v>
          </cell>
          <cell r="I603" t="str">
            <v>-</v>
          </cell>
          <cell r="J603" t="str">
            <v>N/A</v>
          </cell>
          <cell r="K603" t="str">
            <v>+</v>
          </cell>
        </row>
        <row r="604">
          <cell r="A604" t="str">
            <v>Latin America price direction</v>
          </cell>
          <cell r="D604" t="str">
            <v>N/A</v>
          </cell>
          <cell r="E604" t="str">
            <v>N/A</v>
          </cell>
          <cell r="F604" t="str">
            <v>N/A</v>
          </cell>
          <cell r="G604" t="str">
            <v>N/A</v>
          </cell>
          <cell r="H604" t="str">
            <v>N/A</v>
          </cell>
          <cell r="I604" t="str">
            <v>flat</v>
          </cell>
          <cell r="J604" t="str">
            <v>+</v>
          </cell>
          <cell r="K604" t="str">
            <v>flat</v>
          </cell>
        </row>
        <row r="605">
          <cell r="A605" t="str">
            <v>Culmulative Pricing</v>
          </cell>
          <cell r="D605">
            <v>70</v>
          </cell>
          <cell r="E605">
            <v>142</v>
          </cell>
          <cell r="F605">
            <v>307</v>
          </cell>
          <cell r="G605">
            <v>342</v>
          </cell>
          <cell r="H605">
            <v>625</v>
          </cell>
          <cell r="I605">
            <v>855</v>
          </cell>
          <cell r="J605">
            <v>934</v>
          </cell>
          <cell r="K605">
            <v>978</v>
          </cell>
        </row>
        <row r="607">
          <cell r="A607" t="str">
            <v>% Change in OMS EBIT</v>
          </cell>
          <cell r="D607">
            <v>9.3117408906882693E-2</v>
          </cell>
          <cell r="E607">
            <v>0.2592592592592593</v>
          </cell>
          <cell r="F607">
            <v>0.21176470588235285</v>
          </cell>
          <cell r="G607">
            <v>0.39563106796116498</v>
          </cell>
          <cell r="H607">
            <v>0.10608695652173905</v>
          </cell>
          <cell r="I607">
            <v>0.15880503144654079</v>
          </cell>
          <cell r="J607">
            <v>4.2062415196743475E-2</v>
          </cell>
          <cell r="K607">
            <v>6.3802083333333259E-2</v>
          </cell>
        </row>
        <row r="609">
          <cell r="D609">
            <v>0.23684210526315791</v>
          </cell>
          <cell r="E609">
            <v>0.22777777777777777</v>
          </cell>
          <cell r="F609">
            <v>0.32500000000000001</v>
          </cell>
          <cell r="G609">
            <v>0.10679611650485438</v>
          </cell>
          <cell r="H609">
            <v>0.31043478260869561</v>
          </cell>
          <cell r="I609">
            <v>0.10220125786163521</v>
          </cell>
          <cell r="J609">
            <v>6.1736770691994569E-2</v>
          </cell>
          <cell r="K609">
            <v>8.5286458333333329E-2</v>
          </cell>
        </row>
        <row r="610">
          <cell r="D610">
            <v>0.14372469635627522</v>
          </cell>
          <cell r="E610">
            <v>-3.1481481481481527E-2</v>
          </cell>
          <cell r="F610">
            <v>0.11323529411764716</v>
          </cell>
          <cell r="G610">
            <v>-0.28883495145631061</v>
          </cell>
          <cell r="H610">
            <v>0.20434782608695656</v>
          </cell>
          <cell r="I610">
            <v>-5.6603773584905578E-2</v>
          </cell>
          <cell r="J610">
            <v>1.9674355495251095E-2</v>
          </cell>
          <cell r="K610">
            <v>2.1484375000000069E-2</v>
          </cell>
        </row>
        <row r="611">
          <cell r="A611" t="str">
            <v>Others</v>
          </cell>
        </row>
        <row r="612">
          <cell r="A612" t="str">
            <v>Variable costs</v>
          </cell>
          <cell r="D612">
            <v>-81</v>
          </cell>
          <cell r="E612">
            <v>-68</v>
          </cell>
          <cell r="F612">
            <v>-132</v>
          </cell>
          <cell r="G612">
            <v>53</v>
          </cell>
          <cell r="H612">
            <v>-213</v>
          </cell>
          <cell r="I612">
            <v>-126</v>
          </cell>
        </row>
        <row r="613">
          <cell r="A613" t="str">
            <v>Dyno</v>
          </cell>
          <cell r="G613">
            <v>95</v>
          </cell>
          <cell r="H613">
            <v>23</v>
          </cell>
        </row>
        <row r="614">
          <cell r="A614" t="str">
            <v>Productivity</v>
          </cell>
          <cell r="I614">
            <v>71</v>
          </cell>
          <cell r="J614">
            <v>51</v>
          </cell>
        </row>
        <row r="615">
          <cell r="A615" t="str">
            <v>FX</v>
          </cell>
          <cell r="I615">
            <v>49</v>
          </cell>
          <cell r="J615">
            <v>-49</v>
          </cell>
        </row>
        <row r="676">
          <cell r="C676">
            <v>74.245000000000005</v>
          </cell>
          <cell r="D676">
            <v>82.960909706954197</v>
          </cell>
          <cell r="E676">
            <v>99.42014064994126</v>
          </cell>
          <cell r="F676">
            <v>111.32792084277904</v>
          </cell>
          <cell r="G676">
            <v>130.30436910372319</v>
          </cell>
          <cell r="H676">
            <v>150.45170792891813</v>
          </cell>
          <cell r="I676">
            <v>151.48898947373198</v>
          </cell>
        </row>
        <row r="679">
          <cell r="A679" t="str">
            <v>Aus Mining Services Net Assets</v>
          </cell>
        </row>
        <row r="680">
          <cell r="B680" t="str">
            <v>FY11A</v>
          </cell>
          <cell r="C680" t="str">
            <v>FY12A</v>
          </cell>
          <cell r="D680" t="str">
            <v>FY13E</v>
          </cell>
          <cell r="E680" t="str">
            <v>FY14E</v>
          </cell>
          <cell r="F680" t="str">
            <v>FY15E</v>
          </cell>
          <cell r="G680" t="str">
            <v>FY16E</v>
          </cell>
          <cell r="H680" t="str">
            <v>FY16 (fully ramped-up)</v>
          </cell>
        </row>
        <row r="681">
          <cell r="A681" t="str">
            <v>Opening Balance</v>
          </cell>
          <cell r="D681">
            <v>1810.1999999999998</v>
          </cell>
          <cell r="E681">
            <v>2077.9419032918709</v>
          </cell>
          <cell r="F681">
            <v>2449.6382762056392</v>
          </cell>
          <cell r="G681">
            <v>2846.2594612316848</v>
          </cell>
        </row>
        <row r="682">
          <cell r="A682" t="str">
            <v>+Capex</v>
          </cell>
          <cell r="D682">
            <v>378.20281299882544</v>
          </cell>
          <cell r="E682">
            <v>498.61651356370953</v>
          </cell>
          <cell r="F682">
            <v>535.44910586882474</v>
          </cell>
          <cell r="G682">
            <v>362.77469734667773</v>
          </cell>
        </row>
        <row r="683">
          <cell r="A683" t="str">
            <v>-Depn</v>
          </cell>
          <cell r="D683">
            <v>-110.4609097069542</v>
          </cell>
          <cell r="E683">
            <v>-126.92014064994126</v>
          </cell>
          <cell r="F683">
            <v>-138.82792084277904</v>
          </cell>
          <cell r="G683">
            <v>-179.25436910372318</v>
          </cell>
        </row>
        <row r="684">
          <cell r="A684" t="str">
            <v>Closing Balance</v>
          </cell>
          <cell r="B684">
            <v>1484.9</v>
          </cell>
          <cell r="C684">
            <v>1810.1999999999998</v>
          </cell>
          <cell r="D684">
            <v>2077.9419032918709</v>
          </cell>
          <cell r="E684">
            <v>2449.6382762056392</v>
          </cell>
          <cell r="F684">
            <v>2846.2594612316848</v>
          </cell>
          <cell r="G684">
            <v>3029.7797894746395</v>
          </cell>
          <cell r="H684">
            <v>3029.7797894746395</v>
          </cell>
        </row>
        <row r="686">
          <cell r="A686" t="str">
            <v>EBIT</v>
          </cell>
          <cell r="B686">
            <v>487.5</v>
          </cell>
          <cell r="C686">
            <v>499.3</v>
          </cell>
          <cell r="D686">
            <v>505.48338302258702</v>
          </cell>
          <cell r="E686">
            <v>508.59227660768983</v>
          </cell>
          <cell r="F686">
            <v>498.24485246169638</v>
          </cell>
          <cell r="G686">
            <v>540.61245120321519</v>
          </cell>
          <cell r="H686">
            <v>599.50364500892488</v>
          </cell>
        </row>
        <row r="688">
          <cell r="A688" t="str">
            <v>ROA</v>
          </cell>
          <cell r="B688">
            <v>0.32830493635935076</v>
          </cell>
          <cell r="C688">
            <v>0.27582587559385707</v>
          </cell>
          <cell r="D688">
            <v>0.24326155713102537</v>
          </cell>
          <cell r="E688">
            <v>0.20761933773972233</v>
          </cell>
          <cell r="F688">
            <v>0.17505250636780909</v>
          </cell>
          <cell r="G688">
            <v>0.17843291881518453</v>
          </cell>
          <cell r="H688">
            <v>0.19787036902536015</v>
          </cell>
        </row>
        <row r="690">
          <cell r="B690" t="str">
            <v>Assets</v>
          </cell>
          <cell r="C690" t="str">
            <v>Liabs</v>
          </cell>
          <cell r="D690" t="str">
            <v>Goodwill</v>
          </cell>
          <cell r="E690" t="str">
            <v>NAV</v>
          </cell>
        </row>
        <row r="691">
          <cell r="A691" t="str">
            <v>Mining Sevrices Aus</v>
          </cell>
          <cell r="B691">
            <v>1852.5</v>
          </cell>
          <cell r="C691">
            <v>367.6</v>
          </cell>
          <cell r="D691">
            <v>132.4</v>
          </cell>
          <cell r="E691">
            <v>1352.5</v>
          </cell>
          <cell r="F691">
            <v>0.4073427099960848</v>
          </cell>
        </row>
        <row r="692">
          <cell r="A692" t="str">
            <v>Mining Services NA</v>
          </cell>
          <cell r="B692">
            <v>602.4</v>
          </cell>
          <cell r="C692">
            <v>147.6</v>
          </cell>
          <cell r="D692">
            <v>69.5</v>
          </cell>
          <cell r="E692">
            <v>385.29999999999995</v>
          </cell>
          <cell r="F692">
            <v>0.11604373098816373</v>
          </cell>
        </row>
        <row r="693">
          <cell r="A693" t="str">
            <v>Mining Services LA</v>
          </cell>
          <cell r="B693">
            <v>518.1</v>
          </cell>
          <cell r="C693">
            <v>151.9</v>
          </cell>
          <cell r="D693">
            <v>120.9</v>
          </cell>
          <cell r="E693">
            <v>245.30000000000004</v>
          </cell>
          <cell r="F693">
            <v>7.3878866367496937E-2</v>
          </cell>
        </row>
        <row r="694">
          <cell r="A694" t="str">
            <v>Mining Service EMEA</v>
          </cell>
          <cell r="B694">
            <v>705.1</v>
          </cell>
          <cell r="C694">
            <v>177.2</v>
          </cell>
          <cell r="D694">
            <v>373.8</v>
          </cell>
          <cell r="E694">
            <v>154.10000000000008</v>
          </cell>
          <cell r="F694">
            <v>4.6411468843176852E-2</v>
          </cell>
        </row>
        <row r="695">
          <cell r="A695" t="str">
            <v>Mining Services Other</v>
          </cell>
          <cell r="B695">
            <v>508.3</v>
          </cell>
          <cell r="C695">
            <v>112.6</v>
          </cell>
          <cell r="D695">
            <v>215.6</v>
          </cell>
          <cell r="E695">
            <v>180.10000000000005</v>
          </cell>
          <cell r="F695">
            <v>5.4242086558443543E-2</v>
          </cell>
        </row>
        <row r="696">
          <cell r="A696" t="str">
            <v>Minova</v>
          </cell>
          <cell r="B696">
            <v>1650.6</v>
          </cell>
          <cell r="C696">
            <v>155.80000000000001</v>
          </cell>
          <cell r="D696">
            <v>1156</v>
          </cell>
          <cell r="E696">
            <v>338.79999999999995</v>
          </cell>
          <cell r="F696">
            <v>0.10203897238201368</v>
          </cell>
        </row>
        <row r="697">
          <cell r="A697" t="str">
            <v>Chemicals</v>
          </cell>
          <cell r="B697">
            <v>1061.0999999999999</v>
          </cell>
          <cell r="C697">
            <v>250.2</v>
          </cell>
          <cell r="D697">
            <v>146.69999999999999</v>
          </cell>
          <cell r="E697">
            <v>664.19999999999982</v>
          </cell>
          <cell r="F697">
            <v>0.20004216486462065</v>
          </cell>
        </row>
        <row r="698">
          <cell r="A698" t="str">
            <v>Other</v>
          </cell>
          <cell r="B698">
            <v>729.8</v>
          </cell>
          <cell r="C698">
            <v>2389.6999999999998</v>
          </cell>
        </row>
        <row r="699">
          <cell r="B699">
            <v>7627.9000000000005</v>
          </cell>
          <cell r="C699">
            <v>3752.6</v>
          </cell>
          <cell r="D699">
            <v>2214.8999999999996</v>
          </cell>
          <cell r="E699">
            <v>3320.2999999999993</v>
          </cell>
        </row>
        <row r="703">
          <cell r="C703" t="str">
            <v>FY12A</v>
          </cell>
          <cell r="D703" t="str">
            <v>FY13E</v>
          </cell>
          <cell r="E703" t="str">
            <v>FY14E</v>
          </cell>
          <cell r="F703" t="str">
            <v>FY15E</v>
          </cell>
          <cell r="G703" t="str">
            <v>FY16E</v>
          </cell>
        </row>
        <row r="704">
          <cell r="A704" t="str">
            <v>Maintenance Capex</v>
          </cell>
          <cell r="C704">
            <v>-234</v>
          </cell>
          <cell r="D704">
            <v>-300</v>
          </cell>
          <cell r="E704">
            <v>-274.01131976753027</v>
          </cell>
          <cell r="F704">
            <v>-310.42437428189169</v>
          </cell>
          <cell r="G704">
            <v>-333.31809804079398</v>
          </cell>
        </row>
        <row r="705">
          <cell r="A705" t="str">
            <v>Bontang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550</v>
          </cell>
          <cell r="I705">
            <v>27.5</v>
          </cell>
        </row>
        <row r="706">
          <cell r="A706" t="str">
            <v>Burrup</v>
          </cell>
          <cell r="C706">
            <v>-41</v>
          </cell>
          <cell r="D706">
            <v>-200</v>
          </cell>
          <cell r="E706">
            <v>-150</v>
          </cell>
          <cell r="F706">
            <v>-79</v>
          </cell>
          <cell r="G706">
            <v>0</v>
          </cell>
          <cell r="H706">
            <v>429</v>
          </cell>
          <cell r="I706">
            <v>21.45</v>
          </cell>
        </row>
        <row r="707">
          <cell r="A707" t="str">
            <v>KI Expansion</v>
          </cell>
          <cell r="C707">
            <v>0</v>
          </cell>
          <cell r="D707">
            <v>0</v>
          </cell>
          <cell r="E707">
            <v>-200</v>
          </cell>
          <cell r="F707">
            <v>-300</v>
          </cell>
          <cell r="G707">
            <v>-200</v>
          </cell>
          <cell r="H707">
            <v>700</v>
          </cell>
          <cell r="I707">
            <v>35</v>
          </cell>
        </row>
        <row r="708">
          <cell r="A708" t="str">
            <v>Other Growth Capex</v>
          </cell>
          <cell r="C708">
            <v>-395</v>
          </cell>
          <cell r="D708">
            <v>-280</v>
          </cell>
          <cell r="E708">
            <v>-185</v>
          </cell>
          <cell r="F708">
            <v>-150</v>
          </cell>
          <cell r="G708">
            <v>-135</v>
          </cell>
        </row>
        <row r="709">
          <cell r="A709" t="str">
            <v xml:space="preserve">Total Capex </v>
          </cell>
          <cell r="C709">
            <v>-670</v>
          </cell>
          <cell r="D709">
            <v>-780</v>
          </cell>
          <cell r="E709">
            <v>-809.01131976753027</v>
          </cell>
          <cell r="F709">
            <v>-839.42437428189169</v>
          </cell>
          <cell r="G709">
            <v>-668.31809804079398</v>
          </cell>
        </row>
        <row r="711">
          <cell r="A711" t="str">
            <v>EBIT</v>
          </cell>
          <cell r="C711" t="str">
            <v>FY12A</v>
          </cell>
          <cell r="D711" t="str">
            <v>FY13E</v>
          </cell>
          <cell r="E711" t="str">
            <v>FY14E</v>
          </cell>
          <cell r="F711" t="str">
            <v>FY15E</v>
          </cell>
          <cell r="G711" t="str">
            <v>FY16E</v>
          </cell>
        </row>
        <row r="712">
          <cell r="C712">
            <v>14.454728682170543</v>
          </cell>
          <cell r="D712">
            <v>51.697700149827369</v>
          </cell>
          <cell r="E712">
            <v>58.201317543859645</v>
          </cell>
          <cell r="F712">
            <v>57.165665479311542</v>
          </cell>
          <cell r="G712">
            <v>55.790891290133061</v>
          </cell>
        </row>
        <row r="713"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26.514321193519958</v>
          </cell>
        </row>
        <row r="714"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39.617200000000004</v>
          </cell>
        </row>
        <row r="715"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</row>
        <row r="717">
          <cell r="C717">
            <v>0.35255435810172059</v>
          </cell>
          <cell r="D717">
            <v>0.25848850074913687</v>
          </cell>
          <cell r="E717">
            <v>0.16628947869674185</v>
          </cell>
          <cell r="F717">
            <v>0.15083289044673232</v>
          </cell>
          <cell r="G717">
            <v>0.28582832739655772</v>
          </cell>
        </row>
        <row r="720">
          <cell r="B720" t="str">
            <v>FY11A</v>
          </cell>
          <cell r="C720" t="str">
            <v>FY12E BB
Consensus</v>
          </cell>
          <cell r="D720" t="str">
            <v>Change %</v>
          </cell>
          <cell r="E720" t="str">
            <v>FY12A</v>
          </cell>
          <cell r="F720" t="str">
            <v>vs BB Consensus (%)</v>
          </cell>
          <cell r="G720" t="str">
            <v>FY13E</v>
          </cell>
          <cell r="H720" t="str">
            <v>Implied Growth</v>
          </cell>
        </row>
        <row r="721">
          <cell r="A721" t="str">
            <v>Revenue</v>
          </cell>
          <cell r="B721">
            <v>6182.3</v>
          </cell>
          <cell r="C721">
            <v>6622</v>
          </cell>
          <cell r="D721">
            <v>7.1122397813111693E-2</v>
          </cell>
          <cell r="E721">
            <v>6674.1</v>
          </cell>
          <cell r="F721">
            <v>7.8677136816671656E-3</v>
          </cell>
          <cell r="G721">
            <v>6981</v>
          </cell>
          <cell r="H721">
            <v>5.421322863183331E-2</v>
          </cell>
        </row>
        <row r="723">
          <cell r="A723" t="str">
            <v>EBITDA</v>
          </cell>
          <cell r="B723">
            <v>1273.5</v>
          </cell>
          <cell r="C723">
            <v>1294</v>
          </cell>
          <cell r="D723">
            <v>1.609736945425988E-2</v>
          </cell>
          <cell r="E723">
            <v>1274</v>
          </cell>
          <cell r="F723">
            <v>-1.5455950540958274E-2</v>
          </cell>
          <cell r="G723">
            <v>1493</v>
          </cell>
          <cell r="H723">
            <v>0.15378670788253479</v>
          </cell>
        </row>
        <row r="724">
          <cell r="A724" t="str">
            <v>EBITDA Margin (%)</v>
          </cell>
          <cell r="B724">
            <v>0.20317485641352906</v>
          </cell>
          <cell r="C724">
            <v>0.19540924192086984</v>
          </cell>
          <cell r="D724" t="str">
            <v>-50bps</v>
          </cell>
          <cell r="E724">
            <v>0.19088716081569049</v>
          </cell>
          <cell r="F724" t="str">
            <v>- 40bps</v>
          </cell>
          <cell r="G724">
            <v>0.21386620827961611</v>
          </cell>
          <cell r="H724" t="str">
            <v>+110bps</v>
          </cell>
        </row>
        <row r="726">
          <cell r="A726" t="str">
            <v xml:space="preserve">EBIT </v>
          </cell>
          <cell r="B726">
            <v>1049.3</v>
          </cell>
          <cell r="C726">
            <v>1055</v>
          </cell>
          <cell r="D726">
            <v>5.4321928904985661E-3</v>
          </cell>
          <cell r="E726">
            <v>1022.6</v>
          </cell>
          <cell r="F726">
            <v>-3.0710900473933656E-2</v>
          </cell>
          <cell r="G726">
            <v>1224</v>
          </cell>
          <cell r="H726">
            <v>0.16018957345971563</v>
          </cell>
        </row>
        <row r="727">
          <cell r="A727" t="str">
            <v>EBIT Margin (%)</v>
          </cell>
          <cell r="B727">
            <v>0.16972647720104167</v>
          </cell>
          <cell r="C727">
            <v>0.15931742675928723</v>
          </cell>
          <cell r="D727" t="str">
            <v>-70bps</v>
          </cell>
          <cell r="E727">
            <v>0.15321916063589097</v>
          </cell>
          <cell r="F727" t="str">
            <v>- 60bps</v>
          </cell>
          <cell r="G727">
            <v>0.17533304684142673</v>
          </cell>
          <cell r="H727" t="str">
            <v>+160bps</v>
          </cell>
        </row>
        <row r="729">
          <cell r="A729" t="str">
            <v>NPAT</v>
          </cell>
          <cell r="B729">
            <v>656.99999999999989</v>
          </cell>
          <cell r="C729">
            <v>654.35699999999997</v>
          </cell>
          <cell r="D729">
            <v>-4.0228310502281595E-3</v>
          </cell>
          <cell r="E729">
            <v>650.20000000000005</v>
          </cell>
          <cell r="F729">
            <v>-6.3528012995962557E-3</v>
          </cell>
          <cell r="G729">
            <v>767.8</v>
          </cell>
          <cell r="H729">
            <v>0.17336560929278666</v>
          </cell>
        </row>
        <row r="730">
          <cell r="A730" t="str">
            <v>EPS</v>
          </cell>
          <cell r="B730">
            <v>1.7350000000000001</v>
          </cell>
          <cell r="C730">
            <v>1.8029999999999999</v>
          </cell>
          <cell r="D730">
            <v>3.9193083573486831E-2</v>
          </cell>
          <cell r="E730">
            <v>1.7789999999999999</v>
          </cell>
          <cell r="F730">
            <v>-1.3311148086522451E-2</v>
          </cell>
          <cell r="G730">
            <v>2.1040000000000001</v>
          </cell>
          <cell r="H730">
            <v>0.16694398225180263</v>
          </cell>
        </row>
        <row r="732">
          <cell r="A732" t="str">
            <v>DPS</v>
          </cell>
          <cell r="B732">
            <v>0.918334111770161</v>
          </cell>
          <cell r="C732">
            <v>0.93899999999999995</v>
          </cell>
          <cell r="D732">
            <v>2.250367046695434E-2</v>
          </cell>
          <cell r="E732">
            <v>0.92</v>
          </cell>
          <cell r="F732">
            <v>-2.0234291799786863E-2</v>
          </cell>
          <cell r="G732">
            <v>1.0680000000000001</v>
          </cell>
          <cell r="H732">
            <v>0.13738019169329085</v>
          </cell>
        </row>
        <row r="733">
          <cell r="G733">
            <v>0.50760456273764254</v>
          </cell>
        </row>
        <row r="734">
          <cell r="E734">
            <v>1112.5999999999999</v>
          </cell>
        </row>
        <row r="735">
          <cell r="E735">
            <v>0.16670412490073566</v>
          </cell>
        </row>
        <row r="740">
          <cell r="B740" t="str">
            <v>MS Estimate</v>
          </cell>
          <cell r="C740" t="str">
            <v>Actual</v>
          </cell>
          <cell r="D740" t="str">
            <v>% Miss</v>
          </cell>
          <cell r="G740" t="str">
            <v>MS Estimate</v>
          </cell>
          <cell r="H740" t="str">
            <v>Actual</v>
          </cell>
          <cell r="I740" t="str">
            <v>% Miss</v>
          </cell>
        </row>
        <row r="741">
          <cell r="A741" t="str">
            <v>Revenue:</v>
          </cell>
        </row>
        <row r="742">
          <cell r="A742" t="str">
            <v>Mining Services Australia / Asia</v>
          </cell>
          <cell r="B742">
            <v>1856.3</v>
          </cell>
          <cell r="G742">
            <v>1873.1924493951424</v>
          </cell>
          <cell r="H742">
            <v>1867</v>
          </cell>
          <cell r="I742">
            <v>-3.3058265834575717E-3</v>
          </cell>
        </row>
        <row r="743">
          <cell r="A743" t="str">
            <v>Mining Services Nth America</v>
          </cell>
          <cell r="B743">
            <v>1018.5</v>
          </cell>
          <cell r="G743">
            <v>953.34288665229178</v>
          </cell>
          <cell r="H743">
            <v>1023.7</v>
          </cell>
          <cell r="I743">
            <v>7.3800428295815568E-2</v>
          </cell>
        </row>
        <row r="744">
          <cell r="A744" t="str">
            <v>Mining Services Latin America</v>
          </cell>
          <cell r="B744">
            <v>1019.3</v>
          </cell>
          <cell r="G744">
            <v>1001.0791479988355</v>
          </cell>
          <cell r="H744">
            <v>1022</v>
          </cell>
          <cell r="I744">
            <v>2.0898299642925666E-2</v>
          </cell>
        </row>
        <row r="745">
          <cell r="A745" t="str">
            <v>Mining Services EMEA</v>
          </cell>
          <cell r="B745">
            <v>465.2</v>
          </cell>
          <cell r="G745">
            <v>438.20538296178279</v>
          </cell>
          <cell r="H745">
            <v>495.4</v>
          </cell>
          <cell r="I745">
            <v>0.13052011513789474</v>
          </cell>
        </row>
        <row r="746">
          <cell r="A746" t="str">
            <v>Mining Services Other</v>
          </cell>
          <cell r="B746">
            <v>966.2</v>
          </cell>
          <cell r="G746">
            <v>1004.535</v>
          </cell>
          <cell r="H746">
            <v>972.4</v>
          </cell>
          <cell r="I746">
            <v>-3.1989925687009424E-2</v>
          </cell>
        </row>
        <row r="747">
          <cell r="A747" t="str">
            <v>Elims</v>
          </cell>
          <cell r="B747">
            <v>-948.4</v>
          </cell>
          <cell r="G747">
            <v>-898.8365599798683</v>
          </cell>
          <cell r="H747">
            <v>-948.4</v>
          </cell>
          <cell r="I747">
            <v>5.5141771292927633E-2</v>
          </cell>
        </row>
        <row r="748">
          <cell r="A748" t="str">
            <v>Total Mining Services</v>
          </cell>
          <cell r="B748">
            <v>4377.1000000000004</v>
          </cell>
          <cell r="G748">
            <v>4371.5183070281846</v>
          </cell>
          <cell r="H748">
            <v>4432.0999999999995</v>
          </cell>
          <cell r="I748">
            <v>1.3858272736595012E-2</v>
          </cell>
        </row>
        <row r="749">
          <cell r="A749" t="str">
            <v>Minova</v>
          </cell>
          <cell r="B749">
            <v>854.1</v>
          </cell>
          <cell r="G749">
            <v>807.72247046467828</v>
          </cell>
          <cell r="H749">
            <v>855.8</v>
          </cell>
          <cell r="I749">
            <v>5.9522337551984883E-2</v>
          </cell>
        </row>
        <row r="750">
          <cell r="A750" t="str">
            <v>Chemicals</v>
          </cell>
          <cell r="B750">
            <v>1592.8</v>
          </cell>
          <cell r="G750">
            <v>1607.2523715699506</v>
          </cell>
          <cell r="H750">
            <v>1597</v>
          </cell>
          <cell r="I750">
            <v>-6.3788187538563745E-3</v>
          </cell>
        </row>
        <row r="751">
          <cell r="A751" t="str">
            <v>Others</v>
          </cell>
          <cell r="B751">
            <v>2.2000000000000002</v>
          </cell>
          <cell r="G751">
            <v>2.7059814148004011</v>
          </cell>
          <cell r="H751">
            <v>8.8000000000000007</v>
          </cell>
          <cell r="I751">
            <v>2.2520548559085753</v>
          </cell>
        </row>
        <row r="752">
          <cell r="A752" t="str">
            <v>Eliminations</v>
          </cell>
          <cell r="B752">
            <v>-152.1</v>
          </cell>
          <cell r="G752">
            <v>-97.523570189406456</v>
          </cell>
          <cell r="H752">
            <v>-152.1</v>
          </cell>
          <cell r="I752">
            <v>0.55962296811527024</v>
          </cell>
        </row>
        <row r="753">
          <cell r="A753" t="str">
            <v>Group (operating)</v>
          </cell>
          <cell r="B753">
            <v>6674.1</v>
          </cell>
          <cell r="G753">
            <v>6691.6755602882085</v>
          </cell>
          <cell r="H753">
            <v>6741.5999999999995</v>
          </cell>
          <cell r="I753">
            <v>7.4606784596773501E-3</v>
          </cell>
        </row>
        <row r="755">
          <cell r="A755" t="str">
            <v>EBIT:</v>
          </cell>
        </row>
        <row r="756">
          <cell r="A756" t="str">
            <v>Mining Services Australia / Asia</v>
          </cell>
          <cell r="B756">
            <v>499.3</v>
          </cell>
          <cell r="G756">
            <v>528.49854406680879</v>
          </cell>
          <cell r="H756">
            <v>499.3</v>
          </cell>
          <cell r="I756">
            <v>-5.5248106914591033E-2</v>
          </cell>
        </row>
        <row r="757">
          <cell r="A757" t="str">
            <v>Mining Services Nth America</v>
          </cell>
          <cell r="B757">
            <v>110.6</v>
          </cell>
          <cell r="G757">
            <v>104.86771753175209</v>
          </cell>
          <cell r="H757">
            <v>110.6</v>
          </cell>
          <cell r="I757">
            <v>5.4662031396957467E-2</v>
          </cell>
        </row>
        <row r="758">
          <cell r="A758" t="str">
            <v>Mining Services Latin America</v>
          </cell>
          <cell r="B758">
            <v>85.9</v>
          </cell>
          <cell r="G758">
            <v>123.13273520385677</v>
          </cell>
          <cell r="H758">
            <v>85.9</v>
          </cell>
          <cell r="I758">
            <v>-0.3023788527251895</v>
          </cell>
        </row>
        <row r="759">
          <cell r="A759" t="str">
            <v>Mining Services EMEA</v>
          </cell>
          <cell r="B759">
            <v>74.400000000000006</v>
          </cell>
          <cell r="G759">
            <v>55.652083636146415</v>
          </cell>
          <cell r="H759">
            <v>74.400000000000006</v>
          </cell>
          <cell r="I759">
            <v>0.33687716863267081</v>
          </cell>
        </row>
        <row r="760">
          <cell r="A760" t="str">
            <v>Mining Services Other</v>
          </cell>
          <cell r="B760">
            <v>106.5</v>
          </cell>
          <cell r="G760">
            <v>100.45350000000002</v>
          </cell>
          <cell r="H760">
            <v>106.5</v>
          </cell>
          <cell r="I760">
            <v>6.0192029147814408E-2</v>
          </cell>
        </row>
        <row r="761">
          <cell r="A761" t="str">
            <v>Elims</v>
          </cell>
          <cell r="B761">
            <v>0</v>
          </cell>
          <cell r="G761">
            <v>0</v>
          </cell>
          <cell r="H761">
            <v>0</v>
          </cell>
        </row>
        <row r="762">
          <cell r="A762" t="str">
            <v>Total Mining Services</v>
          </cell>
          <cell r="B762">
            <v>876.69999999999993</v>
          </cell>
          <cell r="G762">
            <v>912.6045804385642</v>
          </cell>
          <cell r="H762">
            <v>876.69999999999993</v>
          </cell>
          <cell r="I762">
            <v>-3.934297636475792E-2</v>
          </cell>
        </row>
        <row r="763">
          <cell r="A763" t="str">
            <v>Minova</v>
          </cell>
          <cell r="B763">
            <v>109</v>
          </cell>
          <cell r="G763">
            <v>100.96530880808479</v>
          </cell>
          <cell r="H763">
            <v>109</v>
          </cell>
          <cell r="I763">
            <v>7.957873141543681E-2</v>
          </cell>
        </row>
        <row r="764">
          <cell r="A764" t="str">
            <v>Chemicals</v>
          </cell>
          <cell r="B764">
            <v>214.2</v>
          </cell>
          <cell r="G764">
            <v>205.72830356095369</v>
          </cell>
          <cell r="H764">
            <v>214.2</v>
          </cell>
          <cell r="I764">
            <v>4.1179051654097076E-2</v>
          </cell>
        </row>
        <row r="765">
          <cell r="A765" t="str">
            <v>Others</v>
          </cell>
          <cell r="B765">
            <v>-87.3</v>
          </cell>
          <cell r="G765">
            <v>-97.927714617764707</v>
          </cell>
          <cell r="H765">
            <v>-87.3</v>
          </cell>
          <cell r="I765">
            <v>-0.10852611703691051</v>
          </cell>
        </row>
        <row r="766">
          <cell r="A766" t="str">
            <v>Eliminations</v>
          </cell>
          <cell r="B766">
            <v>0</v>
          </cell>
          <cell r="G766">
            <v>0</v>
          </cell>
          <cell r="H766">
            <v>0</v>
          </cell>
        </row>
        <row r="767">
          <cell r="A767" t="str">
            <v>Group (operating)</v>
          </cell>
          <cell r="B767">
            <v>1112.5999999999999</v>
          </cell>
          <cell r="G767">
            <v>1121.370478189838</v>
          </cell>
          <cell r="H767">
            <v>1112.5999999999999</v>
          </cell>
          <cell r="I767">
            <v>-7.8212137383852909E-3</v>
          </cell>
        </row>
        <row r="769">
          <cell r="A769" t="str">
            <v>EBIT Margin:</v>
          </cell>
        </row>
        <row r="770">
          <cell r="A770" t="str">
            <v>Mining Services Australia / Asia</v>
          </cell>
          <cell r="B770">
            <v>0.26897591984054303</v>
          </cell>
          <cell r="G770">
            <v>0.28213787869872209</v>
          </cell>
          <cell r="H770">
            <v>0.26743438671665776</v>
          </cell>
          <cell r="I770">
            <v>-147.03491982064332</v>
          </cell>
        </row>
        <row r="771">
          <cell r="A771" t="str">
            <v>Mining Services Nth America</v>
          </cell>
          <cell r="B771">
            <v>0.10859106529209621</v>
          </cell>
          <cell r="G771">
            <v>0.11</v>
          </cell>
          <cell r="H771">
            <v>0.10803946468691998</v>
          </cell>
          <cell r="I771">
            <v>-19.605353130800196</v>
          </cell>
        </row>
        <row r="772">
          <cell r="A772" t="str">
            <v>Mining Services Latin America</v>
          </cell>
          <cell r="B772">
            <v>8.4273521043853633E-2</v>
          </cell>
          <cell r="G772">
            <v>0.123</v>
          </cell>
          <cell r="H772">
            <v>8.4050880626223096E-2</v>
          </cell>
          <cell r="I772">
            <v>-389.49119373776904</v>
          </cell>
        </row>
        <row r="773">
          <cell r="A773" t="str">
            <v>Mining Services EMEA</v>
          </cell>
          <cell r="B773">
            <v>0.1599312123817713</v>
          </cell>
          <cell r="G773">
            <v>0.127</v>
          </cell>
          <cell r="H773">
            <v>0.15018167137666533</v>
          </cell>
          <cell r="I773">
            <v>231.81671376665324</v>
          </cell>
        </row>
        <row r="774">
          <cell r="A774" t="str">
            <v>Mining Services Other</v>
          </cell>
          <cell r="B774">
            <v>0.1102256261643552</v>
          </cell>
          <cell r="G774">
            <v>0.1</v>
          </cell>
          <cell r="H774">
            <v>0.10952283011106541</v>
          </cell>
          <cell r="I774">
            <v>95.22830111065403</v>
          </cell>
        </row>
        <row r="775">
          <cell r="A775" t="str">
            <v>Total Mining Services</v>
          </cell>
          <cell r="B775">
            <v>0.20029243106166181</v>
          </cell>
          <cell r="G775">
            <v>0.20876146829154302</v>
          </cell>
          <cell r="H775">
            <v>0.19780690868888337</v>
          </cell>
          <cell r="I775">
            <v>-109.54559602659647</v>
          </cell>
        </row>
        <row r="776">
          <cell r="A776" t="str">
            <v>Minova</v>
          </cell>
          <cell r="B776">
            <v>0.12761971666081254</v>
          </cell>
          <cell r="G776">
            <v>0.125</v>
          </cell>
          <cell r="H776">
            <v>0.12736620705772378</v>
          </cell>
          <cell r="I776">
            <v>23.662070577237792</v>
          </cell>
        </row>
        <row r="777">
          <cell r="A777" t="str">
            <v>Chemicals</v>
          </cell>
          <cell r="B777">
            <v>0.13448016072325464</v>
          </cell>
          <cell r="G777">
            <v>0.128</v>
          </cell>
          <cell r="H777">
            <v>0.13412648716343142</v>
          </cell>
          <cell r="I777">
            <v>61.264871634314211</v>
          </cell>
        </row>
        <row r="778">
          <cell r="A778" t="str">
            <v>Group (operating)</v>
          </cell>
          <cell r="B778">
            <v>0.16670412490073566</v>
          </cell>
          <cell r="G778">
            <v>0.16757693466859305</v>
          </cell>
          <cell r="H778">
            <v>0.16503500652664055</v>
          </cell>
          <cell r="I778">
            <v>-25.419281419525042</v>
          </cell>
        </row>
        <row r="780">
          <cell r="B780" t="str">
            <v>MS Estimate</v>
          </cell>
          <cell r="C780" t="str">
            <v>Actual</v>
          </cell>
          <cell r="D780" t="str">
            <v>% Miss</v>
          </cell>
          <cell r="G780" t="str">
            <v>MS Estimate</v>
          </cell>
          <cell r="H780" t="str">
            <v>Actual</v>
          </cell>
          <cell r="I780" t="str">
            <v>% Miss</v>
          </cell>
        </row>
        <row r="781">
          <cell r="A781" t="str">
            <v>Revenue</v>
          </cell>
          <cell r="B781">
            <v>6741.6</v>
          </cell>
          <cell r="G781">
            <v>6777.3755602882084</v>
          </cell>
          <cell r="H781">
            <v>6741.5999999999995</v>
          </cell>
          <cell r="I781">
            <v>-5.2786746093627102E-3</v>
          </cell>
        </row>
        <row r="783">
          <cell r="A783" t="str">
            <v>EBITDA</v>
          </cell>
          <cell r="B783">
            <v>1364</v>
          </cell>
          <cell r="G783">
            <v>1374.4421415568991</v>
          </cell>
          <cell r="H783">
            <v>1364</v>
          </cell>
          <cell r="I783">
            <v>-7.5973671362191686E-3</v>
          </cell>
        </row>
        <row r="784">
          <cell r="A784" t="str">
            <v>EBITDA margin</v>
          </cell>
          <cell r="B784">
            <v>0.20232585736323722</v>
          </cell>
          <cell r="G784">
            <v>0.20279858026614225</v>
          </cell>
          <cell r="H784">
            <v>0.20232585736323724</v>
          </cell>
        </row>
        <row r="786">
          <cell r="A786" t="str">
            <v>Depn</v>
          </cell>
          <cell r="B786">
            <v>214.7</v>
          </cell>
          <cell r="G786">
            <v>216.07166336706118</v>
          </cell>
          <cell r="H786">
            <v>214.7</v>
          </cell>
          <cell r="I786">
            <v>-6.3481871971847736E-3</v>
          </cell>
        </row>
        <row r="787">
          <cell r="A787" t="str">
            <v>Amort</v>
          </cell>
          <cell r="B787">
            <v>36.700000000000003</v>
          </cell>
          <cell r="G787">
            <v>37</v>
          </cell>
          <cell r="H787">
            <v>36.700000000000003</v>
          </cell>
          <cell r="I787">
            <v>-8.1081081081080253E-3</v>
          </cell>
        </row>
        <row r="789">
          <cell r="A789" t="str">
            <v>EBIT</v>
          </cell>
          <cell r="B789">
            <v>1112.5999999999999</v>
          </cell>
          <cell r="G789">
            <v>1121.370478189838</v>
          </cell>
          <cell r="H789">
            <v>1112.5999999999999</v>
          </cell>
          <cell r="I789">
            <v>-7.8212137383852909E-3</v>
          </cell>
        </row>
        <row r="790">
          <cell r="A790" t="str">
            <v>EBIT margin</v>
          </cell>
          <cell r="B790">
            <v>0.16503500652664055</v>
          </cell>
          <cell r="G790">
            <v>0.16545792220228558</v>
          </cell>
          <cell r="H790">
            <v>0.16503500652664055</v>
          </cell>
        </row>
        <row r="792">
          <cell r="A792" t="str">
            <v>Interest Income</v>
          </cell>
          <cell r="B792">
            <v>32.9</v>
          </cell>
          <cell r="G792">
            <v>17.344999999999999</v>
          </cell>
          <cell r="H792">
            <v>32.9</v>
          </cell>
          <cell r="I792">
            <v>0.89680023061400993</v>
          </cell>
        </row>
        <row r="793">
          <cell r="A793" t="str">
            <v>Interest Expense</v>
          </cell>
          <cell r="B793">
            <v>-161.1</v>
          </cell>
          <cell r="G793">
            <v>-155.87596194393936</v>
          </cell>
          <cell r="H793">
            <v>-161.1</v>
          </cell>
          <cell r="I793">
            <v>3.3514071001784496E-2</v>
          </cell>
        </row>
        <row r="794">
          <cell r="A794" t="str">
            <v>Net Interest</v>
          </cell>
          <cell r="B794">
            <v>-128.19999999999999</v>
          </cell>
          <cell r="G794">
            <v>-138.53096194393936</v>
          </cell>
          <cell r="H794">
            <v>-128.19999999999999</v>
          </cell>
          <cell r="I794">
            <v>-7.4575111577728781E-2</v>
          </cell>
        </row>
        <row r="796">
          <cell r="A796" t="str">
            <v>PBT</v>
          </cell>
          <cell r="B796">
            <v>984.39999999999986</v>
          </cell>
          <cell r="G796">
            <v>982.83951624589861</v>
          </cell>
          <cell r="H796">
            <v>984.39999999999986</v>
          </cell>
          <cell r="I796">
            <v>1.5877299684303736E-3</v>
          </cell>
        </row>
        <row r="798">
          <cell r="A798" t="str">
            <v>Tax</v>
          </cell>
          <cell r="B798">
            <v>-250.4</v>
          </cell>
          <cell r="G798">
            <v>-282.53827422393363</v>
          </cell>
          <cell r="H798">
            <v>-250.4</v>
          </cell>
          <cell r="I798">
            <v>-0.11374839147796856</v>
          </cell>
        </row>
        <row r="799">
          <cell r="G799">
            <v>-0.28747142290648886</v>
          </cell>
          <cell r="H799">
            <v>-0.25436814303128813</v>
          </cell>
        </row>
        <row r="800">
          <cell r="A800" t="str">
            <v>MI</v>
          </cell>
          <cell r="B800">
            <v>-21</v>
          </cell>
          <cell r="G800">
            <v>-23.009741407960309</v>
          </cell>
          <cell r="H800">
            <v>-21</v>
          </cell>
          <cell r="I800">
            <v>-8.73430679783751E-2</v>
          </cell>
        </row>
        <row r="802">
          <cell r="A802" t="str">
            <v>Underlying NPAT</v>
          </cell>
          <cell r="B802">
            <v>712.99999999999989</v>
          </cell>
          <cell r="G802">
            <v>677.29150061400469</v>
          </cell>
          <cell r="H802">
            <v>712.99999999999989</v>
          </cell>
          <cell r="I802">
            <v>5.272249740860957E-2</v>
          </cell>
        </row>
        <row r="804">
          <cell r="A804" t="str">
            <v>Abnormals</v>
          </cell>
          <cell r="B804">
            <v>-457</v>
          </cell>
          <cell r="G804">
            <v>-90</v>
          </cell>
          <cell r="H804">
            <v>-457</v>
          </cell>
        </row>
        <row r="805">
          <cell r="A805" t="str">
            <v>Tax on Abnormals</v>
          </cell>
          <cell r="B805">
            <v>147</v>
          </cell>
          <cell r="G805">
            <v>27</v>
          </cell>
          <cell r="H805">
            <v>147</v>
          </cell>
        </row>
        <row r="807">
          <cell r="A807" t="str">
            <v>Statutory NPAT</v>
          </cell>
          <cell r="B807">
            <v>402.99999999999989</v>
          </cell>
          <cell r="G807">
            <v>614.29150061400469</v>
          </cell>
          <cell r="H807">
            <v>402.99999999999989</v>
          </cell>
        </row>
        <row r="809">
          <cell r="A809" t="str">
            <v>Underlying EPS</v>
          </cell>
          <cell r="B809">
            <v>1.9544705080899087</v>
          </cell>
          <cell r="G809">
            <v>1.858205822845393</v>
          </cell>
          <cell r="H809">
            <v>1.954470508089909</v>
          </cell>
        </row>
        <row r="810">
          <cell r="A810" t="str">
            <v>Statutory EPS</v>
          </cell>
          <cell r="B810">
            <v>1.1047007219638614</v>
          </cell>
          <cell r="G810">
            <v>1.6853600588971791</v>
          </cell>
          <cell r="H810">
            <v>1.1047007219638614</v>
          </cell>
        </row>
        <row r="811">
          <cell r="A811" t="str">
            <v>DPS</v>
          </cell>
          <cell r="B811">
            <v>0.92</v>
          </cell>
          <cell r="G811">
            <v>0.92910291142269652</v>
          </cell>
          <cell r="H811">
            <v>0.92</v>
          </cell>
        </row>
        <row r="813">
          <cell r="A813" t="str">
            <v>Other</v>
          </cell>
        </row>
        <row r="814">
          <cell r="A814" t="str">
            <v>Capex</v>
          </cell>
          <cell r="B814">
            <v>-670</v>
          </cell>
          <cell r="G814">
            <v>-600</v>
          </cell>
          <cell r="H814">
            <v>-670</v>
          </cell>
          <cell r="I814">
            <v>0.1166666666666667</v>
          </cell>
        </row>
        <row r="815">
          <cell r="A815" t="str">
            <v>Net Debt</v>
          </cell>
          <cell r="B815">
            <v>-2309.6</v>
          </cell>
          <cell r="G815">
            <v>-2110.9110268531194</v>
          </cell>
          <cell r="H815">
            <v>-2299.1999999999998</v>
          </cell>
          <cell r="I815">
            <v>8.9197967489693664E-2</v>
          </cell>
        </row>
        <row r="821">
          <cell r="B821" t="str">
            <v>FY12E BB
Consensus</v>
          </cell>
          <cell r="C821" t="str">
            <v>MS</v>
          </cell>
          <cell r="D821" t="str">
            <v>% Diff</v>
          </cell>
          <cell r="E821" t="str">
            <v>FY13E BB
Consensus</v>
          </cell>
          <cell r="F821" t="str">
            <v>MS</v>
          </cell>
          <cell r="G821" t="str">
            <v>% Diff</v>
          </cell>
          <cell r="H821" t="str">
            <v>FY14E BB
Consensus</v>
          </cell>
          <cell r="I821" t="str">
            <v>MS</v>
          </cell>
          <cell r="J821" t="str">
            <v>% Diff</v>
          </cell>
          <cell r="K821" t="str">
            <v>FY15E BB
Consensus</v>
          </cell>
          <cell r="L821" t="str">
            <v>MS</v>
          </cell>
          <cell r="M821" t="str">
            <v>% Diff</v>
          </cell>
        </row>
        <row r="822">
          <cell r="A822" t="str">
            <v>Revenue</v>
          </cell>
          <cell r="B822">
            <v>6622</v>
          </cell>
          <cell r="C822">
            <v>6741.6</v>
          </cell>
          <cell r="D822">
            <v>1.8061008758683217E-2</v>
          </cell>
          <cell r="E822">
            <v>6981</v>
          </cell>
          <cell r="F822">
            <v>6868.7587544931685</v>
          </cell>
          <cell r="G822">
            <v>-1.6078104212409627E-2</v>
          </cell>
          <cell r="H822">
            <v>7421</v>
          </cell>
          <cell r="I822">
            <v>7361.3226550835216</v>
          </cell>
          <cell r="J822">
            <v>-8.0416850716181765E-3</v>
          </cell>
          <cell r="K822">
            <v>7680</v>
          </cell>
          <cell r="L822">
            <v>8037.7905581741616</v>
          </cell>
          <cell r="M822">
            <v>4.6587312262260649E-2</v>
          </cell>
        </row>
        <row r="824">
          <cell r="A824" t="str">
            <v>EBITDA</v>
          </cell>
          <cell r="B824">
            <v>1294</v>
          </cell>
          <cell r="C824">
            <v>1364</v>
          </cell>
          <cell r="D824">
            <v>5.4095826893354015E-2</v>
          </cell>
          <cell r="E824">
            <v>1493</v>
          </cell>
          <cell r="F824">
            <v>1354.5093410906977</v>
          </cell>
          <cell r="G824">
            <v>-9.2759985873611672E-2</v>
          </cell>
          <cell r="H824">
            <v>1606</v>
          </cell>
          <cell r="I824">
            <v>1460.2836832046585</v>
          </cell>
          <cell r="J824">
            <v>-9.0732451304695871E-2</v>
          </cell>
          <cell r="K824">
            <v>1659</v>
          </cell>
          <cell r="L824">
            <v>1594.7523544895053</v>
          </cell>
          <cell r="M824">
            <v>-3.8726730265518206E-2</v>
          </cell>
        </row>
        <row r="825">
          <cell r="A825" t="str">
            <v>EBITDA Margin (%)</v>
          </cell>
          <cell r="B825">
            <v>0.19540924192086984</v>
          </cell>
          <cell r="C825">
            <v>0.20232585736323722</v>
          </cell>
          <cell r="E825">
            <v>0.21386620827961611</v>
          </cell>
          <cell r="F825">
            <v>0.19719856083235582</v>
          </cell>
          <cell r="H825">
            <v>0.21641288236086781</v>
          </cell>
          <cell r="I825">
            <v>0.19837245989974747</v>
          </cell>
          <cell r="K825">
            <v>0.21601562499999999</v>
          </cell>
          <cell r="L825">
            <v>0.19840680631665575</v>
          </cell>
        </row>
        <row r="827">
          <cell r="A827" t="str">
            <v xml:space="preserve">EBIT </v>
          </cell>
          <cell r="B827">
            <v>1055</v>
          </cell>
          <cell r="C827">
            <v>1112.5999999999999</v>
          </cell>
          <cell r="D827">
            <v>5.4597156398104252E-2</v>
          </cell>
          <cell r="E827">
            <v>1224</v>
          </cell>
          <cell r="F827">
            <v>1062.5234229696291</v>
          </cell>
          <cell r="G827">
            <v>-0.13192530803134872</v>
          </cell>
          <cell r="H827">
            <v>1322</v>
          </cell>
          <cell r="I827">
            <v>1128.6478554976368</v>
          </cell>
          <cell r="J827">
            <v>-0.14625729538756671</v>
          </cell>
          <cell r="K827">
            <v>1506</v>
          </cell>
          <cell r="L827">
            <v>1223.9627047240303</v>
          </cell>
          <cell r="M827">
            <v>-0.1872757604754115</v>
          </cell>
        </row>
        <row r="828">
          <cell r="A828" t="str">
            <v>EBIT Margin (%)</v>
          </cell>
          <cell r="B828">
            <v>0.15931742675928723</v>
          </cell>
          <cell r="C828">
            <v>0.16503500652664055</v>
          </cell>
          <cell r="E828">
            <v>0.17533304684142673</v>
          </cell>
          <cell r="F828">
            <v>0.15468929117281693</v>
          </cell>
          <cell r="H828">
            <v>0.1781431073979248</v>
          </cell>
          <cell r="I828">
            <v>0.15332134025102465</v>
          </cell>
          <cell r="K828">
            <v>0.19609375000000001</v>
          </cell>
          <cell r="L828">
            <v>0.15227601364647422</v>
          </cell>
        </row>
        <row r="830">
          <cell r="A830" t="str">
            <v>NPAT</v>
          </cell>
          <cell r="B830">
            <v>654.35699999999997</v>
          </cell>
          <cell r="C830">
            <v>712.99999999999989</v>
          </cell>
          <cell r="D830">
            <v>8.9619275105179419E-2</v>
          </cell>
          <cell r="E830">
            <v>767.8</v>
          </cell>
          <cell r="F830">
            <v>658.17071353188896</v>
          </cell>
          <cell r="G830">
            <v>-0.14278364999753967</v>
          </cell>
          <cell r="H830">
            <v>839.82</v>
          </cell>
          <cell r="I830">
            <v>693.39000500591396</v>
          </cell>
          <cell r="J830">
            <v>-0.17435878520883774</v>
          </cell>
          <cell r="K830">
            <v>882</v>
          </cell>
          <cell r="L830">
            <v>753.50426520653787</v>
          </cell>
          <cell r="M830">
            <v>-0.14568677414224729</v>
          </cell>
        </row>
        <row r="831">
          <cell r="A831" t="str">
            <v>EPS</v>
          </cell>
          <cell r="B831">
            <v>1.8029999999999999</v>
          </cell>
          <cell r="C831">
            <v>1.9544705080899087</v>
          </cell>
          <cell r="E831">
            <v>2.1040000000000001</v>
          </cell>
          <cell r="F831">
            <v>1.7966233082938587</v>
          </cell>
          <cell r="H831">
            <v>2.2959999999999998</v>
          </cell>
          <cell r="I831">
            <v>1.8858859289504986</v>
          </cell>
          <cell r="K831">
            <v>2.387</v>
          </cell>
          <cell r="L831">
            <v>2.0419581258476978</v>
          </cell>
        </row>
        <row r="838">
          <cell r="A838" t="str">
            <v>Consensus</v>
          </cell>
          <cell r="B838" t="str">
            <v>FY13</v>
          </cell>
          <cell r="C838" t="str">
            <v>FY14</v>
          </cell>
          <cell r="D838" t="str">
            <v>FY15</v>
          </cell>
        </row>
        <row r="839">
          <cell r="A839" t="str">
            <v>Revenue</v>
          </cell>
          <cell r="B839">
            <v>6909</v>
          </cell>
          <cell r="C839">
            <v>7364</v>
          </cell>
          <cell r="D839">
            <v>7911</v>
          </cell>
        </row>
        <row r="840">
          <cell r="A840" t="str">
            <v>EBIT</v>
          </cell>
          <cell r="B840">
            <v>1132</v>
          </cell>
          <cell r="C840">
            <v>1232</v>
          </cell>
          <cell r="D840">
            <v>1330</v>
          </cell>
        </row>
        <row r="841">
          <cell r="A841" t="str">
            <v>Implied Margin</v>
          </cell>
          <cell r="B841">
            <v>0.16384426110869879</v>
          </cell>
          <cell r="C841">
            <v>0.16730038022813687</v>
          </cell>
          <cell r="D841">
            <v>0.16812033876880295</v>
          </cell>
        </row>
        <row r="843">
          <cell r="A843" t="str">
            <v>MS</v>
          </cell>
          <cell r="B843" t="str">
            <v>FY13</v>
          </cell>
          <cell r="C843" t="str">
            <v>FY14</v>
          </cell>
          <cell r="D843" t="str">
            <v>FY15</v>
          </cell>
        </row>
        <row r="844">
          <cell r="A844" t="str">
            <v>Revenue</v>
          </cell>
          <cell r="B844">
            <v>6868.7587544931685</v>
          </cell>
          <cell r="C844">
            <v>7361.3226550835216</v>
          </cell>
          <cell r="D844">
            <v>8037.7905581741616</v>
          </cell>
        </row>
        <row r="845">
          <cell r="A845" t="str">
            <v>EBIT</v>
          </cell>
          <cell r="B845">
            <v>1062.5234229696291</v>
          </cell>
          <cell r="C845">
            <v>1128.6478554976368</v>
          </cell>
          <cell r="D845">
            <v>1223.9627047240303</v>
          </cell>
        </row>
        <row r="846">
          <cell r="A846" t="str">
            <v>Implied Margin</v>
          </cell>
          <cell r="B846">
            <v>0.15468929117281693</v>
          </cell>
          <cell r="C846">
            <v>0.15332134025102465</v>
          </cell>
          <cell r="D846">
            <v>0.15227601364647422</v>
          </cell>
        </row>
        <row r="848">
          <cell r="A848" t="str">
            <v>vs MS</v>
          </cell>
          <cell r="B848">
            <v>-9.154969935881857E-3</v>
          </cell>
          <cell r="C848">
            <v>-1.3979039977112223E-2</v>
          </cell>
          <cell r="D848">
            <v>-1.5844325122328723E-2</v>
          </cell>
        </row>
        <row r="853">
          <cell r="A853" t="str">
            <v>(A$m)</v>
          </cell>
          <cell r="B853" t="str">
            <v>FY12A</v>
          </cell>
          <cell r="C853" t="str">
            <v>FY13E</v>
          </cell>
          <cell r="D853" t="str">
            <v>FY14E</v>
          </cell>
          <cell r="E853" t="str">
            <v>FY15E</v>
          </cell>
        </row>
        <row r="854">
          <cell r="A854" t="str">
            <v>Revenue</v>
          </cell>
          <cell r="B854">
            <v>6741.6</v>
          </cell>
          <cell r="C854">
            <v>6868.7587544931685</v>
          </cell>
          <cell r="D854">
            <v>7361.3226550835216</v>
          </cell>
          <cell r="E854">
            <v>8037.7905581741616</v>
          </cell>
        </row>
        <row r="855">
          <cell r="A855" t="str">
            <v>Revenue Growth</v>
          </cell>
          <cell r="B855">
            <v>7.5558391831525462E-2</v>
          </cell>
          <cell r="C855">
            <v>1.8861806469260722E-2</v>
          </cell>
          <cell r="D855">
            <v>7.1710758551265741E-2</v>
          </cell>
          <cell r="E855">
            <v>9.1894885577864294E-2</v>
          </cell>
        </row>
        <row r="857">
          <cell r="A857" t="str">
            <v>EBIT</v>
          </cell>
          <cell r="B857">
            <v>1112.5999999999999</v>
          </cell>
          <cell r="C857">
            <v>1062.5234229696291</v>
          </cell>
          <cell r="D857">
            <v>1128.6478554976368</v>
          </cell>
          <cell r="E857">
            <v>1223.9627047240303</v>
          </cell>
        </row>
        <row r="858">
          <cell r="A858" t="str">
            <v>EBIT Margin</v>
          </cell>
          <cell r="B858">
            <v>0.16503500652664055</v>
          </cell>
          <cell r="C858">
            <v>0.15468929117281693</v>
          </cell>
          <cell r="D858">
            <v>0.15332134025102465</v>
          </cell>
          <cell r="E858">
            <v>0.15227601364647422</v>
          </cell>
        </row>
        <row r="860">
          <cell r="A860" t="str">
            <v>NPAT</v>
          </cell>
          <cell r="B860">
            <v>712.99999999999989</v>
          </cell>
          <cell r="C860">
            <v>658.17071353188908</v>
          </cell>
          <cell r="D860">
            <v>693.39000500591396</v>
          </cell>
          <cell r="E860">
            <v>753.50426520653787</v>
          </cell>
        </row>
        <row r="861">
          <cell r="A861" t="str">
            <v>NPAT Growth (%)</v>
          </cell>
          <cell r="B861">
            <v>8.5235920852358982E-2</v>
          </cell>
          <cell r="C861">
            <v>-7.6899420011375619E-2</v>
          </cell>
          <cell r="D861">
            <v>5.351087605376792E-2</v>
          </cell>
          <cell r="E861">
            <v>8.6696173533841403E-2</v>
          </cell>
        </row>
        <row r="863">
          <cell r="A863" t="str">
            <v>EPS</v>
          </cell>
          <cell r="B863">
            <v>1.9544705080899087</v>
          </cell>
          <cell r="C863">
            <v>1.7966233082938587</v>
          </cell>
          <cell r="D863">
            <v>1.8858859289504986</v>
          </cell>
          <cell r="E863">
            <v>2.0419581258476978</v>
          </cell>
        </row>
        <row r="865">
          <cell r="A865" t="str">
            <v>Ratios (At 26 March)</v>
          </cell>
        </row>
        <row r="866">
          <cell r="A866" t="str">
            <v>P/E</v>
          </cell>
          <cell r="B866">
            <v>11.813941374109403</v>
          </cell>
          <cell r="C866">
            <v>12.851887144850155</v>
          </cell>
          <cell r="D866">
            <v>12.243582522962912</v>
          </cell>
          <cell r="E866">
            <v>11.30777350804607</v>
          </cell>
        </row>
        <row r="867">
          <cell r="A867" t="str">
            <v>EV EBITDA</v>
          </cell>
          <cell r="B867">
            <v>7.8829122420674498</v>
          </cell>
          <cell r="C867">
            <v>8.066627795137828</v>
          </cell>
          <cell r="D867">
            <v>7.6194059081727188</v>
          </cell>
          <cell r="E867">
            <v>7.0875251555289172</v>
          </cell>
        </row>
        <row r="906">
          <cell r="A906" t="str">
            <v xml:space="preserve">Group EBIT Margin </v>
          </cell>
          <cell r="B906">
            <v>0.152</v>
          </cell>
        </row>
        <row r="908">
          <cell r="A908" t="str">
            <v>EBIT Impact</v>
          </cell>
          <cell r="B908">
            <v>8</v>
          </cell>
        </row>
        <row r="910">
          <cell r="A910" t="str">
            <v>Revenue Impact</v>
          </cell>
          <cell r="B910">
            <v>52.631578947368425</v>
          </cell>
        </row>
        <row r="912">
          <cell r="A912" t="str">
            <v>FX Impacted by Revenue</v>
          </cell>
          <cell r="B912">
            <v>5263.1578947368425</v>
          </cell>
        </row>
        <row r="914">
          <cell r="A914" t="str">
            <v>FY12 Revenue</v>
          </cell>
          <cell r="B914">
            <v>6674.1</v>
          </cell>
        </row>
        <row r="916">
          <cell r="A916" t="str">
            <v>Implied Aussie Rev</v>
          </cell>
          <cell r="B916">
            <v>1410.9421052631578</v>
          </cell>
        </row>
        <row r="919">
          <cell r="A919" t="str">
            <v>ORI Underlying FY12 NPAT</v>
          </cell>
          <cell r="B919">
            <v>649.99999999999989</v>
          </cell>
        </row>
        <row r="920">
          <cell r="A920" t="str">
            <v>KI Shutdown</v>
          </cell>
          <cell r="B920">
            <v>649.99999999999989</v>
          </cell>
          <cell r="C920">
            <v>63</v>
          </cell>
        </row>
        <row r="921">
          <cell r="A921" t="str">
            <v>MS Underlying FY12 NPAT</v>
          </cell>
          <cell r="B921">
            <v>712.99999999999989</v>
          </cell>
        </row>
        <row r="922">
          <cell r="A922" t="str">
            <v>FX</v>
          </cell>
          <cell r="B922">
            <v>712.99999999999989</v>
          </cell>
          <cell r="C922">
            <v>13.049629993590408</v>
          </cell>
        </row>
        <row r="923">
          <cell r="A923" t="str">
            <v>Minova Optimisation Costs</v>
          </cell>
          <cell r="B923">
            <v>703.54962999359032</v>
          </cell>
          <cell r="C923">
            <v>22.5</v>
          </cell>
          <cell r="E923">
            <v>0.1640953716690042</v>
          </cell>
        </row>
        <row r="924">
          <cell r="A924" t="str">
            <v>Undelrying Business Deterioration</v>
          </cell>
          <cell r="B924">
            <v>588.35624170956862</v>
          </cell>
          <cell r="C924">
            <v>115.19338828402169</v>
          </cell>
          <cell r="D924" t="e">
            <v>#REF!</v>
          </cell>
        </row>
        <row r="925">
          <cell r="A925" t="str">
            <v>MS Underlying FY13 NPAT</v>
          </cell>
          <cell r="B925">
            <v>588.35624170956862</v>
          </cell>
        </row>
        <row r="926">
          <cell r="B926" t="e">
            <v>#REF!</v>
          </cell>
        </row>
        <row r="929">
          <cell r="B929" t="str">
            <v>FX Revenue</v>
          </cell>
          <cell r="C929">
            <v>145.71589147286846</v>
          </cell>
        </row>
        <row r="930">
          <cell r="B930" t="str">
            <v>Group NPAT Margin</v>
          </cell>
          <cell r="C930">
            <v>8.955529737825596E-2</v>
          </cell>
        </row>
        <row r="931">
          <cell r="C931">
            <v>13.049629993590408</v>
          </cell>
        </row>
        <row r="933">
          <cell r="A933" t="str">
            <v>New OMS Revenue</v>
          </cell>
          <cell r="B933">
            <v>5234.0416486816639</v>
          </cell>
        </row>
        <row r="934">
          <cell r="A934" t="str">
            <v>New OMS EBIT</v>
          </cell>
          <cell r="B934">
            <v>914.00458668584986</v>
          </cell>
        </row>
        <row r="936">
          <cell r="B936" t="str">
            <v>FY13</v>
          </cell>
          <cell r="C936" t="str">
            <v>Revenue</v>
          </cell>
          <cell r="D936" t="str">
            <v>EBIT Margin</v>
          </cell>
        </row>
        <row r="937">
          <cell r="A937" t="str">
            <v>AN Related</v>
          </cell>
          <cell r="B937">
            <v>0.55000000000000004</v>
          </cell>
          <cell r="C937">
            <v>2878.7229067749154</v>
          </cell>
          <cell r="D937">
            <v>0.2</v>
          </cell>
          <cell r="E937">
            <v>575.7445813549831</v>
          </cell>
        </row>
        <row r="938">
          <cell r="A938" t="str">
            <v>IS</v>
          </cell>
          <cell r="B938">
            <v>0.15</v>
          </cell>
          <cell r="C938">
            <v>785.10624730224959</v>
          </cell>
          <cell r="D938">
            <v>0.3</v>
          </cell>
          <cell r="E938">
            <v>235.53187419067487</v>
          </cell>
        </row>
        <row r="939">
          <cell r="A939" t="str">
            <v>Cyanide</v>
          </cell>
          <cell r="B939">
            <v>7.0000000000000007E-2</v>
          </cell>
          <cell r="C939">
            <v>366.3829154077165</v>
          </cell>
          <cell r="D939">
            <v>0.28000000000000003</v>
          </cell>
          <cell r="E939">
            <v>102.58721631416063</v>
          </cell>
        </row>
        <row r="940">
          <cell r="A940" t="str">
            <v>Minova</v>
          </cell>
          <cell r="B940">
            <v>0.09</v>
          </cell>
          <cell r="C940">
            <v>471.06374838134974</v>
          </cell>
          <cell r="D940">
            <v>0</v>
          </cell>
          <cell r="E940">
            <v>0</v>
          </cell>
        </row>
        <row r="941">
          <cell r="A941" t="str">
            <v>Other Products</v>
          </cell>
          <cell r="B941">
            <v>0.05</v>
          </cell>
          <cell r="C941">
            <v>261.7020824340832</v>
          </cell>
          <cell r="D941">
            <v>0.1</v>
          </cell>
          <cell r="E941">
            <v>26.170208243408322</v>
          </cell>
        </row>
        <row r="942">
          <cell r="A942" t="str">
            <v>Service</v>
          </cell>
          <cell r="B942">
            <v>0.09</v>
          </cell>
          <cell r="C942">
            <v>471.06374838134974</v>
          </cell>
          <cell r="D942">
            <v>0.12</v>
          </cell>
          <cell r="E942">
            <v>56.527649805761968</v>
          </cell>
        </row>
        <row r="943">
          <cell r="E943">
            <v>996.56152990898886</v>
          </cell>
        </row>
        <row r="953">
          <cell r="A953" t="str">
            <v>ORI FY13 EBIT</v>
          </cell>
          <cell r="B953">
            <v>984.79999999999984</v>
          </cell>
        </row>
        <row r="954">
          <cell r="A954" t="str">
            <v>Australia-Pacific</v>
          </cell>
          <cell r="B954">
            <v>984.79999999999984</v>
          </cell>
          <cell r="C954">
            <v>-46.71047122258949</v>
          </cell>
          <cell r="E954" t="str">
            <v>Australia-Pacific</v>
          </cell>
          <cell r="F954">
            <v>623.29999999999995</v>
          </cell>
          <cell r="G954">
            <v>576.58952877741046</v>
          </cell>
          <cell r="H954">
            <v>-46.71047122258949</v>
          </cell>
        </row>
        <row r="955">
          <cell r="A955" t="str">
            <v>North America</v>
          </cell>
          <cell r="B955">
            <v>938.08952877741035</v>
          </cell>
          <cell r="C955">
            <v>3.7838702906784363</v>
          </cell>
          <cell r="E955" t="str">
            <v>North America</v>
          </cell>
          <cell r="F955">
            <v>108.9</v>
          </cell>
          <cell r="G955">
            <v>112.68387029067844</v>
          </cell>
          <cell r="H955">
            <v>3.7838702906784363</v>
          </cell>
        </row>
        <row r="956">
          <cell r="A956" t="str">
            <v>Latin America</v>
          </cell>
          <cell r="B956">
            <v>941.87339906808882</v>
          </cell>
          <cell r="C956">
            <v>-9.4968001776414468</v>
          </cell>
          <cell r="E956" t="str">
            <v>Latin America</v>
          </cell>
          <cell r="F956">
            <v>86.7</v>
          </cell>
          <cell r="G956">
            <v>77.203199822358556</v>
          </cell>
          <cell r="H956">
            <v>-9.4968001776414468</v>
          </cell>
        </row>
        <row r="957">
          <cell r="A957" t="str">
            <v>EMEA</v>
          </cell>
          <cell r="B957">
            <v>932.37659889044733</v>
          </cell>
          <cell r="C957">
            <v>37.426747041497975</v>
          </cell>
          <cell r="E957" t="str">
            <v>EMEA</v>
          </cell>
          <cell r="F957">
            <v>63.8</v>
          </cell>
          <cell r="G957">
            <v>101.22674704149797</v>
          </cell>
          <cell r="H957">
            <v>37.426747041497975</v>
          </cell>
        </row>
        <row r="958">
          <cell r="A958" t="str">
            <v>OMS Other</v>
          </cell>
          <cell r="B958">
            <v>977.92544629266683</v>
          </cell>
          <cell r="C958">
            <v>-8.1221003607216034</v>
          </cell>
          <cell r="E958" t="str">
            <v>OMS Other</v>
          </cell>
          <cell r="F958">
            <v>110</v>
          </cell>
          <cell r="G958">
            <v>118.1221003607216</v>
          </cell>
          <cell r="H958">
            <v>8.1221003607216034</v>
          </cell>
        </row>
        <row r="959">
          <cell r="A959" t="str">
            <v>Chemicals</v>
          </cell>
          <cell r="B959">
            <v>965.04624629266686</v>
          </cell>
          <cell r="C959">
            <v>12.879200000000012</v>
          </cell>
          <cell r="E959" t="str">
            <v>Chemicals</v>
          </cell>
          <cell r="F959">
            <v>92</v>
          </cell>
          <cell r="G959">
            <v>79.120799999999988</v>
          </cell>
          <cell r="H959">
            <v>-12.879200000000012</v>
          </cell>
        </row>
        <row r="960">
          <cell r="A960" t="str">
            <v>Other</v>
          </cell>
          <cell r="B960">
            <v>951.25302221749212</v>
          </cell>
          <cell r="C960">
            <v>13.793224075174706</v>
          </cell>
          <cell r="E960" t="str">
            <v>Other</v>
          </cell>
          <cell r="F960">
            <v>-99.9</v>
          </cell>
          <cell r="G960">
            <v>-113.69322407517471</v>
          </cell>
          <cell r="H960">
            <v>-13.793224075174706</v>
          </cell>
        </row>
        <row r="961">
          <cell r="A961" t="str">
            <v>ORI FY14 EBIT</v>
          </cell>
          <cell r="B961">
            <v>951.25302221749223</v>
          </cell>
          <cell r="H961">
            <v>-33.546977782507639</v>
          </cell>
        </row>
        <row r="962">
          <cell r="B962">
            <v>-33.546977782507611</v>
          </cell>
        </row>
        <row r="963">
          <cell r="B963">
            <v>-3.4064762167452911E-2</v>
          </cell>
        </row>
        <row r="1002">
          <cell r="A1002" t="str">
            <v>OMS Chemicals</v>
          </cell>
          <cell r="B1002" t="str">
            <v>FY08A</v>
          </cell>
          <cell r="C1002" t="str">
            <v>FY09A</v>
          </cell>
          <cell r="D1002" t="str">
            <v>FY10A</v>
          </cell>
          <cell r="E1002" t="str">
            <v>FY11A</v>
          </cell>
          <cell r="F1002" t="str">
            <v>FY12A</v>
          </cell>
          <cell r="G1002" t="str">
            <v>FY13A</v>
          </cell>
          <cell r="H1002" t="str">
            <v>FY14E</v>
          </cell>
          <cell r="I1002" t="str">
            <v>FY15E</v>
          </cell>
          <cell r="J1002" t="str">
            <v>FY16E</v>
          </cell>
        </row>
        <row r="1003">
          <cell r="A1003" t="str">
            <v>Revenue</v>
          </cell>
        </row>
        <row r="1004">
          <cell r="A1004" t="str">
            <v>General Chemicals</v>
          </cell>
          <cell r="B1004">
            <v>979.4</v>
          </cell>
          <cell r="C1004">
            <v>1046.3</v>
          </cell>
          <cell r="D1004">
            <v>977.3</v>
          </cell>
          <cell r="E1004">
            <v>1031.5999999999999</v>
          </cell>
          <cell r="F1004">
            <v>968.5</v>
          </cell>
          <cell r="G1004">
            <v>970.7</v>
          </cell>
        </row>
        <row r="1005">
          <cell r="A1005" t="str">
            <v>Watercare</v>
          </cell>
          <cell r="B1005">
            <v>272.40000000000003</v>
          </cell>
          <cell r="C1005">
            <v>253.4</v>
          </cell>
          <cell r="D1005">
            <v>241.5</v>
          </cell>
          <cell r="E1005">
            <v>251.7</v>
          </cell>
          <cell r="F1005">
            <v>240.4</v>
          </cell>
          <cell r="G1005">
            <v>237.2</v>
          </cell>
        </row>
        <row r="1006">
          <cell r="A1006" t="str">
            <v>Eliminations</v>
          </cell>
          <cell r="B1006">
            <v>-108.8</v>
          </cell>
          <cell r="C1006">
            <v>-118.2</v>
          </cell>
          <cell r="D1006">
            <v>-126.8</v>
          </cell>
          <cell r="E1006">
            <v>-136.4</v>
          </cell>
          <cell r="F1006">
            <v>-9.5</v>
          </cell>
          <cell r="G1006">
            <v>-9</v>
          </cell>
        </row>
        <row r="1007">
          <cell r="A1007" t="str">
            <v>Total</v>
          </cell>
          <cell r="B1007">
            <v>1143</v>
          </cell>
          <cell r="C1007">
            <v>1181.5</v>
          </cell>
          <cell r="D1007">
            <v>1092</v>
          </cell>
          <cell r="E1007">
            <v>1146.8999999999999</v>
          </cell>
          <cell r="F1007">
            <v>1199.4000000000001</v>
          </cell>
          <cell r="G1007">
            <v>1198.8</v>
          </cell>
          <cell r="H1007">
            <v>1054.944</v>
          </cell>
          <cell r="I1007">
            <v>1023.2956799999999</v>
          </cell>
          <cell r="J1007">
            <v>1043.7615936</v>
          </cell>
        </row>
        <row r="1010">
          <cell r="A1010" t="str">
            <v>EBIT</v>
          </cell>
          <cell r="B1010">
            <v>92.5</v>
          </cell>
          <cell r="C1010">
            <v>96.2</v>
          </cell>
          <cell r="D1010">
            <v>100.7</v>
          </cell>
          <cell r="E1010">
            <v>101.9</v>
          </cell>
          <cell r="F1010">
            <v>100.4</v>
          </cell>
          <cell r="G1010">
            <v>92</v>
          </cell>
          <cell r="H1010">
            <v>79.120799999999988</v>
          </cell>
          <cell r="I1010">
            <v>77.77047168</v>
          </cell>
          <cell r="J1010">
            <v>79.325881113599991</v>
          </cell>
        </row>
        <row r="1011">
          <cell r="B1011">
            <v>8.0927384076990377E-2</v>
          </cell>
          <cell r="C1011">
            <v>7.6224456698021401E-2</v>
          </cell>
          <cell r="D1011">
            <v>8.7095061072756247E-2</v>
          </cell>
          <cell r="E1011">
            <v>8.1421921286500221E-2</v>
          </cell>
          <cell r="F1011">
            <v>8.7748344370860931E-2</v>
          </cell>
          <cell r="G1011">
            <v>9.6644784828592276E-2</v>
          </cell>
          <cell r="H1011">
            <v>9.2216117216117222E-2</v>
          </cell>
          <cell r="I1011">
            <v>9.5840554592720964E-2</v>
          </cell>
          <cell r="J1011">
            <v>8.1768731356378341E-2</v>
          </cell>
        </row>
        <row r="1013">
          <cell r="A1013" t="str">
            <v>Segment Assets</v>
          </cell>
          <cell r="B1013">
            <v>1005.4</v>
          </cell>
          <cell r="C1013">
            <v>954.9</v>
          </cell>
          <cell r="D1013">
            <v>926.9</v>
          </cell>
          <cell r="E1013">
            <v>989.5</v>
          </cell>
          <cell r="F1013">
            <v>826.6</v>
          </cell>
          <cell r="G1013">
            <v>839.2</v>
          </cell>
        </row>
        <row r="1014">
          <cell r="A1014" t="str">
            <v>Operating Net Assets</v>
          </cell>
          <cell r="B1014">
            <v>666.2</v>
          </cell>
          <cell r="C1014">
            <v>644.20000000000005</v>
          </cell>
          <cell r="D1014">
            <v>641.70000000000005</v>
          </cell>
          <cell r="E1014">
            <v>660.2</v>
          </cell>
          <cell r="F1014">
            <v>630.29999999999995</v>
          </cell>
          <cell r="G1014">
            <v>651.20000000000005</v>
          </cell>
        </row>
        <row r="1016">
          <cell r="A1016" t="str">
            <v>ROA</v>
          </cell>
          <cell r="B1016">
            <v>9.2003182812810821E-2</v>
          </cell>
          <cell r="C1016">
            <v>0.10074353335427794</v>
          </cell>
          <cell r="D1016">
            <v>0.10864170892221384</v>
          </cell>
          <cell r="E1016">
            <v>0.10298130368873169</v>
          </cell>
          <cell r="F1016">
            <v>0.12146140817807888</v>
          </cell>
          <cell r="G1016">
            <v>0.109628217349857</v>
          </cell>
        </row>
        <row r="1017">
          <cell r="A1017" t="str">
            <v>RNOA</v>
          </cell>
          <cell r="B1017">
            <v>0.13884719303512458</v>
          </cell>
          <cell r="C1017">
            <v>0.14933250543309531</v>
          </cell>
          <cell r="D1017">
            <v>0.15692691288764218</v>
          </cell>
          <cell r="E1017">
            <v>0.15434716752499242</v>
          </cell>
          <cell r="F1017">
            <v>0.15928922735205459</v>
          </cell>
          <cell r="G1017">
            <v>0.14127764127764128</v>
          </cell>
        </row>
        <row r="1018">
          <cell r="A1018" t="str">
            <v>Asset Turn</v>
          </cell>
          <cell r="B1018">
            <v>1.1368609508653273</v>
          </cell>
          <cell r="C1018">
            <v>1.2373023353230705</v>
          </cell>
          <cell r="D1018">
            <v>1.1781206171107994</v>
          </cell>
          <cell r="E1018">
            <v>1.1590702374936834</v>
          </cell>
          <cell r="F1018">
            <v>1.4510041132349383</v>
          </cell>
          <cell r="G1018">
            <v>1.4285033365109627</v>
          </cell>
        </row>
        <row r="1020">
          <cell r="A1020" t="str">
            <v>Capex:</v>
          </cell>
        </row>
        <row r="1021">
          <cell r="A1021" t="str">
            <v>Sustenance</v>
          </cell>
          <cell r="B1021">
            <v>26.8</v>
          </cell>
          <cell r="C1021">
            <v>28.4</v>
          </cell>
          <cell r="D1021">
            <v>26.7</v>
          </cell>
          <cell r="E1021">
            <v>31.8</v>
          </cell>
          <cell r="F1021">
            <v>21.4</v>
          </cell>
          <cell r="G1021">
            <v>17.8</v>
          </cell>
        </row>
        <row r="1022">
          <cell r="A1022" t="str">
            <v>Expansion</v>
          </cell>
          <cell r="B1022">
            <v>28.1</v>
          </cell>
          <cell r="C1022">
            <v>4.3</v>
          </cell>
          <cell r="D1022">
            <v>12.8</v>
          </cell>
          <cell r="E1022">
            <v>9</v>
          </cell>
          <cell r="F1022">
            <v>3.5</v>
          </cell>
          <cell r="G1022">
            <v>4.7</v>
          </cell>
        </row>
        <row r="1023">
          <cell r="A1023" t="str">
            <v>Total</v>
          </cell>
          <cell r="B1023">
            <v>54.900000000000006</v>
          </cell>
          <cell r="C1023">
            <v>32.699999999999996</v>
          </cell>
          <cell r="D1023">
            <v>39.5</v>
          </cell>
          <cell r="E1023">
            <v>40.799999999999997</v>
          </cell>
          <cell r="F1023">
            <v>24.9</v>
          </cell>
          <cell r="G1023">
            <v>22.5</v>
          </cell>
        </row>
        <row r="1025">
          <cell r="A1025" t="str">
            <v>Depn</v>
          </cell>
          <cell r="B1025">
            <v>23.2</v>
          </cell>
          <cell r="C1025">
            <v>23.1</v>
          </cell>
          <cell r="D1025">
            <v>24.9</v>
          </cell>
          <cell r="E1025">
            <v>26.6</v>
          </cell>
          <cell r="F1025">
            <v>28.1</v>
          </cell>
          <cell r="G1025">
            <v>30.2</v>
          </cell>
        </row>
        <row r="1026">
          <cell r="A1026" t="str">
            <v>Sustenance % of Depn</v>
          </cell>
          <cell r="B1026">
            <v>1.1551724137931034</v>
          </cell>
          <cell r="C1026">
            <v>1.2294372294372293</v>
          </cell>
          <cell r="D1026">
            <v>1.072289156626506</v>
          </cell>
          <cell r="E1026">
            <v>1.1954887218045112</v>
          </cell>
          <cell r="F1026">
            <v>0.76156583629893226</v>
          </cell>
          <cell r="G1026">
            <v>0.58940397350993379</v>
          </cell>
        </row>
        <row r="1028">
          <cell r="A1028" t="str">
            <v>FTE Employees</v>
          </cell>
          <cell r="B1028">
            <v>1031</v>
          </cell>
          <cell r="C1028">
            <v>1013</v>
          </cell>
          <cell r="D1028">
            <v>1052</v>
          </cell>
          <cell r="E1028">
            <v>1083</v>
          </cell>
          <cell r="F1028">
            <v>1106</v>
          </cell>
          <cell r="G1028">
            <v>1040</v>
          </cell>
        </row>
        <row r="1035">
          <cell r="A1035" t="str">
            <v>ORI (A$m)</v>
          </cell>
          <cell r="B1035" t="str">
            <v>1H13A</v>
          </cell>
          <cell r="C1035" t="str">
            <v>1H14A</v>
          </cell>
          <cell r="D1035" t="str">
            <v>MSe Implied 2H14E</v>
          </cell>
          <cell r="E1035" t="str">
            <v>Cons. Implied 2H14E</v>
          </cell>
          <cell r="H1035" t="str">
            <v>1H12</v>
          </cell>
          <cell r="I1035" t="str">
            <v>2H12</v>
          </cell>
          <cell r="J1035" t="str">
            <v>FY12A</v>
          </cell>
          <cell r="K1035" t="str">
            <v>1H13A</v>
          </cell>
          <cell r="L1035" t="str">
            <v>2H13E</v>
          </cell>
          <cell r="M1035" t="str">
            <v>FY13A</v>
          </cell>
          <cell r="N1035" t="str">
            <v>1H14</v>
          </cell>
          <cell r="O1035" t="str">
            <v>2H14</v>
          </cell>
          <cell r="P1035" t="str">
            <v>FY14E</v>
          </cell>
          <cell r="R1035" t="str">
            <v>Cons. FY14</v>
          </cell>
        </row>
        <row r="1036">
          <cell r="A1036" t="str">
            <v>Revenue</v>
          </cell>
          <cell r="B1036">
            <v>3325.3</v>
          </cell>
          <cell r="C1036">
            <v>3357.3</v>
          </cell>
          <cell r="D1036">
            <v>3782.9600621579684</v>
          </cell>
          <cell r="E1036">
            <v>3924.7</v>
          </cell>
          <cell r="G1036" t="str">
            <v>revenue</v>
          </cell>
          <cell r="H1036">
            <v>3290.7000000000003</v>
          </cell>
          <cell r="I1036">
            <v>3383.3999999999996</v>
          </cell>
          <cell r="J1036">
            <v>6674.1</v>
          </cell>
          <cell r="K1036">
            <v>3331.1999999999994</v>
          </cell>
          <cell r="L1036">
            <v>3566.9000000000019</v>
          </cell>
          <cell r="M1036">
            <v>6898.1000000000013</v>
          </cell>
          <cell r="N1036">
            <v>3357.2999999999997</v>
          </cell>
          <cell r="O1036">
            <v>3782.9600621579689</v>
          </cell>
          <cell r="P1036">
            <v>7140.2600621579686</v>
          </cell>
          <cell r="R1036">
            <v>7282</v>
          </cell>
        </row>
        <row r="1037">
          <cell r="A1037" t="str">
            <v>% yoy</v>
          </cell>
          <cell r="B1037">
            <v>1.0514480201780696E-2</v>
          </cell>
          <cell r="C1037">
            <v>9.6231918924607474E-3</v>
          </cell>
          <cell r="D1037">
            <v>6.0573624760426714E-2</v>
          </cell>
          <cell r="E1037">
            <v>0.10031119459474547</v>
          </cell>
          <cell r="G1037" t="str">
            <v>EBIT</v>
          </cell>
          <cell r="H1037">
            <v>508.7</v>
          </cell>
          <cell r="I1037">
            <v>603.9</v>
          </cell>
          <cell r="J1037">
            <v>1112.5999999999999</v>
          </cell>
          <cell r="K1037">
            <v>441.7</v>
          </cell>
          <cell r="L1037">
            <v>543.09999999999991</v>
          </cell>
          <cell r="M1037">
            <v>984.79999999999984</v>
          </cell>
          <cell r="N1037">
            <v>402.40000000000003</v>
          </cell>
          <cell r="O1037">
            <v>548.85302221749225</v>
          </cell>
          <cell r="P1037">
            <v>951.25302221749223</v>
          </cell>
          <cell r="R1037">
            <v>1022</v>
          </cell>
        </row>
        <row r="1038">
          <cell r="A1038" t="str">
            <v>EBIT</v>
          </cell>
          <cell r="B1038">
            <v>434.4</v>
          </cell>
          <cell r="C1038">
            <v>402.4</v>
          </cell>
          <cell r="D1038">
            <v>548.85302221749225</v>
          </cell>
          <cell r="E1038">
            <v>619.6</v>
          </cell>
          <cell r="G1038" t="str">
            <v>margin</v>
          </cell>
          <cell r="H1038">
            <v>0.15458716990306012</v>
          </cell>
          <cell r="I1038">
            <v>0.1784890938109594</v>
          </cell>
          <cell r="J1038">
            <v>0.16670412490073566</v>
          </cell>
          <cell r="K1038">
            <v>0.13259486071085497</v>
          </cell>
          <cell r="L1038">
            <v>0.15226106703299774</v>
          </cell>
          <cell r="M1038">
            <v>0.1427639494933387</v>
          </cell>
          <cell r="N1038">
            <v>0.11985821940249608</v>
          </cell>
          <cell r="O1038">
            <v>0.14508559783853547</v>
          </cell>
          <cell r="P1038">
            <v>0.13322386214739626</v>
          </cell>
          <cell r="R1038">
            <v>0.14034605877506179</v>
          </cell>
        </row>
        <row r="1039">
          <cell r="A1039" t="str">
            <v>% yoy</v>
          </cell>
          <cell r="B1039">
            <v>-0.1460585806958915</v>
          </cell>
          <cell r="C1039">
            <v>-7.366482504604055E-2</v>
          </cell>
          <cell r="D1039">
            <v>1.0592933561945017E-2</v>
          </cell>
          <cell r="E1039">
            <v>0.14085803719388723</v>
          </cell>
          <cell r="G1039" t="str">
            <v>Undelrying NPAT</v>
          </cell>
          <cell r="H1039">
            <v>316.29999999999995</v>
          </cell>
          <cell r="I1039">
            <v>396.69999999999993</v>
          </cell>
          <cell r="J1039">
            <v>712.99999999999989</v>
          </cell>
          <cell r="K1039">
            <v>266.8</v>
          </cell>
          <cell r="L1039">
            <v>334.7999999999999</v>
          </cell>
          <cell r="M1039">
            <v>601.59999999999991</v>
          </cell>
          <cell r="N1039">
            <v>242.10000000000002</v>
          </cell>
          <cell r="O1039">
            <v>347.63950552496931</v>
          </cell>
          <cell r="P1039">
            <v>589.73950552496933</v>
          </cell>
          <cell r="R1039">
            <v>639.5</v>
          </cell>
        </row>
        <row r="1040">
          <cell r="A1040" t="str">
            <v>% margin</v>
          </cell>
          <cell r="B1040">
            <v>0.13063482994015577</v>
          </cell>
          <cell r="C1040">
            <v>0.11985821940249604</v>
          </cell>
          <cell r="D1040">
            <v>0.1450855978385355</v>
          </cell>
          <cell r="E1040">
            <v>0.1578719392565037</v>
          </cell>
        </row>
        <row r="1041">
          <cell r="A1041" t="str">
            <v>Underlying NPAT</v>
          </cell>
          <cell r="B1041">
            <v>262.5</v>
          </cell>
          <cell r="C1041">
            <v>242.1</v>
          </cell>
          <cell r="D1041">
            <v>347.63950552496931</v>
          </cell>
          <cell r="E1041">
            <v>397.4</v>
          </cell>
          <cell r="K1041">
            <v>262.5</v>
          </cell>
          <cell r="L1041">
            <v>330</v>
          </cell>
          <cell r="M1041">
            <v>592.5</v>
          </cell>
        </row>
        <row r="1042">
          <cell r="A1042" t="str">
            <v>% yoy</v>
          </cell>
          <cell r="B1042">
            <v>-0.17009168510907358</v>
          </cell>
          <cell r="C1042">
            <v>-7.7714285714285736E-2</v>
          </cell>
          <cell r="D1042">
            <v>5.3453047045361579E-2</v>
          </cell>
          <cell r="E1042">
            <v>0.20424242424242411</v>
          </cell>
        </row>
        <row r="1043">
          <cell r="A1043" t="str">
            <v>1H:2H Skew</v>
          </cell>
          <cell r="D1043">
            <v>0.4105202343270008</v>
          </cell>
          <cell r="E1043">
            <v>0.37857701329163407</v>
          </cell>
        </row>
        <row r="1045">
          <cell r="E1045">
            <v>576.42857142857144</v>
          </cell>
        </row>
        <row r="1048">
          <cell r="A1048" t="str">
            <v>1H14</v>
          </cell>
        </row>
        <row r="1049">
          <cell r="B1049" t="str">
            <v xml:space="preserve">Revenue </v>
          </cell>
          <cell r="C1049" t="str">
            <v>EBIT</v>
          </cell>
        </row>
        <row r="1050">
          <cell r="A1050" t="str">
            <v>Australia-Pacific</v>
          </cell>
          <cell r="B1050">
            <v>0.36</v>
          </cell>
          <cell r="C1050">
            <v>0.53</v>
          </cell>
        </row>
        <row r="1051">
          <cell r="A1051" t="str">
            <v>Asia</v>
          </cell>
          <cell r="B1051">
            <v>0.17</v>
          </cell>
          <cell r="C1051">
            <v>0.16</v>
          </cell>
        </row>
        <row r="1052">
          <cell r="A1052" t="str">
            <v>North America</v>
          </cell>
          <cell r="B1052">
            <v>0.17</v>
          </cell>
          <cell r="C1052">
            <v>0.1</v>
          </cell>
        </row>
        <row r="1053">
          <cell r="A1053" t="str">
            <v>Latin America</v>
          </cell>
          <cell r="B1053">
            <v>0.17</v>
          </cell>
          <cell r="C1053">
            <v>7.0000000000000007E-2</v>
          </cell>
        </row>
        <row r="1054">
          <cell r="A1054" t="str">
            <v>Europe</v>
          </cell>
          <cell r="B1054">
            <v>0.13</v>
          </cell>
          <cell r="C1054">
            <v>0.11</v>
          </cell>
        </row>
        <row r="1055">
          <cell r="A1055" t="str">
            <v>Other</v>
          </cell>
          <cell r="C1055">
            <v>0.03</v>
          </cell>
        </row>
        <row r="1075">
          <cell r="A1075" t="str">
            <v>1H14</v>
          </cell>
          <cell r="B1075" t="str">
            <v>OMS 1H14 Revenue</v>
          </cell>
        </row>
        <row r="1076">
          <cell r="A1076" t="str">
            <v>AN / ANFO</v>
          </cell>
          <cell r="B1076">
            <v>0.16</v>
          </cell>
        </row>
        <row r="1077">
          <cell r="A1077" t="str">
            <v>Emulsion Products</v>
          </cell>
          <cell r="B1077">
            <v>0.3</v>
          </cell>
        </row>
        <row r="1078">
          <cell r="A1078" t="str">
            <v>Packaged Explosives</v>
          </cell>
          <cell r="B1078">
            <v>0.08</v>
          </cell>
        </row>
        <row r="1079">
          <cell r="A1079" t="str">
            <v>Initiating Systems</v>
          </cell>
          <cell r="B1079">
            <v>0.15</v>
          </cell>
        </row>
        <row r="1080">
          <cell r="A1080" t="str">
            <v>Services</v>
          </cell>
          <cell r="B1080">
            <v>0.11</v>
          </cell>
        </row>
        <row r="1081">
          <cell r="A1081" t="str">
            <v>Mining Chemicals</v>
          </cell>
          <cell r="B1081">
            <v>0.06</v>
          </cell>
        </row>
        <row r="1082">
          <cell r="A1082" t="str">
            <v>Ground Support</v>
          </cell>
          <cell r="B1082">
            <v>0.12</v>
          </cell>
        </row>
        <row r="1083">
          <cell r="A1083" t="str">
            <v>Other</v>
          </cell>
          <cell r="B1083">
            <v>0.02</v>
          </cell>
        </row>
        <row r="1105">
          <cell r="A1105" t="str">
            <v>1H14</v>
          </cell>
          <cell r="B1105" t="str">
            <v>OMS 1H14 Revenue</v>
          </cell>
        </row>
        <row r="1106">
          <cell r="A1106" t="str">
            <v>Thermal Coal</v>
          </cell>
          <cell r="B1106">
            <v>0.25</v>
          </cell>
        </row>
        <row r="1107">
          <cell r="A1107" t="str">
            <v>Met Coal</v>
          </cell>
          <cell r="B1107">
            <v>7.0000000000000007E-2</v>
          </cell>
        </row>
        <row r="1108">
          <cell r="A1108" t="str">
            <v>Gold</v>
          </cell>
          <cell r="B1108">
            <v>0.18</v>
          </cell>
        </row>
        <row r="1109">
          <cell r="A1109" t="str">
            <v>Iron Ore</v>
          </cell>
          <cell r="B1109">
            <v>7.0000000000000007E-2</v>
          </cell>
        </row>
        <row r="1110">
          <cell r="A1110" t="str">
            <v>Copper</v>
          </cell>
          <cell r="B1110">
            <v>0.13</v>
          </cell>
        </row>
        <row r="1111">
          <cell r="A1111" t="str">
            <v>Q&amp;C</v>
          </cell>
          <cell r="B1111">
            <v>0.16</v>
          </cell>
        </row>
        <row r="1112">
          <cell r="A1112" t="str">
            <v>Other</v>
          </cell>
          <cell r="B1112">
            <v>0.14000000000000001</v>
          </cell>
        </row>
      </sheetData>
      <sheetData sheetId="6">
        <row r="2">
          <cell r="B2" t="str">
            <v>P&amp;L (A$m)</v>
          </cell>
          <cell r="C2" t="str">
            <v>FY11A</v>
          </cell>
          <cell r="D2" t="str">
            <v>FY12A</v>
          </cell>
          <cell r="E2" t="str">
            <v>FY13E</v>
          </cell>
          <cell r="F2" t="str">
            <v>FY14E</v>
          </cell>
          <cell r="G2" t="str">
            <v>FY15E</v>
          </cell>
          <cell r="H2" t="str">
            <v>FY16E</v>
          </cell>
          <cell r="I2" t="str">
            <v>Balance sheet (A$m)</v>
          </cell>
          <cell r="J2" t="str">
            <v>Balance sheet (A$m)</v>
          </cell>
          <cell r="K2" t="str">
            <v>FY11A</v>
          </cell>
          <cell r="L2" t="str">
            <v>FY12A</v>
          </cell>
          <cell r="M2" t="str">
            <v>FY13A</v>
          </cell>
          <cell r="N2" t="str">
            <v>FY14E</v>
          </cell>
          <cell r="O2" t="str">
            <v>FY15E</v>
          </cell>
          <cell r="P2" t="str">
            <v>FY16E</v>
          </cell>
        </row>
        <row r="3">
          <cell r="B3" t="str">
            <v>Total Turnover</v>
          </cell>
          <cell r="C3">
            <v>6267.9999999999991</v>
          </cell>
          <cell r="D3">
            <v>6741.6</v>
          </cell>
          <cell r="E3">
            <v>6868.7587544931685</v>
          </cell>
          <cell r="F3">
            <v>7361.3226550835216</v>
          </cell>
          <cell r="G3">
            <v>8037.7905581741616</v>
          </cell>
          <cell r="H3">
            <v>7973.6368484010964</v>
          </cell>
          <cell r="I3" t="str">
            <v xml:space="preserve">Cash </v>
          </cell>
          <cell r="J3" t="str">
            <v xml:space="preserve">Cash </v>
          </cell>
          <cell r="K3">
            <v>346.9</v>
          </cell>
          <cell r="L3">
            <v>235.8</v>
          </cell>
          <cell r="M3">
            <v>225.3</v>
          </cell>
          <cell r="N3">
            <v>225.3</v>
          </cell>
          <cell r="O3">
            <v>225.3</v>
          </cell>
          <cell r="P3">
            <v>225.3</v>
          </cell>
        </row>
        <row r="4">
          <cell r="B4" t="str">
            <v>Growth</v>
          </cell>
          <cell r="C4">
            <v>-0.15051635811671604</v>
          </cell>
          <cell r="D4">
            <v>7.5558391831525462E-2</v>
          </cell>
          <cell r="E4">
            <v>1.8861806469260722E-2</v>
          </cell>
          <cell r="F4">
            <v>7.1710758551265741E-2</v>
          </cell>
          <cell r="G4">
            <v>9.1894885577864294E-2</v>
          </cell>
          <cell r="H4">
            <v>5.3200735093311913E-2</v>
          </cell>
          <cell r="I4" t="str">
            <v>Trade &amp; other receivables</v>
          </cell>
          <cell r="J4" t="str">
            <v>Trade &amp; other receivables</v>
          </cell>
          <cell r="K4">
            <v>941.6</v>
          </cell>
          <cell r="L4">
            <v>1035.3</v>
          </cell>
          <cell r="M4">
            <v>1050.5999999999999</v>
          </cell>
          <cell r="N4">
            <v>1077.4890093236952</v>
          </cell>
          <cell r="O4">
            <v>1150.7709409731715</v>
          </cell>
          <cell r="P4">
            <v>1211.9928009569667</v>
          </cell>
        </row>
        <row r="5">
          <cell r="I5" t="str">
            <v>Inventories</v>
          </cell>
          <cell r="J5" t="str">
            <v>Inventories</v>
          </cell>
          <cell r="K5">
            <v>614.5</v>
          </cell>
          <cell r="L5">
            <v>693.6</v>
          </cell>
          <cell r="M5">
            <v>793.1</v>
          </cell>
          <cell r="N5">
            <v>790.15860683737651</v>
          </cell>
          <cell r="O5">
            <v>832.79475991479524</v>
          </cell>
          <cell r="P5">
            <v>877.10005332412061</v>
          </cell>
        </row>
        <row r="6">
          <cell r="B6" t="str">
            <v>EBITDA group</v>
          </cell>
          <cell r="C6">
            <v>1273.5</v>
          </cell>
          <cell r="D6">
            <v>1364</v>
          </cell>
          <cell r="E6">
            <v>1354.5093410906977</v>
          </cell>
          <cell r="F6">
            <v>1460.2836832046585</v>
          </cell>
          <cell r="G6">
            <v>1594.7523544895053</v>
          </cell>
          <cell r="H6">
            <v>1385.2779535993154</v>
          </cell>
          <cell r="I6" t="str">
            <v>Other</v>
          </cell>
          <cell r="J6" t="str">
            <v>Other</v>
          </cell>
          <cell r="K6">
            <v>75.2</v>
          </cell>
          <cell r="L6">
            <v>61.3</v>
          </cell>
          <cell r="M6">
            <v>69.5</v>
          </cell>
          <cell r="N6">
            <v>69.5</v>
          </cell>
          <cell r="O6">
            <v>69.5</v>
          </cell>
          <cell r="P6">
            <v>69.5</v>
          </cell>
        </row>
        <row r="7">
          <cell r="B7" t="str">
            <v>Margin</v>
          </cell>
          <cell r="C7">
            <v>0.20317485641352906</v>
          </cell>
          <cell r="D7">
            <v>0.20232585736323722</v>
          </cell>
          <cell r="E7">
            <v>0.19719856083235582</v>
          </cell>
          <cell r="F7">
            <v>0.19837245989974747</v>
          </cell>
          <cell r="G7">
            <v>0.19840680631665575</v>
          </cell>
          <cell r="H7">
            <v>0.17373226043986398</v>
          </cell>
          <cell r="I7" t="str">
            <v>Other financial assets</v>
          </cell>
          <cell r="J7" t="str">
            <v>Other financial assets</v>
          </cell>
          <cell r="K7">
            <v>7</v>
          </cell>
          <cell r="L7">
            <v>12</v>
          </cell>
          <cell r="M7">
            <v>11.4</v>
          </cell>
          <cell r="N7">
            <v>11.4</v>
          </cell>
          <cell r="O7">
            <v>11.4</v>
          </cell>
          <cell r="P7">
            <v>11.4</v>
          </cell>
        </row>
        <row r="8">
          <cell r="I8" t="str">
            <v>Total Current Assets</v>
          </cell>
          <cell r="J8" t="str">
            <v>Total Current Assets</v>
          </cell>
          <cell r="K8">
            <v>1985.2</v>
          </cell>
          <cell r="L8">
            <v>2037.9999999999998</v>
          </cell>
          <cell r="M8">
            <v>2149.9</v>
          </cell>
          <cell r="N8">
            <v>2173.847616161072</v>
          </cell>
          <cell r="O8">
            <v>2289.7657008879669</v>
          </cell>
          <cell r="P8">
            <v>2395.2928542810873</v>
          </cell>
        </row>
        <row r="9">
          <cell r="B9" t="str">
            <v>D&amp;A</v>
          </cell>
          <cell r="C9">
            <v>-224.2</v>
          </cell>
          <cell r="D9">
            <v>-251.39999999999998</v>
          </cell>
          <cell r="E9">
            <v>-291.98591812106866</v>
          </cell>
          <cell r="F9">
            <v>-331.63582770702175</v>
          </cell>
          <cell r="G9">
            <v>-370.78964976547491</v>
          </cell>
          <cell r="H9">
            <v>-329.90313881240598</v>
          </cell>
        </row>
        <row r="10">
          <cell r="B10" t="str">
            <v>EBIT</v>
          </cell>
          <cell r="C10">
            <v>1049.3</v>
          </cell>
          <cell r="D10">
            <v>1112.5999999999999</v>
          </cell>
          <cell r="E10">
            <v>1062.5234229696291</v>
          </cell>
          <cell r="F10">
            <v>1128.6478554976368</v>
          </cell>
          <cell r="G10">
            <v>1223.9627047240303</v>
          </cell>
          <cell r="H10">
            <v>1055.3748147869094</v>
          </cell>
          <cell r="I10" t="str">
            <v>Trade &amp; other receivables</v>
          </cell>
          <cell r="J10" t="str">
            <v>Trade &amp; other receivables</v>
          </cell>
          <cell r="K10">
            <v>1.8</v>
          </cell>
          <cell r="L10">
            <v>50</v>
          </cell>
          <cell r="M10">
            <v>97.3</v>
          </cell>
          <cell r="N10">
            <v>97.3</v>
          </cell>
          <cell r="O10">
            <v>97.3</v>
          </cell>
          <cell r="P10">
            <v>97.3</v>
          </cell>
        </row>
        <row r="11">
          <cell r="B11" t="str">
            <v>Margin</v>
          </cell>
          <cell r="C11">
            <v>0.16740587109125721</v>
          </cell>
          <cell r="D11">
            <v>0.16503500652664055</v>
          </cell>
          <cell r="E11">
            <v>0.15468929117281693</v>
          </cell>
          <cell r="F11">
            <v>0.15332134025102465</v>
          </cell>
          <cell r="G11">
            <v>0.15227601364647422</v>
          </cell>
          <cell r="H11">
            <v>0.13235802367881064</v>
          </cell>
          <cell r="I11" t="str">
            <v>Equity accounted investments</v>
          </cell>
          <cell r="J11" t="str">
            <v>Equity accounted investments</v>
          </cell>
          <cell r="K11">
            <v>172.1</v>
          </cell>
          <cell r="L11">
            <v>206.4</v>
          </cell>
          <cell r="M11">
            <v>435.5</v>
          </cell>
          <cell r="N11">
            <v>437.33527695188184</v>
          </cell>
          <cell r="O11">
            <v>439.18188652034388</v>
          </cell>
          <cell r="P11">
            <v>441.21804832791406</v>
          </cell>
        </row>
        <row r="12">
          <cell r="I12" t="str">
            <v>Other financial assets - derivatives</v>
          </cell>
          <cell r="J12" t="str">
            <v>Other financial assets - derivatives</v>
          </cell>
          <cell r="K12">
            <v>4.5999999999999996</v>
          </cell>
          <cell r="L12">
            <v>3.7</v>
          </cell>
          <cell r="M12">
            <v>1.4</v>
          </cell>
          <cell r="N12">
            <v>1.4</v>
          </cell>
          <cell r="O12">
            <v>1.4</v>
          </cell>
          <cell r="P12">
            <v>1.4</v>
          </cell>
        </row>
        <row r="13">
          <cell r="B13" t="str">
            <v>Net interest</v>
          </cell>
          <cell r="C13">
            <v>-123.5</v>
          </cell>
          <cell r="D13">
            <v>-128.19999999999999</v>
          </cell>
          <cell r="E13">
            <v>-146.00243274228001</v>
          </cell>
          <cell r="F13">
            <v>-162.84663442910215</v>
          </cell>
          <cell r="G13">
            <v>-174.49486184808035</v>
          </cell>
          <cell r="H13">
            <v>-134.47519176689337</v>
          </cell>
          <cell r="I13" t="str">
            <v>Other financial assets</v>
          </cell>
          <cell r="J13" t="str">
            <v>Other financial assets</v>
          </cell>
          <cell r="K13">
            <v>0.6</v>
          </cell>
          <cell r="L13">
            <v>0.6</v>
          </cell>
          <cell r="M13">
            <v>0.7</v>
          </cell>
          <cell r="N13">
            <v>0.7</v>
          </cell>
          <cell r="O13">
            <v>0.7</v>
          </cell>
          <cell r="P13">
            <v>0.7</v>
          </cell>
        </row>
        <row r="14">
          <cell r="B14" t="str">
            <v>PBT</v>
          </cell>
          <cell r="C14">
            <v>925.8</v>
          </cell>
          <cell r="D14">
            <v>984.39999999999986</v>
          </cell>
          <cell r="E14">
            <v>916.5209902273491</v>
          </cell>
          <cell r="F14">
            <v>965.80122106853469</v>
          </cell>
          <cell r="G14">
            <v>1049.4678428759501</v>
          </cell>
          <cell r="H14">
            <v>920.89962302001595</v>
          </cell>
          <cell r="I14" t="str">
            <v>PPE</v>
          </cell>
          <cell r="J14" t="str">
            <v>PPE</v>
          </cell>
          <cell r="K14">
            <v>2709.7</v>
          </cell>
          <cell r="L14">
            <v>3034.4</v>
          </cell>
          <cell r="M14">
            <v>3455.4</v>
          </cell>
          <cell r="N14">
            <v>3774.1735952414688</v>
          </cell>
          <cell r="O14">
            <v>4007.5207870271347</v>
          </cell>
          <cell r="P14">
            <v>4152.3779985977717</v>
          </cell>
        </row>
        <row r="15">
          <cell r="I15" t="str">
            <v>Intangible assets</v>
          </cell>
          <cell r="J15" t="str">
            <v>Intangible assets</v>
          </cell>
          <cell r="K15">
            <v>2505.4</v>
          </cell>
          <cell r="L15">
            <v>2046.8</v>
          </cell>
          <cell r="M15">
            <v>2217.9</v>
          </cell>
          <cell r="N15">
            <v>2182.9</v>
          </cell>
          <cell r="O15">
            <v>2149.9</v>
          </cell>
          <cell r="P15">
            <v>2117.9</v>
          </cell>
        </row>
        <row r="16">
          <cell r="B16" t="str">
            <v>Tax</v>
          </cell>
          <cell r="C16">
            <v>-247.70000000000002</v>
          </cell>
          <cell r="D16">
            <v>-250.4</v>
          </cell>
          <cell r="E16">
            <v>-238.29545745911076</v>
          </cell>
          <cell r="F16">
            <v>-251.10831747781901</v>
          </cell>
          <cell r="G16">
            <v>-272.86163914774704</v>
          </cell>
          <cell r="H16">
            <v>-239.43390198520416</v>
          </cell>
          <cell r="I16" t="str">
            <v>Deferred tax assets</v>
          </cell>
          <cell r="J16" t="str">
            <v>Deferred tax assets</v>
          </cell>
          <cell r="K16">
            <v>241.7</v>
          </cell>
          <cell r="L16">
            <v>223.8</v>
          </cell>
          <cell r="M16">
            <v>218.5</v>
          </cell>
          <cell r="N16">
            <v>218.5</v>
          </cell>
          <cell r="O16">
            <v>218.5</v>
          </cell>
          <cell r="P16">
            <v>218.5</v>
          </cell>
        </row>
        <row r="17">
          <cell r="B17" t="str">
            <v>Minorities</v>
          </cell>
          <cell r="C17">
            <v>-21.1</v>
          </cell>
          <cell r="D17">
            <v>-21</v>
          </cell>
          <cell r="E17">
            <v>-20.054819236349282</v>
          </cell>
          <cell r="F17">
            <v>-21.302898584801699</v>
          </cell>
          <cell r="G17">
            <v>-23.10193852166514</v>
          </cell>
          <cell r="H17">
            <v>-22.515636171307349</v>
          </cell>
          <cell r="I17" t="str">
            <v>Other assets</v>
          </cell>
          <cell r="J17" t="str">
            <v>Other assets</v>
          </cell>
          <cell r="K17">
            <v>7.1</v>
          </cell>
          <cell r="L17">
            <v>19.899999999999999</v>
          </cell>
          <cell r="M17">
            <v>26.7</v>
          </cell>
          <cell r="N17">
            <v>26.7</v>
          </cell>
          <cell r="O17">
            <v>26.7</v>
          </cell>
          <cell r="P17">
            <v>26.7</v>
          </cell>
        </row>
        <row r="18">
          <cell r="B18" t="str">
            <v>Net profit b/f abnormals</v>
          </cell>
          <cell r="C18">
            <v>657</v>
          </cell>
          <cell r="D18">
            <v>712.99999999999989</v>
          </cell>
          <cell r="E18">
            <v>658.17071353188908</v>
          </cell>
          <cell r="F18">
            <v>693.39000500591396</v>
          </cell>
          <cell r="G18">
            <v>753.50426520653787</v>
          </cell>
          <cell r="H18">
            <v>658.95008486350446</v>
          </cell>
          <cell r="I18" t="str">
            <v>Total Non-current Assets</v>
          </cell>
          <cell r="J18" t="str">
            <v>Total Non-current Assets</v>
          </cell>
          <cell r="K18">
            <v>5643</v>
          </cell>
          <cell r="L18">
            <v>5585.5999999999995</v>
          </cell>
          <cell r="M18">
            <v>6453.4000000000005</v>
          </cell>
          <cell r="N18">
            <v>6739.0088721933507</v>
          </cell>
          <cell r="O18">
            <v>6941.2026735474783</v>
          </cell>
          <cell r="P18">
            <v>7056.0960469256852</v>
          </cell>
        </row>
        <row r="19">
          <cell r="I19" t="str">
            <v>Total Assets</v>
          </cell>
          <cell r="J19" t="str">
            <v>Total Assets</v>
          </cell>
          <cell r="K19">
            <v>7628.2</v>
          </cell>
          <cell r="L19">
            <v>7623.5999999999995</v>
          </cell>
          <cell r="M19">
            <v>8603.3000000000011</v>
          </cell>
          <cell r="N19">
            <v>8912.8564883544223</v>
          </cell>
          <cell r="O19">
            <v>9230.9683744354443</v>
          </cell>
          <cell r="P19">
            <v>9451.3889012067721</v>
          </cell>
        </row>
        <row r="20">
          <cell r="B20" t="str">
            <v>Net Abnormals</v>
          </cell>
          <cell r="C20">
            <v>-14.7</v>
          </cell>
          <cell r="D20">
            <v>-310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</row>
        <row r="21">
          <cell r="B21" t="str">
            <v>Net profit a/f abnormals</v>
          </cell>
          <cell r="C21">
            <v>642.29999999999995</v>
          </cell>
          <cell r="D21">
            <v>402.99999999999989</v>
          </cell>
          <cell r="E21">
            <v>658.17071353188908</v>
          </cell>
          <cell r="F21">
            <v>693.39000500591396</v>
          </cell>
          <cell r="G21">
            <v>753.50426520653787</v>
          </cell>
          <cell r="H21">
            <v>658.95008486350446</v>
          </cell>
          <cell r="I21" t="str">
            <v>Trade and other payables</v>
          </cell>
          <cell r="J21" t="str">
            <v>Trade and other payables</v>
          </cell>
          <cell r="K21">
            <v>1141</v>
          </cell>
          <cell r="L21">
            <v>1058.9000000000001</v>
          </cell>
          <cell r="M21">
            <v>1235.8</v>
          </cell>
          <cell r="N21">
            <v>1264.2537709398025</v>
          </cell>
          <cell r="O21">
            <v>1309.7590315023597</v>
          </cell>
          <cell r="P21">
            <v>1339.5709905313843</v>
          </cell>
        </row>
        <row r="22">
          <cell r="I22" t="str">
            <v>Other financial liabilities</v>
          </cell>
          <cell r="J22" t="str">
            <v>Other financial liabilities</v>
          </cell>
          <cell r="K22">
            <v>11.5</v>
          </cell>
          <cell r="L22">
            <v>10.4</v>
          </cell>
          <cell r="M22">
            <v>19.5</v>
          </cell>
          <cell r="N22">
            <v>19.5</v>
          </cell>
          <cell r="O22">
            <v>19.5</v>
          </cell>
          <cell r="P22">
            <v>19.5</v>
          </cell>
        </row>
        <row r="23">
          <cell r="B23" t="str">
            <v>EPS (normalised)</v>
          </cell>
          <cell r="C23">
            <v>1.8097503398446693</v>
          </cell>
          <cell r="D23">
            <v>1.9544705080899087</v>
          </cell>
          <cell r="E23">
            <v>1.7966233082938587</v>
          </cell>
          <cell r="F23">
            <v>1.8858859289504986</v>
          </cell>
          <cell r="G23">
            <v>2.0419581258476978</v>
          </cell>
          <cell r="H23">
            <v>1.7415977958711495</v>
          </cell>
          <cell r="I23" t="str">
            <v>Interest bearing liabilities</v>
          </cell>
          <cell r="J23" t="str">
            <v>Interest bearing liabilities</v>
          </cell>
          <cell r="K23">
            <v>76.5</v>
          </cell>
          <cell r="L23">
            <v>346</v>
          </cell>
          <cell r="M23">
            <v>443.9</v>
          </cell>
          <cell r="N23">
            <v>443.9</v>
          </cell>
          <cell r="O23">
            <v>443.9</v>
          </cell>
          <cell r="P23">
            <v>443.9</v>
          </cell>
        </row>
        <row r="24">
          <cell r="B24" t="str">
            <v>DPS</v>
          </cell>
          <cell r="C24">
            <v>0.918334111770161</v>
          </cell>
          <cell r="D24">
            <v>0.92</v>
          </cell>
          <cell r="E24">
            <v>0.98814281956162242</v>
          </cell>
          <cell r="F24">
            <v>0.94294296447524928</v>
          </cell>
          <cell r="G24">
            <v>1.0209790629238489</v>
          </cell>
          <cell r="H24">
            <v>1.1320385673162472</v>
          </cell>
          <cell r="I24" t="str">
            <v>Current tax liabilities</v>
          </cell>
          <cell r="J24" t="str">
            <v>Current tax liabilities</v>
          </cell>
          <cell r="K24">
            <v>30.4</v>
          </cell>
          <cell r="L24">
            <v>2.4</v>
          </cell>
          <cell r="M24">
            <v>80</v>
          </cell>
          <cell r="N24">
            <v>80</v>
          </cell>
          <cell r="O24">
            <v>80</v>
          </cell>
          <cell r="P24">
            <v>80</v>
          </cell>
        </row>
        <row r="25">
          <cell r="I25" t="str">
            <v>Provisions</v>
          </cell>
          <cell r="J25" t="str">
            <v>Provisions</v>
          </cell>
          <cell r="K25">
            <v>198</v>
          </cell>
          <cell r="L25">
            <v>162.6</v>
          </cell>
          <cell r="M25">
            <v>173.3</v>
          </cell>
          <cell r="N25">
            <v>173.3</v>
          </cell>
          <cell r="O25">
            <v>173.3</v>
          </cell>
          <cell r="P25">
            <v>173.3</v>
          </cell>
        </row>
        <row r="26">
          <cell r="B26" t="str">
            <v>Cash flow (A$m)</v>
          </cell>
          <cell r="C26" t="str">
            <v>FY11A</v>
          </cell>
          <cell r="D26" t="str">
            <v>FY12A</v>
          </cell>
          <cell r="E26" t="str">
            <v>FY13E</v>
          </cell>
          <cell r="F26" t="str">
            <v>FY14E</v>
          </cell>
          <cell r="G26" t="str">
            <v>FY15E</v>
          </cell>
          <cell r="H26" t="str">
            <v>FY16E</v>
          </cell>
          <cell r="I26" t="str">
            <v>Total Current Liabilities</v>
          </cell>
          <cell r="J26" t="str">
            <v>Total Current Liabilities</v>
          </cell>
          <cell r="K26">
            <v>1457.4</v>
          </cell>
          <cell r="L26">
            <v>1580.3000000000002</v>
          </cell>
          <cell r="M26">
            <v>1952.4999999999998</v>
          </cell>
          <cell r="N26">
            <v>1980.9537709398026</v>
          </cell>
          <cell r="O26">
            <v>2026.4590315023595</v>
          </cell>
          <cell r="P26">
            <v>2056.2709905313845</v>
          </cell>
        </row>
        <row r="27">
          <cell r="B27" t="str">
            <v>EBITDA</v>
          </cell>
          <cell r="C27">
            <v>1273.5</v>
          </cell>
          <cell r="D27">
            <v>1364</v>
          </cell>
          <cell r="E27">
            <v>1354.5093410906977</v>
          </cell>
          <cell r="F27">
            <v>1460.2836832046585</v>
          </cell>
          <cell r="G27">
            <v>1594.7523544895053</v>
          </cell>
          <cell r="H27">
            <v>1385.2779535993154</v>
          </cell>
        </row>
        <row r="28">
          <cell r="B28" t="str">
            <v>- associate income</v>
          </cell>
          <cell r="C28">
            <v>-21.1</v>
          </cell>
          <cell r="D28">
            <v>-21.1</v>
          </cell>
          <cell r="E28">
            <v>-20.150318375569995</v>
          </cell>
          <cell r="F28">
            <v>-21.404340959015045</v>
          </cell>
          <cell r="G28">
            <v>-23.211947752720693</v>
          </cell>
          <cell r="H28">
            <v>-35.793581248865529</v>
          </cell>
          <cell r="I28" t="str">
            <v>Trade and other payables</v>
          </cell>
          <cell r="J28" t="str">
            <v>Trade and other payables</v>
          </cell>
          <cell r="K28">
            <v>25.6</v>
          </cell>
          <cell r="L28">
            <v>12.4</v>
          </cell>
          <cell r="M28">
            <v>12.3</v>
          </cell>
          <cell r="N28">
            <v>12.3</v>
          </cell>
          <cell r="O28">
            <v>12.3</v>
          </cell>
          <cell r="P28">
            <v>12.3</v>
          </cell>
        </row>
        <row r="29">
          <cell r="B29" t="str">
            <v>+ associate dividends</v>
          </cell>
          <cell r="C29">
            <v>30.1</v>
          </cell>
          <cell r="D29">
            <v>31.2</v>
          </cell>
          <cell r="E29">
            <v>29.795731436861789</v>
          </cell>
          <cell r="F29">
            <v>31.650020754562529</v>
          </cell>
          <cell r="G29">
            <v>34.322880089331072</v>
          </cell>
          <cell r="H29">
            <v>33.757419441295333</v>
          </cell>
          <cell r="I29" t="str">
            <v>Other financial assets - derivatives</v>
          </cell>
          <cell r="J29" t="str">
            <v>Other financial assets - derivatives</v>
          </cell>
          <cell r="K29">
            <v>65.2</v>
          </cell>
          <cell r="L29">
            <v>73.7</v>
          </cell>
          <cell r="M29">
            <v>55.7</v>
          </cell>
          <cell r="N29">
            <v>55.7</v>
          </cell>
          <cell r="O29">
            <v>55.7</v>
          </cell>
          <cell r="P29">
            <v>55.7</v>
          </cell>
        </row>
        <row r="30">
          <cell r="B30" t="str">
            <v>- tax paid</v>
          </cell>
          <cell r="C30">
            <v>-229.7</v>
          </cell>
          <cell r="D30">
            <v>-174.1</v>
          </cell>
          <cell r="E30">
            <v>-238.29545745911076</v>
          </cell>
          <cell r="F30">
            <v>-251.10831747781901</v>
          </cell>
          <cell r="G30">
            <v>-272.86163914774704</v>
          </cell>
          <cell r="H30">
            <v>-239.43390198520416</v>
          </cell>
          <cell r="I30" t="str">
            <v>Interest bearing liabilities</v>
          </cell>
          <cell r="J30" t="str">
            <v>Interest bearing liabilities</v>
          </cell>
          <cell r="K30">
            <v>1678.5</v>
          </cell>
          <cell r="L30">
            <v>2189</v>
          </cell>
          <cell r="M30">
            <v>2112.6999999999998</v>
          </cell>
          <cell r="N30">
            <v>2109.1911873874833</v>
          </cell>
          <cell r="O30">
            <v>2132.4664342348924</v>
          </cell>
          <cell r="P30">
            <v>2008.7987046711019</v>
          </cell>
        </row>
        <row r="31">
          <cell r="B31" t="str">
            <v>- net interest paid</v>
          </cell>
          <cell r="C31">
            <v>-143.79999999999998</v>
          </cell>
          <cell r="D31">
            <v>-158.19999999999999</v>
          </cell>
          <cell r="E31">
            <v>-146.00243274228001</v>
          </cell>
          <cell r="F31">
            <v>-162.84663442910215</v>
          </cell>
          <cell r="G31">
            <v>-174.49486184808035</v>
          </cell>
          <cell r="H31">
            <v>-134.47519176689337</v>
          </cell>
          <cell r="I31" t="str">
            <v>Deferred tax</v>
          </cell>
          <cell r="J31" t="str">
            <v>Deferred tax</v>
          </cell>
          <cell r="K31">
            <v>95.3</v>
          </cell>
          <cell r="L31">
            <v>56.4</v>
          </cell>
          <cell r="M31">
            <v>52.4</v>
          </cell>
          <cell r="N31">
            <v>52.4</v>
          </cell>
          <cell r="O31">
            <v>52.4</v>
          </cell>
          <cell r="P31">
            <v>52.4</v>
          </cell>
        </row>
        <row r="32">
          <cell r="B32" t="str">
            <v>movement in provisions</v>
          </cell>
          <cell r="C32">
            <v>0</v>
          </cell>
          <cell r="D32">
            <v>-0.70000000000004547</v>
          </cell>
          <cell r="E32">
            <v>-44</v>
          </cell>
          <cell r="F32">
            <v>-54</v>
          </cell>
          <cell r="G32">
            <v>-37</v>
          </cell>
          <cell r="H32">
            <v>-24</v>
          </cell>
          <cell r="I32" t="str">
            <v>Provisions</v>
          </cell>
          <cell r="J32" t="str">
            <v>Provisions</v>
          </cell>
          <cell r="K32">
            <v>430.6</v>
          </cell>
          <cell r="L32">
            <v>465.3</v>
          </cell>
          <cell r="M32">
            <v>423.6</v>
          </cell>
          <cell r="N32">
            <v>381.6</v>
          </cell>
          <cell r="O32">
            <v>324.60000000000002</v>
          </cell>
          <cell r="P32">
            <v>300.60000000000002</v>
          </cell>
        </row>
        <row r="33">
          <cell r="B33" t="str">
            <v>Gross cash flow</v>
          </cell>
          <cell r="C33">
            <v>927.30000000000007</v>
          </cell>
          <cell r="D33">
            <v>1056.6000000000001</v>
          </cell>
          <cell r="E33">
            <v>935.85686395059884</v>
          </cell>
          <cell r="F33">
            <v>1002.5744110932849</v>
          </cell>
          <cell r="G33">
            <v>1121.5067858302882</v>
          </cell>
          <cell r="H33">
            <v>985.33269803964754</v>
          </cell>
          <cell r="I33" t="str">
            <v>Total Non-current Liabilities</v>
          </cell>
          <cell r="J33" t="str">
            <v>Total Non-current Liabilities</v>
          </cell>
          <cell r="K33">
            <v>2295.1999999999998</v>
          </cell>
          <cell r="L33">
            <v>2796.8</v>
          </cell>
          <cell r="M33">
            <v>2656.7</v>
          </cell>
          <cell r="N33">
            <v>2611.1911873874833</v>
          </cell>
          <cell r="O33">
            <v>2577.4664342348924</v>
          </cell>
          <cell r="P33">
            <v>2429.7987046711019</v>
          </cell>
        </row>
        <row r="34">
          <cell r="B34" t="str">
            <v>(Incr)/decr in working capital</v>
          </cell>
          <cell r="C34">
            <v>-153</v>
          </cell>
          <cell r="D34">
            <v>-480.4</v>
          </cell>
          <cell r="E34">
            <v>72.417988359094352</v>
          </cell>
          <cell r="F34">
            <v>-6.0464460759432086</v>
          </cell>
          <cell r="G34">
            <v>-39.394786937084405</v>
          </cell>
          <cell r="H34">
            <v>-75.715194364095964</v>
          </cell>
          <cell r="I34" t="str">
            <v>Total Liabilities</v>
          </cell>
          <cell r="J34" t="str">
            <v>Total Liabilities</v>
          </cell>
          <cell r="K34">
            <v>3752.6</v>
          </cell>
          <cell r="L34">
            <v>4377.1000000000004</v>
          </cell>
          <cell r="M34">
            <v>4609.2</v>
          </cell>
          <cell r="N34">
            <v>4592.1449583272861</v>
          </cell>
          <cell r="O34">
            <v>4603.9254657372521</v>
          </cell>
          <cell r="P34">
            <v>4486.0696952024864</v>
          </cell>
        </row>
        <row r="35">
          <cell r="B35" t="str">
            <v>Operating cash flow</v>
          </cell>
          <cell r="C35">
            <v>774.30000000000007</v>
          </cell>
          <cell r="D35">
            <v>576.20000000000016</v>
          </cell>
          <cell r="E35">
            <v>1008.2748523096932</v>
          </cell>
          <cell r="F35">
            <v>996.52796501734167</v>
          </cell>
          <cell r="G35">
            <v>1082.1119988932037</v>
          </cell>
          <cell r="H35">
            <v>909.61750367555157</v>
          </cell>
        </row>
        <row r="36">
          <cell r="B36" t="str">
            <v>- Capex</v>
          </cell>
          <cell r="C36">
            <v>-766</v>
          </cell>
          <cell r="D36">
            <v>-670</v>
          </cell>
          <cell r="E36">
            <v>-780</v>
          </cell>
          <cell r="F36">
            <v>-809.01131976753027</v>
          </cell>
          <cell r="G36">
            <v>-839.42437428189169</v>
          </cell>
          <cell r="H36">
            <v>-430.50726228822657</v>
          </cell>
          <cell r="I36" t="str">
            <v>Net assets</v>
          </cell>
          <cell r="J36" t="str">
            <v>Net assets</v>
          </cell>
          <cell r="K36">
            <v>3875.6</v>
          </cell>
          <cell r="L36">
            <v>3246.4999999999991</v>
          </cell>
          <cell r="M36">
            <v>3994.1000000000013</v>
          </cell>
          <cell r="N36">
            <v>4320.7115300271362</v>
          </cell>
          <cell r="O36">
            <v>4627.0429086981922</v>
          </cell>
          <cell r="P36">
            <v>4965.3192060042857</v>
          </cell>
        </row>
        <row r="37">
          <cell r="B37" t="str">
            <v>- Cap Interest</v>
          </cell>
          <cell r="C37">
            <v>-37</v>
          </cell>
          <cell r="D37">
            <v>-38.1</v>
          </cell>
          <cell r="E37">
            <v>-44.355223880597016</v>
          </cell>
          <cell r="F37">
            <v>-46.004972064392391</v>
          </cell>
          <cell r="G37">
            <v>-47.734430836029958</v>
          </cell>
          <cell r="H37">
            <v>-12.253088094816476</v>
          </cell>
        </row>
        <row r="38">
          <cell r="B38" t="str">
            <v>Free cash flow</v>
          </cell>
          <cell r="C38">
            <v>-28.699999999999932</v>
          </cell>
          <cell r="D38">
            <v>-131.89999999999984</v>
          </cell>
          <cell r="E38">
            <v>183.91962842909618</v>
          </cell>
          <cell r="F38">
            <v>141.511673185419</v>
          </cell>
          <cell r="G38">
            <v>194.95319377528205</v>
          </cell>
          <cell r="H38">
            <v>466.85715329250854</v>
          </cell>
          <cell r="I38" t="str">
            <v>Ordinary Shares</v>
          </cell>
          <cell r="J38" t="str">
            <v>Ordinary Shares</v>
          </cell>
          <cell r="K38">
            <v>1749.9</v>
          </cell>
          <cell r="L38">
            <v>1795.1</v>
          </cell>
          <cell r="M38">
            <v>1877.9</v>
          </cell>
          <cell r="N38">
            <v>1948.3319259387299</v>
          </cell>
          <cell r="O38">
            <v>2025.1848916096794</v>
          </cell>
          <cell r="P38">
            <v>2110.3130230422394</v>
          </cell>
        </row>
        <row r="39">
          <cell r="B39" t="str">
            <v>- Dividends</v>
          </cell>
          <cell r="C39">
            <v>-328.3</v>
          </cell>
          <cell r="D39">
            <v>-308.70000000000005</v>
          </cell>
          <cell r="E39">
            <v>-361.99389244253899</v>
          </cell>
          <cell r="F39">
            <v>-346.69500250295692</v>
          </cell>
          <cell r="G39">
            <v>-376.75213260326893</v>
          </cell>
          <cell r="H39">
            <v>-428.31755516127788</v>
          </cell>
          <cell r="I39" t="str">
            <v>Reserves</v>
          </cell>
          <cell r="J39" t="str">
            <v>Reserves</v>
          </cell>
          <cell r="K39">
            <v>-849</v>
          </cell>
          <cell r="L39">
            <v>-1049.8</v>
          </cell>
          <cell r="M39">
            <v>-680.9</v>
          </cell>
          <cell r="N39">
            <v>-680.9</v>
          </cell>
          <cell r="O39">
            <v>-680.9</v>
          </cell>
          <cell r="P39">
            <v>-680.9</v>
          </cell>
        </row>
        <row r="40">
          <cell r="B40" t="str">
            <v>+ proceeds from share issues</v>
          </cell>
          <cell r="C40">
            <v>-0.39999999999999947</v>
          </cell>
          <cell r="D40">
            <v>5.6000000000000014</v>
          </cell>
          <cell r="E40">
            <v>36.130730932069206</v>
          </cell>
          <cell r="F40">
            <v>34.609066221590687</v>
          </cell>
          <cell r="G40">
            <v>37.604115085914863</v>
          </cell>
          <cell r="H40">
            <v>-405.23677261141648</v>
          </cell>
          <cell r="I40" t="str">
            <v>Retained profits</v>
          </cell>
          <cell r="J40">
            <v>2363.4</v>
          </cell>
          <cell r="K40">
            <v>2376.1999999999998</v>
          </cell>
          <cell r="L40">
            <v>2672.3768210893495</v>
          </cell>
          <cell r="M40">
            <v>3019.0718235923064</v>
          </cell>
          <cell r="N40">
            <v>3395.8239561955756</v>
          </cell>
          <cell r="O40">
            <v>3099.9959200560261</v>
          </cell>
          <cell r="P40">
            <v>3330.6284497582524</v>
          </cell>
        </row>
        <row r="41">
          <cell r="B41" t="str">
            <v>Financing Cash Flows</v>
          </cell>
          <cell r="C41">
            <v>-275.7</v>
          </cell>
          <cell r="D41">
            <v>-758.1</v>
          </cell>
          <cell r="E41">
            <v>-325.86316151046981</v>
          </cell>
          <cell r="F41">
            <v>-312.08593628136623</v>
          </cell>
          <cell r="G41">
            <v>-339.14801751735405</v>
          </cell>
          <cell r="H41">
            <v>-343.189423728718</v>
          </cell>
          <cell r="I41" t="str">
            <v>SHF</v>
          </cell>
          <cell r="J41" t="str">
            <v>SHF</v>
          </cell>
          <cell r="K41">
            <v>3264.3</v>
          </cell>
          <cell r="L41">
            <v>3121.5</v>
          </cell>
          <cell r="M41">
            <v>3853</v>
          </cell>
          <cell r="N41">
            <v>4159.3277281487171</v>
          </cell>
          <cell r="O41">
            <v>4444.2808116657052</v>
          </cell>
          <cell r="P41">
            <v>4760.0414728004916</v>
          </cell>
        </row>
        <row r="42">
          <cell r="B42" t="str">
            <v>Net cash flow</v>
          </cell>
          <cell r="C42">
            <v>-304.39999999999992</v>
          </cell>
          <cell r="D42">
            <v>-889.99999999999989</v>
          </cell>
          <cell r="E42">
            <v>-141.94353308137363</v>
          </cell>
          <cell r="F42">
            <v>-170.57426309594723</v>
          </cell>
          <cell r="G42">
            <v>-144.194823742072</v>
          </cell>
          <cell r="H42">
            <v>123.66772956379054</v>
          </cell>
          <cell r="I42" t="str">
            <v>Preference Shares</v>
          </cell>
          <cell r="J42" t="str">
            <v>Preference Shares</v>
          </cell>
          <cell r="K42">
            <v>490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</row>
        <row r="43">
          <cell r="I43" t="str">
            <v>Minorities</v>
          </cell>
          <cell r="J43" t="str">
            <v>Minorities</v>
          </cell>
          <cell r="K43">
            <v>121.3</v>
          </cell>
          <cell r="L43">
            <v>125</v>
          </cell>
          <cell r="M43">
            <v>141.1</v>
          </cell>
          <cell r="N43">
            <v>161.38380187841929</v>
          </cell>
          <cell r="O43">
            <v>182.76209703248838</v>
          </cell>
          <cell r="P43">
            <v>205.27773320379572</v>
          </cell>
        </row>
        <row r="44">
          <cell r="B44" t="str">
            <v>Price target</v>
          </cell>
          <cell r="C44">
            <v>20.371649827118414</v>
          </cell>
          <cell r="D44">
            <v>17</v>
          </cell>
          <cell r="I44" t="str">
            <v xml:space="preserve">Total equity </v>
          </cell>
          <cell r="J44" t="str">
            <v xml:space="preserve">Total equity </v>
          </cell>
          <cell r="K44">
            <v>3875.6000000000004</v>
          </cell>
          <cell r="L44">
            <v>3246.5</v>
          </cell>
          <cell r="M44">
            <v>3994.1</v>
          </cell>
          <cell r="N44">
            <v>4320.7115300271362</v>
          </cell>
          <cell r="O44">
            <v>4627.042908698194</v>
          </cell>
          <cell r="P44">
            <v>4965.3192060042875</v>
          </cell>
        </row>
        <row r="45">
          <cell r="B45" t="str">
            <v>Ratio's (at last close)</v>
          </cell>
          <cell r="C45" t="str">
            <v>FY11A</v>
          </cell>
          <cell r="D45" t="str">
            <v>FY12A</v>
          </cell>
          <cell r="E45" t="str">
            <v>FY13E</v>
          </cell>
          <cell r="F45" t="str">
            <v>FY14E</v>
          </cell>
          <cell r="G45" t="str">
            <v>FY15E</v>
          </cell>
          <cell r="H45" t="str">
            <v>FY16E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</row>
        <row r="46">
          <cell r="B46" t="str">
            <v>P/E</v>
          </cell>
          <cell r="C46">
            <v>12.758665928462714</v>
          </cell>
          <cell r="D46">
            <v>11.813941374109403</v>
          </cell>
          <cell r="E46">
            <v>12.851887144850155</v>
          </cell>
          <cell r="F46">
            <v>12.243582522962912</v>
          </cell>
          <cell r="G46">
            <v>11.30777350804607</v>
          </cell>
          <cell r="H46">
            <v>11.805251504533434</v>
          </cell>
          <cell r="I46" t="str">
            <v xml:space="preserve">Ratio's </v>
          </cell>
          <cell r="J46" t="str">
            <v xml:space="preserve">Ratio's </v>
          </cell>
          <cell r="K46" t="str">
            <v>FY11A</v>
          </cell>
          <cell r="L46" t="str">
            <v>FY12A</v>
          </cell>
          <cell r="M46" t="str">
            <v>FY13A</v>
          </cell>
          <cell r="N46" t="str">
            <v>FY14E</v>
          </cell>
          <cell r="O46" t="str">
            <v>FY15E</v>
          </cell>
          <cell r="P46" t="str">
            <v>FY16E</v>
          </cell>
        </row>
        <row r="47">
          <cell r="B47" t="str">
            <v>EV/EBITDA</v>
          </cell>
          <cell r="C47">
            <v>7.9062332950922665</v>
          </cell>
          <cell r="D47">
            <v>7.8829122420674498</v>
          </cell>
          <cell r="E47">
            <v>8.066627795137828</v>
          </cell>
          <cell r="F47">
            <v>7.6194059081727188</v>
          </cell>
          <cell r="G47">
            <v>7.0875251555289172</v>
          </cell>
          <cell r="H47">
            <v>7.2726110893277864</v>
          </cell>
          <cell r="I47" t="str">
            <v>Capex / sales</v>
          </cell>
          <cell r="J47" t="str">
            <v>Capex / sales</v>
          </cell>
          <cell r="K47">
            <v>-0.12220804084237398</v>
          </cell>
          <cell r="L47">
            <v>-9.9382935801590119E-2</v>
          </cell>
          <cell r="M47">
            <v>-0.11179784184063042</v>
          </cell>
          <cell r="N47">
            <v>-7.9629582536395307E-2</v>
          </cell>
          <cell r="O47">
            <v>-6.6109684524597381E-2</v>
          </cell>
          <cell r="P47">
            <v>-5.3991330489869691E-2</v>
          </cell>
        </row>
        <row r="48">
          <cell r="B48" t="str">
            <v>FCF</v>
          </cell>
          <cell r="C48">
            <v>-3.4150452920751243E-3</v>
          </cell>
          <cell r="D48">
            <v>-1.5622978469608993E-2</v>
          </cell>
          <cell r="E48">
            <v>2.170199657300341E-2</v>
          </cell>
          <cell r="F48">
            <v>1.6639864904865655E-2</v>
          </cell>
          <cell r="G48">
            <v>2.2837509379266263E-2</v>
          </cell>
          <cell r="H48">
            <v>5.9641759806837613E-2</v>
          </cell>
          <cell r="I48" t="str">
            <v>Asset turn</v>
          </cell>
          <cell r="J48" t="str">
            <v>Asset turn</v>
          </cell>
          <cell r="K48">
            <v>0.8216879473532418</v>
          </cell>
          <cell r="L48">
            <v>0.88430662679049277</v>
          </cell>
          <cell r="M48">
            <v>0.80679506700917092</v>
          </cell>
          <cell r="N48">
            <v>0.80594364685930353</v>
          </cell>
          <cell r="O48">
            <v>0.82015896346670025</v>
          </cell>
          <cell r="P48">
            <v>0.84364710115600117</v>
          </cell>
        </row>
        <row r="49">
          <cell r="B49" t="str">
            <v>Dividend yield</v>
          </cell>
          <cell r="C49">
            <v>3.9771940743618929E-2</v>
          </cell>
          <cell r="D49">
            <v>3.9844088349935039E-2</v>
          </cell>
          <cell r="E49">
            <v>4.2795271527138259E-2</v>
          </cell>
          <cell r="F49">
            <v>4.0837720419023359E-2</v>
          </cell>
          <cell r="G49">
            <v>4.421736955062143E-2</v>
          </cell>
          <cell r="H49">
            <v>5.5060241600984786E-2</v>
          </cell>
          <cell r="I49" t="str">
            <v>Asset replacement ratio</v>
          </cell>
          <cell r="J49" t="str">
            <v>Asset replacement ratio</v>
          </cell>
          <cell r="K49">
            <v>3.4165923282783233</v>
          </cell>
          <cell r="L49">
            <v>2.6650755767700876</v>
          </cell>
          <cell r="M49">
            <v>2.728551336146273</v>
          </cell>
          <cell r="N49">
            <v>1.8706889303512217</v>
          </cell>
          <cell r="O49">
            <v>1.5615930880833979</v>
          </cell>
          <cell r="P49">
            <v>1.3049504889161647</v>
          </cell>
        </row>
        <row r="50">
          <cell r="B50" t="str">
            <v xml:space="preserve">ROE </v>
          </cell>
          <cell r="C50">
            <v>0.16952213850758588</v>
          </cell>
          <cell r="D50">
            <v>0.21962113044817491</v>
          </cell>
          <cell r="E50">
            <v>0.18288299068848932</v>
          </cell>
          <cell r="F50">
            <v>0.17328384809121378</v>
          </cell>
          <cell r="G50">
            <v>0.16974917049230895</v>
          </cell>
          <cell r="H50">
            <v>0.13271051820126134</v>
          </cell>
          <cell r="I50" t="str">
            <v>Working capital / sales</v>
          </cell>
          <cell r="J50" t="str">
            <v>Working capital / sales</v>
          </cell>
          <cell r="K50">
            <v>6.6225271218889589E-2</v>
          </cell>
          <cell r="L50">
            <v>9.9382935801590119E-2</v>
          </cell>
          <cell r="M50">
            <v>8.7579778421287655E-2</v>
          </cell>
          <cell r="N50">
            <v>8.3999999999999977E-2</v>
          </cell>
          <cell r="O50">
            <v>8.8999999999999996E-2</v>
          </cell>
          <cell r="P50">
            <v>9.3999999999999972E-2</v>
          </cell>
        </row>
        <row r="51">
          <cell r="B51" t="str">
            <v>ROIC</v>
          </cell>
          <cell r="C51">
            <v>0.14514225717444207</v>
          </cell>
          <cell r="D51">
            <v>0.14931156819772662</v>
          </cell>
          <cell r="E51">
            <v>0.12995282389792093</v>
          </cell>
          <cell r="F51">
            <v>0.12609472723430495</v>
          </cell>
          <cell r="G51">
            <v>0.12570467927600573</v>
          </cell>
          <cell r="H51">
            <v>0.10828532534857618</v>
          </cell>
          <cell r="I51" t="str">
            <v>EBIT / Net Interest</v>
          </cell>
          <cell r="J51" t="str">
            <v>EBIT / Net Interest</v>
          </cell>
          <cell r="K51">
            <v>6.5376947040498443</v>
          </cell>
          <cell r="L51">
            <v>6.6903187011425134</v>
          </cell>
          <cell r="M51">
            <v>6.075262183837137</v>
          </cell>
          <cell r="N51">
            <v>6.5857776715880929</v>
          </cell>
          <cell r="O51">
            <v>6.5957550609768907</v>
          </cell>
          <cell r="P51">
            <v>7.1927157858157349</v>
          </cell>
        </row>
        <row r="52">
          <cell r="B52" t="str">
            <v>ROA</v>
          </cell>
          <cell r="C52">
            <v>8.9891637478108563E-2</v>
          </cell>
          <cell r="D52">
            <v>9.3497160990833855E-2</v>
          </cell>
          <cell r="E52">
            <v>8.3279569058261629E-2</v>
          </cell>
          <cell r="F52">
            <v>8.1586082453532535E-2</v>
          </cell>
          <cell r="G52">
            <v>8.2384078532209762E-2</v>
          </cell>
          <cell r="H52">
            <v>7.0542499015649809E-2</v>
          </cell>
          <cell r="I52" t="str">
            <v>ND / ND + E</v>
          </cell>
          <cell r="J52" t="str">
            <v>ND / ND + E</v>
          </cell>
          <cell r="K52">
            <v>0.26809185677594799</v>
          </cell>
          <cell r="L52">
            <v>0.41568726264826045</v>
          </cell>
          <cell r="M52">
            <v>0.37050229318034955</v>
          </cell>
          <cell r="N52">
            <v>0.35202312999320384</v>
          </cell>
          <cell r="O52">
            <v>0.3387680446364067</v>
          </cell>
          <cell r="P52">
            <v>0.31154060131007477</v>
          </cell>
        </row>
        <row r="53">
          <cell r="I53" t="str">
            <v>Cash generation</v>
          </cell>
          <cell r="J53" t="str">
            <v>Cash generation</v>
          </cell>
          <cell r="K53">
            <v>0.87868815251929211</v>
          </cell>
          <cell r="L53">
            <v>0.59746992948983846</v>
          </cell>
          <cell r="M53">
            <v>1.200564334085779</v>
          </cell>
          <cell r="N53">
            <v>0.97873241268995093</v>
          </cell>
          <cell r="O53">
            <v>0.88210773886525595</v>
          </cell>
          <cell r="P53">
            <v>0.91987110108635517</v>
          </cell>
        </row>
        <row r="54">
          <cell r="B54" t="str">
            <v>Assumptions</v>
          </cell>
          <cell r="C54" t="str">
            <v>FY11A</v>
          </cell>
          <cell r="D54" t="str">
            <v>FY12A</v>
          </cell>
          <cell r="E54" t="str">
            <v>FY13E</v>
          </cell>
          <cell r="F54" t="str">
            <v>FY14E</v>
          </cell>
          <cell r="G54" t="str">
            <v>FY15E</v>
          </cell>
          <cell r="H54" t="str">
            <v>FY16E</v>
          </cell>
        </row>
        <row r="55">
          <cell r="B55" t="str">
            <v>AUD / USD</v>
          </cell>
          <cell r="C55">
            <v>1.0249999999999999</v>
          </cell>
          <cell r="D55">
            <v>1.032</v>
          </cell>
          <cell r="E55">
            <v>1.0234000000000001</v>
          </cell>
          <cell r="F55">
            <v>0.95</v>
          </cell>
          <cell r="G55">
            <v>0.85562818610227143</v>
          </cell>
          <cell r="H55">
            <v>0.8</v>
          </cell>
        </row>
        <row r="56">
          <cell r="B56" t="str">
            <v>AUD / EUR</v>
          </cell>
          <cell r="C56">
            <v>0.73197198582677603</v>
          </cell>
          <cell r="D56">
            <v>0.78415542829405838</v>
          </cell>
          <cell r="E56">
            <v>0.78585461689587432</v>
          </cell>
          <cell r="F56">
            <v>0.80094359594360931</v>
          </cell>
          <cell r="G56">
            <v>0.74402450965414912</v>
          </cell>
          <cell r="H56">
            <v>0.65</v>
          </cell>
        </row>
        <row r="61">
          <cell r="C61">
            <v>23.09</v>
          </cell>
          <cell r="D61">
            <v>20.56</v>
          </cell>
        </row>
        <row r="65">
          <cell r="C65" t="str">
            <v>PT correct in model</v>
          </cell>
          <cell r="D65" t="str">
            <v>PT correct in model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>
        <row r="26">
          <cell r="A26" t="str">
            <v>Capex / Sales (%)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F"/>
      <sheetName val="EAF"/>
      <sheetName val="Chart"/>
      <sheetName val="China Spot HRC - CC Analysis"/>
      <sheetName val="China Spot Rebar - CC Analysis"/>
      <sheetName val="data"/>
      <sheetName val="test data "/>
    </sheetNames>
    <sheetDataSet>
      <sheetData sheetId="0" refreshError="1">
        <row r="5">
          <cell r="C5" t="str">
            <v>2008e:</v>
          </cell>
          <cell r="L5" t="str">
            <v>2007e:</v>
          </cell>
        </row>
        <row r="6">
          <cell r="C6" t="str">
            <v>Integrated steelmaking - crude steel - cost model for 'Average Contracted' mill</v>
          </cell>
          <cell r="L6" t="str">
            <v>Integrated steelmaking - crude steel - cost model for 'Average Contracted' mill</v>
          </cell>
          <cell r="T6" t="str">
            <v>Regional Average 2009e:</v>
          </cell>
        </row>
        <row r="7">
          <cell r="C7" t="str">
            <v>Item $/unit</v>
          </cell>
          <cell r="D7" t="str">
            <v>Factor</v>
          </cell>
          <cell r="E7" t="str">
            <v>Unit</v>
          </cell>
          <cell r="F7" t="str">
            <v>Unit cost</v>
          </cell>
          <cell r="G7" t="str">
            <v>Fixed</v>
          </cell>
          <cell r="H7" t="str">
            <v>Variable</v>
          </cell>
          <cell r="I7" t="str">
            <v>Total</v>
          </cell>
          <cell r="L7" t="str">
            <v>Item $/unit</v>
          </cell>
          <cell r="M7" t="str">
            <v>Factor</v>
          </cell>
          <cell r="N7" t="str">
            <v>Unit</v>
          </cell>
          <cell r="O7" t="str">
            <v>Unit cost</v>
          </cell>
          <cell r="P7" t="str">
            <v>Fixed</v>
          </cell>
          <cell r="Q7" t="str">
            <v>Variable</v>
          </cell>
          <cell r="R7" t="str">
            <v>Total</v>
          </cell>
          <cell r="T7" t="str">
            <v xml:space="preserve">Integrated steelmaking - Crude steel cash cost model </v>
          </cell>
        </row>
        <row r="8">
          <cell r="C8" t="str">
            <v>Iron ore</v>
          </cell>
          <cell r="D8">
            <v>1.7649999999999999</v>
          </cell>
          <cell r="E8" t="str">
            <v>t</v>
          </cell>
          <cell r="F8">
            <v>88.032000000000011</v>
          </cell>
          <cell r="H8">
            <v>155.37648000000002</v>
          </cell>
          <cell r="I8">
            <v>155.37648000000002</v>
          </cell>
          <cell r="L8" t="str">
            <v>Iron ore</v>
          </cell>
          <cell r="M8">
            <v>1.7649999999999999</v>
          </cell>
          <cell r="N8" t="str">
            <v>t</v>
          </cell>
          <cell r="O8">
            <v>53.430000000000007</v>
          </cell>
          <cell r="Q8">
            <v>94.30395</v>
          </cell>
          <cell r="R8">
            <v>94.30395</v>
          </cell>
          <cell r="T8" t="str">
            <v>Item $/unit</v>
          </cell>
          <cell r="U8" t="str">
            <v>Factor</v>
          </cell>
          <cell r="V8" t="str">
            <v>Unit</v>
          </cell>
          <cell r="W8" t="str">
            <v>Unit cost</v>
          </cell>
          <cell r="X8" t="str">
            <v>Fixed</v>
          </cell>
          <cell r="Y8" t="str">
            <v>Variable</v>
          </cell>
          <cell r="Z8" t="str">
            <v>Total</v>
          </cell>
        </row>
        <row r="9">
          <cell r="C9" t="str">
            <v>Iron ore transport</v>
          </cell>
          <cell r="D9">
            <v>1.7649999999999999</v>
          </cell>
          <cell r="E9" t="str">
            <v>t</v>
          </cell>
          <cell r="F9">
            <v>40</v>
          </cell>
          <cell r="H9">
            <v>70.599999999999994</v>
          </cell>
          <cell r="I9">
            <v>70.599999999999994</v>
          </cell>
          <cell r="L9" t="str">
            <v>Iron ore transport</v>
          </cell>
          <cell r="M9">
            <v>1.7649999999999999</v>
          </cell>
          <cell r="N9" t="str">
            <v>t</v>
          </cell>
          <cell r="O9">
            <v>35</v>
          </cell>
          <cell r="Q9">
            <v>61.774999999999999</v>
          </cell>
          <cell r="R9">
            <v>61.774999999999999</v>
          </cell>
          <cell r="T9" t="str">
            <v>Iron ore</v>
          </cell>
          <cell r="U9">
            <v>1.7</v>
          </cell>
          <cell r="V9" t="str">
            <v>t</v>
          </cell>
          <cell r="W9">
            <v>56.23</v>
          </cell>
          <cell r="Y9">
            <v>95.590999999999994</v>
          </cell>
          <cell r="Z9">
            <v>95.590999999999994</v>
          </cell>
        </row>
        <row r="10">
          <cell r="C10" t="str">
            <v>Coking coal</v>
          </cell>
          <cell r="D10">
            <v>0.69699999999999995</v>
          </cell>
          <cell r="E10" t="str">
            <v>t</v>
          </cell>
          <cell r="F10">
            <v>300</v>
          </cell>
          <cell r="H10">
            <v>209.1</v>
          </cell>
          <cell r="I10">
            <v>209.1</v>
          </cell>
          <cell r="L10" t="str">
            <v>Coking coal</v>
          </cell>
          <cell r="M10">
            <v>0.69699999999999995</v>
          </cell>
          <cell r="N10" t="str">
            <v>t</v>
          </cell>
          <cell r="O10">
            <v>96</v>
          </cell>
          <cell r="Q10">
            <v>66.911999999999992</v>
          </cell>
          <cell r="R10">
            <v>66.911999999999992</v>
          </cell>
          <cell r="T10" t="str">
            <v>Iron ore transport</v>
          </cell>
          <cell r="U10">
            <v>1.7</v>
          </cell>
          <cell r="V10" t="str">
            <v>t</v>
          </cell>
          <cell r="W10">
            <v>15</v>
          </cell>
          <cell r="Y10">
            <v>25.5</v>
          </cell>
          <cell r="Z10">
            <v>25.5</v>
          </cell>
        </row>
        <row r="11">
          <cell r="C11" t="str">
            <v>Coking coal transport</v>
          </cell>
          <cell r="D11">
            <v>0.69699999999999995</v>
          </cell>
          <cell r="E11" t="str">
            <v>t</v>
          </cell>
          <cell r="F11">
            <v>40</v>
          </cell>
          <cell r="H11">
            <v>27.88</v>
          </cell>
          <cell r="I11">
            <v>27.88</v>
          </cell>
          <cell r="L11" t="str">
            <v>Coking coal transport</v>
          </cell>
          <cell r="M11">
            <v>0.69699999999999995</v>
          </cell>
          <cell r="N11" t="str">
            <v>t</v>
          </cell>
          <cell r="O11">
            <v>35</v>
          </cell>
          <cell r="Q11">
            <v>24.395</v>
          </cell>
          <cell r="R11">
            <v>24.395</v>
          </cell>
          <cell r="T11" t="str">
            <v>Coking coal</v>
          </cell>
          <cell r="U11">
            <v>0.7</v>
          </cell>
          <cell r="V11" t="str">
            <v>t</v>
          </cell>
          <cell r="W11">
            <v>120</v>
          </cell>
          <cell r="Y11">
            <v>84</v>
          </cell>
          <cell r="Z11">
            <v>84</v>
          </cell>
        </row>
        <row r="12">
          <cell r="C12" t="str">
            <v>Steel scrap</v>
          </cell>
          <cell r="D12">
            <v>0.13600000000000001</v>
          </cell>
          <cell r="E12" t="str">
            <v>t</v>
          </cell>
          <cell r="F12">
            <v>700</v>
          </cell>
          <cell r="H12">
            <v>95.2</v>
          </cell>
          <cell r="I12">
            <v>95.2</v>
          </cell>
          <cell r="L12" t="str">
            <v>Steel scrap</v>
          </cell>
          <cell r="M12">
            <v>0.13600000000000001</v>
          </cell>
          <cell r="N12" t="str">
            <v>t</v>
          </cell>
          <cell r="O12">
            <v>350</v>
          </cell>
          <cell r="Q12">
            <v>47.6</v>
          </cell>
          <cell r="R12">
            <v>47.6</v>
          </cell>
          <cell r="T12" t="str">
            <v>Coking coal transport</v>
          </cell>
          <cell r="U12">
            <v>0.7</v>
          </cell>
          <cell r="V12" t="str">
            <v>t</v>
          </cell>
          <cell r="W12">
            <v>10</v>
          </cell>
          <cell r="Y12">
            <v>7</v>
          </cell>
          <cell r="Z12">
            <v>7</v>
          </cell>
        </row>
        <row r="13">
          <cell r="C13" t="str">
            <v>Scrap delivery</v>
          </cell>
          <cell r="D13">
            <v>0.13600000000000001</v>
          </cell>
          <cell r="E13" t="str">
            <v>t</v>
          </cell>
          <cell r="F13">
            <v>10</v>
          </cell>
          <cell r="H13">
            <v>1.36</v>
          </cell>
          <cell r="I13">
            <v>1.36</v>
          </cell>
          <cell r="L13" t="str">
            <v>Scrap delivery</v>
          </cell>
          <cell r="M13">
            <v>0.13600000000000001</v>
          </cell>
          <cell r="N13" t="str">
            <v>t</v>
          </cell>
          <cell r="O13">
            <v>10</v>
          </cell>
          <cell r="Q13">
            <v>1.36</v>
          </cell>
          <cell r="R13">
            <v>1.36</v>
          </cell>
          <cell r="T13" t="str">
            <v>Steel scrap</v>
          </cell>
          <cell r="U13">
            <v>0.18</v>
          </cell>
          <cell r="V13" t="str">
            <v>t</v>
          </cell>
          <cell r="W13">
            <v>250</v>
          </cell>
          <cell r="Y13">
            <v>45</v>
          </cell>
          <cell r="Z13">
            <v>45</v>
          </cell>
        </row>
        <row r="14">
          <cell r="C14" t="str">
            <v>Oxygen</v>
          </cell>
          <cell r="D14">
            <v>210</v>
          </cell>
          <cell r="E14" t="str">
            <v>m 3</v>
          </cell>
          <cell r="F14">
            <v>0.09</v>
          </cell>
          <cell r="H14">
            <v>18.899999999999999</v>
          </cell>
          <cell r="I14">
            <v>18.899999999999999</v>
          </cell>
          <cell r="L14" t="str">
            <v>Oxygen</v>
          </cell>
          <cell r="M14">
            <v>210</v>
          </cell>
          <cell r="N14" t="str">
            <v>m 3</v>
          </cell>
          <cell r="O14">
            <v>0.09</v>
          </cell>
          <cell r="Q14">
            <v>18.899999999999999</v>
          </cell>
          <cell r="R14">
            <v>18.899999999999999</v>
          </cell>
          <cell r="T14" t="str">
            <v>Scrap delivery</v>
          </cell>
          <cell r="U14">
            <v>0.18</v>
          </cell>
          <cell r="V14" t="str">
            <v>t</v>
          </cell>
          <cell r="W14">
            <v>20</v>
          </cell>
          <cell r="Y14">
            <v>3.5999999999999996</v>
          </cell>
          <cell r="Z14">
            <v>3.5999999999999996</v>
          </cell>
        </row>
        <row r="15">
          <cell r="C15" t="str">
            <v>Ferroalloys</v>
          </cell>
          <cell r="D15">
            <v>1.0999999999999999E-2</v>
          </cell>
          <cell r="E15" t="str">
            <v>t</v>
          </cell>
          <cell r="F15">
            <v>2500</v>
          </cell>
          <cell r="H15">
            <v>27.5</v>
          </cell>
          <cell r="I15">
            <v>27.5</v>
          </cell>
          <cell r="L15" t="str">
            <v>Ferroalloys</v>
          </cell>
          <cell r="M15">
            <v>1.0999999999999999E-2</v>
          </cell>
          <cell r="N15" t="str">
            <v>t</v>
          </cell>
          <cell r="O15">
            <v>2000</v>
          </cell>
          <cell r="Q15">
            <v>22</v>
          </cell>
          <cell r="R15">
            <v>22</v>
          </cell>
          <cell r="T15" t="str">
            <v>Oxygen</v>
          </cell>
          <cell r="U15">
            <v>210</v>
          </cell>
          <cell r="V15" t="str">
            <v>m 3</v>
          </cell>
          <cell r="W15">
            <v>0.1</v>
          </cell>
          <cell r="Y15">
            <v>21</v>
          </cell>
          <cell r="Z15">
            <v>21</v>
          </cell>
        </row>
        <row r="16">
          <cell r="C16" t="str">
            <v>Fluxes</v>
          </cell>
          <cell r="D16">
            <v>0.56000000000000005</v>
          </cell>
          <cell r="E16" t="str">
            <v>t</v>
          </cell>
          <cell r="F16">
            <v>40</v>
          </cell>
          <cell r="H16">
            <v>22.400000000000002</v>
          </cell>
          <cell r="I16">
            <v>22.400000000000002</v>
          </cell>
          <cell r="L16" t="str">
            <v>Fluxes</v>
          </cell>
          <cell r="M16">
            <v>0.56000000000000005</v>
          </cell>
          <cell r="N16" t="str">
            <v>t</v>
          </cell>
          <cell r="O16">
            <v>40</v>
          </cell>
          <cell r="Q16">
            <v>22.400000000000002</v>
          </cell>
          <cell r="R16">
            <v>22.400000000000002</v>
          </cell>
          <cell r="T16" t="str">
            <v>Ferroalloys</v>
          </cell>
          <cell r="U16">
            <v>1.0999999999999999E-2</v>
          </cell>
          <cell r="V16" t="str">
            <v>t</v>
          </cell>
          <cell r="W16">
            <v>2500</v>
          </cell>
          <cell r="Y16">
            <v>27.5</v>
          </cell>
          <cell r="Z16">
            <v>27.5</v>
          </cell>
        </row>
        <row r="17">
          <cell r="C17" t="str">
            <v>Refractories</v>
          </cell>
          <cell r="D17">
            <v>1.0999999999999999E-2</v>
          </cell>
          <cell r="E17" t="str">
            <v>t</v>
          </cell>
          <cell r="F17">
            <v>700</v>
          </cell>
          <cell r="H17">
            <v>7.6999999999999993</v>
          </cell>
          <cell r="I17">
            <v>7.6999999999999993</v>
          </cell>
          <cell r="L17" t="str">
            <v>Refractories</v>
          </cell>
          <cell r="M17">
            <v>1.0999999999999999E-2</v>
          </cell>
          <cell r="N17" t="str">
            <v>t</v>
          </cell>
          <cell r="O17">
            <v>700</v>
          </cell>
          <cell r="Q17">
            <v>7.6999999999999993</v>
          </cell>
          <cell r="R17">
            <v>7.6999999999999993</v>
          </cell>
          <cell r="T17" t="str">
            <v>Fluxes</v>
          </cell>
          <cell r="U17">
            <v>0.56000000000000005</v>
          </cell>
          <cell r="V17" t="str">
            <v>t</v>
          </cell>
          <cell r="W17">
            <v>50</v>
          </cell>
          <cell r="Y17">
            <v>28.000000000000004</v>
          </cell>
          <cell r="Z17">
            <v>28.000000000000004</v>
          </cell>
        </row>
        <row r="18">
          <cell r="C18" t="str">
            <v>Other costs</v>
          </cell>
          <cell r="G18">
            <v>5</v>
          </cell>
          <cell r="H18">
            <v>15</v>
          </cell>
          <cell r="I18">
            <v>20</v>
          </cell>
          <cell r="L18" t="str">
            <v>Other costs</v>
          </cell>
          <cell r="P18">
            <v>5</v>
          </cell>
          <cell r="Q18">
            <v>15</v>
          </cell>
          <cell r="R18">
            <v>20</v>
          </cell>
          <cell r="T18" t="str">
            <v>Refractories</v>
          </cell>
          <cell r="U18">
            <v>1.0999999999999999E-2</v>
          </cell>
          <cell r="V18" t="str">
            <v>t</v>
          </cell>
          <cell r="W18">
            <v>700</v>
          </cell>
          <cell r="Y18">
            <v>7.6999999999999993</v>
          </cell>
          <cell r="Z18">
            <v>7.6999999999999993</v>
          </cell>
        </row>
        <row r="19">
          <cell r="C19" t="str">
            <v>By-product credits</v>
          </cell>
          <cell r="H19">
            <v>-40</v>
          </cell>
          <cell r="I19">
            <v>-40</v>
          </cell>
          <cell r="L19" t="str">
            <v>By-product credits</v>
          </cell>
          <cell r="Q19">
            <v>-40</v>
          </cell>
          <cell r="R19">
            <v>-40</v>
          </cell>
          <cell r="T19" t="str">
            <v>Other costs</v>
          </cell>
          <cell r="X19">
            <v>10</v>
          </cell>
          <cell r="Y19">
            <v>15</v>
          </cell>
          <cell r="Z19">
            <v>25</v>
          </cell>
        </row>
        <row r="20">
          <cell r="C20" t="str">
            <v>Electricity</v>
          </cell>
          <cell r="D20">
            <v>0.129</v>
          </cell>
          <cell r="E20" t="str">
            <v>MWh</v>
          </cell>
          <cell r="F20">
            <v>70</v>
          </cell>
          <cell r="G20">
            <v>1.35</v>
          </cell>
          <cell r="H20">
            <v>7.68</v>
          </cell>
          <cell r="I20">
            <v>9.0299999999999994</v>
          </cell>
          <cell r="L20" t="str">
            <v>Electricity</v>
          </cell>
          <cell r="M20">
            <v>0.129</v>
          </cell>
          <cell r="N20" t="str">
            <v>MWh</v>
          </cell>
          <cell r="O20">
            <v>70</v>
          </cell>
          <cell r="P20">
            <v>1.35</v>
          </cell>
          <cell r="Q20">
            <v>7.68</v>
          </cell>
          <cell r="R20">
            <v>9.0299999999999994</v>
          </cell>
          <cell r="T20" t="str">
            <v>Electricity</v>
          </cell>
          <cell r="U20">
            <v>0.129</v>
          </cell>
          <cell r="V20" t="str">
            <v>MWh</v>
          </cell>
          <cell r="W20">
            <v>70</v>
          </cell>
          <cell r="X20">
            <v>1.35</v>
          </cell>
          <cell r="Y20">
            <v>9</v>
          </cell>
          <cell r="Z20">
            <v>10.35</v>
          </cell>
        </row>
        <row r="21">
          <cell r="C21" t="str">
            <v>Labour</v>
          </cell>
          <cell r="D21">
            <v>0.5</v>
          </cell>
          <cell r="E21" t="str">
            <v>Man hr</v>
          </cell>
          <cell r="F21">
            <v>30</v>
          </cell>
          <cell r="G21">
            <v>3.75</v>
          </cell>
          <cell r="H21">
            <v>11.25</v>
          </cell>
          <cell r="I21">
            <v>15</v>
          </cell>
          <cell r="L21" t="str">
            <v>Labour</v>
          </cell>
          <cell r="M21">
            <v>0.5</v>
          </cell>
          <cell r="N21" t="str">
            <v>Man hr</v>
          </cell>
          <cell r="O21">
            <v>30</v>
          </cell>
          <cell r="P21">
            <v>3.75</v>
          </cell>
          <cell r="Q21">
            <v>11.25</v>
          </cell>
          <cell r="R21">
            <v>15</v>
          </cell>
          <cell r="T21" t="str">
            <v>Labour</v>
          </cell>
          <cell r="U21">
            <v>0.5</v>
          </cell>
          <cell r="V21" t="str">
            <v>Man hr</v>
          </cell>
          <cell r="W21">
            <v>30</v>
          </cell>
          <cell r="X21">
            <v>3.75</v>
          </cell>
          <cell r="Y21">
            <v>11.25</v>
          </cell>
          <cell r="Z21">
            <v>15</v>
          </cell>
        </row>
        <row r="22">
          <cell r="C22" t="str">
            <v>Depreciation</v>
          </cell>
          <cell r="G22">
            <v>18</v>
          </cell>
          <cell r="I22">
            <v>18</v>
          </cell>
          <cell r="L22" t="str">
            <v>Depreciation</v>
          </cell>
          <cell r="P22">
            <v>18</v>
          </cell>
          <cell r="R22">
            <v>18</v>
          </cell>
          <cell r="T22" t="str">
            <v>Total Cash Cost</v>
          </cell>
          <cell r="X22">
            <v>15.1</v>
          </cell>
          <cell r="Y22">
            <v>380.14100000000002</v>
          </cell>
          <cell r="Z22">
            <v>395.24100000000004</v>
          </cell>
        </row>
        <row r="23">
          <cell r="C23" t="str">
            <v>Interest</v>
          </cell>
          <cell r="G23">
            <v>16</v>
          </cell>
          <cell r="I23">
            <v>16</v>
          </cell>
          <cell r="L23" t="str">
            <v>Interest</v>
          </cell>
          <cell r="P23">
            <v>16</v>
          </cell>
          <cell r="R23">
            <v>16</v>
          </cell>
        </row>
        <row r="24">
          <cell r="C24" t="str">
            <v>Total</v>
          </cell>
          <cell r="G24">
            <v>44.1</v>
          </cell>
          <cell r="H24">
            <v>629.94647999999995</v>
          </cell>
          <cell r="I24">
            <v>674.04647999999997</v>
          </cell>
          <cell r="L24" t="str">
            <v>Total</v>
          </cell>
          <cell r="P24">
            <v>44.1</v>
          </cell>
          <cell r="Q24">
            <v>361.27594999999997</v>
          </cell>
          <cell r="R24">
            <v>405.37594999999993</v>
          </cell>
        </row>
        <row r="27">
          <cell r="C27" t="str">
            <v>China Spot 2009e:</v>
          </cell>
          <cell r="L27" t="str">
            <v>China Spot 2007e:</v>
          </cell>
        </row>
        <row r="28">
          <cell r="C28" t="str">
            <v>Integrated steelmaking - HRC steel - cost model for 'Average Spot Iron Ore' mill</v>
          </cell>
          <cell r="L28" t="str">
            <v>Integrated steelmaking - crude steel - cost model for 'Average Spot Iron Ore' mill</v>
          </cell>
        </row>
        <row r="29">
          <cell r="C29" t="str">
            <v>Item $/unit</v>
          </cell>
          <cell r="D29" t="str">
            <v>Factor</v>
          </cell>
          <cell r="E29" t="str">
            <v>Unit</v>
          </cell>
          <cell r="F29" t="str">
            <v>Unit cost</v>
          </cell>
          <cell r="G29" t="str">
            <v>Fixed</v>
          </cell>
          <cell r="H29" t="str">
            <v>Variable</v>
          </cell>
          <cell r="I29" t="str">
            <v>Total</v>
          </cell>
          <cell r="L29" t="str">
            <v>Item $/unit</v>
          </cell>
          <cell r="M29" t="str">
            <v>Factor</v>
          </cell>
          <cell r="N29" t="str">
            <v>Unit</v>
          </cell>
          <cell r="O29" t="str">
            <v>Unit cost</v>
          </cell>
          <cell r="P29" t="str">
            <v>Fixed</v>
          </cell>
          <cell r="Q29" t="str">
            <v>Variable</v>
          </cell>
          <cell r="R29" t="str">
            <v>Total</v>
          </cell>
        </row>
        <row r="30">
          <cell r="C30" t="str">
            <v>Iron ore</v>
          </cell>
          <cell r="D30">
            <v>1.7</v>
          </cell>
          <cell r="E30" t="str">
            <v>t</v>
          </cell>
          <cell r="F30">
            <v>85</v>
          </cell>
          <cell r="H30">
            <v>144.5</v>
          </cell>
          <cell r="I30">
            <v>144.5</v>
          </cell>
          <cell r="L30" t="str">
            <v>Iron ore</v>
          </cell>
          <cell r="M30">
            <v>1.7649999999999999</v>
          </cell>
          <cell r="N30" t="str">
            <v>t</v>
          </cell>
          <cell r="O30">
            <v>100</v>
          </cell>
          <cell r="Q30">
            <v>176.5</v>
          </cell>
          <cell r="R30">
            <v>176.5</v>
          </cell>
        </row>
        <row r="31">
          <cell r="C31" t="str">
            <v>Iron ore transport</v>
          </cell>
          <cell r="D31">
            <v>1.7</v>
          </cell>
          <cell r="E31" t="str">
            <v>t</v>
          </cell>
          <cell r="F31">
            <v>10</v>
          </cell>
          <cell r="H31">
            <v>17</v>
          </cell>
          <cell r="I31">
            <v>17</v>
          </cell>
          <cell r="L31" t="str">
            <v>Iron ore transport</v>
          </cell>
          <cell r="M31">
            <v>1.7649999999999999</v>
          </cell>
          <cell r="N31" t="str">
            <v>t</v>
          </cell>
          <cell r="O31">
            <v>10</v>
          </cell>
          <cell r="Q31">
            <v>17.649999999999999</v>
          </cell>
          <cell r="R31">
            <v>17.649999999999999</v>
          </cell>
        </row>
        <row r="32">
          <cell r="C32" t="str">
            <v>Coking coal</v>
          </cell>
          <cell r="D32">
            <v>0.7</v>
          </cell>
          <cell r="E32" t="str">
            <v>t</v>
          </cell>
          <cell r="F32">
            <v>130</v>
          </cell>
          <cell r="H32">
            <v>91</v>
          </cell>
          <cell r="I32">
            <v>91</v>
          </cell>
          <cell r="L32" t="str">
            <v>Coking coal</v>
          </cell>
          <cell r="M32">
            <v>0.69699999999999995</v>
          </cell>
          <cell r="N32" t="str">
            <v>t</v>
          </cell>
          <cell r="O32">
            <v>80</v>
          </cell>
          <cell r="Q32">
            <v>55.76</v>
          </cell>
          <cell r="R32">
            <v>55.76</v>
          </cell>
        </row>
        <row r="33">
          <cell r="C33" t="str">
            <v>Coking coal transport</v>
          </cell>
          <cell r="D33">
            <v>0.7</v>
          </cell>
          <cell r="E33" t="str">
            <v>t</v>
          </cell>
          <cell r="F33">
            <v>10</v>
          </cell>
          <cell r="H33">
            <v>7</v>
          </cell>
          <cell r="I33">
            <v>7</v>
          </cell>
          <cell r="L33" t="str">
            <v>Coking coal transport</v>
          </cell>
          <cell r="M33">
            <v>0.69699999999999995</v>
          </cell>
          <cell r="N33" t="str">
            <v>t</v>
          </cell>
          <cell r="O33">
            <v>10</v>
          </cell>
          <cell r="Q33">
            <v>6.97</v>
          </cell>
          <cell r="R33">
            <v>6.97</v>
          </cell>
        </row>
        <row r="34">
          <cell r="C34" t="str">
            <v>Steel scrap</v>
          </cell>
          <cell r="D34">
            <v>0.18</v>
          </cell>
          <cell r="E34" t="str">
            <v>t</v>
          </cell>
          <cell r="F34">
            <v>250</v>
          </cell>
          <cell r="H34">
            <v>45</v>
          </cell>
          <cell r="I34">
            <v>45</v>
          </cell>
          <cell r="L34" t="str">
            <v>Steel scrap</v>
          </cell>
          <cell r="M34">
            <v>0.13600000000000001</v>
          </cell>
          <cell r="N34" t="str">
            <v>t</v>
          </cell>
          <cell r="O34">
            <v>350</v>
          </cell>
          <cell r="Q34">
            <v>47.6</v>
          </cell>
          <cell r="R34">
            <v>47.6</v>
          </cell>
        </row>
        <row r="35">
          <cell r="C35" t="str">
            <v>Scrap delivery</v>
          </cell>
          <cell r="D35">
            <v>0.18</v>
          </cell>
          <cell r="E35" t="str">
            <v>t</v>
          </cell>
          <cell r="F35">
            <v>10</v>
          </cell>
          <cell r="H35">
            <v>1.7999999999999998</v>
          </cell>
          <cell r="I35">
            <v>1.7999999999999998</v>
          </cell>
          <cell r="L35" t="str">
            <v>Scrap delivery</v>
          </cell>
          <cell r="M35">
            <v>0.13600000000000001</v>
          </cell>
          <cell r="N35" t="str">
            <v>t</v>
          </cell>
          <cell r="O35">
            <v>10</v>
          </cell>
          <cell r="Q35">
            <v>1.36</v>
          </cell>
          <cell r="R35">
            <v>1.36</v>
          </cell>
        </row>
        <row r="36">
          <cell r="C36" t="str">
            <v>Oxygen</v>
          </cell>
          <cell r="D36">
            <v>210</v>
          </cell>
          <cell r="E36" t="str">
            <v>m 3</v>
          </cell>
          <cell r="F36">
            <v>0.1</v>
          </cell>
          <cell r="H36">
            <v>21</v>
          </cell>
          <cell r="I36">
            <v>21</v>
          </cell>
          <cell r="L36" t="str">
            <v>Oxygen</v>
          </cell>
          <cell r="M36">
            <v>210</v>
          </cell>
          <cell r="N36" t="str">
            <v>m 3</v>
          </cell>
          <cell r="O36">
            <v>0.09</v>
          </cell>
          <cell r="Q36">
            <v>18.899999999999999</v>
          </cell>
          <cell r="R36">
            <v>18.899999999999999</v>
          </cell>
        </row>
        <row r="37">
          <cell r="C37" t="str">
            <v>Ferroalloys</v>
          </cell>
          <cell r="D37">
            <v>1.0999999999999999E-2</v>
          </cell>
          <cell r="E37" t="str">
            <v>t</v>
          </cell>
          <cell r="F37">
            <v>2500</v>
          </cell>
          <cell r="H37">
            <v>27.5</v>
          </cell>
          <cell r="I37">
            <v>27.5</v>
          </cell>
          <cell r="L37" t="str">
            <v>Ferroalloys</v>
          </cell>
          <cell r="M37">
            <v>1.0999999999999999E-2</v>
          </cell>
          <cell r="N37" t="str">
            <v>t</v>
          </cell>
          <cell r="O37">
            <v>2000</v>
          </cell>
          <cell r="Q37">
            <v>22</v>
          </cell>
          <cell r="R37">
            <v>22</v>
          </cell>
        </row>
        <row r="38">
          <cell r="C38" t="str">
            <v>Fluxes</v>
          </cell>
          <cell r="D38">
            <v>0.56000000000000005</v>
          </cell>
          <cell r="E38" t="str">
            <v>t</v>
          </cell>
          <cell r="F38">
            <v>40</v>
          </cell>
          <cell r="H38">
            <v>22.400000000000002</v>
          </cell>
          <cell r="I38">
            <v>22.400000000000002</v>
          </cell>
          <cell r="L38" t="str">
            <v>Fluxes</v>
          </cell>
          <cell r="M38">
            <v>0.56000000000000005</v>
          </cell>
          <cell r="N38" t="str">
            <v>t</v>
          </cell>
          <cell r="O38">
            <v>40</v>
          </cell>
          <cell r="Q38">
            <v>22.400000000000002</v>
          </cell>
          <cell r="R38">
            <v>22.400000000000002</v>
          </cell>
        </row>
        <row r="39">
          <cell r="C39" t="str">
            <v>Refractories</v>
          </cell>
          <cell r="D39">
            <v>1.0999999999999999E-2</v>
          </cell>
          <cell r="E39" t="str">
            <v>t</v>
          </cell>
          <cell r="F39">
            <v>700</v>
          </cell>
          <cell r="H39">
            <v>7.6999999999999993</v>
          </cell>
          <cell r="I39">
            <v>7.6999999999999993</v>
          </cell>
          <cell r="L39" t="str">
            <v>Refractories</v>
          </cell>
          <cell r="M39">
            <v>1.0999999999999999E-2</v>
          </cell>
          <cell r="N39" t="str">
            <v>t</v>
          </cell>
          <cell r="O39">
            <v>700</v>
          </cell>
          <cell r="Q39">
            <v>7.6999999999999993</v>
          </cell>
          <cell r="R39">
            <v>7.6999999999999993</v>
          </cell>
        </row>
        <row r="40">
          <cell r="C40" t="str">
            <v>Other costs</v>
          </cell>
          <cell r="G40">
            <v>5</v>
          </cell>
          <cell r="H40">
            <v>10</v>
          </cell>
          <cell r="I40">
            <v>15</v>
          </cell>
          <cell r="L40" t="str">
            <v>Other costs</v>
          </cell>
          <cell r="P40">
            <v>5</v>
          </cell>
          <cell r="Q40">
            <v>15</v>
          </cell>
          <cell r="R40">
            <v>20</v>
          </cell>
        </row>
        <row r="41">
          <cell r="C41" t="str">
            <v>By-product credits</v>
          </cell>
          <cell r="H41">
            <v>-25</v>
          </cell>
          <cell r="I41">
            <v>-25</v>
          </cell>
          <cell r="L41" t="str">
            <v>By-product credits</v>
          </cell>
          <cell r="Q41">
            <v>-40</v>
          </cell>
          <cell r="R41">
            <v>-40</v>
          </cell>
        </row>
        <row r="42">
          <cell r="C42" t="str">
            <v>Electricity</v>
          </cell>
          <cell r="D42">
            <v>0.129</v>
          </cell>
          <cell r="E42" t="str">
            <v>MWh</v>
          </cell>
          <cell r="F42">
            <v>70</v>
          </cell>
          <cell r="G42">
            <v>1.35</v>
          </cell>
          <cell r="H42">
            <v>7.68</v>
          </cell>
          <cell r="I42">
            <v>9.0299999999999994</v>
          </cell>
          <cell r="L42" t="str">
            <v>Electricity</v>
          </cell>
          <cell r="M42">
            <v>0.129</v>
          </cell>
          <cell r="N42" t="str">
            <v>MWh</v>
          </cell>
          <cell r="O42">
            <v>70</v>
          </cell>
          <cell r="P42">
            <v>1.35</v>
          </cell>
          <cell r="Q42">
            <v>7.68</v>
          </cell>
          <cell r="R42">
            <v>9.0299999999999994</v>
          </cell>
        </row>
        <row r="43">
          <cell r="C43" t="str">
            <v>Labour</v>
          </cell>
          <cell r="D43">
            <v>0.5</v>
          </cell>
          <cell r="E43" t="str">
            <v>Man hr</v>
          </cell>
          <cell r="F43">
            <v>30</v>
          </cell>
          <cell r="G43">
            <v>3.75</v>
          </cell>
          <cell r="H43">
            <v>11.25</v>
          </cell>
          <cell r="I43">
            <v>15</v>
          </cell>
          <cell r="L43" t="str">
            <v>Labour</v>
          </cell>
          <cell r="M43">
            <v>0.5</v>
          </cell>
          <cell r="N43" t="str">
            <v>Man hr</v>
          </cell>
          <cell r="O43">
            <v>30</v>
          </cell>
          <cell r="P43">
            <v>3.75</v>
          </cell>
          <cell r="Q43">
            <v>11.25</v>
          </cell>
          <cell r="R43">
            <v>15</v>
          </cell>
        </row>
        <row r="44">
          <cell r="C44" t="str">
            <v>Rolling to HRC</v>
          </cell>
          <cell r="G44">
            <v>10</v>
          </cell>
          <cell r="H44">
            <v>40</v>
          </cell>
          <cell r="I44">
            <v>50</v>
          </cell>
        </row>
        <row r="45">
          <cell r="C45" t="str">
            <v>Depreciation</v>
          </cell>
          <cell r="G45">
            <v>18</v>
          </cell>
          <cell r="I45">
            <v>18</v>
          </cell>
          <cell r="L45" t="str">
            <v>Depreciation</v>
          </cell>
          <cell r="P45">
            <v>18</v>
          </cell>
          <cell r="R45">
            <v>18</v>
          </cell>
        </row>
        <row r="46">
          <cell r="C46" t="str">
            <v>Interest</v>
          </cell>
          <cell r="G46">
            <v>16</v>
          </cell>
          <cell r="I46">
            <v>16</v>
          </cell>
          <cell r="L46" t="str">
            <v>Interest</v>
          </cell>
          <cell r="P46">
            <v>16</v>
          </cell>
          <cell r="R46">
            <v>16</v>
          </cell>
        </row>
        <row r="47">
          <cell r="C47" t="str">
            <v>Total Before VAT</v>
          </cell>
          <cell r="G47">
            <v>54.1</v>
          </cell>
          <cell r="H47">
            <v>428.83</v>
          </cell>
          <cell r="I47">
            <v>482.92999999999995</v>
          </cell>
        </row>
        <row r="49">
          <cell r="C49" t="str">
            <v>17% VAT in China</v>
          </cell>
          <cell r="H49">
            <v>102.00000000000001</v>
          </cell>
          <cell r="I49">
            <v>102.00000000000001</v>
          </cell>
          <cell r="L49" t="str">
            <v>17% VAT in China</v>
          </cell>
          <cell r="Q49">
            <v>119.00000000000001</v>
          </cell>
          <cell r="R49">
            <v>119.00000000000001</v>
          </cell>
        </row>
        <row r="50">
          <cell r="C50" t="str">
            <v>Total After VAT</v>
          </cell>
          <cell r="G50">
            <v>54.1</v>
          </cell>
          <cell r="H50">
            <v>530.83000000000004</v>
          </cell>
          <cell r="I50">
            <v>584.92999999999995</v>
          </cell>
          <cell r="L50" t="str">
            <v>Total</v>
          </cell>
          <cell r="P50">
            <v>44.1</v>
          </cell>
          <cell r="Q50">
            <v>489.77</v>
          </cell>
          <cell r="R50">
            <v>533.87</v>
          </cell>
        </row>
        <row r="55">
          <cell r="C55" t="str">
            <v>Regional Average 2009e:</v>
          </cell>
        </row>
        <row r="56">
          <cell r="C56" t="str">
            <v xml:space="preserve">Integrated steelmaking - Crude steel cash cost model </v>
          </cell>
        </row>
        <row r="57">
          <cell r="C57" t="str">
            <v>Item $/unit</v>
          </cell>
          <cell r="D57" t="str">
            <v>Factor</v>
          </cell>
          <cell r="E57" t="str">
            <v>Unit</v>
          </cell>
          <cell r="F57" t="str">
            <v>Unit cost</v>
          </cell>
          <cell r="G57" t="str">
            <v>Fixed</v>
          </cell>
          <cell r="H57" t="str">
            <v>Variable</v>
          </cell>
          <cell r="I57" t="str">
            <v>Total</v>
          </cell>
        </row>
        <row r="58">
          <cell r="C58" t="str">
            <v>Iron ore</v>
          </cell>
          <cell r="D58">
            <v>1.7</v>
          </cell>
          <cell r="E58" t="str">
            <v>t</v>
          </cell>
          <cell r="F58">
            <v>56.23</v>
          </cell>
          <cell r="H58">
            <v>95.590999999999994</v>
          </cell>
          <cell r="I58">
            <v>95.590999999999994</v>
          </cell>
        </row>
        <row r="59">
          <cell r="C59" t="str">
            <v>Iron ore transport</v>
          </cell>
          <cell r="D59">
            <v>1.7</v>
          </cell>
          <cell r="E59" t="str">
            <v>t</v>
          </cell>
          <cell r="F59">
            <v>15</v>
          </cell>
          <cell r="H59">
            <v>25.5</v>
          </cell>
          <cell r="I59">
            <v>25.5</v>
          </cell>
        </row>
        <row r="60">
          <cell r="C60" t="str">
            <v>Coking coal</v>
          </cell>
          <cell r="D60">
            <v>0.7</v>
          </cell>
          <cell r="E60" t="str">
            <v>t</v>
          </cell>
          <cell r="F60">
            <v>120</v>
          </cell>
          <cell r="H60">
            <v>84</v>
          </cell>
          <cell r="I60">
            <v>84</v>
          </cell>
        </row>
        <row r="61">
          <cell r="C61" t="str">
            <v>Coking coal transport</v>
          </cell>
          <cell r="D61">
            <v>0.7</v>
          </cell>
          <cell r="E61" t="str">
            <v>t</v>
          </cell>
          <cell r="F61">
            <v>10</v>
          </cell>
          <cell r="H61">
            <v>7</v>
          </cell>
          <cell r="I61">
            <v>7</v>
          </cell>
        </row>
        <row r="62">
          <cell r="C62" t="str">
            <v>Steel scrap</v>
          </cell>
          <cell r="D62">
            <v>0.18</v>
          </cell>
          <cell r="E62" t="str">
            <v>t</v>
          </cell>
          <cell r="F62">
            <v>250</v>
          </cell>
          <cell r="H62">
            <v>45</v>
          </cell>
          <cell r="I62">
            <v>45</v>
          </cell>
        </row>
        <row r="63">
          <cell r="C63" t="str">
            <v>Scrap delivery</v>
          </cell>
          <cell r="D63">
            <v>0.18</v>
          </cell>
          <cell r="E63" t="str">
            <v>t</v>
          </cell>
          <cell r="F63">
            <v>20</v>
          </cell>
          <cell r="H63">
            <v>3.5999999999999996</v>
          </cell>
          <cell r="I63">
            <v>3.5999999999999996</v>
          </cell>
        </row>
        <row r="64">
          <cell r="C64" t="str">
            <v>Oxygen</v>
          </cell>
          <cell r="D64">
            <v>210</v>
          </cell>
          <cell r="E64" t="str">
            <v>m 3</v>
          </cell>
          <cell r="F64">
            <v>0.1</v>
          </cell>
          <cell r="H64">
            <v>21</v>
          </cell>
          <cell r="I64">
            <v>21</v>
          </cell>
        </row>
        <row r="65">
          <cell r="C65" t="str">
            <v>Ferroalloys</v>
          </cell>
          <cell r="D65">
            <v>1.0999999999999999E-2</v>
          </cell>
          <cell r="E65" t="str">
            <v>t</v>
          </cell>
          <cell r="F65">
            <v>2500</v>
          </cell>
          <cell r="H65">
            <v>27.5</v>
          </cell>
          <cell r="I65">
            <v>27.5</v>
          </cell>
        </row>
        <row r="66">
          <cell r="C66" t="str">
            <v>Fluxes</v>
          </cell>
          <cell r="D66">
            <v>0.56000000000000005</v>
          </cell>
          <cell r="E66" t="str">
            <v>t</v>
          </cell>
          <cell r="F66">
            <v>50</v>
          </cell>
          <cell r="H66">
            <v>28.000000000000004</v>
          </cell>
          <cell r="I66">
            <v>28.000000000000004</v>
          </cell>
        </row>
        <row r="67">
          <cell r="C67" t="str">
            <v>Refractories</v>
          </cell>
          <cell r="D67">
            <v>1.0999999999999999E-2</v>
          </cell>
          <cell r="E67" t="str">
            <v>t</v>
          </cell>
          <cell r="F67">
            <v>700</v>
          </cell>
          <cell r="H67">
            <v>7.6999999999999993</v>
          </cell>
          <cell r="I67">
            <v>7.6999999999999993</v>
          </cell>
        </row>
        <row r="68">
          <cell r="C68" t="str">
            <v>Other costs</v>
          </cell>
          <cell r="G68">
            <v>10</v>
          </cell>
          <cell r="H68">
            <v>15</v>
          </cell>
          <cell r="I68">
            <v>25</v>
          </cell>
        </row>
        <row r="69">
          <cell r="C69" t="str">
            <v>Electricity</v>
          </cell>
          <cell r="D69">
            <v>0.129</v>
          </cell>
          <cell r="E69" t="str">
            <v>MWh</v>
          </cell>
          <cell r="F69">
            <v>70</v>
          </cell>
          <cell r="G69">
            <v>1.35</v>
          </cell>
          <cell r="H69">
            <v>9</v>
          </cell>
          <cell r="I69">
            <v>10.35</v>
          </cell>
        </row>
        <row r="70">
          <cell r="C70" t="str">
            <v>Labour</v>
          </cell>
          <cell r="D70">
            <v>0.5</v>
          </cell>
          <cell r="E70" t="str">
            <v>Man hr</v>
          </cell>
          <cell r="F70">
            <v>30</v>
          </cell>
          <cell r="G70">
            <v>3.75</v>
          </cell>
          <cell r="H70">
            <v>11.25</v>
          </cell>
          <cell r="I70">
            <v>15</v>
          </cell>
        </row>
        <row r="71">
          <cell r="C71" t="str">
            <v>Total Cash Cost</v>
          </cell>
          <cell r="G71">
            <v>15.1</v>
          </cell>
          <cell r="H71">
            <v>380.14100000000002</v>
          </cell>
          <cell r="I71">
            <v>395.24100000000004</v>
          </cell>
        </row>
      </sheetData>
      <sheetData sheetId="1" refreshError="1">
        <row r="5">
          <cell r="C5" t="str">
            <v>2008e:</v>
          </cell>
          <cell r="L5" t="str">
            <v>2007e:</v>
          </cell>
        </row>
        <row r="6">
          <cell r="C6" t="str">
            <v>Electric arc furnace liquid steel - costing model</v>
          </cell>
          <cell r="L6" t="str">
            <v>Electric arc furnace liquid steel - costing model</v>
          </cell>
        </row>
        <row r="7">
          <cell r="C7" t="str">
            <v>Item $/unit</v>
          </cell>
          <cell r="D7" t="str">
            <v>Factor</v>
          </cell>
          <cell r="E7" t="str">
            <v>Unit</v>
          </cell>
          <cell r="F7" t="str">
            <v>Unit cost</v>
          </cell>
          <cell r="G7" t="str">
            <v>Fixed</v>
          </cell>
          <cell r="H7" t="str">
            <v>Variable</v>
          </cell>
          <cell r="I7" t="str">
            <v>Total</v>
          </cell>
          <cell r="L7" t="str">
            <v>Item $/unit</v>
          </cell>
          <cell r="M7" t="str">
            <v>Factor</v>
          </cell>
          <cell r="N7" t="str">
            <v>Unit</v>
          </cell>
          <cell r="O7" t="str">
            <v>Unit cost</v>
          </cell>
          <cell r="P7" t="str">
            <v>Fixed</v>
          </cell>
          <cell r="Q7" t="str">
            <v>Variable</v>
          </cell>
          <cell r="R7" t="str">
            <v>Total</v>
          </cell>
        </row>
        <row r="8">
          <cell r="C8" t="str">
            <v>Steel scrap</v>
          </cell>
          <cell r="D8">
            <v>1.0900000000000001</v>
          </cell>
          <cell r="E8" t="str">
            <v>t</v>
          </cell>
          <cell r="F8">
            <v>650</v>
          </cell>
          <cell r="H8">
            <v>708.5</v>
          </cell>
          <cell r="I8">
            <v>708.5</v>
          </cell>
          <cell r="L8" t="str">
            <v>Steel scrap</v>
          </cell>
          <cell r="M8">
            <v>1.0900000000000001</v>
          </cell>
          <cell r="N8" t="str">
            <v>t</v>
          </cell>
          <cell r="O8">
            <v>350</v>
          </cell>
          <cell r="Q8">
            <v>381.5</v>
          </cell>
          <cell r="R8">
            <v>381.5</v>
          </cell>
        </row>
        <row r="9">
          <cell r="C9" t="str">
            <v>Scrap delivery</v>
          </cell>
          <cell r="D9">
            <v>1.0900000000000001</v>
          </cell>
          <cell r="E9" t="str">
            <v>t</v>
          </cell>
          <cell r="F9">
            <v>10</v>
          </cell>
          <cell r="H9">
            <v>10.9</v>
          </cell>
          <cell r="I9">
            <v>10.9</v>
          </cell>
          <cell r="L9" t="str">
            <v>Scrap delivery</v>
          </cell>
          <cell r="M9">
            <v>1.0900000000000001</v>
          </cell>
          <cell r="N9" t="str">
            <v>t</v>
          </cell>
          <cell r="O9">
            <v>10</v>
          </cell>
          <cell r="Q9">
            <v>10.9</v>
          </cell>
          <cell r="R9">
            <v>10.9</v>
          </cell>
        </row>
        <row r="10">
          <cell r="C10" t="str">
            <v>Oxygen</v>
          </cell>
          <cell r="D10">
            <v>50</v>
          </cell>
          <cell r="E10" t="str">
            <v>m 3</v>
          </cell>
          <cell r="F10">
            <v>0.09</v>
          </cell>
          <cell r="H10">
            <v>4.5</v>
          </cell>
          <cell r="I10">
            <v>4.5</v>
          </cell>
          <cell r="L10" t="str">
            <v>Oxygen</v>
          </cell>
          <cell r="M10">
            <v>50</v>
          </cell>
          <cell r="N10" t="str">
            <v>m 3</v>
          </cell>
          <cell r="O10">
            <v>0.09</v>
          </cell>
          <cell r="Q10">
            <v>4.5</v>
          </cell>
          <cell r="R10">
            <v>4.5</v>
          </cell>
        </row>
        <row r="11">
          <cell r="C11" t="str">
            <v>Ferroalloys</v>
          </cell>
          <cell r="D11">
            <v>1.0999999999999999E-2</v>
          </cell>
          <cell r="E11" t="str">
            <v>t</v>
          </cell>
          <cell r="F11">
            <v>2500</v>
          </cell>
          <cell r="H11">
            <v>27.5</v>
          </cell>
          <cell r="I11">
            <v>27.5</v>
          </cell>
          <cell r="L11" t="str">
            <v>Ferroalloys</v>
          </cell>
          <cell r="M11">
            <v>1.0999999999999999E-2</v>
          </cell>
          <cell r="N11" t="str">
            <v>t</v>
          </cell>
          <cell r="O11">
            <v>2000</v>
          </cell>
          <cell r="Q11">
            <v>22</v>
          </cell>
          <cell r="R11">
            <v>22</v>
          </cell>
        </row>
        <row r="12">
          <cell r="C12" t="str">
            <v>Fluxes</v>
          </cell>
          <cell r="D12">
            <v>0.06</v>
          </cell>
          <cell r="E12" t="str">
            <v>t</v>
          </cell>
          <cell r="F12">
            <v>40</v>
          </cell>
          <cell r="H12">
            <v>2.4</v>
          </cell>
          <cell r="I12">
            <v>2.4</v>
          </cell>
          <cell r="L12" t="str">
            <v>Fluxes</v>
          </cell>
          <cell r="M12">
            <v>0.06</v>
          </cell>
          <cell r="N12" t="str">
            <v>t</v>
          </cell>
          <cell r="O12">
            <v>40</v>
          </cell>
          <cell r="Q12">
            <v>2.4</v>
          </cell>
          <cell r="R12">
            <v>2.4</v>
          </cell>
        </row>
        <row r="13">
          <cell r="C13" t="str">
            <v>Electrodes</v>
          </cell>
          <cell r="D13">
            <v>3.0000000000000001E-3</v>
          </cell>
          <cell r="E13" t="str">
            <v>t</v>
          </cell>
          <cell r="F13">
            <v>6500</v>
          </cell>
          <cell r="H13">
            <v>19.5</v>
          </cell>
          <cell r="I13">
            <v>19.5</v>
          </cell>
          <cell r="L13" t="str">
            <v>Electrodes</v>
          </cell>
          <cell r="M13">
            <v>3.0000000000000001E-3</v>
          </cell>
          <cell r="N13" t="str">
            <v>t</v>
          </cell>
          <cell r="O13">
            <v>6500</v>
          </cell>
          <cell r="Q13">
            <v>19.5</v>
          </cell>
          <cell r="R13">
            <v>19.5</v>
          </cell>
        </row>
        <row r="14">
          <cell r="C14" t="str">
            <v>Refractories</v>
          </cell>
          <cell r="D14">
            <v>5.0000000000000001E-3</v>
          </cell>
          <cell r="E14" t="str">
            <v>t</v>
          </cell>
          <cell r="F14">
            <v>700</v>
          </cell>
          <cell r="H14">
            <v>3.5</v>
          </cell>
          <cell r="I14">
            <v>3.5</v>
          </cell>
          <cell r="L14" t="str">
            <v>Refractories</v>
          </cell>
          <cell r="M14">
            <v>5.0000000000000001E-3</v>
          </cell>
          <cell r="N14" t="str">
            <v>t</v>
          </cell>
          <cell r="O14">
            <v>700</v>
          </cell>
          <cell r="Q14">
            <v>3.5</v>
          </cell>
          <cell r="R14">
            <v>3.5</v>
          </cell>
        </row>
        <row r="15">
          <cell r="C15" t="str">
            <v>Electricity</v>
          </cell>
          <cell r="D15">
            <v>0.4</v>
          </cell>
          <cell r="E15" t="str">
            <v>MWhr</v>
          </cell>
          <cell r="F15">
            <v>70</v>
          </cell>
          <cell r="G15">
            <v>4.2</v>
          </cell>
          <cell r="H15">
            <v>23.8</v>
          </cell>
          <cell r="I15">
            <v>28</v>
          </cell>
          <cell r="L15" t="str">
            <v>Electricity</v>
          </cell>
          <cell r="M15">
            <v>0.4</v>
          </cell>
          <cell r="N15" t="str">
            <v>MWhr</v>
          </cell>
          <cell r="O15">
            <v>70</v>
          </cell>
          <cell r="P15">
            <v>4.2</v>
          </cell>
          <cell r="Q15">
            <v>23.8</v>
          </cell>
          <cell r="R15">
            <v>28</v>
          </cell>
        </row>
        <row r="16">
          <cell r="C16" t="str">
            <v>Labour</v>
          </cell>
          <cell r="D16">
            <v>0.4</v>
          </cell>
          <cell r="E16" t="str">
            <v>Man hr</v>
          </cell>
          <cell r="F16">
            <v>30</v>
          </cell>
          <cell r="G16">
            <v>3</v>
          </cell>
          <cell r="H16">
            <v>9</v>
          </cell>
          <cell r="I16">
            <v>12</v>
          </cell>
          <cell r="L16" t="str">
            <v>Labour</v>
          </cell>
          <cell r="M16">
            <v>0.4</v>
          </cell>
          <cell r="N16" t="str">
            <v>Man hr</v>
          </cell>
          <cell r="O16">
            <v>30</v>
          </cell>
          <cell r="P16">
            <v>3</v>
          </cell>
          <cell r="Q16">
            <v>9</v>
          </cell>
          <cell r="R16">
            <v>12</v>
          </cell>
        </row>
        <row r="17">
          <cell r="C17" t="str">
            <v>Depreciation</v>
          </cell>
          <cell r="G17">
            <v>5</v>
          </cell>
          <cell r="I17">
            <v>5</v>
          </cell>
          <cell r="L17" t="str">
            <v>Depreciation</v>
          </cell>
          <cell r="P17">
            <v>5</v>
          </cell>
          <cell r="R17">
            <v>5</v>
          </cell>
        </row>
        <row r="18">
          <cell r="C18" t="str">
            <v>Interest</v>
          </cell>
          <cell r="G18">
            <v>4</v>
          </cell>
          <cell r="I18">
            <v>4</v>
          </cell>
          <cell r="L18" t="str">
            <v>Interest</v>
          </cell>
          <cell r="P18">
            <v>4</v>
          </cell>
          <cell r="R18">
            <v>4</v>
          </cell>
        </row>
        <row r="19">
          <cell r="C19" t="str">
            <v>Total</v>
          </cell>
          <cell r="G19">
            <v>16.2</v>
          </cell>
          <cell r="H19">
            <v>809.59999999999991</v>
          </cell>
          <cell r="I19">
            <v>825.8</v>
          </cell>
          <cell r="L19" t="str">
            <v>Total</v>
          </cell>
          <cell r="P19">
            <v>16.2</v>
          </cell>
          <cell r="Q19">
            <v>477.09999999999997</v>
          </cell>
          <cell r="R19">
            <v>493.29999999999995</v>
          </cell>
        </row>
      </sheetData>
      <sheetData sheetId="2" refreshError="1">
        <row r="10">
          <cell r="E10" t="str">
            <v>BOF-07e</v>
          </cell>
          <cell r="F10" t="str">
            <v>BOF-08e</v>
          </cell>
          <cell r="H10" t="str">
            <v>Small China BOF-07e</v>
          </cell>
          <cell r="I10" t="str">
            <v>Small China BOF-08e</v>
          </cell>
          <cell r="K10" t="str">
            <v>EAF-07e</v>
          </cell>
          <cell r="L10" t="str">
            <v>EAF-08e</v>
          </cell>
        </row>
        <row r="11">
          <cell r="D11" t="str">
            <v>Est. Production Costs</v>
          </cell>
          <cell r="E11">
            <v>405.37594999999993</v>
          </cell>
          <cell r="F11">
            <v>674.04647999999997</v>
          </cell>
          <cell r="H11">
            <v>533.87</v>
          </cell>
          <cell r="I11">
            <v>584.92999999999995</v>
          </cell>
          <cell r="K11">
            <v>493.29999999999995</v>
          </cell>
          <cell r="L11">
            <v>825.8</v>
          </cell>
        </row>
        <row r="12">
          <cell r="F12">
            <v>268.67053000000004</v>
          </cell>
          <cell r="I12">
            <v>51.059999999999945</v>
          </cell>
          <cell r="L12">
            <v>332.5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KN IBES Prospective"/>
      <sheetName val="Inputs"/>
      <sheetName val="CFS Data"/>
      <sheetName val="Tables and Charts"/>
      <sheetName val="MW-Cache"/>
      <sheetName val="Financial Tables"/>
      <sheetName val="Financial Tables (MSSB)"/>
      <sheetName val="Results Summary"/>
      <sheetName val="Charts for Initiation"/>
      <sheetName val="FX  ANG"/>
      <sheetName val="Industrial"/>
      <sheetName val="Mining Products"/>
      <sheetName val="Mining (old) ex Minerals Proces"/>
      <sheetName val="Minerals Processing (old)"/>
      <sheetName val="Rail"/>
      <sheetName val="Power &amp; Cement"/>
      <sheetName val="Engineered Products"/>
      <sheetName val="Segment Reporting"/>
      <sheetName val="Segment Reporting (Secondary)"/>
      <sheetName val="Dividends"/>
      <sheetName val="Acquisitions &amp; Disposals"/>
      <sheetName val="Profit &amp; Loss"/>
      <sheetName val="Template Bridge"/>
      <sheetName val="__FDSCACHE__"/>
      <sheetName val="mwareInputs"/>
      <sheetName val="MWA RR"/>
      <sheetName val="Interest Revenue &amp; Expense"/>
      <sheetName val="Depreciation &amp; Amortisation"/>
      <sheetName val="Significant Items"/>
      <sheetName val="Balance Sheet"/>
      <sheetName val="Shareholders' Equity"/>
      <sheetName val="Cash Flow Statement"/>
      <sheetName val="Ratio Analysis"/>
      <sheetName val="Issued Capital"/>
      <sheetName val="Valuation Summary"/>
      <sheetName val="DCF Table for Note"/>
      <sheetName val="DCF"/>
      <sheetName val="WACC"/>
      <sheetName val="Inverted DCF"/>
      <sheetName val="PE Relative"/>
      <sheetName val="Sum of Parts"/>
      <sheetName val="DDM"/>
      <sheetName val="Profit Decomposition"/>
      <sheetName val="Du Pont Tree"/>
      <sheetName val="Cash Conversion Cycle"/>
      <sheetName val="IO supply"/>
      <sheetName val="ABARE Apr09"/>
      <sheetName val="Production summary"/>
      <sheetName val="Mine production index"/>
      <sheetName val="mwareDates"/>
      <sheetName val="mwareSettings"/>
      <sheetName val="FX"/>
      <sheetName val="Segment Reporting (EGG Summary)"/>
      <sheetName val="Divisional Summary Output"/>
      <sheetName val="Results Preview"/>
      <sheetName val="Ten Half Trend"/>
      <sheetName val="Earnings Summary"/>
      <sheetName val="BlackRo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D2">
            <v>39629</v>
          </cell>
          <cell r="E2">
            <v>39994</v>
          </cell>
          <cell r="F2">
            <v>40359</v>
          </cell>
          <cell r="G2">
            <v>40724</v>
          </cell>
          <cell r="H2">
            <v>41090</v>
          </cell>
          <cell r="I2">
            <v>41455</v>
          </cell>
          <cell r="J2">
            <v>41820</v>
          </cell>
          <cell r="K2">
            <v>42185</v>
          </cell>
        </row>
        <row r="3">
          <cell r="A3" t="str">
            <v>Named Ranges</v>
          </cell>
          <cell r="D3">
            <v>54</v>
          </cell>
          <cell r="E3">
            <v>57</v>
          </cell>
          <cell r="F3">
            <v>60</v>
          </cell>
          <cell r="G3">
            <v>63</v>
          </cell>
          <cell r="H3">
            <v>66</v>
          </cell>
          <cell r="I3">
            <v>69</v>
          </cell>
          <cell r="J3">
            <v>72</v>
          </cell>
          <cell r="K3">
            <v>75</v>
          </cell>
          <cell r="N3">
            <v>57</v>
          </cell>
          <cell r="O3">
            <v>60</v>
          </cell>
          <cell r="P3">
            <v>63</v>
          </cell>
          <cell r="Q3">
            <v>66</v>
          </cell>
          <cell r="R3">
            <v>69</v>
          </cell>
          <cell r="S3">
            <v>72</v>
          </cell>
          <cell r="T3">
            <v>75</v>
          </cell>
        </row>
        <row r="4">
          <cell r="A4" t="str">
            <v>Rows</v>
          </cell>
          <cell r="D4">
            <v>2008</v>
          </cell>
          <cell r="E4">
            <v>2009</v>
          </cell>
          <cell r="F4">
            <v>2010</v>
          </cell>
          <cell r="G4">
            <v>2011</v>
          </cell>
          <cell r="H4">
            <v>2012</v>
          </cell>
          <cell r="I4">
            <v>2013</v>
          </cell>
          <cell r="J4">
            <v>2014</v>
          </cell>
          <cell r="K4">
            <v>2015</v>
          </cell>
          <cell r="N4">
            <v>2009</v>
          </cell>
          <cell r="O4">
            <v>2010</v>
          </cell>
          <cell r="P4">
            <v>2011</v>
          </cell>
          <cell r="Q4">
            <v>2012</v>
          </cell>
          <cell r="R4">
            <v>2013</v>
          </cell>
          <cell r="S4">
            <v>2014</v>
          </cell>
          <cell r="T4">
            <v>2015</v>
          </cell>
        </row>
        <row r="6">
          <cell r="D6" t="str">
            <v>Bradken</v>
          </cell>
        </row>
        <row r="7">
          <cell r="A7" t="str">
            <v>LHS Table</v>
          </cell>
          <cell r="B7" t="str">
            <v>RHS Table</v>
          </cell>
          <cell r="D7" t="str">
            <v>Balance Sheet ($m)</v>
          </cell>
          <cell r="E7" t="str">
            <v>FY09A</v>
          </cell>
          <cell r="F7" t="str">
            <v>FY10A</v>
          </cell>
          <cell r="G7" t="str">
            <v>FY11E</v>
          </cell>
          <cell r="H7" t="str">
            <v>FY12E</v>
          </cell>
          <cell r="I7" t="str">
            <v>FY13E</v>
          </cell>
          <cell r="J7" t="str">
            <v>FY14E</v>
          </cell>
          <cell r="K7" t="str">
            <v>FY15E</v>
          </cell>
          <cell r="M7" t="str">
            <v>P&amp;L ($m)</v>
          </cell>
          <cell r="N7" t="str">
            <v>FY09A</v>
          </cell>
          <cell r="O7" t="str">
            <v>FY10A</v>
          </cell>
          <cell r="P7" t="str">
            <v>FY11E</v>
          </cell>
          <cell r="Q7" t="str">
            <v>FY12E</v>
          </cell>
          <cell r="R7" t="str">
            <v>FY13E</v>
          </cell>
          <cell r="S7" t="str">
            <v>FY14E</v>
          </cell>
          <cell r="T7" t="str">
            <v>FY15E</v>
          </cell>
        </row>
        <row r="8">
          <cell r="A8">
            <v>7</v>
          </cell>
          <cell r="B8">
            <v>7</v>
          </cell>
          <cell r="D8" t="str">
            <v xml:space="preserve">Cash </v>
          </cell>
          <cell r="E8">
            <v>13.243</v>
          </cell>
          <cell r="F8">
            <v>63.564999999999998</v>
          </cell>
          <cell r="G8">
            <v>13.736716706261337</v>
          </cell>
          <cell r="H8">
            <v>8.5540827089708937</v>
          </cell>
          <cell r="I8">
            <v>9.1020655655264768</v>
          </cell>
          <cell r="J8">
            <v>24.710948204057988</v>
          </cell>
          <cell r="K8">
            <v>50.727778672664726</v>
          </cell>
          <cell r="M8" t="str">
            <v>Sales Revenue</v>
          </cell>
          <cell r="N8">
            <v>1209.2059999999999</v>
          </cell>
          <cell r="O8">
            <v>1003.6919999999999</v>
          </cell>
          <cell r="P8">
            <v>1155.1089185539674</v>
          </cell>
          <cell r="Q8">
            <v>1239.8412183833266</v>
          </cell>
          <cell r="R8">
            <v>1383.9619018133162</v>
          </cell>
          <cell r="S8">
            <v>1451.9284077441653</v>
          </cell>
          <cell r="T8">
            <v>1516.7094711385978</v>
          </cell>
        </row>
        <row r="9">
          <cell r="A9">
            <v>8</v>
          </cell>
          <cell r="B9" t="str">
            <v>Calculated</v>
          </cell>
          <cell r="D9" t="str">
            <v xml:space="preserve">Receivables </v>
          </cell>
          <cell r="E9">
            <v>160.81299999999999</v>
          </cell>
          <cell r="F9">
            <v>142.34800000000001</v>
          </cell>
          <cell r="G9">
            <v>165.85523909063255</v>
          </cell>
          <cell r="H9">
            <v>183.51595873465035</v>
          </cell>
          <cell r="I9">
            <v>198.11623322695445</v>
          </cell>
          <cell r="J9">
            <v>209.12963149578266</v>
          </cell>
          <cell r="K9">
            <v>217.95385250812845</v>
          </cell>
          <cell r="M9" t="str">
            <v>% chg</v>
          </cell>
          <cell r="N9">
            <v>0.59034696274434739</v>
          </cell>
          <cell r="O9">
            <v>-0.1699578070237826</v>
          </cell>
          <cell r="P9">
            <v>0.15085994364204125</v>
          </cell>
          <cell r="Q9">
            <v>7.33543811049715E-2</v>
          </cell>
          <cell r="R9">
            <v>0.11624124225996768</v>
          </cell>
          <cell r="S9">
            <v>4.9110098942605873E-2</v>
          </cell>
          <cell r="T9">
            <v>4.4617257330946236E-2</v>
          </cell>
        </row>
        <row r="10">
          <cell r="A10">
            <v>9</v>
          </cell>
          <cell r="B10">
            <v>131</v>
          </cell>
          <cell r="D10" t="str">
            <v>Inventory</v>
          </cell>
          <cell r="E10">
            <v>178.07499999999999</v>
          </cell>
          <cell r="F10">
            <v>162.375</v>
          </cell>
          <cell r="G10">
            <v>184.3371323148495</v>
          </cell>
          <cell r="H10">
            <v>198.99701402032656</v>
          </cell>
          <cell r="I10">
            <v>217.23160335088352</v>
          </cell>
          <cell r="J10">
            <v>230.93170891098424</v>
          </cell>
          <cell r="K10">
            <v>240.64537496788452</v>
          </cell>
          <cell r="M10" t="str">
            <v>EBITDA</v>
          </cell>
          <cell r="N10">
            <v>169.09899999999993</v>
          </cell>
          <cell r="O10">
            <v>167.03899999999985</v>
          </cell>
          <cell r="P10">
            <v>204.49614355539893</v>
          </cell>
          <cell r="Q10">
            <v>222.83651849660259</v>
          </cell>
          <cell r="R10">
            <v>255.62921218658249</v>
          </cell>
          <cell r="S10">
            <v>271.61861712944528</v>
          </cell>
          <cell r="T10">
            <v>293.80614660227559</v>
          </cell>
        </row>
        <row r="11">
          <cell r="A11" t="str">
            <v>Calculated</v>
          </cell>
          <cell r="B11" t="str">
            <v>Calculated</v>
          </cell>
          <cell r="D11" t="str">
            <v>Other</v>
          </cell>
          <cell r="E11">
            <v>0.68000000000000682</v>
          </cell>
          <cell r="F11">
            <v>0.23799999999999955</v>
          </cell>
          <cell r="G11">
            <v>0.23799999999999955</v>
          </cell>
          <cell r="H11">
            <v>0.23799999999999955</v>
          </cell>
          <cell r="I11">
            <v>0.23799999999999955</v>
          </cell>
          <cell r="J11">
            <v>0.23799999999999955</v>
          </cell>
          <cell r="K11">
            <v>0.23799999999999955</v>
          </cell>
          <cell r="M11" t="str">
            <v>% chg</v>
          </cell>
          <cell r="N11">
            <v>0.32897673687519546</v>
          </cell>
          <cell r="O11">
            <v>-1.2182212786593039E-2</v>
          </cell>
          <cell r="P11">
            <v>0.22424190491681051</v>
          </cell>
          <cell r="Q11">
            <v>8.968567632785307E-2</v>
          </cell>
          <cell r="R11">
            <v>0.147160321437529</v>
          </cell>
          <cell r="S11">
            <v>6.254920869995173E-2</v>
          </cell>
          <cell r="T11">
            <v>8.1686335448267089E-2</v>
          </cell>
        </row>
        <row r="12">
          <cell r="A12">
            <v>18</v>
          </cell>
          <cell r="B12">
            <v>136</v>
          </cell>
          <cell r="D12" t="str">
            <v>Total Current Assets</v>
          </cell>
          <cell r="E12">
            <v>352.81099999999998</v>
          </cell>
          <cell r="F12">
            <v>368.52600000000001</v>
          </cell>
          <cell r="G12">
            <v>364.1670881117434</v>
          </cell>
          <cell r="H12">
            <v>391.30505546394778</v>
          </cell>
          <cell r="I12">
            <v>424.68790214336445</v>
          </cell>
          <cell r="J12">
            <v>465.01028861082489</v>
          </cell>
          <cell r="K12">
            <v>509.5650061486777</v>
          </cell>
          <cell r="M12" t="str">
            <v>Depreciation</v>
          </cell>
          <cell r="N12">
            <v>-32.860999999999997</v>
          </cell>
          <cell r="O12">
            <v>-33.183</v>
          </cell>
          <cell r="P12">
            <v>-36.396519557977442</v>
          </cell>
          <cell r="Q12">
            <v>-39.836230700214564</v>
          </cell>
          <cell r="R12">
            <v>-43.275220671683535</v>
          </cell>
          <cell r="S12">
            <v>-46.667867430410681</v>
          </cell>
          <cell r="T12">
            <v>-49.921730991707463</v>
          </cell>
        </row>
        <row r="13">
          <cell r="A13">
            <v>26</v>
          </cell>
          <cell r="B13" t="str">
            <v>Calculated</v>
          </cell>
          <cell r="D13" t="str">
            <v xml:space="preserve">Receivables </v>
          </cell>
          <cell r="E13">
            <v>1.847</v>
          </cell>
          <cell r="F13">
            <v>1.4850000000000001</v>
          </cell>
          <cell r="G13">
            <v>12.00822213852647</v>
          </cell>
          <cell r="H13">
            <v>13.286890486746179</v>
          </cell>
          <cell r="I13">
            <v>14.343977018038945</v>
          </cell>
          <cell r="J13">
            <v>15.141367161620016</v>
          </cell>
          <cell r="K13">
            <v>15.780256874701656</v>
          </cell>
          <cell r="M13" t="str">
            <v>EBITA</v>
          </cell>
          <cell r="N13">
            <v>136.23799999999994</v>
          </cell>
          <cell r="O13">
            <v>133.85599999999985</v>
          </cell>
          <cell r="P13">
            <v>168.09962399742147</v>
          </cell>
          <cell r="Q13">
            <v>183.00028779638802</v>
          </cell>
          <cell r="R13">
            <v>212.35399151489895</v>
          </cell>
          <cell r="S13">
            <v>224.95074969903459</v>
          </cell>
          <cell r="T13">
            <v>243.88441561056811</v>
          </cell>
        </row>
        <row r="14">
          <cell r="A14">
            <v>0</v>
          </cell>
          <cell r="B14">
            <v>23</v>
          </cell>
          <cell r="D14" t="str">
            <v>Equity Accounted Investments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M14" t="str">
            <v>Amortisation</v>
          </cell>
          <cell r="N14">
            <v>-8.1679999999999993</v>
          </cell>
          <cell r="O14">
            <v>-7.0129999999999999</v>
          </cell>
          <cell r="P14">
            <v>-7.5095624823187235</v>
          </cell>
          <cell r="Q14">
            <v>-4.1166760793834918</v>
          </cell>
          <cell r="R14">
            <v>-4.1166760793834918</v>
          </cell>
          <cell r="S14">
            <v>-4.1166760793834918</v>
          </cell>
          <cell r="T14">
            <v>-4.1166760793834918</v>
          </cell>
        </row>
        <row r="15">
          <cell r="A15">
            <v>30</v>
          </cell>
          <cell r="B15" t="str">
            <v>Calculated</v>
          </cell>
          <cell r="D15" t="str">
            <v>PP&amp;E</v>
          </cell>
          <cell r="E15">
            <v>391.33</v>
          </cell>
          <cell r="F15">
            <v>384.98200000000003</v>
          </cell>
          <cell r="G15">
            <v>441.6499858841994</v>
          </cell>
          <cell r="H15">
            <v>481.95233768398481</v>
          </cell>
          <cell r="I15">
            <v>521.42930338730127</v>
          </cell>
          <cell r="J15">
            <v>560.65054360314036</v>
          </cell>
          <cell r="K15">
            <v>596.93718230307059</v>
          </cell>
          <cell r="M15" t="str">
            <v>EBIT</v>
          </cell>
          <cell r="N15">
            <v>128.06999999999994</v>
          </cell>
          <cell r="O15">
            <v>126.84299999999985</v>
          </cell>
          <cell r="P15">
            <v>160.59006151510275</v>
          </cell>
          <cell r="Q15">
            <v>178.88361171700453</v>
          </cell>
          <cell r="R15">
            <v>208.23731543551546</v>
          </cell>
          <cell r="S15">
            <v>220.83407361965109</v>
          </cell>
          <cell r="T15">
            <v>239.76773953118462</v>
          </cell>
        </row>
        <row r="16">
          <cell r="A16">
            <v>32</v>
          </cell>
          <cell r="B16" t="str">
            <v>Composite</v>
          </cell>
          <cell r="D16" t="str">
            <v xml:space="preserve">Intangibles </v>
          </cell>
          <cell r="E16">
            <v>183.14400000000001</v>
          </cell>
          <cell r="F16">
            <v>173.351</v>
          </cell>
          <cell r="G16">
            <v>187.97627622735871</v>
          </cell>
          <cell r="H16">
            <v>183.40060014797518</v>
          </cell>
          <cell r="I16">
            <v>179.28392406859172</v>
          </cell>
          <cell r="J16">
            <v>175.16724798920822</v>
          </cell>
          <cell r="K16">
            <v>171.05057190982473</v>
          </cell>
          <cell r="M16" t="str">
            <v>% chg</v>
          </cell>
          <cell r="N16">
            <v>6.523105941526941E-3</v>
          </cell>
          <cell r="O16">
            <v>-9.5806980557514576E-3</v>
          </cell>
          <cell r="P16">
            <v>0.26605379496781811</v>
          </cell>
          <cell r="Q16">
            <v>0.11391458493327344</v>
          </cell>
          <cell r="R16">
            <v>0.16409386772081036</v>
          </cell>
          <cell r="S16">
            <v>6.0492319341470147E-2</v>
          </cell>
          <cell r="T16">
            <v>8.5737067659873656E-2</v>
          </cell>
        </row>
        <row r="17">
          <cell r="A17">
            <v>33</v>
          </cell>
          <cell r="B17">
            <v>146</v>
          </cell>
          <cell r="D17" t="str">
            <v>Deferred Tax</v>
          </cell>
          <cell r="E17">
            <v>12.478</v>
          </cell>
          <cell r="F17">
            <v>8.5470000000000006</v>
          </cell>
          <cell r="G17">
            <v>13.10506578741265</v>
          </cell>
          <cell r="H17">
            <v>16.672319684705897</v>
          </cell>
          <cell r="I17">
            <v>20.697810695525078</v>
          </cell>
          <cell r="J17">
            <v>23.96231473378996</v>
          </cell>
          <cell r="K17">
            <v>27.239999300333285</v>
          </cell>
          <cell r="M17" t="str">
            <v>Net Interest (Expense)/Income</v>
          </cell>
          <cell r="N17">
            <v>-35.161999999999999</v>
          </cell>
          <cell r="O17">
            <v>-30.321000000000002</v>
          </cell>
          <cell r="P17">
            <v>-31.461020518107912</v>
          </cell>
          <cell r="Q17">
            <v>-33.226392231198098</v>
          </cell>
          <cell r="R17">
            <v>-31.064885366422082</v>
          </cell>
          <cell r="S17">
            <v>-27.640591553971948</v>
          </cell>
          <cell r="T17">
            <v>-23.933692547364611</v>
          </cell>
        </row>
        <row r="18">
          <cell r="A18" t="str">
            <v>Calculated</v>
          </cell>
          <cell r="B18" t="str">
            <v>Calculated</v>
          </cell>
          <cell r="D18" t="str">
            <v xml:space="preserve">Other </v>
          </cell>
          <cell r="E18">
            <v>10.379000000000019</v>
          </cell>
          <cell r="F18">
            <v>46.937999999999988</v>
          </cell>
          <cell r="G18">
            <v>46.937999999999988</v>
          </cell>
          <cell r="H18">
            <v>46.937999999999988</v>
          </cell>
          <cell r="I18">
            <v>46.937999999999988</v>
          </cell>
          <cell r="J18">
            <v>46.937999999999988</v>
          </cell>
          <cell r="K18">
            <v>46.937999999999988</v>
          </cell>
          <cell r="M18" t="str">
            <v>Op. Profit before Tax</v>
          </cell>
          <cell r="N18">
            <v>92.90799999999993</v>
          </cell>
          <cell r="O18">
            <v>96.521999999999849</v>
          </cell>
          <cell r="P18">
            <v>129.12904099699483</v>
          </cell>
          <cell r="Q18">
            <v>145.65721948580642</v>
          </cell>
          <cell r="R18">
            <v>177.17243006909337</v>
          </cell>
          <cell r="S18">
            <v>193.19348206567915</v>
          </cell>
          <cell r="T18">
            <v>215.83404698382</v>
          </cell>
        </row>
        <row r="19">
          <cell r="A19">
            <v>39</v>
          </cell>
          <cell r="B19">
            <v>155</v>
          </cell>
          <cell r="D19" t="str">
            <v>Total Non Current Assets</v>
          </cell>
          <cell r="E19">
            <v>599.17799999999988</v>
          </cell>
          <cell r="F19">
            <v>615.303</v>
          </cell>
          <cell r="G19">
            <v>701.67755003749721</v>
          </cell>
          <cell r="H19">
            <v>742.25014800341205</v>
          </cell>
          <cell r="I19">
            <v>782.693015169457</v>
          </cell>
          <cell r="J19">
            <v>821.85947348775858</v>
          </cell>
          <cell r="K19">
            <v>857.94601038793019</v>
          </cell>
          <cell r="M19" t="str">
            <v>Tax Expense</v>
          </cell>
          <cell r="N19">
            <v>-27.885000000000002</v>
          </cell>
          <cell r="O19">
            <v>-25.751999999999999</v>
          </cell>
          <cell r="P19">
            <v>-37.587193999651035</v>
          </cell>
          <cell r="Q19">
            <v>-42.168494606815898</v>
          </cell>
          <cell r="R19">
            <v>-51.389344477925235</v>
          </cell>
          <cell r="S19">
            <v>-56.012373651752185</v>
          </cell>
          <cell r="T19">
            <v>-62.58295236558213</v>
          </cell>
        </row>
        <row r="20">
          <cell r="A20" t="str">
            <v>Calculated</v>
          </cell>
          <cell r="B20" t="str">
            <v>Calculated</v>
          </cell>
          <cell r="D20" t="str">
            <v>Total Assets</v>
          </cell>
          <cell r="E20">
            <v>951.98899999999981</v>
          </cell>
          <cell r="F20">
            <v>983.82899999999995</v>
          </cell>
          <cell r="G20">
            <v>1065.8446381492406</v>
          </cell>
          <cell r="H20">
            <v>1133.5552034673599</v>
          </cell>
          <cell r="I20">
            <v>1207.3809173128216</v>
          </cell>
          <cell r="J20">
            <v>1286.8697620985836</v>
          </cell>
          <cell r="K20">
            <v>1367.5110165366079</v>
          </cell>
          <cell r="M20" t="str">
            <v>Op. Profit after tax</v>
          </cell>
          <cell r="N20">
            <v>65.022999999999925</v>
          </cell>
          <cell r="O20">
            <v>70.769999999999854</v>
          </cell>
          <cell r="P20">
            <v>91.541846997343796</v>
          </cell>
          <cell r="Q20">
            <v>103.48872487899052</v>
          </cell>
          <cell r="R20">
            <v>125.78308559116813</v>
          </cell>
          <cell r="S20">
            <v>137.18110841392695</v>
          </cell>
          <cell r="T20">
            <v>153.25109461823786</v>
          </cell>
        </row>
        <row r="21">
          <cell r="A21">
            <v>53</v>
          </cell>
          <cell r="B21">
            <v>165</v>
          </cell>
          <cell r="D21" t="str">
            <v xml:space="preserve">Creditors </v>
          </cell>
          <cell r="E21">
            <v>116.14700000000001</v>
          </cell>
          <cell r="F21">
            <v>118.54300000000001</v>
          </cell>
          <cell r="G21">
            <v>129.40899501368111</v>
          </cell>
          <cell r="H21">
            <v>145.22929405311447</v>
          </cell>
          <cell r="I21">
            <v>153.05059456840857</v>
          </cell>
          <cell r="J21">
            <v>165.67222368410296</v>
          </cell>
          <cell r="K21">
            <v>170.94472094267329</v>
          </cell>
          <cell r="M21" t="str">
            <v>Minority Interests</v>
          </cell>
          <cell r="N21">
            <v>-0.755</v>
          </cell>
          <cell r="O21">
            <v>-0.32900000000000001</v>
          </cell>
          <cell r="P21">
            <v>-0.17000000000000004</v>
          </cell>
          <cell r="Q21">
            <v>-0.17000000000000004</v>
          </cell>
          <cell r="R21">
            <v>-0.17000000000000004</v>
          </cell>
          <cell r="S21">
            <v>-0.17000000000000004</v>
          </cell>
          <cell r="T21">
            <v>-0.17000000000000004</v>
          </cell>
        </row>
        <row r="22">
          <cell r="A22">
            <v>54</v>
          </cell>
          <cell r="B22" t="str">
            <v>Calculated</v>
          </cell>
          <cell r="D22" t="str">
            <v>Borrowings</v>
          </cell>
          <cell r="E22">
            <v>46.149000000000001</v>
          </cell>
          <cell r="F22">
            <v>24.053999999999998</v>
          </cell>
          <cell r="G22">
            <v>27.92560223819568</v>
          </cell>
          <cell r="H22">
            <v>26.955420367688458</v>
          </cell>
          <cell r="I22">
            <v>24.602405951863897</v>
          </cell>
          <cell r="J22">
            <v>22.21404202857055</v>
          </cell>
          <cell r="K22">
            <v>19.70783810765003</v>
          </cell>
          <cell r="M22" t="str">
            <v>Net Profit (pre significant items)</v>
          </cell>
          <cell r="N22">
            <v>64.26799999999993</v>
          </cell>
          <cell r="O22">
            <v>70.44099999999986</v>
          </cell>
          <cell r="P22">
            <v>91.371846997343795</v>
          </cell>
          <cell r="Q22">
            <v>103.31872487899052</v>
          </cell>
          <cell r="R22">
            <v>125.61308559116813</v>
          </cell>
          <cell r="S22">
            <v>137.01110841392696</v>
          </cell>
          <cell r="T22">
            <v>153.08109461823787</v>
          </cell>
        </row>
        <row r="23">
          <cell r="A23">
            <v>56</v>
          </cell>
          <cell r="B23">
            <v>30</v>
          </cell>
          <cell r="D23" t="str">
            <v xml:space="preserve">Tax </v>
          </cell>
          <cell r="E23">
            <v>3.1040000000000001</v>
          </cell>
          <cell r="F23">
            <v>10.137</v>
          </cell>
          <cell r="G23">
            <v>9.9982352998246462</v>
          </cell>
          <cell r="H23">
            <v>11.153019524066403</v>
          </cell>
          <cell r="I23">
            <v>13.473030266136247</v>
          </cell>
          <cell r="J23">
            <v>14.539809262828548</v>
          </cell>
          <cell r="K23">
            <v>16.215149552238252</v>
          </cell>
          <cell r="M23" t="str">
            <v>Significant items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</row>
        <row r="24">
          <cell r="A24" t="str">
            <v>Calculated</v>
          </cell>
          <cell r="B24" t="str">
            <v>Calculated</v>
          </cell>
          <cell r="D24" t="str">
            <v>Provisions &amp; Others</v>
          </cell>
          <cell r="E24">
            <v>37.63900000000001</v>
          </cell>
          <cell r="F24">
            <v>37.422000000000025</v>
          </cell>
          <cell r="G24">
            <v>40.786658451706472</v>
          </cell>
          <cell r="H24">
            <v>43.124878413718392</v>
          </cell>
          <cell r="I24">
            <v>48.057183723262966</v>
          </cell>
          <cell r="J24">
            <v>50.109302993155012</v>
          </cell>
          <cell r="K24">
            <v>52.467679381231505</v>
          </cell>
          <cell r="M24" t="str">
            <v>Reported NPAT</v>
          </cell>
          <cell r="N24">
            <v>64.26799999999993</v>
          </cell>
          <cell r="O24">
            <v>70.44099999999986</v>
          </cell>
          <cell r="P24">
            <v>91.371846997343795</v>
          </cell>
          <cell r="Q24">
            <v>103.31872487899052</v>
          </cell>
          <cell r="R24">
            <v>125.61308559116813</v>
          </cell>
          <cell r="S24">
            <v>137.01110841392696</v>
          </cell>
          <cell r="T24">
            <v>153.08109461823787</v>
          </cell>
        </row>
        <row r="25">
          <cell r="A25">
            <v>64</v>
          </cell>
          <cell r="B25" t="str">
            <v>Composite</v>
          </cell>
          <cell r="D25" t="str">
            <v>Total Current Liabilities</v>
          </cell>
          <cell r="E25">
            <v>203.03900000000002</v>
          </cell>
          <cell r="F25">
            <v>190.15600000000003</v>
          </cell>
          <cell r="G25">
            <v>208.11949100340792</v>
          </cell>
          <cell r="H25">
            <v>226.46261235858771</v>
          </cell>
          <cell r="I25">
            <v>239.18321450967167</v>
          </cell>
          <cell r="J25">
            <v>252.53537796865709</v>
          </cell>
          <cell r="K25">
            <v>259.33538798379305</v>
          </cell>
          <cell r="M25" t="str">
            <v>% chg</v>
          </cell>
          <cell r="N25">
            <v>0.10835560920927634</v>
          </cell>
          <cell r="O25">
            <v>9.6050911806808026E-2</v>
          </cell>
          <cell r="P25">
            <v>0.29714011722354838</v>
          </cell>
          <cell r="Q25">
            <v>0.13075009725910469</v>
          </cell>
          <cell r="R25">
            <v>0.21578238347685108</v>
          </cell>
          <cell r="S25">
            <v>9.0739135728708176E-2</v>
          </cell>
          <cell r="T25">
            <v>0.11728965914034917</v>
          </cell>
        </row>
        <row r="26">
          <cell r="A26">
            <v>76</v>
          </cell>
          <cell r="B26" t="str">
            <v>Calculated</v>
          </cell>
          <cell r="D26" t="str">
            <v xml:space="preserve">Creditors 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M26" t="str">
            <v>Add back Amortisation</v>
          </cell>
          <cell r="N26">
            <v>8.1679999999999993</v>
          </cell>
          <cell r="O26">
            <v>7.0129999999999999</v>
          </cell>
          <cell r="P26">
            <v>7.5095624823187235</v>
          </cell>
          <cell r="Q26">
            <v>4.1166760793834918</v>
          </cell>
          <cell r="R26">
            <v>4.1166760793834918</v>
          </cell>
          <cell r="S26">
            <v>4.1166760793834918</v>
          </cell>
          <cell r="T26">
            <v>4.1166760793834918</v>
          </cell>
        </row>
        <row r="27">
          <cell r="A27">
            <v>77</v>
          </cell>
          <cell r="B27" t="str">
            <v>Calculated</v>
          </cell>
          <cell r="D27" t="str">
            <v>Borrowings</v>
          </cell>
          <cell r="E27">
            <v>360.04300000000001</v>
          </cell>
          <cell r="F27">
            <v>283.72899999999998</v>
          </cell>
          <cell r="G27">
            <v>337.67850604937951</v>
          </cell>
          <cell r="H27">
            <v>326.27340657014264</v>
          </cell>
          <cell r="I27">
            <v>303.36996015417901</v>
          </cell>
          <cell r="J27">
            <v>273.00419353928629</v>
          </cell>
          <cell r="K27">
            <v>242.75626692202073</v>
          </cell>
          <cell r="M27" t="str">
            <v>Add back Significant items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</row>
        <row r="28">
          <cell r="A28">
            <v>80</v>
          </cell>
          <cell r="B28" t="str">
            <v>Calculated</v>
          </cell>
          <cell r="D28" t="str">
            <v xml:space="preserve">Tax </v>
          </cell>
          <cell r="E28">
            <v>29.167999999999999</v>
          </cell>
          <cell r="F28">
            <v>25.736000000000001</v>
          </cell>
          <cell r="G28">
            <v>22.77387828741265</v>
          </cell>
          <cell r="H28">
            <v>22.111026715955894</v>
          </cell>
          <cell r="I28">
            <v>23.757083400603204</v>
          </cell>
          <cell r="J28">
            <v>25.683155630396403</v>
          </cell>
          <cell r="K28">
            <v>28.20797230467441</v>
          </cell>
          <cell r="M28" t="str">
            <v>Normalised NPAT</v>
          </cell>
          <cell r="N28">
            <v>72.435999999999922</v>
          </cell>
          <cell r="O28">
            <v>77.453999999999866</v>
          </cell>
          <cell r="P28">
            <v>98.881409479662523</v>
          </cell>
          <cell r="Q28">
            <v>107.43540095837402</v>
          </cell>
          <cell r="R28">
            <v>129.72976167055162</v>
          </cell>
          <cell r="S28">
            <v>141.12778449331046</v>
          </cell>
          <cell r="T28">
            <v>157.19777069762137</v>
          </cell>
        </row>
        <row r="29">
          <cell r="A29" t="str">
            <v>Calculated</v>
          </cell>
          <cell r="B29" t="str">
            <v>Composite</v>
          </cell>
          <cell r="D29" t="str">
            <v>Other</v>
          </cell>
          <cell r="E29">
            <v>10.084000000000003</v>
          </cell>
          <cell r="F29">
            <v>12.5</v>
          </cell>
          <cell r="G29">
            <v>13.640098418171078</v>
          </cell>
          <cell r="H29">
            <v>14.432393065098381</v>
          </cell>
          <cell r="I29">
            <v>16.103681120650208</v>
          </cell>
          <cell r="J29">
            <v>16.799031916899935</v>
          </cell>
          <cell r="K29">
            <v>17.598156472360927</v>
          </cell>
          <cell r="M29" t="str">
            <v>% chg</v>
          </cell>
          <cell r="N29">
            <v>0.25408028355123591</v>
          </cell>
          <cell r="O29">
            <v>6.9274946159367579E-2</v>
          </cell>
          <cell r="P29">
            <v>0.27664690628841249</v>
          </cell>
          <cell r="Q29">
            <v>8.6507580380625893E-2</v>
          </cell>
          <cell r="R29">
            <v>0.20751410162108108</v>
          </cell>
          <cell r="S29">
            <v>8.7859737626775791E-2</v>
          </cell>
          <cell r="T29">
            <v>0.11386833756376746</v>
          </cell>
        </row>
        <row r="30">
          <cell r="A30">
            <v>86</v>
          </cell>
          <cell r="B30" t="str">
            <v>mscalc:netIncome</v>
          </cell>
          <cell r="D30" t="str">
            <v>Total Non Current Liabilities</v>
          </cell>
          <cell r="E30">
            <v>399.29500000000002</v>
          </cell>
          <cell r="F30">
            <v>321.96499999999997</v>
          </cell>
          <cell r="G30">
            <v>374.09248275496321</v>
          </cell>
          <cell r="H30">
            <v>362.81682635119694</v>
          </cell>
          <cell r="I30">
            <v>343.23072467543244</v>
          </cell>
          <cell r="J30">
            <v>315.48638108658264</v>
          </cell>
          <cell r="K30">
            <v>288.56239569905608</v>
          </cell>
          <cell r="M30" t="str">
            <v>ModelWare NPAT</v>
          </cell>
          <cell r="N30">
            <v>64.268000000000001</v>
          </cell>
          <cell r="O30">
            <v>70.441000000000003</v>
          </cell>
          <cell r="P30">
            <v>91.649845357595694</v>
          </cell>
          <cell r="Q30">
            <v>103.85791625493999</v>
          </cell>
          <cell r="R30">
            <v>125.991387255064</v>
          </cell>
          <cell r="S30">
            <v>137.31166826969601</v>
          </cell>
          <cell r="T30">
            <v>153.440188754416</v>
          </cell>
        </row>
        <row r="31">
          <cell r="A31" t="str">
            <v>Calculated</v>
          </cell>
          <cell r="D31" t="str">
            <v>Total Liabilities</v>
          </cell>
          <cell r="E31">
            <v>602.33400000000006</v>
          </cell>
          <cell r="F31">
            <v>512.12099999999998</v>
          </cell>
          <cell r="G31">
            <v>582.21197375837119</v>
          </cell>
          <cell r="H31">
            <v>589.2794387097847</v>
          </cell>
          <cell r="I31">
            <v>582.41393918510414</v>
          </cell>
          <cell r="J31">
            <v>568.02175905523973</v>
          </cell>
          <cell r="K31">
            <v>547.89778368284919</v>
          </cell>
          <cell r="M31" t="str">
            <v>% chg</v>
          </cell>
          <cell r="N31">
            <v>9.6405479639012581E-2</v>
          </cell>
          <cell r="O31">
            <v>9.6050911806808914E-2</v>
          </cell>
          <cell r="P31">
            <v>0.30108665915582811</v>
          </cell>
          <cell r="Q31">
            <v>0.13320339875873599</v>
          </cell>
          <cell r="R31">
            <v>0.21311298934395118</v>
          </cell>
          <cell r="S31">
            <v>8.984964179904309E-2</v>
          </cell>
          <cell r="T31">
            <v>0.1174592129566272</v>
          </cell>
        </row>
        <row r="32">
          <cell r="A32">
            <v>106</v>
          </cell>
          <cell r="D32" t="str">
            <v>Shareholders Equity</v>
          </cell>
          <cell r="E32">
            <v>349.65500000000003</v>
          </cell>
          <cell r="F32">
            <v>471.70799999999997</v>
          </cell>
          <cell r="G32">
            <v>483.63266439086942</v>
          </cell>
          <cell r="H32">
            <v>544.27576475757519</v>
          </cell>
          <cell r="I32">
            <v>624.96697812771743</v>
          </cell>
          <cell r="J32">
            <v>718.84800304334385</v>
          </cell>
          <cell r="K32">
            <v>819.61323285375875</v>
          </cell>
        </row>
        <row r="33">
          <cell r="M33" t="str">
            <v>Ratios</v>
          </cell>
          <cell r="N33" t="str">
            <v>FY09A</v>
          </cell>
          <cell r="O33" t="str">
            <v>FY10A</v>
          </cell>
          <cell r="P33" t="str">
            <v>FY11E</v>
          </cell>
          <cell r="Q33" t="str">
            <v>FY12E</v>
          </cell>
          <cell r="R33" t="str">
            <v>FY13E</v>
          </cell>
          <cell r="S33" t="str">
            <v>FY14E</v>
          </cell>
          <cell r="T33" t="str">
            <v>FY15E</v>
          </cell>
        </row>
        <row r="34">
          <cell r="B34" t="str">
            <v>Calculated</v>
          </cell>
          <cell r="D34" t="str">
            <v>Cashflow ($m)</v>
          </cell>
          <cell r="E34" t="str">
            <v>FY09A</v>
          </cell>
          <cell r="F34" t="str">
            <v>FY10A</v>
          </cell>
          <cell r="G34" t="str">
            <v>FY11E</v>
          </cell>
          <cell r="H34" t="str">
            <v>FY12E</v>
          </cell>
          <cell r="I34" t="str">
            <v>FY13E</v>
          </cell>
          <cell r="J34" t="str">
            <v>FY14E</v>
          </cell>
          <cell r="K34" t="str">
            <v>FY15E</v>
          </cell>
          <cell r="M34" t="str">
            <v>EBITDA margin</v>
          </cell>
          <cell r="N34">
            <v>0.13984300441777492</v>
          </cell>
          <cell r="O34">
            <v>0.16642456052255061</v>
          </cell>
          <cell r="P34">
            <v>0.17703624331063006</v>
          </cell>
          <cell r="Q34">
            <v>0.17972988411142446</v>
          </cell>
          <cell r="R34">
            <v>0.18470827256996597</v>
          </cell>
          <cell r="S34">
            <v>0.18707438719478889</v>
          </cell>
          <cell r="T34">
            <v>0.19371287131326118</v>
          </cell>
        </row>
        <row r="35">
          <cell r="A35">
            <v>134</v>
          </cell>
          <cell r="B35" t="str">
            <v>Calculated</v>
          </cell>
          <cell r="D35" t="str">
            <v>EBITDA</v>
          </cell>
          <cell r="E35">
            <v>169.09899999999993</v>
          </cell>
          <cell r="F35">
            <v>167.03899999999985</v>
          </cell>
          <cell r="G35">
            <v>204.49614355539893</v>
          </cell>
          <cell r="H35">
            <v>222.83651849660259</v>
          </cell>
          <cell r="I35">
            <v>255.62921218658249</v>
          </cell>
          <cell r="J35">
            <v>271.61861712944528</v>
          </cell>
          <cell r="K35">
            <v>293.80614660227559</v>
          </cell>
          <cell r="M35" t="str">
            <v>EBIT margin</v>
          </cell>
          <cell r="N35">
            <v>0.10591247479751172</v>
          </cell>
          <cell r="O35">
            <v>0.12637641826377002</v>
          </cell>
          <cell r="P35">
            <v>0.13902590390881817</v>
          </cell>
          <cell r="Q35">
            <v>0.14427945213037624</v>
          </cell>
          <cell r="R35">
            <v>0.15046462996031573</v>
          </cell>
          <cell r="S35">
            <v>0.15209708167550559</v>
          </cell>
          <cell r="T35">
            <v>0.15808415790480318</v>
          </cell>
        </row>
        <row r="36">
          <cell r="A36">
            <v>141</v>
          </cell>
          <cell r="B36" t="str">
            <v>Calculated</v>
          </cell>
          <cell r="D36" t="str">
            <v>Tax paid</v>
          </cell>
          <cell r="E36">
            <v>-32.524000000000001</v>
          </cell>
          <cell r="F36">
            <v>-20.620999999999999</v>
          </cell>
          <cell r="G36">
            <v>-35.323404004364498</v>
          </cell>
          <cell r="H36">
            <v>-39.781830468881992</v>
          </cell>
          <cell r="I36">
            <v>-48.104498185263459</v>
          </cell>
          <cell r="J36">
            <v>-51.838443903010116</v>
          </cell>
          <cell r="K36">
            <v>-58.432084698831972</v>
          </cell>
          <cell r="M36" t="str">
            <v xml:space="preserve">Effective tax rate </v>
          </cell>
          <cell r="N36">
            <v>0.30013561803074035</v>
          </cell>
          <cell r="O36">
            <v>0.26679927892086819</v>
          </cell>
          <cell r="P36">
            <v>0.2910824219667657</v>
          </cell>
          <cell r="Q36">
            <v>0.28950500878485469</v>
          </cell>
          <cell r="R36">
            <v>0.29005271563913482</v>
          </cell>
          <cell r="S36">
            <v>0.28992889953041945</v>
          </cell>
          <cell r="T36">
            <v>0.28995866611477505</v>
          </cell>
        </row>
        <row r="37">
          <cell r="A37">
            <v>135</v>
          </cell>
          <cell r="B37">
            <v>204</v>
          </cell>
          <cell r="D37" t="str">
            <v>Change in working Capital</v>
          </cell>
          <cell r="E37">
            <v>-72.374999999999943</v>
          </cell>
          <cell r="F37">
            <v>36.560999999999979</v>
          </cell>
          <cell r="G37">
            <v>-34.603376391800936</v>
          </cell>
          <cell r="H37">
            <v>-16.500302310061471</v>
          </cell>
          <cell r="I37">
            <v>-25.013563307566983</v>
          </cell>
          <cell r="J37">
            <v>-12.091874713234574</v>
          </cell>
          <cell r="K37">
            <v>-13.265389810675742</v>
          </cell>
          <cell r="M37" t="str">
            <v>Weighted Avge Dil Shares (m)</v>
          </cell>
          <cell r="N37">
            <v>122.03653060465116</v>
          </cell>
          <cell r="O37">
            <v>129.29885861398176</v>
          </cell>
          <cell r="P37">
            <v>140.3206393178082</v>
          </cell>
          <cell r="Q37">
            <v>144.22182950546448</v>
          </cell>
          <cell r="R37">
            <v>146.95395429863015</v>
          </cell>
          <cell r="S37">
            <v>150.22967560273972</v>
          </cell>
          <cell r="T37">
            <v>153.18245813636364</v>
          </cell>
        </row>
        <row r="38">
          <cell r="A38" t="str">
            <v>Calculated</v>
          </cell>
          <cell r="B38" t="str">
            <v>Calculated</v>
          </cell>
          <cell r="D38" t="str">
            <v>Other</v>
          </cell>
          <cell r="E38">
            <v>80.914000000000044</v>
          </cell>
          <cell r="F38">
            <v>-9.261999999999972</v>
          </cell>
          <cell r="G38">
            <v>3.5037133837095666</v>
          </cell>
          <cell r="H38">
            <v>2.3818112283765345</v>
          </cell>
          <cell r="I38">
            <v>4.9847130040428738</v>
          </cell>
          <cell r="J38">
            <v>2.1307901577075086</v>
          </cell>
          <cell r="K38">
            <v>2.5017205412821113</v>
          </cell>
          <cell r="M38" t="str">
            <v>Reported EPS</v>
          </cell>
          <cell r="N38">
            <v>52.662919604132448</v>
          </cell>
          <cell r="O38">
            <v>54.479212543012117</v>
          </cell>
          <cell r="P38">
            <v>65.116469994409243</v>
          </cell>
          <cell r="Q38">
            <v>71.638756236326785</v>
          </cell>
          <cell r="R38">
            <v>85.477853379777372</v>
          </cell>
          <cell r="S38">
            <v>91.201094500285478</v>
          </cell>
          <cell r="T38">
            <v>99.9338282468117</v>
          </cell>
        </row>
        <row r="39">
          <cell r="A39" t="str">
            <v>Calculated</v>
          </cell>
          <cell r="B39" t="str">
            <v>Composite</v>
          </cell>
          <cell r="D39" t="str">
            <v>Gross Cashflow</v>
          </cell>
          <cell r="E39">
            <v>145.11400000000003</v>
          </cell>
          <cell r="F39">
            <v>173.71699999999984</v>
          </cell>
          <cell r="G39">
            <v>138.07307654294306</v>
          </cell>
          <cell r="H39">
            <v>168.93619694603566</v>
          </cell>
          <cell r="I39">
            <v>187.49586369779493</v>
          </cell>
          <cell r="J39">
            <v>209.81908867090812</v>
          </cell>
          <cell r="K39">
            <v>224.61039263404999</v>
          </cell>
          <cell r="M39" t="str">
            <v>…change (%)</v>
          </cell>
          <cell r="N39">
            <v>-2.8760329291703801E-2</v>
          </cell>
          <cell r="O39">
            <v>3.4489028571388698E-2</v>
          </cell>
          <cell r="P39">
            <v>0.19525350963909141</v>
          </cell>
          <cell r="Q39">
            <v>0.10016338788754259</v>
          </cell>
          <cell r="R39">
            <v>0.19317891418713687</v>
          </cell>
          <cell r="S39">
            <v>6.6955835859375118E-2</v>
          </cell>
          <cell r="T39">
            <v>9.5752510365968102E-2</v>
          </cell>
        </row>
        <row r="40">
          <cell r="A40">
            <v>13</v>
          </cell>
          <cell r="B40" t="str">
            <v>Calculated</v>
          </cell>
          <cell r="D40" t="str">
            <v>Interest paid</v>
          </cell>
          <cell r="E40">
            <v>-35.055999999999997</v>
          </cell>
          <cell r="F40">
            <v>-26.288</v>
          </cell>
          <cell r="G40">
            <v>-28.491859975794512</v>
          </cell>
          <cell r="H40">
            <v>-30.176604135141908</v>
          </cell>
          <cell r="I40">
            <v>-28.152988848927141</v>
          </cell>
          <cell r="J40">
            <v>-24.914167669633414</v>
          </cell>
          <cell r="K40">
            <v>-21.5639793453945</v>
          </cell>
          <cell r="M40" t="str">
            <v xml:space="preserve">Normalised EPS (¢) </v>
          </cell>
          <cell r="N40">
            <v>59.355997455108884</v>
          </cell>
          <cell r="O40">
            <v>59.903080994115101</v>
          </cell>
          <cell r="P40">
            <v>70.468186262826848</v>
          </cell>
          <cell r="Q40">
            <v>74.493161906744049</v>
          </cell>
          <cell r="R40">
            <v>88.279190777625047</v>
          </cell>
          <cell r="S40">
            <v>93.941349421869305</v>
          </cell>
          <cell r="T40">
            <v>102.62126134422212</v>
          </cell>
        </row>
        <row r="41">
          <cell r="A41">
            <v>142</v>
          </cell>
          <cell r="B41" t="str">
            <v>Composite</v>
          </cell>
          <cell r="D41" t="str">
            <v>Operating Cashflow</v>
          </cell>
          <cell r="E41">
            <v>110.05800000000005</v>
          </cell>
          <cell r="F41">
            <v>147.42899999999983</v>
          </cell>
          <cell r="G41">
            <v>109.58121656714854</v>
          </cell>
          <cell r="H41">
            <v>138.75959281089376</v>
          </cell>
          <cell r="I41">
            <v>159.34287484886778</v>
          </cell>
          <cell r="J41">
            <v>184.90492100127472</v>
          </cell>
          <cell r="K41">
            <v>203.04641328865549</v>
          </cell>
          <cell r="M41" t="str">
            <v>…change (%)</v>
          </cell>
          <cell r="N41">
            <v>9.8936579124658586E-2</v>
          </cell>
          <cell r="O41">
            <v>9.2169883830185342E-3</v>
          </cell>
          <cell r="P41">
            <v>0.17636998119929201</v>
          </cell>
          <cell r="Q41">
            <v>5.7117627930782205E-2</v>
          </cell>
          <cell r="R41">
            <v>0.18506435380121666</v>
          </cell>
          <cell r="S41">
            <v>6.4139222328251908E-2</v>
          </cell>
          <cell r="T41">
            <v>9.2397139021000205E-2</v>
          </cell>
        </row>
        <row r="42">
          <cell r="A42">
            <v>19</v>
          </cell>
          <cell r="B42" t="str">
            <v>mscalc:dilutedEarningsPerShareBeforeOperatingLeaseAdjustments</v>
          </cell>
          <cell r="D42" t="str">
            <v>Capital Expenditure</v>
          </cell>
          <cell r="E42">
            <v>-80.992000000000004</v>
          </cell>
          <cell r="F42">
            <v>-35.262</v>
          </cell>
          <cell r="G42">
            <v>-58.182299999999998</v>
          </cell>
          <cell r="H42">
            <v>-80.000662500000004</v>
          </cell>
          <cell r="I42">
            <v>-82.400682375000002</v>
          </cell>
          <cell r="J42">
            <v>-84.872702846250007</v>
          </cell>
          <cell r="K42">
            <v>-87.418883931637509</v>
          </cell>
          <cell r="M42" t="str">
            <v>ModelWare EPS</v>
          </cell>
          <cell r="N42">
            <v>52.5547328290614</v>
          </cell>
          <cell r="O42">
            <v>54.584204473249599</v>
          </cell>
          <cell r="P42">
            <v>65.128076563649103</v>
          </cell>
          <cell r="Q42">
            <v>72.551855807293592</v>
          </cell>
          <cell r="R42">
            <v>86.349567258014702</v>
          </cell>
          <cell r="S42">
            <v>92.022596612915692</v>
          </cell>
          <cell r="T42">
            <v>100.792657671201</v>
          </cell>
        </row>
        <row r="43">
          <cell r="A43" t="str">
            <v>Calculated</v>
          </cell>
          <cell r="D43" t="str">
            <v>Free Cash Flow</v>
          </cell>
          <cell r="E43">
            <v>29.066000000000045</v>
          </cell>
          <cell r="F43">
            <v>112.16699999999983</v>
          </cell>
          <cell r="G43">
            <v>51.398916567148547</v>
          </cell>
          <cell r="H43">
            <v>58.75893031089376</v>
          </cell>
          <cell r="I43">
            <v>76.942192473867777</v>
          </cell>
          <cell r="J43">
            <v>100.03221815502471</v>
          </cell>
          <cell r="K43">
            <v>115.62752935701798</v>
          </cell>
          <cell r="M43" t="str">
            <v>% chg</v>
          </cell>
          <cell r="N43">
            <v>-4.1205824624311993E-2</v>
          </cell>
          <cell r="O43">
            <v>3.8616344046295881E-2</v>
          </cell>
          <cell r="P43">
            <v>0.19316709279086042</v>
          </cell>
          <cell r="Q43">
            <v>0.11398738662870378</v>
          </cell>
          <cell r="R43">
            <v>0.19017723664256758</v>
          </cell>
          <cell r="S43">
            <v>6.5698410948022978E-2</v>
          </cell>
          <cell r="T43">
            <v>9.5303342668928703E-2</v>
          </cell>
        </row>
        <row r="44">
          <cell r="A44" t="str">
            <v>Composite</v>
          </cell>
          <cell r="B44">
            <v>227</v>
          </cell>
          <cell r="D44" t="str">
            <v>Acquisitions</v>
          </cell>
          <cell r="E44">
            <v>-106.629</v>
          </cell>
          <cell r="F44">
            <v>-19.041</v>
          </cell>
          <cell r="G44">
            <v>-45.9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M44" t="str">
            <v xml:space="preserve">DPS (¢) </v>
          </cell>
          <cell r="N44">
            <v>23</v>
          </cell>
          <cell r="O44">
            <v>34</v>
          </cell>
          <cell r="P44">
            <v>42</v>
          </cell>
          <cell r="Q44">
            <v>46</v>
          </cell>
          <cell r="R44">
            <v>55.5</v>
          </cell>
          <cell r="S44">
            <v>59</v>
          </cell>
          <cell r="T44">
            <v>64.5</v>
          </cell>
        </row>
        <row r="45">
          <cell r="A45" t="str">
            <v>Composite</v>
          </cell>
          <cell r="B45" t="str">
            <v>Calculated</v>
          </cell>
          <cell r="D45" t="str">
            <v>Asset sales</v>
          </cell>
          <cell r="E45">
            <v>0.79400000000000004</v>
          </cell>
          <cell r="F45">
            <v>3.6999999999999998E-2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M45" t="str">
            <v xml:space="preserve">…Payout </v>
          </cell>
          <cell r="N45">
            <v>0.38749243524034732</v>
          </cell>
          <cell r="O45">
            <v>0.56758349379959561</v>
          </cell>
          <cell r="P45">
            <v>0.59601363718021083</v>
          </cell>
          <cell r="Q45">
            <v>0.61750634316725794</v>
          </cell>
          <cell r="R45">
            <v>0.62868723094442824</v>
          </cell>
          <cell r="S45">
            <v>0.62805144234243826</v>
          </cell>
          <cell r="T45">
            <v>0.62852472436143503</v>
          </cell>
        </row>
        <row r="46">
          <cell r="A46">
            <v>40</v>
          </cell>
          <cell r="B46" t="str">
            <v>Calculated</v>
          </cell>
          <cell r="D46" t="str">
            <v>Equity Issues</v>
          </cell>
          <cell r="E46">
            <v>138.73499999999999</v>
          </cell>
          <cell r="F46">
            <v>68.930000000000007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M46" t="str">
            <v xml:space="preserve">OpCF/share (¢) </v>
          </cell>
          <cell r="N46">
            <v>90.184471366646207</v>
          </cell>
          <cell r="O46">
            <v>114.02188819016965</v>
          </cell>
          <cell r="P46">
            <v>78.093441634741396</v>
          </cell>
          <cell r="Q46">
            <v>96.212614475006532</v>
          </cell>
          <cell r="R46">
            <v>108.43047783869883</v>
          </cell>
          <cell r="S46">
            <v>123.08148856703158</v>
          </cell>
          <cell r="T46">
            <v>132.5520009007185</v>
          </cell>
        </row>
        <row r="47">
          <cell r="A47">
            <v>47</v>
          </cell>
          <cell r="B47">
            <v>119</v>
          </cell>
          <cell r="D47" t="str">
            <v>Dividends</v>
          </cell>
          <cell r="E47">
            <v>-34.264000000000003</v>
          </cell>
          <cell r="F47">
            <v>-23.869</v>
          </cell>
          <cell r="G47">
            <v>-35.923102169907182</v>
          </cell>
          <cell r="H47">
            <v>-40.228743573072677</v>
          </cell>
          <cell r="I47">
            <v>-47.022700245373557</v>
          </cell>
          <cell r="J47">
            <v>-54.671836876493195</v>
          </cell>
          <cell r="K47">
            <v>-59.859200248411241</v>
          </cell>
          <cell r="M47" t="str">
            <v>Net Debt ($m)</v>
          </cell>
          <cell r="N47">
            <v>392.94900000000001</v>
          </cell>
          <cell r="O47">
            <v>244.21799999999996</v>
          </cell>
          <cell r="P47">
            <v>351.86739158131383</v>
          </cell>
          <cell r="Q47">
            <v>344.67474422886022</v>
          </cell>
          <cell r="R47">
            <v>318.87030054051644</v>
          </cell>
          <cell r="S47">
            <v>270.50728736379881</v>
          </cell>
          <cell r="T47">
            <v>211.73632635700602</v>
          </cell>
        </row>
        <row r="48">
          <cell r="A48" t="str">
            <v>Calculated</v>
          </cell>
          <cell r="B48" t="str">
            <v>Calculated</v>
          </cell>
          <cell r="D48" t="str">
            <v>Other</v>
          </cell>
          <cell r="E48">
            <v>-171.81700000000004</v>
          </cell>
          <cell r="F48">
            <v>10.507000000000204</v>
          </cell>
          <cell r="G48">
            <v>-77.225205978555238</v>
          </cell>
          <cell r="H48">
            <v>-11.337539385367478</v>
          </cell>
          <cell r="I48">
            <v>-4.1150485401504397</v>
          </cell>
          <cell r="J48">
            <v>3.0026318981861166</v>
          </cell>
          <cell r="K48">
            <v>3.0026318981860527</v>
          </cell>
          <cell r="M48" t="str">
            <v>Gearing (ND/ND+equity) (%)</v>
          </cell>
          <cell r="N48">
            <v>0.52915012577362897</v>
          </cell>
          <cell r="O48">
            <v>0.34112184778873794</v>
          </cell>
          <cell r="P48">
            <v>0.42114586236847451</v>
          </cell>
          <cell r="Q48">
            <v>0.38773220864888402</v>
          </cell>
          <cell r="R48">
            <v>0.33784457103712451</v>
          </cell>
          <cell r="S48">
            <v>0.27341773980152145</v>
          </cell>
          <cell r="T48">
            <v>0.20530025389164488</v>
          </cell>
        </row>
        <row r="49">
          <cell r="A49">
            <v>87</v>
          </cell>
          <cell r="B49" t="str">
            <v>Calculated</v>
          </cell>
          <cell r="D49" t="str">
            <v xml:space="preserve">Change in Net Debt </v>
          </cell>
          <cell r="E49">
            <v>144.11500000000001</v>
          </cell>
          <cell r="F49">
            <v>-148.73100000000005</v>
          </cell>
          <cell r="G49">
            <v>107.64939158131386</v>
          </cell>
          <cell r="H49">
            <v>-7.192647352453605</v>
          </cell>
          <cell r="I49">
            <v>-25.804443688343781</v>
          </cell>
          <cell r="J49">
            <v>-48.363013176717629</v>
          </cell>
          <cell r="K49">
            <v>-58.770961006792788</v>
          </cell>
          <cell r="M49" t="str">
            <v>ROE (%)</v>
          </cell>
          <cell r="N49">
            <v>0.20716420471607702</v>
          </cell>
          <cell r="O49">
            <v>0.18859870727071917</v>
          </cell>
          <cell r="P49">
            <v>0.20700764275057812</v>
          </cell>
          <cell r="Q49">
            <v>0.20903691012122017</v>
          </cell>
          <cell r="R49">
            <v>0.22190389884383255</v>
          </cell>
          <cell r="S49">
            <v>0.21004049883463169</v>
          </cell>
          <cell r="T49">
            <v>0.20435714209719</v>
          </cell>
        </row>
        <row r="50">
          <cell r="B50" t="str">
            <v>Calculated</v>
          </cell>
          <cell r="M50" t="str">
            <v>ROIC (%)</v>
          </cell>
          <cell r="N50">
            <v>0.2556644085099658</v>
          </cell>
          <cell r="O50">
            <v>0.13457839841589567</v>
          </cell>
          <cell r="P50">
            <v>0.15362482517785697</v>
          </cell>
          <cell r="Q50">
            <v>0.15079677030159908</v>
          </cell>
          <cell r="R50">
            <v>0.16451456149444693</v>
          </cell>
          <cell r="S50">
            <v>0.16525102459570093</v>
          </cell>
          <cell r="T50">
            <v>0.17139367563421298</v>
          </cell>
        </row>
        <row r="52">
          <cell r="M52" t="str">
            <v>Working Section (see comments)</v>
          </cell>
          <cell r="O52">
            <v>0.12622598977532193</v>
          </cell>
        </row>
        <row r="53">
          <cell r="O53">
            <v>0.16781756172267159</v>
          </cell>
        </row>
      </sheetData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 refreshError="1"/>
      <sheetData sheetId="49" refreshError="1"/>
      <sheetData sheetId="50" refreshError="1"/>
      <sheetData sheetId="51" refreshError="1"/>
      <sheetData sheetId="52"/>
      <sheetData sheetId="53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HL IBES Prospective"/>
      <sheetName val="Inputs"/>
      <sheetName val="CFS Data"/>
      <sheetName val="MW-Cache"/>
      <sheetName val="Financial Tables"/>
      <sheetName val="Financial Tables (ECC)"/>
      <sheetName val="Results Summary"/>
      <sheetName val="Tables and Charts"/>
      <sheetName val="Rental"/>
      <sheetName val="Sales"/>
      <sheetName val="Parts"/>
      <sheetName val="Rental (ex Maintenance)"/>
      <sheetName val="Maintenance"/>
      <sheetName val="Australia Rental"/>
      <sheetName val="Australia Sales"/>
      <sheetName val="Australia Parts"/>
      <sheetName val="Indonesia"/>
      <sheetName val="Canada"/>
      <sheetName val="USA (discontinued)"/>
      <sheetName val="Europe (discontinued)"/>
      <sheetName val="Segment Reporting"/>
      <sheetName val="Segment Reporting (Secondary)"/>
      <sheetName val="Dividends"/>
      <sheetName val="Acquisitions &amp; Disposals"/>
      <sheetName val="Profit &amp; Loss"/>
      <sheetName val="Other Revenue"/>
      <sheetName val="Expenses"/>
      <sheetName val="__FDSCACHE__"/>
      <sheetName val="Interest Revenue &amp; Expense"/>
      <sheetName val="Depreciation &amp; Amortisation"/>
      <sheetName val="Significant Items"/>
      <sheetName val="Balance Sheet"/>
      <sheetName val="Shareholders' Equity"/>
      <sheetName val="Cash Flow Statement"/>
      <sheetName val="Ratio Analysis"/>
      <sheetName val="Issued Capital"/>
      <sheetName val="Valuation Summary"/>
      <sheetName val="DCF Table for Note"/>
      <sheetName val="DCF"/>
      <sheetName val="WACC"/>
      <sheetName val="Inverted DCF"/>
      <sheetName val="PE Relative"/>
      <sheetName val="Sum of Parts"/>
      <sheetName val="DDM"/>
      <sheetName val="Profit Decomposition"/>
      <sheetName val="Du Pont Tree"/>
      <sheetName val="Cash Conversion Cycle"/>
      <sheetName val="Template Bridge"/>
      <sheetName val="mwareInputs"/>
      <sheetName val="MWA RR"/>
      <sheetName val="mwareDates"/>
      <sheetName val="mwareSettings"/>
      <sheetName val="Results Preview"/>
      <sheetName val="Ten Half Trend"/>
      <sheetName val="Earnings 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D2">
            <v>39629</v>
          </cell>
          <cell r="E2">
            <v>39994</v>
          </cell>
          <cell r="F2">
            <v>40359</v>
          </cell>
          <cell r="G2">
            <v>40724</v>
          </cell>
          <cell r="H2">
            <v>41090</v>
          </cell>
          <cell r="I2">
            <v>41455</v>
          </cell>
          <cell r="J2">
            <v>41820</v>
          </cell>
          <cell r="K2">
            <v>42185</v>
          </cell>
        </row>
        <row r="3">
          <cell r="A3" t="str">
            <v>Named Ranges</v>
          </cell>
          <cell r="D3">
            <v>54</v>
          </cell>
          <cell r="E3">
            <v>57</v>
          </cell>
          <cell r="F3">
            <v>63</v>
          </cell>
          <cell r="G3">
            <v>66</v>
          </cell>
          <cell r="H3">
            <v>69</v>
          </cell>
          <cell r="I3">
            <v>72</v>
          </cell>
          <cell r="J3">
            <v>75</v>
          </cell>
          <cell r="K3">
            <v>78</v>
          </cell>
          <cell r="N3">
            <v>57</v>
          </cell>
          <cell r="O3">
            <v>63</v>
          </cell>
          <cell r="P3">
            <v>66</v>
          </cell>
          <cell r="Q3">
            <v>69</v>
          </cell>
          <cell r="R3">
            <v>72</v>
          </cell>
          <cell r="S3">
            <v>75</v>
          </cell>
          <cell r="T3">
            <v>78</v>
          </cell>
          <cell r="AD3">
            <v>51</v>
          </cell>
          <cell r="AE3">
            <v>52</v>
          </cell>
          <cell r="AF3">
            <v>53</v>
          </cell>
          <cell r="AG3">
            <v>54</v>
          </cell>
          <cell r="AH3">
            <v>58</v>
          </cell>
          <cell r="AI3">
            <v>59</v>
          </cell>
          <cell r="AJ3">
            <v>60</v>
          </cell>
          <cell r="AK3">
            <v>61</v>
          </cell>
          <cell r="AL3">
            <v>62</v>
          </cell>
          <cell r="AM3">
            <v>63</v>
          </cell>
        </row>
        <row r="4">
          <cell r="A4" t="str">
            <v>Rows</v>
          </cell>
          <cell r="D4">
            <v>2008</v>
          </cell>
          <cell r="E4">
            <v>2009</v>
          </cell>
          <cell r="F4">
            <v>2010</v>
          </cell>
          <cell r="G4">
            <v>2011</v>
          </cell>
          <cell r="H4">
            <v>2012</v>
          </cell>
          <cell r="I4">
            <v>2013</v>
          </cell>
          <cell r="J4">
            <v>2014</v>
          </cell>
          <cell r="K4">
            <v>2015</v>
          </cell>
          <cell r="N4">
            <v>2009</v>
          </cell>
          <cell r="O4">
            <v>2010</v>
          </cell>
          <cell r="P4">
            <v>2011</v>
          </cell>
          <cell r="Q4">
            <v>2012</v>
          </cell>
          <cell r="R4">
            <v>2013</v>
          </cell>
          <cell r="S4">
            <v>2014</v>
          </cell>
          <cell r="T4">
            <v>2015</v>
          </cell>
          <cell r="AD4">
            <v>2007</v>
          </cell>
          <cell r="AE4">
            <v>2008</v>
          </cell>
          <cell r="AF4">
            <v>2008</v>
          </cell>
          <cell r="AG4">
            <v>2008</v>
          </cell>
          <cell r="AH4">
            <v>2009</v>
          </cell>
          <cell r="AI4">
            <v>2009</v>
          </cell>
          <cell r="AJ4">
            <v>2009</v>
          </cell>
          <cell r="AK4">
            <v>2010</v>
          </cell>
          <cell r="AL4">
            <v>2010</v>
          </cell>
          <cell r="AM4">
            <v>2010</v>
          </cell>
        </row>
        <row r="6">
          <cell r="D6" t="str">
            <v>Emeco Holdings</v>
          </cell>
        </row>
        <row r="7">
          <cell r="A7" t="str">
            <v>LHS Table</v>
          </cell>
          <cell r="B7" t="str">
            <v>RHS Table</v>
          </cell>
          <cell r="D7" t="str">
            <v>Balance Sheet ($m)</v>
          </cell>
          <cell r="E7" t="str">
            <v>FY09A</v>
          </cell>
          <cell r="F7" t="str">
            <v>FY10A</v>
          </cell>
          <cell r="G7" t="str">
            <v>FY11E</v>
          </cell>
          <cell r="H7" t="str">
            <v>FY12E</v>
          </cell>
          <cell r="I7" t="str">
            <v>FY13E</v>
          </cell>
          <cell r="J7" t="str">
            <v>FY14E</v>
          </cell>
          <cell r="K7" t="str">
            <v>FY15E</v>
          </cell>
          <cell r="M7" t="str">
            <v>P&amp;L ($m)</v>
          </cell>
          <cell r="N7" t="str">
            <v>FY09A</v>
          </cell>
          <cell r="O7" t="str">
            <v>FY10A</v>
          </cell>
          <cell r="P7" t="str">
            <v>FY11E</v>
          </cell>
          <cell r="Q7" t="str">
            <v>FY12E</v>
          </cell>
          <cell r="R7" t="str">
            <v>FY13E</v>
          </cell>
          <cell r="S7" t="str">
            <v>FY14E</v>
          </cell>
          <cell r="T7" t="str">
            <v>FY15E</v>
          </cell>
          <cell r="AD7" t="str">
            <v>FY07A</v>
          </cell>
          <cell r="AE7" t="str">
            <v>1H08A</v>
          </cell>
          <cell r="AF7" t="str">
            <v>2H08A</v>
          </cell>
          <cell r="AG7" t="str">
            <v>FY08A</v>
          </cell>
          <cell r="AH7" t="str">
            <v>1H09A</v>
          </cell>
          <cell r="AI7" t="str">
            <v>2H09A</v>
          </cell>
          <cell r="AJ7" t="str">
            <v>FY09A</v>
          </cell>
          <cell r="AK7" t="str">
            <v>1H10A</v>
          </cell>
          <cell r="AL7" t="str">
            <v>2H10A</v>
          </cell>
          <cell r="AM7" t="str">
            <v>FY10A</v>
          </cell>
          <cell r="AN7" t="str">
            <v>D% pcp</v>
          </cell>
          <cell r="AQ7" t="str">
            <v>Table 2: EHL – 1H09 Result Review</v>
          </cell>
          <cell r="AV7" t="str">
            <v>Table 2: EHL – FY09 Result Review</v>
          </cell>
          <cell r="BA7" t="str">
            <v>Table 2: EHL – 2H09 Result Review</v>
          </cell>
          <cell r="BF7" t="str">
            <v>Table 2: EHL – 2H09 vs 1H09 Result Review</v>
          </cell>
        </row>
        <row r="8">
          <cell r="A8">
            <v>7</v>
          </cell>
          <cell r="B8">
            <v>7</v>
          </cell>
          <cell r="D8" t="str">
            <v xml:space="preserve">Cash </v>
          </cell>
          <cell r="E8">
            <v>10.422000000000001</v>
          </cell>
          <cell r="F8">
            <v>5.2389999999999999</v>
          </cell>
          <cell r="G8">
            <v>16.365005257410925</v>
          </cell>
          <cell r="H8">
            <v>22.282946750524896</v>
          </cell>
          <cell r="I8">
            <v>37.805469419708508</v>
          </cell>
          <cell r="J8">
            <v>70.583847588514345</v>
          </cell>
          <cell r="K8">
            <v>124.19339474445211</v>
          </cell>
          <cell r="M8" t="str">
            <v>Sales Revenue</v>
          </cell>
          <cell r="N8">
            <v>528.24300000000005</v>
          </cell>
          <cell r="O8">
            <v>404.95900000000006</v>
          </cell>
          <cell r="P8">
            <v>493.42821610129579</v>
          </cell>
          <cell r="Q8">
            <v>518.37314762532083</v>
          </cell>
          <cell r="R8">
            <v>553.37785199813652</v>
          </cell>
          <cell r="S8">
            <v>582.06170638486321</v>
          </cell>
          <cell r="T8">
            <v>605.85398635823742</v>
          </cell>
          <cell r="V8">
            <v>5.9007159972880308E-2</v>
          </cell>
          <cell r="W8">
            <v>0.1096948553973085</v>
          </cell>
          <cell r="X8">
            <v>9.4937911520781348E-2</v>
          </cell>
          <cell r="Y8">
            <v>8.3905407335121307E-2</v>
          </cell>
          <cell r="AC8" t="str">
            <v>Period End</v>
          </cell>
          <cell r="AD8">
            <v>39263</v>
          </cell>
          <cell r="AE8">
            <v>39447</v>
          </cell>
          <cell r="AF8">
            <v>39629</v>
          </cell>
          <cell r="AG8">
            <v>39629</v>
          </cell>
          <cell r="AH8">
            <v>39813</v>
          </cell>
          <cell r="AI8">
            <v>39994</v>
          </cell>
          <cell r="AJ8">
            <v>39994</v>
          </cell>
          <cell r="AK8">
            <v>40178</v>
          </cell>
          <cell r="AL8">
            <v>40359</v>
          </cell>
          <cell r="AM8">
            <v>40359</v>
          </cell>
          <cell r="AQ8" t="str">
            <v>$m</v>
          </cell>
          <cell r="AR8" t="str">
            <v>1H10A</v>
          </cell>
          <cell r="AS8" t="str">
            <v>1H09A</v>
          </cell>
          <cell r="AT8" t="str">
            <v>% Chg</v>
          </cell>
          <cell r="AV8" t="str">
            <v>$m</v>
          </cell>
          <cell r="AW8" t="str">
            <v>FY10A</v>
          </cell>
          <cell r="AX8" t="str">
            <v>FY09A</v>
          </cell>
          <cell r="AY8" t="str">
            <v>% Chg</v>
          </cell>
          <cell r="BA8" t="str">
            <v>$m</v>
          </cell>
          <cell r="BB8" t="str">
            <v>2H10A</v>
          </cell>
          <cell r="BC8" t="str">
            <v>2H09A</v>
          </cell>
          <cell r="BD8" t="str">
            <v>% Chg</v>
          </cell>
          <cell r="BF8" t="str">
            <v>$m</v>
          </cell>
          <cell r="BG8" t="str">
            <v>2H10A</v>
          </cell>
          <cell r="BH8" t="str">
            <v>1H10A</v>
          </cell>
          <cell r="BI8" t="str">
            <v>% Chg</v>
          </cell>
        </row>
        <row r="9">
          <cell r="A9">
            <v>8</v>
          </cell>
          <cell r="B9" t="str">
            <v>Calculated</v>
          </cell>
          <cell r="D9" t="str">
            <v xml:space="preserve">Receivables </v>
          </cell>
          <cell r="E9">
            <v>77.691000000000003</v>
          </cell>
          <cell r="F9">
            <v>90.326999999999998</v>
          </cell>
          <cell r="G9">
            <v>97.232411816766415</v>
          </cell>
          <cell r="H9">
            <v>102.67038880426765</v>
          </cell>
          <cell r="I9">
            <v>112.9212401360836</v>
          </cell>
          <cell r="J9">
            <v>116.88290318281943</v>
          </cell>
          <cell r="K9">
            <v>121.73692230435634</v>
          </cell>
          <cell r="M9" t="str">
            <v>% chg</v>
          </cell>
          <cell r="N9">
            <v>-0.1451548694047966</v>
          </cell>
          <cell r="O9">
            <v>-0.23338501409389234</v>
          </cell>
          <cell r="P9">
            <v>0.21846462506400832</v>
          </cell>
          <cell r="Q9">
            <v>5.0554327276055355E-2</v>
          </cell>
          <cell r="R9">
            <v>6.7528004745564196E-2</v>
          </cell>
          <cell r="S9">
            <v>5.1834120724483457E-2</v>
          </cell>
          <cell r="T9">
            <v>4.0875872287057025E-2</v>
          </cell>
          <cell r="AC9" t="str">
            <v>Summary Profit &amp; Loss</v>
          </cell>
          <cell r="AQ9" t="str">
            <v>Sales</v>
          </cell>
          <cell r="AR9">
            <v>208.505</v>
          </cell>
          <cell r="AS9">
            <v>0</v>
          </cell>
          <cell r="AT9" t="e">
            <v>#DIV/0!</v>
          </cell>
          <cell r="AV9" t="str">
            <v>Sales</v>
          </cell>
          <cell r="AW9">
            <v>404.95900000000006</v>
          </cell>
          <cell r="AX9">
            <v>443.72299999999996</v>
          </cell>
          <cell r="AY9">
            <v>-8.736080843228744E-2</v>
          </cell>
          <cell r="BA9" t="str">
            <v>Sales</v>
          </cell>
          <cell r="BB9">
            <v>196.45400000000004</v>
          </cell>
          <cell r="BC9">
            <v>0</v>
          </cell>
          <cell r="BD9" t="e">
            <v>#DIV/0!</v>
          </cell>
          <cell r="BF9" t="str">
            <v>Sales</v>
          </cell>
          <cell r="BG9">
            <v>196.45400000000004</v>
          </cell>
          <cell r="BH9">
            <v>208.505</v>
          </cell>
          <cell r="BI9">
            <v>-5.7797175127694556E-2</v>
          </cell>
        </row>
        <row r="10">
          <cell r="A10">
            <v>9</v>
          </cell>
          <cell r="B10">
            <v>65</v>
          </cell>
          <cell r="D10" t="str">
            <v>Inventory</v>
          </cell>
          <cell r="E10">
            <v>142.65</v>
          </cell>
          <cell r="F10">
            <v>87.016999999999996</v>
          </cell>
          <cell r="G10">
            <v>63.981598250835383</v>
          </cell>
          <cell r="H10">
            <v>61.870261618633336</v>
          </cell>
          <cell r="I10">
            <v>62.759008987136895</v>
          </cell>
          <cell r="J10">
            <v>69.242600939535365</v>
          </cell>
          <cell r="K10">
            <v>71.291945592926567</v>
          </cell>
          <cell r="M10" t="str">
            <v>EBITDA</v>
          </cell>
          <cell r="N10">
            <v>210.87700000000001</v>
          </cell>
          <cell r="O10">
            <v>182.42800000000003</v>
          </cell>
          <cell r="P10">
            <v>223.45339282567517</v>
          </cell>
          <cell r="Q10">
            <v>240.80819297008452</v>
          </cell>
          <cell r="R10">
            <v>265.703503285941</v>
          </cell>
          <cell r="S10">
            <v>280.84798017687785</v>
          </cell>
          <cell r="T10">
            <v>293.62508493000979</v>
          </cell>
          <cell r="AB10">
            <v>7</v>
          </cell>
          <cell r="AC10" t="str">
            <v>Sales Revenue</v>
          </cell>
          <cell r="AD10">
            <v>554.40200000000004</v>
          </cell>
          <cell r="AE10">
            <v>288.21199999999999</v>
          </cell>
          <cell r="AF10">
            <v>329.72800000000001</v>
          </cell>
          <cell r="AG10">
            <v>617.94000000000005</v>
          </cell>
          <cell r="AH10">
            <v>0</v>
          </cell>
          <cell r="AI10">
            <v>0</v>
          </cell>
          <cell r="AJ10">
            <v>443.72299999999996</v>
          </cell>
          <cell r="AK10">
            <v>208.505</v>
          </cell>
          <cell r="AL10">
            <v>196.45400000000004</v>
          </cell>
          <cell r="AM10">
            <v>404.95900000000006</v>
          </cell>
          <cell r="AN10">
            <v>-0.28193190277373226</v>
          </cell>
          <cell r="AQ10" t="str">
            <v>EBITDA</v>
          </cell>
          <cell r="AR10">
            <v>83.953499999999963</v>
          </cell>
          <cell r="AS10">
            <v>0</v>
          </cell>
          <cell r="AT10" t="e">
            <v>#DIV/0!</v>
          </cell>
          <cell r="AV10" t="str">
            <v>EBITDA</v>
          </cell>
          <cell r="AW10">
            <v>182.42800000000003</v>
          </cell>
          <cell r="AX10">
            <v>199.38099999999994</v>
          </cell>
          <cell r="AY10">
            <v>-8.5028162161890686E-2</v>
          </cell>
          <cell r="BA10" t="str">
            <v>EBITDA</v>
          </cell>
          <cell r="BB10">
            <v>98.47450000000002</v>
          </cell>
          <cell r="BC10">
            <v>0</v>
          </cell>
          <cell r="BD10" t="e">
            <v>#DIV/0!</v>
          </cell>
          <cell r="BF10" t="str">
            <v>EBITDA</v>
          </cell>
          <cell r="BG10">
            <v>98.47450000000002</v>
          </cell>
          <cell r="BH10">
            <v>83.953499999999963</v>
          </cell>
          <cell r="BI10">
            <v>0.17296479598825609</v>
          </cell>
        </row>
        <row r="11">
          <cell r="A11" t="str">
            <v>Calculated</v>
          </cell>
          <cell r="B11" t="str">
            <v>Calculated</v>
          </cell>
          <cell r="D11" t="str">
            <v>Other</v>
          </cell>
          <cell r="E11">
            <v>5.3100000000000023</v>
          </cell>
          <cell r="F11">
            <v>43.619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M11" t="str">
            <v>% chg</v>
          </cell>
          <cell r="N11">
            <v>-1.2068230476966924E-2</v>
          </cell>
          <cell r="O11">
            <v>-0.13490802695410109</v>
          </cell>
          <cell r="P11">
            <v>0.2248853949266294</v>
          </cell>
          <cell r="Q11">
            <v>7.7666308508228976E-2</v>
          </cell>
          <cell r="R11">
            <v>0.10338232270589409</v>
          </cell>
          <cell r="S11">
            <v>5.6997656047609091E-2</v>
          </cell>
          <cell r="T11">
            <v>4.5494736138336878E-2</v>
          </cell>
          <cell r="AB11">
            <v>65</v>
          </cell>
          <cell r="AC11" t="str">
            <v>EBITDA</v>
          </cell>
          <cell r="AD11">
            <v>205.93500000000006</v>
          </cell>
          <cell r="AE11">
            <v>98.643000000000001</v>
          </cell>
          <cell r="AF11">
            <v>133.31599999999997</v>
          </cell>
          <cell r="AG11">
            <v>213.45300000000003</v>
          </cell>
          <cell r="AH11">
            <v>0</v>
          </cell>
          <cell r="AI11">
            <v>0</v>
          </cell>
          <cell r="AJ11">
            <v>199.38099999999994</v>
          </cell>
          <cell r="AK11">
            <v>83.953499999999963</v>
          </cell>
          <cell r="AL11">
            <v>98.47450000000002</v>
          </cell>
          <cell r="AM11">
            <v>182.42800000000003</v>
          </cell>
          <cell r="AN11">
            <v>-6.5925519903679453E-2</v>
          </cell>
          <cell r="AQ11" t="str">
            <v>D&amp;A</v>
          </cell>
          <cell r="AR11">
            <v>-50.361999999999995</v>
          </cell>
          <cell r="AS11">
            <v>0</v>
          </cell>
          <cell r="AT11" t="e">
            <v>#DIV/0!</v>
          </cell>
          <cell r="AV11" t="str">
            <v>D&amp;A</v>
          </cell>
          <cell r="AW11">
            <v>-99.07</v>
          </cell>
          <cell r="AX11">
            <v>-93.606000000000009</v>
          </cell>
          <cell r="AY11">
            <v>5.8372326560263144E-2</v>
          </cell>
          <cell r="BA11" t="str">
            <v>D&amp;A</v>
          </cell>
          <cell r="BB11">
            <v>-48.707999999999991</v>
          </cell>
          <cell r="BC11">
            <v>0</v>
          </cell>
          <cell r="BD11" t="e">
            <v>#DIV/0!</v>
          </cell>
          <cell r="BF11" t="str">
            <v>D&amp;A</v>
          </cell>
          <cell r="BG11">
            <v>-48.707999999999991</v>
          </cell>
          <cell r="BH11">
            <v>-50.361999999999995</v>
          </cell>
          <cell r="BI11">
            <v>-3.2842222310472291E-2</v>
          </cell>
        </row>
        <row r="12">
          <cell r="A12">
            <v>18</v>
          </cell>
          <cell r="B12">
            <v>70</v>
          </cell>
          <cell r="D12" t="str">
            <v>Total Current Assets</v>
          </cell>
          <cell r="E12">
            <v>236.07300000000001</v>
          </cell>
          <cell r="F12">
            <v>226.202</v>
          </cell>
          <cell r="G12">
            <v>177.57901532501273</v>
          </cell>
          <cell r="H12">
            <v>186.82359717342587</v>
          </cell>
          <cell r="I12">
            <v>213.48571854292899</v>
          </cell>
          <cell r="J12">
            <v>256.70935171086916</v>
          </cell>
          <cell r="K12">
            <v>317.22226264173503</v>
          </cell>
          <cell r="M12" t="str">
            <v>Depreciation</v>
          </cell>
          <cell r="N12">
            <v>-104.61800000000001</v>
          </cell>
          <cell r="O12">
            <v>-98.774999999999991</v>
          </cell>
          <cell r="P12">
            <v>-110.63946116833688</v>
          </cell>
          <cell r="Q12">
            <v>-119.51326153648506</v>
          </cell>
          <cell r="R12">
            <v>-129.5011646888286</v>
          </cell>
          <cell r="S12">
            <v>-134.99951741101137</v>
          </cell>
          <cell r="T12">
            <v>-139.39286625631513</v>
          </cell>
          <cell r="AA12">
            <v>70</v>
          </cell>
          <cell r="AB12">
            <v>18</v>
          </cell>
          <cell r="AC12" t="str">
            <v>Depreciation &amp; Amortisation</v>
          </cell>
          <cell r="AD12">
            <v>-82.282000000000011</v>
          </cell>
          <cell r="AE12">
            <v>-44.147999999999996</v>
          </cell>
          <cell r="AF12">
            <v>-50.082000000000001</v>
          </cell>
          <cell r="AG12">
            <v>-94.23</v>
          </cell>
          <cell r="AH12">
            <v>0</v>
          </cell>
          <cell r="AI12">
            <v>0</v>
          </cell>
          <cell r="AJ12">
            <v>-93.606000000000009</v>
          </cell>
          <cell r="AK12">
            <v>-50.361999999999995</v>
          </cell>
          <cell r="AL12">
            <v>-48.707999999999991</v>
          </cell>
          <cell r="AM12">
            <v>-99.07</v>
          </cell>
          <cell r="AN12">
            <v>-6.6220948742438113E-3</v>
          </cell>
          <cell r="AQ12" t="str">
            <v>EBIT</v>
          </cell>
          <cell r="AR12">
            <v>33.591499999999968</v>
          </cell>
          <cell r="AS12">
            <v>0</v>
          </cell>
          <cell r="AT12" t="e">
            <v>#DIV/0!</v>
          </cell>
          <cell r="AV12" t="str">
            <v>EBIT</v>
          </cell>
          <cell r="AW12">
            <v>83.358000000000033</v>
          </cell>
          <cell r="AX12">
            <v>105.77499999999993</v>
          </cell>
          <cell r="AY12">
            <v>-0.21193098558260381</v>
          </cell>
          <cell r="BA12" t="str">
            <v>EBIT</v>
          </cell>
          <cell r="BB12">
            <v>49.766500000000029</v>
          </cell>
          <cell r="BC12">
            <v>0</v>
          </cell>
          <cell r="BD12" t="e">
            <v>#DIV/0!</v>
          </cell>
          <cell r="BF12" t="str">
            <v>EBIT</v>
          </cell>
          <cell r="BG12">
            <v>49.766500000000029</v>
          </cell>
          <cell r="BH12">
            <v>33.591499999999968</v>
          </cell>
          <cell r="BI12">
            <v>0.48152062277659757</v>
          </cell>
        </row>
        <row r="13">
          <cell r="A13">
            <v>26</v>
          </cell>
          <cell r="B13" t="str">
            <v>Calculated</v>
          </cell>
          <cell r="D13" t="str">
            <v xml:space="preserve">Receivables </v>
          </cell>
          <cell r="E13">
            <v>8.5000000000000006E-2</v>
          </cell>
          <cell r="F13">
            <v>1.4E-2</v>
          </cell>
          <cell r="G13">
            <v>10.911397136751477</v>
          </cell>
          <cell r="H13">
            <v>11.521645565464315</v>
          </cell>
          <cell r="I13">
            <v>12.671993559320766</v>
          </cell>
          <cell r="J13">
            <v>13.116570403782765</v>
          </cell>
          <cell r="K13">
            <v>13.661287225620788</v>
          </cell>
          <cell r="M13" t="str">
            <v>EBITA</v>
          </cell>
          <cell r="N13">
            <v>106.259</v>
          </cell>
          <cell r="O13">
            <v>83.653000000000034</v>
          </cell>
          <cell r="P13">
            <v>112.81393165733829</v>
          </cell>
          <cell r="Q13">
            <v>121.29493143359946</v>
          </cell>
          <cell r="R13">
            <v>136.2023385971124</v>
          </cell>
          <cell r="S13">
            <v>145.84846276586649</v>
          </cell>
          <cell r="T13">
            <v>154.23221867369466</v>
          </cell>
          <cell r="AC13" t="str">
            <v>EBIT</v>
          </cell>
          <cell r="AD13">
            <v>123.65300000000005</v>
          </cell>
          <cell r="AE13">
            <v>54.495000000000005</v>
          </cell>
          <cell r="AF13">
            <v>83.23399999999998</v>
          </cell>
          <cell r="AG13">
            <v>119.22300000000003</v>
          </cell>
          <cell r="AH13">
            <v>0</v>
          </cell>
          <cell r="AI13">
            <v>0</v>
          </cell>
          <cell r="AJ13">
            <v>105.77499999999993</v>
          </cell>
          <cell r="AK13">
            <v>33.591499999999968</v>
          </cell>
          <cell r="AL13">
            <v>49.766500000000029</v>
          </cell>
          <cell r="AM13">
            <v>83.358000000000033</v>
          </cell>
          <cell r="AN13">
            <v>-0.11279702741920683</v>
          </cell>
          <cell r="AQ13" t="str">
            <v>Net Int.</v>
          </cell>
          <cell r="AR13">
            <v>-11.114000000000001</v>
          </cell>
          <cell r="AS13">
            <v>0</v>
          </cell>
          <cell r="AT13" t="e">
            <v>#DIV/0!</v>
          </cell>
          <cell r="AV13" t="str">
            <v>Net Int.</v>
          </cell>
          <cell r="AW13">
            <v>-22.725000000000001</v>
          </cell>
          <cell r="AX13">
            <v>-22.608000000000001</v>
          </cell>
          <cell r="AY13">
            <v>5.1751592356688025E-3</v>
          </cell>
          <cell r="BA13" t="str">
            <v>Net Int.</v>
          </cell>
          <cell r="BB13">
            <v>-10.007</v>
          </cell>
          <cell r="BC13">
            <v>0</v>
          </cell>
          <cell r="BD13" t="e">
            <v>#DIV/0!</v>
          </cell>
          <cell r="BF13" t="str">
            <v>Net Int.</v>
          </cell>
          <cell r="BG13">
            <v>-10.007</v>
          </cell>
          <cell r="BH13">
            <v>-11.114000000000001</v>
          </cell>
          <cell r="BI13">
            <v>-9.9604102933237404E-2</v>
          </cell>
        </row>
        <row r="14">
          <cell r="A14">
            <v>0</v>
          </cell>
          <cell r="B14">
            <v>18</v>
          </cell>
          <cell r="D14" t="str">
            <v>Equity Accounted Investments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M14" t="str">
            <v>Amortisation</v>
          </cell>
          <cell r="N14">
            <v>-0.33800000000000002</v>
          </cell>
          <cell r="O14">
            <v>-0.29500000000000004</v>
          </cell>
          <cell r="P14">
            <v>-0.27100000000000002</v>
          </cell>
          <cell r="Q14">
            <v>-0.25600000000000001</v>
          </cell>
          <cell r="R14">
            <v>0</v>
          </cell>
          <cell r="S14">
            <v>0</v>
          </cell>
          <cell r="T14">
            <v>0</v>
          </cell>
          <cell r="AB14">
            <v>80</v>
          </cell>
          <cell r="AC14" t="str">
            <v>Net Interest</v>
          </cell>
          <cell r="AD14">
            <v>-43.693999999999996</v>
          </cell>
          <cell r="AE14">
            <v>-11.510999999999999</v>
          </cell>
          <cell r="AF14">
            <v>-12.033999999999999</v>
          </cell>
          <cell r="AG14">
            <v>-23.545000000000002</v>
          </cell>
          <cell r="AH14">
            <v>0</v>
          </cell>
          <cell r="AI14">
            <v>0</v>
          </cell>
          <cell r="AJ14">
            <v>-22.608000000000001</v>
          </cell>
          <cell r="AK14">
            <v>-11.114000000000001</v>
          </cell>
          <cell r="AL14">
            <v>-10.007</v>
          </cell>
          <cell r="AM14">
            <v>-22.725000000000001</v>
          </cell>
          <cell r="AN14">
            <v>-3.9796135060522486E-2</v>
          </cell>
          <cell r="AQ14" t="str">
            <v>Tax</v>
          </cell>
          <cell r="AR14">
            <v>-7.4340000000000002</v>
          </cell>
          <cell r="AS14">
            <v>0</v>
          </cell>
          <cell r="AT14" t="e">
            <v>#DIV/0!</v>
          </cell>
          <cell r="AV14" t="str">
            <v>Tax</v>
          </cell>
          <cell r="AW14">
            <v>-18.167552178805721</v>
          </cell>
          <cell r="AX14">
            <v>-22.355</v>
          </cell>
          <cell r="AY14">
            <v>-0.18731593921692147</v>
          </cell>
          <cell r="BA14" t="str">
            <v>Tax</v>
          </cell>
          <cell r="BB14">
            <v>-10.733552178805722</v>
          </cell>
          <cell r="BC14">
            <v>0</v>
          </cell>
          <cell r="BD14" t="e">
            <v>#DIV/0!</v>
          </cell>
          <cell r="BF14" t="str">
            <v>Tax</v>
          </cell>
          <cell r="BG14">
            <v>-10.733552178805722</v>
          </cell>
          <cell r="BH14">
            <v>-7.4340000000000002</v>
          </cell>
          <cell r="BI14">
            <v>0.44384613650870608</v>
          </cell>
        </row>
        <row r="15">
          <cell r="A15">
            <v>30</v>
          </cell>
          <cell r="B15" t="str">
            <v>Calculated</v>
          </cell>
          <cell r="D15" t="str">
            <v>PP&amp;E</v>
          </cell>
          <cell r="E15">
            <v>667.96900000000005</v>
          </cell>
          <cell r="F15">
            <v>610.346</v>
          </cell>
          <cell r="G15">
            <v>635.94091578613836</v>
          </cell>
          <cell r="H15">
            <v>669.93502397927023</v>
          </cell>
          <cell r="I15">
            <v>703.9718423234583</v>
          </cell>
          <cell r="J15">
            <v>728.52564483891172</v>
          </cell>
          <cell r="K15">
            <v>750.66589911001995</v>
          </cell>
          <cell r="M15" t="str">
            <v>EBIT</v>
          </cell>
          <cell r="N15">
            <v>105.92100000000001</v>
          </cell>
          <cell r="O15">
            <v>83.358000000000033</v>
          </cell>
          <cell r="P15">
            <v>112.54293165733829</v>
          </cell>
          <cell r="Q15">
            <v>121.03893143359946</v>
          </cell>
          <cell r="R15">
            <v>136.2023385971124</v>
          </cell>
          <cell r="S15">
            <v>145.84846276586649</v>
          </cell>
          <cell r="T15">
            <v>154.23221867369466</v>
          </cell>
          <cell r="AC15" t="str">
            <v>Pre Tax Profit</v>
          </cell>
          <cell r="AD15">
            <v>79.95900000000006</v>
          </cell>
          <cell r="AE15">
            <v>42.984000000000009</v>
          </cell>
          <cell r="AF15">
            <v>71.199999999999989</v>
          </cell>
          <cell r="AG15">
            <v>95.678000000000026</v>
          </cell>
          <cell r="AH15">
            <v>0</v>
          </cell>
          <cell r="AI15">
            <v>0</v>
          </cell>
          <cell r="AJ15">
            <v>83.166999999999931</v>
          </cell>
          <cell r="AK15">
            <v>22.477499999999967</v>
          </cell>
          <cell r="AL15">
            <v>39.759500000000031</v>
          </cell>
          <cell r="AM15">
            <v>60.633000000000031</v>
          </cell>
          <cell r="AN15">
            <v>-0.13076151257342428</v>
          </cell>
          <cell r="AQ15" t="str">
            <v>NPAT</v>
          </cell>
          <cell r="AR15">
            <v>15.043499999999966</v>
          </cell>
          <cell r="AS15">
            <v>0</v>
          </cell>
          <cell r="AT15" t="e">
            <v>#DIV/0!</v>
          </cell>
          <cell r="AV15" t="str">
            <v>NPAT</v>
          </cell>
          <cell r="AW15">
            <v>42.46544782119431</v>
          </cell>
          <cell r="AX15">
            <v>60.811999999999927</v>
          </cell>
          <cell r="AY15">
            <v>-0.30169295827806419</v>
          </cell>
          <cell r="BA15" t="str">
            <v>NPAT</v>
          </cell>
          <cell r="BB15">
            <v>29.025947821194308</v>
          </cell>
          <cell r="BC15">
            <v>0</v>
          </cell>
          <cell r="BD15" t="e">
            <v>#DIV/0!</v>
          </cell>
          <cell r="BF15" t="str">
            <v>NPAT</v>
          </cell>
          <cell r="BG15">
            <v>29.025947821194308</v>
          </cell>
          <cell r="BH15">
            <v>15.043499999999966</v>
          </cell>
          <cell r="BI15">
            <v>0.92946773165781726</v>
          </cell>
        </row>
        <row r="16">
          <cell r="A16">
            <v>32</v>
          </cell>
          <cell r="B16" t="str">
            <v>Composite</v>
          </cell>
          <cell r="D16" t="str">
            <v xml:space="preserve">Intangibles </v>
          </cell>
          <cell r="E16">
            <v>215.82599999999999</v>
          </cell>
          <cell r="F16">
            <v>178.19200000000001</v>
          </cell>
          <cell r="G16">
            <v>177.92100000000002</v>
          </cell>
          <cell r="H16">
            <v>177.66500000000002</v>
          </cell>
          <cell r="I16">
            <v>177.66500000000002</v>
          </cell>
          <cell r="J16">
            <v>177.66500000000002</v>
          </cell>
          <cell r="K16">
            <v>177.66500000000002</v>
          </cell>
          <cell r="M16" t="str">
            <v>% chg</v>
          </cell>
          <cell r="N16">
            <v>-0.50377366446009209</v>
          </cell>
          <cell r="O16">
            <v>-0.21301724870422267</v>
          </cell>
          <cell r="P16">
            <v>0.35011554568653569</v>
          </cell>
          <cell r="Q16">
            <v>7.5491189461183605E-2</v>
          </cell>
          <cell r="R16">
            <v>0.12527710699289685</v>
          </cell>
          <cell r="S16">
            <v>7.0822015745907185E-2</v>
          </cell>
          <cell r="T16">
            <v>5.7482648420414284E-2</v>
          </cell>
          <cell r="AB16">
            <v>89</v>
          </cell>
          <cell r="AC16" t="str">
            <v>Tax Expense</v>
          </cell>
          <cell r="AD16">
            <v>-23.864999999999998</v>
          </cell>
          <cell r="AE16">
            <v>-12.506</v>
          </cell>
          <cell r="AF16">
            <v>-15.643000000000001</v>
          </cell>
          <cell r="AG16">
            <v>-28.149000000000001</v>
          </cell>
          <cell r="AH16">
            <v>0</v>
          </cell>
          <cell r="AI16">
            <v>0</v>
          </cell>
          <cell r="AJ16">
            <v>-22.355</v>
          </cell>
          <cell r="AK16">
            <v>-7.4340000000000002</v>
          </cell>
          <cell r="AL16">
            <v>-10.733552178805722</v>
          </cell>
          <cell r="AM16">
            <v>-18.167552178805721</v>
          </cell>
          <cell r="AN16">
            <v>-0.20583324452023166</v>
          </cell>
        </row>
        <row r="17">
          <cell r="A17">
            <v>33</v>
          </cell>
          <cell r="B17">
            <v>80</v>
          </cell>
          <cell r="D17" t="str">
            <v>Deferred Tax</v>
          </cell>
          <cell r="E17">
            <v>0</v>
          </cell>
          <cell r="F17">
            <v>0</v>
          </cell>
          <cell r="G17">
            <v>5.571656987647561</v>
          </cell>
          <cell r="H17">
            <v>9.5735285435720954</v>
          </cell>
          <cell r="I17">
            <v>13.035179695053937</v>
          </cell>
          <cell r="J17">
            <v>15.761643830154288</v>
          </cell>
          <cell r="K17">
            <v>17.9518909870309</v>
          </cell>
          <cell r="M17" t="str">
            <v>Net Interest (Expense)/Income</v>
          </cell>
          <cell r="N17">
            <v>-24.748999999999999</v>
          </cell>
          <cell r="O17">
            <v>-22.725000000000001</v>
          </cell>
          <cell r="P17">
            <v>-27.914538920433465</v>
          </cell>
          <cell r="Q17">
            <v>-23.168416091302841</v>
          </cell>
          <cell r="R17">
            <v>-19.983865514118381</v>
          </cell>
          <cell r="S17">
            <v>-17.411954210478001</v>
          </cell>
          <cell r="T17">
            <v>-15.821242136848049</v>
          </cell>
          <cell r="AB17">
            <v>99</v>
          </cell>
          <cell r="AC17" t="str">
            <v>Minorities</v>
          </cell>
          <cell r="AD17">
            <v>-1.321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 t="e">
            <v>#DIV/0!</v>
          </cell>
          <cell r="AP17">
            <v>131</v>
          </cell>
          <cell r="AQ17" t="str">
            <v>EPS</v>
          </cell>
          <cell r="AR17">
            <v>2.3831740167733826</v>
          </cell>
          <cell r="AS17">
            <v>0</v>
          </cell>
          <cell r="AT17" t="e">
            <v>#DIV/0!</v>
          </cell>
          <cell r="AV17" t="str">
            <v>EPS</v>
          </cell>
          <cell r="AW17">
            <v>6.727327540673139</v>
          </cell>
          <cell r="AX17">
            <v>9.6337672953782754</v>
          </cell>
          <cell r="AY17">
            <v>-0.30169295827806408</v>
          </cell>
          <cell r="BA17" t="str">
            <v>EPS</v>
          </cell>
          <cell r="BB17">
            <v>4.5982573642895872</v>
          </cell>
          <cell r="BC17">
            <v>0</v>
          </cell>
          <cell r="BD17" t="e">
            <v>#DIV/0!</v>
          </cell>
          <cell r="BF17" t="str">
            <v>EPS</v>
          </cell>
          <cell r="BG17">
            <v>4.5982573642895872</v>
          </cell>
          <cell r="BH17">
            <v>2.3831740167733826</v>
          </cell>
          <cell r="BI17">
            <v>0.92946773165781726</v>
          </cell>
        </row>
        <row r="18">
          <cell r="A18" t="str">
            <v>Calculated</v>
          </cell>
          <cell r="B18" t="str">
            <v>Calculated</v>
          </cell>
          <cell r="D18" t="str">
            <v xml:space="preserve">Other 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M18" t="str">
            <v>Op. Profit before Tax</v>
          </cell>
          <cell r="N18">
            <v>81.172000000000011</v>
          </cell>
          <cell r="O18">
            <v>60.633000000000031</v>
          </cell>
          <cell r="P18">
            <v>84.628392736904829</v>
          </cell>
          <cell r="Q18">
            <v>97.870515342296613</v>
          </cell>
          <cell r="R18">
            <v>116.21847308299402</v>
          </cell>
          <cell r="S18">
            <v>128.43650855538849</v>
          </cell>
          <cell r="T18">
            <v>138.41097653684662</v>
          </cell>
          <cell r="AC18" t="str">
            <v>Net Profit</v>
          </cell>
          <cell r="AD18">
            <v>54.773000000000067</v>
          </cell>
          <cell r="AE18">
            <v>30.478000000000009</v>
          </cell>
          <cell r="AF18">
            <v>55.556999999999988</v>
          </cell>
          <cell r="AG18">
            <v>67.529000000000025</v>
          </cell>
          <cell r="AH18">
            <v>0</v>
          </cell>
          <cell r="AI18">
            <v>0</v>
          </cell>
          <cell r="AJ18">
            <v>60.811999999999927</v>
          </cell>
          <cell r="AK18">
            <v>15.043499999999966</v>
          </cell>
          <cell r="AL18">
            <v>29.025947821194308</v>
          </cell>
          <cell r="AM18">
            <v>42.46544782119431</v>
          </cell>
          <cell r="AN18">
            <v>-9.9468376549335824E-2</v>
          </cell>
          <cell r="AP18">
            <v>161</v>
          </cell>
          <cell r="AQ18" t="str">
            <v>DPS</v>
          </cell>
          <cell r="AR18">
            <v>0</v>
          </cell>
          <cell r="AS18">
            <v>0</v>
          </cell>
          <cell r="AT18" t="e">
            <v>#DIV/0!</v>
          </cell>
          <cell r="AV18" t="str">
            <v>DPS</v>
          </cell>
          <cell r="AW18">
            <v>2</v>
          </cell>
          <cell r="AX18">
            <v>2</v>
          </cell>
          <cell r="AY18">
            <v>0</v>
          </cell>
          <cell r="BA18" t="str">
            <v>DPS</v>
          </cell>
          <cell r="BB18">
            <v>2</v>
          </cell>
          <cell r="BC18">
            <v>0</v>
          </cell>
          <cell r="BD18" t="e">
            <v>#DIV/0!</v>
          </cell>
          <cell r="BF18" t="str">
            <v>DPS</v>
          </cell>
          <cell r="BG18">
            <v>2</v>
          </cell>
          <cell r="BH18">
            <v>0</v>
          </cell>
          <cell r="BI18" t="e">
            <v>#DIV/0!</v>
          </cell>
        </row>
        <row r="19">
          <cell r="A19">
            <v>39</v>
          </cell>
          <cell r="B19">
            <v>89</v>
          </cell>
          <cell r="D19" t="str">
            <v>Total Non Current Assets</v>
          </cell>
          <cell r="E19">
            <v>883.88000000000011</v>
          </cell>
          <cell r="F19">
            <v>788.55200000000002</v>
          </cell>
          <cell r="G19">
            <v>830.34496991053743</v>
          </cell>
          <cell r="H19">
            <v>868.6951980883066</v>
          </cell>
          <cell r="I19">
            <v>907.34401557783292</v>
          </cell>
          <cell r="J19">
            <v>935.06885907284891</v>
          </cell>
          <cell r="K19">
            <v>959.94407732267166</v>
          </cell>
          <cell r="M19" t="str">
            <v>Tax Expense</v>
          </cell>
          <cell r="N19">
            <v>-23.47</v>
          </cell>
          <cell r="O19">
            <v>-18.167552178805721</v>
          </cell>
          <cell r="P19">
            <v>-25.356525027458154</v>
          </cell>
          <cell r="Q19">
            <v>-29.323271401408569</v>
          </cell>
          <cell r="R19">
            <v>-34.841054561811362</v>
          </cell>
          <cell r="S19">
            <v>-38.460639385160832</v>
          </cell>
          <cell r="T19">
            <v>-41.466336409001364</v>
          </cell>
          <cell r="AC19" t="str">
            <v>Operating Margins</v>
          </cell>
          <cell r="AQ19" t="str">
            <v>Franking</v>
          </cell>
          <cell r="AR19">
            <v>1</v>
          </cell>
          <cell r="AS19">
            <v>1</v>
          </cell>
          <cell r="AV19" t="str">
            <v>Franking</v>
          </cell>
          <cell r="AW19">
            <v>1</v>
          </cell>
          <cell r="AX19">
            <v>1</v>
          </cell>
          <cell r="BA19" t="str">
            <v>Franking</v>
          </cell>
          <cell r="BB19">
            <v>1</v>
          </cell>
          <cell r="BC19">
            <v>1</v>
          </cell>
          <cell r="BF19" t="str">
            <v>Franking</v>
          </cell>
          <cell r="BG19">
            <v>1</v>
          </cell>
          <cell r="BH19">
            <v>1</v>
          </cell>
        </row>
        <row r="20">
          <cell r="A20" t="str">
            <v>Calculated</v>
          </cell>
          <cell r="B20" t="str">
            <v>Calculated</v>
          </cell>
          <cell r="D20" t="str">
            <v>Total Assets</v>
          </cell>
          <cell r="E20">
            <v>1119.9530000000002</v>
          </cell>
          <cell r="F20">
            <v>1014.754</v>
          </cell>
          <cell r="G20">
            <v>1007.9239852355502</v>
          </cell>
          <cell r="H20">
            <v>1055.5187952617325</v>
          </cell>
          <cell r="I20">
            <v>1120.8297341207619</v>
          </cell>
          <cell r="J20">
            <v>1191.7782107837181</v>
          </cell>
          <cell r="K20">
            <v>1277.1663399644067</v>
          </cell>
          <cell r="M20" t="str">
            <v>Op. Profit after tax</v>
          </cell>
          <cell r="N20">
            <v>57.702000000000012</v>
          </cell>
          <cell r="O20">
            <v>42.46544782119431</v>
          </cell>
          <cell r="P20">
            <v>59.271867709446674</v>
          </cell>
          <cell r="Q20">
            <v>68.547243940888052</v>
          </cell>
          <cell r="R20">
            <v>81.377418521182662</v>
          </cell>
          <cell r="S20">
            <v>89.975869170227654</v>
          </cell>
          <cell r="T20">
            <v>96.944640127845247</v>
          </cell>
          <cell r="AC20" t="str">
            <v>EBITDA Margin</v>
          </cell>
          <cell r="AD20">
            <v>0.37145428768294492</v>
          </cell>
          <cell r="AE20">
            <v>0.34225847639931717</v>
          </cell>
          <cell r="AF20">
            <v>0.40432113742236014</v>
          </cell>
          <cell r="AG20">
            <v>0.34542674046023886</v>
          </cell>
          <cell r="AH20" t="e">
            <v>#DIV/0!</v>
          </cell>
          <cell r="AI20" t="e">
            <v>#DIV/0!</v>
          </cell>
          <cell r="AJ20">
            <v>0.44933663569389004</v>
          </cell>
          <cell r="AK20">
            <v>0.40264502050310524</v>
          </cell>
          <cell r="AL20">
            <v>0.50125983690838571</v>
          </cell>
          <cell r="AM20">
            <v>0.45048511083838116</v>
          </cell>
          <cell r="AN20" t="str">
            <v>1,039bps</v>
          </cell>
        </row>
        <row r="21">
          <cell r="A21">
            <v>53</v>
          </cell>
          <cell r="B21">
            <v>99</v>
          </cell>
          <cell r="D21" t="str">
            <v xml:space="preserve">Creditors </v>
          </cell>
          <cell r="E21">
            <v>57.921999999999997</v>
          </cell>
          <cell r="F21">
            <v>50.737000000000002</v>
          </cell>
          <cell r="G21">
            <v>56.230348644181163</v>
          </cell>
          <cell r="H21">
            <v>62.689801018252382</v>
          </cell>
          <cell r="I21">
            <v>66.560159990688945</v>
          </cell>
          <cell r="J21">
            <v>69.185850954650959</v>
          </cell>
          <cell r="K21">
            <v>72.542274396704002</v>
          </cell>
          <cell r="M21" t="str">
            <v>Minority Interests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AC21" t="str">
            <v>EBIT Margin</v>
          </cell>
          <cell r="AD21">
            <v>0.22303851717706652</v>
          </cell>
          <cell r="AE21">
            <v>0.18907956643026663</v>
          </cell>
          <cell r="AF21">
            <v>0.25243230784161486</v>
          </cell>
          <cell r="AG21">
            <v>0.19293620739877662</v>
          </cell>
          <cell r="AH21" t="e">
            <v>#DIV/0!</v>
          </cell>
          <cell r="AI21" t="e">
            <v>#DIV/0!</v>
          </cell>
          <cell r="AJ21">
            <v>0.23838070147366699</v>
          </cell>
          <cell r="AK21">
            <v>0.16110644828661169</v>
          </cell>
          <cell r="AL21">
            <v>0.25332393333808434</v>
          </cell>
          <cell r="AM21">
            <v>0.20584306065552321</v>
          </cell>
          <cell r="AN21" t="str">
            <v>454bps</v>
          </cell>
          <cell r="AQ21" t="str">
            <v>EBITDA margin</v>
          </cell>
          <cell r="AR21">
            <v>0.40264502050310524</v>
          </cell>
          <cell r="AS21" t="e">
            <v>#DIV/0!</v>
          </cell>
          <cell r="AV21" t="str">
            <v>EBITDA margin</v>
          </cell>
          <cell r="AW21">
            <v>0.45048511083838116</v>
          </cell>
          <cell r="AX21">
            <v>0.44933663569389004</v>
          </cell>
          <cell r="BA21" t="str">
            <v>EBITDA margin</v>
          </cell>
          <cell r="BB21">
            <v>0.50125983690838571</v>
          </cell>
          <cell r="BC21" t="e">
            <v>#DIV/0!</v>
          </cell>
          <cell r="BF21" t="str">
            <v>EBITDA margin</v>
          </cell>
          <cell r="BG21">
            <v>0.50125983690838571</v>
          </cell>
          <cell r="BH21">
            <v>0.40264502050310524</v>
          </cell>
        </row>
        <row r="22">
          <cell r="A22">
            <v>54</v>
          </cell>
          <cell r="B22" t="str">
            <v>Calculated</v>
          </cell>
          <cell r="D22" t="str">
            <v>Borrowings</v>
          </cell>
          <cell r="E22">
            <v>7.9429999999999996</v>
          </cell>
          <cell r="F22">
            <v>5.2030000000000003</v>
          </cell>
          <cell r="G22">
            <v>4.6830171823340176</v>
          </cell>
          <cell r="H22">
            <v>3.9640035353149274</v>
          </cell>
          <cell r="I22">
            <v>3.5227294339490944</v>
          </cell>
          <cell r="J22">
            <v>3.2230125052543728</v>
          </cell>
          <cell r="K22">
            <v>3.1054891030372014</v>
          </cell>
          <cell r="M22" t="str">
            <v>Net Profit (pre significant items)</v>
          </cell>
          <cell r="N22">
            <v>57.702000000000012</v>
          </cell>
          <cell r="O22">
            <v>42.46544782119431</v>
          </cell>
          <cell r="P22">
            <v>59.271867709446674</v>
          </cell>
          <cell r="Q22">
            <v>68.547243940888052</v>
          </cell>
          <cell r="R22">
            <v>81.377418521182662</v>
          </cell>
          <cell r="S22">
            <v>89.975869170227654</v>
          </cell>
          <cell r="T22">
            <v>96.944640127845247</v>
          </cell>
          <cell r="V22">
            <v>0.1717302666936571</v>
          </cell>
          <cell r="W22">
            <v>0.242098584521518</v>
          </cell>
          <cell r="Y22">
            <v>0.17949911374544913</v>
          </cell>
          <cell r="AC22" t="str">
            <v>Other Items</v>
          </cell>
          <cell r="AQ22" t="str">
            <v>EBIT margin</v>
          </cell>
          <cell r="AR22">
            <v>0.16110644828661169</v>
          </cell>
          <cell r="AS22" t="e">
            <v>#DIV/0!</v>
          </cell>
          <cell r="AV22" t="str">
            <v>EBIT margin</v>
          </cell>
          <cell r="AW22">
            <v>0.20584306065552321</v>
          </cell>
          <cell r="AX22">
            <v>0.23838070147366699</v>
          </cell>
          <cell r="BA22" t="str">
            <v>EBIT margin</v>
          </cell>
          <cell r="BB22">
            <v>0.25332393333808434</v>
          </cell>
          <cell r="BC22" t="e">
            <v>#DIV/0!</v>
          </cell>
          <cell r="BF22" t="str">
            <v>EBIT margin</v>
          </cell>
          <cell r="BG22">
            <v>0.25332393333808434</v>
          </cell>
          <cell r="BH22">
            <v>0.16110644828661169</v>
          </cell>
        </row>
        <row r="23">
          <cell r="A23">
            <v>56</v>
          </cell>
          <cell r="B23">
            <v>31</v>
          </cell>
          <cell r="D23" t="str">
            <v xml:space="preserve">Tax </v>
          </cell>
          <cell r="E23">
            <v>12.519</v>
          </cell>
          <cell r="F23">
            <v>5.8579999999999997</v>
          </cell>
          <cell r="G23">
            <v>6.5384683599932494</v>
          </cell>
          <cell r="H23">
            <v>7.5308648020498872</v>
          </cell>
          <cell r="I23">
            <v>8.9389772716400291</v>
          </cell>
          <cell r="J23">
            <v>9.7438829357503263</v>
          </cell>
          <cell r="K23">
            <v>10.488226047050848</v>
          </cell>
          <cell r="M23" t="str">
            <v>Significant items</v>
          </cell>
          <cell r="N23">
            <v>-30.228999999999999</v>
          </cell>
          <cell r="O23">
            <v>-26.1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AB23">
            <v>18</v>
          </cell>
          <cell r="AC23" t="str">
            <v>Capital Expenditure</v>
          </cell>
          <cell r="AD23">
            <v>-204.27799999999999</v>
          </cell>
          <cell r="AE23">
            <v>-96.334000000000003</v>
          </cell>
          <cell r="AF23">
            <v>-107.68600000000001</v>
          </cell>
          <cell r="AG23">
            <v>-204.02</v>
          </cell>
          <cell r="AH23">
            <v>0</v>
          </cell>
          <cell r="AI23">
            <v>0</v>
          </cell>
          <cell r="AJ23">
            <v>-115.536</v>
          </cell>
          <cell r="AK23">
            <v>-105.178</v>
          </cell>
          <cell r="AL23">
            <v>-49.872000000000014</v>
          </cell>
          <cell r="AM23">
            <v>-155.05000000000001</v>
          </cell>
          <cell r="AN23">
            <v>-0.43370257817860991</v>
          </cell>
          <cell r="AQ23" t="str">
            <v>ROA</v>
          </cell>
          <cell r="AR23">
            <v>5.9987740474871251E-2</v>
          </cell>
          <cell r="AS23">
            <v>0</v>
          </cell>
          <cell r="AV23" t="str">
            <v>ROA</v>
          </cell>
          <cell r="AW23">
            <v>7.8097837314441768E-2</v>
          </cell>
          <cell r="AX23">
            <v>9.2502913262394681E-2</v>
          </cell>
          <cell r="BA23" t="str">
            <v>ROA</v>
          </cell>
          <cell r="BB23">
            <v>9.3252797124831172E-2</v>
          </cell>
          <cell r="BC23" t="e">
            <v>#DIV/0!</v>
          </cell>
          <cell r="BF23" t="str">
            <v>ROA</v>
          </cell>
          <cell r="BG23">
            <v>9.3252797124831172E-2</v>
          </cell>
          <cell r="BH23">
            <v>5.9987740474871251E-2</v>
          </cell>
        </row>
        <row r="24">
          <cell r="A24" t="str">
            <v>Calculated</v>
          </cell>
          <cell r="B24" t="str">
            <v>Calculated</v>
          </cell>
          <cell r="D24" t="str">
            <v>Provisions &amp; Others</v>
          </cell>
          <cell r="E24">
            <v>6.9909999999999997</v>
          </cell>
          <cell r="F24">
            <v>7.4979999999999905</v>
          </cell>
          <cell r="G24">
            <v>6.6953794939466178</v>
          </cell>
          <cell r="H24">
            <v>7.0551578296907991</v>
          </cell>
          <cell r="I24">
            <v>7.5670581072711514</v>
          </cell>
          <cell r="J24">
            <v>7.9398223661454352</v>
          </cell>
          <cell r="K24">
            <v>8.253396138594951</v>
          </cell>
          <cell r="M24" t="str">
            <v>Reported NPAT</v>
          </cell>
          <cell r="N24">
            <v>27.473000000000013</v>
          </cell>
          <cell r="O24">
            <v>16.365447821194309</v>
          </cell>
          <cell r="P24">
            <v>59.271867709446674</v>
          </cell>
          <cell r="Q24">
            <v>68.547243940888052</v>
          </cell>
          <cell r="R24">
            <v>81.377418521182662</v>
          </cell>
          <cell r="S24">
            <v>89.975869170227654</v>
          </cell>
          <cell r="T24">
            <v>96.944640127845247</v>
          </cell>
          <cell r="V24">
            <v>0.1717302666936571</v>
          </cell>
          <cell r="W24">
            <v>0.70683682838120365</v>
          </cell>
          <cell r="X24">
            <v>0.53126212014286267</v>
          </cell>
          <cell r="Y24">
            <v>0.42731286997416618</v>
          </cell>
          <cell r="AB24">
            <v>140</v>
          </cell>
          <cell r="AC24" t="str">
            <v>Operating Cash Flow</v>
          </cell>
          <cell r="AD24">
            <v>84.200999999999993</v>
          </cell>
          <cell r="AE24">
            <v>14.286999999999985</v>
          </cell>
          <cell r="AF24">
            <v>139.30400000000006</v>
          </cell>
          <cell r="AG24">
            <v>153.59100000000004</v>
          </cell>
          <cell r="AH24">
            <v>0</v>
          </cell>
          <cell r="AI24">
            <v>0</v>
          </cell>
          <cell r="AJ24">
            <v>175.43500000000006</v>
          </cell>
          <cell r="AK24">
            <v>66.026999999999987</v>
          </cell>
          <cell r="AL24">
            <v>109.60600000000005</v>
          </cell>
          <cell r="AM24">
            <v>175.63300000000007</v>
          </cell>
          <cell r="AN24">
            <v>0.14222187497965377</v>
          </cell>
          <cell r="AQ24" t="str">
            <v>ROE</v>
          </cell>
          <cell r="AR24">
            <v>4.4693973956368045E-2</v>
          </cell>
          <cell r="AS24">
            <v>0</v>
          </cell>
          <cell r="AV24" t="str">
            <v>ROE</v>
          </cell>
          <cell r="AW24">
            <v>6.5050789051230962E-2</v>
          </cell>
          <cell r="AX24">
            <v>8.784040467946734E-2</v>
          </cell>
          <cell r="BA24" t="str">
            <v>ROE</v>
          </cell>
          <cell r="BB24">
            <v>9.0266531246498277E-2</v>
          </cell>
          <cell r="BC24" t="e">
            <v>#DIV/0!</v>
          </cell>
          <cell r="BF24" t="str">
            <v>ROE</v>
          </cell>
          <cell r="BG24">
            <v>9.0266531246498277E-2</v>
          </cell>
          <cell r="BH24">
            <v>4.4693973956368045E-2</v>
          </cell>
        </row>
        <row r="25">
          <cell r="A25">
            <v>64</v>
          </cell>
          <cell r="B25" t="str">
            <v>Composite</v>
          </cell>
          <cell r="D25" t="str">
            <v>Total Current Liabilities</v>
          </cell>
          <cell r="E25">
            <v>85.375</v>
          </cell>
          <cell r="F25">
            <v>69.295999999999992</v>
          </cell>
          <cell r="G25">
            <v>74.147213680455053</v>
          </cell>
          <cell r="H25">
            <v>81.239827185308002</v>
          </cell>
          <cell r="I25">
            <v>86.588924803549219</v>
          </cell>
          <cell r="J25">
            <v>90.09256876180109</v>
          </cell>
          <cell r="K25">
            <v>94.389385685386998</v>
          </cell>
          <cell r="M25" t="str">
            <v>% chg</v>
          </cell>
          <cell r="N25">
            <v>-0.5931673799404702</v>
          </cell>
          <cell r="O25">
            <v>-0.40430794521186986</v>
          </cell>
          <cell r="P25">
            <v>2.6217687628862674</v>
          </cell>
          <cell r="Q25">
            <v>0.15648867818557166</v>
          </cell>
          <cell r="R25">
            <v>0.18717272705170696</v>
          </cell>
          <cell r="S25">
            <v>0.10566138377573142</v>
          </cell>
          <cell r="T25">
            <v>7.7451554754455199E-2</v>
          </cell>
          <cell r="Z25">
            <v>8</v>
          </cell>
          <cell r="AA25">
            <v>9</v>
          </cell>
          <cell r="AB25">
            <v>53</v>
          </cell>
          <cell r="AC25" t="str">
            <v>Working Capital</v>
          </cell>
          <cell r="AD25">
            <v>232.21299999999999</v>
          </cell>
          <cell r="AE25">
            <v>296.589</v>
          </cell>
          <cell r="AF25">
            <v>244.36800000000002</v>
          </cell>
          <cell r="AG25">
            <v>244.36800000000002</v>
          </cell>
          <cell r="AH25">
            <v>0</v>
          </cell>
          <cell r="AI25">
            <v>0</v>
          </cell>
          <cell r="AJ25">
            <v>162.41900000000001</v>
          </cell>
          <cell r="AK25">
            <v>142.376</v>
          </cell>
          <cell r="AL25">
            <v>126.607</v>
          </cell>
          <cell r="AM25">
            <v>126.607</v>
          </cell>
          <cell r="AN25">
            <v>-0.33535078242650429</v>
          </cell>
          <cell r="AQ25" t="str">
            <v>Source: Company data, Merrill Lynch estimates</v>
          </cell>
          <cell r="AV25" t="str">
            <v>Source: Company data, Merrill Lynch estimates</v>
          </cell>
          <cell r="BA25" t="str">
            <v>Source: Company data, Merrill Lynch estimates</v>
          </cell>
          <cell r="BF25" t="str">
            <v>Source: Company data, Merrill Lynch estimates</v>
          </cell>
        </row>
        <row r="26">
          <cell r="A26">
            <v>76</v>
          </cell>
          <cell r="B26" t="str">
            <v>Calculated</v>
          </cell>
          <cell r="D26" t="str">
            <v xml:space="preserve">Creditors 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M26" t="str">
            <v>Add back Amortisation</v>
          </cell>
          <cell r="N26">
            <v>0.33800000000000002</v>
          </cell>
          <cell r="O26">
            <v>0.29500000000000004</v>
          </cell>
          <cell r="P26">
            <v>0.27100000000000002</v>
          </cell>
          <cell r="Q26">
            <v>0.25600000000000001</v>
          </cell>
          <cell r="R26">
            <v>0</v>
          </cell>
          <cell r="S26">
            <v>0</v>
          </cell>
          <cell r="T26">
            <v>0</v>
          </cell>
          <cell r="AB26">
            <v>7</v>
          </cell>
          <cell r="AC26" t="str">
            <v>Cash</v>
          </cell>
          <cell r="AD26">
            <v>27.74</v>
          </cell>
          <cell r="AE26">
            <v>12.696</v>
          </cell>
          <cell r="AF26">
            <v>16.803999999999998</v>
          </cell>
          <cell r="AG26">
            <v>16.803999999999998</v>
          </cell>
          <cell r="AH26">
            <v>0</v>
          </cell>
          <cell r="AI26">
            <v>0</v>
          </cell>
          <cell r="AJ26">
            <v>10.422000000000001</v>
          </cell>
          <cell r="AK26">
            <v>10.262</v>
          </cell>
          <cell r="AL26">
            <v>5.2389999999999999</v>
          </cell>
          <cell r="AM26">
            <v>5.2389999999999999</v>
          </cell>
          <cell r="AN26">
            <v>-0.37979052606522246</v>
          </cell>
        </row>
        <row r="27">
          <cell r="A27">
            <v>77</v>
          </cell>
          <cell r="B27" t="str">
            <v>Calculated</v>
          </cell>
          <cell r="D27" t="str">
            <v>Borrowings</v>
          </cell>
          <cell r="E27">
            <v>330.29399999999998</v>
          </cell>
          <cell r="F27">
            <v>298.892</v>
          </cell>
          <cell r="G27">
            <v>223.27064948433261</v>
          </cell>
          <cell r="H27">
            <v>192.56625572394429</v>
          </cell>
          <cell r="I27">
            <v>171.34640636852001</v>
          </cell>
          <cell r="J27">
            <v>157.28769394193353</v>
          </cell>
          <cell r="K27">
            <v>151.78497065919413</v>
          </cell>
          <cell r="M27" t="str">
            <v>Add back Significant items</v>
          </cell>
          <cell r="N27">
            <v>30.228999999999999</v>
          </cell>
          <cell r="O27">
            <v>26.1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AA27">
            <v>54</v>
          </cell>
          <cell r="AB27">
            <v>77</v>
          </cell>
          <cell r="AC27" t="str">
            <v>Gross Debt</v>
          </cell>
          <cell r="AD27">
            <v>332.84399999999999</v>
          </cell>
          <cell r="AE27">
            <v>407.90500000000003</v>
          </cell>
          <cell r="AF27">
            <v>364.62299999999999</v>
          </cell>
          <cell r="AG27">
            <v>364.62299999999999</v>
          </cell>
          <cell r="AH27">
            <v>0</v>
          </cell>
          <cell r="AI27">
            <v>0</v>
          </cell>
          <cell r="AJ27">
            <v>338.23699999999997</v>
          </cell>
          <cell r="AK27">
            <v>360.12599999999998</v>
          </cell>
          <cell r="AL27">
            <v>304.09499999999997</v>
          </cell>
          <cell r="AM27">
            <v>304.09499999999997</v>
          </cell>
          <cell r="AN27">
            <v>-7.2365155242538282E-2</v>
          </cell>
          <cell r="AQ27" t="str">
            <v>Assets</v>
          </cell>
          <cell r="AV27" t="str">
            <v>Assets</v>
          </cell>
          <cell r="BA27" t="str">
            <v>Assets</v>
          </cell>
          <cell r="BF27" t="str">
            <v>Assets</v>
          </cell>
        </row>
        <row r="28">
          <cell r="A28">
            <v>80</v>
          </cell>
          <cell r="B28" t="str">
            <v>Calculated</v>
          </cell>
          <cell r="D28" t="str">
            <v xml:space="preserve">Tax </v>
          </cell>
          <cell r="E28">
            <v>20.626000000000001</v>
          </cell>
          <cell r="F28">
            <v>23.02</v>
          </cell>
          <cell r="G28">
            <v>18.520406987647561</v>
          </cell>
          <cell r="H28">
            <v>16.857200418572098</v>
          </cell>
          <cell r="I28">
            <v>17.132245124741438</v>
          </cell>
          <cell r="J28">
            <v>18.066243134353506</v>
          </cell>
          <cell r="K28">
            <v>19.248228095642958</v>
          </cell>
          <cell r="M28" t="str">
            <v>Normalised NPAT</v>
          </cell>
          <cell r="N28">
            <v>58.040000000000013</v>
          </cell>
          <cell r="O28">
            <v>42.760447821194312</v>
          </cell>
          <cell r="P28">
            <v>59.542867709446675</v>
          </cell>
          <cell r="Q28">
            <v>68.803243940888052</v>
          </cell>
          <cell r="R28">
            <v>81.377418521182662</v>
          </cell>
          <cell r="S28">
            <v>89.975869170227654</v>
          </cell>
          <cell r="T28">
            <v>96.944640127845247</v>
          </cell>
          <cell r="AP28">
            <v>48</v>
          </cell>
          <cell r="AQ28" t="str">
            <v>Open</v>
          </cell>
          <cell r="AR28">
            <v>1119.9530000000002</v>
          </cell>
          <cell r="AS28">
            <v>1167.0020000000002</v>
          </cell>
          <cell r="AV28" t="str">
            <v>Open</v>
          </cell>
          <cell r="AW28">
            <v>1119.9530000000002</v>
          </cell>
          <cell r="AX28">
            <v>1167.0020000000002</v>
          </cell>
          <cell r="BA28" t="str">
            <v>Open</v>
          </cell>
          <cell r="BB28">
            <v>1119.9380000000001</v>
          </cell>
          <cell r="BC28">
            <v>0</v>
          </cell>
          <cell r="BF28" t="str">
            <v>Open</v>
          </cell>
          <cell r="BG28">
            <v>1119.9380000000001</v>
          </cell>
          <cell r="BH28">
            <v>1119.9530000000002</v>
          </cell>
        </row>
        <row r="29">
          <cell r="A29" t="str">
            <v>Calculated</v>
          </cell>
          <cell r="B29" t="str">
            <v>Composite</v>
          </cell>
          <cell r="D29" t="str">
            <v>Other</v>
          </cell>
          <cell r="E29">
            <v>0.79199999999997317</v>
          </cell>
          <cell r="F29">
            <v>0.80299999999999727</v>
          </cell>
          <cell r="G29">
            <v>1.0140305042699254</v>
          </cell>
          <cell r="H29">
            <v>1.0685197542892695</v>
          </cell>
          <cell r="I29">
            <v>1.1460482195659552</v>
          </cell>
          <cell r="J29">
            <v>1.2025042172792837</v>
          </cell>
          <cell r="K29">
            <v>1.2499956807415629</v>
          </cell>
          <cell r="M29" t="str">
            <v>% chg</v>
          </cell>
          <cell r="N29">
            <v>1.3062862592386537</v>
          </cell>
          <cell r="O29">
            <v>-0.26325899687811338</v>
          </cell>
          <cell r="P29">
            <v>0.39247530705078626</v>
          </cell>
          <cell r="Q29">
            <v>0.15552452523162885</v>
          </cell>
          <cell r="R29">
            <v>0.18275554843166475</v>
          </cell>
          <cell r="S29">
            <v>0.10566138377573142</v>
          </cell>
          <cell r="T29">
            <v>7.7451554754455199E-2</v>
          </cell>
          <cell r="AP29">
            <v>48</v>
          </cell>
          <cell r="AQ29" t="str">
            <v>Close</v>
          </cell>
          <cell r="AR29">
            <v>1119.9380000000001</v>
          </cell>
          <cell r="AS29">
            <v>0</v>
          </cell>
          <cell r="AV29" t="str">
            <v>Close</v>
          </cell>
          <cell r="AW29">
            <v>1014.754</v>
          </cell>
          <cell r="AX29">
            <v>1119.9530000000002</v>
          </cell>
          <cell r="BA29" t="str">
            <v>Close</v>
          </cell>
          <cell r="BB29">
            <v>1014.754</v>
          </cell>
          <cell r="BC29">
            <v>0</v>
          </cell>
          <cell r="BF29" t="str">
            <v>Close</v>
          </cell>
          <cell r="BG29">
            <v>1014.754</v>
          </cell>
          <cell r="BH29">
            <v>1119.9380000000001</v>
          </cell>
        </row>
        <row r="30">
          <cell r="A30">
            <v>86</v>
          </cell>
          <cell r="B30" t="str">
            <v>mscalc:netIncome</v>
          </cell>
          <cell r="D30" t="str">
            <v>Total Non Current Liabilities</v>
          </cell>
          <cell r="E30">
            <v>351.71199999999993</v>
          </cell>
          <cell r="F30">
            <v>322.71499999999997</v>
          </cell>
          <cell r="G30">
            <v>242.8050869762501</v>
          </cell>
          <cell r="H30">
            <v>210.49197589680566</v>
          </cell>
          <cell r="I30">
            <v>189.62469971282741</v>
          </cell>
          <cell r="J30">
            <v>176.55644129356631</v>
          </cell>
          <cell r="K30">
            <v>172.28319443557865</v>
          </cell>
          <cell r="M30" t="str">
            <v>ModelWare NPAT</v>
          </cell>
          <cell r="N30">
            <v>57.701999999999998</v>
          </cell>
          <cell r="O30">
            <v>42.465447821194303</v>
          </cell>
          <cell r="P30">
            <v>59.542867709446398</v>
          </cell>
          <cell r="Q30">
            <v>68.803243940888507</v>
          </cell>
          <cell r="R30">
            <v>81.377418521182904</v>
          </cell>
          <cell r="S30">
            <v>89.975869170227796</v>
          </cell>
          <cell r="T30">
            <v>96.944640127844906</v>
          </cell>
          <cell r="V30">
            <v>-4.503874933767249E-3</v>
          </cell>
          <cell r="W30">
            <v>-3.5586782428697061E-3</v>
          </cell>
          <cell r="AQ30" t="str">
            <v>Equity</v>
          </cell>
          <cell r="AV30" t="str">
            <v>Equity</v>
          </cell>
          <cell r="BA30" t="str">
            <v>Equity</v>
          </cell>
          <cell r="BF30" t="str">
            <v>Equity</v>
          </cell>
        </row>
        <row r="31">
          <cell r="A31" t="str">
            <v>Calculated</v>
          </cell>
          <cell r="D31" t="str">
            <v>Total Liabilities</v>
          </cell>
          <cell r="E31">
            <v>437.08699999999993</v>
          </cell>
          <cell r="F31">
            <v>392.01099999999997</v>
          </cell>
          <cell r="G31">
            <v>316.95230065670512</v>
          </cell>
          <cell r="H31">
            <v>291.73180308211363</v>
          </cell>
          <cell r="I31">
            <v>276.21362451637663</v>
          </cell>
          <cell r="J31">
            <v>266.6490100553674</v>
          </cell>
          <cell r="K31">
            <v>266.67258012096568</v>
          </cell>
          <cell r="M31" t="str">
            <v>% chg</v>
          </cell>
          <cell r="N31">
            <v>0.66722170187671281</v>
          </cell>
          <cell r="O31">
            <v>-0.26405587637873373</v>
          </cell>
          <cell r="P31">
            <v>0.40214858819241828</v>
          </cell>
          <cell r="Q31">
            <v>0.15552452523164195</v>
          </cell>
          <cell r="R31">
            <v>0.18275554843166053</v>
          </cell>
          <cell r="S31">
            <v>0.10566138377572987</v>
          </cell>
          <cell r="T31">
            <v>7.7451554754449869E-2</v>
          </cell>
          <cell r="AP31">
            <v>106</v>
          </cell>
          <cell r="AQ31" t="str">
            <v>Open</v>
          </cell>
          <cell r="AR31">
            <v>682.8660000000001</v>
          </cell>
          <cell r="AS31">
            <v>701.73599999999999</v>
          </cell>
          <cell r="AV31" t="str">
            <v>Open</v>
          </cell>
          <cell r="AW31">
            <v>682.8660000000001</v>
          </cell>
          <cell r="AX31">
            <v>701.73599999999999</v>
          </cell>
          <cell r="BA31" t="str">
            <v>Open</v>
          </cell>
          <cell r="BB31">
            <v>663.49</v>
          </cell>
          <cell r="BC31">
            <v>0</v>
          </cell>
          <cell r="BF31" t="str">
            <v>Open</v>
          </cell>
          <cell r="BG31">
            <v>663.49</v>
          </cell>
          <cell r="BH31">
            <v>682.8660000000001</v>
          </cell>
        </row>
        <row r="32">
          <cell r="A32">
            <v>106</v>
          </cell>
          <cell r="D32" t="str">
            <v>Shareholders Equity</v>
          </cell>
          <cell r="E32">
            <v>682.8660000000001</v>
          </cell>
          <cell r="F32">
            <v>622.74300000000005</v>
          </cell>
          <cell r="G32">
            <v>690.97168457884504</v>
          </cell>
          <cell r="H32">
            <v>763.78699217961889</v>
          </cell>
          <cell r="I32">
            <v>844.61610960438531</v>
          </cell>
          <cell r="J32">
            <v>925.12920072835072</v>
          </cell>
          <cell r="K32">
            <v>1010.493759843441</v>
          </cell>
          <cell r="AP32">
            <v>106</v>
          </cell>
          <cell r="AQ32" t="str">
            <v>Close</v>
          </cell>
          <cell r="AR32">
            <v>663.49</v>
          </cell>
          <cell r="AS32">
            <v>0</v>
          </cell>
          <cell r="AV32" t="str">
            <v>Close</v>
          </cell>
          <cell r="AW32">
            <v>622.74300000000005</v>
          </cell>
          <cell r="AX32">
            <v>682.8660000000001</v>
          </cell>
          <cell r="BA32" t="str">
            <v>Close</v>
          </cell>
          <cell r="BB32">
            <v>622.74300000000005</v>
          </cell>
          <cell r="BC32">
            <v>0</v>
          </cell>
          <cell r="BF32" t="str">
            <v>Close</v>
          </cell>
          <cell r="BG32">
            <v>622.74300000000005</v>
          </cell>
          <cell r="BH32">
            <v>663.49</v>
          </cell>
        </row>
        <row r="33">
          <cell r="M33" t="str">
            <v>Ratios</v>
          </cell>
          <cell r="N33" t="str">
            <v>FY09A</v>
          </cell>
          <cell r="O33" t="str">
            <v>FY10A</v>
          </cell>
          <cell r="P33" t="str">
            <v>FY11E</v>
          </cell>
          <cell r="Q33" t="str">
            <v>FY12E</v>
          </cell>
          <cell r="R33" t="str">
            <v>FY13E</v>
          </cell>
          <cell r="S33" t="str">
            <v>FY14E</v>
          </cell>
          <cell r="T33" t="str">
            <v>FY15E</v>
          </cell>
        </row>
        <row r="34">
          <cell r="B34" t="str">
            <v>Calculated</v>
          </cell>
          <cell r="D34" t="str">
            <v>Cashflow ($m)</v>
          </cell>
          <cell r="E34" t="str">
            <v>FY09A</v>
          </cell>
          <cell r="F34" t="str">
            <v>FY10A</v>
          </cell>
          <cell r="G34" t="str">
            <v>FY11E</v>
          </cell>
          <cell r="H34" t="str">
            <v>FY12E</v>
          </cell>
          <cell r="I34" t="str">
            <v>FY13E</v>
          </cell>
          <cell r="J34" t="str">
            <v>FY14E</v>
          </cell>
          <cell r="K34" t="str">
            <v>FY15E</v>
          </cell>
          <cell r="M34" t="str">
            <v>EBITDA margin</v>
          </cell>
          <cell r="N34">
            <v>0.39920453276238393</v>
          </cell>
          <cell r="O34">
            <v>0.45048511083838116</v>
          </cell>
          <cell r="P34">
            <v>0.45285896820258542</v>
          </cell>
          <cell r="Q34">
            <v>0.46454603999692562</v>
          </cell>
          <cell r="R34">
            <v>0.48014842358894361</v>
          </cell>
          <cell r="S34">
            <v>0.48250550946084614</v>
          </cell>
          <cell r="T34">
            <v>0.48464661707514334</v>
          </cell>
          <cell r="W34">
            <v>2.9663312750562443E-2</v>
          </cell>
        </row>
        <row r="35">
          <cell r="A35">
            <v>132</v>
          </cell>
          <cell r="B35" t="str">
            <v>Calculated</v>
          </cell>
          <cell r="D35" t="str">
            <v>EBITDA</v>
          </cell>
          <cell r="E35">
            <v>210.87700000000001</v>
          </cell>
          <cell r="F35">
            <v>182.42800000000003</v>
          </cell>
          <cell r="G35">
            <v>223.45339282567517</v>
          </cell>
          <cell r="H35">
            <v>240.80819297008452</v>
          </cell>
          <cell r="I35">
            <v>265.703503285941</v>
          </cell>
          <cell r="J35">
            <v>280.84798017687785</v>
          </cell>
          <cell r="K35">
            <v>293.62508493000979</v>
          </cell>
          <cell r="M35" t="str">
            <v>EBIT margin</v>
          </cell>
          <cell r="N35">
            <v>0.2005156717646992</v>
          </cell>
          <cell r="O35">
            <v>0.20584306065552321</v>
          </cell>
          <cell r="P35">
            <v>0.22808369684767757</v>
          </cell>
          <cell r="Q35">
            <v>0.23349768788773406</v>
          </cell>
          <cell r="R35">
            <v>0.24612900228173762</v>
          </cell>
          <cell r="S35">
            <v>0.25057216643183616</v>
          </cell>
          <cell r="T35">
            <v>0.25456994943745104</v>
          </cell>
          <cell r="W35">
            <v>4.0285941626214405E-2</v>
          </cell>
        </row>
        <row r="36">
          <cell r="A36">
            <v>139</v>
          </cell>
          <cell r="B36" t="str">
            <v>Calculated</v>
          </cell>
          <cell r="D36" t="str">
            <v>Tax paid</v>
          </cell>
          <cell r="E36">
            <v>-33.146999999999998</v>
          </cell>
          <cell r="F36">
            <v>-18.074999999999999</v>
          </cell>
          <cell r="G36">
            <v>-20.348213297949435</v>
          </cell>
          <cell r="H36">
            <v>-24.665420458501938</v>
          </cell>
          <cell r="I36">
            <v>-29.688213663122717</v>
          </cell>
          <cell r="J36">
            <v>-32.036746398260654</v>
          </cell>
          <cell r="K36">
            <v>-34.719792925093039</v>
          </cell>
          <cell r="M36" t="str">
            <v xml:space="preserve">Effective tax rate </v>
          </cell>
          <cell r="N36">
            <v>0.28913911200906711</v>
          </cell>
          <cell r="O36">
            <v>0.29963142478197863</v>
          </cell>
          <cell r="P36">
            <v>0.29962196146495712</v>
          </cell>
          <cell r="Q36">
            <v>0.29961292529064631</v>
          </cell>
          <cell r="R36">
            <v>0.29978929887446243</v>
          </cell>
          <cell r="S36">
            <v>0.2994525452128326</v>
          </cell>
          <cell r="T36">
            <v>0.299588496855685</v>
          </cell>
        </row>
        <row r="37">
          <cell r="A37">
            <v>133</v>
          </cell>
          <cell r="B37">
            <v>138</v>
          </cell>
          <cell r="D37" t="str">
            <v>Change in working Capital</v>
          </cell>
          <cell r="E37">
            <v>81.949000000000012</v>
          </cell>
          <cell r="F37">
            <v>35.812000000000012</v>
          </cell>
          <cell r="G37">
            <v>21.623338576579357</v>
          </cell>
          <cell r="H37">
            <v>3.1328120187720572</v>
          </cell>
          <cell r="I37">
            <v>-7.2692397278829759</v>
          </cell>
          <cell r="J37">
            <v>-7.8195640351722915</v>
          </cell>
          <cell r="K37">
            <v>-3.5469403328750531</v>
          </cell>
          <cell r="M37" t="str">
            <v>Weighted Avge Dil Shares (m)</v>
          </cell>
          <cell r="N37">
            <v>631.23800000000006</v>
          </cell>
          <cell r="O37">
            <v>631.23800000000006</v>
          </cell>
          <cell r="P37">
            <v>631.23758599999996</v>
          </cell>
          <cell r="Q37">
            <v>631.23758599999996</v>
          </cell>
          <cell r="R37">
            <v>631.24411880542982</v>
          </cell>
          <cell r="S37">
            <v>631.78456842465755</v>
          </cell>
          <cell r="T37">
            <v>632.27083200000004</v>
          </cell>
        </row>
        <row r="38">
          <cell r="A38" t="str">
            <v>Calculated</v>
          </cell>
          <cell r="B38" t="str">
            <v>Calculated</v>
          </cell>
          <cell r="D38" t="str">
            <v>Other</v>
          </cell>
          <cell r="E38">
            <v>-57.781999999999982</v>
          </cell>
          <cell r="F38">
            <v>-1.5269999999999868</v>
          </cell>
          <cell r="G38">
            <v>2.2170073204290759</v>
          </cell>
          <cell r="H38">
            <v>1.314715363920584</v>
          </cell>
          <cell r="I38">
            <v>1.326853007636231</v>
          </cell>
          <cell r="J38">
            <v>1.3404447253987826</v>
          </cell>
          <cell r="K38">
            <v>1.6230844341575335</v>
          </cell>
          <cell r="M38" t="str">
            <v>Reported EPS</v>
          </cell>
          <cell r="N38">
            <v>4.3522411515149608</v>
          </cell>
          <cell r="O38">
            <v>2.5925954744794053</v>
          </cell>
          <cell r="P38">
            <v>9.3897874625999673</v>
          </cell>
          <cell r="Q38">
            <v>10.859182891065688</v>
          </cell>
          <cell r="R38">
            <v>12.891592348643465</v>
          </cell>
          <cell r="S38">
            <v>14.241542713615294</v>
          </cell>
          <cell r="T38">
            <v>15.332771214700799</v>
          </cell>
          <cell r="V38">
            <v>0.17172420350397699</v>
          </cell>
          <cell r="W38">
            <v>0.70683131343281991</v>
          </cell>
          <cell r="Y38">
            <v>0.42684625392338549</v>
          </cell>
        </row>
        <row r="39">
          <cell r="A39" t="str">
            <v>Calculated</v>
          </cell>
          <cell r="B39" t="str">
            <v>Composite</v>
          </cell>
          <cell r="D39" t="str">
            <v>Gross Cashflow</v>
          </cell>
          <cell r="E39">
            <v>201.89700000000005</v>
          </cell>
          <cell r="F39">
            <v>198.63800000000006</v>
          </cell>
          <cell r="G39">
            <v>226.94552542473417</v>
          </cell>
          <cell r="H39">
            <v>220.59029989427523</v>
          </cell>
          <cell r="I39">
            <v>230.07290290257154</v>
          </cell>
          <cell r="J39">
            <v>242.33211446884368</v>
          </cell>
          <cell r="K39">
            <v>256.98143610619923</v>
          </cell>
          <cell r="M39" t="str">
            <v>…change (%)</v>
          </cell>
          <cell r="N39">
            <v>-0.5931673799404702</v>
          </cell>
          <cell r="O39">
            <v>-0.40430794521186969</v>
          </cell>
          <cell r="P39">
            <v>2.6217711382395446</v>
          </cell>
          <cell r="Q39">
            <v>0.15648867818557149</v>
          </cell>
          <cell r="R39">
            <v>0.18716044088822997</v>
          </cell>
          <cell r="S39">
            <v>0.10471556410282232</v>
          </cell>
          <cell r="T39">
            <v>7.6622913895575462E-2</v>
          </cell>
        </row>
        <row r="40">
          <cell r="A40">
            <v>12</v>
          </cell>
          <cell r="B40" t="str">
            <v>Calculated</v>
          </cell>
          <cell r="D40" t="str">
            <v>Interest paid</v>
          </cell>
          <cell r="E40">
            <v>-26.462</v>
          </cell>
          <cell r="F40">
            <v>-23.004999999999999</v>
          </cell>
          <cell r="G40">
            <v>-26.172824369514903</v>
          </cell>
          <cell r="H40">
            <v>-21.751750283396369</v>
          </cell>
          <cell r="I40">
            <v>-18.668241214338366</v>
          </cell>
          <cell r="J40">
            <v>-15.973061040083966</v>
          </cell>
          <cell r="K40">
            <v>-14.10645545140345</v>
          </cell>
          <cell r="M40" t="str">
            <v>Reported PE (x)</v>
          </cell>
          <cell r="N40">
            <v>25.159451461434855</v>
          </cell>
          <cell r="O40">
            <v>42.235667337183664</v>
          </cell>
          <cell r="P40">
            <v>11.661605806962557</v>
          </cell>
          <cell r="Q40">
            <v>10.083631622973245</v>
          </cell>
          <cell r="R40">
            <v>8.4939080478698408</v>
          </cell>
          <cell r="S40">
            <v>7.6887737657322113</v>
          </cell>
          <cell r="T40">
            <v>7.1415661570045001</v>
          </cell>
        </row>
        <row r="41">
          <cell r="A41">
            <v>140</v>
          </cell>
          <cell r="B41" t="str">
            <v>Calculated</v>
          </cell>
          <cell r="D41" t="str">
            <v>Operating Cashflow</v>
          </cell>
          <cell r="E41">
            <v>175.43500000000006</v>
          </cell>
          <cell r="F41">
            <v>175.63300000000007</v>
          </cell>
          <cell r="G41">
            <v>200.77270105521927</v>
          </cell>
          <cell r="H41">
            <v>198.83854961087886</v>
          </cell>
          <cell r="I41">
            <v>211.40466168823318</v>
          </cell>
          <cell r="J41">
            <v>226.35905342875972</v>
          </cell>
          <cell r="K41">
            <v>242.87498065479576</v>
          </cell>
          <cell r="M41" t="str">
            <v xml:space="preserve">Normalised EPS (¢) </v>
          </cell>
          <cell r="N41">
            <v>9.1946302345549551</v>
          </cell>
          <cell r="O41">
            <v>6.7740611023408457</v>
          </cell>
          <cell r="P41">
            <v>9.4327189999498344</v>
          </cell>
          <cell r="Q41">
            <v>10.899738144060397</v>
          </cell>
          <cell r="R41">
            <v>12.891592348643465</v>
          </cell>
          <cell r="S41">
            <v>14.241542713615294</v>
          </cell>
          <cell r="T41">
            <v>15.332771214700799</v>
          </cell>
          <cell r="V41">
            <v>0.16905470335086314</v>
          </cell>
          <cell r="W41">
            <v>0.23923161574929819</v>
          </cell>
          <cell r="Y41">
            <v>0.17748208758564665</v>
          </cell>
        </row>
        <row r="42">
          <cell r="A42">
            <v>18</v>
          </cell>
          <cell r="B42" t="str">
            <v>Composite</v>
          </cell>
          <cell r="D42" t="str">
            <v>Capital Expenditure</v>
          </cell>
          <cell r="E42">
            <v>-115.536</v>
          </cell>
          <cell r="F42">
            <v>-155.05000000000001</v>
          </cell>
          <cell r="G42">
            <v>-133.40837695447513</v>
          </cell>
          <cell r="H42">
            <v>-151.19136972961675</v>
          </cell>
          <cell r="I42">
            <v>-160.61398303301661</v>
          </cell>
          <cell r="J42">
            <v>-155.57311992646481</v>
          </cell>
          <cell r="K42">
            <v>-159.30488052742351</v>
          </cell>
          <cell r="M42" t="str">
            <v>…change (%)</v>
          </cell>
          <cell r="N42">
            <v>1.3062862592386533</v>
          </cell>
          <cell r="O42">
            <v>-0.26325899687811333</v>
          </cell>
          <cell r="P42">
            <v>0.39247622031195767</v>
          </cell>
          <cell r="Q42">
            <v>0.15552452523162877</v>
          </cell>
          <cell r="R42">
            <v>0.18274330798198959</v>
          </cell>
          <cell r="S42">
            <v>0.10471556410282232</v>
          </cell>
          <cell r="T42">
            <v>7.6622913895575462E-2</v>
          </cell>
        </row>
        <row r="43">
          <cell r="A43" t="str">
            <v>Calculated</v>
          </cell>
          <cell r="B43" t="str">
            <v>Calculated</v>
          </cell>
          <cell r="D43" t="str">
            <v>Free Cash Flow</v>
          </cell>
          <cell r="E43">
            <v>59.899000000000058</v>
          </cell>
          <cell r="F43">
            <v>20.583000000000055</v>
          </cell>
          <cell r="G43">
            <v>67.364324100744142</v>
          </cell>
          <cell r="H43">
            <v>47.647179881262105</v>
          </cell>
          <cell r="I43">
            <v>50.790678655216567</v>
          </cell>
          <cell r="J43">
            <v>70.78593350229491</v>
          </cell>
          <cell r="K43">
            <v>83.570100127372257</v>
          </cell>
          <cell r="M43" t="str">
            <v>Normalised PE (x)</v>
          </cell>
          <cell r="N43">
            <v>11.909124913852514</v>
          </cell>
          <cell r="O43">
            <v>16.164601757454058</v>
          </cell>
          <cell r="P43">
            <v>11.608529841775457</v>
          </cell>
          <cell r="Q43">
            <v>10.046112902232419</v>
          </cell>
          <cell r="R43">
            <v>8.4939080478698408</v>
          </cell>
          <cell r="S43">
            <v>7.6887737657322113</v>
          </cell>
          <cell r="T43">
            <v>7.1415661570045001</v>
          </cell>
        </row>
        <row r="44">
          <cell r="A44" t="str">
            <v>Composite</v>
          </cell>
          <cell r="B44" t="str">
            <v>mscalc:dilutedEarningsPerShareBeforeOperatingLeaseAdjustments</v>
          </cell>
          <cell r="D44" t="str">
            <v>Acquisitions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M44" t="str">
            <v>ModelWare EPS</v>
          </cell>
          <cell r="N44">
            <v>9.1410846622034807</v>
          </cell>
          <cell r="O44">
            <v>6.7273275406731408</v>
          </cell>
          <cell r="P44">
            <v>9.43271899994979</v>
          </cell>
          <cell r="Q44">
            <v>10.8997381440605</v>
          </cell>
          <cell r="R44">
            <v>12.891592348643499</v>
          </cell>
          <cell r="S44">
            <v>14.241542713615299</v>
          </cell>
          <cell r="T44">
            <v>15.332771214700699</v>
          </cell>
        </row>
        <row r="45">
          <cell r="A45" t="str">
            <v>Composite</v>
          </cell>
          <cell r="D45" t="str">
            <v>Asset sales</v>
          </cell>
          <cell r="E45">
            <v>21.337</v>
          </cell>
          <cell r="F45">
            <v>47.523000000000003</v>
          </cell>
          <cell r="G45">
            <v>49.959416666666662</v>
          </cell>
          <cell r="H45">
            <v>22.849425925925928</v>
          </cell>
          <cell r="I45">
            <v>22.755234053497944</v>
          </cell>
          <cell r="J45">
            <v>19.050358882030178</v>
          </cell>
          <cell r="K45">
            <v>21.551672953818017</v>
          </cell>
          <cell r="M45" t="str">
            <v>% chg</v>
          </cell>
          <cell r="N45">
            <v>0.6672217018767147</v>
          </cell>
          <cell r="O45">
            <v>-0.26405587637873362</v>
          </cell>
          <cell r="P45">
            <v>0.40214950779785363</v>
          </cell>
          <cell r="Q45">
            <v>0.15552452523164506</v>
          </cell>
          <cell r="R45">
            <v>0.18274330798198157</v>
          </cell>
          <cell r="S45">
            <v>0.1047155641028199</v>
          </cell>
          <cell r="T45">
            <v>7.6622913895568079E-2</v>
          </cell>
        </row>
        <row r="46">
          <cell r="A46">
            <v>38</v>
          </cell>
          <cell r="B46">
            <v>161</v>
          </cell>
          <cell r="D46" t="str">
            <v>Equity Issues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M46" t="str">
            <v xml:space="preserve">DPS (¢) </v>
          </cell>
          <cell r="N46">
            <v>4</v>
          </cell>
          <cell r="O46">
            <v>2</v>
          </cell>
          <cell r="P46">
            <v>3.5</v>
          </cell>
          <cell r="Q46">
            <v>4</v>
          </cell>
          <cell r="R46">
            <v>5</v>
          </cell>
          <cell r="S46">
            <v>6</v>
          </cell>
          <cell r="T46">
            <v>6</v>
          </cell>
          <cell r="V46">
            <v>0.19522860933439357</v>
          </cell>
          <cell r="W46">
            <v>0.35720880829745338</v>
          </cell>
          <cell r="Y46">
            <v>0.2457309396155174</v>
          </cell>
        </row>
        <row r="47">
          <cell r="A47">
            <v>46</v>
          </cell>
          <cell r="B47" t="str">
            <v>Calculated</v>
          </cell>
          <cell r="D47" t="str">
            <v>Dividends</v>
          </cell>
          <cell r="E47">
            <v>-28.207000000000001</v>
          </cell>
          <cell r="F47">
            <v>-12.625</v>
          </cell>
          <cell r="G47">
            <v>-22.093315509999996</v>
          </cell>
          <cell r="H47">
            <v>-25.249503439999998</v>
          </cell>
          <cell r="I47">
            <v>-28.40569137</v>
          </cell>
          <cell r="J47">
            <v>-34.749064610000005</v>
          </cell>
          <cell r="K47">
            <v>-37.936249920000002</v>
          </cell>
          <cell r="M47" t="str">
            <v xml:space="preserve">…Payout </v>
          </cell>
          <cell r="N47">
            <v>0.43503652653342517</v>
          </cell>
          <cell r="O47">
            <v>0.29524386771605582</v>
          </cell>
          <cell r="P47">
            <v>0.37104889905218358</v>
          </cell>
          <cell r="Q47">
            <v>0.3669812932322345</v>
          </cell>
          <cell r="R47">
            <v>0.38784968255113433</v>
          </cell>
          <cell r="S47">
            <v>0.42130267209491568</v>
          </cell>
          <cell r="T47">
            <v>0.39131869353449317</v>
          </cell>
        </row>
        <row r="48">
          <cell r="A48" t="str">
            <v>Calculated</v>
          </cell>
          <cell r="B48" t="str">
            <v>Calculated</v>
          </cell>
          <cell r="D48" t="str">
            <v>Other</v>
          </cell>
          <cell r="E48">
            <v>-33.024999999999984</v>
          </cell>
          <cell r="F48">
            <v>-26.522000000000105</v>
          </cell>
          <cell r="G48">
            <v>-7.963086666666527</v>
          </cell>
          <cell r="H48">
            <v>-7.9057534666666527</v>
          </cell>
          <cell r="I48">
            <v>-7.9565752127407592</v>
          </cell>
          <cell r="J48">
            <v>-7.9504202502380537</v>
          </cell>
          <cell r="K48">
            <v>-7.9557293202959585</v>
          </cell>
          <cell r="M48" t="str">
            <v>Dividend Yield</v>
          </cell>
          <cell r="N48">
            <v>3.6529680365296809E-2</v>
          </cell>
          <cell r="O48">
            <v>1.8264840182648404E-2</v>
          </cell>
          <cell r="P48">
            <v>3.1963470319634708E-2</v>
          </cell>
          <cell r="Q48">
            <v>3.6529680365296809E-2</v>
          </cell>
          <cell r="R48">
            <v>4.5662100456621009E-2</v>
          </cell>
          <cell r="S48">
            <v>5.4794520547945202E-2</v>
          </cell>
          <cell r="T48">
            <v>5.4794520547945202E-2</v>
          </cell>
        </row>
        <row r="49">
          <cell r="A49">
            <v>85</v>
          </cell>
          <cell r="B49" t="str">
            <v>Calculated</v>
          </cell>
          <cell r="D49" t="str">
            <v xml:space="preserve">Change in Net Debt </v>
          </cell>
          <cell r="E49">
            <v>-20.004000000000076</v>
          </cell>
          <cell r="F49">
            <v>-28.958999999999946</v>
          </cell>
          <cell r="G49">
            <v>-87.267338590744288</v>
          </cell>
          <cell r="H49">
            <v>-37.341348900521382</v>
          </cell>
          <cell r="I49">
            <v>-37.183646125973752</v>
          </cell>
          <cell r="J49">
            <v>-47.136807524087033</v>
          </cell>
          <cell r="K49">
            <v>-59.229793840894317</v>
          </cell>
          <cell r="M49" t="str">
            <v xml:space="preserve">OpCF/share (¢) </v>
          </cell>
          <cell r="N49">
            <v>27.792211495505665</v>
          </cell>
          <cell r="O49">
            <v>27.823578428421619</v>
          </cell>
          <cell r="P49">
            <v>31.806201897365995</v>
          </cell>
          <cell r="Q49">
            <v>31.499795642853062</v>
          </cell>
          <cell r="R49">
            <v>33.490159415393308</v>
          </cell>
          <cell r="S49">
            <v>35.828518887883185</v>
          </cell>
          <cell r="T49">
            <v>38.413124307274032</v>
          </cell>
        </row>
        <row r="50">
          <cell r="B50" t="str">
            <v>Calculated</v>
          </cell>
          <cell r="M50" t="str">
            <v>P/CFS</v>
          </cell>
          <cell r="N50">
            <v>3.9399527460312926</v>
          </cell>
          <cell r="O50">
            <v>3.9355110372196553</v>
          </cell>
          <cell r="P50">
            <v>3.4427247979290527</v>
          </cell>
          <cell r="Q50">
            <v>3.4762130282214794</v>
          </cell>
          <cell r="R50">
            <v>3.2696171625169925</v>
          </cell>
          <cell r="S50">
            <v>3.0562245774840475</v>
          </cell>
          <cell r="T50">
            <v>2.8505882292751887</v>
          </cell>
        </row>
        <row r="51">
          <cell r="B51" t="str">
            <v>Calculated</v>
          </cell>
          <cell r="M51" t="str">
            <v>FCF Yield</v>
          </cell>
          <cell r="N51">
            <v>8.6658729520439015E-2</v>
          </cell>
          <cell r="O51">
            <v>2.9778404142292846E-2</v>
          </cell>
          <cell r="P51">
            <v>9.7459232545780455E-2</v>
          </cell>
          <cell r="Q51">
            <v>6.8933484395299671E-2</v>
          </cell>
          <cell r="R51">
            <v>7.3480575958579708E-2</v>
          </cell>
          <cell r="S51">
            <v>0.10232077730410534</v>
          </cell>
          <cell r="T51">
            <v>0.12070733344175356</v>
          </cell>
        </row>
        <row r="52">
          <cell r="B52">
            <v>119</v>
          </cell>
          <cell r="M52" t="str">
            <v>Net Debt ($m)</v>
          </cell>
          <cell r="N52">
            <v>327.81499999999994</v>
          </cell>
          <cell r="O52">
            <v>298.85599999999999</v>
          </cell>
          <cell r="P52">
            <v>211.58866140925571</v>
          </cell>
          <cell r="Q52">
            <v>174.24731250873432</v>
          </cell>
          <cell r="R52">
            <v>137.06366638276057</v>
          </cell>
          <cell r="S52">
            <v>89.92685885867354</v>
          </cell>
          <cell r="T52">
            <v>30.697065017779224</v>
          </cell>
        </row>
        <row r="53">
          <cell r="B53" t="str">
            <v>Calculated</v>
          </cell>
          <cell r="M53" t="str">
            <v>Gearing (ND/Equity) (%)</v>
          </cell>
          <cell r="N53">
            <v>0.48005758084309352</v>
          </cell>
          <cell r="O53">
            <v>0.47990262435707826</v>
          </cell>
          <cell r="P53">
            <v>0.30621900452870415</v>
          </cell>
          <cell r="Q53">
            <v>0.22813600426931177</v>
          </cell>
          <cell r="R53">
            <v>0.16227924713271291</v>
          </cell>
          <cell r="S53">
            <v>9.7204648591650192E-2</v>
          </cell>
          <cell r="T53">
            <v>3.0378282615555405E-2</v>
          </cell>
        </row>
        <row r="54">
          <cell r="B54" t="str">
            <v>Calculated</v>
          </cell>
          <cell r="M54" t="str">
            <v>Gearing (ND/ND+equity) (%)</v>
          </cell>
          <cell r="N54">
            <v>0.32435061112259944</v>
          </cell>
          <cell r="O54">
            <v>0.32427986575506262</v>
          </cell>
          <cell r="P54">
            <v>0.23443159490639232</v>
          </cell>
          <cell r="Q54">
            <v>0.18575793191979817</v>
          </cell>
          <cell r="R54">
            <v>0.13962156472555801</v>
          </cell>
          <cell r="S54">
            <v>8.8592997410665481E-2</v>
          </cell>
          <cell r="T54">
            <v>2.9482650331528627E-2</v>
          </cell>
        </row>
        <row r="55">
          <cell r="B55" t="str">
            <v>Calculated</v>
          </cell>
          <cell r="M55" t="str">
            <v>ROA (%)</v>
          </cell>
          <cell r="N55">
            <v>9.2630593955718404E-2</v>
          </cell>
          <cell r="O55">
            <v>7.8097837314441768E-2</v>
          </cell>
          <cell r="P55">
            <v>0.11128111590558705</v>
          </cell>
          <cell r="Q55">
            <v>0.11731745854801894</v>
          </cell>
          <cell r="R55">
            <v>0.125165925179969</v>
          </cell>
          <cell r="S55">
            <v>0.12613332327878915</v>
          </cell>
          <cell r="T55">
            <v>0.12493777442426572</v>
          </cell>
        </row>
        <row r="56">
          <cell r="B56" t="str">
            <v>Calculated</v>
          </cell>
          <cell r="M56" t="str">
            <v>ROE (%)</v>
          </cell>
          <cell r="N56">
            <v>8.3836365973759985E-2</v>
          </cell>
          <cell r="O56">
            <v>6.5502685445940262E-2</v>
          </cell>
          <cell r="P56">
            <v>9.0648096437370818E-2</v>
          </cell>
          <cell r="Q56">
            <v>9.4590594357818109E-2</v>
          </cell>
          <cell r="R56">
            <v>0.10119032776164218</v>
          </cell>
          <cell r="S56">
            <v>0.10168228009408989</v>
          </cell>
          <cell r="T56">
            <v>0.10016892969610917</v>
          </cell>
        </row>
        <row r="57">
          <cell r="B57" t="str">
            <v>Calculated</v>
          </cell>
          <cell r="M57" t="str">
            <v>ROIC (%)</v>
          </cell>
          <cell r="N57">
            <v>7.3326907302880384E-2</v>
          </cell>
          <cell r="O57">
            <v>6.0641244977656605E-2</v>
          </cell>
          <cell r="P57">
            <v>8.6628835739998314E-2</v>
          </cell>
          <cell r="Q57">
            <v>9.2310821584348682E-2</v>
          </cell>
          <cell r="R57">
            <v>9.9358895123031574E-2</v>
          </cell>
          <cell r="S57">
            <v>0.10234079797127316</v>
          </cell>
          <cell r="T57">
            <v>0.10507106022291864</v>
          </cell>
          <cell r="V57">
            <v>3.8717650145374968E-2</v>
          </cell>
          <cell r="W57">
            <v>9.9744791647799147E-2</v>
          </cell>
        </row>
        <row r="58">
          <cell r="B58" t="str">
            <v>Calculated</v>
          </cell>
          <cell r="M58" t="str">
            <v>ROE (%)</v>
          </cell>
          <cell r="N58">
            <v>6.5552550572185134E-2</v>
          </cell>
          <cell r="O58">
            <v>9.184988779381173E-2</v>
          </cell>
          <cell r="P58">
            <v>0.11770818746075862</v>
          </cell>
          <cell r="Q58">
            <v>0.13540700091274299</v>
          </cell>
          <cell r="R58">
            <v>0.14772789732322836</v>
          </cell>
          <cell r="S58">
            <v>0.16177533337917399</v>
          </cell>
          <cell r="T58" t="e">
            <v>#REF!</v>
          </cell>
        </row>
        <row r="59">
          <cell r="B59" t="str">
            <v>Calculated</v>
          </cell>
          <cell r="M59" t="str">
            <v>Working Section (see comments)</v>
          </cell>
          <cell r="N59">
            <v>6.0687729937801756E-2</v>
          </cell>
          <cell r="O59">
            <v>6.2681443324647895E-2</v>
          </cell>
          <cell r="P59">
            <v>9.6245301773019751E-2</v>
          </cell>
          <cell r="Q59">
            <v>0.10622778238174783</v>
          </cell>
          <cell r="R59">
            <v>0.1131733352691697</v>
          </cell>
          <cell r="S59">
            <v>0.12054251922208148</v>
          </cell>
          <cell r="T59" t="e">
            <v>#REF!</v>
          </cell>
          <cell r="V59">
            <v>3.3022378554984771E-2</v>
          </cell>
          <cell r="W59">
            <v>9.8582505551477406E-2</v>
          </cell>
        </row>
        <row r="60">
          <cell r="O60">
            <v>6.8116649051509187E-2</v>
          </cell>
        </row>
        <row r="61">
          <cell r="M61" t="str">
            <v>Working Section (see comments)</v>
          </cell>
          <cell r="O61">
            <v>8.081664125834262E-2</v>
          </cell>
        </row>
        <row r="62">
          <cell r="O62">
            <v>9.3149506224165526E-2</v>
          </cell>
        </row>
        <row r="63">
          <cell r="M63" t="str">
            <v>For Profit Decomposition</v>
          </cell>
        </row>
        <row r="64">
          <cell r="B64">
            <v>32</v>
          </cell>
          <cell r="M64" t="str">
            <v>Total Revenue</v>
          </cell>
          <cell r="N64">
            <v>532.84</v>
          </cell>
          <cell r="O64">
            <v>409.98400000000004</v>
          </cell>
          <cell r="P64">
            <v>497.57521610129578</v>
          </cell>
          <cell r="Q64">
            <v>522.58774762532084</v>
          </cell>
          <cell r="R64">
            <v>557.62091866480318</v>
          </cell>
          <cell r="S64">
            <v>586.34282194041873</v>
          </cell>
          <cell r="T64">
            <v>610.14336265453369</v>
          </cell>
        </row>
        <row r="65">
          <cell r="B65">
            <v>59</v>
          </cell>
          <cell r="M65" t="str">
            <v>Total Costs</v>
          </cell>
          <cell r="N65">
            <v>-321.96300000000002</v>
          </cell>
          <cell r="O65">
            <v>-227.55600000000001</v>
          </cell>
          <cell r="P65">
            <v>-274.12182327562061</v>
          </cell>
          <cell r="Q65">
            <v>-281.77955465523632</v>
          </cell>
          <cell r="R65">
            <v>-291.91741537886219</v>
          </cell>
          <cell r="S65">
            <v>-305.49484176354088</v>
          </cell>
          <cell r="T65">
            <v>-316.5182777245239</v>
          </cell>
        </row>
        <row r="66">
          <cell r="B66">
            <v>49</v>
          </cell>
          <cell r="M66" t="str">
            <v>Cost of Sales</v>
          </cell>
          <cell r="N66">
            <v>-282.09900000000005</v>
          </cell>
          <cell r="O66">
            <v>-203.75200000000001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</row>
        <row r="67">
          <cell r="B67">
            <v>59</v>
          </cell>
          <cell r="M67" t="str">
            <v>Total Costs</v>
          </cell>
          <cell r="N67">
            <v>-227.55600000000001</v>
          </cell>
          <cell r="O67">
            <v>-286.36199999999997</v>
          </cell>
          <cell r="P67">
            <v>-322.0813435278759</v>
          </cell>
          <cell r="Q67">
            <v>-345.07382287050336</v>
          </cell>
          <cell r="R67">
            <v>-365.92092952938128</v>
          </cell>
          <cell r="S67">
            <v>-394.73242950139502</v>
          </cell>
          <cell r="T67" t="e">
            <v>#REF!</v>
          </cell>
        </row>
        <row r="68">
          <cell r="B68">
            <v>49</v>
          </cell>
          <cell r="M68" t="str">
            <v>Cost of Sales</v>
          </cell>
          <cell r="N68">
            <v>-203.75200000000001</v>
          </cell>
          <cell r="O68">
            <v>-248.35700000000003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 t="e">
            <v>#REF!</v>
          </cell>
        </row>
        <row r="69">
          <cell r="L69">
            <v>12817</v>
          </cell>
          <cell r="M69" t="str">
            <v>Current NPAT (in iQ)</v>
          </cell>
          <cell r="N69" t="e">
            <v>#NAME?</v>
          </cell>
          <cell r="O69" t="e">
            <v>#NAME?</v>
          </cell>
          <cell r="P69" t="e">
            <v>#NAME?</v>
          </cell>
          <cell r="Q69" t="e">
            <v>#NAME?</v>
          </cell>
          <cell r="R69" t="e">
            <v>#NAME?</v>
          </cell>
          <cell r="S69" t="e">
            <v>#NAME?</v>
          </cell>
          <cell r="T69" t="e">
            <v>#NAME?</v>
          </cell>
        </row>
        <row r="70">
          <cell r="M70" t="str">
            <v>New NPAT (in this sheet)</v>
          </cell>
          <cell r="N70">
            <v>57.702000000000012</v>
          </cell>
          <cell r="O70">
            <v>42.46544782119431</v>
          </cell>
          <cell r="P70">
            <v>59.271867709446674</v>
          </cell>
          <cell r="Q70">
            <v>68.547243940888052</v>
          </cell>
          <cell r="R70">
            <v>81.377418521182662</v>
          </cell>
          <cell r="S70">
            <v>89.975869170227654</v>
          </cell>
          <cell r="T70">
            <v>96.944640127845247</v>
          </cell>
          <cell r="W70">
            <v>0.15648867818557166</v>
          </cell>
        </row>
        <row r="71">
          <cell r="L71">
            <v>12817</v>
          </cell>
          <cell r="M71" t="str">
            <v>Current NPAT (in iQ)</v>
          </cell>
          <cell r="N71" t="e">
            <v>#NAME?</v>
          </cell>
          <cell r="O71" t="e">
            <v>#NAME?</v>
          </cell>
          <cell r="P71" t="e">
            <v>#NAME?</v>
          </cell>
          <cell r="Q71" t="e">
            <v>#NAME?</v>
          </cell>
          <cell r="R71" t="e">
            <v>#NAME?</v>
          </cell>
          <cell r="S71" t="e">
            <v>#NAME?</v>
          </cell>
          <cell r="T71" t="e">
            <v>#NAME?</v>
          </cell>
        </row>
        <row r="72">
          <cell r="M72" t="str">
            <v>Change</v>
          </cell>
          <cell r="N72" t="e">
            <v>#NAME?</v>
          </cell>
          <cell r="O72" t="e">
            <v>#NAME?</v>
          </cell>
          <cell r="P72" t="e">
            <v>#NAME?</v>
          </cell>
          <cell r="Q72" t="e">
            <v>#NAME?</v>
          </cell>
          <cell r="R72" t="e">
            <v>#NAME?</v>
          </cell>
          <cell r="S72" t="e">
            <v>#NAME?</v>
          </cell>
          <cell r="T72" t="e">
            <v>#REF!</v>
          </cell>
          <cell r="W72">
            <v>0.1905482890952015</v>
          </cell>
        </row>
        <row r="73">
          <cell r="L73">
            <v>12817</v>
          </cell>
          <cell r="M73" t="str">
            <v>Current NPAT (in iQ)</v>
          </cell>
          <cell r="N73" t="e">
            <v>#NAME?</v>
          </cell>
          <cell r="O73" t="e">
            <v>#NAME?</v>
          </cell>
          <cell r="P73" t="e">
            <v>#NAME?</v>
          </cell>
          <cell r="Q73" t="e">
            <v>#NAME?</v>
          </cell>
          <cell r="R73" t="e">
            <v>#NAME?</v>
          </cell>
          <cell r="S73" t="e">
            <v>#NAME?</v>
          </cell>
          <cell r="T73" t="e">
            <v>#NAME?</v>
          </cell>
        </row>
        <row r="74">
          <cell r="L74">
            <v>12774</v>
          </cell>
          <cell r="M74" t="str">
            <v>Current EPS (in iQ)</v>
          </cell>
          <cell r="N74" t="e">
            <v>#NAME?</v>
          </cell>
          <cell r="O74" t="e">
            <v>#NAME?</v>
          </cell>
          <cell r="P74" t="e">
            <v>#NAME?</v>
          </cell>
          <cell r="Q74" t="e">
            <v>#NAME?</v>
          </cell>
          <cell r="R74" t="e">
            <v>#NAME?</v>
          </cell>
          <cell r="S74" t="e">
            <v>#NAME?</v>
          </cell>
          <cell r="T74" t="e">
            <v>#NAME?</v>
          </cell>
        </row>
        <row r="75">
          <cell r="M75" t="str">
            <v>New EPS (in this sheet)</v>
          </cell>
          <cell r="N75">
            <v>9.1410846622034807</v>
          </cell>
          <cell r="O75">
            <v>6.727327540673139</v>
          </cell>
          <cell r="P75">
            <v>9.3897874625999673</v>
          </cell>
          <cell r="Q75">
            <v>10.859182891065688</v>
          </cell>
          <cell r="R75">
            <v>12.891592348643465</v>
          </cell>
          <cell r="S75">
            <v>14.241542713615294</v>
          </cell>
          <cell r="T75">
            <v>15.332771214700799</v>
          </cell>
        </row>
        <row r="76">
          <cell r="L76">
            <v>12774</v>
          </cell>
          <cell r="M76" t="str">
            <v>Current EPS (in iQ)</v>
          </cell>
          <cell r="N76" t="e">
            <v>#NAME?</v>
          </cell>
          <cell r="O76" t="e">
            <v>#NAME?</v>
          </cell>
          <cell r="P76" t="e">
            <v>#NAME?</v>
          </cell>
          <cell r="Q76" t="e">
            <v>#NAME?</v>
          </cell>
          <cell r="R76" t="e">
            <v>#NAME?</v>
          </cell>
          <cell r="S76" t="e">
            <v>#NAME?</v>
          </cell>
          <cell r="T76" t="e">
            <v>#NAME?</v>
          </cell>
        </row>
        <row r="77">
          <cell r="M77" t="str">
            <v>Change</v>
          </cell>
          <cell r="N77" t="e">
            <v>#NAME?</v>
          </cell>
          <cell r="O77" t="e">
            <v>#NAME?</v>
          </cell>
          <cell r="P77" t="e">
            <v>#NAME?</v>
          </cell>
          <cell r="Q77" t="e">
            <v>#NAME?</v>
          </cell>
          <cell r="R77" t="e">
            <v>#NAME?</v>
          </cell>
          <cell r="S77" t="e">
            <v>#NAME?</v>
          </cell>
          <cell r="T77" t="e">
            <v>#REF!</v>
          </cell>
        </row>
        <row r="78">
          <cell r="L78">
            <v>12774</v>
          </cell>
          <cell r="M78" t="str">
            <v>Current EPS (in iQ)</v>
          </cell>
          <cell r="N78" t="e">
            <v>#NAME?</v>
          </cell>
          <cell r="O78" t="e">
            <v>#NAME?</v>
          </cell>
          <cell r="P78" t="e">
            <v>#NAME?</v>
          </cell>
          <cell r="Q78" t="e">
            <v>#NAME?</v>
          </cell>
          <cell r="R78" t="e">
            <v>#NAME?</v>
          </cell>
          <cell r="S78" t="e">
            <v>#NAME?</v>
          </cell>
          <cell r="T78" t="e">
            <v>#NAME?</v>
          </cell>
        </row>
        <row r="79">
          <cell r="L79">
            <v>12571</v>
          </cell>
          <cell r="M79" t="str">
            <v>Current DPS (in iQ)</v>
          </cell>
          <cell r="N79" t="e">
            <v>#NAME?</v>
          </cell>
          <cell r="O79" t="e">
            <v>#NAME?</v>
          </cell>
          <cell r="P79" t="e">
            <v>#NAME?</v>
          </cell>
          <cell r="Q79" t="e">
            <v>#NAME?</v>
          </cell>
          <cell r="R79" t="e">
            <v>#NAME?</v>
          </cell>
          <cell r="S79" t="e">
            <v>#NAME?</v>
          </cell>
          <cell r="T79" t="e">
            <v>#NAME?</v>
          </cell>
        </row>
        <row r="80">
          <cell r="M80" t="str">
            <v>New DPS (in this sheet)</v>
          </cell>
          <cell r="N80">
            <v>4</v>
          </cell>
          <cell r="O80">
            <v>2</v>
          </cell>
          <cell r="P80">
            <v>3.5</v>
          </cell>
          <cell r="Q80">
            <v>4</v>
          </cell>
          <cell r="R80">
            <v>5</v>
          </cell>
          <cell r="S80">
            <v>6</v>
          </cell>
          <cell r="T80">
            <v>6</v>
          </cell>
        </row>
        <row r="81">
          <cell r="L81">
            <v>12571</v>
          </cell>
          <cell r="M81" t="str">
            <v>Current DPS (in iQ)</v>
          </cell>
          <cell r="N81" t="e">
            <v>#NAME?</v>
          </cell>
          <cell r="O81" t="e">
            <v>#NAME?</v>
          </cell>
          <cell r="P81" t="e">
            <v>#NAME?</v>
          </cell>
          <cell r="Q81" t="e">
            <v>#NAME?</v>
          </cell>
          <cell r="R81" t="e">
            <v>#NAME?</v>
          </cell>
          <cell r="S81" t="e">
            <v>#NAME?</v>
          </cell>
          <cell r="T81" t="e">
            <v>#NAME?</v>
          </cell>
        </row>
        <row r="82">
          <cell r="M82" t="str">
            <v>Change</v>
          </cell>
          <cell r="N82" t="e">
            <v>#NAME?</v>
          </cell>
          <cell r="O82" t="e">
            <v>#NAME?</v>
          </cell>
          <cell r="P82" t="e">
            <v>#NAME?</v>
          </cell>
          <cell r="Q82" t="e">
            <v>#NAME?</v>
          </cell>
          <cell r="R82" t="e">
            <v>#NAME?</v>
          </cell>
          <cell r="S82" t="e">
            <v>#NAME?</v>
          </cell>
          <cell r="T82" t="e">
            <v>#REF!</v>
          </cell>
        </row>
        <row r="83">
          <cell r="L83">
            <v>12571</v>
          </cell>
          <cell r="M83" t="str">
            <v>Current DPS (in iQ)</v>
          </cell>
          <cell r="N83" t="e">
            <v>#NAME?</v>
          </cell>
          <cell r="O83" t="e">
            <v>#NAME?</v>
          </cell>
          <cell r="P83" t="e">
            <v>#NAME?</v>
          </cell>
          <cell r="Q83" t="e">
            <v>#NAME?</v>
          </cell>
          <cell r="R83" t="e">
            <v>#NAME?</v>
          </cell>
          <cell r="S83" t="e">
            <v>#NAME?</v>
          </cell>
          <cell r="T83" t="e">
            <v>#NAME?</v>
          </cell>
        </row>
        <row r="84">
          <cell r="M84" t="str">
            <v>Change</v>
          </cell>
          <cell r="N84" t="e">
            <v>#NAME?</v>
          </cell>
          <cell r="O84" t="e">
            <v>#NAME?</v>
          </cell>
          <cell r="P84" t="e">
            <v>#NAME?</v>
          </cell>
          <cell r="Q84" t="e">
            <v>#NAME?</v>
          </cell>
          <cell r="R84" t="e">
            <v>#NAME?</v>
          </cell>
          <cell r="S84" t="e">
            <v>#NAME?</v>
          </cell>
          <cell r="T84" t="e">
            <v>#REF!</v>
          </cell>
        </row>
        <row r="85">
          <cell r="M85" t="str">
            <v>Table 4: Emeco Holdings – Balance Sheet Analysis ($m)</v>
          </cell>
        </row>
        <row r="86">
          <cell r="M86" t="str">
            <v>Table 5: Emeco Holdings – Earnings Outlook ($m)</v>
          </cell>
        </row>
        <row r="87">
          <cell r="M87" t="str">
            <v>Table 6: Emeco Holdings – Cash Flow Analysis ($m)</v>
          </cell>
        </row>
        <row r="88">
          <cell r="M88" t="str">
            <v>Table 7: Emeco Holdings – Ratio Analysis</v>
          </cell>
        </row>
        <row r="89">
          <cell r="M89" t="str">
            <v>Table 6: Emeco Holdings – Cash Flow Analysis ($m)</v>
          </cell>
        </row>
        <row r="90">
          <cell r="M90" t="str">
            <v>Table 2: Emeco Holdings – Earnings Outlook ($m)</v>
          </cell>
        </row>
        <row r="91">
          <cell r="N91" t="str">
            <v>FY09A</v>
          </cell>
          <cell r="O91" t="str">
            <v>FY10A</v>
          </cell>
          <cell r="P91" t="str">
            <v>FY11E</v>
          </cell>
          <cell r="Q91" t="str">
            <v>FY12E</v>
          </cell>
          <cell r="R91" t="str">
            <v>FY13E</v>
          </cell>
          <cell r="S91" t="str">
            <v>FY14E</v>
          </cell>
          <cell r="T91" t="str">
            <v>FY15E</v>
          </cell>
        </row>
        <row r="92">
          <cell r="M92" t="str">
            <v>Sales Revenue</v>
          </cell>
          <cell r="N92">
            <v>528.24300000000005</v>
          </cell>
          <cell r="O92">
            <v>404.95900000000006</v>
          </cell>
          <cell r="P92">
            <v>493.42821610129579</v>
          </cell>
          <cell r="Q92">
            <v>518.37314762532083</v>
          </cell>
          <cell r="R92">
            <v>553.37785199813652</v>
          </cell>
          <cell r="S92">
            <v>582.06170638486321</v>
          </cell>
          <cell r="T92">
            <v>605.85398635823742</v>
          </cell>
        </row>
        <row r="93">
          <cell r="M93" t="str">
            <v>% chg</v>
          </cell>
          <cell r="N93">
            <v>-0.1451548694047966</v>
          </cell>
          <cell r="O93">
            <v>-0.23338501409389234</v>
          </cell>
          <cell r="P93">
            <v>0.21846462506400832</v>
          </cell>
          <cell r="Q93">
            <v>5.0554327276055355E-2</v>
          </cell>
          <cell r="R93">
            <v>6.7528004745564196E-2</v>
          </cell>
          <cell r="S93">
            <v>5.1834120724483457E-2</v>
          </cell>
          <cell r="T93">
            <v>4.0875872287057025E-2</v>
          </cell>
        </row>
        <row r="94">
          <cell r="M94" t="str">
            <v>EBITDA</v>
          </cell>
          <cell r="N94">
            <v>210.87700000000001</v>
          </cell>
          <cell r="O94">
            <v>182.42800000000003</v>
          </cell>
          <cell r="P94">
            <v>223.45339282567517</v>
          </cell>
          <cell r="Q94">
            <v>240.80819297008452</v>
          </cell>
          <cell r="R94">
            <v>265.703503285941</v>
          </cell>
          <cell r="S94">
            <v>280.84798017687785</v>
          </cell>
          <cell r="T94">
            <v>293.62508493000979</v>
          </cell>
        </row>
        <row r="95">
          <cell r="M95" t="str">
            <v>Depreciation</v>
          </cell>
          <cell r="N95">
            <v>-104.61800000000001</v>
          </cell>
          <cell r="O95">
            <v>-98.774999999999991</v>
          </cell>
          <cell r="P95">
            <v>-110.63946116833688</v>
          </cell>
          <cell r="Q95">
            <v>-119.51326153648506</v>
          </cell>
          <cell r="R95">
            <v>-129.5011646888286</v>
          </cell>
          <cell r="S95">
            <v>-134.99951741101137</v>
          </cell>
          <cell r="T95">
            <v>-139.39286625631513</v>
          </cell>
        </row>
        <row r="96">
          <cell r="M96" t="str">
            <v>EBIT</v>
          </cell>
          <cell r="N96">
            <v>105.92100000000001</v>
          </cell>
          <cell r="O96">
            <v>83.358000000000033</v>
          </cell>
          <cell r="P96">
            <v>112.54293165733829</v>
          </cell>
          <cell r="Q96">
            <v>121.03893143359946</v>
          </cell>
          <cell r="R96">
            <v>136.2023385971124</v>
          </cell>
          <cell r="S96">
            <v>145.84846276586649</v>
          </cell>
          <cell r="T96">
            <v>154.23221867369466</v>
          </cell>
        </row>
        <row r="97">
          <cell r="M97" t="str">
            <v>% chg</v>
          </cell>
          <cell r="N97">
            <v>-0.50377366446009209</v>
          </cell>
          <cell r="O97">
            <v>-0.21301724870422267</v>
          </cell>
          <cell r="P97">
            <v>0.35011554568653569</v>
          </cell>
          <cell r="Q97">
            <v>7.5491189461183605E-2</v>
          </cell>
          <cell r="R97">
            <v>0.12527710699289685</v>
          </cell>
          <cell r="S97">
            <v>7.0822015745907185E-2</v>
          </cell>
          <cell r="T97">
            <v>5.7482648420414284E-2</v>
          </cell>
        </row>
        <row r="98">
          <cell r="M98" t="str">
            <v>Net Interest (Expense)/Income</v>
          </cell>
          <cell r="N98">
            <v>-24.748999999999999</v>
          </cell>
          <cell r="O98">
            <v>-22.725000000000001</v>
          </cell>
          <cell r="P98">
            <v>-27.914538920433465</v>
          </cell>
          <cell r="Q98">
            <v>-23.168416091302841</v>
          </cell>
          <cell r="R98">
            <v>-19.983865514118381</v>
          </cell>
          <cell r="S98">
            <v>-17.411954210478001</v>
          </cell>
          <cell r="T98">
            <v>-15.821242136848049</v>
          </cell>
        </row>
        <row r="99">
          <cell r="M99" t="str">
            <v>Op. Profit before Tax</v>
          </cell>
          <cell r="N99">
            <v>81.172000000000011</v>
          </cell>
          <cell r="O99">
            <v>60.633000000000031</v>
          </cell>
          <cell r="P99">
            <v>84.628392736904829</v>
          </cell>
          <cell r="Q99">
            <v>97.870515342296613</v>
          </cell>
          <cell r="R99">
            <v>116.21847308299402</v>
          </cell>
          <cell r="S99">
            <v>128.43650855538849</v>
          </cell>
          <cell r="T99">
            <v>138.41097653684662</v>
          </cell>
        </row>
        <row r="100">
          <cell r="M100" t="str">
            <v>Tax Expense</v>
          </cell>
          <cell r="N100">
            <v>-23.47</v>
          </cell>
          <cell r="O100">
            <v>-18.167552178805721</v>
          </cell>
          <cell r="P100">
            <v>-25.356525027458154</v>
          </cell>
          <cell r="Q100">
            <v>-29.323271401408569</v>
          </cell>
          <cell r="R100">
            <v>-34.841054561811362</v>
          </cell>
          <cell r="S100">
            <v>-38.460639385160832</v>
          </cell>
          <cell r="T100">
            <v>-41.466336409001364</v>
          </cell>
        </row>
        <row r="101">
          <cell r="M101" t="str">
            <v>Op. Profit after tax</v>
          </cell>
          <cell r="N101">
            <v>57.702000000000012</v>
          </cell>
          <cell r="O101">
            <v>42.46544782119431</v>
          </cell>
          <cell r="P101">
            <v>59.271867709446674</v>
          </cell>
          <cell r="Q101">
            <v>68.547243940888052</v>
          </cell>
          <cell r="R101">
            <v>81.377418521182662</v>
          </cell>
          <cell r="S101">
            <v>89.975869170227654</v>
          </cell>
          <cell r="T101">
            <v>96.944640127845247</v>
          </cell>
        </row>
        <row r="102">
          <cell r="M102" t="str">
            <v>Significant items</v>
          </cell>
          <cell r="N102">
            <v>-30.228999999999999</v>
          </cell>
          <cell r="O102">
            <v>-26.1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</row>
        <row r="103">
          <cell r="M103" t="str">
            <v>Reported NPAT</v>
          </cell>
          <cell r="N103">
            <v>27.473000000000013</v>
          </cell>
          <cell r="O103">
            <v>16.365447821194309</v>
          </cell>
          <cell r="P103">
            <v>59.271867709446674</v>
          </cell>
          <cell r="Q103">
            <v>68.547243940888052</v>
          </cell>
          <cell r="R103">
            <v>81.377418521182662</v>
          </cell>
          <cell r="S103">
            <v>89.975869170227654</v>
          </cell>
          <cell r="T103">
            <v>96.944640127845247</v>
          </cell>
        </row>
        <row r="104">
          <cell r="M104" t="str">
            <v>Normalised NPAT</v>
          </cell>
          <cell r="N104">
            <v>58.040000000000013</v>
          </cell>
          <cell r="O104">
            <v>42.760447821194312</v>
          </cell>
          <cell r="P104">
            <v>59.542867709446675</v>
          </cell>
          <cell r="Q104">
            <v>68.803243940888052</v>
          </cell>
          <cell r="R104">
            <v>81.377418521182662</v>
          </cell>
          <cell r="S104">
            <v>89.975869170227654</v>
          </cell>
          <cell r="T104">
            <v>96.944640127845247</v>
          </cell>
        </row>
        <row r="105">
          <cell r="M105" t="str">
            <v>% chg</v>
          </cell>
          <cell r="N105">
            <v>1.3062862592386537</v>
          </cell>
          <cell r="O105">
            <v>-0.26325899687811338</v>
          </cell>
          <cell r="P105">
            <v>0.39247530705078626</v>
          </cell>
          <cell r="Q105">
            <v>0.15552452523162885</v>
          </cell>
          <cell r="R105">
            <v>0.18275554843166475</v>
          </cell>
          <cell r="S105">
            <v>0.10566138377573142</v>
          </cell>
          <cell r="T105">
            <v>7.7451554754455199E-2</v>
          </cell>
        </row>
        <row r="106">
          <cell r="M106" t="str">
            <v>Source: Company data, Merrill Lynch estimates</v>
          </cell>
          <cell r="N106">
            <v>42.793000000000035</v>
          </cell>
          <cell r="O106">
            <v>56.257000000000062</v>
          </cell>
          <cell r="P106">
            <v>71.776089087012764</v>
          </cell>
          <cell r="Q106">
            <v>85.156738601901253</v>
          </cell>
          <cell r="R106">
            <v>94.896140062362434</v>
          </cell>
          <cell r="S106">
            <v>104.52882461852852</v>
          </cell>
          <cell r="T106" t="e">
            <v>#REF!</v>
          </cell>
        </row>
        <row r="107">
          <cell r="M107" t="str">
            <v>% chg</v>
          </cell>
          <cell r="N107">
            <v>0.48349857865908685</v>
          </cell>
          <cell r="O107">
            <v>0.31463089757670692</v>
          </cell>
          <cell r="P107">
            <v>0.27586058778485678</v>
          </cell>
          <cell r="Q107">
            <v>0.1864221035875524</v>
          </cell>
          <cell r="R107">
            <v>0.11437029670654542</v>
          </cell>
          <cell r="S107">
            <v>0.10150765405037365</v>
          </cell>
          <cell r="T107" t="e">
            <v>#REF!</v>
          </cell>
        </row>
        <row r="108">
          <cell r="M108" t="str">
            <v>Source: Company data, Merrill Lynch estimates</v>
          </cell>
        </row>
        <row r="110">
          <cell r="M110" t="str">
            <v>Table 2: Emeco Holdings – Earnings Outlook ($m)</v>
          </cell>
        </row>
        <row r="111">
          <cell r="N111" t="str">
            <v>FY09A</v>
          </cell>
          <cell r="O111" t="str">
            <v>FY10A</v>
          </cell>
          <cell r="P111" t="str">
            <v>FY11E</v>
          </cell>
          <cell r="Q111" t="str">
            <v>FY12E</v>
          </cell>
          <cell r="R111" t="str">
            <v>FY13E</v>
          </cell>
        </row>
        <row r="112">
          <cell r="M112" t="str">
            <v>Sales</v>
          </cell>
          <cell r="N112">
            <v>528.24300000000005</v>
          </cell>
          <cell r="O112">
            <v>404.95900000000006</v>
          </cell>
          <cell r="P112">
            <v>493.42821610129579</v>
          </cell>
          <cell r="Q112">
            <v>518.37314762532083</v>
          </cell>
          <cell r="R112">
            <v>553.37785199813652</v>
          </cell>
        </row>
        <row r="113">
          <cell r="M113" t="str">
            <v>% chg</v>
          </cell>
          <cell r="N113">
            <v>-0.1451548694047966</v>
          </cell>
          <cell r="O113">
            <v>-0.23338501409389234</v>
          </cell>
          <cell r="P113">
            <v>0.21846462506400832</v>
          </cell>
          <cell r="Q113">
            <v>5.0554327276055355E-2</v>
          </cell>
          <cell r="R113">
            <v>6.7528004745564196E-2</v>
          </cell>
        </row>
        <row r="114">
          <cell r="M114" t="str">
            <v>EBIT</v>
          </cell>
          <cell r="N114">
            <v>105.92100000000001</v>
          </cell>
          <cell r="O114">
            <v>83.358000000000033</v>
          </cell>
          <cell r="P114">
            <v>112.54293165733829</v>
          </cell>
          <cell r="Q114">
            <v>121.03893143359946</v>
          </cell>
          <cell r="R114">
            <v>136.2023385971124</v>
          </cell>
        </row>
        <row r="115">
          <cell r="M115" t="str">
            <v>% chg</v>
          </cell>
          <cell r="N115">
            <v>-0.50377366446009209</v>
          </cell>
          <cell r="O115">
            <v>-0.21301724870422267</v>
          </cell>
          <cell r="P115">
            <v>0.35011554568653569</v>
          </cell>
          <cell r="Q115">
            <v>7.5491189461183605E-2</v>
          </cell>
          <cell r="R115">
            <v>0.12527710699289685</v>
          </cell>
        </row>
        <row r="116">
          <cell r="M116" t="str">
            <v>NPAT</v>
          </cell>
          <cell r="N116">
            <v>27.473000000000013</v>
          </cell>
          <cell r="O116">
            <v>16.365447821194309</v>
          </cell>
          <cell r="P116">
            <v>59.271867709446674</v>
          </cell>
          <cell r="Q116">
            <v>68.547243940888052</v>
          </cell>
          <cell r="R116">
            <v>81.377418521182662</v>
          </cell>
        </row>
        <row r="117">
          <cell r="M117" t="str">
            <v>% chg</v>
          </cell>
          <cell r="N117">
            <v>-0.5931673799404702</v>
          </cell>
          <cell r="O117">
            <v>-0.40430794521186986</v>
          </cell>
          <cell r="P117">
            <v>2.6217687628862674</v>
          </cell>
          <cell r="Q117">
            <v>0.15648867818557166</v>
          </cell>
          <cell r="R117">
            <v>0.18717272705170696</v>
          </cell>
        </row>
        <row r="118">
          <cell r="M118" t="str">
            <v>EPS</v>
          </cell>
          <cell r="N118">
            <v>4.3522411515149608</v>
          </cell>
          <cell r="O118">
            <v>2.5925954744794053</v>
          </cell>
          <cell r="P118">
            <v>9.3897874625999673</v>
          </cell>
          <cell r="Q118">
            <v>10.859182891065688</v>
          </cell>
          <cell r="R118">
            <v>12.891592348643465</v>
          </cell>
        </row>
        <row r="119">
          <cell r="M119" t="str">
            <v>DPS</v>
          </cell>
          <cell r="N119">
            <v>4</v>
          </cell>
          <cell r="O119">
            <v>2</v>
          </cell>
          <cell r="P119">
            <v>3.5</v>
          </cell>
          <cell r="Q119">
            <v>4</v>
          </cell>
          <cell r="R119">
            <v>5</v>
          </cell>
        </row>
        <row r="120">
          <cell r="M120" t="str">
            <v>Source: Company data, Merrill Lynch estimates</v>
          </cell>
          <cell r="N120">
            <v>2.6690408372119601</v>
          </cell>
          <cell r="O120">
            <v>7.8616511782803213</v>
          </cell>
          <cell r="P120">
            <v>11.329821080554726</v>
          </cell>
          <cell r="Q120">
            <v>13.488559507379104</v>
          </cell>
          <cell r="R120">
            <v>15.020332057014956</v>
          </cell>
        </row>
        <row r="121">
          <cell r="M121" t="str">
            <v>DPS</v>
          </cell>
          <cell r="N121">
            <v>2</v>
          </cell>
          <cell r="O121">
            <v>5</v>
          </cell>
          <cell r="P121">
            <v>5</v>
          </cell>
          <cell r="Q121">
            <v>6</v>
          </cell>
          <cell r="R121">
            <v>7</v>
          </cell>
        </row>
        <row r="122">
          <cell r="M122" t="str">
            <v>Source: Company data, Merrill Lynch estimates</v>
          </cell>
        </row>
        <row r="125">
          <cell r="N125" t="str">
            <v>FY10A</v>
          </cell>
          <cell r="O125" t="str">
            <v>FY11E</v>
          </cell>
          <cell r="P125" t="str">
            <v>FY12E</v>
          </cell>
          <cell r="Q125" t="str">
            <v>FY13E</v>
          </cell>
        </row>
        <row r="126">
          <cell r="M126" t="str">
            <v>Sales Revenue</v>
          </cell>
          <cell r="N126">
            <v>404.95900000000006</v>
          </cell>
          <cell r="O126">
            <v>493.42821610129579</v>
          </cell>
          <cell r="P126">
            <v>518.37314762532083</v>
          </cell>
          <cell r="Q126">
            <v>553.37785199813652</v>
          </cell>
        </row>
        <row r="127">
          <cell r="M127" t="str">
            <v>% chg</v>
          </cell>
          <cell r="N127">
            <v>-0.23338501409389234</v>
          </cell>
          <cell r="O127">
            <v>0.21846462506400832</v>
          </cell>
          <cell r="P127">
            <v>5.0554327276055355E-2</v>
          </cell>
          <cell r="Q127">
            <v>6.7528004745564196E-2</v>
          </cell>
        </row>
        <row r="128">
          <cell r="M128" t="str">
            <v>EBITDA Margin</v>
          </cell>
          <cell r="N128">
            <v>0.45048511083838116</v>
          </cell>
          <cell r="O128">
            <v>0.45285896820258542</v>
          </cell>
          <cell r="P128">
            <v>0.46454603999692562</v>
          </cell>
          <cell r="Q128">
            <v>0.48014842358894361</v>
          </cell>
        </row>
        <row r="129">
          <cell r="M129" t="str">
            <v>EBITDA</v>
          </cell>
          <cell r="N129">
            <v>182.42800000000003</v>
          </cell>
          <cell r="O129">
            <v>223.45339282567517</v>
          </cell>
          <cell r="P129">
            <v>240.80819297008452</v>
          </cell>
          <cell r="Q129">
            <v>265.703503285941</v>
          </cell>
        </row>
        <row r="130">
          <cell r="M130" t="str">
            <v>EBIT Margin</v>
          </cell>
          <cell r="N130">
            <v>0.20584306065552321</v>
          </cell>
          <cell r="O130">
            <v>0.22808369684767757</v>
          </cell>
          <cell r="P130">
            <v>0.23349768788773406</v>
          </cell>
          <cell r="Q130">
            <v>0.24612900228173762</v>
          </cell>
        </row>
        <row r="131">
          <cell r="M131" t="str">
            <v>EBIT</v>
          </cell>
          <cell r="N131">
            <v>83.358000000000033</v>
          </cell>
          <cell r="O131">
            <v>112.54293165733829</v>
          </cell>
          <cell r="P131">
            <v>121.03893143359946</v>
          </cell>
          <cell r="Q131">
            <v>136.2023385971124</v>
          </cell>
        </row>
        <row r="132">
          <cell r="M132" t="str">
            <v>NPAT</v>
          </cell>
          <cell r="N132">
            <v>42.46544782119431</v>
          </cell>
          <cell r="O132">
            <v>59.271867709446674</v>
          </cell>
          <cell r="P132">
            <v>68.547243940888052</v>
          </cell>
          <cell r="Q132">
            <v>81.377418521182662</v>
          </cell>
        </row>
        <row r="133">
          <cell r="M133" t="str">
            <v>EPS</v>
          </cell>
          <cell r="N133">
            <v>6.727327540673139</v>
          </cell>
          <cell r="O133">
            <v>9.3897874625999673</v>
          </cell>
          <cell r="P133">
            <v>10.859182891065688</v>
          </cell>
          <cell r="Q133">
            <v>12.891592348643465</v>
          </cell>
        </row>
        <row r="134">
          <cell r="M134" t="str">
            <v>EPS growth</v>
          </cell>
          <cell r="N134">
            <v>-0.26405587637873373</v>
          </cell>
          <cell r="O134">
            <v>0.39576784478378779</v>
          </cell>
          <cell r="P134">
            <v>0.15648867818557149</v>
          </cell>
          <cell r="Q134">
            <v>0.18716044088822997</v>
          </cell>
        </row>
        <row r="135">
          <cell r="M135" t="str">
            <v>P/E</v>
          </cell>
          <cell r="N135">
            <v>16.276894403902237</v>
          </cell>
          <cell r="O135">
            <v>11.661605806962557</v>
          </cell>
          <cell r="P135">
            <v>10.083631622973245</v>
          </cell>
          <cell r="Q135">
            <v>8.4939080478698408</v>
          </cell>
        </row>
        <row r="136">
          <cell r="M136" t="str">
            <v>Yield</v>
          </cell>
          <cell r="N136">
            <v>1.8264840182648404E-2</v>
          </cell>
          <cell r="O136">
            <v>3.1963470319634708E-2</v>
          </cell>
          <cell r="P136">
            <v>3.6529680365296809E-2</v>
          </cell>
          <cell r="Q136">
            <v>4.5662100456621009E-2</v>
          </cell>
        </row>
        <row r="137">
          <cell r="M137" t="str">
            <v>P/E</v>
          </cell>
          <cell r="N137">
            <v>11.035347059768913</v>
          </cell>
          <cell r="O137">
            <v>8.6497394180563489</v>
          </cell>
          <cell r="P137">
            <v>7.2654162919611789</v>
          </cell>
          <cell r="Q137">
            <v>6.5244895803905338</v>
          </cell>
        </row>
        <row r="138">
          <cell r="M138" t="str">
            <v>Yield</v>
          </cell>
          <cell r="N138">
            <v>5.1020408163265307E-2</v>
          </cell>
          <cell r="O138">
            <v>5.1020408163265307E-2</v>
          </cell>
          <cell r="P138">
            <v>6.1224489795918366E-2</v>
          </cell>
          <cell r="Q138">
            <v>7.1428571428571438E-2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1">
          <cell r="K1" t="str">
            <v>Second Half</v>
          </cell>
          <cell r="T1" t="str">
            <v>Second Half</v>
          </cell>
          <cell r="U1" t="str">
            <v>Full Year</v>
          </cell>
          <cell r="W1" t="str">
            <v>Second Half</v>
          </cell>
          <cell r="X1" t="str">
            <v>Full Year</v>
          </cell>
          <cell r="Z1" t="str">
            <v>Second Half</v>
          </cell>
          <cell r="AA1" t="str">
            <v>Full Year</v>
          </cell>
          <cell r="AC1" t="str">
            <v>Second Half</v>
          </cell>
          <cell r="AD1" t="str">
            <v>Full Year</v>
          </cell>
          <cell r="AF1" t="str">
            <v>Second Half</v>
          </cell>
          <cell r="AG1" t="str">
            <v>Full Year</v>
          </cell>
          <cell r="AI1" t="str">
            <v>Second Half</v>
          </cell>
          <cell r="AJ1" t="str">
            <v>Full Year</v>
          </cell>
          <cell r="AL1" t="str">
            <v>Second Half</v>
          </cell>
          <cell r="AM1" t="str">
            <v>Full Year</v>
          </cell>
          <cell r="AR1" t="str">
            <v>Second Half</v>
          </cell>
          <cell r="AS1" t="str">
            <v>Full Year</v>
          </cell>
          <cell r="AU1" t="str">
            <v>Second Half</v>
          </cell>
          <cell r="AV1" t="str">
            <v>Full Year</v>
          </cell>
          <cell r="AX1" t="str">
            <v>Second Half</v>
          </cell>
          <cell r="AY1" t="str">
            <v>Full Year</v>
          </cell>
          <cell r="BA1" t="str">
            <v>Second Half</v>
          </cell>
          <cell r="BB1" t="str">
            <v>Full Year</v>
          </cell>
          <cell r="BD1" t="str">
            <v>Second Half</v>
          </cell>
          <cell r="BE1" t="str">
            <v>Full Year</v>
          </cell>
          <cell r="BJ1" t="str">
            <v>Second Half</v>
          </cell>
          <cell r="BK1" t="str">
            <v>Full Year</v>
          </cell>
          <cell r="BM1" t="str">
            <v>Second Half</v>
          </cell>
          <cell r="BN1" t="str">
            <v>Full Year</v>
          </cell>
          <cell r="BP1" t="str">
            <v>Second Half</v>
          </cell>
          <cell r="BQ1" t="str">
            <v>Full Year</v>
          </cell>
          <cell r="BS1" t="str">
            <v>Second Half</v>
          </cell>
          <cell r="BT1" t="str">
            <v>Full Year</v>
          </cell>
          <cell r="BV1" t="str">
            <v>Second Half</v>
          </cell>
          <cell r="BW1" t="str">
            <v>Full Year</v>
          </cell>
          <cell r="BY1" t="str">
            <v>Second Half</v>
          </cell>
          <cell r="BZ1" t="str">
            <v>Full Year</v>
          </cell>
        </row>
        <row r="2">
          <cell r="T2" t="str">
            <v>N</v>
          </cell>
          <cell r="U2" t="str">
            <v>N</v>
          </cell>
          <cell r="W2" t="str">
            <v>N</v>
          </cell>
          <cell r="X2" t="str">
            <v>N</v>
          </cell>
          <cell r="Z2" t="str">
            <v>N</v>
          </cell>
          <cell r="AA2" t="str">
            <v>N</v>
          </cell>
          <cell r="AC2" t="str">
            <v>N</v>
          </cell>
          <cell r="AD2" t="str">
            <v>N</v>
          </cell>
          <cell r="AF2" t="str">
            <v>N</v>
          </cell>
          <cell r="AG2" t="str">
            <v>N</v>
          </cell>
          <cell r="AI2" t="str">
            <v>N</v>
          </cell>
          <cell r="AJ2" t="str">
            <v>N</v>
          </cell>
          <cell r="AL2" t="str">
            <v>N</v>
          </cell>
          <cell r="AM2" t="str">
            <v>N</v>
          </cell>
          <cell r="AR2" t="str">
            <v>N</v>
          </cell>
          <cell r="AS2" t="str">
            <v>A</v>
          </cell>
          <cell r="AU2" t="str">
            <v>A</v>
          </cell>
          <cell r="AV2" t="str">
            <v>A</v>
          </cell>
          <cell r="AX2" t="str">
            <v>E</v>
          </cell>
          <cell r="AY2" t="str">
            <v>E</v>
          </cell>
          <cell r="BA2" t="str">
            <v>E</v>
          </cell>
          <cell r="BB2" t="str">
            <v>E</v>
          </cell>
          <cell r="BD2" t="str">
            <v>E</v>
          </cell>
          <cell r="BE2" t="str">
            <v>E</v>
          </cell>
          <cell r="BJ2" t="str">
            <v>E</v>
          </cell>
          <cell r="BK2" t="str">
            <v>E</v>
          </cell>
          <cell r="BM2" t="str">
            <v>N</v>
          </cell>
          <cell r="BN2" t="str">
            <v>N</v>
          </cell>
          <cell r="BP2" t="str">
            <v>N</v>
          </cell>
          <cell r="BQ2" t="str">
            <v>N</v>
          </cell>
          <cell r="BS2" t="str">
            <v>N</v>
          </cell>
          <cell r="BT2" t="str">
            <v>N</v>
          </cell>
          <cell r="BV2" t="str">
            <v>N</v>
          </cell>
          <cell r="BW2" t="str">
            <v>N</v>
          </cell>
          <cell r="BY2" t="str">
            <v>N</v>
          </cell>
          <cell r="BZ2" t="str">
            <v>N</v>
          </cell>
        </row>
        <row r="3">
          <cell r="T3">
            <v>35976</v>
          </cell>
          <cell r="U3">
            <v>35976</v>
          </cell>
          <cell r="W3">
            <v>36341</v>
          </cell>
          <cell r="X3">
            <v>36341</v>
          </cell>
          <cell r="Z3">
            <v>36707</v>
          </cell>
          <cell r="AA3">
            <v>36707</v>
          </cell>
          <cell r="AC3">
            <v>37072</v>
          </cell>
          <cell r="AD3">
            <v>37072</v>
          </cell>
          <cell r="AF3">
            <v>37437</v>
          </cell>
          <cell r="AG3">
            <v>37437</v>
          </cell>
          <cell r="AI3">
            <v>37802</v>
          </cell>
          <cell r="AJ3">
            <v>37802</v>
          </cell>
          <cell r="AL3">
            <v>38168</v>
          </cell>
          <cell r="AM3">
            <v>38168</v>
          </cell>
          <cell r="AR3">
            <v>38533</v>
          </cell>
          <cell r="AS3">
            <v>38533</v>
          </cell>
          <cell r="AU3">
            <v>38898</v>
          </cell>
          <cell r="AV3">
            <v>38898</v>
          </cell>
          <cell r="AX3">
            <v>39263</v>
          </cell>
          <cell r="AY3">
            <v>39263</v>
          </cell>
          <cell r="BA3">
            <v>39629</v>
          </cell>
          <cell r="BB3">
            <v>39629</v>
          </cell>
          <cell r="BD3">
            <v>39994</v>
          </cell>
          <cell r="BE3">
            <v>39994</v>
          </cell>
          <cell r="BJ3">
            <v>40359</v>
          </cell>
          <cell r="BK3">
            <v>40359</v>
          </cell>
          <cell r="BM3">
            <v>40724</v>
          </cell>
          <cell r="BN3">
            <v>40724</v>
          </cell>
          <cell r="BP3">
            <v>41090</v>
          </cell>
          <cell r="BQ3">
            <v>41090</v>
          </cell>
          <cell r="BS3">
            <v>41455</v>
          </cell>
          <cell r="BT3">
            <v>41455</v>
          </cell>
          <cell r="BV3">
            <v>41820</v>
          </cell>
          <cell r="BW3">
            <v>41820</v>
          </cell>
          <cell r="BY3">
            <v>42185</v>
          </cell>
          <cell r="BZ3">
            <v>42185</v>
          </cell>
        </row>
        <row r="6">
          <cell r="AS6" t="str">
            <v>Rental</v>
          </cell>
          <cell r="AU6" t="str">
            <v>Rental</v>
          </cell>
          <cell r="AV6" t="str">
            <v>Rental</v>
          </cell>
          <cell r="AX6" t="str">
            <v>Rental</v>
          </cell>
          <cell r="AY6" t="str">
            <v>Rental</v>
          </cell>
          <cell r="BA6" t="str">
            <v>Rental</v>
          </cell>
          <cell r="BB6" t="str">
            <v>Rental</v>
          </cell>
          <cell r="BD6" t="str">
            <v>Rental</v>
          </cell>
          <cell r="BE6" t="str">
            <v>Rental</v>
          </cell>
        </row>
        <row r="7">
          <cell r="AS7" t="str">
            <v>Sales</v>
          </cell>
          <cell r="AU7" t="str">
            <v>Sales</v>
          </cell>
          <cell r="AV7" t="str">
            <v>Sales</v>
          </cell>
          <cell r="AX7" t="str">
            <v>Sales</v>
          </cell>
          <cell r="AY7" t="str">
            <v>Sales</v>
          </cell>
          <cell r="BA7" t="str">
            <v>Sales</v>
          </cell>
          <cell r="BB7" t="str">
            <v>Sales</v>
          </cell>
          <cell r="BD7" t="str">
            <v>Sales</v>
          </cell>
          <cell r="BE7" t="str">
            <v>Sales</v>
          </cell>
        </row>
        <row r="8">
          <cell r="AS8" t="str">
            <v>Parts</v>
          </cell>
          <cell r="AU8" t="str">
            <v>Parts</v>
          </cell>
          <cell r="AV8" t="str">
            <v>Parts</v>
          </cell>
          <cell r="AX8" t="str">
            <v>Parts</v>
          </cell>
          <cell r="AY8" t="str">
            <v>Parts</v>
          </cell>
          <cell r="BA8" t="str">
            <v>Parts</v>
          </cell>
          <cell r="BB8" t="str">
            <v>Parts</v>
          </cell>
          <cell r="BD8" t="str">
            <v>Parts</v>
          </cell>
          <cell r="BE8" t="str">
            <v>Parts</v>
          </cell>
        </row>
        <row r="9">
          <cell r="AS9" t="str">
            <v>Maintenance</v>
          </cell>
          <cell r="AU9" t="str">
            <v>Maintenance</v>
          </cell>
          <cell r="AV9" t="str">
            <v>Maintenance</v>
          </cell>
          <cell r="AX9" t="str">
            <v>Maintenance</v>
          </cell>
          <cell r="AY9" t="str">
            <v>Maintenance</v>
          </cell>
          <cell r="BA9" t="str">
            <v>Maintenance</v>
          </cell>
          <cell r="BB9" t="str">
            <v>Maintenance</v>
          </cell>
        </row>
        <row r="10">
          <cell r="B10" t="str">
            <v>Australia Rental</v>
          </cell>
          <cell r="BF10" t="str">
            <v>Australia Rental</v>
          </cell>
          <cell r="BG10" t="str">
            <v>Australia Rental</v>
          </cell>
          <cell r="BH10" t="str">
            <v>Australia Rental</v>
          </cell>
          <cell r="BI10" t="str">
            <v>Australia Rental</v>
          </cell>
          <cell r="BJ10" t="str">
            <v>Australia Rental</v>
          </cell>
          <cell r="BK10" t="str">
            <v>Australia Rental</v>
          </cell>
          <cell r="BL10" t="str">
            <v>Australia Rental</v>
          </cell>
          <cell r="BM10" t="str">
            <v>Australia Rental</v>
          </cell>
          <cell r="BN10" t="str">
            <v>Australia Rental</v>
          </cell>
          <cell r="BO10" t="str">
            <v>Australia Rental</v>
          </cell>
          <cell r="BP10" t="str">
            <v>Australia Rental</v>
          </cell>
          <cell r="BQ10" t="str">
            <v>Australia Rental</v>
          </cell>
          <cell r="BR10" t="str">
            <v>Australia Rental</v>
          </cell>
          <cell r="BS10" t="str">
            <v>Australia Rental</v>
          </cell>
          <cell r="BT10" t="str">
            <v>Australia Rental</v>
          </cell>
          <cell r="BU10" t="str">
            <v>Australia Rental</v>
          </cell>
          <cell r="BV10" t="str">
            <v>Australia Rental</v>
          </cell>
          <cell r="BW10" t="str">
            <v>Australia Rental</v>
          </cell>
          <cell r="BX10" t="str">
            <v>Australia Rental</v>
          </cell>
          <cell r="BY10" t="str">
            <v>Australia Rental</v>
          </cell>
          <cell r="BZ10" t="str">
            <v>Australia Rental</v>
          </cell>
        </row>
        <row r="11">
          <cell r="BJ11" t="str">
            <v>Australia Sales</v>
          </cell>
          <cell r="BK11" t="str">
            <v>Australia Sales</v>
          </cell>
          <cell r="BM11" t="str">
            <v>Australia Sales</v>
          </cell>
          <cell r="BN11" t="str">
            <v>Australia Sales</v>
          </cell>
          <cell r="BP11" t="str">
            <v>Australia Sales</v>
          </cell>
          <cell r="BQ11" t="str">
            <v>Australia Sales</v>
          </cell>
          <cell r="BS11" t="str">
            <v>Australia Sales</v>
          </cell>
          <cell r="BT11" t="str">
            <v>Australia Sales</v>
          </cell>
          <cell r="BV11" t="str">
            <v>Australia Sales</v>
          </cell>
          <cell r="BW11" t="str">
            <v>Australia Sales</v>
          </cell>
          <cell r="BY11" t="str">
            <v>Australia Sales</v>
          </cell>
          <cell r="BZ11" t="str">
            <v>Australia Sales</v>
          </cell>
        </row>
        <row r="12">
          <cell r="BJ12" t="str">
            <v>Australia Parts</v>
          </cell>
          <cell r="BK12" t="str">
            <v>Australia Parts</v>
          </cell>
          <cell r="BM12" t="str">
            <v>Australia Parts</v>
          </cell>
          <cell r="BN12" t="str">
            <v>Australia Parts</v>
          </cell>
          <cell r="BP12" t="str">
            <v>Australia Parts</v>
          </cell>
          <cell r="BQ12" t="str">
            <v>Australia Parts</v>
          </cell>
          <cell r="BS12" t="str">
            <v>Australia Parts</v>
          </cell>
          <cell r="BT12" t="str">
            <v>Australia Parts</v>
          </cell>
          <cell r="BV12" t="str">
            <v>Australia Parts</v>
          </cell>
          <cell r="BW12" t="str">
            <v>Australia Parts</v>
          </cell>
          <cell r="BY12" t="str">
            <v>Australia Parts</v>
          </cell>
          <cell r="BZ12" t="str">
            <v>Australia Parts</v>
          </cell>
        </row>
        <row r="13">
          <cell r="BJ13" t="str">
            <v>Indonesia</v>
          </cell>
          <cell r="BK13" t="str">
            <v>Indonesia</v>
          </cell>
          <cell r="BM13" t="str">
            <v>Indonesia</v>
          </cell>
          <cell r="BN13" t="str">
            <v>Indonesia</v>
          </cell>
          <cell r="BP13" t="str">
            <v>Indonesia</v>
          </cell>
          <cell r="BQ13" t="str">
            <v>Indonesia</v>
          </cell>
          <cell r="BS13" t="str">
            <v>Indonesia</v>
          </cell>
          <cell r="BT13" t="str">
            <v>Indonesia</v>
          </cell>
          <cell r="BV13" t="str">
            <v>Indonesia</v>
          </cell>
          <cell r="BW13" t="str">
            <v>Indonesia</v>
          </cell>
          <cell r="BY13" t="str">
            <v>Indonesia</v>
          </cell>
          <cell r="BZ13" t="str">
            <v>Indonesia</v>
          </cell>
        </row>
        <row r="14">
          <cell r="BJ14" t="str">
            <v>Canada</v>
          </cell>
          <cell r="BK14" t="str">
            <v>Canada</v>
          </cell>
          <cell r="BM14" t="str">
            <v>Canada</v>
          </cell>
          <cell r="BN14" t="str">
            <v>Canada</v>
          </cell>
          <cell r="BP14" t="str">
            <v>Canada</v>
          </cell>
          <cell r="BQ14" t="str">
            <v>Canada</v>
          </cell>
          <cell r="BS14" t="str">
            <v>Canada</v>
          </cell>
          <cell r="BT14" t="str">
            <v>Canada</v>
          </cell>
          <cell r="BV14" t="str">
            <v>Canada</v>
          </cell>
          <cell r="BW14" t="str">
            <v>Canada</v>
          </cell>
          <cell r="BY14" t="str">
            <v>Canada</v>
          </cell>
          <cell r="BZ14" t="str">
            <v>Canada</v>
          </cell>
        </row>
        <row r="15">
          <cell r="BJ15" t="str">
            <v>USA</v>
          </cell>
          <cell r="BK15" t="str">
            <v>USA</v>
          </cell>
          <cell r="BM15" t="str">
            <v>USA</v>
          </cell>
          <cell r="BN15" t="str">
            <v>USA</v>
          </cell>
          <cell r="BP15" t="str">
            <v>USA</v>
          </cell>
          <cell r="BQ15" t="str">
            <v>USA</v>
          </cell>
          <cell r="BS15" t="str">
            <v>USA</v>
          </cell>
          <cell r="BT15" t="str">
            <v>USA</v>
          </cell>
          <cell r="BV15" t="str">
            <v>USA</v>
          </cell>
          <cell r="BW15" t="str">
            <v>USA</v>
          </cell>
          <cell r="BY15" t="str">
            <v>USA</v>
          </cell>
          <cell r="BZ15" t="str">
            <v>USA</v>
          </cell>
        </row>
        <row r="16">
          <cell r="BJ16" t="str">
            <v>Europe</v>
          </cell>
          <cell r="BK16" t="str">
            <v>Europe</v>
          </cell>
          <cell r="BM16" t="str">
            <v>Europe</v>
          </cell>
          <cell r="BN16" t="str">
            <v>Europe</v>
          </cell>
          <cell r="BP16" t="str">
            <v>Europe</v>
          </cell>
          <cell r="BQ16" t="str">
            <v>Europe</v>
          </cell>
          <cell r="BS16" t="str">
            <v>Europe</v>
          </cell>
          <cell r="BT16" t="str">
            <v>Europe</v>
          </cell>
          <cell r="BV16" t="str">
            <v>Europe</v>
          </cell>
          <cell r="BW16" t="str">
            <v>Europe</v>
          </cell>
          <cell r="BY16" t="str">
            <v>Europe</v>
          </cell>
          <cell r="BZ16" t="str">
            <v>Europe</v>
          </cell>
        </row>
        <row r="20">
          <cell r="AS20">
            <v>151.947</v>
          </cell>
          <cell r="AU20">
            <v>209.55999999999997</v>
          </cell>
          <cell r="AV20">
            <v>382.65499999999997</v>
          </cell>
          <cell r="AX20">
            <v>302.95700000000005</v>
          </cell>
          <cell r="AY20">
            <v>554.40200000000004</v>
          </cell>
          <cell r="BA20">
            <v>329.64500000000004</v>
          </cell>
          <cell r="BB20">
            <v>617.85699999999997</v>
          </cell>
          <cell r="BD20">
            <v>218.44199999999998</v>
          </cell>
          <cell r="BE20">
            <v>528.24300000000005</v>
          </cell>
          <cell r="BJ20">
            <v>233.43700000000001</v>
          </cell>
          <cell r="BK20">
            <v>441.94200000000001</v>
          </cell>
          <cell r="BM20">
            <v>248.08262600976806</v>
          </cell>
          <cell r="BN20">
            <v>493.42821610129573</v>
          </cell>
          <cell r="BP20">
            <v>261.41342441985597</v>
          </cell>
          <cell r="BQ20">
            <v>518.37314762532094</v>
          </cell>
          <cell r="BS20">
            <v>280.38076827722529</v>
          </cell>
          <cell r="BT20">
            <v>553.37785199813652</v>
          </cell>
          <cell r="BV20">
            <v>294.19273163310754</v>
          </cell>
          <cell r="BW20">
            <v>582.06170638486333</v>
          </cell>
          <cell r="BY20">
            <v>305.81152112627944</v>
          </cell>
          <cell r="BZ20">
            <v>605.85398635823742</v>
          </cell>
        </row>
        <row r="21">
          <cell r="AS21">
            <v>77.341999999999999</v>
          </cell>
          <cell r="AU21">
            <v>122.70699999999999</v>
          </cell>
          <cell r="AV21">
            <v>220.11199999999999</v>
          </cell>
          <cell r="AX21">
            <v>155.86000000000001</v>
          </cell>
          <cell r="AY21">
            <v>318.90800000000002</v>
          </cell>
          <cell r="BA21">
            <v>197.07300000000004</v>
          </cell>
          <cell r="BB21">
            <v>368.93400000000003</v>
          </cell>
          <cell r="BD21">
            <v>169.34399999999999</v>
          </cell>
          <cell r="BE21">
            <v>391.279</v>
          </cell>
        </row>
        <row r="22">
          <cell r="AS22">
            <v>60.293999999999997</v>
          </cell>
          <cell r="AU22">
            <v>70.115999999999985</v>
          </cell>
          <cell r="AV22">
            <v>130.25399999999999</v>
          </cell>
          <cell r="AX22">
            <v>122.85000000000001</v>
          </cell>
          <cell r="AY22">
            <v>190.98400000000001</v>
          </cell>
          <cell r="BA22">
            <v>112.211</v>
          </cell>
          <cell r="BB22">
            <v>210.589</v>
          </cell>
          <cell r="BD22">
            <v>38.346999999999994</v>
          </cell>
          <cell r="BE22">
            <v>110.22499999999999</v>
          </cell>
        </row>
        <row r="23">
          <cell r="AS23">
            <v>12.05</v>
          </cell>
          <cell r="AU23">
            <v>14.315999999999999</v>
          </cell>
          <cell r="AV23">
            <v>26.651</v>
          </cell>
          <cell r="AX23">
            <v>21.723000000000003</v>
          </cell>
          <cell r="AY23">
            <v>38.99</v>
          </cell>
          <cell r="BA23">
            <v>18.718999999999998</v>
          </cell>
          <cell r="BB23">
            <v>34.948999999999998</v>
          </cell>
          <cell r="BD23">
            <v>10.751000000000001</v>
          </cell>
          <cell r="BE23">
            <v>26.739000000000001</v>
          </cell>
        </row>
        <row r="24">
          <cell r="AS24">
            <v>2.2610000000000001</v>
          </cell>
          <cell r="AU24">
            <v>2.4209999999999998</v>
          </cell>
          <cell r="AV24">
            <v>5.6379999999999999</v>
          </cell>
          <cell r="AX24">
            <v>2.5239999999999996</v>
          </cell>
          <cell r="AY24">
            <v>5.52</v>
          </cell>
          <cell r="BA24">
            <v>1.6419999999999997</v>
          </cell>
          <cell r="BB24">
            <v>3.3849999999999998</v>
          </cell>
        </row>
        <row r="25">
          <cell r="BJ25">
            <v>132.31900000000002</v>
          </cell>
          <cell r="BK25">
            <v>250.721</v>
          </cell>
          <cell r="BM25">
            <v>149.40257839345654</v>
          </cell>
          <cell r="BN25">
            <v>300.09455487664445</v>
          </cell>
          <cell r="BP25">
            <v>161.15043404062112</v>
          </cell>
          <cell r="BQ25">
            <v>319.66669854110484</v>
          </cell>
          <cell r="BS25">
            <v>175.94835255566286</v>
          </cell>
          <cell r="BT25">
            <v>344.013968880481</v>
          </cell>
          <cell r="BV25">
            <v>189.751417701674</v>
          </cell>
          <cell r="BW25">
            <v>372.39613927865548</v>
          </cell>
          <cell r="BY25">
            <v>201.71079709126826</v>
          </cell>
          <cell r="BZ25">
            <v>397.5254400243673</v>
          </cell>
        </row>
        <row r="26">
          <cell r="BJ26">
            <v>32.996000000000002</v>
          </cell>
          <cell r="BK26">
            <v>52.807000000000002</v>
          </cell>
          <cell r="BM26">
            <v>36.645458557091558</v>
          </cell>
          <cell r="BN26">
            <v>72.083529058297401</v>
          </cell>
          <cell r="BP26">
            <v>34.969877402604773</v>
          </cell>
          <cell r="BQ26">
            <v>69.753059927365939</v>
          </cell>
          <cell r="BS26">
            <v>34.190655292056121</v>
          </cell>
          <cell r="BT26">
            <v>70.170699946195967</v>
          </cell>
          <cell r="BV26">
            <v>34.419735631893793</v>
          </cell>
          <cell r="BW26">
            <v>68.350791370407592</v>
          </cell>
          <cell r="BY26">
            <v>34.563996947016548</v>
          </cell>
          <cell r="BZ26">
            <v>69.162673563370674</v>
          </cell>
        </row>
        <row r="27">
          <cell r="BJ27">
            <v>6.7709999999999999</v>
          </cell>
          <cell r="BK27">
            <v>14.07</v>
          </cell>
          <cell r="BM27">
            <v>9.0866574742341371</v>
          </cell>
          <cell r="BN27">
            <v>17.58660761268159</v>
          </cell>
          <cell r="BP27">
            <v>9.3351745821447913</v>
          </cell>
          <cell r="BQ27">
            <v>18.034278877970486</v>
          </cell>
          <cell r="BS27">
            <v>10.076356707281734</v>
          </cell>
          <cell r="BT27">
            <v>19.967452032912682</v>
          </cell>
          <cell r="BV27">
            <v>10.443112266150354</v>
          </cell>
          <cell r="BW27">
            <v>20.624806087140026</v>
          </cell>
          <cell r="BY27">
            <v>10.823223592884318</v>
          </cell>
          <cell r="BZ27">
            <v>21.466721932937975</v>
          </cell>
        </row>
        <row r="28">
          <cell r="BJ28">
            <v>23.86</v>
          </cell>
          <cell r="BK28">
            <v>49.311</v>
          </cell>
          <cell r="BM28">
            <v>28.138939770004399</v>
          </cell>
          <cell r="BN28">
            <v>55.865261620899389</v>
          </cell>
          <cell r="BP28">
            <v>30.691478901486583</v>
          </cell>
          <cell r="BQ28">
            <v>59.973549698281928</v>
          </cell>
          <cell r="BS28">
            <v>33.060721430398104</v>
          </cell>
          <cell r="BT28">
            <v>64.824780909945275</v>
          </cell>
          <cell r="BV28">
            <v>32.557907336204195</v>
          </cell>
          <cell r="BW28">
            <v>66.595225924744042</v>
          </cell>
          <cell r="BY28">
            <v>32.521092912035073</v>
          </cell>
          <cell r="BZ28">
            <v>64.90490127207552</v>
          </cell>
        </row>
        <row r="29">
          <cell r="BJ29">
            <v>19.398</v>
          </cell>
          <cell r="BK29">
            <v>37.823</v>
          </cell>
          <cell r="BM29">
            <v>24.808991814981443</v>
          </cell>
          <cell r="BN29">
            <v>47.798262932772914</v>
          </cell>
          <cell r="BP29">
            <v>25.266459492998695</v>
          </cell>
          <cell r="BQ29">
            <v>50.945560580597686</v>
          </cell>
          <cell r="BS29">
            <v>27.104682291826474</v>
          </cell>
          <cell r="BT29">
            <v>54.400950228601623</v>
          </cell>
          <cell r="BV29">
            <v>27.020558697185205</v>
          </cell>
          <cell r="BW29">
            <v>54.09474372391611</v>
          </cell>
          <cell r="BY29">
            <v>26.192410583075201</v>
          </cell>
          <cell r="BZ29">
            <v>52.794249565485984</v>
          </cell>
        </row>
        <row r="30">
          <cell r="BJ30">
            <v>11.403</v>
          </cell>
          <cell r="BK30">
            <v>23.869</v>
          </cell>
        </row>
        <row r="31">
          <cell r="BJ31">
            <v>6.6899999999999995</v>
          </cell>
          <cell r="BK31">
            <v>13.340999999999999</v>
          </cell>
        </row>
        <row r="35">
          <cell r="AS35">
            <v>1</v>
          </cell>
          <cell r="AU35">
            <v>1</v>
          </cell>
          <cell r="AV35">
            <v>1</v>
          </cell>
          <cell r="AX35">
            <v>1</v>
          </cell>
          <cell r="AY35">
            <v>0.99999999999999989</v>
          </cell>
          <cell r="BA35">
            <v>1</v>
          </cell>
          <cell r="BB35">
            <v>1</v>
          </cell>
          <cell r="BD35">
            <v>1</v>
          </cell>
          <cell r="BE35">
            <v>1</v>
          </cell>
          <cell r="BJ35">
            <v>0.99999999999999989</v>
          </cell>
          <cell r="BK35">
            <v>1</v>
          </cell>
          <cell r="BM35">
            <v>0.99999999999999989</v>
          </cell>
          <cell r="BN35">
            <v>1</v>
          </cell>
          <cell r="BP35">
            <v>1</v>
          </cell>
          <cell r="BQ35">
            <v>1</v>
          </cell>
          <cell r="BS35">
            <v>1.0000000000000002</v>
          </cell>
          <cell r="BT35">
            <v>1</v>
          </cell>
          <cell r="BV35">
            <v>1</v>
          </cell>
          <cell r="BW35">
            <v>1</v>
          </cell>
          <cell r="BY35">
            <v>1</v>
          </cell>
          <cell r="BZ35">
            <v>1</v>
          </cell>
        </row>
        <row r="36">
          <cell r="AS36">
            <v>0.50900642987357436</v>
          </cell>
          <cell r="AU36">
            <v>0.58554590570719611</v>
          </cell>
          <cell r="AV36">
            <v>0.57522311220289823</v>
          </cell>
          <cell r="AX36">
            <v>0.51446244846628397</v>
          </cell>
          <cell r="AY36">
            <v>0.57522880509089069</v>
          </cell>
          <cell r="BA36">
            <v>0.59783403358158027</v>
          </cell>
          <cell r="BB36">
            <v>0.59711875077890197</v>
          </cell>
          <cell r="BD36">
            <v>0.77523553162853298</v>
          </cell>
          <cell r="BE36">
            <v>0.74071781358200672</v>
          </cell>
        </row>
        <row r="37">
          <cell r="AS37">
            <v>0.39680941380876222</v>
          </cell>
          <cell r="AU37">
            <v>0.33458675319717501</v>
          </cell>
          <cell r="AV37">
            <v>0.34039539532999702</v>
          </cell>
          <cell r="AX37">
            <v>0.40550309119776068</v>
          </cell>
          <cell r="AY37">
            <v>0.34448649175147272</v>
          </cell>
          <cell r="BA37">
            <v>0.34039952069650681</v>
          </cell>
          <cell r="BB37">
            <v>0.34083776666769172</v>
          </cell>
          <cell r="BD37">
            <v>0.17554774265022294</v>
          </cell>
          <cell r="BE37">
            <v>0.20866343709239873</v>
          </cell>
        </row>
        <row r="38">
          <cell r="AS38">
            <v>7.9303967830888403E-2</v>
          </cell>
          <cell r="AU38">
            <v>6.8314563848062615E-2</v>
          </cell>
          <cell r="AV38">
            <v>6.9647593785524819E-2</v>
          </cell>
          <cell r="AX38">
            <v>7.1703245014969122E-2</v>
          </cell>
          <cell r="AY38">
            <v>7.0328029119664071E-2</v>
          </cell>
          <cell r="BA38">
            <v>5.678532967282985E-2</v>
          </cell>
          <cell r="BB38">
            <v>5.656486856991181E-2</v>
          </cell>
          <cell r="BD38">
            <v>4.9216725721244095E-2</v>
          </cell>
          <cell r="BE38">
            <v>5.0618749325594466E-2</v>
          </cell>
        </row>
        <row r="39">
          <cell r="AS39">
            <v>1.4880188486774994E-2</v>
          </cell>
          <cell r="AU39">
            <v>1.155277724756633E-2</v>
          </cell>
          <cell r="AV39">
            <v>1.4733898681580013E-2</v>
          </cell>
          <cell r="AX39">
            <v>8.3312153209861434E-3</v>
          </cell>
          <cell r="AY39">
            <v>9.9566740379724451E-3</v>
          </cell>
          <cell r="BA39">
            <v>4.9811160490831029E-3</v>
          </cell>
          <cell r="BB39">
            <v>5.4786139834945629E-3</v>
          </cell>
        </row>
        <row r="40">
          <cell r="BJ40">
            <v>0.56682959428025548</v>
          </cell>
          <cell r="BK40">
            <v>0.56731652569794222</v>
          </cell>
          <cell r="BM40">
            <v>0.60222910727966061</v>
          </cell>
          <cell r="BN40">
            <v>0.60818280163986027</v>
          </cell>
          <cell r="BP40">
            <v>0.61645814249308595</v>
          </cell>
          <cell r="BQ40">
            <v>0.61667295076048056</v>
          </cell>
          <cell r="BS40">
            <v>0.62753359881550319</v>
          </cell>
          <cell r="BT40">
            <v>0.62166197587835414</v>
          </cell>
          <cell r="BV40">
            <v>0.64499016222574812</v>
          </cell>
          <cell r="BW40">
            <v>0.63978807606426613</v>
          </cell>
          <cell r="BY40">
            <v>0.6595918830931663</v>
          </cell>
          <cell r="BZ40">
            <v>0.65614066916333391</v>
          </cell>
        </row>
        <row r="41">
          <cell r="BJ41">
            <v>0.14134862939465467</v>
          </cell>
          <cell r="BK41">
            <v>0.11948853016911722</v>
          </cell>
          <cell r="BM41">
            <v>0.14771473176702293</v>
          </cell>
          <cell r="BN41">
            <v>0.14608716466976301</v>
          </cell>
          <cell r="BP41">
            <v>0.13377230905494614</v>
          </cell>
          <cell r="BQ41">
            <v>0.13456148384017627</v>
          </cell>
          <cell r="BS41">
            <v>0.12194365363265663</v>
          </cell>
          <cell r="BT41">
            <v>0.12680431588077412</v>
          </cell>
          <cell r="BV41">
            <v>0.11699723321111548</v>
          </cell>
          <cell r="BW41">
            <v>0.11742877193369866</v>
          </cell>
          <cell r="BY41">
            <v>0.11302385475772823</v>
          </cell>
          <cell r="BZ41">
            <v>0.11415733018297786</v>
          </cell>
        </row>
        <row r="42">
          <cell r="BJ42">
            <v>2.9005684617262901E-2</v>
          </cell>
          <cell r="BK42">
            <v>3.1836756859497398E-2</v>
          </cell>
          <cell r="BM42">
            <v>3.6627544703095642E-2</v>
          </cell>
          <cell r="BN42">
            <v>3.5641673983782152E-2</v>
          </cell>
          <cell r="BP42">
            <v>3.5710387111380984E-2</v>
          </cell>
          <cell r="BQ42">
            <v>3.4790148680706019E-2</v>
          </cell>
          <cell r="BS42">
            <v>3.5938116473519251E-2</v>
          </cell>
          <cell r="BT42">
            <v>3.6082853624904238E-2</v>
          </cell>
          <cell r="BV42">
            <v>3.5497519630002708E-2</v>
          </cell>
          <cell r="BW42">
            <v>3.543405426073977E-2</v>
          </cell>
          <cell r="BY42">
            <v>3.53918111162825E-2</v>
          </cell>
          <cell r="BZ42">
            <v>3.5432170813917606E-2</v>
          </cell>
        </row>
        <row r="43">
          <cell r="BJ43">
            <v>0.1022117316449406</v>
          </cell>
          <cell r="BK43">
            <v>0.11157798987197415</v>
          </cell>
          <cell r="BM43">
            <v>0.11342567685048791</v>
          </cell>
          <cell r="BN43">
            <v>0.11321861984769599</v>
          </cell>
          <cell r="BP43">
            <v>0.11740590204806396</v>
          </cell>
          <cell r="BQ43">
            <v>0.11569571065365193</v>
          </cell>
          <cell r="BS43">
            <v>0.1179136558956478</v>
          </cell>
          <cell r="BT43">
            <v>0.11714379365902698</v>
          </cell>
          <cell r="BV43">
            <v>0.11066863261872724</v>
          </cell>
          <cell r="BW43">
            <v>0.11441265624286029</v>
          </cell>
          <cell r="BY43">
            <v>0.10634358310721087</v>
          </cell>
          <cell r="BZ43">
            <v>0.10712960999434225</v>
          </cell>
        </row>
        <row r="44">
          <cell r="BJ44">
            <v>8.3097366741347767E-2</v>
          </cell>
          <cell r="BK44">
            <v>8.5583628620950258E-2</v>
          </cell>
          <cell r="BM44">
            <v>0.10000293939973293</v>
          </cell>
          <cell r="BN44">
            <v>9.6869739858898588E-2</v>
          </cell>
          <cell r="BP44">
            <v>9.6653259292522969E-2</v>
          </cell>
          <cell r="BQ44">
            <v>9.8279706064985123E-2</v>
          </cell>
          <cell r="BS44">
            <v>9.6670975182673147E-2</v>
          </cell>
          <cell r="BT44">
            <v>9.8307060956940528E-2</v>
          </cell>
          <cell r="BV44">
            <v>9.184645231440651E-2</v>
          </cell>
          <cell r="BW44">
            <v>9.293644149843501E-2</v>
          </cell>
          <cell r="BY44">
            <v>8.5648867925611966E-2</v>
          </cell>
          <cell r="BZ44">
            <v>8.7140219845428399E-2</v>
          </cell>
        </row>
        <row r="45">
          <cell r="BJ45">
            <v>4.8848297399298309E-2</v>
          </cell>
          <cell r="BK45">
            <v>5.4009349643165845E-2</v>
          </cell>
        </row>
        <row r="46">
          <cell r="BJ46">
            <v>2.8658695922240258E-2</v>
          </cell>
          <cell r="BK46">
            <v>3.0187219137352863E-2</v>
          </cell>
        </row>
        <row r="50">
          <cell r="AS50">
            <v>7.681</v>
          </cell>
          <cell r="AU50">
            <v>2.9959999999999996</v>
          </cell>
          <cell r="AV50">
            <v>9.3879999999999999</v>
          </cell>
          <cell r="AX50">
            <v>7.902000000000001</v>
          </cell>
          <cell r="AY50">
            <v>15.38</v>
          </cell>
          <cell r="BA50">
            <v>36.614000000000004</v>
          </cell>
          <cell r="BB50">
            <v>42.445</v>
          </cell>
          <cell r="BD50">
            <v>6.6999999999999993</v>
          </cell>
          <cell r="BE50">
            <v>18.306000000000001</v>
          </cell>
          <cell r="BJ50">
            <v>33.170999999999999</v>
          </cell>
          <cell r="BK50">
            <v>50.136999999999993</v>
          </cell>
          <cell r="BM50">
            <v>19.754723989047019</v>
          </cell>
          <cell r="BN50">
            <v>39.509447978094038</v>
          </cell>
          <cell r="BP50">
            <v>23.454738440547573</v>
          </cell>
          <cell r="BQ50">
            <v>46.909476881095145</v>
          </cell>
          <cell r="BS50">
            <v>22.705676590782669</v>
          </cell>
          <cell r="BT50">
            <v>45.411353181565339</v>
          </cell>
          <cell r="BV50">
            <v>23.792587647391397</v>
          </cell>
          <cell r="BW50">
            <v>47.585175294782793</v>
          </cell>
          <cell r="BY50">
            <v>23.635088778389534</v>
          </cell>
          <cell r="BZ50">
            <v>47.270177556779068</v>
          </cell>
        </row>
        <row r="51">
          <cell r="AS51">
            <v>0</v>
          </cell>
          <cell r="AU51">
            <v>0</v>
          </cell>
          <cell r="AV51">
            <v>0</v>
          </cell>
          <cell r="AX51">
            <v>0</v>
          </cell>
          <cell r="AY51">
            <v>0</v>
          </cell>
          <cell r="BA51">
            <v>0</v>
          </cell>
          <cell r="BB51">
            <v>1.2350000000000001</v>
          </cell>
          <cell r="BD51">
            <v>0.78099999999999992</v>
          </cell>
          <cell r="BE51">
            <v>1.323</v>
          </cell>
        </row>
        <row r="52">
          <cell r="AS52">
            <v>5.5430000000000001</v>
          </cell>
          <cell r="AU52">
            <v>1.734</v>
          </cell>
          <cell r="AV52">
            <v>6.7949999999999999</v>
          </cell>
          <cell r="AX52">
            <v>6.1000000000000005</v>
          </cell>
          <cell r="AY52">
            <v>11.227</v>
          </cell>
          <cell r="BA52">
            <v>31.515000000000001</v>
          </cell>
          <cell r="BB52">
            <v>33.795999999999999</v>
          </cell>
          <cell r="BD52">
            <v>4.923</v>
          </cell>
          <cell r="BE52">
            <v>14.866</v>
          </cell>
        </row>
        <row r="53">
          <cell r="AS53">
            <v>2.0030000000000001</v>
          </cell>
          <cell r="AU53">
            <v>1.2329999999999999</v>
          </cell>
          <cell r="AV53">
            <v>2.468</v>
          </cell>
          <cell r="AX53">
            <v>1.7770000000000001</v>
          </cell>
          <cell r="AY53">
            <v>4.1020000000000003</v>
          </cell>
          <cell r="BA53">
            <v>5.5019999999999998</v>
          </cell>
          <cell r="BB53">
            <v>7.4139999999999997</v>
          </cell>
          <cell r="BD53">
            <v>0.996</v>
          </cell>
          <cell r="BE53">
            <v>2.117</v>
          </cell>
        </row>
        <row r="54">
          <cell r="AS54">
            <v>0.13500000000000001</v>
          </cell>
          <cell r="AU54">
            <v>2.8999999999999998E-2</v>
          </cell>
          <cell r="AV54">
            <v>0.125</v>
          </cell>
          <cell r="AX54">
            <v>2.4999999999999998E-2</v>
          </cell>
          <cell r="AY54">
            <v>5.0999999999999997E-2</v>
          </cell>
          <cell r="BA54">
            <v>-0.40300000000000002</v>
          </cell>
          <cell r="BB54">
            <v>0</v>
          </cell>
        </row>
        <row r="55">
          <cell r="BJ55">
            <v>4.3800000000000008</v>
          </cell>
          <cell r="BK55">
            <v>5.1660000000000004</v>
          </cell>
          <cell r="BM55">
            <v>3.2912605320962189</v>
          </cell>
          <cell r="BN55">
            <v>6.5825210641924379</v>
          </cell>
          <cell r="BP55">
            <v>3.3996073730415599</v>
          </cell>
          <cell r="BQ55">
            <v>6.7992147460831198</v>
          </cell>
          <cell r="BS55">
            <v>3.7157398834356758</v>
          </cell>
          <cell r="BT55">
            <v>7.4314797668713517</v>
          </cell>
          <cell r="BV55">
            <v>3.9913382411191454</v>
          </cell>
          <cell r="BW55">
            <v>7.9826764822382907</v>
          </cell>
          <cell r="BY55">
            <v>4.2771990644218159</v>
          </cell>
          <cell r="BZ55">
            <v>8.5543981288436317</v>
          </cell>
        </row>
        <row r="56">
          <cell r="BJ56">
            <v>4.7269999999999985</v>
          </cell>
          <cell r="BK56">
            <v>18.402999999999999</v>
          </cell>
          <cell r="BM56">
            <v>10.157028565194349</v>
          </cell>
          <cell r="BN56">
            <v>20.314057130388697</v>
          </cell>
          <cell r="BP56">
            <v>10.991481564324836</v>
          </cell>
          <cell r="BQ56">
            <v>21.982963128649672</v>
          </cell>
          <cell r="BS56">
            <v>10.472395400998144</v>
          </cell>
          <cell r="BT56">
            <v>20.944790801996287</v>
          </cell>
          <cell r="BV56">
            <v>10.485652673990961</v>
          </cell>
          <cell r="BW56">
            <v>20.971305347981922</v>
          </cell>
          <cell r="BY56">
            <v>10.466079418677275</v>
          </cell>
          <cell r="BZ56">
            <v>20.93215883735455</v>
          </cell>
        </row>
        <row r="57">
          <cell r="BJ57">
            <v>0.91199999999999992</v>
          </cell>
          <cell r="BK57">
            <v>3.0569999999999999</v>
          </cell>
          <cell r="BM57">
            <v>1.4870987774345246</v>
          </cell>
          <cell r="BN57">
            <v>2.9741975548690491</v>
          </cell>
          <cell r="BP57">
            <v>1.7420571144701786</v>
          </cell>
          <cell r="BQ57">
            <v>3.4841142289403573</v>
          </cell>
          <cell r="BS57">
            <v>1.8086077289703029</v>
          </cell>
          <cell r="BT57">
            <v>3.6172154579406057</v>
          </cell>
          <cell r="BV57">
            <v>1.93022183094208</v>
          </cell>
          <cell r="BW57">
            <v>3.86044366188416</v>
          </cell>
          <cell r="BY57">
            <v>1.976711413511858</v>
          </cell>
          <cell r="BZ57">
            <v>3.9534228270237159</v>
          </cell>
        </row>
        <row r="58">
          <cell r="BJ58">
            <v>8.5419999999999998</v>
          </cell>
          <cell r="BK58">
            <v>8.6929999999999996</v>
          </cell>
          <cell r="BM58">
            <v>2.7379052237538222</v>
          </cell>
          <cell r="BN58">
            <v>5.4758104475076443</v>
          </cell>
          <cell r="BP58">
            <v>4.112797592064223</v>
          </cell>
          <cell r="BQ58">
            <v>8.225595184128446</v>
          </cell>
          <cell r="BS58">
            <v>3.8112414151419429</v>
          </cell>
          <cell r="BT58">
            <v>7.6224828302838858</v>
          </cell>
          <cell r="BV58">
            <v>4.2411112387761634</v>
          </cell>
          <cell r="BW58">
            <v>8.4822224775523267</v>
          </cell>
          <cell r="BY58">
            <v>3.9747074938863487</v>
          </cell>
          <cell r="BZ58">
            <v>7.9494149877726974</v>
          </cell>
        </row>
        <row r="59">
          <cell r="BJ59">
            <v>6.2350000000000003</v>
          </cell>
          <cell r="BK59">
            <v>6.2350000000000003</v>
          </cell>
          <cell r="BM59">
            <v>2.0814308905681052</v>
          </cell>
          <cell r="BN59">
            <v>4.1628617811362103</v>
          </cell>
          <cell r="BP59">
            <v>3.2087947966467758</v>
          </cell>
          <cell r="BQ59">
            <v>6.4175895932935516</v>
          </cell>
          <cell r="BS59">
            <v>2.8976921622366052</v>
          </cell>
          <cell r="BT59">
            <v>5.7953843244732104</v>
          </cell>
          <cell r="BV59">
            <v>3.1442636625630489</v>
          </cell>
          <cell r="BW59">
            <v>6.2885273251260978</v>
          </cell>
          <cell r="BY59">
            <v>2.9403913878922388</v>
          </cell>
          <cell r="BZ59">
            <v>5.8807827757844775</v>
          </cell>
        </row>
        <row r="60">
          <cell r="BJ60">
            <v>6.1020000000000003</v>
          </cell>
          <cell r="BK60">
            <v>6.2350000000000003</v>
          </cell>
        </row>
        <row r="61">
          <cell r="BJ61">
            <v>2.2729999999999997</v>
          </cell>
          <cell r="BK61">
            <v>2.3479999999999999</v>
          </cell>
        </row>
        <row r="65">
          <cell r="AS65">
            <v>159.62799999999999</v>
          </cell>
          <cell r="AU65">
            <v>212.55599999999995</v>
          </cell>
          <cell r="AV65">
            <v>392.04299999999995</v>
          </cell>
          <cell r="AX65">
            <v>310.85900000000004</v>
          </cell>
          <cell r="AY65">
            <v>569.78200000000004</v>
          </cell>
          <cell r="BA65">
            <v>366.25900000000001</v>
          </cell>
          <cell r="BB65">
            <v>660.30200000000013</v>
          </cell>
          <cell r="BD65">
            <v>225.142</v>
          </cell>
          <cell r="BE65">
            <v>546.54899999999998</v>
          </cell>
          <cell r="BJ65">
            <v>266.60800000000006</v>
          </cell>
          <cell r="BK65">
            <v>492.07900000000001</v>
          </cell>
          <cell r="BM65">
            <v>267.83734999881511</v>
          </cell>
          <cell r="BN65">
            <v>532.93766407938983</v>
          </cell>
          <cell r="BP65">
            <v>284.86816286040357</v>
          </cell>
          <cell r="BQ65">
            <v>565.28262450641603</v>
          </cell>
          <cell r="BS65">
            <v>303.08644486800796</v>
          </cell>
          <cell r="BT65">
            <v>598.78920517970187</v>
          </cell>
          <cell r="BV65">
            <v>317.98531928049897</v>
          </cell>
          <cell r="BW65">
            <v>629.64688167964596</v>
          </cell>
          <cell r="BY65">
            <v>329.44660990466895</v>
          </cell>
          <cell r="BZ65">
            <v>653.12416391501654</v>
          </cell>
        </row>
        <row r="66">
          <cell r="AS66">
            <v>77.341999999999999</v>
          </cell>
          <cell r="AU66">
            <v>122.70699999999999</v>
          </cell>
          <cell r="AV66">
            <v>220.11199999999999</v>
          </cell>
          <cell r="AX66">
            <v>155.86000000000001</v>
          </cell>
          <cell r="AY66">
            <v>318.90800000000002</v>
          </cell>
          <cell r="BA66">
            <v>197.07300000000004</v>
          </cell>
          <cell r="BB66">
            <v>370.16900000000004</v>
          </cell>
          <cell r="BD66">
            <v>170.125</v>
          </cell>
          <cell r="BE66">
            <v>392.60199999999998</v>
          </cell>
        </row>
        <row r="67">
          <cell r="AS67">
            <v>65.837000000000003</v>
          </cell>
          <cell r="AU67">
            <v>71.84999999999998</v>
          </cell>
          <cell r="AV67">
            <v>137.04899999999998</v>
          </cell>
          <cell r="AX67">
            <v>128.95000000000002</v>
          </cell>
          <cell r="AY67">
            <v>202.21100000000001</v>
          </cell>
          <cell r="BA67">
            <v>143.726</v>
          </cell>
          <cell r="BB67">
            <v>244.38499999999999</v>
          </cell>
          <cell r="BD67">
            <v>43.269999999999996</v>
          </cell>
          <cell r="BE67">
            <v>125.09099999999999</v>
          </cell>
        </row>
        <row r="68">
          <cell r="AS68">
            <v>14.053000000000001</v>
          </cell>
          <cell r="AU68">
            <v>15.548999999999999</v>
          </cell>
          <cell r="AV68">
            <v>29.119</v>
          </cell>
          <cell r="AX68">
            <v>23.500000000000004</v>
          </cell>
          <cell r="AY68">
            <v>43.091999999999999</v>
          </cell>
          <cell r="BA68">
            <v>24.220999999999997</v>
          </cell>
          <cell r="BB68">
            <v>42.363</v>
          </cell>
          <cell r="BD68">
            <v>11.747000000000002</v>
          </cell>
          <cell r="BE68">
            <v>28.856000000000002</v>
          </cell>
        </row>
        <row r="69">
          <cell r="B69" t="str">
            <v>Maintenance</v>
          </cell>
          <cell r="AS69">
            <v>2.3959999999999999</v>
          </cell>
          <cell r="AT69">
            <v>3.3130000000000002</v>
          </cell>
          <cell r="AU69">
            <v>2.4499999999999997</v>
          </cell>
          <cell r="AV69">
            <v>5.7629999999999999</v>
          </cell>
          <cell r="AW69">
            <v>3.0219999999999998</v>
          </cell>
          <cell r="AX69">
            <v>2.5489999999999995</v>
          </cell>
          <cell r="AY69">
            <v>5.5709999999999997</v>
          </cell>
          <cell r="AZ69">
            <v>2.1459999999999999</v>
          </cell>
          <cell r="BA69">
            <v>1.2389999999999997</v>
          </cell>
          <cell r="BB69">
            <v>3.3849999999999998</v>
          </cell>
        </row>
        <row r="70">
          <cell r="BJ70">
            <v>136.69900000000001</v>
          </cell>
          <cell r="BK70">
            <v>255.887</v>
          </cell>
          <cell r="BM70">
            <v>152.69383892555277</v>
          </cell>
          <cell r="BN70">
            <v>306.67707594083691</v>
          </cell>
          <cell r="BP70">
            <v>164.55004141366268</v>
          </cell>
          <cell r="BQ70">
            <v>326.46591328718796</v>
          </cell>
          <cell r="BS70">
            <v>179.66409243909854</v>
          </cell>
          <cell r="BT70">
            <v>351.44544864735235</v>
          </cell>
          <cell r="BV70">
            <v>193.74275594279314</v>
          </cell>
          <cell r="BW70">
            <v>380.37881576089376</v>
          </cell>
          <cell r="BY70">
            <v>205.98799615569007</v>
          </cell>
          <cell r="BZ70">
            <v>406.07983815321091</v>
          </cell>
        </row>
        <row r="71">
          <cell r="BJ71">
            <v>37.722999999999999</v>
          </cell>
          <cell r="BK71">
            <v>71.210000000000008</v>
          </cell>
          <cell r="BM71">
            <v>46.80248712228591</v>
          </cell>
          <cell r="BN71">
            <v>92.397586188686091</v>
          </cell>
          <cell r="BP71">
            <v>45.961358966929609</v>
          </cell>
          <cell r="BQ71">
            <v>91.736023056015611</v>
          </cell>
          <cell r="BS71">
            <v>44.663050693054267</v>
          </cell>
          <cell r="BT71">
            <v>91.115490748192258</v>
          </cell>
          <cell r="BV71">
            <v>44.905388305884756</v>
          </cell>
          <cell r="BW71">
            <v>89.322096718389517</v>
          </cell>
          <cell r="BY71">
            <v>45.030076365693823</v>
          </cell>
          <cell r="BZ71">
            <v>90.094832400725224</v>
          </cell>
        </row>
        <row r="72">
          <cell r="BJ72">
            <v>7.6829999999999998</v>
          </cell>
          <cell r="BK72">
            <v>17.126999999999999</v>
          </cell>
          <cell r="BM72">
            <v>10.573756251668662</v>
          </cell>
          <cell r="BN72">
            <v>20.56080516755064</v>
          </cell>
          <cell r="BP72">
            <v>11.07723169661497</v>
          </cell>
          <cell r="BQ72">
            <v>21.518393106910843</v>
          </cell>
          <cell r="BS72">
            <v>11.884964436252037</v>
          </cell>
          <cell r="BT72">
            <v>23.584667490853288</v>
          </cell>
          <cell r="BV72">
            <v>12.373334097092435</v>
          </cell>
          <cell r="BW72">
            <v>24.485249749024184</v>
          </cell>
          <cell r="BY72">
            <v>12.799935006396176</v>
          </cell>
          <cell r="BZ72">
            <v>25.420144759961691</v>
          </cell>
        </row>
        <row r="73">
          <cell r="BJ73">
            <v>32.402000000000001</v>
          </cell>
          <cell r="BK73">
            <v>58.003999999999998</v>
          </cell>
          <cell r="BM73">
            <v>30.876844993758219</v>
          </cell>
          <cell r="BN73">
            <v>61.34107206840703</v>
          </cell>
          <cell r="BP73">
            <v>34.804276493550809</v>
          </cell>
          <cell r="BQ73">
            <v>68.19914488241038</v>
          </cell>
          <cell r="BS73">
            <v>36.871962845540047</v>
          </cell>
          <cell r="BT73">
            <v>72.447263740229161</v>
          </cell>
          <cell r="BV73">
            <v>36.799018574980359</v>
          </cell>
          <cell r="BW73">
            <v>75.077448402296369</v>
          </cell>
          <cell r="BY73">
            <v>36.495800405921422</v>
          </cell>
          <cell r="BZ73">
            <v>72.854316259848218</v>
          </cell>
        </row>
        <row r="74">
          <cell r="BJ74">
            <v>25.632999999999999</v>
          </cell>
          <cell r="BK74">
            <v>44.058</v>
          </cell>
          <cell r="BM74">
            <v>26.890422705549547</v>
          </cell>
          <cell r="BN74">
            <v>51.961124713909122</v>
          </cell>
          <cell r="BP74">
            <v>28.47525428964547</v>
          </cell>
          <cell r="BQ74">
            <v>57.363150173891235</v>
          </cell>
          <cell r="BS74">
            <v>30.00237445406308</v>
          </cell>
          <cell r="BT74">
            <v>60.196334553074834</v>
          </cell>
          <cell r="BV74">
            <v>30.164822359748253</v>
          </cell>
          <cell r="BW74">
            <v>60.383271049042207</v>
          </cell>
          <cell r="BY74">
            <v>29.132801970967439</v>
          </cell>
          <cell r="BZ74">
            <v>58.675032341270459</v>
          </cell>
        </row>
        <row r="75">
          <cell r="BJ75">
            <v>17.505000000000003</v>
          </cell>
          <cell r="BK75">
            <v>30.103999999999999</v>
          </cell>
          <cell r="BM75">
            <v>0</v>
          </cell>
          <cell r="BN75">
            <v>0</v>
          </cell>
          <cell r="BP75">
            <v>0</v>
          </cell>
          <cell r="BQ75">
            <v>0</v>
          </cell>
          <cell r="BS75">
            <v>0</v>
          </cell>
          <cell r="BT75">
            <v>0</v>
          </cell>
          <cell r="BV75">
            <v>0</v>
          </cell>
          <cell r="BW75">
            <v>0</v>
          </cell>
          <cell r="BY75">
            <v>0</v>
          </cell>
          <cell r="BZ75">
            <v>0</v>
          </cell>
        </row>
        <row r="76">
          <cell r="BJ76">
            <v>8.9629999999999992</v>
          </cell>
          <cell r="BK76">
            <v>15.689</v>
          </cell>
          <cell r="BM76">
            <v>0</v>
          </cell>
          <cell r="BN76">
            <v>0</v>
          </cell>
          <cell r="BP76">
            <v>0</v>
          </cell>
          <cell r="BQ76">
            <v>0</v>
          </cell>
          <cell r="BS76">
            <v>0</v>
          </cell>
          <cell r="BT76">
            <v>0</v>
          </cell>
          <cell r="BV76">
            <v>0</v>
          </cell>
          <cell r="BW76">
            <v>0</v>
          </cell>
          <cell r="BY76">
            <v>0</v>
          </cell>
          <cell r="BZ76">
            <v>0</v>
          </cell>
        </row>
        <row r="80">
          <cell r="AS80">
            <v>159.62799999999999</v>
          </cell>
          <cell r="AU80">
            <v>212.55599999999995</v>
          </cell>
          <cell r="AV80">
            <v>392.04299999999995</v>
          </cell>
          <cell r="AX80">
            <v>310.85900000000004</v>
          </cell>
          <cell r="AY80">
            <v>569.78200000000004</v>
          </cell>
          <cell r="BA80">
            <v>366.25900000000001</v>
          </cell>
          <cell r="BB80">
            <v>660.30200000000013</v>
          </cell>
          <cell r="BD80">
            <v>225.142</v>
          </cell>
          <cell r="BE80">
            <v>546.54899999999998</v>
          </cell>
          <cell r="BJ80">
            <v>266.60800000000006</v>
          </cell>
          <cell r="BK80">
            <v>492.07900000000001</v>
          </cell>
          <cell r="BM80">
            <v>267.83734999881511</v>
          </cell>
          <cell r="BN80">
            <v>532.93766407938983</v>
          </cell>
          <cell r="BP80">
            <v>284.86816286040357</v>
          </cell>
          <cell r="BQ80">
            <v>565.28262450641603</v>
          </cell>
          <cell r="BS80">
            <v>303.08644486800796</v>
          </cell>
          <cell r="BT80">
            <v>598.78920517970187</v>
          </cell>
          <cell r="BV80">
            <v>317.98531928049897</v>
          </cell>
          <cell r="BW80">
            <v>629.64688167964596</v>
          </cell>
          <cell r="BY80">
            <v>329.44660990466895</v>
          </cell>
          <cell r="BZ80">
            <v>653.12416391501654</v>
          </cell>
        </row>
        <row r="81">
          <cell r="AS81">
            <v>0.20499999999999999</v>
          </cell>
          <cell r="AU81">
            <v>-0.10099999999999998</v>
          </cell>
          <cell r="AV81">
            <v>0.19</v>
          </cell>
        </row>
        <row r="82">
          <cell r="A82" t="str">
            <v>Eliminations</v>
          </cell>
          <cell r="AS82">
            <v>-7.681</v>
          </cell>
          <cell r="AT82">
            <v>-6.3920000000000003</v>
          </cell>
          <cell r="AU82">
            <v>-2.9959999999999996</v>
          </cell>
          <cell r="AV82">
            <v>-9.3879999999999999</v>
          </cell>
          <cell r="AW82">
            <v>-7.4779999999999998</v>
          </cell>
          <cell r="AX82">
            <v>-7.902000000000001</v>
          </cell>
          <cell r="AY82">
            <v>-15.38</v>
          </cell>
          <cell r="AZ82">
            <v>-4.5960000000000001</v>
          </cell>
          <cell r="BA82">
            <v>-36.614000000000004</v>
          </cell>
          <cell r="BB82">
            <v>-42.445</v>
          </cell>
          <cell r="BC82">
            <v>-11.606</v>
          </cell>
          <cell r="BD82">
            <v>-6.6999999999999993</v>
          </cell>
          <cell r="BE82">
            <v>-18.306000000000001</v>
          </cell>
          <cell r="BF82">
            <v>-14.211999999999998</v>
          </cell>
          <cell r="BG82">
            <v>-13.868</v>
          </cell>
          <cell r="BH82">
            <v>-28.08</v>
          </cell>
          <cell r="BI82">
            <v>-16.965999999999998</v>
          </cell>
          <cell r="BJ82">
            <v>-33.170999999999999</v>
          </cell>
          <cell r="BK82">
            <v>-50.136999999999993</v>
          </cell>
          <cell r="BL82">
            <v>-19.754723989047019</v>
          </cell>
          <cell r="BM82">
            <v>-19.754723989047019</v>
          </cell>
          <cell r="BN82">
            <v>-39.509447978094038</v>
          </cell>
          <cell r="BO82">
            <v>-23.454738440547573</v>
          </cell>
          <cell r="BP82">
            <v>-23.454738440547573</v>
          </cell>
          <cell r="BQ82">
            <v>-46.909476881095145</v>
          </cell>
          <cell r="BR82">
            <v>-22.705676590782669</v>
          </cell>
          <cell r="BS82">
            <v>-22.705676590782669</v>
          </cell>
          <cell r="BT82">
            <v>-45.411353181565339</v>
          </cell>
          <cell r="BU82">
            <v>-23.792587647391397</v>
          </cell>
          <cell r="BV82">
            <v>-23.792587647391397</v>
          </cell>
          <cell r="BW82">
            <v>-47.585175294782793</v>
          </cell>
          <cell r="BX82">
            <v>-23.635088778389534</v>
          </cell>
          <cell r="BY82">
            <v>-23.635088778389534</v>
          </cell>
          <cell r="BZ82">
            <v>-47.270177556779068</v>
          </cell>
        </row>
        <row r="83">
          <cell r="AS83">
            <v>152.15199999999999</v>
          </cell>
          <cell r="AU83">
            <v>209.45899999999995</v>
          </cell>
          <cell r="AV83">
            <v>382.84499999999997</v>
          </cell>
          <cell r="AX83">
            <v>302.95700000000005</v>
          </cell>
          <cell r="AY83">
            <v>554.40200000000004</v>
          </cell>
          <cell r="BA83">
            <v>329.64499999999998</v>
          </cell>
          <cell r="BB83">
            <v>617.85700000000008</v>
          </cell>
          <cell r="BD83">
            <v>218.44200000000001</v>
          </cell>
          <cell r="BE83">
            <v>528.24299999999994</v>
          </cell>
          <cell r="BJ83">
            <v>233.43700000000007</v>
          </cell>
          <cell r="BK83">
            <v>441.94200000000001</v>
          </cell>
          <cell r="BM83">
            <v>248.08262600976809</v>
          </cell>
          <cell r="BN83">
            <v>493.42821610129579</v>
          </cell>
          <cell r="BP83">
            <v>261.41342441985603</v>
          </cell>
          <cell r="BQ83">
            <v>518.37314762532083</v>
          </cell>
          <cell r="BS83">
            <v>280.38076827722529</v>
          </cell>
          <cell r="BT83">
            <v>553.37785199813652</v>
          </cell>
          <cell r="BV83">
            <v>294.1927316331076</v>
          </cell>
          <cell r="BW83">
            <v>582.06170638486321</v>
          </cell>
          <cell r="BY83">
            <v>305.81152112627939</v>
          </cell>
          <cell r="BZ83">
            <v>605.85398635823742</v>
          </cell>
        </row>
        <row r="87">
          <cell r="AS87">
            <v>24.25</v>
          </cell>
          <cell r="AU87">
            <v>44.792999999999992</v>
          </cell>
          <cell r="AV87">
            <v>77.425999999999988</v>
          </cell>
          <cell r="AX87">
            <v>65.643000000000001</v>
          </cell>
          <cell r="AY87">
            <v>123.65299999999999</v>
          </cell>
          <cell r="BA87">
            <v>64.728000000000009</v>
          </cell>
          <cell r="BB87">
            <v>119.223</v>
          </cell>
          <cell r="BD87">
            <v>36.393000000000001</v>
          </cell>
          <cell r="BE87">
            <v>105.946</v>
          </cell>
          <cell r="BJ87">
            <v>-32.262999999999991</v>
          </cell>
          <cell r="BK87">
            <v>-17.932999999999989</v>
          </cell>
          <cell r="BM87">
            <v>56.483840399666384</v>
          </cell>
          <cell r="BN87">
            <v>112.54293165733827</v>
          </cell>
          <cell r="BP87">
            <v>62.3873577627553</v>
          </cell>
          <cell r="BQ87">
            <v>121.03893143359946</v>
          </cell>
          <cell r="BS87">
            <v>69.463502905969293</v>
          </cell>
          <cell r="BT87">
            <v>136.2023385971124</v>
          </cell>
          <cell r="BV87">
            <v>73.902207939528012</v>
          </cell>
          <cell r="BW87">
            <v>145.84846276586649</v>
          </cell>
          <cell r="BY87">
            <v>77.921248190490232</v>
          </cell>
          <cell r="BZ87">
            <v>154.23221867369466</v>
          </cell>
        </row>
        <row r="88">
          <cell r="AS88">
            <v>19.251999999999999</v>
          </cell>
          <cell r="AU88">
            <v>38.569999999999993</v>
          </cell>
          <cell r="AV88">
            <v>66.933999999999997</v>
          </cell>
          <cell r="AX88">
            <v>59.021999999999998</v>
          </cell>
          <cell r="AY88">
            <v>112.401</v>
          </cell>
          <cell r="BA88">
            <v>58.206000000000003</v>
          </cell>
          <cell r="BB88">
            <v>106.613</v>
          </cell>
          <cell r="BD88">
            <v>30.22</v>
          </cell>
          <cell r="BE88">
            <v>94.725999999999999</v>
          </cell>
        </row>
        <row r="89">
          <cell r="AS89">
            <v>3.5070000000000001</v>
          </cell>
          <cell r="AU89">
            <v>4.7040000000000006</v>
          </cell>
          <cell r="AV89">
            <v>8.0020000000000007</v>
          </cell>
          <cell r="AX89">
            <v>5.077</v>
          </cell>
          <cell r="AY89">
            <v>7.8650000000000002</v>
          </cell>
          <cell r="BA89">
            <v>4.8339999999999996</v>
          </cell>
          <cell r="BB89">
            <v>8.593</v>
          </cell>
          <cell r="BD89">
            <v>2.5239999999999996</v>
          </cell>
          <cell r="BE89">
            <v>6.5229999999999997</v>
          </cell>
        </row>
        <row r="90">
          <cell r="AS90">
            <v>1.6619999999999999</v>
          </cell>
          <cell r="AU90">
            <v>2.08</v>
          </cell>
          <cell r="AV90">
            <v>3.4460000000000002</v>
          </cell>
          <cell r="AX90">
            <v>2.2879999999999998</v>
          </cell>
          <cell r="AY90">
            <v>4.0979999999999999</v>
          </cell>
          <cell r="BA90">
            <v>1.552</v>
          </cell>
          <cell r="BB90">
            <v>3.7130000000000001</v>
          </cell>
          <cell r="BD90">
            <v>3.649</v>
          </cell>
          <cell r="BE90">
            <v>4.6970000000000001</v>
          </cell>
        </row>
        <row r="91">
          <cell r="AS91">
            <v>-0.17100000000000001</v>
          </cell>
          <cell r="AU91">
            <v>-0.56099999999999994</v>
          </cell>
          <cell r="AV91">
            <v>-0.95599999999999996</v>
          </cell>
          <cell r="AX91">
            <v>-0.74399999999999999</v>
          </cell>
          <cell r="AY91">
            <v>-0.71099999999999997</v>
          </cell>
          <cell r="BA91">
            <v>0.13599999999999998</v>
          </cell>
          <cell r="BB91">
            <v>0.30399999999999999</v>
          </cell>
        </row>
        <row r="92">
          <cell r="BJ92">
            <v>28.149000000000004</v>
          </cell>
          <cell r="BK92">
            <v>55.458000000000006</v>
          </cell>
          <cell r="BM92">
            <v>38.822298643816609</v>
          </cell>
          <cell r="BN92">
            <v>78.079869504174269</v>
          </cell>
          <cell r="BP92">
            <v>42.743044836124355</v>
          </cell>
          <cell r="BQ92">
            <v>83.838021076927078</v>
          </cell>
          <cell r="BS92">
            <v>47.629284908902989</v>
          </cell>
          <cell r="BT92">
            <v>93.60463644364313</v>
          </cell>
          <cell r="BV92">
            <v>52.750600326558427</v>
          </cell>
          <cell r="BW92">
            <v>104.14273555724577</v>
          </cell>
          <cell r="BY92">
            <v>57.371237319216348</v>
          </cell>
          <cell r="BZ92">
            <v>113.32214987083486</v>
          </cell>
        </row>
        <row r="93">
          <cell r="BJ93">
            <v>-19.100000000000001</v>
          </cell>
          <cell r="BK93">
            <v>-20.658000000000001</v>
          </cell>
          <cell r="BM93">
            <v>2.3108247021662653</v>
          </cell>
          <cell r="BN93">
            <v>4.6246288066997501</v>
          </cell>
          <cell r="BP93">
            <v>2.7869707054030122</v>
          </cell>
          <cell r="BQ93">
            <v>5.2560801679958384</v>
          </cell>
          <cell r="BS93">
            <v>3.2345583426003905</v>
          </cell>
          <cell r="BT93">
            <v>6.2847752758138835</v>
          </cell>
          <cell r="BV93">
            <v>3.3818612027211787</v>
          </cell>
          <cell r="BW93">
            <v>6.581269170545923</v>
          </cell>
          <cell r="BY93">
            <v>3.3109046839574257</v>
          </cell>
          <cell r="BZ93">
            <v>6.572704443093814</v>
          </cell>
        </row>
        <row r="94">
          <cell r="BJ94">
            <v>-4.911999999999999</v>
          </cell>
          <cell r="BK94">
            <v>-7.4669999999999996</v>
          </cell>
          <cell r="BM94">
            <v>0.63234189487867853</v>
          </cell>
          <cell r="BN94">
            <v>1.3297241185364885</v>
          </cell>
          <cell r="BP94">
            <v>0.67804813453387935</v>
          </cell>
          <cell r="BQ94">
            <v>1.2721503414277677</v>
          </cell>
          <cell r="BS94">
            <v>0.91328837188752288</v>
          </cell>
          <cell r="BT94">
            <v>1.6830179983492513</v>
          </cell>
          <cell r="BV94">
            <v>0.9540046288531524</v>
          </cell>
          <cell r="BW94">
            <v>1.9349380136903909</v>
          </cell>
          <cell r="BY94">
            <v>1.0837022707461188</v>
          </cell>
          <cell r="BZ94">
            <v>2.1040619292795379</v>
          </cell>
        </row>
        <row r="95">
          <cell r="BJ95">
            <v>4.6300000000000008</v>
          </cell>
          <cell r="BK95">
            <v>10.438000000000001</v>
          </cell>
          <cell r="BM95">
            <v>8.262203429895683</v>
          </cell>
          <cell r="BN95">
            <v>15.972627697180899</v>
          </cell>
          <cell r="BP95">
            <v>8.631367072060895</v>
          </cell>
          <cell r="BQ95">
            <v>16.563566032938432</v>
          </cell>
          <cell r="BS95">
            <v>9.0608868075970879</v>
          </cell>
          <cell r="BT95">
            <v>17.777533093342278</v>
          </cell>
          <cell r="BV95">
            <v>8.4635501054026285</v>
          </cell>
          <cell r="BW95">
            <v>16.842907964739361</v>
          </cell>
          <cell r="BY95">
            <v>7.9059461439176442</v>
          </cell>
          <cell r="BZ95">
            <v>15.787942238903547</v>
          </cell>
        </row>
        <row r="96">
          <cell r="BJ96">
            <v>-4.8260000000000005</v>
          </cell>
          <cell r="BK96">
            <v>-11.614000000000001</v>
          </cell>
          <cell r="BM96">
            <v>6.4561717289091503</v>
          </cell>
          <cell r="BN96">
            <v>12.536081530746866</v>
          </cell>
          <cell r="BP96">
            <v>7.547927014633153</v>
          </cell>
          <cell r="BQ96">
            <v>14.109113814310348</v>
          </cell>
          <cell r="BS96">
            <v>8.6254844749812936</v>
          </cell>
          <cell r="BT96">
            <v>16.852375785963858</v>
          </cell>
          <cell r="BV96">
            <v>8.3521916759926285</v>
          </cell>
          <cell r="BW96">
            <v>16.346612059645068</v>
          </cell>
          <cell r="BY96">
            <v>8.2494577726527023</v>
          </cell>
          <cell r="BZ96">
            <v>16.445360191582893</v>
          </cell>
        </row>
        <row r="97">
          <cell r="BJ97">
            <v>-27.022999999999996</v>
          </cell>
          <cell r="BK97">
            <v>-34.467999999999996</v>
          </cell>
        </row>
        <row r="98">
          <cell r="BJ98">
            <v>-9.1809999999999992</v>
          </cell>
          <cell r="BK98">
            <v>-9.6219999999999999</v>
          </cell>
        </row>
        <row r="102">
          <cell r="BJ102">
            <v>-5.1289999999999907</v>
          </cell>
          <cell r="BK102">
            <v>27.275000000000013</v>
          </cell>
          <cell r="BM102">
            <v>56.483840399666384</v>
          </cell>
          <cell r="BN102">
            <v>112.54293165733827</v>
          </cell>
          <cell r="BP102">
            <v>62.3873577627553</v>
          </cell>
          <cell r="BQ102">
            <v>121.03893143359946</v>
          </cell>
          <cell r="BS102">
            <v>69.463502905969293</v>
          </cell>
          <cell r="BT102">
            <v>136.2023385971124</v>
          </cell>
          <cell r="BV102">
            <v>73.902207939528012</v>
          </cell>
          <cell r="BW102">
            <v>145.84846276586649</v>
          </cell>
          <cell r="BY102">
            <v>77.921248190490232</v>
          </cell>
          <cell r="BZ102">
            <v>154.23221867369466</v>
          </cell>
        </row>
        <row r="107">
          <cell r="BJ107">
            <v>28.149000000000004</v>
          </cell>
          <cell r="BK107">
            <v>55.732000000000006</v>
          </cell>
          <cell r="BM107">
            <v>38.822298643816609</v>
          </cell>
          <cell r="BN107">
            <v>78.079869504174269</v>
          </cell>
          <cell r="BP107">
            <v>42.743044836124355</v>
          </cell>
          <cell r="BQ107">
            <v>83.838021076927078</v>
          </cell>
          <cell r="BS107">
            <v>47.629284908902989</v>
          </cell>
          <cell r="BT107">
            <v>93.60463644364313</v>
          </cell>
          <cell r="BV107">
            <v>52.750600326558427</v>
          </cell>
          <cell r="BW107">
            <v>104.14273555724577</v>
          </cell>
          <cell r="BY107">
            <v>57.371237319216348</v>
          </cell>
          <cell r="BZ107">
            <v>113.32214987083486</v>
          </cell>
        </row>
        <row r="108">
          <cell r="BJ108">
            <v>-3.5320000000000005</v>
          </cell>
          <cell r="BK108">
            <v>-3.3900000000000006</v>
          </cell>
          <cell r="BM108">
            <v>2.3108247021662653</v>
          </cell>
          <cell r="BN108">
            <v>4.6246288066997501</v>
          </cell>
          <cell r="BP108">
            <v>2.7869707054030122</v>
          </cell>
          <cell r="BQ108">
            <v>5.2560801679958384</v>
          </cell>
          <cell r="BS108">
            <v>3.2345583426003905</v>
          </cell>
          <cell r="BT108">
            <v>6.2847752758138835</v>
          </cell>
          <cell r="BV108">
            <v>3.3818612027211787</v>
          </cell>
          <cell r="BW108">
            <v>6.581269170545923</v>
          </cell>
          <cell r="BY108">
            <v>3.3109046839574257</v>
          </cell>
          <cell r="BZ108">
            <v>6.572704443093814</v>
          </cell>
        </row>
        <row r="109">
          <cell r="BJ109">
            <v>-3.9829999999999992</v>
          </cell>
          <cell r="BK109">
            <v>-3.7379999999999995</v>
          </cell>
          <cell r="BM109">
            <v>0.63234189487867853</v>
          </cell>
          <cell r="BN109">
            <v>1.3297241185364885</v>
          </cell>
          <cell r="BP109">
            <v>0.67804813453387935</v>
          </cell>
          <cell r="BQ109">
            <v>1.2721503414277677</v>
          </cell>
          <cell r="BS109">
            <v>0.91328837188752288</v>
          </cell>
          <cell r="BT109">
            <v>1.6830179983492513</v>
          </cell>
          <cell r="BV109">
            <v>0.9540046288531524</v>
          </cell>
          <cell r="BW109">
            <v>1.9349380136903909</v>
          </cell>
          <cell r="BY109">
            <v>1.0837022707461188</v>
          </cell>
          <cell r="BZ109">
            <v>2.1040619292795379</v>
          </cell>
        </row>
        <row r="110">
          <cell r="BJ110">
            <v>4.9390000000000009</v>
          </cell>
          <cell r="BK110">
            <v>10.747</v>
          </cell>
          <cell r="BM110">
            <v>8.262203429895683</v>
          </cell>
          <cell r="BN110">
            <v>15.972627697180899</v>
          </cell>
          <cell r="BP110">
            <v>8.631367072060895</v>
          </cell>
          <cell r="BQ110">
            <v>16.563566032938432</v>
          </cell>
          <cell r="BS110">
            <v>9.0608868075970879</v>
          </cell>
          <cell r="BT110">
            <v>17.777533093342278</v>
          </cell>
          <cell r="BV110">
            <v>8.4635501054026285</v>
          </cell>
          <cell r="BW110">
            <v>16.842907964739361</v>
          </cell>
          <cell r="BY110">
            <v>7.9059461439176442</v>
          </cell>
          <cell r="BZ110">
            <v>15.787942238903547</v>
          </cell>
        </row>
        <row r="111">
          <cell r="BJ111">
            <v>4.6419999999999995</v>
          </cell>
          <cell r="BK111">
            <v>5.6539999999999999</v>
          </cell>
          <cell r="BM111">
            <v>6.4561717289091503</v>
          </cell>
          <cell r="BN111">
            <v>12.536081530746866</v>
          </cell>
          <cell r="BP111">
            <v>7.547927014633153</v>
          </cell>
          <cell r="BQ111">
            <v>14.109113814310348</v>
          </cell>
          <cell r="BS111">
            <v>8.6254844749812936</v>
          </cell>
          <cell r="BT111">
            <v>16.852375785963858</v>
          </cell>
          <cell r="BV111">
            <v>8.3521916759926285</v>
          </cell>
          <cell r="BW111">
            <v>16.346612059645068</v>
          </cell>
          <cell r="BY111">
            <v>8.2494577726527023</v>
          </cell>
          <cell r="BZ111">
            <v>16.445360191582893</v>
          </cell>
        </row>
        <row r="112">
          <cell r="BJ112">
            <v>-26.879999999999995</v>
          </cell>
          <cell r="BK112">
            <v>-28.824999999999996</v>
          </cell>
        </row>
        <row r="113">
          <cell r="BJ113">
            <v>-8.4639999999999986</v>
          </cell>
          <cell r="BK113">
            <v>-8.9049999999999994</v>
          </cell>
        </row>
        <row r="114">
          <cell r="BN114">
            <v>-9.1790000000000003</v>
          </cell>
        </row>
        <row r="115">
          <cell r="BM115">
            <v>5.1790000000000003</v>
          </cell>
          <cell r="BN115">
            <v>5.1790000000000003</v>
          </cell>
          <cell r="BP115">
            <v>-1</v>
          </cell>
          <cell r="BQ115">
            <v>-2</v>
          </cell>
          <cell r="BS115">
            <v>-2</v>
          </cell>
          <cell r="BT115">
            <v>-4</v>
          </cell>
          <cell r="BV115">
            <v>-3</v>
          </cell>
          <cell r="BW115">
            <v>-6</v>
          </cell>
          <cell r="BY115">
            <v>-4</v>
          </cell>
          <cell r="BZ115">
            <v>-8</v>
          </cell>
        </row>
        <row r="117">
          <cell r="AS117">
            <v>0.99999999999999989</v>
          </cell>
          <cell r="AU117">
            <v>1</v>
          </cell>
          <cell r="AV117">
            <v>1</v>
          </cell>
          <cell r="AX117">
            <v>1</v>
          </cell>
          <cell r="AY117">
            <v>1.0000000000000002</v>
          </cell>
          <cell r="BA117">
            <v>0.99999999999999989</v>
          </cell>
          <cell r="BB117">
            <v>1</v>
          </cell>
          <cell r="BD117">
            <v>0.99999999999999978</v>
          </cell>
          <cell r="BE117">
            <v>1</v>
          </cell>
        </row>
        <row r="118">
          <cell r="AS118">
            <v>0.79389690721649475</v>
          </cell>
          <cell r="AU118">
            <v>0.86107204250664171</v>
          </cell>
          <cell r="AV118">
            <v>0.86448996461137095</v>
          </cell>
          <cell r="AX118">
            <v>0.89913623691787392</v>
          </cell>
          <cell r="AY118">
            <v>0.90900342086322217</v>
          </cell>
          <cell r="BA118">
            <v>0.89923989618094169</v>
          </cell>
          <cell r="BB118">
            <v>0.89423181768618476</v>
          </cell>
          <cell r="BD118">
            <v>0.83037946857912226</v>
          </cell>
          <cell r="BE118">
            <v>0.89409699280765675</v>
          </cell>
        </row>
        <row r="119">
          <cell r="AS119">
            <v>0.14461855670103094</v>
          </cell>
          <cell r="AU119">
            <v>0.10501640881387721</v>
          </cell>
          <cell r="AV119">
            <v>0.10335029576628009</v>
          </cell>
          <cell r="AX119">
            <v>7.7342595554743085E-2</v>
          </cell>
          <cell r="AY119">
            <v>6.3605411918837396E-2</v>
          </cell>
          <cell r="BA119">
            <v>7.4681745148930889E-2</v>
          </cell>
          <cell r="BB119">
            <v>7.2075019081888556E-2</v>
          </cell>
          <cell r="BD119">
            <v>6.9353996647706959E-2</v>
          </cell>
          <cell r="BE119">
            <v>6.156910124025447E-2</v>
          </cell>
        </row>
        <row r="120">
          <cell r="AS120">
            <v>6.8536082474226795E-2</v>
          </cell>
          <cell r="AU120">
            <v>4.6435827026544335E-2</v>
          </cell>
          <cell r="AV120">
            <v>4.4507013148038135E-2</v>
          </cell>
          <cell r="AX120">
            <v>3.4855201620888746E-2</v>
          </cell>
          <cell r="AY120">
            <v>3.3141128803991816E-2</v>
          </cell>
          <cell r="BA120">
            <v>2.3977258682486711E-2</v>
          </cell>
          <cell r="BB120">
            <v>3.1143319661474718E-2</v>
          </cell>
          <cell r="BD120">
            <v>0.10026653477317066</v>
          </cell>
          <cell r="BE120">
            <v>4.4333905952088803E-2</v>
          </cell>
        </row>
        <row r="121">
          <cell r="AS121">
            <v>-7.051546391752578E-3</v>
          </cell>
          <cell r="AU121">
            <v>-1.2524278347063158E-2</v>
          </cell>
          <cell r="AV121">
            <v>-1.2347273525689047E-2</v>
          </cell>
          <cell r="AX121">
            <v>-1.1334034093505781E-2</v>
          </cell>
          <cell r="AY121">
            <v>-5.7499615860512887E-3</v>
          </cell>
          <cell r="BA121">
            <v>2.1010999876405877E-3</v>
          </cell>
          <cell r="BB121">
            <v>2.5498435704520103E-3</v>
          </cell>
        </row>
        <row r="122">
          <cell r="BJ122">
            <v>-5.48820432832912</v>
          </cell>
          <cell r="BK122">
            <v>2.0433363886342799</v>
          </cell>
          <cell r="BM122">
            <v>0.68731690991829064</v>
          </cell>
          <cell r="BN122">
            <v>0.69377852837444842</v>
          </cell>
          <cell r="BP122">
            <v>0.68512349887722879</v>
          </cell>
          <cell r="BQ122">
            <v>0.69265334784386823</v>
          </cell>
          <cell r="BS122">
            <v>0.68567352518022817</v>
          </cell>
          <cell r="BT122">
            <v>0.68724691079296651</v>
          </cell>
          <cell r="BV122">
            <v>0.71378923305948694</v>
          </cell>
          <cell r="BW122">
            <v>0.71404753661633191</v>
          </cell>
          <cell r="BY122">
            <v>0.73627205225157222</v>
          </cell>
          <cell r="BZ122">
            <v>0.73475017635963447</v>
          </cell>
        </row>
        <row r="123">
          <cell r="BJ123">
            <v>0.68863326184441542</v>
          </cell>
          <cell r="BK123">
            <v>-0.12428964252978915</v>
          </cell>
          <cell r="BM123">
            <v>4.0911253303872623E-2</v>
          </cell>
          <cell r="BN123">
            <v>4.1092130252839427E-2</v>
          </cell>
          <cell r="BP123">
            <v>4.4672042627630061E-2</v>
          </cell>
          <cell r="BQ123">
            <v>4.3424707288326175E-2</v>
          </cell>
          <cell r="BS123">
            <v>4.6564860787094445E-2</v>
          </cell>
          <cell r="BT123">
            <v>4.614293220327368E-2</v>
          </cell>
          <cell r="BV123">
            <v>4.5761301279231816E-2</v>
          </cell>
          <cell r="BW123">
            <v>4.5124021506561703E-2</v>
          </cell>
          <cell r="BY123">
            <v>4.2490395891290403E-2</v>
          </cell>
          <cell r="BZ123">
            <v>4.2615638286313734E-2</v>
          </cell>
        </row>
        <row r="124">
          <cell r="BJ124">
            <v>0.7765646324819665</v>
          </cell>
          <cell r="BK124">
            <v>-0.13704857928505951</v>
          </cell>
          <cell r="BM124">
            <v>1.1195093860551546E-2</v>
          </cell>
          <cell r="BN124">
            <v>1.1815261064863018E-2</v>
          </cell>
          <cell r="BP124">
            <v>1.0868357930982422E-2</v>
          </cell>
          <cell r="BQ124">
            <v>1.0510257537473838E-2</v>
          </cell>
          <cell r="BS124">
            <v>1.3147744263974344E-2</v>
          </cell>
          <cell r="BT124">
            <v>1.2356748171025403E-2</v>
          </cell>
          <cell r="BV124">
            <v>1.2909013890813467E-2</v>
          </cell>
          <cell r="BW124">
            <v>1.3266770022777589E-2</v>
          </cell>
          <cell r="BY124">
            <v>1.3907660566432988E-2</v>
          </cell>
          <cell r="BZ124">
            <v>1.3642168590799114E-2</v>
          </cell>
        </row>
        <row r="125">
          <cell r="BJ125">
            <v>-0.96295574186001365</v>
          </cell>
          <cell r="BK125">
            <v>0.39402383134738755</v>
          </cell>
          <cell r="BM125">
            <v>0.14627552537919292</v>
          </cell>
          <cell r="BN125">
            <v>0.14192475228753662</v>
          </cell>
          <cell r="BP125">
            <v>0.13835122020849142</v>
          </cell>
          <cell r="BQ125">
            <v>0.13684494597529565</v>
          </cell>
          <cell r="BS125">
            <v>0.13044097156837231</v>
          </cell>
          <cell r="BT125">
            <v>0.13052296514473485</v>
          </cell>
          <cell r="BV125">
            <v>0.11452364335755842</v>
          </cell>
          <cell r="BW125">
            <v>0.11548224537530864</v>
          </cell>
          <cell r="BY125">
            <v>0.10146072255657876</v>
          </cell>
          <cell r="BZ125">
            <v>0.10236474826511904</v>
          </cell>
        </row>
        <row r="126">
          <cell r="BJ126">
            <v>-0.905049717293821</v>
          </cell>
          <cell r="BK126">
            <v>0.20729605866177808</v>
          </cell>
          <cell r="BM126">
            <v>0.11430121753809223</v>
          </cell>
          <cell r="BN126">
            <v>0.11138932802031251</v>
          </cell>
          <cell r="BP126">
            <v>0.12098488035566717</v>
          </cell>
          <cell r="BQ126">
            <v>0.1165667413550362</v>
          </cell>
          <cell r="BS126">
            <v>0.1241728982003306</v>
          </cell>
          <cell r="BT126">
            <v>0.12373044368799951</v>
          </cell>
          <cell r="BV126">
            <v>0.11301680841290938</v>
          </cell>
          <cell r="BW126">
            <v>0.11207942647902033</v>
          </cell>
          <cell r="BY126">
            <v>0.10586916873412576</v>
          </cell>
          <cell r="BZ126">
            <v>0.10662726849813359</v>
          </cell>
        </row>
        <row r="127">
          <cell r="BJ127">
            <v>5.2407876779099327</v>
          </cell>
          <cell r="BK127">
            <v>-1.0568285976168645</v>
          </cell>
          <cell r="BM127">
            <v>0</v>
          </cell>
          <cell r="BN127">
            <v>0</v>
          </cell>
          <cell r="BP127">
            <v>0</v>
          </cell>
          <cell r="BQ127">
            <v>0</v>
          </cell>
          <cell r="BS127">
            <v>0</v>
          </cell>
          <cell r="BT127">
            <v>0</v>
          </cell>
          <cell r="BV127">
            <v>0</v>
          </cell>
          <cell r="BW127">
            <v>0</v>
          </cell>
          <cell r="BY127">
            <v>0</v>
          </cell>
          <cell r="BZ127">
            <v>0</v>
          </cell>
        </row>
        <row r="128">
          <cell r="BJ128">
            <v>1.6502242152466395</v>
          </cell>
          <cell r="BK128">
            <v>-0.32648945921173217</v>
          </cell>
          <cell r="BM128">
            <v>0</v>
          </cell>
          <cell r="BN128">
            <v>0</v>
          </cell>
          <cell r="BP128">
            <v>0</v>
          </cell>
          <cell r="BQ128">
            <v>0</v>
          </cell>
          <cell r="BS128">
            <v>0</v>
          </cell>
          <cell r="BT128">
            <v>0</v>
          </cell>
          <cell r="BV128">
            <v>0</v>
          </cell>
          <cell r="BW128">
            <v>0</v>
          </cell>
          <cell r="BY128">
            <v>0</v>
          </cell>
          <cell r="BZ128">
            <v>0</v>
          </cell>
        </row>
        <row r="132">
          <cell r="AS132">
            <v>0.15959512198332312</v>
          </cell>
          <cell r="AU132">
            <v>0.21374785264363427</v>
          </cell>
          <cell r="AV132">
            <v>0.20233892148279781</v>
          </cell>
          <cell r="AX132">
            <v>0.21667431351643959</v>
          </cell>
          <cell r="AY132">
            <v>0.22303851717706644</v>
          </cell>
          <cell r="BA132">
            <v>0.19635668673876444</v>
          </cell>
          <cell r="BB132">
            <v>0.19296212554037587</v>
          </cell>
          <cell r="BD132">
            <v>0.16660257642761009</v>
          </cell>
          <cell r="BE132">
            <v>0.20056299846850784</v>
          </cell>
        </row>
        <row r="133">
          <cell r="AS133">
            <v>0.24892037961262961</v>
          </cell>
          <cell r="AU133">
            <v>0.31432599607194367</v>
          </cell>
          <cell r="AV133">
            <v>0.30409064476266628</v>
          </cell>
          <cell r="AX133">
            <v>0.37868600025664051</v>
          </cell>
          <cell r="AY133">
            <v>0.35245588069286438</v>
          </cell>
          <cell r="BA133">
            <v>0.29535248359744865</v>
          </cell>
          <cell r="BB133">
            <v>0.28897580597071559</v>
          </cell>
          <cell r="BD133">
            <v>0.17845332577475434</v>
          </cell>
          <cell r="BE133">
            <v>0.2420932378175164</v>
          </cell>
        </row>
        <row r="134">
          <cell r="AS134">
            <v>5.8164991541446914E-2</v>
          </cell>
          <cell r="AU134">
            <v>6.7088824234126335E-2</v>
          </cell>
          <cell r="AV134">
            <v>6.1433813932777505E-2</v>
          </cell>
          <cell r="AX134">
            <v>4.1326821326821327E-2</v>
          </cell>
          <cell r="AY134">
            <v>4.1181460227034727E-2</v>
          </cell>
          <cell r="BA134">
            <v>4.3079555480300499E-2</v>
          </cell>
          <cell r="BB134">
            <v>4.0804600430221903E-2</v>
          </cell>
          <cell r="BD134">
            <v>6.5820011995723265E-2</v>
          </cell>
          <cell r="BE134">
            <v>5.9178952143343164E-2</v>
          </cell>
        </row>
        <row r="135">
          <cell r="AS135">
            <v>0.1379253112033195</v>
          </cell>
          <cell r="AU135">
            <v>0.14529198100027943</v>
          </cell>
          <cell r="AV135">
            <v>0.12930096431653598</v>
          </cell>
          <cell r="AX135">
            <v>0.10532615200478754</v>
          </cell>
          <cell r="AY135">
            <v>0.10510387278789432</v>
          </cell>
          <cell r="BA135">
            <v>8.2910411880976559E-2</v>
          </cell>
          <cell r="BB135">
            <v>0.10624052190334488</v>
          </cell>
          <cell r="BD135">
            <v>0.33941028741512413</v>
          </cell>
          <cell r="BE135">
            <v>0.17566101948464788</v>
          </cell>
        </row>
        <row r="136">
          <cell r="AS136">
            <v>-7.5630252100840331E-2</v>
          </cell>
          <cell r="AU136">
            <v>-0.23172242874845106</v>
          </cell>
          <cell r="AV136">
            <v>-0.16956367506207876</v>
          </cell>
          <cell r="AX136">
            <v>-0.29477020602218706</v>
          </cell>
          <cell r="AY136">
            <v>-0.12880434782608696</v>
          </cell>
          <cell r="BA136">
            <v>8.2825822168087704E-2</v>
          </cell>
          <cell r="BB136">
            <v>8.9807976366322012E-2</v>
          </cell>
        </row>
        <row r="137">
          <cell r="BJ137">
            <v>0.21273588827001413</v>
          </cell>
          <cell r="BK137">
            <v>0.22228692450971402</v>
          </cell>
          <cell r="BM137">
            <v>0.25985025868547479</v>
          </cell>
          <cell r="BN137">
            <v>0.26018422605591573</v>
          </cell>
          <cell r="BP137">
            <v>0.26523692033835994</v>
          </cell>
          <cell r="BQ137">
            <v>0.26226698451714586</v>
          </cell>
          <cell r="BS137">
            <v>0.27070037438307376</v>
          </cell>
          <cell r="BT137">
            <v>0.27209545225229997</v>
          </cell>
          <cell r="BV137">
            <v>0.27799845168742082</v>
          </cell>
          <cell r="BW137">
            <v>0.27965578740685643</v>
          </cell>
          <cell r="BY137">
            <v>0.28442323438570088</v>
          </cell>
          <cell r="BZ137">
            <v>0.28506892505769821</v>
          </cell>
        </row>
        <row r="138">
          <cell r="BJ138">
            <v>-0.10704327797308766</v>
          </cell>
          <cell r="BK138">
            <v>-6.4196034616622807E-2</v>
          </cell>
          <cell r="BM138">
            <v>6.3058965371278697E-2</v>
          </cell>
          <cell r="BN138">
            <v>6.41565260069272E-2</v>
          </cell>
          <cell r="BP138">
            <v>7.9696324734481946E-2</v>
          </cell>
          <cell r="BQ138">
            <v>7.5352682354996467E-2</v>
          </cell>
          <cell r="BS138">
            <v>9.4603578520822032E-2</v>
          </cell>
          <cell r="BT138">
            <v>8.9564095564570304E-2</v>
          </cell>
          <cell r="BV138">
            <v>9.8253549617257963E-2</v>
          </cell>
          <cell r="BW138">
            <v>9.628665650527167E-2</v>
          </cell>
          <cell r="BY138">
            <v>9.5790561752240058E-2</v>
          </cell>
          <cell r="BZ138">
            <v>9.5032538571134584E-2</v>
          </cell>
        </row>
        <row r="139">
          <cell r="BJ139">
            <v>-0.58824398168660452</v>
          </cell>
          <cell r="BK139">
            <v>-0.26567164179104474</v>
          </cell>
          <cell r="BM139">
            <v>6.959015420926E-2</v>
          </cell>
          <cell r="BN139">
            <v>7.5610040766340467E-2</v>
          </cell>
          <cell r="BP139">
            <v>7.2633685483586882E-2</v>
          </cell>
          <cell r="BQ139">
            <v>7.0540682554362882E-2</v>
          </cell>
          <cell r="BS139">
            <v>9.0636764697654068E-2</v>
          </cell>
          <cell r="BT139">
            <v>8.4288070184172961E-2</v>
          </cell>
          <cell r="BV139">
            <v>9.1352520641322876E-2</v>
          </cell>
          <cell r="BW139">
            <v>9.3816058464513893E-2</v>
          </cell>
          <cell r="BY139">
            <v>0.10012749542184403</v>
          </cell>
          <cell r="BZ139">
            <v>9.8015054923272685E-2</v>
          </cell>
        </row>
        <row r="140">
          <cell r="BJ140">
            <v>0.20699916177703273</v>
          </cell>
          <cell r="BK140">
            <v>0.21794325809657075</v>
          </cell>
          <cell r="BM140">
            <v>0.29362170349797767</v>
          </cell>
          <cell r="BN140">
            <v>0.28591341441432511</v>
          </cell>
          <cell r="BP140">
            <v>0.28123008017195361</v>
          </cell>
          <cell r="BQ140">
            <v>0.27618118514357226</v>
          </cell>
          <cell r="BS140">
            <v>0.27406803044733136</v>
          </cell>
          <cell r="BT140">
            <v>0.27423977133125782</v>
          </cell>
          <cell r="BV140">
            <v>0.25995375003697524</v>
          </cell>
          <cell r="BW140">
            <v>0.25291464561998322</v>
          </cell>
          <cell r="BY140">
            <v>0.24310210500311608</v>
          </cell>
          <cell r="BZ140">
            <v>0.24324730381642382</v>
          </cell>
        </row>
        <row r="141">
          <cell r="BJ141">
            <v>0.23930302092999275</v>
          </cell>
          <cell r="BK141">
            <v>0.14948576263120322</v>
          </cell>
          <cell r="BM141">
            <v>0.26023515091050381</v>
          </cell>
          <cell r="BN141">
            <v>0.26227065088910362</v>
          </cell>
          <cell r="BP141">
            <v>0.29873307008940742</v>
          </cell>
          <cell r="BQ141">
            <v>0.2769449124421593</v>
          </cell>
          <cell r="BS141">
            <v>0.31822857697108453</v>
          </cell>
          <cell r="BT141">
            <v>0.30978090851625639</v>
          </cell>
          <cell r="BV141">
            <v>0.309105069572921</v>
          </cell>
          <cell r="BW141">
            <v>0.30218485076985369</v>
          </cell>
          <cell r="BY141">
            <v>0.31495603455388982</v>
          </cell>
          <cell r="BZ141">
            <v>0.31149908042890295</v>
          </cell>
        </row>
        <row r="142">
          <cell r="BJ142">
            <v>-2.3572744014732958</v>
          </cell>
          <cell r="BK142">
            <v>-1.2076333319368215</v>
          </cell>
        </row>
        <row r="143">
          <cell r="BJ143">
            <v>-1.2651718983557547</v>
          </cell>
          <cell r="BK143">
            <v>-0.66749119256427558</v>
          </cell>
        </row>
        <row r="147">
          <cell r="AS147">
            <v>19.782</v>
          </cell>
        </row>
        <row r="148">
          <cell r="AS148">
            <v>15.52</v>
          </cell>
        </row>
        <row r="149">
          <cell r="AS149">
            <v>3.0059999999999998</v>
          </cell>
        </row>
        <row r="150">
          <cell r="AS150">
            <v>1.427</v>
          </cell>
        </row>
        <row r="151">
          <cell r="AS151">
            <v>-0.17100000000000001</v>
          </cell>
        </row>
        <row r="155">
          <cell r="AS155">
            <v>1</v>
          </cell>
        </row>
        <row r="156">
          <cell r="AS156">
            <v>0.78455161257709027</v>
          </cell>
        </row>
        <row r="157">
          <cell r="AS157">
            <v>0.15195632393084621</v>
          </cell>
        </row>
        <row r="158">
          <cell r="AS158">
            <v>7.2136285512081691E-2</v>
          </cell>
        </row>
        <row r="159">
          <cell r="AS159">
            <v>-8.6442220200181989E-3</v>
          </cell>
        </row>
        <row r="163">
          <cell r="AS163">
            <v>0.13019013208552982</v>
          </cell>
        </row>
        <row r="164">
          <cell r="AS164">
            <v>0.20066716661063846</v>
          </cell>
        </row>
        <row r="165">
          <cell r="AS165">
            <v>4.9855707035525922E-2</v>
          </cell>
        </row>
        <row r="166">
          <cell r="AS166">
            <v>0.11842323651452281</v>
          </cell>
        </row>
        <row r="167">
          <cell r="AS167">
            <v>-7.5630252100840331E-2</v>
          </cell>
        </row>
        <row r="173">
          <cell r="AS173">
            <v>152.15199999999999</v>
          </cell>
          <cell r="AU173">
            <v>209.45899999999995</v>
          </cell>
          <cell r="AV173">
            <v>382.84499999999997</v>
          </cell>
          <cell r="AX173">
            <v>302.95700000000005</v>
          </cell>
          <cell r="AY173">
            <v>554.40200000000004</v>
          </cell>
          <cell r="BA173">
            <v>329.64499999999998</v>
          </cell>
          <cell r="BB173">
            <v>617.85700000000008</v>
          </cell>
          <cell r="BD173">
            <v>218.44200000000001</v>
          </cell>
          <cell r="BE173">
            <v>528.24299999999994</v>
          </cell>
          <cell r="BJ173">
            <v>233.43700000000007</v>
          </cell>
          <cell r="BK173">
            <v>441.94200000000001</v>
          </cell>
          <cell r="BM173">
            <v>248.08262600976809</v>
          </cell>
          <cell r="BN173">
            <v>493.42821610129579</v>
          </cell>
          <cell r="BP173">
            <v>261.41342441985603</v>
          </cell>
          <cell r="BQ173">
            <v>518.37314762532083</v>
          </cell>
          <cell r="BS173">
            <v>280.38076827722529</v>
          </cell>
          <cell r="BT173">
            <v>553.37785199813652</v>
          </cell>
          <cell r="BV173">
            <v>294.1927316331076</v>
          </cell>
          <cell r="BW173">
            <v>582.06170638486321</v>
          </cell>
          <cell r="BY173">
            <v>305.81152112627939</v>
          </cell>
          <cell r="BZ173">
            <v>605.85398635823742</v>
          </cell>
        </row>
        <row r="174">
          <cell r="AS174">
            <v>24.25</v>
          </cell>
          <cell r="AU174">
            <v>44.792999999999992</v>
          </cell>
          <cell r="AV174">
            <v>77.425999999999988</v>
          </cell>
          <cell r="AX174">
            <v>65.643000000000001</v>
          </cell>
          <cell r="AY174">
            <v>123.65299999999999</v>
          </cell>
          <cell r="BA174">
            <v>64.728000000000009</v>
          </cell>
          <cell r="BB174">
            <v>119.223</v>
          </cell>
          <cell r="BD174">
            <v>36.393000000000001</v>
          </cell>
          <cell r="BE174">
            <v>105.946</v>
          </cell>
          <cell r="BJ174">
            <v>-32.262999999999991</v>
          </cell>
          <cell r="BK174">
            <v>-17.932999999999989</v>
          </cell>
          <cell r="BM174">
            <v>56.483840399666384</v>
          </cell>
          <cell r="BN174">
            <v>112.54293165733827</v>
          </cell>
          <cell r="BP174">
            <v>62.3873577627553</v>
          </cell>
          <cell r="BQ174">
            <v>121.03893143359946</v>
          </cell>
          <cell r="BS174">
            <v>69.463502905969293</v>
          </cell>
          <cell r="BT174">
            <v>136.2023385971124</v>
          </cell>
          <cell r="BV174">
            <v>73.902207939528012</v>
          </cell>
          <cell r="BW174">
            <v>145.84846276586649</v>
          </cell>
          <cell r="BY174">
            <v>77.921248190490232</v>
          </cell>
          <cell r="BZ174">
            <v>154.23221867369466</v>
          </cell>
        </row>
        <row r="175">
          <cell r="AS175">
            <v>19.782</v>
          </cell>
        </row>
        <row r="177">
          <cell r="A177" t="str">
            <v>Eliminations</v>
          </cell>
        </row>
        <row r="179">
          <cell r="AS179">
            <v>-17.009</v>
          </cell>
        </row>
        <row r="180">
          <cell r="AS180">
            <v>-0.107</v>
          </cell>
          <cell r="AV180">
            <v>0</v>
          </cell>
          <cell r="AY180">
            <v>0</v>
          </cell>
        </row>
        <row r="182">
          <cell r="AS182">
            <v>-16.495000000000001</v>
          </cell>
          <cell r="AV182">
            <v>-43.607999999999997</v>
          </cell>
          <cell r="AY182">
            <v>-43.694000000000003</v>
          </cell>
          <cell r="BB182">
            <v>-23.545000000000002</v>
          </cell>
          <cell r="BE182">
            <v>-25.98</v>
          </cell>
        </row>
        <row r="184">
          <cell r="AS184" t="str">
            <v>Restated</v>
          </cell>
        </row>
        <row r="185">
          <cell r="AS185">
            <v>7.6479999999999997</v>
          </cell>
          <cell r="AU185">
            <v>0</v>
          </cell>
          <cell r="AV185">
            <v>33.817999999999991</v>
          </cell>
          <cell r="AX185">
            <v>65.643000000000001</v>
          </cell>
          <cell r="AY185">
            <v>79.958999999999989</v>
          </cell>
          <cell r="BA185">
            <v>64.728000000000009</v>
          </cell>
          <cell r="BB185">
            <v>95.677999999999997</v>
          </cell>
          <cell r="BD185">
            <v>36.393000000000001</v>
          </cell>
          <cell r="BE185">
            <v>79.965999999999994</v>
          </cell>
          <cell r="BJ185">
            <v>-32.262999999999991</v>
          </cell>
          <cell r="BK185">
            <v>-17.932999999999989</v>
          </cell>
          <cell r="BM185">
            <v>56.483840399666384</v>
          </cell>
          <cell r="BN185">
            <v>112.54293165733827</v>
          </cell>
          <cell r="BP185">
            <v>62.3873577627553</v>
          </cell>
          <cell r="BQ185">
            <v>121.03893143359946</v>
          </cell>
          <cell r="BS185">
            <v>69.463502905969293</v>
          </cell>
          <cell r="BT185">
            <v>136.2023385971124</v>
          </cell>
          <cell r="BV185">
            <v>73.902207939528012</v>
          </cell>
          <cell r="BW185">
            <v>145.84846276586649</v>
          </cell>
          <cell r="BY185">
            <v>77.921248190490232</v>
          </cell>
          <cell r="BZ185">
            <v>154.23221867369466</v>
          </cell>
        </row>
        <row r="187">
          <cell r="AS187">
            <v>-2.5649999999999999</v>
          </cell>
          <cell r="AU187">
            <v>-6.5309999999999997</v>
          </cell>
          <cell r="AV187">
            <v>-11.148</v>
          </cell>
          <cell r="AX187">
            <v>-15.478999999999999</v>
          </cell>
          <cell r="AY187">
            <v>-23.864999999999998</v>
          </cell>
          <cell r="BA187">
            <v>-15.643000000000001</v>
          </cell>
          <cell r="BB187">
            <v>-28.149000000000001</v>
          </cell>
          <cell r="BD187">
            <v>-7.1740000000000004</v>
          </cell>
          <cell r="BE187">
            <v>-28.497</v>
          </cell>
          <cell r="BJ187">
            <v>-10.733552178805722</v>
          </cell>
          <cell r="BM187">
            <v>-13.076936719986499</v>
          </cell>
          <cell r="BN187">
            <v>-25.356525027458154</v>
          </cell>
          <cell r="BP187">
            <v>-15.061729604099774</v>
          </cell>
          <cell r="BQ187">
            <v>-29.323271401408569</v>
          </cell>
          <cell r="BS187">
            <v>-17.877954543280058</v>
          </cell>
          <cell r="BT187">
            <v>-34.841054561811362</v>
          </cell>
          <cell r="BV187">
            <v>-19.487765871500653</v>
          </cell>
          <cell r="BW187">
            <v>-38.460639385160832</v>
          </cell>
          <cell r="BY187">
            <v>-20.976452094101695</v>
          </cell>
          <cell r="BZ187">
            <v>-41.466336409001364</v>
          </cell>
        </row>
        <row r="189">
          <cell r="AS189">
            <v>5.0830000000000002</v>
          </cell>
          <cell r="AU189">
            <v>-6.5309999999999997</v>
          </cell>
          <cell r="AV189">
            <v>22.669999999999991</v>
          </cell>
          <cell r="AX189">
            <v>50.164000000000001</v>
          </cell>
          <cell r="AY189">
            <v>56.093999999999994</v>
          </cell>
          <cell r="BA189">
            <v>49.085000000000008</v>
          </cell>
          <cell r="BB189">
            <v>67.528999999999996</v>
          </cell>
          <cell r="BD189">
            <v>29.219000000000001</v>
          </cell>
          <cell r="BE189">
            <v>51.468999999999994</v>
          </cell>
          <cell r="BJ189">
            <v>-42.996552178805715</v>
          </cell>
          <cell r="BK189">
            <v>-17.932999999999989</v>
          </cell>
          <cell r="BM189">
            <v>43.406903679679885</v>
          </cell>
          <cell r="BN189">
            <v>87.186406629880111</v>
          </cell>
          <cell r="BP189">
            <v>47.325628158655526</v>
          </cell>
          <cell r="BQ189">
            <v>91.715660032190897</v>
          </cell>
          <cell r="BS189">
            <v>51.585548362689238</v>
          </cell>
          <cell r="BT189">
            <v>101.36128403530104</v>
          </cell>
          <cell r="BV189">
            <v>54.414442068027356</v>
          </cell>
          <cell r="BW189">
            <v>107.38782338070565</v>
          </cell>
          <cell r="BY189">
            <v>56.944796096388536</v>
          </cell>
          <cell r="BZ189">
            <v>112.76588226469329</v>
          </cell>
        </row>
        <row r="192">
          <cell r="AS192">
            <v>424.21100000000001</v>
          </cell>
          <cell r="AV192">
            <v>714.803</v>
          </cell>
          <cell r="AY192">
            <v>843.83299999999997</v>
          </cell>
          <cell r="BB192">
            <v>900.42</v>
          </cell>
          <cell r="BE192">
            <v>887.49199999999996</v>
          </cell>
          <cell r="BK192">
            <v>0</v>
          </cell>
          <cell r="BN192">
            <v>0</v>
          </cell>
          <cell r="BQ192">
            <v>0</v>
          </cell>
          <cell r="BT192">
            <v>0</v>
          </cell>
          <cell r="BW192">
            <v>0</v>
          </cell>
          <cell r="BZ192">
            <v>0</v>
          </cell>
        </row>
        <row r="193">
          <cell r="AS193">
            <v>82.058000000000007</v>
          </cell>
          <cell r="AV193">
            <v>103.977</v>
          </cell>
          <cell r="AY193">
            <v>149.58600000000001</v>
          </cell>
          <cell r="BB193">
            <v>156.32900000000001</v>
          </cell>
          <cell r="BE193">
            <v>158.95400000000001</v>
          </cell>
        </row>
        <row r="194">
          <cell r="AS194">
            <v>30.475000000000001</v>
          </cell>
          <cell r="AV194">
            <v>29.951000000000001</v>
          </cell>
          <cell r="AY194">
            <v>40.613</v>
          </cell>
          <cell r="BB194">
            <v>72.206999999999994</v>
          </cell>
          <cell r="BE194">
            <v>63.072000000000003</v>
          </cell>
        </row>
        <row r="195">
          <cell r="AS195">
            <v>15.590999999999999</v>
          </cell>
          <cell r="AV195">
            <v>4.633</v>
          </cell>
          <cell r="AY195">
            <v>2.3740000000000001</v>
          </cell>
          <cell r="BB195">
            <v>14.712</v>
          </cell>
          <cell r="BK195">
            <v>0</v>
          </cell>
          <cell r="BN195">
            <v>0</v>
          </cell>
          <cell r="BQ195">
            <v>0</v>
          </cell>
          <cell r="BT195">
            <v>0</v>
          </cell>
          <cell r="BW195">
            <v>0</v>
          </cell>
          <cell r="BZ195">
            <v>0</v>
          </cell>
        </row>
        <row r="196">
          <cell r="BJ196">
            <v>619.91099999999994</v>
          </cell>
          <cell r="BK196">
            <v>619.91099999999994</v>
          </cell>
          <cell r="BM196">
            <v>634.80301026768711</v>
          </cell>
          <cell r="BN196">
            <v>634.80301026768711</v>
          </cell>
          <cell r="BP196">
            <v>685.72169967302261</v>
          </cell>
          <cell r="BQ196">
            <v>685.72169967302261</v>
          </cell>
          <cell r="BS196">
            <v>745.67582534500173</v>
          </cell>
          <cell r="BT196">
            <v>745.67582534500173</v>
          </cell>
          <cell r="BV196">
            <v>789.44075126628752</v>
          </cell>
          <cell r="BW196">
            <v>789.44075126628752</v>
          </cell>
          <cell r="BY196">
            <v>834.00712353120377</v>
          </cell>
          <cell r="BZ196">
            <v>834.00712353120377</v>
          </cell>
        </row>
        <row r="197">
          <cell r="BJ197">
            <v>54.561999999999998</v>
          </cell>
          <cell r="BK197">
            <v>54.561999999999998</v>
          </cell>
          <cell r="BM197">
            <v>54.989825912635389</v>
          </cell>
          <cell r="BN197">
            <v>54.989825912635389</v>
          </cell>
          <cell r="BP197">
            <v>55.391571265048086</v>
          </cell>
          <cell r="BQ197">
            <v>55.391571265048086</v>
          </cell>
          <cell r="BS197">
            <v>55.908434494190104</v>
          </cell>
          <cell r="BT197">
            <v>55.908434494190104</v>
          </cell>
          <cell r="BV197">
            <v>56.496993426487563</v>
          </cell>
          <cell r="BW197">
            <v>56.496993426487563</v>
          </cell>
          <cell r="BY197">
            <v>57.18479678342289</v>
          </cell>
          <cell r="BZ197">
            <v>57.18479678342289</v>
          </cell>
        </row>
        <row r="198">
          <cell r="BJ198">
            <v>25.295000000000002</v>
          </cell>
          <cell r="BK198">
            <v>25.295000000000002</v>
          </cell>
          <cell r="BM198">
            <v>25.140756343742932</v>
          </cell>
          <cell r="BN198">
            <v>25.140756343742932</v>
          </cell>
          <cell r="BP198">
            <v>24.987453233265487</v>
          </cell>
          <cell r="BQ198">
            <v>24.987453233265487</v>
          </cell>
          <cell r="BS198">
            <v>24.83508493331485</v>
          </cell>
          <cell r="BT198">
            <v>24.83508493331485</v>
          </cell>
          <cell r="BV198">
            <v>24.68364574361059</v>
          </cell>
          <cell r="BW198">
            <v>24.68364574361059</v>
          </cell>
          <cell r="BY198">
            <v>24.533129998631399</v>
          </cell>
          <cell r="BZ198">
            <v>24.533129998631399</v>
          </cell>
        </row>
        <row r="199">
          <cell r="BJ199">
            <v>115.363</v>
          </cell>
          <cell r="BK199">
            <v>115.363</v>
          </cell>
          <cell r="BM199">
            <v>109.71866042032173</v>
          </cell>
          <cell r="BN199">
            <v>109.71866042032173</v>
          </cell>
          <cell r="BP199">
            <v>101.34082274008733</v>
          </cell>
          <cell r="BQ199">
            <v>101.34082274008733</v>
          </cell>
          <cell r="BS199">
            <v>92.927687273960643</v>
          </cell>
          <cell r="BT199">
            <v>92.927687273960643</v>
          </cell>
          <cell r="BV199">
            <v>87.497266769519797</v>
          </cell>
          <cell r="BW199">
            <v>87.497266769519797</v>
          </cell>
          <cell r="BY199">
            <v>83.016465738513475</v>
          </cell>
          <cell r="BZ199">
            <v>83.016465738513475</v>
          </cell>
        </row>
        <row r="200">
          <cell r="BJ200">
            <v>150.68899999999999</v>
          </cell>
          <cell r="BK200">
            <v>150.68899999999999</v>
          </cell>
          <cell r="BM200">
            <v>154.48008680993308</v>
          </cell>
          <cell r="BN200">
            <v>154.48008680993308</v>
          </cell>
          <cell r="BP200">
            <v>148.36258728695196</v>
          </cell>
          <cell r="BQ200">
            <v>148.36258728695196</v>
          </cell>
          <cell r="BS200">
            <v>138.21975927463927</v>
          </cell>
          <cell r="BT200">
            <v>138.21975927463927</v>
          </cell>
          <cell r="BV200">
            <v>129.49681060383776</v>
          </cell>
          <cell r="BW200">
            <v>129.49681060383776</v>
          </cell>
          <cell r="BY200">
            <v>119.27065872459485</v>
          </cell>
          <cell r="BZ200">
            <v>119.27065872459485</v>
          </cell>
        </row>
        <row r="201">
          <cell r="BJ201">
            <v>4.8710000000000004</v>
          </cell>
          <cell r="BK201">
            <v>4.8710000000000004</v>
          </cell>
          <cell r="BM201">
            <v>0</v>
          </cell>
          <cell r="BN201">
            <v>0</v>
          </cell>
          <cell r="BP201">
            <v>0</v>
          </cell>
          <cell r="BQ201">
            <v>0</v>
          </cell>
          <cell r="BS201">
            <v>0</v>
          </cell>
          <cell r="BT201">
            <v>0</v>
          </cell>
          <cell r="BV201">
            <v>0</v>
          </cell>
          <cell r="BW201">
            <v>0</v>
          </cell>
          <cell r="BY201">
            <v>0</v>
          </cell>
          <cell r="BZ201">
            <v>0</v>
          </cell>
        </row>
        <row r="202">
          <cell r="BJ202">
            <v>0</v>
          </cell>
          <cell r="BK202">
            <v>2.73</v>
          </cell>
          <cell r="BM202">
            <v>0</v>
          </cell>
          <cell r="BN202">
            <v>0</v>
          </cell>
          <cell r="BP202">
            <v>0</v>
          </cell>
          <cell r="BQ202">
            <v>0</v>
          </cell>
          <cell r="BS202">
            <v>0</v>
          </cell>
          <cell r="BT202">
            <v>0</v>
          </cell>
          <cell r="BV202">
            <v>0</v>
          </cell>
          <cell r="BW202">
            <v>0</v>
          </cell>
          <cell r="BY202">
            <v>0</v>
          </cell>
          <cell r="BZ202">
            <v>0</v>
          </cell>
        </row>
        <row r="207">
          <cell r="AS207">
            <v>15.156000000000001</v>
          </cell>
          <cell r="AV207">
            <v>39.103000000000002</v>
          </cell>
          <cell r="AY207">
            <v>52.677</v>
          </cell>
          <cell r="BB207">
            <v>23.334</v>
          </cell>
          <cell r="BE207">
            <v>10.435</v>
          </cell>
          <cell r="BK207">
            <v>31.387250000000002</v>
          </cell>
          <cell r="BN207">
            <v>29.458312499999998</v>
          </cell>
          <cell r="BQ207">
            <v>23.653640625000001</v>
          </cell>
          <cell r="BT207">
            <v>23.733550781250003</v>
          </cell>
          <cell r="BW207">
            <v>27.058188476562503</v>
          </cell>
          <cell r="BZ207">
            <v>25.975923095703127</v>
          </cell>
        </row>
        <row r="208">
          <cell r="AS208">
            <v>567.49099999999999</v>
          </cell>
          <cell r="AV208">
            <v>892.46699999999998</v>
          </cell>
          <cell r="AY208">
            <v>1089.0829999999999</v>
          </cell>
          <cell r="BB208">
            <v>1167.0020000000002</v>
          </cell>
          <cell r="BE208">
            <v>1119.953</v>
          </cell>
          <cell r="BK208">
            <v>1004.8082499999998</v>
          </cell>
          <cell r="BN208">
            <v>1008.5906522543204</v>
          </cell>
          <cell r="BQ208">
            <v>1039.4577748233755</v>
          </cell>
          <cell r="BT208">
            <v>1081.3003421023566</v>
          </cell>
          <cell r="BW208">
            <v>1114.6736562863057</v>
          </cell>
          <cell r="BZ208">
            <v>1143.9880978720696</v>
          </cell>
        </row>
        <row r="211">
          <cell r="AS211">
            <v>28.036000000000001</v>
          </cell>
          <cell r="AV211">
            <v>34.548999999999999</v>
          </cell>
          <cell r="AY211">
            <v>14.994999999999999</v>
          </cell>
          <cell r="BB211">
            <v>16.062999999999999</v>
          </cell>
          <cell r="BE211">
            <v>44.936999999999998</v>
          </cell>
          <cell r="BK211">
            <v>0</v>
          </cell>
          <cell r="BN211">
            <v>0</v>
          </cell>
          <cell r="BQ211">
            <v>0</v>
          </cell>
          <cell r="BT211">
            <v>0</v>
          </cell>
          <cell r="BW211">
            <v>0</v>
          </cell>
          <cell r="BZ211">
            <v>0</v>
          </cell>
        </row>
        <row r="212">
          <cell r="AS212">
            <v>8.4640000000000004</v>
          </cell>
          <cell r="AV212">
            <v>12.331</v>
          </cell>
          <cell r="AY212">
            <v>12.510999999999999</v>
          </cell>
          <cell r="BB212">
            <v>12.891</v>
          </cell>
          <cell r="BE212">
            <v>8.6880000000000006</v>
          </cell>
        </row>
        <row r="213">
          <cell r="AS213">
            <v>3.1469999999999998</v>
          </cell>
          <cell r="AV213">
            <v>3.069</v>
          </cell>
          <cell r="AY213">
            <v>1.33</v>
          </cell>
          <cell r="BB213">
            <v>1.772</v>
          </cell>
          <cell r="BE213">
            <v>2.1080000000000001</v>
          </cell>
        </row>
        <row r="214">
          <cell r="AS214">
            <v>0</v>
          </cell>
          <cell r="AV214">
            <v>0.27900000000000003</v>
          </cell>
          <cell r="AY214">
            <v>0</v>
          </cell>
          <cell r="BB214">
            <v>0</v>
          </cell>
          <cell r="BK214">
            <v>0</v>
          </cell>
          <cell r="BN214">
            <v>0</v>
          </cell>
          <cell r="BQ214">
            <v>0</v>
          </cell>
          <cell r="BT214">
            <v>0</v>
          </cell>
          <cell r="BW214">
            <v>0</v>
          </cell>
          <cell r="BZ214">
            <v>0</v>
          </cell>
        </row>
        <row r="216">
          <cell r="AS216">
            <v>371.73</v>
          </cell>
          <cell r="AV216">
            <v>605.97</v>
          </cell>
          <cell r="AY216">
            <v>387.36799999999999</v>
          </cell>
          <cell r="BB216">
            <v>434.54</v>
          </cell>
          <cell r="BE216">
            <v>381.35399999999998</v>
          </cell>
          <cell r="BK216">
            <v>452.30799999999999</v>
          </cell>
          <cell r="BN216">
            <v>413.89249999999998</v>
          </cell>
          <cell r="BQ216">
            <v>420.52362499999998</v>
          </cell>
          <cell r="BT216">
            <v>417.01953125</v>
          </cell>
          <cell r="BW216">
            <v>425.93591406249999</v>
          </cell>
          <cell r="BZ216">
            <v>419.34289257812497</v>
          </cell>
        </row>
        <row r="217">
          <cell r="AS217">
            <v>411.37700000000001</v>
          </cell>
          <cell r="AV217">
            <v>656.19799999999998</v>
          </cell>
          <cell r="AY217">
            <v>416.20400000000001</v>
          </cell>
          <cell r="BB217">
            <v>465.26600000000002</v>
          </cell>
          <cell r="BE217">
            <v>437.08699999999999</v>
          </cell>
          <cell r="BK217">
            <v>452.30799999999999</v>
          </cell>
          <cell r="BN217">
            <v>413.89249999999998</v>
          </cell>
          <cell r="BQ217">
            <v>420.52362499999998</v>
          </cell>
          <cell r="BT217">
            <v>417.01953125</v>
          </cell>
          <cell r="BW217">
            <v>425.93591406249999</v>
          </cell>
          <cell r="BZ217">
            <v>419.34289257812497</v>
          </cell>
        </row>
        <row r="227">
          <cell r="AS227">
            <v>0</v>
          </cell>
          <cell r="AV227">
            <v>0</v>
          </cell>
          <cell r="AY227">
            <v>0</v>
          </cell>
          <cell r="BB227">
            <v>0</v>
          </cell>
          <cell r="BE227">
            <v>0</v>
          </cell>
          <cell r="BK227">
            <v>0</v>
          </cell>
          <cell r="BN227">
            <v>0</v>
          </cell>
          <cell r="BQ227">
            <v>0</v>
          </cell>
          <cell r="BT227">
            <v>0</v>
          </cell>
          <cell r="BW227">
            <v>0</v>
          </cell>
          <cell r="BZ227">
            <v>0</v>
          </cell>
        </row>
        <row r="230">
          <cell r="AS230">
            <v>408.58699999999999</v>
          </cell>
          <cell r="AV230">
            <v>309.84100000000001</v>
          </cell>
          <cell r="AY230">
            <v>236.297</v>
          </cell>
          <cell r="BB230">
            <v>197.11600000000001</v>
          </cell>
          <cell r="BE230">
            <v>118.259</v>
          </cell>
          <cell r="BK230">
            <v>0</v>
          </cell>
          <cell r="BN230">
            <v>0</v>
          </cell>
          <cell r="BQ230">
            <v>0</v>
          </cell>
          <cell r="BT230">
            <v>0</v>
          </cell>
          <cell r="BW230">
            <v>0</v>
          </cell>
          <cell r="BZ230">
            <v>0</v>
          </cell>
        </row>
        <row r="231">
          <cell r="AS231">
            <v>21.030999999999999</v>
          </cell>
          <cell r="AV231">
            <v>2.448</v>
          </cell>
          <cell r="AY231">
            <v>6.5069999999999997</v>
          </cell>
          <cell r="BB231">
            <v>6.8840000000000003</v>
          </cell>
          <cell r="BE231">
            <v>5.0389999999999997</v>
          </cell>
        </row>
        <row r="232">
          <cell r="AS232">
            <v>9.9329999999999998</v>
          </cell>
          <cell r="AV232">
            <v>0.48499999999999999</v>
          </cell>
          <cell r="AY232">
            <v>0.34300000000000003</v>
          </cell>
          <cell r="BB232">
            <v>4.2309999999999999</v>
          </cell>
          <cell r="BE232">
            <v>0.93899999999999995</v>
          </cell>
        </row>
        <row r="233">
          <cell r="AS233">
            <v>2.1999999999999999E-2</v>
          </cell>
          <cell r="AV233">
            <v>0.10299999999999999</v>
          </cell>
          <cell r="AY233">
            <v>5.7000000000000002E-2</v>
          </cell>
          <cell r="BB233">
            <v>0.06</v>
          </cell>
          <cell r="BK233">
            <v>0</v>
          </cell>
          <cell r="BN233">
            <v>0</v>
          </cell>
          <cell r="BQ233">
            <v>0</v>
          </cell>
          <cell r="BT233">
            <v>0</v>
          </cell>
          <cell r="BW233">
            <v>0</v>
          </cell>
          <cell r="BZ233">
            <v>0</v>
          </cell>
        </row>
        <row r="234">
          <cell r="BJ234">
            <v>49.44905</v>
          </cell>
          <cell r="BK234">
            <v>96.834999999999994</v>
          </cell>
          <cell r="BM234">
            <v>54.61863888983234</v>
          </cell>
          <cell r="BN234">
            <v>95.115930162073951</v>
          </cell>
          <cell r="BP234">
            <v>59.631085452873521</v>
          </cell>
          <cell r="BQ234">
            <v>109.02300398696087</v>
          </cell>
          <cell r="BS234">
            <v>69.117352467906272</v>
          </cell>
          <cell r="BT234">
            <v>124.33078984564121</v>
          </cell>
          <cell r="BV234">
            <v>56.606165861611046</v>
          </cell>
          <cell r="BW234">
            <v>121.22756327627039</v>
          </cell>
          <cell r="BY234">
            <v>60.370256753565542</v>
          </cell>
          <cell r="BZ234">
            <v>127.05589275366907</v>
          </cell>
        </row>
        <row r="235">
          <cell r="BJ235">
            <v>0.69750000000000001</v>
          </cell>
          <cell r="BK235">
            <v>0.93</v>
          </cell>
          <cell r="BM235">
            <v>0.49494380923609937</v>
          </cell>
          <cell r="BN235">
            <v>1.0095477342993755</v>
          </cell>
          <cell r="BP235">
            <v>0.56072869230735911</v>
          </cell>
          <cell r="BQ235">
            <v>0.98746369466290451</v>
          </cell>
          <cell r="BS235">
            <v>0.60351622976549213</v>
          </cell>
          <cell r="BT235">
            <v>1.1075513674943958</v>
          </cell>
          <cell r="BV235">
            <v>0.65550616089271874</v>
          </cell>
          <cell r="BW235">
            <v>1.1850465165186772</v>
          </cell>
          <cell r="BY235">
            <v>0.71052788967088232</v>
          </cell>
          <cell r="BZ235">
            <v>1.2910577956419163</v>
          </cell>
        </row>
        <row r="236">
          <cell r="BJ236">
            <v>0</v>
          </cell>
          <cell r="BK236">
            <v>0</v>
          </cell>
          <cell r="BM236">
            <v>0</v>
          </cell>
          <cell r="BN236">
            <v>0</v>
          </cell>
          <cell r="BP236">
            <v>0</v>
          </cell>
          <cell r="BQ236">
            <v>0</v>
          </cell>
          <cell r="BS236">
            <v>0</v>
          </cell>
          <cell r="BT236">
            <v>0</v>
          </cell>
          <cell r="BV236">
            <v>0</v>
          </cell>
          <cell r="BW236">
            <v>0</v>
          </cell>
          <cell r="BY236">
            <v>0</v>
          </cell>
          <cell r="BZ236">
            <v>0</v>
          </cell>
        </row>
        <row r="237">
          <cell r="BJ237">
            <v>9.0326499999999985</v>
          </cell>
          <cell r="BK237">
            <v>16.422999999999998</v>
          </cell>
          <cell r="BM237">
            <v>11.197589385510236</v>
          </cell>
          <cell r="BN237">
            <v>21.225576494293641</v>
          </cell>
          <cell r="BP237">
            <v>14.338653266547395</v>
          </cell>
          <cell r="BQ237">
            <v>23.14078196641589</v>
          </cell>
          <cell r="BS237">
            <v>11.610897728694855</v>
          </cell>
          <cell r="BT237">
            <v>21.923146316178396</v>
          </cell>
          <cell r="BV237">
            <v>12.01237920416961</v>
          </cell>
          <cell r="BW237">
            <v>22.287771133390404</v>
          </cell>
          <cell r="BY237">
            <v>12.204351640349419</v>
          </cell>
          <cell r="BZ237">
            <v>22.430564467236142</v>
          </cell>
        </row>
        <row r="238">
          <cell r="BJ238">
            <v>17.674900000000001</v>
          </cell>
          <cell r="BK238">
            <v>28.678000000000001</v>
          </cell>
          <cell r="BM238">
            <v>6.0478309410178035</v>
          </cell>
          <cell r="BN238">
            <v>15.925322563808141</v>
          </cell>
          <cell r="BP238">
            <v>6.0179603772823178</v>
          </cell>
          <cell r="BQ238">
            <v>17.908120081577078</v>
          </cell>
          <cell r="BS238">
            <v>4.9362238135357011</v>
          </cell>
          <cell r="BT238">
            <v>13.120495503702617</v>
          </cell>
          <cell r="BV238">
            <v>3.6491868762442898</v>
          </cell>
          <cell r="BW238">
            <v>10.740739000285343</v>
          </cell>
          <cell r="BY238">
            <v>2.9729058161292023</v>
          </cell>
          <cell r="BZ238">
            <v>8.3953655108763954</v>
          </cell>
        </row>
        <row r="239">
          <cell r="BJ239">
            <v>0</v>
          </cell>
          <cell r="BK239">
            <v>0</v>
          </cell>
          <cell r="BM239">
            <v>0</v>
          </cell>
          <cell r="BN239">
            <v>0</v>
          </cell>
          <cell r="BP239">
            <v>0</v>
          </cell>
          <cell r="BQ239">
            <v>0</v>
          </cell>
          <cell r="BS239">
            <v>0</v>
          </cell>
          <cell r="BT239">
            <v>0</v>
          </cell>
          <cell r="BV239">
            <v>0</v>
          </cell>
          <cell r="BW239">
            <v>0</v>
          </cell>
          <cell r="BY239">
            <v>0</v>
          </cell>
          <cell r="BZ239">
            <v>0</v>
          </cell>
        </row>
        <row r="240">
          <cell r="BJ240">
            <v>0</v>
          </cell>
          <cell r="BK240">
            <v>0</v>
          </cell>
          <cell r="BM240">
            <v>0</v>
          </cell>
          <cell r="BN240">
            <v>0</v>
          </cell>
          <cell r="BP240">
            <v>0</v>
          </cell>
          <cell r="BQ240">
            <v>0</v>
          </cell>
          <cell r="BS240">
            <v>0</v>
          </cell>
          <cell r="BT240">
            <v>0</v>
          </cell>
          <cell r="BV240">
            <v>0</v>
          </cell>
          <cell r="BW240">
            <v>0</v>
          </cell>
          <cell r="BY240">
            <v>0</v>
          </cell>
          <cell r="BZ240">
            <v>0</v>
          </cell>
        </row>
        <row r="243">
          <cell r="AS243">
            <v>0.13900000000000001</v>
          </cell>
          <cell r="AV243">
            <v>0.13200000000000001</v>
          </cell>
          <cell r="BK243">
            <v>0.13200000000000001</v>
          </cell>
          <cell r="BN243">
            <v>0.13200000000000001</v>
          </cell>
          <cell r="BQ243">
            <v>0.13200000000000001</v>
          </cell>
          <cell r="BT243">
            <v>0.13200000000000001</v>
          </cell>
          <cell r="BW243">
            <v>0.13200000000000001</v>
          </cell>
          <cell r="BZ243">
            <v>0.13200000000000001</v>
          </cell>
        </row>
        <row r="245">
          <cell r="AS245">
            <v>439.71199999999999</v>
          </cell>
          <cell r="AV245">
            <v>313.00900000000001</v>
          </cell>
          <cell r="AY245">
            <v>243.20399999999998</v>
          </cell>
          <cell r="BB245">
            <v>208.291</v>
          </cell>
          <cell r="BE245">
            <v>124.23699999999999</v>
          </cell>
          <cell r="BK245">
            <v>142.99800000000002</v>
          </cell>
          <cell r="BN245">
            <v>133.40837695447513</v>
          </cell>
          <cell r="BQ245">
            <v>151.19136972961675</v>
          </cell>
          <cell r="BT245">
            <v>160.61398303301661</v>
          </cell>
          <cell r="BW245">
            <v>155.57311992646481</v>
          </cell>
          <cell r="BZ245">
            <v>159.30488052742351</v>
          </cell>
        </row>
        <row r="246">
          <cell r="BK246">
            <v>155.05000000000001</v>
          </cell>
          <cell r="BN246">
            <v>133.40837695447513</v>
          </cell>
          <cell r="BQ246">
            <v>151.19136972961675</v>
          </cell>
          <cell r="BT246">
            <v>160.61398303301661</v>
          </cell>
          <cell r="BW246">
            <v>155.57311992646481</v>
          </cell>
          <cell r="BZ246">
            <v>159.30488052742351</v>
          </cell>
        </row>
        <row r="257">
          <cell r="AS257">
            <v>0</v>
          </cell>
          <cell r="AV257">
            <v>0</v>
          </cell>
          <cell r="AY257">
            <v>0</v>
          </cell>
          <cell r="BB257">
            <v>0</v>
          </cell>
          <cell r="BE257">
            <v>0</v>
          </cell>
          <cell r="BK257">
            <v>0</v>
          </cell>
          <cell r="BN257">
            <v>0</v>
          </cell>
          <cell r="BQ257">
            <v>0</v>
          </cell>
          <cell r="BT257">
            <v>0</v>
          </cell>
          <cell r="BW257">
            <v>0</v>
          </cell>
          <cell r="BZ257">
            <v>0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>
        <row r="1">
          <cell r="N1" t="str">
            <v>Second Half</v>
          </cell>
          <cell r="T1" t="str">
            <v>Second Half</v>
          </cell>
          <cell r="W1" t="str">
            <v>Second Half</v>
          </cell>
          <cell r="Z1" t="str">
            <v>Second Half</v>
          </cell>
          <cell r="AC1" t="str">
            <v>Second Half</v>
          </cell>
          <cell r="AF1" t="str">
            <v>Second Half</v>
          </cell>
          <cell r="AI1" t="str">
            <v>Second Half</v>
          </cell>
          <cell r="AL1" t="str">
            <v>Second Half</v>
          </cell>
          <cell r="AR1" t="str">
            <v>Second Half</v>
          </cell>
          <cell r="AU1" t="str">
            <v>Second Half</v>
          </cell>
          <cell r="AX1" t="str">
            <v>Second Half</v>
          </cell>
          <cell r="BA1" t="str">
            <v>Second Half</v>
          </cell>
          <cell r="BD1" t="str">
            <v>Second Half</v>
          </cell>
          <cell r="BJ1" t="str">
            <v>Second Half</v>
          </cell>
          <cell r="BM1" t="str">
            <v>Second Half</v>
          </cell>
          <cell r="BP1" t="str">
            <v>Second Half</v>
          </cell>
          <cell r="BS1" t="str">
            <v>Second Half</v>
          </cell>
          <cell r="BV1" t="str">
            <v>Second Half</v>
          </cell>
          <cell r="BY1" t="str">
            <v>Second Half</v>
          </cell>
        </row>
        <row r="2">
          <cell r="T2" t="str">
            <v>N</v>
          </cell>
          <cell r="W2" t="str">
            <v>N</v>
          </cell>
          <cell r="Z2" t="str">
            <v>N</v>
          </cell>
          <cell r="AC2" t="str">
            <v>N</v>
          </cell>
          <cell r="AF2" t="str">
            <v>N</v>
          </cell>
          <cell r="AI2" t="str">
            <v>N</v>
          </cell>
          <cell r="AL2" t="str">
            <v>N</v>
          </cell>
          <cell r="AR2" t="str">
            <v>N</v>
          </cell>
          <cell r="AU2" t="str">
            <v>A</v>
          </cell>
          <cell r="AX2" t="str">
            <v>A</v>
          </cell>
          <cell r="BA2" t="str">
            <v>A</v>
          </cell>
          <cell r="BD2" t="str">
            <v>E</v>
          </cell>
          <cell r="BJ2" t="str">
            <v>E</v>
          </cell>
          <cell r="BM2" t="str">
            <v>N</v>
          </cell>
          <cell r="BP2" t="str">
            <v>N</v>
          </cell>
          <cell r="BS2" t="str">
            <v>N</v>
          </cell>
          <cell r="BV2" t="str">
            <v>N</v>
          </cell>
          <cell r="BY2" t="str">
            <v>N</v>
          </cell>
        </row>
        <row r="3">
          <cell r="T3">
            <v>35976</v>
          </cell>
          <cell r="W3">
            <v>36341</v>
          </cell>
          <cell r="Z3">
            <v>36707</v>
          </cell>
          <cell r="AC3">
            <v>37072</v>
          </cell>
          <cell r="AF3">
            <v>37437</v>
          </cell>
          <cell r="AI3">
            <v>37802</v>
          </cell>
          <cell r="AL3">
            <v>38168</v>
          </cell>
          <cell r="AR3">
            <v>38533</v>
          </cell>
          <cell r="AU3">
            <v>38898</v>
          </cell>
          <cell r="AX3">
            <v>39263</v>
          </cell>
          <cell r="BA3">
            <v>39629</v>
          </cell>
          <cell r="BD3">
            <v>39994</v>
          </cell>
          <cell r="BJ3">
            <v>40359</v>
          </cell>
          <cell r="BM3">
            <v>40724</v>
          </cell>
          <cell r="BP3">
            <v>41090</v>
          </cell>
          <cell r="BS3">
            <v>41455</v>
          </cell>
          <cell r="BV3">
            <v>41820</v>
          </cell>
          <cell r="BY3">
            <v>42185</v>
          </cell>
        </row>
        <row r="7">
          <cell r="AU7">
            <v>19.239999999999998</v>
          </cell>
          <cell r="AX7">
            <v>27.74</v>
          </cell>
          <cell r="BA7">
            <v>16.803999999999998</v>
          </cell>
          <cell r="BD7">
            <v>10.422000000000001</v>
          </cell>
          <cell r="BJ7">
            <v>5.2389999999999999</v>
          </cell>
          <cell r="BM7">
            <v>16.365005257410832</v>
          </cell>
          <cell r="BP7">
            <v>22.282946750524793</v>
          </cell>
          <cell r="BS7">
            <v>37.805469419708473</v>
          </cell>
          <cell r="BV7">
            <v>70.583847588514345</v>
          </cell>
          <cell r="BY7">
            <v>124.19339474445209</v>
          </cell>
        </row>
        <row r="8">
          <cell r="AU8">
            <v>74.665999999999997</v>
          </cell>
          <cell r="AX8">
            <v>88.703000000000003</v>
          </cell>
          <cell r="BA8">
            <v>103.212</v>
          </cell>
          <cell r="BD8">
            <v>77.691000000000003</v>
          </cell>
          <cell r="BJ8">
            <v>90.326999999999998</v>
          </cell>
          <cell r="BM8">
            <v>97.232411816766415</v>
          </cell>
          <cell r="BP8">
            <v>102.67038880426765</v>
          </cell>
          <cell r="BS8">
            <v>112.9212401360836</v>
          </cell>
          <cell r="BV8">
            <v>116.88290318281943</v>
          </cell>
          <cell r="BY8">
            <v>121.73692230435634</v>
          </cell>
        </row>
        <row r="9">
          <cell r="AU9">
            <v>115.438</v>
          </cell>
          <cell r="AX9">
            <v>187.131</v>
          </cell>
          <cell r="BA9">
            <v>187.328</v>
          </cell>
          <cell r="BD9">
            <v>142.65</v>
          </cell>
          <cell r="BJ9">
            <v>87.016999999999996</v>
          </cell>
          <cell r="BM9">
            <v>63.981598250835383</v>
          </cell>
          <cell r="BP9">
            <v>61.870261618633336</v>
          </cell>
          <cell r="BS9">
            <v>62.759008987136895</v>
          </cell>
          <cell r="BV9">
            <v>69.242600939535365</v>
          </cell>
          <cell r="BY9">
            <v>71.291945592926567</v>
          </cell>
        </row>
        <row r="11">
          <cell r="AU11">
            <v>4.0179999999999998</v>
          </cell>
          <cell r="AX11">
            <v>2.9319999999999999</v>
          </cell>
          <cell r="BA11">
            <v>3.036</v>
          </cell>
          <cell r="BD11">
            <v>0</v>
          </cell>
          <cell r="BJ11">
            <v>0.65600000000000003</v>
          </cell>
          <cell r="BM11">
            <v>0.435</v>
          </cell>
          <cell r="BP11">
            <v>0.435</v>
          </cell>
          <cell r="BS11">
            <v>0.435</v>
          </cell>
          <cell r="BV11">
            <v>0.435</v>
          </cell>
          <cell r="BY11">
            <v>0.435</v>
          </cell>
        </row>
        <row r="12">
          <cell r="AU12">
            <v>12.345000000000001</v>
          </cell>
          <cell r="AX12">
            <v>8.8460000000000001</v>
          </cell>
          <cell r="BA12">
            <v>7.0110000000000001</v>
          </cell>
          <cell r="BD12">
            <v>5.31</v>
          </cell>
          <cell r="BJ12">
            <v>4.55</v>
          </cell>
          <cell r="BM12">
            <v>4.0529999999999999</v>
          </cell>
          <cell r="BP12">
            <v>4.0529999999999999</v>
          </cell>
          <cell r="BS12">
            <v>4.0529999999999999</v>
          </cell>
          <cell r="BV12">
            <v>4.0529999999999999</v>
          </cell>
          <cell r="BY12">
            <v>4.0529999999999999</v>
          </cell>
        </row>
        <row r="14">
          <cell r="BJ14">
            <v>38.412999999999997</v>
          </cell>
          <cell r="BM14">
            <v>8.7279999999999998</v>
          </cell>
        </row>
        <row r="15">
          <cell r="BM15">
            <v>0</v>
          </cell>
          <cell r="BP15">
            <v>0</v>
          </cell>
          <cell r="BS15">
            <v>0</v>
          </cell>
          <cell r="BV15">
            <v>0</v>
          </cell>
          <cell r="BY15">
            <v>0</v>
          </cell>
        </row>
        <row r="18">
          <cell r="T18">
            <v>0</v>
          </cell>
          <cell r="W18">
            <v>0</v>
          </cell>
          <cell r="Z18">
            <v>0</v>
          </cell>
          <cell r="AC18">
            <v>0</v>
          </cell>
          <cell r="AF18">
            <v>0</v>
          </cell>
          <cell r="AI18">
            <v>0</v>
          </cell>
          <cell r="AL18">
            <v>0</v>
          </cell>
          <cell r="AR18">
            <v>0</v>
          </cell>
          <cell r="AU18">
            <v>225.70699999999999</v>
          </cell>
          <cell r="AX18">
            <v>315.35200000000003</v>
          </cell>
          <cell r="BA18">
            <v>317.39100000000002</v>
          </cell>
          <cell r="BD18">
            <v>236.07300000000001</v>
          </cell>
          <cell r="BJ18">
            <v>226.202</v>
          </cell>
          <cell r="BM18">
            <v>177.57901532501262</v>
          </cell>
          <cell r="BP18">
            <v>186.82359717342575</v>
          </cell>
          <cell r="BS18">
            <v>213.48571854292896</v>
          </cell>
          <cell r="BV18">
            <v>256.70935171086916</v>
          </cell>
          <cell r="BY18">
            <v>317.22226264173503</v>
          </cell>
        </row>
        <row r="20">
          <cell r="AU20">
            <v>0.19502931995977482</v>
          </cell>
          <cell r="AX20">
            <v>0.1599976190562083</v>
          </cell>
          <cell r="BA20">
            <v>0.16702592484707252</v>
          </cell>
          <cell r="BD20">
            <v>0.147074357823956</v>
          </cell>
          <cell r="BJ20">
            <v>0.22305221022375102</v>
          </cell>
          <cell r="BM20">
            <v>0.19705482711350578</v>
          </cell>
          <cell r="BP20">
            <v>0.19806270690255279</v>
          </cell>
          <cell r="BS20">
            <v>0.20405811278559058</v>
          </cell>
          <cell r="BV20">
            <v>0.20080843989680994</v>
          </cell>
          <cell r="BY20">
            <v>0.20093442487044083</v>
          </cell>
        </row>
        <row r="21">
          <cell r="AU21">
            <v>0.30152672752680587</v>
          </cell>
          <cell r="AX21">
            <v>0.33753666112315611</v>
          </cell>
          <cell r="BA21">
            <v>0.30314917305887301</v>
          </cell>
          <cell r="BD21">
            <v>0.27004617193223573</v>
          </cell>
          <cell r="BJ21">
            <v>0.21487854325993491</v>
          </cell>
          <cell r="BM21">
            <v>0.12966748994690772</v>
          </cell>
          <cell r="BP21">
            <v>0.11935468089360418</v>
          </cell>
          <cell r="BS21">
            <v>0.11341077124884325</v>
          </cell>
          <cell r="BV21">
            <v>0.1189609283345496</v>
          </cell>
          <cell r="BY21">
            <v>0.11767182720288666</v>
          </cell>
        </row>
        <row r="23">
          <cell r="AU23">
            <v>16.363</v>
          </cell>
          <cell r="AX23">
            <v>11.778</v>
          </cell>
          <cell r="BA23">
            <v>10.047000000000001</v>
          </cell>
          <cell r="BD23">
            <v>5.31</v>
          </cell>
          <cell r="BJ23">
            <v>43.619</v>
          </cell>
          <cell r="BM23">
            <v>0</v>
          </cell>
          <cell r="BP23">
            <v>0</v>
          </cell>
          <cell r="BS23">
            <v>0</v>
          </cell>
          <cell r="BV23">
            <v>0</v>
          </cell>
          <cell r="BY23">
            <v>0</v>
          </cell>
        </row>
        <row r="26">
          <cell r="AU26">
            <v>8.3789999999999996</v>
          </cell>
          <cell r="AX26">
            <v>3.669</v>
          </cell>
          <cell r="BA26">
            <v>0.57599999999999996</v>
          </cell>
          <cell r="BD26">
            <v>8.5000000000000006E-2</v>
          </cell>
          <cell r="BJ26">
            <v>1.4E-2</v>
          </cell>
          <cell r="BM26">
            <v>10.911397136751477</v>
          </cell>
          <cell r="BP26">
            <v>11.521645565464315</v>
          </cell>
          <cell r="BS26">
            <v>12.671993559320766</v>
          </cell>
          <cell r="BV26">
            <v>13.116570403782765</v>
          </cell>
          <cell r="BY26">
            <v>13.661287225620788</v>
          </cell>
        </row>
        <row r="27">
          <cell r="AU27">
            <v>5.8000000000000003E-2</v>
          </cell>
        </row>
        <row r="30">
          <cell r="AU30">
            <v>442.95299999999997</v>
          </cell>
          <cell r="AX30">
            <v>544.303</v>
          </cell>
          <cell r="BA30">
            <v>621.99</v>
          </cell>
          <cell r="BD30">
            <v>667.96900000000005</v>
          </cell>
          <cell r="BJ30">
            <v>610.346</v>
          </cell>
          <cell r="BM30">
            <v>635.94091578613836</v>
          </cell>
          <cell r="BP30">
            <v>669.93502397927023</v>
          </cell>
          <cell r="BS30">
            <v>703.9718423234583</v>
          </cell>
          <cell r="BV30">
            <v>728.52564483891172</v>
          </cell>
          <cell r="BY30">
            <v>750.66589911001995</v>
          </cell>
        </row>
        <row r="32">
          <cell r="AU32">
            <v>214.94499999999999</v>
          </cell>
          <cell r="AX32">
            <v>223.39</v>
          </cell>
          <cell r="BA32">
            <v>223.56100000000001</v>
          </cell>
          <cell r="BD32">
            <v>215.82599999999999</v>
          </cell>
          <cell r="BJ32">
            <v>178.19200000000001</v>
          </cell>
          <cell r="BM32">
            <v>177.92100000000002</v>
          </cell>
          <cell r="BP32">
            <v>177.66500000000002</v>
          </cell>
          <cell r="BS32">
            <v>177.66500000000002</v>
          </cell>
          <cell r="BV32">
            <v>177.66500000000002</v>
          </cell>
          <cell r="BY32">
            <v>177.66500000000002</v>
          </cell>
        </row>
        <row r="33">
          <cell r="AX33">
            <v>2.3690000000000002</v>
          </cell>
          <cell r="BA33">
            <v>3.484</v>
          </cell>
          <cell r="BD33">
            <v>0</v>
          </cell>
          <cell r="BM33">
            <v>5.571656987647561</v>
          </cell>
          <cell r="BP33">
            <v>9.5735285435720954</v>
          </cell>
          <cell r="BS33">
            <v>13.035179695053937</v>
          </cell>
          <cell r="BV33">
            <v>15.761643830154288</v>
          </cell>
          <cell r="BY33">
            <v>17.9518909870309</v>
          </cell>
        </row>
        <row r="36">
          <cell r="BM36">
            <v>0</v>
          </cell>
          <cell r="BP36">
            <v>0</v>
          </cell>
          <cell r="BS36">
            <v>0</v>
          </cell>
          <cell r="BV36">
            <v>0</v>
          </cell>
          <cell r="BY36">
            <v>0</v>
          </cell>
        </row>
        <row r="39">
          <cell r="T39">
            <v>0</v>
          </cell>
          <cell r="W39">
            <v>0</v>
          </cell>
          <cell r="Z39">
            <v>0</v>
          </cell>
          <cell r="AC39">
            <v>0</v>
          </cell>
          <cell r="AF39">
            <v>0</v>
          </cell>
          <cell r="AI39">
            <v>0</v>
          </cell>
          <cell r="AL39">
            <v>0</v>
          </cell>
          <cell r="AR39">
            <v>0</v>
          </cell>
          <cell r="AU39">
            <v>666.33500000000004</v>
          </cell>
          <cell r="AX39">
            <v>773.73099999999999</v>
          </cell>
          <cell r="BA39">
            <v>849.6110000000001</v>
          </cell>
          <cell r="BD39">
            <v>883.88000000000011</v>
          </cell>
          <cell r="BJ39">
            <v>788.55200000000002</v>
          </cell>
          <cell r="BM39">
            <v>830.34496991053743</v>
          </cell>
          <cell r="BP39">
            <v>868.6951980883066</v>
          </cell>
          <cell r="BS39">
            <v>907.34401557783292</v>
          </cell>
          <cell r="BV39">
            <v>935.06885907284891</v>
          </cell>
          <cell r="BY39">
            <v>959.94407732267166</v>
          </cell>
        </row>
        <row r="41">
          <cell r="AU41">
            <v>0.11221975196207108</v>
          </cell>
          <cell r="AX41">
            <v>0.11221975196207108</v>
          </cell>
          <cell r="BA41">
            <v>0.11221975196207108</v>
          </cell>
          <cell r="BD41">
            <v>0.11221975196207108</v>
          </cell>
          <cell r="BJ41">
            <v>0.11221975196207108</v>
          </cell>
          <cell r="BM41">
            <v>0.11221975196207108</v>
          </cell>
          <cell r="BP41">
            <v>0.11221975196207108</v>
          </cell>
          <cell r="BS41">
            <v>0.11221975196207108</v>
          </cell>
          <cell r="BV41">
            <v>0.11221975196207108</v>
          </cell>
          <cell r="BY41">
            <v>0.11221975196207108</v>
          </cell>
        </row>
        <row r="43">
          <cell r="AU43">
            <v>211.852</v>
          </cell>
          <cell r="AX43">
            <v>221.92699999999999</v>
          </cell>
          <cell r="BA43">
            <v>222.88499999999999</v>
          </cell>
          <cell r="BD43">
            <v>215.333</v>
          </cell>
          <cell r="BJ43">
            <v>177.66499999999999</v>
          </cell>
          <cell r="BM43">
            <v>177.66499999999999</v>
          </cell>
          <cell r="BP43">
            <v>177.66499999999999</v>
          </cell>
          <cell r="BS43">
            <v>177.66499999999999</v>
          </cell>
          <cell r="BV43">
            <v>177.66499999999999</v>
          </cell>
          <cell r="BY43">
            <v>177.66499999999999</v>
          </cell>
        </row>
        <row r="44">
          <cell r="AU44">
            <v>0</v>
          </cell>
          <cell r="AX44">
            <v>0</v>
          </cell>
          <cell r="BA44">
            <v>0</v>
          </cell>
          <cell r="BD44">
            <v>0</v>
          </cell>
          <cell r="BJ44">
            <v>0</v>
          </cell>
          <cell r="BM44">
            <v>0</v>
          </cell>
          <cell r="BP44">
            <v>0</v>
          </cell>
          <cell r="BS44">
            <v>0</v>
          </cell>
          <cell r="BV44">
            <v>0</v>
          </cell>
          <cell r="BY44">
            <v>0</v>
          </cell>
        </row>
        <row r="45">
          <cell r="AU45">
            <v>3.093</v>
          </cell>
          <cell r="AX45">
            <v>1.463000000000001</v>
          </cell>
          <cell r="BA45">
            <v>0.67599999999999971</v>
          </cell>
          <cell r="BD45">
            <v>0.4930000000000001</v>
          </cell>
          <cell r="BJ45">
            <v>0.52700000000000014</v>
          </cell>
          <cell r="BM45">
            <v>0.25600000000000001</v>
          </cell>
          <cell r="BP45">
            <v>0</v>
          </cell>
          <cell r="BS45">
            <v>0</v>
          </cell>
          <cell r="BV45">
            <v>0</v>
          </cell>
          <cell r="BY45">
            <v>0</v>
          </cell>
        </row>
        <row r="48">
          <cell r="T48">
            <v>0</v>
          </cell>
          <cell r="W48">
            <v>0</v>
          </cell>
          <cell r="Z48">
            <v>0</v>
          </cell>
          <cell r="AC48">
            <v>0</v>
          </cell>
          <cell r="AF48">
            <v>0</v>
          </cell>
          <cell r="AI48">
            <v>0</v>
          </cell>
          <cell r="AL48">
            <v>0</v>
          </cell>
          <cell r="AR48">
            <v>0</v>
          </cell>
          <cell r="AU48">
            <v>892.04200000000003</v>
          </cell>
          <cell r="AX48">
            <v>1089.0830000000001</v>
          </cell>
          <cell r="BA48">
            <v>1167.0020000000002</v>
          </cell>
          <cell r="BD48">
            <v>1119.9530000000002</v>
          </cell>
          <cell r="BJ48">
            <v>1014.754</v>
          </cell>
          <cell r="BM48">
            <v>1007.92398523555</v>
          </cell>
          <cell r="BP48">
            <v>1055.5187952617323</v>
          </cell>
          <cell r="BS48">
            <v>1120.8297341207619</v>
          </cell>
          <cell r="BV48">
            <v>1191.7782107837181</v>
          </cell>
          <cell r="BY48">
            <v>1277.1663399644067</v>
          </cell>
        </row>
        <row r="50">
          <cell r="AU50">
            <v>0</v>
          </cell>
          <cell r="AX50">
            <v>0</v>
          </cell>
          <cell r="BA50">
            <v>0</v>
          </cell>
          <cell r="BD50">
            <v>0</v>
          </cell>
          <cell r="BJ50">
            <v>0</v>
          </cell>
          <cell r="BM50">
            <v>0</v>
          </cell>
          <cell r="BP50">
            <v>0</v>
          </cell>
          <cell r="BS50">
            <v>0</v>
          </cell>
          <cell r="BV50">
            <v>0</v>
          </cell>
          <cell r="BY50">
            <v>0</v>
          </cell>
        </row>
        <row r="53">
          <cell r="AU53">
            <v>42.627000000000002</v>
          </cell>
          <cell r="AX53">
            <v>43.621000000000002</v>
          </cell>
          <cell r="BA53">
            <v>46.171999999999997</v>
          </cell>
          <cell r="BD53">
            <v>57.921999999999997</v>
          </cell>
          <cell r="BJ53">
            <v>50.737000000000002</v>
          </cell>
          <cell r="BM53">
            <v>56.230348644181163</v>
          </cell>
          <cell r="BP53">
            <v>62.689801018252382</v>
          </cell>
          <cell r="BS53">
            <v>66.560159990688945</v>
          </cell>
          <cell r="BV53">
            <v>69.185850954650959</v>
          </cell>
          <cell r="BY53">
            <v>72.542274396704002</v>
          </cell>
        </row>
        <row r="54">
          <cell r="AU54">
            <v>12.465</v>
          </cell>
          <cell r="AX54">
            <v>6.5209999999999999</v>
          </cell>
          <cell r="BA54">
            <v>6.5570000000000004</v>
          </cell>
          <cell r="BD54">
            <v>7.9429999999999996</v>
          </cell>
          <cell r="BJ54">
            <v>5.2030000000000003</v>
          </cell>
          <cell r="BM54">
            <v>4.6830171823340176</v>
          </cell>
          <cell r="BP54">
            <v>3.9640035353149274</v>
          </cell>
          <cell r="BS54">
            <v>3.5227294339490944</v>
          </cell>
          <cell r="BV54">
            <v>3.2230125052543728</v>
          </cell>
          <cell r="BY54">
            <v>3.1054891030372014</v>
          </cell>
        </row>
        <row r="56">
          <cell r="AU56">
            <v>3.754</v>
          </cell>
          <cell r="AX56">
            <v>12.489000000000001</v>
          </cell>
          <cell r="BA56">
            <v>24.289000000000001</v>
          </cell>
          <cell r="BD56">
            <v>12.519</v>
          </cell>
          <cell r="BJ56">
            <v>5.8579999999999997</v>
          </cell>
          <cell r="BM56">
            <v>6.5384683599932494</v>
          </cell>
          <cell r="BP56">
            <v>7.5308648020498872</v>
          </cell>
          <cell r="BS56">
            <v>8.9389772716400291</v>
          </cell>
          <cell r="BV56">
            <v>9.7438829357503263</v>
          </cell>
          <cell r="BY56">
            <v>10.488226047050848</v>
          </cell>
        </row>
        <row r="57">
          <cell r="AU57">
            <v>2.5939999999999999</v>
          </cell>
          <cell r="AX57">
            <v>3.6360000000000001</v>
          </cell>
          <cell r="BA57">
            <v>4.5090000000000003</v>
          </cell>
          <cell r="BD57">
            <v>6.9909999999999997</v>
          </cell>
          <cell r="BJ57">
            <v>5.3019999999999996</v>
          </cell>
          <cell r="BM57">
            <v>6.695379493946624</v>
          </cell>
          <cell r="BP57">
            <v>7.0551578296907964</v>
          </cell>
          <cell r="BS57">
            <v>7.5670581072711567</v>
          </cell>
          <cell r="BV57">
            <v>7.939822366145437</v>
          </cell>
          <cell r="BY57">
            <v>8.2533961385949564</v>
          </cell>
        </row>
        <row r="61">
          <cell r="BJ61">
            <v>2.1960000000000002</v>
          </cell>
        </row>
        <row r="64">
          <cell r="T64">
            <v>0</v>
          </cell>
          <cell r="W64">
            <v>0</v>
          </cell>
          <cell r="Z64">
            <v>0</v>
          </cell>
          <cell r="AC64">
            <v>0</v>
          </cell>
          <cell r="AF64">
            <v>0</v>
          </cell>
          <cell r="AI64">
            <v>0</v>
          </cell>
          <cell r="AL64">
            <v>0</v>
          </cell>
          <cell r="AR64">
            <v>0</v>
          </cell>
          <cell r="AU64">
            <v>61.44</v>
          </cell>
          <cell r="AX64">
            <v>66.266999999999996</v>
          </cell>
          <cell r="BA64">
            <v>81.527000000000001</v>
          </cell>
          <cell r="BD64">
            <v>85.375</v>
          </cell>
          <cell r="BJ64">
            <v>69.295999999999992</v>
          </cell>
          <cell r="BM64">
            <v>74.147213680455053</v>
          </cell>
          <cell r="BP64">
            <v>81.239827185308002</v>
          </cell>
          <cell r="BS64">
            <v>86.588924803549219</v>
          </cell>
          <cell r="BV64">
            <v>90.09256876180109</v>
          </cell>
          <cell r="BY64">
            <v>94.389385685386998</v>
          </cell>
        </row>
        <row r="66">
          <cell r="AU66">
            <v>0.20322765196662693</v>
          </cell>
          <cell r="AX66">
            <v>0.14406972788553951</v>
          </cell>
          <cell r="BA66">
            <v>0.14003057065217389</v>
          </cell>
          <cell r="BD66">
            <v>0.26515963047399299</v>
          </cell>
          <cell r="BJ66">
            <v>0.12528922681061538</v>
          </cell>
          <cell r="BM66">
            <v>0.11395851880638631</v>
          </cell>
          <cell r="BP66">
            <v>0.12093566440591258</v>
          </cell>
          <cell r="BS66">
            <v>0.12027976860720671</v>
          </cell>
          <cell r="BV66">
            <v>0.11886343010667806</v>
          </cell>
          <cell r="BY66">
            <v>0.11973557330661887</v>
          </cell>
        </row>
        <row r="68">
          <cell r="AU68">
            <v>147.47699999999998</v>
          </cell>
          <cell r="AX68">
            <v>232.21299999999999</v>
          </cell>
          <cell r="BA68">
            <v>244.36800000000002</v>
          </cell>
          <cell r="BD68">
            <v>162.41900000000001</v>
          </cell>
          <cell r="BJ68">
            <v>126.607</v>
          </cell>
          <cell r="BM68">
            <v>104.98366142342064</v>
          </cell>
          <cell r="BP68">
            <v>101.85084940464859</v>
          </cell>
          <cell r="BS68">
            <v>109.12008913253156</v>
          </cell>
          <cell r="BV68">
            <v>116.93965316770385</v>
          </cell>
          <cell r="BY68">
            <v>120.48659350057891</v>
          </cell>
        </row>
        <row r="69">
          <cell r="AU69">
            <v>0.38521333699016563</v>
          </cell>
          <cell r="AX69">
            <v>0.41885310659052455</v>
          </cell>
          <cell r="BA69">
            <v>0.39545586950189338</v>
          </cell>
          <cell r="BD69">
            <v>0.30747023623597475</v>
          </cell>
          <cell r="BJ69">
            <v>0.31264152667307055</v>
          </cell>
          <cell r="BM69">
            <v>0.21276379825402722</v>
          </cell>
          <cell r="BP69">
            <v>0.19648172339024433</v>
          </cell>
          <cell r="BS69">
            <v>0.19718911542722714</v>
          </cell>
          <cell r="BV69">
            <v>0.20090593812468149</v>
          </cell>
          <cell r="BY69">
            <v>0.19887067876670864</v>
          </cell>
        </row>
        <row r="71">
          <cell r="AU71">
            <v>2.1157312639393844E-2</v>
          </cell>
          <cell r="AX71">
            <v>1.9591760704714523E-2</v>
          </cell>
          <cell r="BA71">
            <v>1.7982957739912184E-2</v>
          </cell>
          <cell r="BD71">
            <v>2.3483533735221163E-2</v>
          </cell>
          <cell r="BJ71">
            <v>1.7109784771206369E-2</v>
          </cell>
          <cell r="BM71">
            <v>2.0543723866402755E-2</v>
          </cell>
          <cell r="BP71">
            <v>2.0169939989168204E-2</v>
          </cell>
          <cell r="BS71">
            <v>2.0144946778534688E-2</v>
          </cell>
          <cell r="BV71">
            <v>2.0079735343478948E-2</v>
          </cell>
          <cell r="BY71">
            <v>2.0049582832954101E-2</v>
          </cell>
        </row>
        <row r="73">
          <cell r="AU73">
            <v>3.754</v>
          </cell>
          <cell r="AX73">
            <v>12.489000000000001</v>
          </cell>
          <cell r="BA73">
            <v>24.289000000000001</v>
          </cell>
          <cell r="BD73">
            <v>12.519</v>
          </cell>
          <cell r="BJ73">
            <v>8.0540000000000003</v>
          </cell>
          <cell r="BM73">
            <v>6.5384683599932494</v>
          </cell>
          <cell r="BP73">
            <v>7.5308648020498872</v>
          </cell>
          <cell r="BS73">
            <v>8.9389772716400291</v>
          </cell>
          <cell r="BV73">
            <v>9.7438829357503263</v>
          </cell>
          <cell r="BY73">
            <v>10.488226047050848</v>
          </cell>
        </row>
        <row r="77">
          <cell r="AU77">
            <v>576.69299999999998</v>
          </cell>
          <cell r="AX77">
            <v>326.32299999999998</v>
          </cell>
          <cell r="BA77">
            <v>358.06599999999997</v>
          </cell>
          <cell r="BD77">
            <v>330.29399999999998</v>
          </cell>
          <cell r="BJ77">
            <v>298.892</v>
          </cell>
          <cell r="BM77">
            <v>223.27064948433261</v>
          </cell>
          <cell r="BP77">
            <v>192.56625572394429</v>
          </cell>
          <cell r="BS77">
            <v>171.34640636852001</v>
          </cell>
          <cell r="BV77">
            <v>157.28769394193353</v>
          </cell>
          <cell r="BY77">
            <v>151.78497065919413</v>
          </cell>
        </row>
        <row r="80">
          <cell r="AU80">
            <v>17.12</v>
          </cell>
          <cell r="AX80">
            <v>23.09</v>
          </cell>
          <cell r="BA80">
            <v>24.991</v>
          </cell>
          <cell r="BD80">
            <v>20.626000000000001</v>
          </cell>
          <cell r="BJ80">
            <v>23.02</v>
          </cell>
          <cell r="BM80">
            <v>18.520406987647561</v>
          </cell>
          <cell r="BP80">
            <v>16.857200418572098</v>
          </cell>
          <cell r="BS80">
            <v>17.132245124741438</v>
          </cell>
          <cell r="BV80">
            <v>18.066243134353506</v>
          </cell>
          <cell r="BY80">
            <v>19.248228095642958</v>
          </cell>
        </row>
        <row r="83">
          <cell r="AU83">
            <v>0.52</v>
          </cell>
          <cell r="AX83">
            <v>0.52400000000000002</v>
          </cell>
          <cell r="BA83">
            <v>0.68200000000000005</v>
          </cell>
          <cell r="BD83">
            <v>0.79200000000000004</v>
          </cell>
          <cell r="BJ83">
            <v>0.80300000000000005</v>
          </cell>
          <cell r="BM83">
            <v>1.0140305042699247</v>
          </cell>
          <cell r="BP83">
            <v>1.0685197542892704</v>
          </cell>
          <cell r="BS83">
            <v>1.1460482195659638</v>
          </cell>
          <cell r="BV83">
            <v>1.2025042172792884</v>
          </cell>
          <cell r="BY83">
            <v>1.24999568074156</v>
          </cell>
        </row>
        <row r="86">
          <cell r="T86">
            <v>0</v>
          </cell>
          <cell r="W86">
            <v>0</v>
          </cell>
          <cell r="Z86">
            <v>0</v>
          </cell>
          <cell r="AC86">
            <v>0</v>
          </cell>
          <cell r="AF86">
            <v>0</v>
          </cell>
          <cell r="AI86">
            <v>0</v>
          </cell>
          <cell r="AL86">
            <v>0</v>
          </cell>
          <cell r="AR86">
            <v>0</v>
          </cell>
          <cell r="AU86">
            <v>594.33299999999997</v>
          </cell>
          <cell r="AX86">
            <v>349.93699999999995</v>
          </cell>
          <cell r="BA86">
            <v>383.73899999999998</v>
          </cell>
          <cell r="BD86">
            <v>351.71199999999993</v>
          </cell>
          <cell r="BJ86">
            <v>322.71499999999997</v>
          </cell>
          <cell r="BM86">
            <v>242.8050869762501</v>
          </cell>
          <cell r="BP86">
            <v>210.49197589680566</v>
          </cell>
          <cell r="BS86">
            <v>189.62469971282741</v>
          </cell>
          <cell r="BV86">
            <v>176.55644129356631</v>
          </cell>
          <cell r="BY86">
            <v>172.28319443557865</v>
          </cell>
        </row>
        <row r="89">
          <cell r="T89">
            <v>0</v>
          </cell>
          <cell r="W89">
            <v>0</v>
          </cell>
          <cell r="Z89">
            <v>0</v>
          </cell>
          <cell r="AC89">
            <v>0</v>
          </cell>
          <cell r="AF89">
            <v>0</v>
          </cell>
          <cell r="AI89">
            <v>0</v>
          </cell>
          <cell r="AL89">
            <v>0</v>
          </cell>
          <cell r="AR89">
            <v>0</v>
          </cell>
          <cell r="AU89">
            <v>655.77299999999991</v>
          </cell>
          <cell r="AX89">
            <v>416.20399999999995</v>
          </cell>
          <cell r="BA89">
            <v>465.26599999999996</v>
          </cell>
          <cell r="BD89">
            <v>437.08699999999993</v>
          </cell>
          <cell r="BJ89">
            <v>392.01099999999997</v>
          </cell>
          <cell r="BM89">
            <v>316.95230065670512</v>
          </cell>
          <cell r="BP89">
            <v>291.73180308211363</v>
          </cell>
          <cell r="BS89">
            <v>276.21362451637663</v>
          </cell>
          <cell r="BV89">
            <v>266.6490100553674</v>
          </cell>
          <cell r="BY89">
            <v>266.67258012096568</v>
          </cell>
        </row>
        <row r="91">
          <cell r="AU91">
            <v>0</v>
          </cell>
          <cell r="AX91">
            <v>0</v>
          </cell>
          <cell r="BA91">
            <v>0</v>
          </cell>
          <cell r="BD91">
            <v>0</v>
          </cell>
          <cell r="BJ91">
            <v>0</v>
          </cell>
          <cell r="BM91">
            <v>0</v>
          </cell>
          <cell r="BP91">
            <v>0</v>
          </cell>
          <cell r="BS91">
            <v>0</v>
          </cell>
          <cell r="BV91">
            <v>0</v>
          </cell>
          <cell r="BY91">
            <v>0</v>
          </cell>
        </row>
        <row r="93">
          <cell r="T93">
            <v>0</v>
          </cell>
          <cell r="W93">
            <v>0</v>
          </cell>
          <cell r="Z93">
            <v>0</v>
          </cell>
          <cell r="AC93">
            <v>0</v>
          </cell>
          <cell r="AF93">
            <v>0</v>
          </cell>
          <cell r="AI93">
            <v>0</v>
          </cell>
          <cell r="AL93">
            <v>0</v>
          </cell>
          <cell r="AR93">
            <v>0</v>
          </cell>
          <cell r="AU93">
            <v>236.26900000000012</v>
          </cell>
          <cell r="AX93">
            <v>672.87900000000013</v>
          </cell>
          <cell r="BA93">
            <v>701.73600000000022</v>
          </cell>
          <cell r="BD93">
            <v>682.86600000000021</v>
          </cell>
          <cell r="BJ93">
            <v>622.74300000000005</v>
          </cell>
          <cell r="BM93">
            <v>690.97168457884493</v>
          </cell>
          <cell r="BP93">
            <v>763.78699217961866</v>
          </cell>
          <cell r="BS93">
            <v>844.61610960438531</v>
          </cell>
          <cell r="BV93">
            <v>925.12920072835072</v>
          </cell>
          <cell r="BY93">
            <v>1010.493759843441</v>
          </cell>
        </row>
        <row r="96">
          <cell r="AU96">
            <v>174.078</v>
          </cell>
          <cell r="AX96">
            <v>609.27800000000002</v>
          </cell>
          <cell r="BA96">
            <v>608.995</v>
          </cell>
          <cell r="BD96">
            <v>609.47</v>
          </cell>
          <cell r="BJ96">
            <v>609.57799999999997</v>
          </cell>
          <cell r="BM96">
            <v>609.57799999999997</v>
          </cell>
          <cell r="BP96">
            <v>609.57799999999997</v>
          </cell>
          <cell r="BS96">
            <v>609.57799999999997</v>
          </cell>
          <cell r="BV96">
            <v>609.57799999999997</v>
          </cell>
          <cell r="BY96">
            <v>609.57799999999997</v>
          </cell>
        </row>
        <row r="97">
          <cell r="AU97">
            <v>1.1950000000000001</v>
          </cell>
          <cell r="AX97">
            <v>-5.9969999999999999</v>
          </cell>
          <cell r="BA97">
            <v>-16.192</v>
          </cell>
          <cell r="BD97">
            <v>-20.135999999999999</v>
          </cell>
          <cell r="BJ97">
            <v>-18.428999999999998</v>
          </cell>
          <cell r="BM97">
            <v>12.621132379398418</v>
          </cell>
          <cell r="BP97">
            <v>42.138699479284227</v>
          </cell>
          <cell r="BS97">
            <v>69.996089752867988</v>
          </cell>
          <cell r="BV97">
            <v>95.282376316605735</v>
          </cell>
          <cell r="BY97">
            <v>121.63854522385077</v>
          </cell>
        </row>
        <row r="98">
          <cell r="AU98">
            <v>20.731999999999999</v>
          </cell>
          <cell r="AX98">
            <v>69.597999999999999</v>
          </cell>
          <cell r="BA98">
            <v>108.93300000000001</v>
          </cell>
          <cell r="BD98">
            <v>93.531999999999996</v>
          </cell>
          <cell r="BJ98">
            <v>31.594000000000001</v>
          </cell>
          <cell r="BM98">
            <v>68.77255219944665</v>
          </cell>
          <cell r="BP98">
            <v>112.07029270033469</v>
          </cell>
          <cell r="BS98">
            <v>165.04201985151735</v>
          </cell>
          <cell r="BV98">
            <v>220.26882441174502</v>
          </cell>
          <cell r="BY98">
            <v>279.27721461959027</v>
          </cell>
        </row>
        <row r="99">
          <cell r="T99">
            <v>0</v>
          </cell>
          <cell r="W99">
            <v>0</v>
          </cell>
          <cell r="Z99">
            <v>0</v>
          </cell>
          <cell r="AC99">
            <v>0</v>
          </cell>
          <cell r="AF99">
            <v>0</v>
          </cell>
          <cell r="AI99">
            <v>0</v>
          </cell>
          <cell r="AL99">
            <v>0</v>
          </cell>
          <cell r="AR99">
            <v>0</v>
          </cell>
          <cell r="AU99">
            <v>196.005</v>
          </cell>
          <cell r="AX99">
            <v>672.87900000000002</v>
          </cell>
          <cell r="BA99">
            <v>701.73599999999999</v>
          </cell>
          <cell r="BD99">
            <v>682.8660000000001</v>
          </cell>
          <cell r="BJ99">
            <v>622.74300000000005</v>
          </cell>
          <cell r="BM99">
            <v>690.97168457884504</v>
          </cell>
          <cell r="BP99">
            <v>763.78699217961889</v>
          </cell>
          <cell r="BS99">
            <v>844.61610960438531</v>
          </cell>
          <cell r="BV99">
            <v>925.12920072835072</v>
          </cell>
          <cell r="BY99">
            <v>1010.493759843441</v>
          </cell>
        </row>
        <row r="104">
          <cell r="AU104">
            <v>40.264000000000003</v>
          </cell>
        </row>
        <row r="106">
          <cell r="T106">
            <v>0</v>
          </cell>
          <cell r="W106">
            <v>0</v>
          </cell>
          <cell r="Z106">
            <v>0</v>
          </cell>
          <cell r="AC106">
            <v>0</v>
          </cell>
          <cell r="AF106">
            <v>0</v>
          </cell>
          <cell r="AI106">
            <v>0</v>
          </cell>
          <cell r="AL106">
            <v>0</v>
          </cell>
          <cell r="AR106">
            <v>0</v>
          </cell>
          <cell r="AU106">
            <v>236.26900000000001</v>
          </cell>
          <cell r="AX106">
            <v>672.87900000000002</v>
          </cell>
          <cell r="BA106">
            <v>701.73599999999999</v>
          </cell>
          <cell r="BD106">
            <v>682.8660000000001</v>
          </cell>
          <cell r="BJ106">
            <v>622.74300000000005</v>
          </cell>
          <cell r="BM106">
            <v>690.97168457884504</v>
          </cell>
          <cell r="BP106">
            <v>763.78699217961889</v>
          </cell>
          <cell r="BS106">
            <v>844.61610960438531</v>
          </cell>
          <cell r="BV106">
            <v>925.12920072835072</v>
          </cell>
          <cell r="BY106">
            <v>1010.493759843441</v>
          </cell>
        </row>
        <row r="108">
          <cell r="AU108" t="str">
            <v/>
          </cell>
          <cell r="AX108" t="str">
            <v/>
          </cell>
          <cell r="BA108" t="str">
            <v/>
          </cell>
          <cell r="BD108" t="str">
            <v/>
          </cell>
          <cell r="BJ108" t="str">
            <v/>
          </cell>
          <cell r="BM108" t="str">
            <v/>
          </cell>
          <cell r="BP108" t="str">
            <v/>
          </cell>
          <cell r="BS108" t="str">
            <v/>
          </cell>
          <cell r="BV108" t="str">
            <v/>
          </cell>
          <cell r="BY108" t="str">
            <v/>
          </cell>
        </row>
        <row r="109">
          <cell r="AU109">
            <v>0</v>
          </cell>
          <cell r="AX109">
            <v>0</v>
          </cell>
          <cell r="BA109">
            <v>0</v>
          </cell>
          <cell r="BD109">
            <v>0</v>
          </cell>
          <cell r="BJ109">
            <v>0</v>
          </cell>
          <cell r="BM109">
            <v>0</v>
          </cell>
          <cell r="BP109">
            <v>0</v>
          </cell>
          <cell r="BS109">
            <v>0</v>
          </cell>
          <cell r="BV109">
            <v>0</v>
          </cell>
          <cell r="BY109">
            <v>0</v>
          </cell>
        </row>
        <row r="111">
          <cell r="AU111">
            <v>1.04</v>
          </cell>
          <cell r="AX111">
            <v>2.2000000000000002</v>
          </cell>
        </row>
        <row r="112">
          <cell r="AU112">
            <v>166.40114199999999</v>
          </cell>
          <cell r="AX112">
            <v>631.23758599999996</v>
          </cell>
          <cell r="BA112">
            <v>631.23758599999996</v>
          </cell>
          <cell r="BD112">
            <v>631.23758599999996</v>
          </cell>
          <cell r="BJ112">
            <v>631.23758599999996</v>
          </cell>
          <cell r="BM112">
            <v>631.23758599999996</v>
          </cell>
          <cell r="BP112">
            <v>631.23758599999996</v>
          </cell>
          <cell r="BS112">
            <v>631.23758599999996</v>
          </cell>
          <cell r="BV112">
            <v>632.27083200000004</v>
          </cell>
          <cell r="BY112">
            <v>632.27083200000004</v>
          </cell>
        </row>
        <row r="115">
          <cell r="T115" t="e">
            <v>#DIV/0!</v>
          </cell>
          <cell r="W115" t="e">
            <v>#DIV/0!</v>
          </cell>
          <cell r="Z115" t="e">
            <v>#DIV/0!</v>
          </cell>
          <cell r="AC115" t="e">
            <v>#DIV/0!</v>
          </cell>
          <cell r="AF115" t="e">
            <v>#DIV/0!</v>
          </cell>
          <cell r="AI115" t="e">
            <v>#DIV/0!</v>
          </cell>
          <cell r="AL115" t="e">
            <v>#DIV/0!</v>
          </cell>
          <cell r="AR115" t="e">
            <v>#DIV/0!</v>
          </cell>
          <cell r="AU115">
            <v>0.12814815898318851</v>
          </cell>
          <cell r="AX115">
            <v>0.71207578567731256</v>
          </cell>
          <cell r="BA115">
            <v>0.75751984768536929</v>
          </cell>
          <cell r="BD115">
            <v>0.73987989682224053</v>
          </cell>
          <cell r="BJ115">
            <v>0.70425305758012968</v>
          </cell>
          <cell r="BM115">
            <v>0.81276954344547681</v>
          </cell>
          <cell r="BP115">
            <v>0.92852834682061969</v>
          </cell>
          <cell r="BS115">
            <v>1.0565769916057965</v>
          </cell>
          <cell r="BV115">
            <v>1.1821899143504231</v>
          </cell>
          <cell r="BY115">
            <v>1.3172025620872561</v>
          </cell>
        </row>
        <row r="117">
          <cell r="AU117">
            <v>1.4198760727255113</v>
          </cell>
          <cell r="AX117">
            <v>1.0659678937432604</v>
          </cell>
          <cell r="BA117">
            <v>1.1116828521678053</v>
          </cell>
          <cell r="BD117">
            <v>1.0817891949799077</v>
          </cell>
          <cell r="BJ117">
            <v>0.98654296545643294</v>
          </cell>
          <cell r="BM117">
            <v>1.0946301359482813</v>
          </cell>
          <cell r="BP117">
            <v>1.2099833867934771</v>
          </cell>
          <cell r="BS117">
            <v>1.338032031578654</v>
          </cell>
          <cell r="BV117">
            <v>1.4631850053907764</v>
          </cell>
          <cell r="BY117">
            <v>1.5981976531276094</v>
          </cell>
        </row>
        <row r="119">
          <cell r="AU119">
            <v>569.91800000000001</v>
          </cell>
          <cell r="AX119">
            <v>305.10399999999998</v>
          </cell>
          <cell r="BA119">
            <v>347.81900000000002</v>
          </cell>
          <cell r="BD119">
            <v>327.81499999999994</v>
          </cell>
          <cell r="BJ119">
            <v>298.85599999999999</v>
          </cell>
          <cell r="BM119">
            <v>211.58866140925579</v>
          </cell>
          <cell r="BP119">
            <v>174.24731250873444</v>
          </cell>
          <cell r="BS119">
            <v>137.06366638276063</v>
          </cell>
          <cell r="BV119">
            <v>89.92685885867354</v>
          </cell>
          <cell r="BY119">
            <v>30.697065017779238</v>
          </cell>
        </row>
        <row r="120">
          <cell r="AU120">
            <v>2.4121573291460159</v>
          </cell>
          <cell r="AX120">
            <v>0.45343070596645157</v>
          </cell>
          <cell r="BA120">
            <v>0.49565506116260249</v>
          </cell>
          <cell r="BD120">
            <v>0.48005758084309352</v>
          </cell>
          <cell r="BJ120">
            <v>0.47990262435707826</v>
          </cell>
          <cell r="BM120">
            <v>0.30621900452870432</v>
          </cell>
          <cell r="BP120">
            <v>0.22813600426931191</v>
          </cell>
          <cell r="BS120">
            <v>0.16227924713271297</v>
          </cell>
          <cell r="BV120">
            <v>9.7204648591650192E-2</v>
          </cell>
          <cell r="BY120">
            <v>3.0378282615555419E-2</v>
          </cell>
        </row>
        <row r="121">
          <cell r="AU121">
            <v>0.15468955091473635</v>
          </cell>
          <cell r="AX121">
            <v>0.12382685593854596</v>
          </cell>
          <cell r="BA121">
            <v>0.1417864524044663</v>
          </cell>
          <cell r="BD121">
            <v>6.0977879422480806E-2</v>
          </cell>
          <cell r="BJ121">
            <v>9.3252797124831172E-2</v>
          </cell>
          <cell r="BM121">
            <v>0.11275872203711841</v>
          </cell>
          <cell r="BP121">
            <v>0.12034625249574131</v>
          </cell>
          <cell r="BS121">
            <v>0.12653905582817729</v>
          </cell>
          <cell r="BV121">
            <v>0.12703000758404098</v>
          </cell>
          <cell r="BY121">
            <v>0.12521091299993173</v>
          </cell>
        </row>
        <row r="122">
          <cell r="AU122">
            <v>0.16061353795885233</v>
          </cell>
          <cell r="AX122">
            <v>0.12151033886431306</v>
          </cell>
          <cell r="BA122">
            <v>0.16015070430046308</v>
          </cell>
          <cell r="BD122">
            <v>5.2656213433185238E-2</v>
          </cell>
          <cell r="BJ122">
            <v>9.0266531246498277E-2</v>
          </cell>
          <cell r="BM122">
            <v>9.1524859305504067E-2</v>
          </cell>
          <cell r="BP122">
            <v>9.7721617049324111E-2</v>
          </cell>
          <cell r="BS122">
            <v>0.10283040397846419</v>
          </cell>
          <cell r="BV122">
            <v>0.10257395652146845</v>
          </cell>
          <cell r="BY122">
            <v>0.10050710651975359</v>
          </cell>
        </row>
        <row r="123">
          <cell r="AU123">
            <v>0.16061353795885233</v>
          </cell>
          <cell r="AX123">
            <v>0.12151033886431306</v>
          </cell>
          <cell r="BA123">
            <v>0.16015070430046308</v>
          </cell>
          <cell r="BD123">
            <v>5.2656213433185238E-2</v>
          </cell>
          <cell r="BJ123">
            <v>9.0266531246498277E-2</v>
          </cell>
          <cell r="BM123">
            <v>9.1524859305504067E-2</v>
          </cell>
          <cell r="BP123">
            <v>9.7721617049324111E-2</v>
          </cell>
          <cell r="BS123">
            <v>0.10283040397846419</v>
          </cell>
          <cell r="BV123">
            <v>0.10257395652146845</v>
          </cell>
          <cell r="BY123">
            <v>0.10050710651975359</v>
          </cell>
        </row>
      </sheetData>
      <sheetData sheetId="32" refreshError="1"/>
      <sheetData sheetId="33" refreshError="1">
        <row r="1">
          <cell r="K1" t="str">
            <v>Second Half</v>
          </cell>
          <cell r="T1" t="str">
            <v>Second Half</v>
          </cell>
          <cell r="W1" t="str">
            <v>Second Half</v>
          </cell>
          <cell r="Z1" t="str">
            <v>Second Half</v>
          </cell>
          <cell r="AC1" t="str">
            <v>Second Half</v>
          </cell>
          <cell r="AF1" t="str">
            <v>Second Half</v>
          </cell>
          <cell r="AI1" t="str">
            <v>Second Half</v>
          </cell>
          <cell r="AL1" t="str">
            <v>Second Half</v>
          </cell>
          <cell r="AR1" t="str">
            <v>Second Half</v>
          </cell>
          <cell r="AU1" t="str">
            <v>Second Half</v>
          </cell>
          <cell r="AX1" t="str">
            <v>Second Half</v>
          </cell>
          <cell r="BA1" t="str">
            <v>Second Half</v>
          </cell>
          <cell r="BD1" t="str">
            <v>Second Half</v>
          </cell>
          <cell r="BJ1" t="str">
            <v>Second Half</v>
          </cell>
          <cell r="BM1" t="str">
            <v>Second Half</v>
          </cell>
          <cell r="BP1" t="str">
            <v>Second Half</v>
          </cell>
          <cell r="BS1" t="str">
            <v>Second Half</v>
          </cell>
          <cell r="BV1" t="str">
            <v>Second Half</v>
          </cell>
          <cell r="BY1" t="str">
            <v>Second Half</v>
          </cell>
        </row>
        <row r="2">
          <cell r="T2" t="str">
            <v>N</v>
          </cell>
          <cell r="W2" t="str">
            <v>N</v>
          </cell>
          <cell r="Z2" t="str">
            <v>N</v>
          </cell>
          <cell r="AC2" t="str">
            <v>N</v>
          </cell>
          <cell r="AF2" t="str">
            <v>N</v>
          </cell>
          <cell r="AI2" t="str">
            <v>N</v>
          </cell>
          <cell r="AL2" t="str">
            <v>N</v>
          </cell>
          <cell r="AR2" t="str">
            <v>N</v>
          </cell>
          <cell r="AU2" t="str">
            <v>A</v>
          </cell>
          <cell r="AX2" t="str">
            <v>A</v>
          </cell>
          <cell r="BA2" t="str">
            <v>A</v>
          </cell>
          <cell r="BD2" t="str">
            <v>E</v>
          </cell>
          <cell r="BJ2" t="str">
            <v>E</v>
          </cell>
          <cell r="BM2" t="str">
            <v>N</v>
          </cell>
          <cell r="BP2" t="str">
            <v>N</v>
          </cell>
          <cell r="BS2" t="str">
            <v>N</v>
          </cell>
          <cell r="BV2" t="str">
            <v>N</v>
          </cell>
          <cell r="BY2" t="str">
            <v>N</v>
          </cell>
        </row>
        <row r="3">
          <cell r="T3">
            <v>35976</v>
          </cell>
          <cell r="W3">
            <v>36341</v>
          </cell>
          <cell r="Z3">
            <v>36707</v>
          </cell>
          <cell r="AC3">
            <v>37072</v>
          </cell>
          <cell r="AF3">
            <v>37437</v>
          </cell>
          <cell r="AI3">
            <v>37802</v>
          </cell>
          <cell r="AL3">
            <v>38168</v>
          </cell>
          <cell r="AR3">
            <v>38533</v>
          </cell>
          <cell r="AU3">
            <v>38898</v>
          </cell>
          <cell r="AX3">
            <v>39263</v>
          </cell>
          <cell r="BA3">
            <v>39629</v>
          </cell>
          <cell r="BD3">
            <v>39994</v>
          </cell>
          <cell r="BJ3">
            <v>40359</v>
          </cell>
          <cell r="BM3">
            <v>40724</v>
          </cell>
          <cell r="BP3">
            <v>41090</v>
          </cell>
          <cell r="BS3">
            <v>41455</v>
          </cell>
          <cell r="BV3">
            <v>41820</v>
          </cell>
          <cell r="BY3">
            <v>42185</v>
          </cell>
        </row>
        <row r="6">
          <cell r="AU6">
            <v>173.04500000000002</v>
          </cell>
          <cell r="AX6">
            <v>301.26</v>
          </cell>
          <cell r="BA6">
            <v>305.05800000000005</v>
          </cell>
          <cell r="BD6">
            <v>254.63400000000001</v>
          </cell>
          <cell r="BJ6">
            <v>253.41700000000003</v>
          </cell>
          <cell r="BM6">
            <v>261.18159010779573</v>
          </cell>
          <cell r="BP6">
            <v>277.50276243228632</v>
          </cell>
          <cell r="BS6">
            <v>299.37328574099911</v>
          </cell>
          <cell r="BV6">
            <v>312.72086047862643</v>
          </cell>
          <cell r="BY6">
            <v>325.13975447382927</v>
          </cell>
        </row>
        <row r="7">
          <cell r="AU7">
            <v>-108.58699999999999</v>
          </cell>
          <cell r="AX7">
            <v>-230.322</v>
          </cell>
          <cell r="BA7">
            <v>-147.39699999999999</v>
          </cell>
          <cell r="BD7">
            <v>-159.01399999999998</v>
          </cell>
          <cell r="BJ7">
            <v>-150.85600000000002</v>
          </cell>
          <cell r="BM7">
            <v>-145.71094574796734</v>
          </cell>
          <cell r="BP7">
            <v>-158.34621534064499</v>
          </cell>
          <cell r="BS7">
            <v>-162.3686622181927</v>
          </cell>
          <cell r="BV7">
            <v>-175.1140462502517</v>
          </cell>
          <cell r="BY7">
            <v>-180.58807077921841</v>
          </cell>
        </row>
        <row r="8">
          <cell r="T8">
            <v>0</v>
          </cell>
          <cell r="W8">
            <v>0</v>
          </cell>
          <cell r="Z8">
            <v>0</v>
          </cell>
          <cell r="AC8">
            <v>0</v>
          </cell>
          <cell r="AF8">
            <v>0</v>
          </cell>
          <cell r="AI8">
            <v>0</v>
          </cell>
          <cell r="AL8">
            <v>0</v>
          </cell>
          <cell r="AR8">
            <v>0</v>
          </cell>
          <cell r="AU8">
            <v>64.458000000000027</v>
          </cell>
          <cell r="AX8">
            <v>70.937999999999988</v>
          </cell>
          <cell r="BA8">
            <v>157.66100000000006</v>
          </cell>
          <cell r="BD8">
            <v>95.620000000000033</v>
          </cell>
          <cell r="BJ8">
            <v>102.56100000000001</v>
          </cell>
          <cell r="BM8">
            <v>115.47064435982838</v>
          </cell>
          <cell r="BP8">
            <v>119.15654709164133</v>
          </cell>
          <cell r="BS8">
            <v>137.00462352280641</v>
          </cell>
          <cell r="BV8">
            <v>137.60681422837473</v>
          </cell>
          <cell r="BY8">
            <v>144.55168369461086</v>
          </cell>
        </row>
        <row r="11">
          <cell r="AU11">
            <v>1</v>
          </cell>
          <cell r="AX11">
            <v>0.32899999999999996</v>
          </cell>
          <cell r="BA11">
            <v>0.6140000000000001</v>
          </cell>
          <cell r="BD11">
            <v>0.93399999999999994</v>
          </cell>
          <cell r="BJ11">
            <v>6.3E-2</v>
          </cell>
          <cell r="BM11">
            <v>0.43055730607208487</v>
          </cell>
          <cell r="BP11">
            <v>0.33104004472647208</v>
          </cell>
          <cell r="BS11">
            <v>0.26437217291300963</v>
          </cell>
          <cell r="BV11">
            <v>0.45494153149665773</v>
          </cell>
          <cell r="BY11">
            <v>0.6793506750151711</v>
          </cell>
        </row>
        <row r="12">
          <cell r="AU12">
            <v>-22.637</v>
          </cell>
          <cell r="AX12">
            <v>-11.902999999999999</v>
          </cell>
          <cell r="BA12">
            <v>-12.898</v>
          </cell>
          <cell r="BD12">
            <v>-13.805</v>
          </cell>
          <cell r="BJ12">
            <v>-12.856</v>
          </cell>
          <cell r="BM12">
            <v>-13.124611551716695</v>
          </cell>
          <cell r="BP12">
            <v>-11.603803348305998</v>
          </cell>
          <cell r="BS12">
            <v>-9.9729259903020555</v>
          </cell>
          <cell r="BV12">
            <v>-8.5054559429579015</v>
          </cell>
          <cell r="BY12">
            <v>-7.5359718767482153</v>
          </cell>
        </row>
        <row r="13">
          <cell r="AU13">
            <v>-6.1349999999999998</v>
          </cell>
          <cell r="AX13">
            <v>-3.9749999999999996</v>
          </cell>
          <cell r="BA13">
            <v>-6.0729999999999995</v>
          </cell>
          <cell r="BD13">
            <v>-7.6139999999999972</v>
          </cell>
          <cell r="BJ13">
            <v>-8.3329999999999984</v>
          </cell>
          <cell r="BM13">
            <v>0.1698490099468124</v>
          </cell>
          <cell r="BP13">
            <v>1.1083647715925302</v>
          </cell>
          <cell r="BS13">
            <v>2.3556601927050025</v>
          </cell>
          <cell r="BV13">
            <v>3.74717532988128</v>
          </cell>
          <cell r="BY13">
            <v>3.1796990677305033</v>
          </cell>
        </row>
        <row r="14">
          <cell r="T14">
            <v>0</v>
          </cell>
          <cell r="W14">
            <v>0</v>
          </cell>
          <cell r="Z14">
            <v>0</v>
          </cell>
          <cell r="AC14">
            <v>0</v>
          </cell>
          <cell r="AF14">
            <v>0</v>
          </cell>
          <cell r="AI14">
            <v>0</v>
          </cell>
          <cell r="AL14">
            <v>0</v>
          </cell>
          <cell r="AR14">
            <v>0</v>
          </cell>
          <cell r="AU14">
            <v>36.686000000000028</v>
          </cell>
          <cell r="AX14">
            <v>55.388999999999982</v>
          </cell>
          <cell r="BA14">
            <v>139.30400000000006</v>
          </cell>
          <cell r="BD14">
            <v>75.135000000000019</v>
          </cell>
          <cell r="BJ14">
            <v>81.435000000000016</v>
          </cell>
          <cell r="BM14">
            <v>102.94643912413059</v>
          </cell>
          <cell r="BP14">
            <v>108.99214855965434</v>
          </cell>
          <cell r="BS14">
            <v>129.65172989812237</v>
          </cell>
          <cell r="BV14">
            <v>133.30347514679477</v>
          </cell>
          <cell r="BY14">
            <v>140.87476156060831</v>
          </cell>
        </row>
        <row r="17">
          <cell r="AU17">
            <v>-31.802999999999997</v>
          </cell>
          <cell r="AX17">
            <v>-23.535999999999973</v>
          </cell>
          <cell r="BA17">
            <v>-4.8369999999999997</v>
          </cell>
          <cell r="BM17">
            <v>0</v>
          </cell>
          <cell r="BP17">
            <v>0</v>
          </cell>
          <cell r="BS17">
            <v>0</v>
          </cell>
          <cell r="BV17">
            <v>0</v>
          </cell>
          <cell r="BY17">
            <v>0</v>
          </cell>
        </row>
        <row r="18">
          <cell r="AU18">
            <v>-118.56399999999999</v>
          </cell>
          <cell r="AX18">
            <v>-63.762</v>
          </cell>
          <cell r="BA18">
            <v>-107.68600000000001</v>
          </cell>
          <cell r="BD18">
            <v>-34.885000000000005</v>
          </cell>
          <cell r="BJ18">
            <v>-49.872000000000014</v>
          </cell>
          <cell r="BM18">
            <v>-66.704188477237565</v>
          </cell>
          <cell r="BP18">
            <v>-75.595684864808376</v>
          </cell>
          <cell r="BS18">
            <v>-80.306991516508305</v>
          </cell>
          <cell r="BV18">
            <v>-77.786559963232406</v>
          </cell>
          <cell r="BY18">
            <v>-79.652440263711753</v>
          </cell>
        </row>
        <row r="19">
          <cell r="AU19">
            <v>2.4239999999999995</v>
          </cell>
          <cell r="AX19">
            <v>32.451000000000001</v>
          </cell>
          <cell r="BA19">
            <v>28.388999999999999</v>
          </cell>
          <cell r="BD19">
            <v>12.427</v>
          </cell>
          <cell r="BJ19">
            <v>32.931000000000004</v>
          </cell>
          <cell r="BM19">
            <v>7.8142500000000013</v>
          </cell>
          <cell r="BP19">
            <v>11.620037037037038</v>
          </cell>
          <cell r="BS19">
            <v>12.904048868312758</v>
          </cell>
          <cell r="BV19">
            <v>10.779445301783264</v>
          </cell>
          <cell r="BY19">
            <v>11.76784373571102</v>
          </cell>
        </row>
        <row r="24">
          <cell r="BM24">
            <v>0</v>
          </cell>
        </row>
        <row r="27">
          <cell r="BM27">
            <v>0</v>
          </cell>
          <cell r="BP27">
            <v>0</v>
          </cell>
          <cell r="BS27">
            <v>0</v>
          </cell>
          <cell r="BV27">
            <v>0</v>
          </cell>
          <cell r="BY27">
            <v>0</v>
          </cell>
        </row>
        <row r="35">
          <cell r="T35">
            <v>0</v>
          </cell>
          <cell r="W35">
            <v>0</v>
          </cell>
          <cell r="Z35">
            <v>0</v>
          </cell>
          <cell r="AC35">
            <v>0</v>
          </cell>
          <cell r="AF35">
            <v>0</v>
          </cell>
          <cell r="AI35">
            <v>0</v>
          </cell>
          <cell r="AL35">
            <v>0</v>
          </cell>
          <cell r="AR35">
            <v>0</v>
          </cell>
          <cell r="AU35">
            <v>-147.94299999999998</v>
          </cell>
          <cell r="AX35">
            <v>-54.846999999999973</v>
          </cell>
          <cell r="BA35">
            <v>-84.134000000000015</v>
          </cell>
          <cell r="BD35">
            <v>-22.458000000000006</v>
          </cell>
          <cell r="BJ35">
            <v>-16.94100000000001</v>
          </cell>
          <cell r="BM35">
            <v>-58.889938477237564</v>
          </cell>
          <cell r="BP35">
            <v>-63.97564782777134</v>
          </cell>
          <cell r="BS35">
            <v>-67.402942648195548</v>
          </cell>
          <cell r="BV35">
            <v>-67.007114661449137</v>
          </cell>
          <cell r="BY35">
            <v>-67.884596528000728</v>
          </cell>
        </row>
        <row r="38">
          <cell r="AU38">
            <v>1</v>
          </cell>
          <cell r="AX38">
            <v>6.8190000000000168</v>
          </cell>
          <cell r="BM38">
            <v>0</v>
          </cell>
          <cell r="BP38">
            <v>0</v>
          </cell>
          <cell r="BS38">
            <v>0</v>
          </cell>
          <cell r="BV38">
            <v>0</v>
          </cell>
          <cell r="BY38">
            <v>0</v>
          </cell>
        </row>
        <row r="39">
          <cell r="AU39">
            <v>138.52600000000001</v>
          </cell>
          <cell r="AX39">
            <v>19.391999999999996</v>
          </cell>
          <cell r="BA39">
            <v>-32.58</v>
          </cell>
          <cell r="BD39">
            <v>62.337999999999994</v>
          </cell>
          <cell r="BJ39">
            <v>33.213000000000008</v>
          </cell>
          <cell r="BM39">
            <v>0</v>
          </cell>
          <cell r="BP39">
            <v>0</v>
          </cell>
          <cell r="BS39">
            <v>0</v>
          </cell>
          <cell r="BV39">
            <v>0</v>
          </cell>
          <cell r="BY39">
            <v>0</v>
          </cell>
        </row>
        <row r="40">
          <cell r="BM40">
            <v>0</v>
          </cell>
          <cell r="BP40">
            <v>0</v>
          </cell>
          <cell r="BS40">
            <v>0</v>
          </cell>
          <cell r="BV40">
            <v>0</v>
          </cell>
          <cell r="BY40">
            <v>0</v>
          </cell>
        </row>
        <row r="41">
          <cell r="AU41">
            <v>0</v>
          </cell>
          <cell r="AX41">
            <v>0</v>
          </cell>
          <cell r="BA41">
            <v>1.5000000000000568E-2</v>
          </cell>
          <cell r="BD41">
            <v>-97.516999999999982</v>
          </cell>
          <cell r="BJ41">
            <v>-96.932000000000016</v>
          </cell>
          <cell r="BM41">
            <v>-38.070666666666661</v>
          </cell>
          <cell r="BP41">
            <v>-15.711703703703703</v>
          </cell>
          <cell r="BS41">
            <v>-16.245842592592592</v>
          </cell>
          <cell r="BV41">
            <v>-7.1792146776406023</v>
          </cell>
          <cell r="BY41">
            <v>-2.8101233424782808</v>
          </cell>
        </row>
        <row r="42">
          <cell r="AU42">
            <v>-1.6300000000000001</v>
          </cell>
          <cell r="AX42">
            <v>0</v>
          </cell>
          <cell r="BM42">
            <v>0</v>
          </cell>
          <cell r="BP42">
            <v>0</v>
          </cell>
          <cell r="BS42">
            <v>0</v>
          </cell>
          <cell r="BV42">
            <v>0</v>
          </cell>
          <cell r="BY42">
            <v>0</v>
          </cell>
        </row>
        <row r="43">
          <cell r="BD43">
            <v>0</v>
          </cell>
          <cell r="BM43">
            <v>0</v>
          </cell>
        </row>
        <row r="44">
          <cell r="AU44">
            <v>-12.941000000000003</v>
          </cell>
          <cell r="AX44">
            <v>-2.3339999999999996</v>
          </cell>
          <cell r="BA44">
            <v>-4.2709999999999999</v>
          </cell>
          <cell r="BD44">
            <v>-4.1010000000000009</v>
          </cell>
          <cell r="BJ44">
            <v>-3.12</v>
          </cell>
          <cell r="BM44">
            <v>-3.12</v>
          </cell>
          <cell r="BP44">
            <v>-3.12</v>
          </cell>
          <cell r="BS44">
            <v>-3.12</v>
          </cell>
          <cell r="BV44">
            <v>-3.12</v>
          </cell>
          <cell r="BY44">
            <v>-3.12</v>
          </cell>
        </row>
        <row r="45">
          <cell r="BM45">
            <v>0</v>
          </cell>
          <cell r="BP45">
            <v>0</v>
          </cell>
          <cell r="BS45">
            <v>0</v>
          </cell>
          <cell r="BV45">
            <v>0</v>
          </cell>
          <cell r="BY45">
            <v>0</v>
          </cell>
        </row>
        <row r="46">
          <cell r="AX46">
            <v>-6.26</v>
          </cell>
          <cell r="BA46">
            <v>-12.530999999999999</v>
          </cell>
          <cell r="BD46">
            <v>-12.544</v>
          </cell>
          <cell r="BJ46">
            <v>0</v>
          </cell>
          <cell r="BM46">
            <v>-9.4685637899999975</v>
          </cell>
          <cell r="BP46">
            <v>-12.624751719999999</v>
          </cell>
          <cell r="BS46">
            <v>-15.780939650000001</v>
          </cell>
          <cell r="BV46">
            <v>-18.968124960000004</v>
          </cell>
          <cell r="BY46">
            <v>-18.968124960000001</v>
          </cell>
        </row>
        <row r="51">
          <cell r="BA51">
            <v>-0.39500000000000002</v>
          </cell>
          <cell r="BD51">
            <v>0</v>
          </cell>
          <cell r="BJ51">
            <v>-2.3769999999999998</v>
          </cell>
          <cell r="BM51">
            <v>0</v>
          </cell>
        </row>
        <row r="53">
          <cell r="T53">
            <v>0</v>
          </cell>
          <cell r="W53">
            <v>0</v>
          </cell>
          <cell r="Z53">
            <v>0</v>
          </cell>
          <cell r="AC53">
            <v>0</v>
          </cell>
          <cell r="AF53">
            <v>0</v>
          </cell>
          <cell r="AI53">
            <v>0</v>
          </cell>
          <cell r="AL53">
            <v>0</v>
          </cell>
          <cell r="AR53">
            <v>0</v>
          </cell>
          <cell r="AU53">
            <v>124.95500000000001</v>
          </cell>
          <cell r="AX53">
            <v>17.617000000000012</v>
          </cell>
          <cell r="BA53">
            <v>-49.762</v>
          </cell>
          <cell r="BD53">
            <v>-51.823999999999984</v>
          </cell>
          <cell r="BJ53">
            <v>-69.216000000000008</v>
          </cell>
          <cell r="BM53">
            <v>-50.659230456666656</v>
          </cell>
          <cell r="BP53">
            <v>-31.456455423703702</v>
          </cell>
          <cell r="BS53">
            <v>-35.146782242592593</v>
          </cell>
          <cell r="BV53">
            <v>-29.267339637640607</v>
          </cell>
          <cell r="BY53">
            <v>-24.898248302478279</v>
          </cell>
        </row>
        <row r="55">
          <cell r="T55">
            <v>0</v>
          </cell>
          <cell r="W55">
            <v>0</v>
          </cell>
          <cell r="Z55">
            <v>0</v>
          </cell>
          <cell r="AC55">
            <v>0</v>
          </cell>
          <cell r="AF55">
            <v>0</v>
          </cell>
          <cell r="AI55">
            <v>0</v>
          </cell>
          <cell r="AL55">
            <v>0</v>
          </cell>
          <cell r="AR55">
            <v>0</v>
          </cell>
          <cell r="AU55">
            <v>13.698000000000064</v>
          </cell>
          <cell r="AX55">
            <v>18.15900000000002</v>
          </cell>
          <cell r="BA55">
            <v>5.4080000000000439</v>
          </cell>
          <cell r="BD55">
            <v>0.85300000000002996</v>
          </cell>
          <cell r="BJ55">
            <v>-4.7220000000000084</v>
          </cell>
          <cell r="BM55">
            <v>-6.6027298097736278</v>
          </cell>
          <cell r="BP55">
            <v>13.560045308179298</v>
          </cell>
          <cell r="BS55">
            <v>27.102005007334228</v>
          </cell>
          <cell r="BV55">
            <v>37.029020847705027</v>
          </cell>
          <cell r="BY55">
            <v>48.091916730129299</v>
          </cell>
        </row>
        <row r="57">
          <cell r="T57" t="e">
            <v>#REF!</v>
          </cell>
          <cell r="W57" t="e">
            <v>#REF!</v>
          </cell>
          <cell r="Z57" t="e">
            <v>#REF!</v>
          </cell>
          <cell r="AC57" t="e">
            <v>#REF!</v>
          </cell>
          <cell r="AF57" t="e">
            <v>#REF!</v>
          </cell>
          <cell r="AI57" t="e">
            <v>#REF!</v>
          </cell>
          <cell r="AL57" t="e">
            <v>#REF!</v>
          </cell>
          <cell r="AR57" t="e">
            <v>#REF!</v>
          </cell>
          <cell r="AU57">
            <v>5.3640000000000043</v>
          </cell>
          <cell r="AX57">
            <v>10.816999999999984</v>
          </cell>
          <cell r="BA57">
            <v>12.695999999999973</v>
          </cell>
          <cell r="BD57">
            <v>9.8650000000000251</v>
          </cell>
          <cell r="BJ57">
            <v>10.262000000000043</v>
          </cell>
          <cell r="BM57">
            <v>22.954555067184462</v>
          </cell>
          <cell r="BP57">
            <v>8.683279797901049</v>
          </cell>
          <cell r="BS57">
            <v>10.699598768818689</v>
          </cell>
          <cell r="BV57">
            <v>33.543928462968317</v>
          </cell>
          <cell r="BY57">
            <v>76.093667508277463</v>
          </cell>
        </row>
        <row r="59">
          <cell r="AU59">
            <v>0.17799999999999999</v>
          </cell>
          <cell r="AX59">
            <v>-1.236</v>
          </cell>
          <cell r="BA59">
            <v>-1.3</v>
          </cell>
          <cell r="BD59">
            <v>-0.29600000000000004</v>
          </cell>
          <cell r="BJ59">
            <v>-0.30100000000000005</v>
          </cell>
          <cell r="BM59">
            <v>1.3179999999999976E-2</v>
          </cell>
          <cell r="BP59">
            <v>3.962164444444443E-2</v>
          </cell>
          <cell r="BS59">
            <v>3.865643555555544E-3</v>
          </cell>
          <cell r="BV59">
            <v>1.0898277840987647E-2</v>
          </cell>
          <cell r="BY59">
            <v>7.8105060453267424E-3</v>
          </cell>
        </row>
        <row r="60">
          <cell r="T60" t="e">
            <v>#REF!</v>
          </cell>
          <cell r="W60" t="e">
            <v>#REF!</v>
          </cell>
          <cell r="Z60" t="e">
            <v>#REF!</v>
          </cell>
          <cell r="AC60" t="e">
            <v>#REF!</v>
          </cell>
          <cell r="AF60" t="e">
            <v>#REF!</v>
          </cell>
          <cell r="AI60" t="e">
            <v>#REF!</v>
          </cell>
          <cell r="AL60" t="e">
            <v>#REF!</v>
          </cell>
          <cell r="AR60" t="e">
            <v>#REF!</v>
          </cell>
          <cell r="AU60">
            <v>19.240000000000069</v>
          </cell>
          <cell r="AX60">
            <v>27.740000000000006</v>
          </cell>
          <cell r="BA60">
            <v>16.804000000000016</v>
          </cell>
          <cell r="BD60">
            <v>10.422000000000056</v>
          </cell>
          <cell r="BJ60">
            <v>5.2390000000000345</v>
          </cell>
          <cell r="BM60">
            <v>16.365005257410832</v>
          </cell>
          <cell r="BP60">
            <v>22.282946750524793</v>
          </cell>
          <cell r="BS60">
            <v>37.805469419708473</v>
          </cell>
          <cell r="BV60">
            <v>70.583847588514345</v>
          </cell>
          <cell r="BY60">
            <v>124.19339474445209</v>
          </cell>
        </row>
        <row r="76">
          <cell r="T76" t="e">
            <v>#DIV/0!</v>
          </cell>
          <cell r="W76" t="e">
            <v>#DIV/0!</v>
          </cell>
          <cell r="Z76" t="e">
            <v>#DIV/0!</v>
          </cell>
          <cell r="AC76" t="e">
            <v>#DIV/0!</v>
          </cell>
          <cell r="AF76" t="e">
            <v>#DIV/0!</v>
          </cell>
          <cell r="AI76" t="e">
            <v>#DIV/0!</v>
          </cell>
          <cell r="AL76" t="e">
            <v>#DIV/0!</v>
          </cell>
          <cell r="AR76" t="e">
            <v>#DIV/0!</v>
          </cell>
          <cell r="AU76">
            <v>6.078913530495651</v>
          </cell>
          <cell r="AX76">
            <v>9.1780227209459539</v>
          </cell>
          <cell r="BA76">
            <v>21.124596579152414</v>
          </cell>
          <cell r="BD76">
            <v>11.902800528485296</v>
          </cell>
          <cell r="BJ76">
            <v>12.900839303083783</v>
          </cell>
          <cell r="BM76">
            <v>16.30866751399854</v>
          </cell>
          <cell r="BP76">
            <v>17.266422497163269</v>
          </cell>
          <cell r="BS76">
            <v>20.539291825078738</v>
          </cell>
          <cell r="BV76">
            <v>21.083287161156715</v>
          </cell>
          <cell r="BY76">
            <v>22.28076236175454</v>
          </cell>
        </row>
        <row r="78">
          <cell r="T78" t="e">
            <v>#DIV/0!</v>
          </cell>
          <cell r="W78" t="e">
            <v>#DIV/0!</v>
          </cell>
          <cell r="Z78" t="e">
            <v>#DIV/0!</v>
          </cell>
          <cell r="AC78" t="e">
            <v>#DIV/0!</v>
          </cell>
          <cell r="AF78" t="e">
            <v>#DIV/0!</v>
          </cell>
          <cell r="AI78" t="e">
            <v>#DIV/0!</v>
          </cell>
          <cell r="AL78" t="e">
            <v>#DIV/0!</v>
          </cell>
          <cell r="AR78" t="e">
            <v>#DIV/0!</v>
          </cell>
          <cell r="AU78">
            <v>6.078913530495651</v>
          </cell>
          <cell r="AX78">
            <v>9.1780227209459539</v>
          </cell>
          <cell r="BA78">
            <v>21.124596579152414</v>
          </cell>
          <cell r="BD78">
            <v>11.902800528485296</v>
          </cell>
          <cell r="BJ78">
            <v>12.900839303083783</v>
          </cell>
          <cell r="BM78">
            <v>17.278280384273572</v>
          </cell>
          <cell r="BP78">
            <v>16.515987257238287</v>
          </cell>
          <cell r="BS78">
            <v>21.028202328166511</v>
          </cell>
          <cell r="BV78">
            <v>20.212813749259396</v>
          </cell>
          <cell r="BY78">
            <v>21.457229304728404</v>
          </cell>
        </row>
        <row r="84">
          <cell r="AU84">
            <v>569.91800000000001</v>
          </cell>
          <cell r="AX84">
            <v>305.10399999999998</v>
          </cell>
          <cell r="BA84">
            <v>347.81900000000002</v>
          </cell>
          <cell r="BD84">
            <v>327.81499999999994</v>
          </cell>
          <cell r="BJ84">
            <v>298.85599999999999</v>
          </cell>
          <cell r="BM84">
            <v>211.58866140925579</v>
          </cell>
          <cell r="BP84">
            <v>174.24731250873444</v>
          </cell>
          <cell r="BS84">
            <v>137.06366638276063</v>
          </cell>
          <cell r="BV84">
            <v>89.92685885867354</v>
          </cell>
          <cell r="BY84">
            <v>30.697065017779238</v>
          </cell>
        </row>
        <row r="85">
          <cell r="AU85">
            <v>569.91800000000001</v>
          </cell>
          <cell r="AX85">
            <v>-4.5190000000000055</v>
          </cell>
          <cell r="BA85">
            <v>-47.389999999999986</v>
          </cell>
          <cell r="BD85">
            <v>-79.385000000000048</v>
          </cell>
          <cell r="BJ85">
            <v>-51.007999999999981</v>
          </cell>
          <cell r="BM85">
            <v>-31.481116856893038</v>
          </cell>
          <cell r="BP85">
            <v>-29.311370656327455</v>
          </cell>
          <cell r="BS85">
            <v>-43.351713243482379</v>
          </cell>
          <cell r="BV85">
            <v>-44.219133803186622</v>
          </cell>
          <cell r="BY85">
            <v>-50.909850578652907</v>
          </cell>
        </row>
        <row r="86">
          <cell r="AU86">
            <v>569.91800000000001</v>
          </cell>
          <cell r="AX86">
            <v>305.10399999999998</v>
          </cell>
          <cell r="BA86">
            <v>347.81900000000002</v>
          </cell>
          <cell r="BD86">
            <v>327.81499999999994</v>
          </cell>
          <cell r="BJ86">
            <v>298.85599999999999</v>
          </cell>
          <cell r="BM86">
            <v>288.30099999999999</v>
          </cell>
          <cell r="BP86">
            <v>368.04608250075955</v>
          </cell>
          <cell r="BS86">
            <v>408.09730813382737</v>
          </cell>
          <cell r="BV86">
            <v>462.42214552845064</v>
          </cell>
          <cell r="BY86">
            <v>508.77249415541945</v>
          </cell>
        </row>
        <row r="87">
          <cell r="AU87">
            <v>0</v>
          </cell>
          <cell r="AX87">
            <v>0</v>
          </cell>
          <cell r="BA87">
            <v>0</v>
          </cell>
          <cell r="BD87">
            <v>0</v>
          </cell>
          <cell r="BJ87">
            <v>0</v>
          </cell>
          <cell r="BM87">
            <v>0</v>
          </cell>
          <cell r="BP87">
            <v>0</v>
          </cell>
          <cell r="BS87">
            <v>0</v>
          </cell>
          <cell r="BV87">
            <v>0</v>
          </cell>
          <cell r="BY87">
            <v>0</v>
          </cell>
        </row>
        <row r="88">
          <cell r="AU88">
            <v>0</v>
          </cell>
          <cell r="AX88">
            <v>0</v>
          </cell>
          <cell r="BA88">
            <v>0</v>
          </cell>
          <cell r="BD88">
            <v>0</v>
          </cell>
          <cell r="BJ88">
            <v>0</v>
          </cell>
          <cell r="BM88">
            <v>0</v>
          </cell>
          <cell r="BP88">
            <v>0</v>
          </cell>
          <cell r="BS88">
            <v>0</v>
          </cell>
          <cell r="BV88">
            <v>0</v>
          </cell>
          <cell r="BY88">
            <v>0</v>
          </cell>
        </row>
        <row r="89">
          <cell r="AU89">
            <v>-150.36699999999999</v>
          </cell>
          <cell r="AX89">
            <v>-87.297999999999973</v>
          </cell>
          <cell r="BA89">
            <v>-112.52300000000001</v>
          </cell>
          <cell r="BD89">
            <v>-34.885000000000005</v>
          </cell>
          <cell r="BJ89">
            <v>-49.872000000000014</v>
          </cell>
          <cell r="BM89">
            <v>-66.704188477237565</v>
          </cell>
          <cell r="BP89">
            <v>-75.595684864808376</v>
          </cell>
          <cell r="BS89">
            <v>-80.306991516508305</v>
          </cell>
          <cell r="BV89">
            <v>-77.786559963232406</v>
          </cell>
          <cell r="BY89">
            <v>-79.652440263711753</v>
          </cell>
        </row>
        <row r="90">
          <cell r="A90" t="str">
            <v>Other Financing Cash Flows</v>
          </cell>
          <cell r="AT90">
            <v>-3.6269999999999998</v>
          </cell>
          <cell r="AU90">
            <v>-12.941000000000003</v>
          </cell>
          <cell r="AV90">
            <v>-16.568000000000001</v>
          </cell>
          <cell r="AW90">
            <v>-4.4710000000000001</v>
          </cell>
          <cell r="AX90">
            <v>-2.3339999999999996</v>
          </cell>
          <cell r="AY90">
            <v>-6.8049999999999997</v>
          </cell>
          <cell r="AZ90">
            <v>-5.3380000000000001</v>
          </cell>
          <cell r="BA90">
            <v>-4.6660000000000004</v>
          </cell>
          <cell r="BB90">
            <v>-10.004</v>
          </cell>
          <cell r="BC90">
            <v>-8.3919999999999995</v>
          </cell>
          <cell r="BD90">
            <v>-4.1010000000000009</v>
          </cell>
          <cell r="BE90">
            <v>-12.493</v>
          </cell>
          <cell r="BH90">
            <v>-12.493</v>
          </cell>
          <cell r="BI90">
            <v>-4.8529999999999998</v>
          </cell>
          <cell r="BJ90">
            <v>-5.4969999999999999</v>
          </cell>
          <cell r="BK90">
            <v>-10.35</v>
          </cell>
          <cell r="BL90">
            <v>-4.8529999999999998</v>
          </cell>
          <cell r="BM90">
            <v>-3.12</v>
          </cell>
          <cell r="BN90">
            <v>-7.9729999999999999</v>
          </cell>
          <cell r="BO90">
            <v>-4.8529999999999998</v>
          </cell>
          <cell r="BP90">
            <v>-3.12</v>
          </cell>
          <cell r="BQ90">
            <v>-7.9729999999999999</v>
          </cell>
          <cell r="BR90">
            <v>-4.8529999999999998</v>
          </cell>
          <cell r="BS90">
            <v>-3.12</v>
          </cell>
          <cell r="BT90">
            <v>-7.9729999999999999</v>
          </cell>
          <cell r="BU90">
            <v>-4.8529999999999998</v>
          </cell>
          <cell r="BV90">
            <v>-3.12</v>
          </cell>
          <cell r="BW90">
            <v>-7.9729999999999999</v>
          </cell>
          <cell r="BX90">
            <v>-4.8529999999999998</v>
          </cell>
          <cell r="BY90">
            <v>-3.12</v>
          </cell>
          <cell r="BZ90">
            <v>-7.9729999999999999</v>
          </cell>
        </row>
        <row r="91">
          <cell r="AU91">
            <v>-150.36699999999999</v>
          </cell>
          <cell r="AX91">
            <v>-87.297999999999973</v>
          </cell>
          <cell r="BA91">
            <v>-112.52300000000001</v>
          </cell>
          <cell r="BD91">
            <v>-34.885000000000005</v>
          </cell>
          <cell r="BJ91">
            <v>-49.872000000000014</v>
          </cell>
          <cell r="BM91">
            <v>-124.82199999999999</v>
          </cell>
          <cell r="BP91">
            <v>-117.11630447908423</v>
          </cell>
          <cell r="BS91">
            <v>-112.97605907829934</v>
          </cell>
          <cell r="BV91">
            <v>-122.41854831493141</v>
          </cell>
          <cell r="BY91">
            <v>-125.86371167151003</v>
          </cell>
        </row>
        <row r="92">
          <cell r="AU92">
            <v>-12.941000000000003</v>
          </cell>
          <cell r="AX92">
            <v>-2.3339999999999996</v>
          </cell>
          <cell r="BA92">
            <v>-4.6660000000000004</v>
          </cell>
          <cell r="BD92">
            <v>-4.1010000000000009</v>
          </cell>
          <cell r="BJ92">
            <v>-5.4969999999999999</v>
          </cell>
          <cell r="BM92">
            <v>-4.0150000000000006</v>
          </cell>
          <cell r="BP92">
            <v>-4.0440000000000005</v>
          </cell>
          <cell r="BS92">
            <v>-4.0440000000000005</v>
          </cell>
          <cell r="BV92">
            <v>-4.0440000000000005</v>
          </cell>
          <cell r="BY92">
            <v>-4.0440000000000005</v>
          </cell>
        </row>
        <row r="95">
          <cell r="T95" t="e">
            <v>#REF!</v>
          </cell>
          <cell r="W95" t="e">
            <v>#REF!</v>
          </cell>
          <cell r="Z95" t="e">
            <v>#REF!</v>
          </cell>
          <cell r="AC95" t="e">
            <v>#REF!</v>
          </cell>
          <cell r="AF95" t="e">
            <v>#REF!</v>
          </cell>
          <cell r="AI95" t="e">
            <v>#REF!</v>
          </cell>
          <cell r="AL95" t="e">
            <v>#REF!</v>
          </cell>
          <cell r="AR95">
            <v>152.15199999999999</v>
          </cell>
        </row>
        <row r="97">
          <cell r="T97" t="e">
            <v>#REF!</v>
          </cell>
          <cell r="W97" t="e">
            <v>#REF!</v>
          </cell>
          <cell r="Z97" t="e">
            <v>#REF!</v>
          </cell>
          <cell r="AC97" t="e">
            <v>#REF!</v>
          </cell>
          <cell r="AF97" t="e">
            <v>#REF!</v>
          </cell>
          <cell r="AI97" t="e">
            <v>#REF!</v>
          </cell>
          <cell r="AL97" t="e">
            <v>#REF!</v>
          </cell>
          <cell r="AR97">
            <v>152.15199999999999</v>
          </cell>
        </row>
        <row r="98">
          <cell r="T98" t="e">
            <v>#REF!</v>
          </cell>
          <cell r="W98" t="e">
            <v>#REF!</v>
          </cell>
          <cell r="Z98" t="e">
            <v>#REF!</v>
          </cell>
          <cell r="AC98" t="e">
            <v>#REF!</v>
          </cell>
          <cell r="AF98" t="e">
            <v>#REF!</v>
          </cell>
          <cell r="AI98" t="e">
            <v>#REF!</v>
          </cell>
          <cell r="AL98" t="e">
            <v>#REF!</v>
          </cell>
          <cell r="AR98" t="e">
            <v>#REF!</v>
          </cell>
        </row>
        <row r="99">
          <cell r="T99">
            <v>0</v>
          </cell>
          <cell r="W99">
            <v>0</v>
          </cell>
          <cell r="Z99">
            <v>0</v>
          </cell>
          <cell r="AC99">
            <v>0</v>
          </cell>
          <cell r="AF99">
            <v>0</v>
          </cell>
          <cell r="AI99">
            <v>0</v>
          </cell>
          <cell r="AL99">
            <v>0</v>
          </cell>
          <cell r="AR99">
            <v>0</v>
          </cell>
        </row>
        <row r="100">
          <cell r="T100" t="e">
            <v>#REF!</v>
          </cell>
          <cell r="W100" t="e">
            <v>#REF!</v>
          </cell>
          <cell r="Z100" t="e">
            <v>#REF!</v>
          </cell>
          <cell r="AC100" t="e">
            <v>#REF!</v>
          </cell>
          <cell r="AF100" t="e">
            <v>#REF!</v>
          </cell>
          <cell r="AI100" t="e">
            <v>#REF!</v>
          </cell>
          <cell r="AL100" t="e">
            <v>#REF!</v>
          </cell>
          <cell r="AR100" t="e">
            <v>#REF!</v>
          </cell>
        </row>
        <row r="101">
          <cell r="T101">
            <v>0</v>
          </cell>
          <cell r="W101">
            <v>0</v>
          </cell>
          <cell r="Z101">
            <v>0</v>
          </cell>
          <cell r="AC101">
            <v>0</v>
          </cell>
          <cell r="AF101">
            <v>0</v>
          </cell>
          <cell r="AI101">
            <v>0</v>
          </cell>
          <cell r="AL101">
            <v>0</v>
          </cell>
          <cell r="AR101">
            <v>0</v>
          </cell>
        </row>
        <row r="102">
          <cell r="T102" t="e">
            <v>#REF!</v>
          </cell>
          <cell r="W102" t="e">
            <v>#REF!</v>
          </cell>
          <cell r="Z102" t="e">
            <v>#REF!</v>
          </cell>
          <cell r="AC102" t="e">
            <v>#REF!</v>
          </cell>
          <cell r="AF102" t="e">
            <v>#REF!</v>
          </cell>
          <cell r="AI102" t="e">
            <v>#REF!</v>
          </cell>
          <cell r="AL102" t="e">
            <v>#REF!</v>
          </cell>
          <cell r="AR102" t="e">
            <v>#REF!</v>
          </cell>
        </row>
        <row r="104">
          <cell r="T104" t="e">
            <v>#REF!</v>
          </cell>
          <cell r="W104" t="e">
            <v>#REF!</v>
          </cell>
          <cell r="Z104" t="e">
            <v>#REF!</v>
          </cell>
          <cell r="AC104" t="e">
            <v>#REF!</v>
          </cell>
          <cell r="AF104" t="e">
            <v>#REF!</v>
          </cell>
          <cell r="AI104" t="e">
            <v>#REF!</v>
          </cell>
          <cell r="AL104" t="e">
            <v>#REF!</v>
          </cell>
          <cell r="AR104" t="e">
            <v>#REF!</v>
          </cell>
        </row>
        <row r="106">
          <cell r="T106" t="e">
            <v>#REF!</v>
          </cell>
          <cell r="W106" t="e">
            <v>#REF!</v>
          </cell>
          <cell r="Z106" t="e">
            <v>#REF!</v>
          </cell>
          <cell r="AC106" t="e">
            <v>#REF!</v>
          </cell>
          <cell r="AF106" t="e">
            <v>#REF!</v>
          </cell>
          <cell r="AI106" t="e">
            <v>#REF!</v>
          </cell>
          <cell r="AL106" t="e">
            <v>#REF!</v>
          </cell>
          <cell r="AR106" t="e">
            <v>#REF!</v>
          </cell>
        </row>
        <row r="112">
          <cell r="T112" t="e">
            <v>#REF!</v>
          </cell>
          <cell r="W112" t="e">
            <v>#REF!</v>
          </cell>
          <cell r="Z112" t="e">
            <v>#REF!</v>
          </cell>
          <cell r="AC112" t="e">
            <v>#REF!</v>
          </cell>
          <cell r="AF112" t="e">
            <v>#REF!</v>
          </cell>
          <cell r="AI112" t="e">
            <v>#REF!</v>
          </cell>
          <cell r="AL112" t="e">
            <v>#REF!</v>
          </cell>
          <cell r="AR112" t="e">
            <v>#REF!</v>
          </cell>
        </row>
        <row r="114">
          <cell r="T114" t="e">
            <v>#REF!</v>
          </cell>
          <cell r="W114" t="e">
            <v>#REF!</v>
          </cell>
          <cell r="Z114" t="e">
            <v>#REF!</v>
          </cell>
          <cell r="AC114" t="e">
            <v>#REF!</v>
          </cell>
          <cell r="AF114" t="e">
            <v>#REF!</v>
          </cell>
          <cell r="AI114" t="e">
            <v>#REF!</v>
          </cell>
          <cell r="AL114" t="e">
            <v>#REF!</v>
          </cell>
          <cell r="AR114" t="e">
            <v>#REF!</v>
          </cell>
        </row>
        <row r="115">
          <cell r="T115" t="e">
            <v>#REF!</v>
          </cell>
          <cell r="W115" t="e">
            <v>#REF!</v>
          </cell>
          <cell r="Z115" t="e">
            <v>#REF!</v>
          </cell>
          <cell r="AC115" t="e">
            <v>#REF!</v>
          </cell>
          <cell r="AF115" t="e">
            <v>#REF!</v>
          </cell>
          <cell r="AI115" t="e">
            <v>#REF!</v>
          </cell>
          <cell r="AL115" t="e">
            <v>#REF!</v>
          </cell>
          <cell r="AR115" t="e">
            <v>#REF!</v>
          </cell>
        </row>
        <row r="116">
          <cell r="T116" t="e">
            <v>#REF!</v>
          </cell>
          <cell r="W116" t="e">
            <v>#REF!</v>
          </cell>
          <cell r="Z116" t="e">
            <v>#REF!</v>
          </cell>
          <cell r="AC116" t="e">
            <v>#REF!</v>
          </cell>
          <cell r="AF116" t="e">
            <v>#REF!</v>
          </cell>
          <cell r="AI116" t="e">
            <v>#REF!</v>
          </cell>
          <cell r="AL116" t="e">
            <v>#REF!</v>
          </cell>
          <cell r="AR116" t="e">
            <v>#REF!</v>
          </cell>
        </row>
        <row r="117">
          <cell r="T117" t="e">
            <v>#REF!</v>
          </cell>
          <cell r="W117" t="e">
            <v>#REF!</v>
          </cell>
          <cell r="Z117" t="e">
            <v>#REF!</v>
          </cell>
          <cell r="AC117" t="e">
            <v>#REF!</v>
          </cell>
          <cell r="AF117" t="e">
            <v>#REF!</v>
          </cell>
          <cell r="AI117" t="e">
            <v>#REF!</v>
          </cell>
          <cell r="AL117" t="e">
            <v>#REF!</v>
          </cell>
          <cell r="AR117" t="e">
            <v>#REF!</v>
          </cell>
        </row>
        <row r="118">
          <cell r="T118" t="e">
            <v>#REF!</v>
          </cell>
          <cell r="W118" t="e">
            <v>#REF!</v>
          </cell>
          <cell r="Z118" t="e">
            <v>#REF!</v>
          </cell>
          <cell r="AC118" t="e">
            <v>#REF!</v>
          </cell>
          <cell r="AF118" t="e">
            <v>#REF!</v>
          </cell>
          <cell r="AI118" t="e">
            <v>#REF!</v>
          </cell>
          <cell r="AL118" t="e">
            <v>#REF!</v>
          </cell>
          <cell r="AR118" t="e">
            <v>#REF!</v>
          </cell>
        </row>
        <row r="119">
          <cell r="T119" t="e">
            <v>#REF!</v>
          </cell>
          <cell r="W119" t="e">
            <v>#REF!</v>
          </cell>
          <cell r="Z119" t="e">
            <v>#REF!</v>
          </cell>
          <cell r="AC119" t="e">
            <v>#REF!</v>
          </cell>
          <cell r="AF119" t="e">
            <v>#REF!</v>
          </cell>
          <cell r="AI119" t="e">
            <v>#REF!</v>
          </cell>
          <cell r="AL119" t="e">
            <v>#REF!</v>
          </cell>
          <cell r="AR119" t="e">
            <v>#REF!</v>
          </cell>
        </row>
        <row r="120">
          <cell r="T120" t="e">
            <v>#REF!</v>
          </cell>
          <cell r="W120" t="e">
            <v>#REF!</v>
          </cell>
          <cell r="Z120" t="e">
            <v>#REF!</v>
          </cell>
          <cell r="AC120" t="e">
            <v>#REF!</v>
          </cell>
          <cell r="AF120" t="e">
            <v>#REF!</v>
          </cell>
          <cell r="AI120" t="e">
            <v>#REF!</v>
          </cell>
          <cell r="AL120" t="e">
            <v>#REF!</v>
          </cell>
          <cell r="AR120" t="e">
            <v>#REF!</v>
          </cell>
        </row>
        <row r="121">
          <cell r="T121" t="e">
            <v>#REF!</v>
          </cell>
          <cell r="W121" t="e">
            <v>#REF!</v>
          </cell>
          <cell r="Z121" t="e">
            <v>#REF!</v>
          </cell>
          <cell r="AC121" t="e">
            <v>#REF!</v>
          </cell>
          <cell r="AF121" t="e">
            <v>#REF!</v>
          </cell>
          <cell r="AI121" t="e">
            <v>#REF!</v>
          </cell>
          <cell r="AL121" t="e">
            <v>#REF!</v>
          </cell>
          <cell r="AR121" t="e">
            <v>#REF!</v>
          </cell>
        </row>
        <row r="122">
          <cell r="T122" t="e">
            <v>#REF!</v>
          </cell>
          <cell r="W122" t="e">
            <v>#REF!</v>
          </cell>
          <cell r="Z122" t="e">
            <v>#REF!</v>
          </cell>
          <cell r="AC122" t="e">
            <v>#REF!</v>
          </cell>
          <cell r="AF122" t="e">
            <v>#REF!</v>
          </cell>
          <cell r="AI122" t="e">
            <v>#REF!</v>
          </cell>
          <cell r="AL122" t="e">
            <v>#REF!</v>
          </cell>
          <cell r="AR122" t="e">
            <v>#REF!</v>
          </cell>
        </row>
        <row r="124">
          <cell r="T124" t="e">
            <v>#REF!</v>
          </cell>
          <cell r="W124" t="e">
            <v>#REF!</v>
          </cell>
          <cell r="Z124" t="e">
            <v>#REF!</v>
          </cell>
          <cell r="AC124" t="e">
            <v>#REF!</v>
          </cell>
          <cell r="AF124" t="e">
            <v>#REF!</v>
          </cell>
          <cell r="AI124" t="e">
            <v>#REF!</v>
          </cell>
          <cell r="AL124" t="e">
            <v>#REF!</v>
          </cell>
          <cell r="AR124" t="e">
            <v>#REF!</v>
          </cell>
        </row>
        <row r="125">
          <cell r="T125" t="e">
            <v>#REF!</v>
          </cell>
          <cell r="W125" t="e">
            <v>#REF!</v>
          </cell>
          <cell r="Z125" t="e">
            <v>#REF!</v>
          </cell>
          <cell r="AC125" t="e">
            <v>#REF!</v>
          </cell>
          <cell r="AF125" t="e">
            <v>#REF!</v>
          </cell>
          <cell r="AI125" t="e">
            <v>#REF!</v>
          </cell>
          <cell r="AL125" t="e">
            <v>#REF!</v>
          </cell>
          <cell r="AR125" t="e">
            <v>#REF!</v>
          </cell>
        </row>
        <row r="126">
          <cell r="T126" t="e">
            <v>#REF!</v>
          </cell>
          <cell r="W126" t="e">
            <v>#REF!</v>
          </cell>
          <cell r="Z126" t="e">
            <v>#REF!</v>
          </cell>
          <cell r="AC126" t="e">
            <v>#REF!</v>
          </cell>
          <cell r="AF126" t="e">
            <v>#REF!</v>
          </cell>
          <cell r="AI126" t="e">
            <v>#REF!</v>
          </cell>
          <cell r="AL126" t="e">
            <v>#REF!</v>
          </cell>
          <cell r="AR126" t="e">
            <v>#REF!</v>
          </cell>
        </row>
        <row r="127">
          <cell r="T127" t="e">
            <v>#REF!</v>
          </cell>
          <cell r="W127" t="e">
            <v>#REF!</v>
          </cell>
          <cell r="Z127" t="e">
            <v>#REF!</v>
          </cell>
          <cell r="AC127" t="e">
            <v>#REF!</v>
          </cell>
          <cell r="AF127" t="e">
            <v>#REF!</v>
          </cell>
          <cell r="AI127" t="e">
            <v>#REF!</v>
          </cell>
          <cell r="AL127" t="e">
            <v>#REF!</v>
          </cell>
          <cell r="AR127" t="e">
            <v>#REF!</v>
          </cell>
        </row>
        <row r="128">
          <cell r="T128" t="e">
            <v>#REF!</v>
          </cell>
          <cell r="W128" t="e">
            <v>#REF!</v>
          </cell>
          <cell r="Z128" t="e">
            <v>#REF!</v>
          </cell>
          <cell r="AC128" t="e">
            <v>#REF!</v>
          </cell>
          <cell r="AF128" t="e">
            <v>#REF!</v>
          </cell>
          <cell r="AI128" t="e">
            <v>#REF!</v>
          </cell>
          <cell r="AL128" t="e">
            <v>#REF!</v>
          </cell>
          <cell r="AR128" t="e">
            <v>#REF!</v>
          </cell>
        </row>
        <row r="129">
          <cell r="T129" t="e">
            <v>#REF!</v>
          </cell>
          <cell r="W129" t="e">
            <v>#REF!</v>
          </cell>
          <cell r="Z129" t="e">
            <v>#REF!</v>
          </cell>
          <cell r="AC129" t="e">
            <v>#REF!</v>
          </cell>
          <cell r="AF129" t="e">
            <v>#REF!</v>
          </cell>
          <cell r="AI129" t="e">
            <v>#REF!</v>
          </cell>
          <cell r="AL129" t="e">
            <v>#REF!</v>
          </cell>
          <cell r="AR129" t="e">
            <v>#REF!</v>
          </cell>
          <cell r="AU129">
            <v>147.47699999999998</v>
          </cell>
          <cell r="AX129">
            <v>232.21299999999999</v>
          </cell>
          <cell r="BA129">
            <v>244.36800000000002</v>
          </cell>
          <cell r="BD129">
            <v>162.41900000000001</v>
          </cell>
          <cell r="BJ129">
            <v>126.607</v>
          </cell>
          <cell r="BM129">
            <v>104.98366142342064</v>
          </cell>
          <cell r="BP129">
            <v>101.85084940464859</v>
          </cell>
          <cell r="BS129">
            <v>109.12008913253156</v>
          </cell>
          <cell r="BV129">
            <v>116.93965316770385</v>
          </cell>
          <cell r="BY129">
            <v>120.48659350057891</v>
          </cell>
        </row>
        <row r="131">
          <cell r="AU131">
            <v>147.47699999999998</v>
          </cell>
          <cell r="AX131">
            <v>232.21299999999999</v>
          </cell>
          <cell r="BA131">
            <v>244.36800000000002</v>
          </cell>
          <cell r="BD131">
            <v>162.41900000000001</v>
          </cell>
          <cell r="BJ131">
            <v>126.607</v>
          </cell>
          <cell r="BM131">
            <v>83.423000000000002</v>
          </cell>
          <cell r="BP131">
            <v>104.2860954140955</v>
          </cell>
          <cell r="BS131">
            <v>115.96924764734027</v>
          </cell>
          <cell r="BV131">
            <v>122.47562647627495</v>
          </cell>
          <cell r="BY131">
            <v>133.98802227139066</v>
          </cell>
        </row>
        <row r="132">
          <cell r="AU132">
            <v>78.710000000000036</v>
          </cell>
          <cell r="AX132">
            <v>107.48500000000004</v>
          </cell>
          <cell r="BA132">
            <v>133.31599999999997</v>
          </cell>
          <cell r="BD132">
            <v>82.309000000000054</v>
          </cell>
          <cell r="BJ132">
            <v>98.47450000000002</v>
          </cell>
          <cell r="BM132">
            <v>112.50436121584004</v>
          </cell>
          <cell r="BP132">
            <v>123.04180774618789</v>
          </cell>
          <cell r="BS132">
            <v>135.01567477999873</v>
          </cell>
          <cell r="BV132">
            <v>141.98022489495577</v>
          </cell>
          <cell r="BY132">
            <v>148.13909891494814</v>
          </cell>
        </row>
        <row r="133">
          <cell r="AU133">
            <v>-147.47699999999998</v>
          </cell>
          <cell r="AX133">
            <v>-12.460999999999984</v>
          </cell>
          <cell r="BA133">
            <v>52.220999999999975</v>
          </cell>
          <cell r="BD133">
            <v>99.84</v>
          </cell>
          <cell r="BJ133">
            <v>15.769000000000005</v>
          </cell>
          <cell r="BM133">
            <v>2.8924146330976868</v>
          </cell>
          <cell r="BP133">
            <v>-4.0054593974517729</v>
          </cell>
          <cell r="BS133">
            <v>1.7896741262685225</v>
          </cell>
          <cell r="BV133">
            <v>-4.5440794184767554</v>
          </cell>
          <cell r="BY133">
            <v>-3.7431134211969521</v>
          </cell>
        </row>
        <row r="134">
          <cell r="AU134">
            <v>2.5939999999999999</v>
          </cell>
          <cell r="AX134">
            <v>0.75800000000000001</v>
          </cell>
          <cell r="BA134">
            <v>0.69200000000000017</v>
          </cell>
          <cell r="BD134">
            <v>2.3569999999999993</v>
          </cell>
          <cell r="BJ134">
            <v>-0.65300000000000047</v>
          </cell>
          <cell r="BM134">
            <v>7.3868510890644501E-2</v>
          </cell>
          <cell r="BP134">
            <v>0.12019874290521493</v>
          </cell>
          <cell r="BS134">
            <v>0.19927461653912104</v>
          </cell>
          <cell r="BV134">
            <v>0.1706687518957466</v>
          </cell>
          <cell r="BY134">
            <v>0.15569820085970498</v>
          </cell>
        </row>
        <row r="135">
          <cell r="AU135">
            <v>-13.577999999999975</v>
          </cell>
          <cell r="AX135">
            <v>-12.460999999999984</v>
          </cell>
          <cell r="BA135">
            <v>52.220999999999975</v>
          </cell>
          <cell r="BD135">
            <v>99.84</v>
          </cell>
          <cell r="BJ135">
            <v>15.769000000000005</v>
          </cell>
          <cell r="BM135">
            <v>14.171999999999997</v>
          </cell>
          <cell r="BP135">
            <v>-12.221394495293225</v>
          </cell>
          <cell r="BS135">
            <v>-1.2008767129562585</v>
          </cell>
          <cell r="BV135">
            <v>-7.0366601193660756</v>
          </cell>
          <cell r="BY135">
            <v>-8.1155740799105303</v>
          </cell>
        </row>
        <row r="136">
          <cell r="AU136">
            <v>130.63099999999997</v>
          </cell>
          <cell r="AX136">
            <v>-24.844000000000079</v>
          </cell>
          <cell r="BA136">
            <v>-28.567999999999898</v>
          </cell>
          <cell r="BD136">
            <v>-88.886000000000053</v>
          </cell>
          <cell r="BJ136">
            <v>-0.65300000000000047</v>
          </cell>
          <cell r="BM136">
            <v>1.5249999999999999</v>
          </cell>
          <cell r="BP136">
            <v>0.47301550228171951</v>
          </cell>
          <cell r="BS136">
            <v>0.28590880726945667</v>
          </cell>
          <cell r="BV136">
            <v>0.31353040818270195</v>
          </cell>
          <cell r="BY136">
            <v>0.26875454253557596</v>
          </cell>
        </row>
        <row r="137">
          <cell r="AU137">
            <v>64.458000000000027</v>
          </cell>
          <cell r="AX137">
            <v>70.937999999999974</v>
          </cell>
          <cell r="BA137">
            <v>157.66100000000006</v>
          </cell>
          <cell r="BD137">
            <v>95.62</v>
          </cell>
          <cell r="BJ137">
            <v>130.73200000000006</v>
          </cell>
          <cell r="BM137">
            <v>115.47064435982838</v>
          </cell>
          <cell r="BP137">
            <v>119.15654709164133</v>
          </cell>
          <cell r="BS137">
            <v>137.00462352280641</v>
          </cell>
          <cell r="BV137">
            <v>137.60681422837473</v>
          </cell>
          <cell r="BY137">
            <v>144.55168369461086</v>
          </cell>
        </row>
        <row r="138">
          <cell r="AU138">
            <v>-21.637</v>
          </cell>
          <cell r="AX138">
            <v>-11.573999999999998</v>
          </cell>
          <cell r="BA138">
            <v>-12.283999999999999</v>
          </cell>
          <cell r="BD138">
            <v>-12.871</v>
          </cell>
          <cell r="BJ138">
            <v>-12.793000000000001</v>
          </cell>
          <cell r="BM138">
            <v>-12.694054245644612</v>
          </cell>
          <cell r="BP138">
            <v>-11.272763303579527</v>
          </cell>
          <cell r="BS138">
            <v>-9.7085538173890455</v>
          </cell>
          <cell r="BV138">
            <v>-8.0505144114612435</v>
          </cell>
          <cell r="BY138">
            <v>-6.8566212017330441</v>
          </cell>
        </row>
        <row r="139">
          <cell r="AU139">
            <v>-6.1349999999999998</v>
          </cell>
          <cell r="AX139">
            <v>-3.9749999999999996</v>
          </cell>
          <cell r="BA139">
            <v>-6.0729999999999995</v>
          </cell>
          <cell r="BD139">
            <v>-7.6139999999999972</v>
          </cell>
          <cell r="BJ139">
            <v>-8.3329999999999984</v>
          </cell>
          <cell r="BM139">
            <v>0.1698490099468124</v>
          </cell>
          <cell r="BP139">
            <v>1.1083647715925302</v>
          </cell>
          <cell r="BS139">
            <v>2.3556601927050025</v>
          </cell>
          <cell r="BV139">
            <v>3.74717532988128</v>
          </cell>
          <cell r="BY139">
            <v>3.1796990677305033</v>
          </cell>
        </row>
        <row r="140">
          <cell r="AU140">
            <v>36.686000000000028</v>
          </cell>
          <cell r="AX140">
            <v>55.388999999999982</v>
          </cell>
          <cell r="BA140">
            <v>139.30400000000006</v>
          </cell>
          <cell r="BD140">
            <v>75.135000000000019</v>
          </cell>
          <cell r="BJ140">
            <v>109.60600000000005</v>
          </cell>
          <cell r="BM140">
            <v>102.94643912413059</v>
          </cell>
          <cell r="BP140">
            <v>108.99214855965434</v>
          </cell>
          <cell r="BS140">
            <v>129.65172989812237</v>
          </cell>
          <cell r="BV140">
            <v>133.30347514679477</v>
          </cell>
          <cell r="BY140">
            <v>140.87476156060831</v>
          </cell>
        </row>
        <row r="141">
          <cell r="AU141">
            <v>-6.1349999999999998</v>
          </cell>
          <cell r="AX141">
            <v>-3.9749999999999996</v>
          </cell>
          <cell r="BA141">
            <v>-6.0729999999999995</v>
          </cell>
          <cell r="BD141">
            <v>-7.6139999999999972</v>
          </cell>
          <cell r="BJ141">
            <v>-8.3329999999999984</v>
          </cell>
          <cell r="BM141">
            <v>-3.4399999999999995</v>
          </cell>
          <cell r="BP141">
            <v>-2.3624484924281148</v>
          </cell>
          <cell r="BS141">
            <v>3.2031234251597809</v>
          </cell>
          <cell r="BV141">
            <v>3.7107104388602963</v>
          </cell>
          <cell r="BY141">
            <v>3.4093005562854444</v>
          </cell>
        </row>
        <row r="142">
          <cell r="AU142">
            <v>36.686000000000028</v>
          </cell>
          <cell r="AX142">
            <v>55.388999999999982</v>
          </cell>
          <cell r="BA142">
            <v>139.30400000000006</v>
          </cell>
          <cell r="BD142">
            <v>75.135000000000019</v>
          </cell>
          <cell r="BJ142">
            <v>81.435000000000016</v>
          </cell>
          <cell r="BM142">
            <v>109.06700000000002</v>
          </cell>
          <cell r="BP142">
            <v>104.25511926665857</v>
          </cell>
          <cell r="BS142">
            <v>132.73791675551408</v>
          </cell>
          <cell r="BV142">
            <v>127.79972566305278</v>
          </cell>
          <cell r="BY142">
            <v>135.66780224915411</v>
          </cell>
        </row>
        <row r="143">
          <cell r="AU143">
            <v>0.8250059594755661</v>
          </cell>
          <cell r="AX143">
            <v>0.99498971190017715</v>
          </cell>
          <cell r="BA143">
            <v>0.92518075504658392</v>
          </cell>
          <cell r="BD143">
            <v>1.1656824237097259</v>
          </cell>
          <cell r="BJ143">
            <v>1.2899559184338318</v>
          </cell>
          <cell r="BM143">
            <v>1.0528008120065284</v>
          </cell>
          <cell r="BP143">
            <v>1.0615474819173376</v>
          </cell>
          <cell r="BS143">
            <v>1.0677383030957213</v>
          </cell>
          <cell r="BV143">
            <v>1.0629795601769851</v>
          </cell>
          <cell r="BY143">
            <v>1.0632030908330905</v>
          </cell>
        </row>
        <row r="144">
          <cell r="AU144">
            <v>0.89661030996187618</v>
          </cell>
          <cell r="AX144">
            <v>1.1364886095836606</v>
          </cell>
          <cell r="BA144">
            <v>1.0207744723284029</v>
          </cell>
          <cell r="BD144">
            <v>1.2235953988021675</v>
          </cell>
          <cell r="BJ144">
            <v>1.2784051164185071</v>
          </cell>
          <cell r="BM144">
            <v>0.98931870026014346</v>
          </cell>
          <cell r="BP144">
            <v>1.0005088616631301</v>
          </cell>
          <cell r="BS144">
            <v>1.0036327589922351</v>
          </cell>
          <cell r="BV144">
            <v>0.94336216119003768</v>
          </cell>
          <cell r="BY144">
            <v>0.87803807502980213</v>
          </cell>
        </row>
        <row r="145">
          <cell r="AU145">
            <v>0.93936610013780431</v>
          </cell>
          <cell r="AX145">
            <v>0.25679953485367268</v>
          </cell>
          <cell r="BA145">
            <v>0.38822476507063858</v>
          </cell>
          <cell r="BD145">
            <v>0.62404720924514356</v>
          </cell>
          <cell r="BJ145">
            <v>0.82231776705392901</v>
          </cell>
          <cell r="BM145">
            <v>-1.2988440151065268E-2</v>
          </cell>
          <cell r="BP145">
            <v>-7.358814696094633E-2</v>
          </cell>
          <cell r="BS145">
            <v>-0.131763406546441</v>
          </cell>
          <cell r="BV145">
            <v>-0.1922834743905269</v>
          </cell>
          <cell r="BY145">
            <v>-0.15158421707666156</v>
          </cell>
        </row>
        <row r="146">
          <cell r="AU146">
            <v>0.89661030996187618</v>
          </cell>
          <cell r="AX146">
            <v>1.1364886095836606</v>
          </cell>
          <cell r="BA146">
            <v>1.0207744723284029</v>
          </cell>
          <cell r="BD146">
            <v>1.2235953988021675</v>
          </cell>
          <cell r="BJ146">
            <v>1.1765841993929917</v>
          </cell>
          <cell r="BM146">
            <v>0.79599896969176598</v>
          </cell>
          <cell r="BP146">
            <v>1.0415406431426475</v>
          </cell>
          <cell r="BS146">
            <v>1.0393858448859896</v>
          </cell>
          <cell r="BV146">
            <v>1.0303545701697223</v>
          </cell>
          <cell r="BY146">
            <v>1.0338248999943738</v>
          </cell>
        </row>
        <row r="147">
          <cell r="AU147">
            <v>0.93936610013780431</v>
          </cell>
          <cell r="AX147">
            <v>0.25679953485367268</v>
          </cell>
          <cell r="BA147">
            <v>0.38822476507063858</v>
          </cell>
          <cell r="BD147">
            <v>0.62404720924514356</v>
          </cell>
          <cell r="BJ147">
            <v>0.86343384105274046</v>
          </cell>
          <cell r="BM147">
            <v>0.34018987341772144</v>
          </cell>
          <cell r="BP147">
            <v>0.13353357752240869</v>
          </cell>
          <cell r="BS147">
            <v>-0.1746995793243839</v>
          </cell>
          <cell r="BV147">
            <v>-0.17891070126942399</v>
          </cell>
          <cell r="BY147">
            <v>-0.15034935827591178</v>
          </cell>
        </row>
        <row r="148">
          <cell r="AU148">
            <v>0</v>
          </cell>
          <cell r="AX148">
            <v>0</v>
          </cell>
          <cell r="BA148">
            <v>0</v>
          </cell>
          <cell r="BD148">
            <v>0</v>
          </cell>
          <cell r="BJ148">
            <v>0</v>
          </cell>
          <cell r="BM148">
            <v>0</v>
          </cell>
          <cell r="BP148">
            <v>0</v>
          </cell>
          <cell r="BS148">
            <v>0</v>
          </cell>
          <cell r="BV148">
            <v>0</v>
          </cell>
          <cell r="BY148">
            <v>0</v>
          </cell>
        </row>
        <row r="149">
          <cell r="AU149">
            <v>-118.56399999999999</v>
          </cell>
          <cell r="AX149">
            <v>-63.762</v>
          </cell>
          <cell r="BA149">
            <v>-107.68600000000001</v>
          </cell>
          <cell r="BD149">
            <v>-34.885000000000005</v>
          </cell>
          <cell r="BJ149">
            <v>-49.872000000000014</v>
          </cell>
          <cell r="BM149">
            <v>-66.704188477237565</v>
          </cell>
          <cell r="BP149">
            <v>-75.595684864808376</v>
          </cell>
          <cell r="BS149">
            <v>-80.306991516508305</v>
          </cell>
          <cell r="BV149">
            <v>-77.786559963232406</v>
          </cell>
          <cell r="BY149">
            <v>-79.652440263711753</v>
          </cell>
        </row>
        <row r="150">
          <cell r="AU150">
            <v>0</v>
          </cell>
          <cell r="AX150">
            <v>0</v>
          </cell>
          <cell r="BA150">
            <v>0</v>
          </cell>
          <cell r="BD150">
            <v>0</v>
          </cell>
          <cell r="BJ150">
            <v>0</v>
          </cell>
          <cell r="BM150">
            <v>0</v>
          </cell>
          <cell r="BP150">
            <v>0</v>
          </cell>
          <cell r="BS150">
            <v>0</v>
          </cell>
          <cell r="BV150">
            <v>0</v>
          </cell>
          <cell r="BY150">
            <v>0</v>
          </cell>
        </row>
        <row r="151">
          <cell r="AU151">
            <v>-118.56399999999999</v>
          </cell>
          <cell r="AX151">
            <v>-63.762</v>
          </cell>
          <cell r="BA151">
            <v>-107.68600000000001</v>
          </cell>
          <cell r="BD151">
            <v>-34.885000000000005</v>
          </cell>
          <cell r="BJ151">
            <v>-49.872000000000014</v>
          </cell>
          <cell r="BM151">
            <v>-124.82199999999999</v>
          </cell>
          <cell r="BP151">
            <v>-117.11630447908423</v>
          </cell>
          <cell r="BS151">
            <v>-112.97605907829934</v>
          </cell>
          <cell r="BV151">
            <v>-122.41854831493141</v>
          </cell>
          <cell r="BY151">
            <v>-125.86371167151003</v>
          </cell>
        </row>
      </sheetData>
      <sheetData sheetId="34" refreshError="1"/>
      <sheetData sheetId="35" refreshError="1"/>
      <sheetData sheetId="36" refreshError="1">
        <row r="2">
          <cell r="A2" t="str">
            <v>Emeco Holdings - Blended Valuation</v>
          </cell>
        </row>
        <row r="5">
          <cell r="A5" t="str">
            <v>PE Relative Prospective</v>
          </cell>
          <cell r="B5">
            <v>1.1381154739596406</v>
          </cell>
        </row>
        <row r="6">
          <cell r="A6" t="str">
            <v>Sum of The Parts</v>
          </cell>
          <cell r="B6">
            <v>1.2797064581434123</v>
          </cell>
        </row>
        <row r="7">
          <cell r="A7" t="str">
            <v>Discounted Cash Flow</v>
          </cell>
          <cell r="B7">
            <v>1.1614927552479775</v>
          </cell>
          <cell r="E7" t="str">
            <v>Currently in database</v>
          </cell>
          <cell r="F7" t="e">
            <v>#NAME?</v>
          </cell>
          <cell r="G7" t="e">
            <v>#NAME?</v>
          </cell>
        </row>
        <row r="8">
          <cell r="A8" t="str">
            <v>Blended Valuation</v>
          </cell>
          <cell r="B8">
            <v>1.1931048957836767</v>
          </cell>
        </row>
        <row r="10">
          <cell r="A10" t="str">
            <v>Merrill Lynch Australian Small Companies Team</v>
          </cell>
        </row>
        <row r="11">
          <cell r="A11" t="str">
            <v>Chris Nicol +61 3 9659 2297</v>
          </cell>
        </row>
        <row r="12">
          <cell r="A12" t="str">
            <v>David Evans +61 2 9226 5751</v>
          </cell>
        </row>
        <row r="13">
          <cell r="A13" t="str">
            <v>Shanaz Cassim +61 2 9226 5748</v>
          </cell>
        </row>
        <row r="17">
          <cell r="A17" t="str">
            <v>Current Share Price</v>
          </cell>
          <cell r="B17">
            <v>1.095</v>
          </cell>
          <cell r="I17" t="str">
            <v>Price Objective</v>
          </cell>
          <cell r="J17">
            <v>1.2</v>
          </cell>
        </row>
        <row r="18">
          <cell r="A18" t="str">
            <v>% Diff</v>
          </cell>
          <cell r="B18">
            <v>8.9593512131211694E-2</v>
          </cell>
          <cell r="I18" t="str">
            <v>% Diff</v>
          </cell>
          <cell r="J18">
            <v>9.5890410958904049E-2</v>
          </cell>
        </row>
        <row r="19">
          <cell r="A19" t="str">
            <v>Forward DPS</v>
          </cell>
          <cell r="B19">
            <v>3.5000000000000003E-2</v>
          </cell>
          <cell r="I19" t="str">
            <v>Forward DPS</v>
          </cell>
          <cell r="J19">
            <v>3.5000000000000003E-2</v>
          </cell>
        </row>
        <row r="20">
          <cell r="A20" t="str">
            <v>Total Return</v>
          </cell>
          <cell r="B20">
            <v>0.12155698245084623</v>
          </cell>
          <cell r="I20" t="str">
            <v>Total Return</v>
          </cell>
          <cell r="J20">
            <v>0.12785388127853881</v>
          </cell>
        </row>
        <row r="23">
          <cell r="I23" t="str">
            <v>12mth forward P/E</v>
          </cell>
          <cell r="J23">
            <v>9.9349027373552907</v>
          </cell>
        </row>
        <row r="24">
          <cell r="I24" t="str">
            <v>Duration XSI</v>
          </cell>
          <cell r="J24">
            <v>13.709742949981909</v>
          </cell>
        </row>
        <row r="25">
          <cell r="I25" t="str">
            <v>Premium</v>
          </cell>
          <cell r="J25">
            <v>-0.27533997000517063</v>
          </cell>
        </row>
      </sheetData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>
        <row r="1">
          <cell r="A1" t="str">
            <v>RRS-5.13</v>
          </cell>
          <cell r="D1" t="str">
            <v>RISK-REWARD SNAPSHOT
(You must upload your model to ModelWare to capture changes to your scenario values and NOT delete this worksheet.)</v>
          </cell>
          <cell r="I1" t="str">
            <v>Select Language</v>
          </cell>
          <cell r="N1" t="str">
            <v>http://ChartGallery</v>
          </cell>
          <cell r="O1" t="str">
            <v>http://ChartGallery</v>
          </cell>
          <cell r="AA1" t="str">
            <v>ElementName</v>
          </cell>
          <cell r="AB1" t="str">
            <v>ScaleOverride</v>
          </cell>
          <cell r="AC1" t="str">
            <v>UnitOverride</v>
          </cell>
          <cell r="AD1" t="str">
            <v>ReverseSign</v>
          </cell>
          <cell r="AE1" t="str">
            <v>IsDrivingAssumption</v>
          </cell>
          <cell r="AF1" t="str">
            <v>SegmentID</v>
          </cell>
        </row>
        <row r="2">
          <cell r="B2" t="str">
            <v>Instructions:</v>
          </cell>
          <cell r="G2" t="str">
            <v>Is refreshing chart data too slow? Read below to improve performance.</v>
          </cell>
          <cell r="AQ2" t="str">
            <v>Refer to cell G2 to learn about improving chart refresh performance</v>
          </cell>
        </row>
        <row r="4">
          <cell r="B4" t="str">
            <v>Ticker:</v>
          </cell>
          <cell r="C4" t="str">
            <v>EHL.AX</v>
          </cell>
          <cell r="E4" t="str">
            <v>Company Name:</v>
          </cell>
          <cell r="F4" t="str">
            <v>Emeco Holdings Limited</v>
          </cell>
          <cell r="I4" t="str">
            <v>Sedol:</v>
          </cell>
          <cell r="J4" t="str">
            <v>B1978V5</v>
          </cell>
          <cell r="K4" t="str">
            <v>B1978V5</v>
          </cell>
        </row>
        <row r="5">
          <cell r="B5" t="str">
            <v xml:space="preserve">Chart Data Inputs (decimal formats will reflect on chart): </v>
          </cell>
          <cell r="H5" t="str">
            <v>Risk Reward Chart Gallery 
(Click on the below image for other Risk-Reward Charts)</v>
          </cell>
        </row>
        <row r="6">
          <cell r="B6" t="str">
            <v>Bull Case</v>
          </cell>
          <cell r="C6">
            <v>1.54</v>
          </cell>
          <cell r="AA6" t="str">
            <v>mstag:bullCaseValueEstimatePerShare</v>
          </cell>
          <cell r="AB6">
            <v>0</v>
          </cell>
          <cell r="AC6" t="str">
            <v>ISO4217:AUD</v>
          </cell>
          <cell r="AD6" t="b">
            <v>0</v>
          </cell>
        </row>
        <row r="7">
          <cell r="B7" t="str">
            <v>Base Case</v>
          </cell>
          <cell r="C7">
            <v>1.19</v>
          </cell>
          <cell r="AA7" t="str">
            <v>mstag:met_12monthIntrinsicValueEstimate</v>
          </cell>
          <cell r="AB7">
            <v>0</v>
          </cell>
          <cell r="AC7" t="str">
            <v>ISO4217:AUD</v>
          </cell>
          <cell r="AD7" t="b">
            <v>0</v>
          </cell>
        </row>
        <row r="8">
          <cell r="B8" t="str">
            <v>Bear Case</v>
          </cell>
          <cell r="C8">
            <v>0.76</v>
          </cell>
          <cell r="K8" t="str">
            <v>日本語</v>
          </cell>
          <cell r="M8" t="str">
            <v>-</v>
          </cell>
          <cell r="AA8" t="str">
            <v>mstag:bearCaseValueEstimatePerShare</v>
          </cell>
          <cell r="AB8">
            <v>0</v>
          </cell>
          <cell r="AC8" t="str">
            <v>ISO4217:AUD</v>
          </cell>
          <cell r="AD8" t="b">
            <v>0</v>
          </cell>
        </row>
        <row r="9">
          <cell r="B9" t="str">
            <v>Extreme Upside</v>
          </cell>
          <cell r="K9" t="str">
            <v>English</v>
          </cell>
          <cell r="L9" t="str">
            <v>年</v>
          </cell>
          <cell r="M9" t="str">
            <v>月</v>
          </cell>
          <cell r="N9" t="str">
            <v>-</v>
          </cell>
          <cell r="AA9" t="str">
            <v>mstag:extremeBullCaseValueEstimatePerShare</v>
          </cell>
          <cell r="AB9">
            <v>0</v>
          </cell>
          <cell r="AC9" t="str">
            <v>ISO4217:AUD</v>
          </cell>
          <cell r="AD9" t="b">
            <v>0</v>
          </cell>
          <cell r="AH9" t="str">
            <v>Other Refresh Chart Option</v>
          </cell>
        </row>
        <row r="10">
          <cell r="B10" t="str">
            <v>Extreme Downside</v>
          </cell>
          <cell r="O10" t="b">
            <v>0</v>
          </cell>
          <cell r="AA10" t="str">
            <v>mstag:extremeBearCaseValueEstimatePerShare</v>
          </cell>
          <cell r="AB10">
            <v>0</v>
          </cell>
          <cell r="AC10" t="str">
            <v>ISO4217:AUD</v>
          </cell>
          <cell r="AD10" t="b">
            <v>0</v>
          </cell>
        </row>
        <row r="11">
          <cell r="B11" t="str">
            <v>Price Target</v>
          </cell>
          <cell r="C11">
            <v>1.2</v>
          </cell>
          <cell r="O11" t="b">
            <v>1</v>
          </cell>
        </row>
        <row r="12">
          <cell r="B12" t="str">
            <v>Currency</v>
          </cell>
          <cell r="C12" t="str">
            <v>AUD Australian Dollar</v>
          </cell>
          <cell r="F12">
            <v>0</v>
          </cell>
        </row>
        <row r="13">
          <cell r="B13" t="str">
            <v>Currency Symbol</v>
          </cell>
          <cell r="C13" t="str">
            <v>A$</v>
          </cell>
          <cell r="F13">
            <v>0</v>
          </cell>
          <cell r="I13" t="str">
            <v xml:space="preserve">WARNINGDONOTEDIT_RRS4RL~EHL.AX~ </v>
          </cell>
        </row>
        <row r="14">
          <cell r="B14" t="str">
            <v>"Refresh RR Chart" updates chart dates below, as of today. If your PT time horizon is &gt; 1yr. or price history is &lt; 2yrs., adjust Start/End dates and select "Apply Manually Adjusted Dates" option.</v>
          </cell>
        </row>
        <row r="15">
          <cell r="B15" t="str">
            <v>Start Date (-2 Yrs)</v>
          </cell>
          <cell r="C15">
            <v>39832</v>
          </cell>
          <cell r="E15">
            <v>1.1000000238418599</v>
          </cell>
          <cell r="F15" t="str">
            <v>AUD</v>
          </cell>
        </row>
        <row r="16">
          <cell r="B16" t="str">
            <v>End Date (+1 Yr)</v>
          </cell>
          <cell r="C16">
            <v>40927</v>
          </cell>
          <cell r="E16" t="str">
            <v>AUD</v>
          </cell>
          <cell r="F16" t="str">
            <v>AUD</v>
          </cell>
        </row>
        <row r="17">
          <cell r="B17">
            <v>1.095</v>
          </cell>
          <cell r="C17" t="str">
            <v>Hand entert Share Price</v>
          </cell>
          <cell r="H17" t="str">
            <v>2007-FY</v>
          </cell>
        </row>
        <row r="18">
          <cell r="B18" t="b">
            <v>0</v>
          </cell>
          <cell r="C18" t="str">
            <v>19/01/2011</v>
          </cell>
        </row>
        <row r="19">
          <cell r="C19" t="str">
            <v>2010-FY</v>
          </cell>
        </row>
        <row r="34">
          <cell r="A34" t="str">
            <v>BullCase</v>
          </cell>
        </row>
        <row r="52">
          <cell r="A52">
            <v>40927</v>
          </cell>
          <cell r="B52">
            <v>784</v>
          </cell>
          <cell r="N52" t="str">
            <v>Jan-12</v>
          </cell>
          <cell r="R52" t="b">
            <v>1</v>
          </cell>
        </row>
        <row r="53">
          <cell r="A53" t="str">
            <v>Header</v>
          </cell>
          <cell r="B53" t="str">
            <v>Date</v>
          </cell>
          <cell r="C53" t="str">
            <v>Past/Future</v>
          </cell>
          <cell r="D53" t="str">
            <v>Historical Stock Performance</v>
          </cell>
          <cell r="E53" t="str">
            <v>Extreme Upside Cone</v>
          </cell>
          <cell r="F53" t="str">
            <v>Blue Cone</v>
          </cell>
          <cell r="G53" t="str">
            <v>Extreme Downside Cone</v>
          </cell>
          <cell r="H53" t="str">
            <v>White Mask</v>
          </cell>
          <cell r="I53" t="str">
            <v>Current Stock Price</v>
          </cell>
          <cell r="J53" t="str">
            <v>Extreme Upside Price(Jan-12)</v>
          </cell>
          <cell r="K53" t="str">
            <v>Bull Price(Jan-12)</v>
          </cell>
          <cell r="L53" t="str">
            <v>Bear Price(Jan-12)</v>
          </cell>
          <cell r="M53" t="str">
            <v>Extreme Downside Price(Jan-12)</v>
          </cell>
          <cell r="N53" t="str">
            <v>Price Target (Jan-12)</v>
          </cell>
          <cell r="O53" t="str">
            <v>Gray Line</v>
          </cell>
          <cell r="P53" t="str">
            <v>Prices</v>
          </cell>
          <cell r="Q53" t="str">
            <v>Volume</v>
          </cell>
          <cell r="R53" t="str">
            <v>Base Case(Jan-12)</v>
          </cell>
          <cell r="S53" t="str">
            <v>Header Row</v>
          </cell>
          <cell r="T53">
            <v>53</v>
          </cell>
          <cell r="U53">
            <v>0</v>
          </cell>
          <cell r="AI53" t="str">
            <v xml:space="preserve">Display </v>
          </cell>
          <cell r="AJ53" t="str">
            <v>Symbol</v>
          </cell>
          <cell r="AK53" t="str">
            <v>Unit</v>
          </cell>
          <cell r="AL53" t="str">
            <v>FactsetUnit</v>
          </cell>
          <cell r="AM53" t="str">
            <v>Right alligned</v>
          </cell>
          <cell r="AN53" t="str">
            <v>Display 2 Decimal Places for Currency Amount</v>
          </cell>
        </row>
        <row r="54">
          <cell r="A54">
            <v>39832</v>
          </cell>
          <cell r="B54">
            <v>39832</v>
          </cell>
          <cell r="C54" t="str">
            <v>Past</v>
          </cell>
          <cell r="D54">
            <v>0.22</v>
          </cell>
          <cell r="E54" t="e">
            <v>#N/A</v>
          </cell>
          <cell r="F54" t="e">
            <v>#N/A</v>
          </cell>
          <cell r="G54" t="e">
            <v>#N/A</v>
          </cell>
          <cell r="H54" t="e">
            <v>#N/A</v>
          </cell>
          <cell r="I54" t="e">
            <v>#N/A</v>
          </cell>
          <cell r="J54" t="e">
            <v>#N/A</v>
          </cell>
          <cell r="K54" t="e">
            <v>#N/A</v>
          </cell>
          <cell r="L54" t="e">
            <v>#N/A</v>
          </cell>
          <cell r="M54" t="e">
            <v>#N/A</v>
          </cell>
          <cell r="N54" t="e">
            <v>#N/A</v>
          </cell>
          <cell r="O54" t="e">
            <v>#N/A</v>
          </cell>
          <cell r="P54">
            <v>0.22</v>
          </cell>
          <cell r="Q54">
            <v>1.331191</v>
          </cell>
          <cell r="R54" t="e">
            <v>#N/A</v>
          </cell>
          <cell r="S54" t="str">
            <v>Count</v>
          </cell>
          <cell r="T54">
            <v>784</v>
          </cell>
          <cell r="U54">
            <v>1.54</v>
          </cell>
          <cell r="AI54" t="str">
            <v>AED UAE Dirham</v>
          </cell>
          <cell r="AJ54" t="str">
            <v>AED</v>
          </cell>
          <cell r="AK54" t="str">
            <v>AED</v>
          </cell>
          <cell r="AL54" t="str">
            <v>AED</v>
          </cell>
          <cell r="AM54">
            <v>0</v>
          </cell>
          <cell r="AN54">
            <v>2</v>
          </cell>
        </row>
        <row r="55">
          <cell r="A55">
            <v>39833</v>
          </cell>
          <cell r="B55">
            <v>39833</v>
          </cell>
          <cell r="C55" t="str">
            <v>Past</v>
          </cell>
          <cell r="D55">
            <v>0.22</v>
          </cell>
          <cell r="E55" t="e">
            <v>#N/A</v>
          </cell>
          <cell r="F55" t="e">
            <v>#N/A</v>
          </cell>
          <cell r="G55" t="e">
            <v>#N/A</v>
          </cell>
          <cell r="H55" t="e">
            <v>#N/A</v>
          </cell>
          <cell r="I55" t="e">
            <v>#N/A</v>
          </cell>
          <cell r="J55" t="e">
            <v>#N/A</v>
          </cell>
          <cell r="K55" t="e">
            <v>#N/A</v>
          </cell>
          <cell r="L55" t="e">
            <v>#N/A</v>
          </cell>
          <cell r="M55" t="e">
            <v>#N/A</v>
          </cell>
          <cell r="N55" t="e">
            <v>#N/A</v>
          </cell>
          <cell r="O55" t="e">
            <v>#N/A</v>
          </cell>
          <cell r="P55">
            <v>0.22</v>
          </cell>
          <cell r="Q55">
            <v>0.76877099999999998</v>
          </cell>
          <cell r="R55" t="e">
            <v>#N/A</v>
          </cell>
          <cell r="S55" t="str">
            <v>Curr Price</v>
          </cell>
          <cell r="T55">
            <v>1.095</v>
          </cell>
          <cell r="U55">
            <v>523</v>
          </cell>
          <cell r="V55">
            <v>63.336800000000004</v>
          </cell>
          <cell r="AI55" t="str">
            <v>ARS Argentinian Pesos</v>
          </cell>
          <cell r="AJ55" t="str">
            <v>Ar$</v>
          </cell>
          <cell r="AK55" t="str">
            <v>ARS</v>
          </cell>
          <cell r="AL55" t="str">
            <v>ARS</v>
          </cell>
          <cell r="AM55">
            <v>0</v>
          </cell>
          <cell r="AN55">
            <v>2</v>
          </cell>
        </row>
        <row r="56">
          <cell r="A56">
            <v>39834</v>
          </cell>
          <cell r="B56">
            <v>39834</v>
          </cell>
          <cell r="C56" t="str">
            <v>Past</v>
          </cell>
          <cell r="D56">
            <v>0.20499999999999999</v>
          </cell>
          <cell r="E56" t="e">
            <v>#N/A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>
            <v>0.20499999999999999</v>
          </cell>
          <cell r="Q56">
            <v>1.2385029999999999</v>
          </cell>
          <cell r="R56" t="e">
            <v>#N/A</v>
          </cell>
          <cell r="S56" t="str">
            <v>Curr Price Date</v>
          </cell>
          <cell r="T56">
            <v>40562</v>
          </cell>
          <cell r="U56">
            <v>40471.797268518516</v>
          </cell>
          <cell r="AI56" t="str">
            <v>AUD Australian Dollar</v>
          </cell>
          <cell r="AJ56" t="str">
            <v>A$</v>
          </cell>
          <cell r="AK56" t="str">
            <v>AUD</v>
          </cell>
          <cell r="AL56" t="str">
            <v>AUD</v>
          </cell>
          <cell r="AM56">
            <v>0</v>
          </cell>
          <cell r="AN56">
            <v>2</v>
          </cell>
        </row>
        <row r="57">
          <cell r="A57">
            <v>39835</v>
          </cell>
          <cell r="B57">
            <v>39835</v>
          </cell>
          <cell r="C57" t="str">
            <v>Past</v>
          </cell>
          <cell r="D57">
            <v>0.22</v>
          </cell>
          <cell r="E57" t="e">
            <v>#N/A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>
            <v>0.22</v>
          </cell>
          <cell r="Q57">
            <v>0.82953899999999992</v>
          </cell>
          <cell r="R57" t="e">
            <v>#N/A</v>
          </cell>
          <cell r="S57" t="str">
            <v>Bull-Curr</v>
          </cell>
          <cell r="T57">
            <v>0.44500000000000006</v>
          </cell>
          <cell r="U57">
            <v>1.6984732824427483E-3</v>
          </cell>
          <cell r="AI57" t="str">
            <v>BGL Bulgarian levs</v>
          </cell>
          <cell r="AJ57" t="str">
            <v>BGL</v>
          </cell>
          <cell r="AK57" t="str">
            <v>BGL</v>
          </cell>
          <cell r="AL57" t="str">
            <v>BGN</v>
          </cell>
          <cell r="AM57">
            <v>0</v>
          </cell>
          <cell r="AN57">
            <v>2</v>
          </cell>
        </row>
        <row r="58">
          <cell r="A58">
            <v>39836</v>
          </cell>
          <cell r="B58">
            <v>39836</v>
          </cell>
          <cell r="C58" t="str">
            <v>Past</v>
          </cell>
          <cell r="D58">
            <v>0.19500000000000001</v>
          </cell>
          <cell r="E58" t="e">
            <v>#N/A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>
            <v>0.19500000000000001</v>
          </cell>
          <cell r="Q58">
            <v>0.94653299999999996</v>
          </cell>
          <cell r="R58" t="e">
            <v>#N/A</v>
          </cell>
          <cell r="S58" t="str">
            <v>Upp-Cur</v>
          </cell>
          <cell r="T58">
            <v>-1.095</v>
          </cell>
          <cell r="U58">
            <v>-4.1793893129770995E-3</v>
          </cell>
          <cell r="AI58" t="str">
            <v>BMD Bermudan Dollars</v>
          </cell>
          <cell r="AJ58" t="str">
            <v>BMD</v>
          </cell>
          <cell r="AK58" t="str">
            <v>BMD</v>
          </cell>
          <cell r="AL58" t="str">
            <v>BMD</v>
          </cell>
          <cell r="AM58">
            <v>0</v>
          </cell>
          <cell r="AN58">
            <v>2</v>
          </cell>
        </row>
        <row r="59">
          <cell r="A59">
            <v>39839</v>
          </cell>
          <cell r="B59">
            <v>39839</v>
          </cell>
          <cell r="C59" t="str">
            <v>Past</v>
          </cell>
          <cell r="D59">
            <v>0.19500000000000001</v>
          </cell>
          <cell r="E59" t="e">
            <v>#N/A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>
            <v>0.19500000000000001</v>
          </cell>
          <cell r="Q59">
            <v>0</v>
          </cell>
          <cell r="R59" t="e">
            <v>#N/A</v>
          </cell>
          <cell r="S59" t="str">
            <v>Curr-Bear</v>
          </cell>
          <cell r="T59">
            <v>0.33499999999999996</v>
          </cell>
          <cell r="U59">
            <v>1.2786259541984731E-3</v>
          </cell>
          <cell r="AI59" t="str">
            <v>BRL Brazilian Real</v>
          </cell>
          <cell r="AJ59" t="str">
            <v>R$</v>
          </cell>
          <cell r="AK59" t="str">
            <v>BRL</v>
          </cell>
          <cell r="AL59" t="str">
            <v>BRL</v>
          </cell>
          <cell r="AM59">
            <v>0</v>
          </cell>
          <cell r="AN59">
            <v>2</v>
          </cell>
        </row>
        <row r="60">
          <cell r="A60">
            <v>39840</v>
          </cell>
          <cell r="B60">
            <v>39840</v>
          </cell>
          <cell r="C60" t="str">
            <v>Past</v>
          </cell>
          <cell r="D60">
            <v>0.17499999999999999</v>
          </cell>
          <cell r="E60" t="e">
            <v>#N/A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>
            <v>0.17499999999999999</v>
          </cell>
          <cell r="Q60">
            <v>1.240518</v>
          </cell>
          <cell r="R60" t="e">
            <v>#N/A</v>
          </cell>
          <cell r="S60" t="str">
            <v>Curr-Lower</v>
          </cell>
          <cell r="T60">
            <v>1.095</v>
          </cell>
          <cell r="U60">
            <v>4.1793893129770995E-3</v>
          </cell>
          <cell r="AI60" t="str">
            <v>CAD Canadian Dollars</v>
          </cell>
          <cell r="AJ60" t="str">
            <v>C$</v>
          </cell>
          <cell r="AK60" t="str">
            <v>CAD</v>
          </cell>
          <cell r="AL60" t="str">
            <v>CAD</v>
          </cell>
          <cell r="AM60">
            <v>0</v>
          </cell>
          <cell r="AN60">
            <v>2</v>
          </cell>
        </row>
        <row r="61">
          <cell r="A61">
            <v>39841</v>
          </cell>
          <cell r="B61">
            <v>39841</v>
          </cell>
          <cell r="C61" t="str">
            <v>Past</v>
          </cell>
          <cell r="D61">
            <v>0.16500000000000001</v>
          </cell>
          <cell r="E61" t="e">
            <v>#N/A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>
            <v>0.16500000000000001</v>
          </cell>
          <cell r="Q61">
            <v>2.3404439999999997</v>
          </cell>
          <cell r="R61" t="e">
            <v>#N/A</v>
          </cell>
          <cell r="S61" t="str">
            <v>PriceFoundAt</v>
          </cell>
          <cell r="T61">
            <v>523</v>
          </cell>
          <cell r="AI61" t="str">
            <v>CHF Swiss Francs</v>
          </cell>
          <cell r="AJ61" t="str">
            <v>SFr</v>
          </cell>
          <cell r="AK61" t="str">
            <v>CHF</v>
          </cell>
          <cell r="AL61" t="str">
            <v>CHF</v>
          </cell>
          <cell r="AM61">
            <v>0</v>
          </cell>
          <cell r="AN61">
            <v>2</v>
          </cell>
        </row>
        <row r="62">
          <cell r="A62">
            <v>39842</v>
          </cell>
          <cell r="B62">
            <v>39842</v>
          </cell>
          <cell r="C62" t="str">
            <v>Past</v>
          </cell>
          <cell r="D62">
            <v>0.16500000000000001</v>
          </cell>
          <cell r="E62" t="e">
            <v>#N/A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>
            <v>0.16500000000000001</v>
          </cell>
          <cell r="Q62">
            <v>4.0881400000000001</v>
          </cell>
          <cell r="R62" t="e">
            <v>#N/A</v>
          </cell>
          <cell r="S62" t="str">
            <v>Starting Point</v>
          </cell>
          <cell r="T62">
            <v>576</v>
          </cell>
          <cell r="AI62" t="str">
            <v>CLP Chilean Pesos</v>
          </cell>
          <cell r="AJ62" t="str">
            <v>CLP</v>
          </cell>
          <cell r="AK62" t="str">
            <v>CLP</v>
          </cell>
          <cell r="AL62" t="str">
            <v>CLP</v>
          </cell>
          <cell r="AM62">
            <v>0</v>
          </cell>
          <cell r="AN62">
            <v>2</v>
          </cell>
        </row>
        <row r="63">
          <cell r="A63">
            <v>39843</v>
          </cell>
          <cell r="B63">
            <v>39843</v>
          </cell>
          <cell r="C63" t="str">
            <v>Past</v>
          </cell>
          <cell r="D63">
            <v>0.17</v>
          </cell>
          <cell r="E63" t="e">
            <v>#N/A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>
            <v>0.17</v>
          </cell>
          <cell r="Q63">
            <v>6.7154849999999993</v>
          </cell>
          <cell r="R63" t="e">
            <v>#N/A</v>
          </cell>
          <cell r="S63" t="str">
            <v>Saved</v>
          </cell>
          <cell r="T63">
            <v>262</v>
          </cell>
          <cell r="AI63" t="str">
            <v>CNY Chinese Renminbi Yuan</v>
          </cell>
          <cell r="AJ63" t="str">
            <v>Rmb</v>
          </cell>
          <cell r="AK63" t="str">
            <v>CNY</v>
          </cell>
          <cell r="AL63" t="str">
            <v>CNY</v>
          </cell>
          <cell r="AM63">
            <v>0</v>
          </cell>
          <cell r="AN63">
            <v>2</v>
          </cell>
        </row>
        <row r="64">
          <cell r="A64">
            <v>39846</v>
          </cell>
          <cell r="B64">
            <v>39846</v>
          </cell>
          <cell r="C64" t="str">
            <v>Past</v>
          </cell>
          <cell r="D64">
            <v>0.16500000000000001</v>
          </cell>
          <cell r="E64" t="e">
            <v>#N/A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>
            <v>0.16500000000000001</v>
          </cell>
          <cell r="Q64">
            <v>3.9941439999999999</v>
          </cell>
          <cell r="R64" t="e">
            <v>#N/A</v>
          </cell>
          <cell r="S64" t="str">
            <v>Right alligned</v>
          </cell>
          <cell r="T64">
            <v>0</v>
          </cell>
          <cell r="AI64" t="str">
            <v>COP Colombian Peso</v>
          </cell>
          <cell r="AJ64" t="str">
            <v>COP</v>
          </cell>
          <cell r="AK64" t="str">
            <v>COP</v>
          </cell>
          <cell r="AL64" t="str">
            <v>COP</v>
          </cell>
          <cell r="AM64">
            <v>0</v>
          </cell>
          <cell r="AN64">
            <v>2</v>
          </cell>
        </row>
        <row r="65">
          <cell r="A65">
            <v>39847</v>
          </cell>
          <cell r="B65">
            <v>39847</v>
          </cell>
          <cell r="C65" t="str">
            <v>Past</v>
          </cell>
          <cell r="D65">
            <v>0.17499999999999999</v>
          </cell>
          <cell r="E65" t="e">
            <v>#N/A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>
            <v>0.17499999999999999</v>
          </cell>
          <cell r="Q65">
            <v>3.5762739999999997</v>
          </cell>
          <cell r="R65" t="e">
            <v>#N/A</v>
          </cell>
          <cell r="S65" t="str">
            <v>Decimal</v>
          </cell>
          <cell r="T65">
            <v>2</v>
          </cell>
          <cell r="AI65" t="str">
            <v>CZK Czech Krona</v>
          </cell>
          <cell r="AJ65" t="str">
            <v>Kcs</v>
          </cell>
          <cell r="AK65" t="str">
            <v>CZK</v>
          </cell>
          <cell r="AL65" t="str">
            <v>CZK</v>
          </cell>
          <cell r="AM65">
            <v>0</v>
          </cell>
          <cell r="AN65">
            <v>2</v>
          </cell>
        </row>
        <row r="66">
          <cell r="A66">
            <v>39848</v>
          </cell>
          <cell r="B66">
            <v>39848</v>
          </cell>
          <cell r="C66" t="str">
            <v>Past</v>
          </cell>
          <cell r="D66">
            <v>0.17</v>
          </cell>
          <cell r="E66" t="e">
            <v>#N/A</v>
          </cell>
          <cell r="F66" t="e">
            <v>#N/A</v>
          </cell>
          <cell r="G66" t="e">
            <v>#N/A</v>
          </cell>
          <cell r="H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M66" t="e">
            <v>#N/A</v>
          </cell>
          <cell r="N66" t="e">
            <v>#N/A</v>
          </cell>
          <cell r="O66" t="e">
            <v>#N/A</v>
          </cell>
          <cell r="P66">
            <v>0.17</v>
          </cell>
          <cell r="Q66">
            <v>4.1281109999999996</v>
          </cell>
          <cell r="R66" t="e">
            <v>#N/A</v>
          </cell>
          <cell r="S66" t="str">
            <v>default StartDate</v>
          </cell>
          <cell r="T66">
            <v>39832</v>
          </cell>
          <cell r="AI66" t="str">
            <v>DKK Danish Krone</v>
          </cell>
          <cell r="AJ66" t="str">
            <v>DKr</v>
          </cell>
          <cell r="AK66" t="str">
            <v>DKK</v>
          </cell>
          <cell r="AL66" t="str">
            <v>DKK</v>
          </cell>
          <cell r="AM66">
            <v>0</v>
          </cell>
          <cell r="AN66">
            <v>2</v>
          </cell>
        </row>
        <row r="67">
          <cell r="A67">
            <v>39849</v>
          </cell>
          <cell r="B67">
            <v>39849</v>
          </cell>
          <cell r="C67" t="str">
            <v>Past</v>
          </cell>
          <cell r="D67">
            <v>0.17</v>
          </cell>
          <cell r="E67" t="e">
            <v>#N/A</v>
          </cell>
          <cell r="F67" t="e">
            <v>#N/A</v>
          </cell>
          <cell r="G67" t="e">
            <v>#N/A</v>
          </cell>
          <cell r="H67" t="e">
            <v>#N/A</v>
          </cell>
          <cell r="I67" t="e">
            <v>#N/A</v>
          </cell>
          <cell r="J67" t="e">
            <v>#N/A</v>
          </cell>
          <cell r="K67" t="e">
            <v>#N/A</v>
          </cell>
          <cell r="L67" t="e">
            <v>#N/A</v>
          </cell>
          <cell r="M67" t="e">
            <v>#N/A</v>
          </cell>
          <cell r="N67" t="e">
            <v>#N/A</v>
          </cell>
          <cell r="O67" t="e">
            <v>#N/A</v>
          </cell>
          <cell r="P67">
            <v>0.17</v>
          </cell>
          <cell r="Q67">
            <v>1.7919309999999999</v>
          </cell>
          <cell r="R67" t="e">
            <v>#N/A</v>
          </cell>
          <cell r="S67" t="str">
            <v>default EndDate</v>
          </cell>
          <cell r="T67">
            <v>40927</v>
          </cell>
          <cell r="AI67" t="str">
            <v>DZD Algerian Dinar</v>
          </cell>
          <cell r="AJ67" t="str">
            <v>DZD</v>
          </cell>
          <cell r="AK67" t="str">
            <v>DZD</v>
          </cell>
          <cell r="AL67" t="str">
            <v>DZD</v>
          </cell>
          <cell r="AM67">
            <v>0</v>
          </cell>
          <cell r="AN67">
            <v>2</v>
          </cell>
        </row>
        <row r="68">
          <cell r="A68">
            <v>39850</v>
          </cell>
          <cell r="B68">
            <v>39850</v>
          </cell>
          <cell r="C68" t="str">
            <v>Past</v>
          </cell>
          <cell r="D68">
            <v>0.18</v>
          </cell>
          <cell r="E68" t="e">
            <v>#N/A</v>
          </cell>
          <cell r="F68" t="e">
            <v>#N/A</v>
          </cell>
          <cell r="G68" t="e">
            <v>#N/A</v>
          </cell>
          <cell r="H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M68" t="e">
            <v>#N/A</v>
          </cell>
          <cell r="N68" t="e">
            <v>#N/A</v>
          </cell>
          <cell r="O68" t="e">
            <v>#N/A</v>
          </cell>
          <cell r="P68">
            <v>0.18</v>
          </cell>
          <cell r="Q68">
            <v>4.2273209999999999</v>
          </cell>
          <cell r="R68" t="e">
            <v>#N/A</v>
          </cell>
          <cell r="S68" t="str">
            <v>Max sharePrice</v>
          </cell>
          <cell r="T68">
            <v>1.165</v>
          </cell>
          <cell r="AI68" t="str">
            <v>EGP Egyptian Pound</v>
          </cell>
          <cell r="AJ68" t="str">
            <v>EGP</v>
          </cell>
          <cell r="AK68" t="str">
            <v>EGP</v>
          </cell>
          <cell r="AL68" t="str">
            <v>EGP</v>
          </cell>
          <cell r="AM68">
            <v>0</v>
          </cell>
          <cell r="AN68">
            <v>2</v>
          </cell>
        </row>
        <row r="69">
          <cell r="A69">
            <v>39853</v>
          </cell>
          <cell r="B69">
            <v>39853</v>
          </cell>
          <cell r="C69" t="str">
            <v>Past</v>
          </cell>
          <cell r="D69">
            <v>0.185</v>
          </cell>
          <cell r="E69" t="e">
            <v>#N/A</v>
          </cell>
          <cell r="F69" t="e">
            <v>#N/A</v>
          </cell>
          <cell r="G69" t="e">
            <v>#N/A</v>
          </cell>
          <cell r="H69" t="e">
            <v>#N/A</v>
          </cell>
          <cell r="I69" t="e">
            <v>#N/A</v>
          </cell>
          <cell r="J69" t="e">
            <v>#N/A</v>
          </cell>
          <cell r="K69" t="e">
            <v>#N/A</v>
          </cell>
          <cell r="L69" t="e">
            <v>#N/A</v>
          </cell>
          <cell r="M69" t="e">
            <v>#N/A</v>
          </cell>
          <cell r="N69" t="e">
            <v>#N/A</v>
          </cell>
          <cell r="O69" t="e">
            <v>#N/A</v>
          </cell>
          <cell r="P69">
            <v>0.185</v>
          </cell>
          <cell r="Q69">
            <v>2.988893</v>
          </cell>
          <cell r="R69" t="e">
            <v>#N/A</v>
          </cell>
          <cell r="AI69" t="str">
            <v>EUR Euro</v>
          </cell>
          <cell r="AJ69" t="str">
            <v>€</v>
          </cell>
          <cell r="AK69" t="str">
            <v>EUR</v>
          </cell>
          <cell r="AL69" t="str">
            <v>EUR</v>
          </cell>
          <cell r="AM69">
            <v>0</v>
          </cell>
          <cell r="AN69">
            <v>2</v>
          </cell>
        </row>
        <row r="70">
          <cell r="A70">
            <v>39854</v>
          </cell>
          <cell r="B70">
            <v>39854</v>
          </cell>
          <cell r="C70" t="str">
            <v>Past</v>
          </cell>
          <cell r="D70">
            <v>0.21</v>
          </cell>
          <cell r="E70" t="e">
            <v>#N/A</v>
          </cell>
          <cell r="F70" t="e">
            <v>#N/A</v>
          </cell>
          <cell r="G70" t="e">
            <v>#N/A</v>
          </cell>
          <cell r="H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M70" t="e">
            <v>#N/A</v>
          </cell>
          <cell r="N70" t="e">
            <v>#N/A</v>
          </cell>
          <cell r="O70" t="e">
            <v>#N/A</v>
          </cell>
          <cell r="P70">
            <v>0.21</v>
          </cell>
          <cell r="Q70">
            <v>2.6016839999999997</v>
          </cell>
          <cell r="R70" t="e">
            <v>#N/A</v>
          </cell>
          <cell r="AI70" t="str">
            <v>GBp British Pence</v>
          </cell>
          <cell r="AJ70" t="str">
            <v>p</v>
          </cell>
          <cell r="AK70" t="str">
            <v>GBp</v>
          </cell>
          <cell r="AL70" t="str">
            <v>GBX</v>
          </cell>
          <cell r="AM70">
            <v>1</v>
          </cell>
          <cell r="AN70">
            <v>0</v>
          </cell>
        </row>
        <row r="71">
          <cell r="A71">
            <v>39855</v>
          </cell>
          <cell r="B71">
            <v>39855</v>
          </cell>
          <cell r="C71" t="str">
            <v>Past</v>
          </cell>
          <cell r="D71">
            <v>0.315</v>
          </cell>
          <cell r="E71" t="e">
            <v>#N/A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>
            <v>0.315</v>
          </cell>
          <cell r="Q71">
            <v>12.66736</v>
          </cell>
          <cell r="R71" t="e">
            <v>#N/A</v>
          </cell>
          <cell r="AI71" t="str">
            <v>GBP British Pound</v>
          </cell>
          <cell r="AJ71" t="str">
            <v>₤</v>
          </cell>
          <cell r="AK71" t="str">
            <v>GBP</v>
          </cell>
          <cell r="AL71" t="str">
            <v>GBP</v>
          </cell>
          <cell r="AM71">
            <v>0</v>
          </cell>
          <cell r="AN71">
            <v>2</v>
          </cell>
        </row>
        <row r="72">
          <cell r="A72">
            <v>39856</v>
          </cell>
          <cell r="B72">
            <v>39856</v>
          </cell>
          <cell r="C72" t="str">
            <v>Past</v>
          </cell>
          <cell r="D72">
            <v>0.255</v>
          </cell>
          <cell r="E72" t="e">
            <v>#N/A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>
            <v>0.255</v>
          </cell>
          <cell r="Q72">
            <v>7.0073100000000004</v>
          </cell>
          <cell r="R72" t="e">
            <v>#N/A</v>
          </cell>
          <cell r="AI72" t="str">
            <v>HKD Hong Kong Dollar</v>
          </cell>
          <cell r="AJ72" t="str">
            <v>HK$</v>
          </cell>
          <cell r="AK72" t="str">
            <v>HKD</v>
          </cell>
          <cell r="AL72" t="str">
            <v>HKD</v>
          </cell>
          <cell r="AM72">
            <v>0</v>
          </cell>
          <cell r="AN72">
            <v>2</v>
          </cell>
        </row>
        <row r="73">
          <cell r="A73">
            <v>39857</v>
          </cell>
          <cell r="B73">
            <v>39857</v>
          </cell>
          <cell r="C73" t="str">
            <v>Past</v>
          </cell>
          <cell r="D73">
            <v>0.25</v>
          </cell>
          <cell r="E73" t="e">
            <v>#N/A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>
            <v>0.25</v>
          </cell>
          <cell r="Q73">
            <v>4.4044189999999999</v>
          </cell>
          <cell r="R73" t="e">
            <v>#N/A</v>
          </cell>
          <cell r="AI73" t="str">
            <v>HUF Hungarian forint</v>
          </cell>
          <cell r="AJ73" t="str">
            <v>Ft</v>
          </cell>
          <cell r="AK73" t="str">
            <v>HUF</v>
          </cell>
          <cell r="AL73" t="str">
            <v>HUF</v>
          </cell>
          <cell r="AM73">
            <v>0</v>
          </cell>
          <cell r="AN73">
            <v>2</v>
          </cell>
        </row>
        <row r="74">
          <cell r="A74">
            <v>39860</v>
          </cell>
          <cell r="B74">
            <v>39860</v>
          </cell>
          <cell r="C74" t="str">
            <v>Past</v>
          </cell>
          <cell r="D74">
            <v>0.23</v>
          </cell>
          <cell r="E74" t="e">
            <v>#N/A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>
            <v>0.23</v>
          </cell>
          <cell r="Q74">
            <v>4.264589</v>
          </cell>
          <cell r="R74" t="e">
            <v>#N/A</v>
          </cell>
          <cell r="AI74" t="str">
            <v>IDR Indonesian Rupiah</v>
          </cell>
          <cell r="AJ74" t="str">
            <v>Rp</v>
          </cell>
          <cell r="AK74" t="str">
            <v>IDR</v>
          </cell>
          <cell r="AL74" t="str">
            <v>IDR</v>
          </cell>
          <cell r="AM74">
            <v>0</v>
          </cell>
          <cell r="AN74">
            <v>0</v>
          </cell>
        </row>
        <row r="75">
          <cell r="A75">
            <v>39861</v>
          </cell>
          <cell r="B75">
            <v>39861</v>
          </cell>
          <cell r="C75" t="str">
            <v>Past</v>
          </cell>
          <cell r="D75">
            <v>0.22</v>
          </cell>
          <cell r="E75" t="e">
            <v>#N/A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>
            <v>0.22</v>
          </cell>
          <cell r="Q75">
            <v>6.0275300000000005</v>
          </cell>
          <cell r="R75" t="e">
            <v>#N/A</v>
          </cell>
          <cell r="AI75" t="str">
            <v>ILS Israeli shekel</v>
          </cell>
          <cell r="AJ75" t="str">
            <v>ILS</v>
          </cell>
          <cell r="AK75" t="str">
            <v>ILS</v>
          </cell>
          <cell r="AL75" t="str">
            <v>ILS</v>
          </cell>
          <cell r="AM75">
            <v>0</v>
          </cell>
          <cell r="AN75">
            <v>2</v>
          </cell>
        </row>
        <row r="76">
          <cell r="A76">
            <v>39862</v>
          </cell>
          <cell r="B76">
            <v>39862</v>
          </cell>
          <cell r="C76" t="str">
            <v>Past</v>
          </cell>
          <cell r="D76">
            <v>0.22</v>
          </cell>
          <cell r="E76" t="e">
            <v>#N/A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>
            <v>0.22</v>
          </cell>
          <cell r="Q76">
            <v>4.7970090000000001</v>
          </cell>
          <cell r="R76" t="e">
            <v>#N/A</v>
          </cell>
          <cell r="AI76" t="str">
            <v>INR Indian Rupee</v>
          </cell>
          <cell r="AJ76" t="str">
            <v>Rs.</v>
          </cell>
          <cell r="AK76" t="str">
            <v>INR</v>
          </cell>
          <cell r="AL76" t="str">
            <v>INR</v>
          </cell>
          <cell r="AM76">
            <v>0</v>
          </cell>
          <cell r="AN76">
            <v>2</v>
          </cell>
        </row>
        <row r="77">
          <cell r="A77">
            <v>39863</v>
          </cell>
          <cell r="B77">
            <v>39863</v>
          </cell>
          <cell r="C77" t="str">
            <v>Past</v>
          </cell>
          <cell r="D77">
            <v>0.215</v>
          </cell>
          <cell r="E77" t="e">
            <v>#N/A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>
            <v>0.215</v>
          </cell>
          <cell r="Q77">
            <v>4.0626920000000002</v>
          </cell>
          <cell r="R77" t="e">
            <v>#N/A</v>
          </cell>
          <cell r="AI77" t="str">
            <v>IQD Iraqi Dinar</v>
          </cell>
          <cell r="AJ77" t="str">
            <v>IQD</v>
          </cell>
          <cell r="AK77" t="str">
            <v>IQD</v>
          </cell>
          <cell r="AL77" t="str">
            <v>IQD</v>
          </cell>
          <cell r="AM77">
            <v>0</v>
          </cell>
          <cell r="AN77">
            <v>2</v>
          </cell>
        </row>
        <row r="78">
          <cell r="A78">
            <v>39864</v>
          </cell>
          <cell r="B78">
            <v>39864</v>
          </cell>
          <cell r="C78" t="str">
            <v>Past</v>
          </cell>
          <cell r="D78">
            <v>0.20499999999999999</v>
          </cell>
          <cell r="E78" t="e">
            <v>#N/A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>
            <v>0.20499999999999999</v>
          </cell>
          <cell r="Q78">
            <v>4.1259869999999994</v>
          </cell>
          <cell r="R78" t="e">
            <v>#N/A</v>
          </cell>
          <cell r="AI78" t="str">
            <v>IRR Iranian Rial</v>
          </cell>
          <cell r="AJ78" t="str">
            <v>IRR</v>
          </cell>
          <cell r="AK78" t="str">
            <v>IRR</v>
          </cell>
          <cell r="AL78" t="str">
            <v>IRR</v>
          </cell>
          <cell r="AM78">
            <v>0</v>
          </cell>
          <cell r="AN78">
            <v>2</v>
          </cell>
        </row>
        <row r="79">
          <cell r="A79">
            <v>39867</v>
          </cell>
          <cell r="B79">
            <v>39867</v>
          </cell>
          <cell r="C79" t="str">
            <v>Past</v>
          </cell>
          <cell r="D79">
            <v>0.2</v>
          </cell>
          <cell r="E79" t="e">
            <v>#N/A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>
            <v>0.2</v>
          </cell>
          <cell r="Q79">
            <v>2.7994300000000001</v>
          </cell>
          <cell r="R79" t="e">
            <v>#N/A</v>
          </cell>
          <cell r="AI79" t="str">
            <v>ISK Iceland Krona</v>
          </cell>
          <cell r="AJ79" t="str">
            <v>kr</v>
          </cell>
          <cell r="AK79" t="str">
            <v>ISK</v>
          </cell>
          <cell r="AL79" t="str">
            <v>ISK</v>
          </cell>
          <cell r="AM79">
            <v>0</v>
          </cell>
          <cell r="AN79">
            <v>2</v>
          </cell>
        </row>
        <row r="80">
          <cell r="A80">
            <v>39868</v>
          </cell>
          <cell r="B80">
            <v>39868</v>
          </cell>
          <cell r="C80" t="str">
            <v>Past</v>
          </cell>
          <cell r="D80">
            <v>0.22500000000000001</v>
          </cell>
          <cell r="E80" t="e">
            <v>#N/A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>
            <v>0.22500000000000001</v>
          </cell>
          <cell r="Q80">
            <v>5.4012449999999994</v>
          </cell>
          <cell r="R80" t="e">
            <v>#N/A</v>
          </cell>
          <cell r="AI80" t="str">
            <v>JMD Jamaican Dollars</v>
          </cell>
          <cell r="AJ80" t="str">
            <v>JMD</v>
          </cell>
          <cell r="AK80" t="str">
            <v>JMD</v>
          </cell>
          <cell r="AL80" t="str">
            <v>JMD</v>
          </cell>
          <cell r="AM80">
            <v>0</v>
          </cell>
          <cell r="AN80">
            <v>2</v>
          </cell>
        </row>
        <row r="81">
          <cell r="A81">
            <v>39869</v>
          </cell>
          <cell r="B81">
            <v>39869</v>
          </cell>
          <cell r="C81" t="str">
            <v>Past</v>
          </cell>
          <cell r="D81">
            <v>0.23</v>
          </cell>
          <cell r="E81" t="e">
            <v>#N/A</v>
          </cell>
          <cell r="F81" t="e">
            <v>#N/A</v>
          </cell>
          <cell r="G81" t="e">
            <v>#N/A</v>
          </cell>
          <cell r="H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M81" t="e">
            <v>#N/A</v>
          </cell>
          <cell r="N81" t="e">
            <v>#N/A</v>
          </cell>
          <cell r="O81" t="e">
            <v>#N/A</v>
          </cell>
          <cell r="P81">
            <v>0.23</v>
          </cell>
          <cell r="Q81">
            <v>9.5471319999999995</v>
          </cell>
          <cell r="R81" t="e">
            <v>#N/A</v>
          </cell>
          <cell r="AI81" t="str">
            <v>JPY Japanese Yen</v>
          </cell>
          <cell r="AJ81" t="str">
            <v>¥</v>
          </cell>
          <cell r="AK81" t="str">
            <v>JPY</v>
          </cell>
          <cell r="AL81" t="str">
            <v>JPY</v>
          </cell>
          <cell r="AM81">
            <v>0</v>
          </cell>
          <cell r="AN81">
            <v>0</v>
          </cell>
        </row>
        <row r="82">
          <cell r="A82">
            <v>39870</v>
          </cell>
          <cell r="B82">
            <v>39870</v>
          </cell>
          <cell r="C82" t="str">
            <v>Past</v>
          </cell>
          <cell r="D82">
            <v>0.28000000000000003</v>
          </cell>
          <cell r="E82" t="e">
            <v>#N/A</v>
          </cell>
          <cell r="F82" t="e">
            <v>#N/A</v>
          </cell>
          <cell r="G82" t="e">
            <v>#N/A</v>
          </cell>
          <cell r="H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M82" t="e">
            <v>#N/A</v>
          </cell>
          <cell r="N82" t="e">
            <v>#N/A</v>
          </cell>
          <cell r="O82" t="e">
            <v>#N/A</v>
          </cell>
          <cell r="P82">
            <v>0.28000000000000003</v>
          </cell>
          <cell r="Q82">
            <v>10.309140000000001</v>
          </cell>
          <cell r="R82" t="e">
            <v>#N/A</v>
          </cell>
          <cell r="AI82" t="str">
            <v>KES Kenyan Shilling</v>
          </cell>
          <cell r="AJ82" t="str">
            <v>KES</v>
          </cell>
          <cell r="AK82" t="str">
            <v>KES</v>
          </cell>
          <cell r="AL82" t="str">
            <v>KES</v>
          </cell>
          <cell r="AM82">
            <v>0</v>
          </cell>
          <cell r="AN82">
            <v>0</v>
          </cell>
        </row>
        <row r="83">
          <cell r="A83">
            <v>39871</v>
          </cell>
          <cell r="B83">
            <v>39871</v>
          </cell>
          <cell r="C83" t="str">
            <v>Past</v>
          </cell>
          <cell r="D83">
            <v>0.3</v>
          </cell>
          <cell r="E83" t="e">
            <v>#N/A</v>
          </cell>
          <cell r="F83" t="e">
            <v>#N/A</v>
          </cell>
          <cell r="G83" t="e">
            <v>#N/A</v>
          </cell>
          <cell r="H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M83" t="e">
            <v>#N/A</v>
          </cell>
          <cell r="N83" t="e">
            <v>#N/A</v>
          </cell>
          <cell r="O83" t="e">
            <v>#N/A</v>
          </cell>
          <cell r="P83">
            <v>0.3</v>
          </cell>
          <cell r="Q83">
            <v>9.9648909999999997</v>
          </cell>
          <cell r="R83" t="e">
            <v>#N/A</v>
          </cell>
          <cell r="AI83" t="str">
            <v>KRW South Korean Won</v>
          </cell>
          <cell r="AJ83" t="str">
            <v>₩</v>
          </cell>
          <cell r="AK83" t="str">
            <v>KRW</v>
          </cell>
          <cell r="AL83" t="str">
            <v>KRW</v>
          </cell>
          <cell r="AM83">
            <v>0</v>
          </cell>
          <cell r="AN83">
            <v>0</v>
          </cell>
        </row>
        <row r="84">
          <cell r="A84">
            <v>39874</v>
          </cell>
          <cell r="B84">
            <v>39874</v>
          </cell>
          <cell r="C84" t="str">
            <v>Past</v>
          </cell>
          <cell r="D84">
            <v>0.31</v>
          </cell>
          <cell r="E84" t="e">
            <v>#N/A</v>
          </cell>
          <cell r="F84" t="e">
            <v>#N/A</v>
          </cell>
          <cell r="G84" t="e">
            <v>#N/A</v>
          </cell>
          <cell r="H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M84" t="e">
            <v>#N/A</v>
          </cell>
          <cell r="N84" t="e">
            <v>#N/A</v>
          </cell>
          <cell r="O84" t="e">
            <v>#N/A</v>
          </cell>
          <cell r="P84">
            <v>0.31</v>
          </cell>
          <cell r="Q84">
            <v>6.6666609999999995</v>
          </cell>
          <cell r="R84" t="e">
            <v>#N/A</v>
          </cell>
          <cell r="AI84" t="str">
            <v>KWD Kuwaiti Dinar</v>
          </cell>
          <cell r="AJ84" t="str">
            <v>KWD</v>
          </cell>
          <cell r="AK84" t="str">
            <v>KWD</v>
          </cell>
          <cell r="AL84" t="str">
            <v>KWD</v>
          </cell>
          <cell r="AM84">
            <v>0</v>
          </cell>
          <cell r="AN84">
            <v>2</v>
          </cell>
        </row>
        <row r="85">
          <cell r="A85">
            <v>39875</v>
          </cell>
          <cell r="B85">
            <v>39875</v>
          </cell>
          <cell r="C85" t="str">
            <v>Past</v>
          </cell>
          <cell r="D85">
            <v>0.3</v>
          </cell>
          <cell r="E85" t="e">
            <v>#N/A</v>
          </cell>
          <cell r="F85" t="e">
            <v>#N/A</v>
          </cell>
          <cell r="G85" t="e">
            <v>#N/A</v>
          </cell>
          <cell r="H85" t="e">
            <v>#N/A</v>
          </cell>
          <cell r="I85" t="e">
            <v>#N/A</v>
          </cell>
          <cell r="J85" t="e">
            <v>#N/A</v>
          </cell>
          <cell r="K85" t="e">
            <v>#N/A</v>
          </cell>
          <cell r="L85" t="e">
            <v>#N/A</v>
          </cell>
          <cell r="M85" t="e">
            <v>#N/A</v>
          </cell>
          <cell r="N85" t="e">
            <v>#N/A</v>
          </cell>
          <cell r="O85" t="e">
            <v>#N/A</v>
          </cell>
          <cell r="P85">
            <v>0.3</v>
          </cell>
          <cell r="Q85">
            <v>4.0058489999999995</v>
          </cell>
          <cell r="R85" t="e">
            <v>#N/A</v>
          </cell>
          <cell r="AI85" t="str">
            <v>KYD Cayman Dollars</v>
          </cell>
          <cell r="AJ85" t="str">
            <v>KYD</v>
          </cell>
          <cell r="AK85" t="str">
            <v>KYD</v>
          </cell>
          <cell r="AL85" t="str">
            <v>KYD</v>
          </cell>
          <cell r="AM85">
            <v>0</v>
          </cell>
          <cell r="AN85">
            <v>2</v>
          </cell>
        </row>
        <row r="86">
          <cell r="A86">
            <v>39876</v>
          </cell>
          <cell r="B86">
            <v>39876</v>
          </cell>
          <cell r="C86" t="str">
            <v>Past</v>
          </cell>
          <cell r="D86">
            <v>0.28499999999999998</v>
          </cell>
          <cell r="E86" t="e">
            <v>#N/A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>
            <v>0.28499999999999998</v>
          </cell>
          <cell r="Q86">
            <v>3.1379039999999998</v>
          </cell>
          <cell r="R86" t="e">
            <v>#N/A</v>
          </cell>
          <cell r="AI86" t="str">
            <v>LKR Sri Lankan Rupee</v>
          </cell>
          <cell r="AJ86" t="str">
            <v>LKR</v>
          </cell>
          <cell r="AK86" t="str">
            <v>LKR</v>
          </cell>
          <cell r="AL86" t="str">
            <v>LKR</v>
          </cell>
          <cell r="AM86">
            <v>0</v>
          </cell>
          <cell r="AN86">
            <v>2</v>
          </cell>
        </row>
        <row r="87">
          <cell r="A87">
            <v>39877</v>
          </cell>
          <cell r="B87">
            <v>39877</v>
          </cell>
          <cell r="C87" t="str">
            <v>Past</v>
          </cell>
          <cell r="D87">
            <v>0.27</v>
          </cell>
          <cell r="E87" t="e">
            <v>#N/A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>
            <v>0.27</v>
          </cell>
          <cell r="Q87">
            <v>8.7541890000000002</v>
          </cell>
          <cell r="R87" t="e">
            <v>#N/A</v>
          </cell>
          <cell r="AI87" t="str">
            <v>MAD Moroccan Dirham</v>
          </cell>
          <cell r="AJ87" t="str">
            <v>MAD</v>
          </cell>
          <cell r="AK87" t="str">
            <v>MAD</v>
          </cell>
          <cell r="AL87" t="str">
            <v>MAD</v>
          </cell>
          <cell r="AM87">
            <v>0</v>
          </cell>
          <cell r="AN87">
            <v>2</v>
          </cell>
        </row>
        <row r="88">
          <cell r="A88">
            <v>39878</v>
          </cell>
          <cell r="B88">
            <v>39878</v>
          </cell>
          <cell r="C88" t="str">
            <v>Past</v>
          </cell>
          <cell r="D88">
            <v>0.3</v>
          </cell>
          <cell r="E88" t="e">
            <v>#N/A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>
            <v>0.3</v>
          </cell>
          <cell r="Q88">
            <v>3.746877</v>
          </cell>
          <cell r="R88" t="e">
            <v>#N/A</v>
          </cell>
          <cell r="AI88" t="str">
            <v>MXN Mexican Pesos (new)</v>
          </cell>
          <cell r="AJ88" t="str">
            <v>M$</v>
          </cell>
          <cell r="AK88" t="str">
            <v>MXN</v>
          </cell>
          <cell r="AL88" t="str">
            <v>MXN</v>
          </cell>
          <cell r="AM88">
            <v>0</v>
          </cell>
          <cell r="AN88">
            <v>2</v>
          </cell>
        </row>
        <row r="89">
          <cell r="A89">
            <v>39881</v>
          </cell>
          <cell r="B89">
            <v>39881</v>
          </cell>
          <cell r="C89" t="str">
            <v>Past</v>
          </cell>
          <cell r="D89">
            <v>0.28499999999999998</v>
          </cell>
          <cell r="E89" t="e">
            <v>#N/A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>
            <v>0.28499999999999998</v>
          </cell>
          <cell r="Q89">
            <v>2.2899560000000001</v>
          </cell>
          <cell r="R89" t="e">
            <v>#N/A</v>
          </cell>
          <cell r="AI89" t="str">
            <v>MYR Malaysian Ringgit</v>
          </cell>
          <cell r="AJ89" t="str">
            <v>RM</v>
          </cell>
          <cell r="AK89" t="str">
            <v>MYR</v>
          </cell>
          <cell r="AL89" t="str">
            <v>MYR</v>
          </cell>
          <cell r="AM89">
            <v>0</v>
          </cell>
          <cell r="AN89">
            <v>2</v>
          </cell>
        </row>
        <row r="90">
          <cell r="A90">
            <v>39882</v>
          </cell>
          <cell r="B90">
            <v>39882</v>
          </cell>
          <cell r="C90" t="str">
            <v>Past</v>
          </cell>
          <cell r="D90">
            <v>0.28499999999999998</v>
          </cell>
          <cell r="E90" t="e">
            <v>#N/A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>
            <v>0.28499999999999998</v>
          </cell>
          <cell r="Q90">
            <v>4.6815829999999998</v>
          </cell>
          <cell r="R90" t="e">
            <v>#N/A</v>
          </cell>
          <cell r="AI90" t="str">
            <v>NOK Norwegian Krone</v>
          </cell>
          <cell r="AJ90" t="str">
            <v>NKr</v>
          </cell>
          <cell r="AK90" t="str">
            <v>NOK</v>
          </cell>
          <cell r="AL90" t="str">
            <v>NOK</v>
          </cell>
          <cell r="AM90">
            <v>0</v>
          </cell>
          <cell r="AN90">
            <v>2</v>
          </cell>
        </row>
        <row r="91">
          <cell r="A91">
            <v>39883</v>
          </cell>
          <cell r="B91">
            <v>39883</v>
          </cell>
          <cell r="C91" t="str">
            <v>Past</v>
          </cell>
          <cell r="D91">
            <v>0.33</v>
          </cell>
          <cell r="E91" t="e">
            <v>#N/A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>
            <v>0.33</v>
          </cell>
          <cell r="Q91">
            <v>5.3635000000000002</v>
          </cell>
          <cell r="R91" t="e">
            <v>#N/A</v>
          </cell>
          <cell r="AI91" t="str">
            <v>NZD New Zealand Dollars</v>
          </cell>
          <cell r="AJ91" t="str">
            <v>NZ$</v>
          </cell>
          <cell r="AK91" t="str">
            <v>NZD</v>
          </cell>
          <cell r="AL91" t="str">
            <v>NZD</v>
          </cell>
          <cell r="AM91">
            <v>0</v>
          </cell>
          <cell r="AN91">
            <v>2</v>
          </cell>
        </row>
        <row r="92">
          <cell r="A92">
            <v>39884</v>
          </cell>
          <cell r="B92">
            <v>39884</v>
          </cell>
          <cell r="C92" t="str">
            <v>Past</v>
          </cell>
          <cell r="D92">
            <v>0.33</v>
          </cell>
          <cell r="E92" t="e">
            <v>#N/A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>
            <v>0.33</v>
          </cell>
          <cell r="Q92">
            <v>5.2010000000000005</v>
          </cell>
          <cell r="R92" t="e">
            <v>#N/A</v>
          </cell>
          <cell r="AI92" t="str">
            <v>OMR Rial Omani</v>
          </cell>
          <cell r="AJ92" t="str">
            <v>OMR</v>
          </cell>
          <cell r="AK92" t="str">
            <v>OMR</v>
          </cell>
          <cell r="AL92" t="str">
            <v>OMR</v>
          </cell>
          <cell r="AM92">
            <v>0</v>
          </cell>
          <cell r="AN92">
            <v>2</v>
          </cell>
        </row>
        <row r="93">
          <cell r="A93">
            <v>39885</v>
          </cell>
          <cell r="B93">
            <v>39885</v>
          </cell>
          <cell r="C93" t="str">
            <v>Past</v>
          </cell>
          <cell r="D93">
            <v>0.35499999999999998</v>
          </cell>
          <cell r="E93" t="e">
            <v>#N/A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>
            <v>0.35499999999999998</v>
          </cell>
          <cell r="Q93">
            <v>7.9766579999999996</v>
          </cell>
          <cell r="R93" t="e">
            <v>#N/A</v>
          </cell>
          <cell r="AI93" t="str">
            <v>PAB Panamanian Balboa</v>
          </cell>
          <cell r="AJ93" t="str">
            <v>PAB</v>
          </cell>
          <cell r="AK93" t="str">
            <v>PAB</v>
          </cell>
          <cell r="AL93" t="str">
            <v>PAB</v>
          </cell>
          <cell r="AM93">
            <v>0</v>
          </cell>
          <cell r="AN93">
            <v>2</v>
          </cell>
        </row>
        <row r="94">
          <cell r="A94">
            <v>39888</v>
          </cell>
          <cell r="B94">
            <v>39888</v>
          </cell>
          <cell r="C94" t="str">
            <v>Past</v>
          </cell>
          <cell r="D94">
            <v>0.38500000000000001</v>
          </cell>
          <cell r="E94" t="e">
            <v>#N/A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>
            <v>0.38500000000000001</v>
          </cell>
          <cell r="Q94">
            <v>6.6049869999999995</v>
          </cell>
          <cell r="R94" t="e">
            <v>#N/A</v>
          </cell>
          <cell r="AI94" t="str">
            <v>PEN Peruvian PEN</v>
          </cell>
          <cell r="AJ94" t="str">
            <v>PEN</v>
          </cell>
          <cell r="AK94" t="str">
            <v>PEN</v>
          </cell>
          <cell r="AL94" t="str">
            <v>PEN</v>
          </cell>
          <cell r="AM94">
            <v>0</v>
          </cell>
          <cell r="AN94">
            <v>2</v>
          </cell>
        </row>
        <row r="95">
          <cell r="A95">
            <v>39889</v>
          </cell>
          <cell r="B95">
            <v>39889</v>
          </cell>
          <cell r="C95" t="str">
            <v>Past</v>
          </cell>
          <cell r="D95">
            <v>0.39500000000000002</v>
          </cell>
          <cell r="E95" t="e">
            <v>#N/A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>
            <v>0.39500000000000002</v>
          </cell>
          <cell r="Q95">
            <v>3.9735529999999999</v>
          </cell>
          <cell r="R95" t="e">
            <v>#N/A</v>
          </cell>
          <cell r="AI95" t="str">
            <v>PHP Philippino Peso</v>
          </cell>
          <cell r="AJ95" t="str">
            <v>PP</v>
          </cell>
          <cell r="AK95" t="str">
            <v>PHP</v>
          </cell>
          <cell r="AL95" t="str">
            <v>PHP</v>
          </cell>
          <cell r="AM95">
            <v>0</v>
          </cell>
          <cell r="AN95">
            <v>2</v>
          </cell>
        </row>
        <row r="96">
          <cell r="A96">
            <v>39890</v>
          </cell>
          <cell r="B96">
            <v>39890</v>
          </cell>
          <cell r="C96" t="str">
            <v>Past</v>
          </cell>
          <cell r="D96">
            <v>0.38</v>
          </cell>
          <cell r="E96" t="e">
            <v>#N/A</v>
          </cell>
          <cell r="F96" t="e">
            <v>#N/A</v>
          </cell>
          <cell r="G96" t="e">
            <v>#N/A</v>
          </cell>
          <cell r="H96" t="e">
            <v>#N/A</v>
          </cell>
          <cell r="I96" t="e">
            <v>#N/A</v>
          </cell>
          <cell r="J96" t="e">
            <v>#N/A</v>
          </cell>
          <cell r="K96" t="e">
            <v>#N/A</v>
          </cell>
          <cell r="L96" t="e">
            <v>#N/A</v>
          </cell>
          <cell r="M96" t="e">
            <v>#N/A</v>
          </cell>
          <cell r="N96" t="e">
            <v>#N/A</v>
          </cell>
          <cell r="O96" t="e">
            <v>#N/A</v>
          </cell>
          <cell r="P96">
            <v>0.38</v>
          </cell>
          <cell r="Q96">
            <v>5.0041000000000002</v>
          </cell>
          <cell r="R96" t="e">
            <v>#N/A</v>
          </cell>
          <cell r="AI96" t="str">
            <v>PKR Pakistani Rupee</v>
          </cell>
          <cell r="AJ96" t="str">
            <v>Rs.</v>
          </cell>
          <cell r="AK96" t="str">
            <v>PKR</v>
          </cell>
          <cell r="AL96" t="str">
            <v>PKR</v>
          </cell>
          <cell r="AM96">
            <v>0</v>
          </cell>
          <cell r="AN96">
            <v>2</v>
          </cell>
        </row>
        <row r="97">
          <cell r="A97">
            <v>39891</v>
          </cell>
          <cell r="B97">
            <v>39891</v>
          </cell>
          <cell r="C97" t="str">
            <v>Past</v>
          </cell>
          <cell r="D97">
            <v>0.33</v>
          </cell>
          <cell r="E97" t="e">
            <v>#N/A</v>
          </cell>
          <cell r="F97" t="e">
            <v>#N/A</v>
          </cell>
          <cell r="G97" t="e">
            <v>#N/A</v>
          </cell>
          <cell r="H97" t="e">
            <v>#N/A</v>
          </cell>
          <cell r="I97" t="e">
            <v>#N/A</v>
          </cell>
          <cell r="J97" t="e">
            <v>#N/A</v>
          </cell>
          <cell r="K97" t="e">
            <v>#N/A</v>
          </cell>
          <cell r="L97" t="e">
            <v>#N/A</v>
          </cell>
          <cell r="M97" t="e">
            <v>#N/A</v>
          </cell>
          <cell r="N97" t="e">
            <v>#N/A</v>
          </cell>
          <cell r="O97" t="e">
            <v>#N/A</v>
          </cell>
          <cell r="P97">
            <v>0.33</v>
          </cell>
          <cell r="Q97">
            <v>9.4852629999999998</v>
          </cell>
          <cell r="R97" t="e">
            <v>#N/A</v>
          </cell>
          <cell r="AI97" t="str">
            <v>PLN Polish Zloty</v>
          </cell>
          <cell r="AJ97" t="str">
            <v>zł</v>
          </cell>
          <cell r="AK97" t="str">
            <v>PLN</v>
          </cell>
          <cell r="AL97" t="str">
            <v>PLN</v>
          </cell>
          <cell r="AM97">
            <v>0</v>
          </cell>
          <cell r="AN97">
            <v>2</v>
          </cell>
        </row>
        <row r="98">
          <cell r="A98">
            <v>39892</v>
          </cell>
          <cell r="B98">
            <v>39892</v>
          </cell>
          <cell r="C98" t="str">
            <v>Past</v>
          </cell>
          <cell r="D98">
            <v>0.34</v>
          </cell>
          <cell r="E98" t="e">
            <v>#N/A</v>
          </cell>
          <cell r="F98" t="e">
            <v>#N/A</v>
          </cell>
          <cell r="G98" t="e">
            <v>#N/A</v>
          </cell>
          <cell r="H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M98" t="e">
            <v>#N/A</v>
          </cell>
          <cell r="N98" t="e">
            <v>#N/A</v>
          </cell>
          <cell r="O98" t="e">
            <v>#N/A</v>
          </cell>
          <cell r="P98">
            <v>0.34</v>
          </cell>
          <cell r="Q98">
            <v>1.7109449999999999</v>
          </cell>
          <cell r="R98" t="e">
            <v>#N/A</v>
          </cell>
          <cell r="AI98" t="str">
            <v>QAR Qatari Riyal</v>
          </cell>
          <cell r="AJ98" t="str">
            <v>QAR</v>
          </cell>
          <cell r="AK98" t="str">
            <v>QAR</v>
          </cell>
          <cell r="AL98" t="str">
            <v>QAR</v>
          </cell>
          <cell r="AM98">
            <v>0</v>
          </cell>
          <cell r="AN98">
            <v>2</v>
          </cell>
        </row>
        <row r="99">
          <cell r="A99">
            <v>39895</v>
          </cell>
          <cell r="B99">
            <v>39895</v>
          </cell>
          <cell r="C99" t="str">
            <v>Past</v>
          </cell>
          <cell r="D99">
            <v>0.34</v>
          </cell>
          <cell r="E99" t="e">
            <v>#N/A</v>
          </cell>
          <cell r="F99" t="e">
            <v>#N/A</v>
          </cell>
          <cell r="G99" t="e">
            <v>#N/A</v>
          </cell>
          <cell r="H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M99" t="e">
            <v>#N/A</v>
          </cell>
          <cell r="N99" t="e">
            <v>#N/A</v>
          </cell>
          <cell r="O99" t="e">
            <v>#N/A</v>
          </cell>
          <cell r="P99">
            <v>0.34</v>
          </cell>
          <cell r="Q99">
            <v>2.9827400000000002</v>
          </cell>
          <cell r="R99" t="e">
            <v>#N/A</v>
          </cell>
          <cell r="AI99" t="str">
            <v>RUB Russian Rouble</v>
          </cell>
          <cell r="AJ99" t="str">
            <v>RUB</v>
          </cell>
          <cell r="AK99" t="str">
            <v>RUB</v>
          </cell>
          <cell r="AL99" t="str">
            <v>RUB</v>
          </cell>
          <cell r="AM99">
            <v>0</v>
          </cell>
          <cell r="AN99">
            <v>2</v>
          </cell>
        </row>
        <row r="100">
          <cell r="A100">
            <v>39896</v>
          </cell>
          <cell r="B100">
            <v>39896</v>
          </cell>
          <cell r="C100" t="str">
            <v>Past</v>
          </cell>
          <cell r="D100">
            <v>0.35499999999999998</v>
          </cell>
          <cell r="E100" t="e">
            <v>#N/A</v>
          </cell>
          <cell r="F100" t="e">
            <v>#N/A</v>
          </cell>
          <cell r="G100" t="e">
            <v>#N/A</v>
          </cell>
          <cell r="H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M100" t="e">
            <v>#N/A</v>
          </cell>
          <cell r="N100" t="e">
            <v>#N/A</v>
          </cell>
          <cell r="O100" t="e">
            <v>#N/A</v>
          </cell>
          <cell r="P100">
            <v>0.35499999999999998</v>
          </cell>
          <cell r="Q100">
            <v>2.527177</v>
          </cell>
          <cell r="R100" t="e">
            <v>#N/A</v>
          </cell>
          <cell r="AI100" t="str">
            <v>SAR Saudi Riyal</v>
          </cell>
          <cell r="AJ100" t="str">
            <v>SAR</v>
          </cell>
          <cell r="AK100" t="str">
            <v>SAR</v>
          </cell>
          <cell r="AL100" t="str">
            <v>SAR</v>
          </cell>
          <cell r="AM100">
            <v>0</v>
          </cell>
          <cell r="AN100">
            <v>2</v>
          </cell>
        </row>
        <row r="101">
          <cell r="A101">
            <v>39897</v>
          </cell>
          <cell r="B101">
            <v>39897</v>
          </cell>
          <cell r="C101" t="str">
            <v>Past</v>
          </cell>
          <cell r="D101">
            <v>0.38</v>
          </cell>
          <cell r="E101" t="e">
            <v>#N/A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>
            <v>0.38</v>
          </cell>
          <cell r="Q101">
            <v>2.3835729999999997</v>
          </cell>
          <cell r="R101" t="e">
            <v>#N/A</v>
          </cell>
          <cell r="AI101" t="str">
            <v>SEK Swedish Krona</v>
          </cell>
          <cell r="AJ101" t="str">
            <v>SKr</v>
          </cell>
          <cell r="AK101" t="str">
            <v>SEK</v>
          </cell>
          <cell r="AL101" t="str">
            <v>SEK</v>
          </cell>
          <cell r="AM101">
            <v>0</v>
          </cell>
          <cell r="AN101">
            <v>2</v>
          </cell>
        </row>
        <row r="102">
          <cell r="A102">
            <v>39898</v>
          </cell>
          <cell r="B102">
            <v>39898</v>
          </cell>
          <cell r="C102" t="str">
            <v>Past</v>
          </cell>
          <cell r="D102">
            <v>0.4</v>
          </cell>
          <cell r="E102" t="e">
            <v>#N/A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>
            <v>0.4</v>
          </cell>
          <cell r="Q102">
            <v>2.0575000000000001</v>
          </cell>
          <cell r="R102" t="e">
            <v>#N/A</v>
          </cell>
          <cell r="AI102" t="str">
            <v>SGD Singapore Dollar</v>
          </cell>
          <cell r="AJ102" t="str">
            <v>S$</v>
          </cell>
          <cell r="AK102" t="str">
            <v>SGD</v>
          </cell>
          <cell r="AL102" t="str">
            <v>SGD</v>
          </cell>
          <cell r="AM102">
            <v>0</v>
          </cell>
          <cell r="AN102">
            <v>2</v>
          </cell>
        </row>
        <row r="103">
          <cell r="A103">
            <v>39899</v>
          </cell>
          <cell r="B103">
            <v>39899</v>
          </cell>
          <cell r="C103" t="str">
            <v>Past</v>
          </cell>
          <cell r="D103">
            <v>0.42</v>
          </cell>
          <cell r="E103" t="e">
            <v>#N/A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>
            <v>0.42</v>
          </cell>
          <cell r="Q103">
            <v>6.4005000000000001</v>
          </cell>
          <cell r="R103" t="e">
            <v>#N/A</v>
          </cell>
          <cell r="AI103" t="str">
            <v>THB Thailand Baht</v>
          </cell>
          <cell r="AJ103" t="str">
            <v>Bt</v>
          </cell>
          <cell r="AK103" t="str">
            <v>THB</v>
          </cell>
          <cell r="AL103" t="str">
            <v>THB</v>
          </cell>
          <cell r="AM103">
            <v>0</v>
          </cell>
          <cell r="AN103">
            <v>2</v>
          </cell>
        </row>
        <row r="104">
          <cell r="A104">
            <v>39902</v>
          </cell>
          <cell r="B104">
            <v>39902</v>
          </cell>
          <cell r="C104" t="str">
            <v>Past</v>
          </cell>
          <cell r="D104">
            <v>0.41</v>
          </cell>
          <cell r="E104" t="e">
            <v>#N/A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>
            <v>0.41</v>
          </cell>
          <cell r="Q104">
            <v>2.6184029999999998</v>
          </cell>
          <cell r="R104" t="e">
            <v>#N/A</v>
          </cell>
          <cell r="AI104" t="str">
            <v>TND Tunisian Dinar</v>
          </cell>
          <cell r="AJ104" t="str">
            <v>TND</v>
          </cell>
          <cell r="AK104" t="str">
            <v>TND</v>
          </cell>
          <cell r="AL104" t="str">
            <v>TND</v>
          </cell>
          <cell r="AM104">
            <v>0</v>
          </cell>
          <cell r="AN104">
            <v>2</v>
          </cell>
        </row>
        <row r="105">
          <cell r="A105">
            <v>39903</v>
          </cell>
          <cell r="B105">
            <v>39903</v>
          </cell>
          <cell r="C105" t="str">
            <v>Past</v>
          </cell>
          <cell r="D105">
            <v>0.40500000000000003</v>
          </cell>
          <cell r="E105" t="e">
            <v>#N/A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>
            <v>0.40500000000000003</v>
          </cell>
          <cell r="Q105">
            <v>5.4901359999999997</v>
          </cell>
          <cell r="R105" t="e">
            <v>#N/A</v>
          </cell>
          <cell r="AI105" t="str">
            <v>TRY Turkish Lira</v>
          </cell>
          <cell r="AJ105" t="str">
            <v>TL</v>
          </cell>
          <cell r="AK105" t="str">
            <v>TRY</v>
          </cell>
          <cell r="AL105" t="str">
            <v>TRY</v>
          </cell>
          <cell r="AM105">
            <v>0</v>
          </cell>
          <cell r="AN105">
            <v>2</v>
          </cell>
        </row>
        <row r="106">
          <cell r="A106">
            <v>39904</v>
          </cell>
          <cell r="B106">
            <v>39904</v>
          </cell>
          <cell r="C106" t="str">
            <v>Past</v>
          </cell>
          <cell r="D106">
            <v>0.39500000000000002</v>
          </cell>
          <cell r="E106" t="e">
            <v>#N/A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>
            <v>0.39500000000000002</v>
          </cell>
          <cell r="Q106">
            <v>3.5858200000000005</v>
          </cell>
          <cell r="R106" t="e">
            <v>#N/A</v>
          </cell>
          <cell r="AI106" t="str">
            <v>TWD New Taiwan Dollar</v>
          </cell>
          <cell r="AJ106" t="str">
            <v>NT$</v>
          </cell>
          <cell r="AK106" t="str">
            <v>TWD</v>
          </cell>
          <cell r="AL106" t="str">
            <v>TWD</v>
          </cell>
          <cell r="AM106">
            <v>0</v>
          </cell>
          <cell r="AN106">
            <v>2</v>
          </cell>
        </row>
        <row r="107">
          <cell r="A107">
            <v>39905</v>
          </cell>
          <cell r="B107">
            <v>39905</v>
          </cell>
          <cell r="C107" t="str">
            <v>Past</v>
          </cell>
          <cell r="D107">
            <v>0.41</v>
          </cell>
          <cell r="E107" t="e">
            <v>#N/A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>
            <v>0.41</v>
          </cell>
          <cell r="Q107">
            <v>4.1448</v>
          </cell>
          <cell r="R107" t="e">
            <v>#N/A</v>
          </cell>
          <cell r="AI107" t="str">
            <v>UAH Ukrainian Hryvnia</v>
          </cell>
          <cell r="AJ107" t="str">
            <v>UAH</v>
          </cell>
          <cell r="AK107" t="str">
            <v>UAH</v>
          </cell>
          <cell r="AL107" t="str">
            <v>UAH</v>
          </cell>
          <cell r="AM107">
            <v>0</v>
          </cell>
          <cell r="AN107">
            <v>2</v>
          </cell>
        </row>
        <row r="108">
          <cell r="A108">
            <v>39906</v>
          </cell>
          <cell r="B108">
            <v>39906</v>
          </cell>
          <cell r="C108" t="str">
            <v>Past</v>
          </cell>
          <cell r="D108">
            <v>0.435</v>
          </cell>
          <cell r="E108" t="e">
            <v>#N/A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>
            <v>0.435</v>
          </cell>
          <cell r="Q108">
            <v>3.6971719999999997</v>
          </cell>
          <cell r="R108" t="e">
            <v>#N/A</v>
          </cell>
          <cell r="AI108" t="str">
            <v>USD American Dollar</v>
          </cell>
          <cell r="AJ108" t="str">
            <v>$</v>
          </cell>
          <cell r="AK108" t="str">
            <v>USD</v>
          </cell>
          <cell r="AL108" t="str">
            <v>USD</v>
          </cell>
          <cell r="AM108">
            <v>0</v>
          </cell>
          <cell r="AN108">
            <v>2</v>
          </cell>
        </row>
        <row r="109">
          <cell r="A109">
            <v>39909</v>
          </cell>
          <cell r="B109">
            <v>39909</v>
          </cell>
          <cell r="C109" t="str">
            <v>Past</v>
          </cell>
          <cell r="D109">
            <v>0.45500000000000002</v>
          </cell>
          <cell r="E109" t="e">
            <v>#N/A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>
            <v>0.45500000000000002</v>
          </cell>
          <cell r="Q109">
            <v>2.980245</v>
          </cell>
          <cell r="R109" t="e">
            <v>#N/A</v>
          </cell>
          <cell r="AI109" t="str">
            <v>VEB Venezuelan Bolivar</v>
          </cell>
          <cell r="AJ109" t="str">
            <v>VEB</v>
          </cell>
          <cell r="AK109" t="str">
            <v>VEB</v>
          </cell>
          <cell r="AL109" t="str">
            <v>VEB</v>
          </cell>
          <cell r="AM109">
            <v>0</v>
          </cell>
          <cell r="AN109">
            <v>2</v>
          </cell>
        </row>
        <row r="110">
          <cell r="A110">
            <v>39910</v>
          </cell>
          <cell r="B110">
            <v>39910</v>
          </cell>
          <cell r="C110" t="str">
            <v>Past</v>
          </cell>
          <cell r="D110">
            <v>0.46</v>
          </cell>
          <cell r="E110" t="e">
            <v>#N/A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>
            <v>0.46</v>
          </cell>
          <cell r="Q110">
            <v>3.1333400000000005</v>
          </cell>
          <cell r="R110" t="e">
            <v>#N/A</v>
          </cell>
          <cell r="AI110" t="str">
            <v>ZAc South African Cent</v>
          </cell>
          <cell r="AJ110" t="str">
            <v>ZAc</v>
          </cell>
          <cell r="AK110" t="str">
            <v>ZAc</v>
          </cell>
          <cell r="AL110" t="str">
            <v>ZAc</v>
          </cell>
          <cell r="AM110">
            <v>0</v>
          </cell>
          <cell r="AN110">
            <v>0</v>
          </cell>
        </row>
        <row r="111">
          <cell r="A111">
            <v>39911</v>
          </cell>
          <cell r="B111">
            <v>39911</v>
          </cell>
          <cell r="C111" t="str">
            <v>Past</v>
          </cell>
          <cell r="D111">
            <v>0.43</v>
          </cell>
          <cell r="E111" t="e">
            <v>#N/A</v>
          </cell>
          <cell r="F111" t="e">
            <v>#N/A</v>
          </cell>
          <cell r="G111" t="e">
            <v>#N/A</v>
          </cell>
          <cell r="H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M111" t="e">
            <v>#N/A</v>
          </cell>
          <cell r="N111" t="e">
            <v>#N/A</v>
          </cell>
          <cell r="O111" t="e">
            <v>#N/A</v>
          </cell>
          <cell r="P111">
            <v>0.43</v>
          </cell>
          <cell r="Q111">
            <v>4.1929650000000001</v>
          </cell>
          <cell r="R111" t="e">
            <v>#N/A</v>
          </cell>
          <cell r="AI111" t="str">
            <v>ZAR South African rand</v>
          </cell>
          <cell r="AJ111" t="str">
            <v>ZAR</v>
          </cell>
          <cell r="AK111" t="str">
            <v>ZAR</v>
          </cell>
          <cell r="AL111" t="str">
            <v>ZAR</v>
          </cell>
          <cell r="AM111">
            <v>0</v>
          </cell>
          <cell r="AN111">
            <v>2</v>
          </cell>
        </row>
        <row r="112">
          <cell r="A112">
            <v>39912</v>
          </cell>
          <cell r="B112">
            <v>39912</v>
          </cell>
          <cell r="C112" t="str">
            <v>Past</v>
          </cell>
          <cell r="D112">
            <v>0.45500000000000002</v>
          </cell>
          <cell r="E112" t="e">
            <v>#N/A</v>
          </cell>
          <cell r="F112" t="e">
            <v>#N/A</v>
          </cell>
          <cell r="G112" t="e">
            <v>#N/A</v>
          </cell>
          <cell r="H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M112" t="e">
            <v>#N/A</v>
          </cell>
          <cell r="N112" t="e">
            <v>#N/A</v>
          </cell>
          <cell r="O112" t="e">
            <v>#N/A</v>
          </cell>
          <cell r="P112">
            <v>0.45500000000000002</v>
          </cell>
          <cell r="Q112">
            <v>3.370133</v>
          </cell>
          <cell r="R112" t="e">
            <v>#N/A</v>
          </cell>
          <cell r="AI112" t="str">
            <v xml:space="preserve">ZMK Zambian Kwacha </v>
          </cell>
          <cell r="AJ112" t="str">
            <v>ZMK</v>
          </cell>
          <cell r="AK112" t="str">
            <v>ZMK</v>
          </cell>
          <cell r="AL112" t="str">
            <v>ZMK</v>
          </cell>
          <cell r="AM112">
            <v>0</v>
          </cell>
          <cell r="AN112">
            <v>2</v>
          </cell>
        </row>
        <row r="113">
          <cell r="A113">
            <v>39913</v>
          </cell>
          <cell r="B113">
            <v>39913</v>
          </cell>
          <cell r="C113" t="str">
            <v>Past</v>
          </cell>
          <cell r="D113">
            <v>0.45500000000000002</v>
          </cell>
          <cell r="E113" t="e">
            <v>#N/A</v>
          </cell>
          <cell r="F113" t="e">
            <v>#N/A</v>
          </cell>
          <cell r="G113" t="e">
            <v>#N/A</v>
          </cell>
          <cell r="H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M113" t="e">
            <v>#N/A</v>
          </cell>
          <cell r="N113" t="e">
            <v>#N/A</v>
          </cell>
          <cell r="O113" t="e">
            <v>#N/A</v>
          </cell>
          <cell r="P113">
            <v>0.45500000000000002</v>
          </cell>
          <cell r="Q113">
            <v>0</v>
          </cell>
          <cell r="R113" t="e">
            <v>#N/A</v>
          </cell>
        </row>
        <row r="114">
          <cell r="A114">
            <v>39916</v>
          </cell>
          <cell r="B114">
            <v>39916</v>
          </cell>
          <cell r="C114" t="str">
            <v>Past</v>
          </cell>
          <cell r="D114">
            <v>0.45500000000000002</v>
          </cell>
          <cell r="E114" t="e">
            <v>#N/A</v>
          </cell>
          <cell r="F114" t="e">
            <v>#N/A</v>
          </cell>
          <cell r="G114" t="e">
            <v>#N/A</v>
          </cell>
          <cell r="H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M114" t="e">
            <v>#N/A</v>
          </cell>
          <cell r="N114" t="e">
            <v>#N/A</v>
          </cell>
          <cell r="O114" t="e">
            <v>#N/A</v>
          </cell>
          <cell r="P114">
            <v>0.45500000000000002</v>
          </cell>
          <cell r="Q114">
            <v>0</v>
          </cell>
          <cell r="R114" t="e">
            <v>#N/A</v>
          </cell>
        </row>
        <row r="115">
          <cell r="A115">
            <v>39917</v>
          </cell>
          <cell r="B115">
            <v>39917</v>
          </cell>
          <cell r="C115" t="str">
            <v>Past</v>
          </cell>
          <cell r="D115">
            <v>0.48</v>
          </cell>
          <cell r="E115" t="e">
            <v>#N/A</v>
          </cell>
          <cell r="F115" t="e">
            <v>#N/A</v>
          </cell>
          <cell r="G115" t="e">
            <v>#N/A</v>
          </cell>
          <cell r="H115" t="e">
            <v>#N/A</v>
          </cell>
          <cell r="I115" t="e">
            <v>#N/A</v>
          </cell>
          <cell r="J115" t="e">
            <v>#N/A</v>
          </cell>
          <cell r="K115" t="e">
            <v>#N/A</v>
          </cell>
          <cell r="L115" t="e">
            <v>#N/A</v>
          </cell>
          <cell r="M115" t="e">
            <v>#N/A</v>
          </cell>
          <cell r="N115" t="e">
            <v>#N/A</v>
          </cell>
          <cell r="O115" t="e">
            <v>#N/A</v>
          </cell>
          <cell r="P115">
            <v>0.48</v>
          </cell>
          <cell r="Q115">
            <v>1.4915229999999999</v>
          </cell>
          <cell r="R115" t="e">
            <v>#N/A</v>
          </cell>
        </row>
        <row r="116">
          <cell r="A116">
            <v>39918</v>
          </cell>
          <cell r="B116">
            <v>39918</v>
          </cell>
          <cell r="C116" t="str">
            <v>Past</v>
          </cell>
          <cell r="D116">
            <v>0.46</v>
          </cell>
          <cell r="E116" t="e">
            <v>#N/A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>
            <v>0.46</v>
          </cell>
          <cell r="Q116">
            <v>2.8360369999999997</v>
          </cell>
          <cell r="R116" t="e">
            <v>#N/A</v>
          </cell>
        </row>
        <row r="117">
          <cell r="A117">
            <v>39919</v>
          </cell>
          <cell r="B117">
            <v>39919</v>
          </cell>
          <cell r="C117" t="str">
            <v>Past</v>
          </cell>
          <cell r="D117">
            <v>0.47</v>
          </cell>
          <cell r="E117" t="e">
            <v>#N/A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>
            <v>0.47</v>
          </cell>
          <cell r="Q117">
            <v>2.7569729999999999</v>
          </cell>
          <cell r="R117" t="e">
            <v>#N/A</v>
          </cell>
        </row>
        <row r="118">
          <cell r="A118">
            <v>39920</v>
          </cell>
          <cell r="B118">
            <v>39920</v>
          </cell>
          <cell r="C118" t="str">
            <v>Past</v>
          </cell>
          <cell r="D118">
            <v>0.48</v>
          </cell>
          <cell r="E118" t="e">
            <v>#N/A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>
            <v>0.48</v>
          </cell>
          <cell r="Q118">
            <v>4.2790419999999996</v>
          </cell>
          <cell r="R118" t="e">
            <v>#N/A</v>
          </cell>
        </row>
        <row r="119">
          <cell r="A119">
            <v>39923</v>
          </cell>
          <cell r="B119">
            <v>39923</v>
          </cell>
          <cell r="C119" t="str">
            <v>Past</v>
          </cell>
          <cell r="D119">
            <v>0.48</v>
          </cell>
          <cell r="E119" t="e">
            <v>#N/A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>
            <v>0.48</v>
          </cell>
          <cell r="Q119">
            <v>5.388306</v>
          </cell>
          <cell r="R119" t="e">
            <v>#N/A</v>
          </cell>
        </row>
        <row r="120">
          <cell r="A120">
            <v>39924</v>
          </cell>
          <cell r="B120">
            <v>39924</v>
          </cell>
          <cell r="C120" t="str">
            <v>Past</v>
          </cell>
          <cell r="D120">
            <v>0.435</v>
          </cell>
          <cell r="E120" t="e">
            <v>#N/A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>
            <v>0.435</v>
          </cell>
          <cell r="Q120">
            <v>2.9108259999999997</v>
          </cell>
          <cell r="R120" t="e">
            <v>#N/A</v>
          </cell>
        </row>
        <row r="121">
          <cell r="A121">
            <v>39925</v>
          </cell>
          <cell r="B121">
            <v>39925</v>
          </cell>
          <cell r="C121" t="str">
            <v>Past</v>
          </cell>
          <cell r="D121">
            <v>0.46</v>
          </cell>
          <cell r="E121" t="e">
            <v>#N/A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>
            <v>0.46</v>
          </cell>
          <cell r="Q121">
            <v>2.1343959999999997</v>
          </cell>
          <cell r="R121" t="e">
            <v>#N/A</v>
          </cell>
        </row>
        <row r="122">
          <cell r="A122">
            <v>39926</v>
          </cell>
          <cell r="B122">
            <v>39926</v>
          </cell>
          <cell r="C122" t="str">
            <v>Past</v>
          </cell>
          <cell r="D122">
            <v>0.45500000000000002</v>
          </cell>
          <cell r="E122" t="e">
            <v>#N/A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>
            <v>0.45500000000000002</v>
          </cell>
          <cell r="Q122">
            <v>1.5186029999999999</v>
          </cell>
          <cell r="R122" t="e">
            <v>#N/A</v>
          </cell>
        </row>
        <row r="123">
          <cell r="A123">
            <v>39927</v>
          </cell>
          <cell r="B123">
            <v>39927</v>
          </cell>
          <cell r="C123" t="str">
            <v>Past</v>
          </cell>
          <cell r="D123">
            <v>0.45</v>
          </cell>
          <cell r="E123" t="e">
            <v>#N/A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>
            <v>0.45</v>
          </cell>
          <cell r="Q123">
            <v>1.235606</v>
          </cell>
          <cell r="R123" t="e">
            <v>#N/A</v>
          </cell>
        </row>
        <row r="124">
          <cell r="A124">
            <v>39930</v>
          </cell>
          <cell r="B124">
            <v>39930</v>
          </cell>
          <cell r="C124" t="str">
            <v>Past</v>
          </cell>
          <cell r="D124">
            <v>0.4</v>
          </cell>
          <cell r="E124" t="e">
            <v>#N/A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>
            <v>0.4</v>
          </cell>
          <cell r="Q124">
            <v>3.514834</v>
          </cell>
          <cell r="R124" t="e">
            <v>#N/A</v>
          </cell>
        </row>
        <row r="125">
          <cell r="A125">
            <v>39931</v>
          </cell>
          <cell r="B125">
            <v>39931</v>
          </cell>
          <cell r="C125" t="str">
            <v>Past</v>
          </cell>
          <cell r="D125">
            <v>0.38500000000000001</v>
          </cell>
          <cell r="E125" t="e">
            <v>#N/A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>
            <v>0.38500000000000001</v>
          </cell>
          <cell r="Q125">
            <v>1.5352709999999998</v>
          </cell>
          <cell r="R125" t="e">
            <v>#N/A</v>
          </cell>
        </row>
        <row r="126">
          <cell r="A126">
            <v>39932</v>
          </cell>
          <cell r="B126">
            <v>39932</v>
          </cell>
          <cell r="C126" t="str">
            <v>Past</v>
          </cell>
          <cell r="D126">
            <v>0.37</v>
          </cell>
          <cell r="E126" t="e">
            <v>#N/A</v>
          </cell>
          <cell r="F126" t="e">
            <v>#N/A</v>
          </cell>
          <cell r="G126" t="e">
            <v>#N/A</v>
          </cell>
          <cell r="H126" t="e">
            <v>#N/A</v>
          </cell>
          <cell r="I126" t="e">
            <v>#N/A</v>
          </cell>
          <cell r="J126" t="e">
            <v>#N/A</v>
          </cell>
          <cell r="K126" t="e">
            <v>#N/A</v>
          </cell>
          <cell r="L126" t="e">
            <v>#N/A</v>
          </cell>
          <cell r="M126" t="e">
            <v>#N/A</v>
          </cell>
          <cell r="N126" t="e">
            <v>#N/A</v>
          </cell>
          <cell r="O126" t="e">
            <v>#N/A</v>
          </cell>
          <cell r="P126">
            <v>0.37</v>
          </cell>
          <cell r="Q126">
            <v>1.2672919999999999</v>
          </cell>
          <cell r="R126" t="e">
            <v>#N/A</v>
          </cell>
        </row>
        <row r="127">
          <cell r="A127">
            <v>39933</v>
          </cell>
          <cell r="B127">
            <v>39933</v>
          </cell>
          <cell r="C127" t="str">
            <v>Past</v>
          </cell>
          <cell r="D127">
            <v>0.39500000000000002</v>
          </cell>
          <cell r="E127" t="e">
            <v>#N/A</v>
          </cell>
          <cell r="F127" t="e">
            <v>#N/A</v>
          </cell>
          <cell r="G127" t="e">
            <v>#N/A</v>
          </cell>
          <cell r="H127" t="e">
            <v>#N/A</v>
          </cell>
          <cell r="I127" t="e">
            <v>#N/A</v>
          </cell>
          <cell r="J127" t="e">
            <v>#N/A</v>
          </cell>
          <cell r="K127" t="e">
            <v>#N/A</v>
          </cell>
          <cell r="L127" t="e">
            <v>#N/A</v>
          </cell>
          <cell r="M127" t="e">
            <v>#N/A</v>
          </cell>
          <cell r="N127" t="e">
            <v>#N/A</v>
          </cell>
          <cell r="O127" t="e">
            <v>#N/A</v>
          </cell>
          <cell r="P127">
            <v>0.39500000000000002</v>
          </cell>
          <cell r="Q127">
            <v>1.8351409999999999</v>
          </cell>
          <cell r="R127" t="e">
            <v>#N/A</v>
          </cell>
        </row>
        <row r="128">
          <cell r="A128">
            <v>39934</v>
          </cell>
          <cell r="B128">
            <v>39934</v>
          </cell>
          <cell r="C128" t="str">
            <v>Past</v>
          </cell>
          <cell r="D128">
            <v>0.38</v>
          </cell>
          <cell r="E128" t="e">
            <v>#N/A</v>
          </cell>
          <cell r="F128" t="e">
            <v>#N/A</v>
          </cell>
          <cell r="G128" t="e">
            <v>#N/A</v>
          </cell>
          <cell r="H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M128" t="e">
            <v>#N/A</v>
          </cell>
          <cell r="N128" t="e">
            <v>#N/A</v>
          </cell>
          <cell r="O128" t="e">
            <v>#N/A</v>
          </cell>
          <cell r="P128">
            <v>0.38</v>
          </cell>
          <cell r="Q128">
            <v>1.5810839999999999</v>
          </cell>
          <cell r="R128" t="e">
            <v>#N/A</v>
          </cell>
        </row>
        <row r="129">
          <cell r="A129">
            <v>39937</v>
          </cell>
          <cell r="B129">
            <v>39937</v>
          </cell>
          <cell r="C129" t="str">
            <v>Past</v>
          </cell>
          <cell r="D129">
            <v>0.4</v>
          </cell>
          <cell r="E129" t="e">
            <v>#N/A</v>
          </cell>
          <cell r="F129" t="e">
            <v>#N/A</v>
          </cell>
          <cell r="G129" t="e">
            <v>#N/A</v>
          </cell>
          <cell r="H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M129" t="e">
            <v>#N/A</v>
          </cell>
          <cell r="N129" t="e">
            <v>#N/A</v>
          </cell>
          <cell r="O129" t="e">
            <v>#N/A</v>
          </cell>
          <cell r="P129">
            <v>0.4</v>
          </cell>
          <cell r="Q129">
            <v>1.642935</v>
          </cell>
          <cell r="R129" t="e">
            <v>#N/A</v>
          </cell>
        </row>
        <row r="130">
          <cell r="A130">
            <v>39938</v>
          </cell>
          <cell r="B130">
            <v>39938</v>
          </cell>
          <cell r="C130" t="str">
            <v>Past</v>
          </cell>
          <cell r="D130">
            <v>0.44</v>
          </cell>
          <cell r="E130" t="e">
            <v>#N/A</v>
          </cell>
          <cell r="F130" t="e">
            <v>#N/A</v>
          </cell>
          <cell r="G130" t="e">
            <v>#N/A</v>
          </cell>
          <cell r="H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M130" t="e">
            <v>#N/A</v>
          </cell>
          <cell r="N130" t="e">
            <v>#N/A</v>
          </cell>
          <cell r="O130" t="e">
            <v>#N/A</v>
          </cell>
          <cell r="P130">
            <v>0.44</v>
          </cell>
          <cell r="Q130">
            <v>2.9851419999999997</v>
          </cell>
          <cell r="R130" t="e">
            <v>#N/A</v>
          </cell>
        </row>
        <row r="131">
          <cell r="A131">
            <v>39939</v>
          </cell>
          <cell r="B131">
            <v>39939</v>
          </cell>
          <cell r="C131" t="str">
            <v>Past</v>
          </cell>
          <cell r="D131">
            <v>0.45500000000000002</v>
          </cell>
          <cell r="E131" t="e">
            <v>#N/A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>
            <v>0.45500000000000002</v>
          </cell>
          <cell r="Q131">
            <v>2.033404</v>
          </cell>
          <cell r="R131" t="e">
            <v>#N/A</v>
          </cell>
        </row>
        <row r="132">
          <cell r="A132">
            <v>39940</v>
          </cell>
          <cell r="B132">
            <v>39940</v>
          </cell>
          <cell r="C132" t="str">
            <v>Past</v>
          </cell>
          <cell r="D132">
            <v>0.48499999999999999</v>
          </cell>
          <cell r="E132" t="e">
            <v>#N/A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>
            <v>0.48499999999999999</v>
          </cell>
          <cell r="Q132">
            <v>1.9752300000000003</v>
          </cell>
          <cell r="R132" t="e">
            <v>#N/A</v>
          </cell>
        </row>
        <row r="133">
          <cell r="A133">
            <v>39941</v>
          </cell>
          <cell r="B133">
            <v>39941</v>
          </cell>
          <cell r="C133" t="str">
            <v>Past</v>
          </cell>
          <cell r="D133">
            <v>0.47499999999999998</v>
          </cell>
          <cell r="E133" t="e">
            <v>#N/A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>
            <v>0.47499999999999998</v>
          </cell>
          <cell r="Q133">
            <v>2.533595</v>
          </cell>
          <cell r="R133" t="e">
            <v>#N/A</v>
          </cell>
        </row>
        <row r="134">
          <cell r="A134">
            <v>39944</v>
          </cell>
          <cell r="B134">
            <v>39944</v>
          </cell>
          <cell r="C134" t="str">
            <v>Past</v>
          </cell>
          <cell r="D134">
            <v>0.47499999999999998</v>
          </cell>
          <cell r="E134" t="e">
            <v>#N/A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>
            <v>0.47499999999999998</v>
          </cell>
          <cell r="Q134">
            <v>2.4731039999999997</v>
          </cell>
          <cell r="R134" t="e">
            <v>#N/A</v>
          </cell>
        </row>
        <row r="135">
          <cell r="A135">
            <v>39945</v>
          </cell>
          <cell r="B135">
            <v>39945</v>
          </cell>
          <cell r="C135" t="str">
            <v>Past</v>
          </cell>
          <cell r="D135">
            <v>0.47</v>
          </cell>
          <cell r="E135" t="e">
            <v>#N/A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>
            <v>0.47</v>
          </cell>
          <cell r="Q135">
            <v>1.0352049999999999</v>
          </cell>
          <cell r="R135" t="e">
            <v>#N/A</v>
          </cell>
        </row>
        <row r="136">
          <cell r="A136">
            <v>39946</v>
          </cell>
          <cell r="B136">
            <v>39946</v>
          </cell>
          <cell r="C136" t="str">
            <v>Past</v>
          </cell>
          <cell r="D136">
            <v>0.47499999999999998</v>
          </cell>
          <cell r="E136" t="e">
            <v>#N/A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>
            <v>0.47499999999999998</v>
          </cell>
          <cell r="Q136">
            <v>1.8205289999999998</v>
          </cell>
          <cell r="R136" t="e">
            <v>#N/A</v>
          </cell>
        </row>
        <row r="137">
          <cell r="A137">
            <v>39947</v>
          </cell>
          <cell r="B137">
            <v>39947</v>
          </cell>
          <cell r="C137" t="str">
            <v>Past</v>
          </cell>
          <cell r="D137">
            <v>0.44500000000000001</v>
          </cell>
          <cell r="E137" t="e">
            <v>#N/A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>
            <v>0.44500000000000001</v>
          </cell>
          <cell r="Q137">
            <v>2.2950969999999997</v>
          </cell>
          <cell r="R137" t="e">
            <v>#N/A</v>
          </cell>
        </row>
        <row r="138">
          <cell r="A138">
            <v>39948</v>
          </cell>
          <cell r="B138">
            <v>39948</v>
          </cell>
          <cell r="C138" t="str">
            <v>Past</v>
          </cell>
          <cell r="D138">
            <v>0.43</v>
          </cell>
          <cell r="E138" t="e">
            <v>#N/A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>
            <v>0.43</v>
          </cell>
          <cell r="Q138">
            <v>0.86291399999999996</v>
          </cell>
          <cell r="R138" t="e">
            <v>#N/A</v>
          </cell>
        </row>
        <row r="139">
          <cell r="A139">
            <v>39951</v>
          </cell>
          <cell r="B139">
            <v>39951</v>
          </cell>
          <cell r="C139" t="str">
            <v>Past</v>
          </cell>
          <cell r="D139">
            <v>0.39500000000000002</v>
          </cell>
          <cell r="E139" t="e">
            <v>#N/A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>
            <v>0.39500000000000002</v>
          </cell>
          <cell r="Q139">
            <v>1.2418819999999999</v>
          </cell>
          <cell r="R139" t="e">
            <v>#N/A</v>
          </cell>
        </row>
        <row r="140">
          <cell r="A140">
            <v>39952</v>
          </cell>
          <cell r="B140">
            <v>39952</v>
          </cell>
          <cell r="C140" t="str">
            <v>Past</v>
          </cell>
          <cell r="D140">
            <v>0.43</v>
          </cell>
          <cell r="E140" t="e">
            <v>#N/A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>
            <v>0.43</v>
          </cell>
          <cell r="Q140">
            <v>2.2370449999999997</v>
          </cell>
          <cell r="R140" t="e">
            <v>#N/A</v>
          </cell>
        </row>
        <row r="141">
          <cell r="A141">
            <v>39953</v>
          </cell>
          <cell r="B141">
            <v>39953</v>
          </cell>
          <cell r="C141" t="str">
            <v>Past</v>
          </cell>
          <cell r="D141">
            <v>0.44500000000000001</v>
          </cell>
          <cell r="E141" t="e">
            <v>#N/A</v>
          </cell>
          <cell r="F141" t="e">
            <v>#N/A</v>
          </cell>
          <cell r="G141" t="e">
            <v>#N/A</v>
          </cell>
          <cell r="H141" t="e">
            <v>#N/A</v>
          </cell>
          <cell r="I141" t="e">
            <v>#N/A</v>
          </cell>
          <cell r="J141" t="e">
            <v>#N/A</v>
          </cell>
          <cell r="K141" t="e">
            <v>#N/A</v>
          </cell>
          <cell r="L141" t="e">
            <v>#N/A</v>
          </cell>
          <cell r="M141" t="e">
            <v>#N/A</v>
          </cell>
          <cell r="N141" t="e">
            <v>#N/A</v>
          </cell>
          <cell r="O141" t="e">
            <v>#N/A</v>
          </cell>
          <cell r="P141">
            <v>0.44500000000000001</v>
          </cell>
          <cell r="Q141">
            <v>1.1766269999999999</v>
          </cell>
          <cell r="R141" t="e">
            <v>#N/A</v>
          </cell>
        </row>
        <row r="142">
          <cell r="A142">
            <v>39954</v>
          </cell>
          <cell r="B142">
            <v>39954</v>
          </cell>
          <cell r="C142" t="str">
            <v>Past</v>
          </cell>
          <cell r="D142">
            <v>0.45500000000000002</v>
          </cell>
          <cell r="E142" t="e">
            <v>#N/A</v>
          </cell>
          <cell r="F142" t="e">
            <v>#N/A</v>
          </cell>
          <cell r="G142" t="e">
            <v>#N/A</v>
          </cell>
          <cell r="H142" t="e">
            <v>#N/A</v>
          </cell>
          <cell r="I142" t="e">
            <v>#N/A</v>
          </cell>
          <cell r="J142" t="e">
            <v>#N/A</v>
          </cell>
          <cell r="K142" t="e">
            <v>#N/A</v>
          </cell>
          <cell r="L142" t="e">
            <v>#N/A</v>
          </cell>
          <cell r="M142" t="e">
            <v>#N/A</v>
          </cell>
          <cell r="N142" t="e">
            <v>#N/A</v>
          </cell>
          <cell r="O142" t="e">
            <v>#N/A</v>
          </cell>
          <cell r="P142">
            <v>0.45500000000000002</v>
          </cell>
          <cell r="Q142">
            <v>7.4767609999999998</v>
          </cell>
          <cell r="R142" t="e">
            <v>#N/A</v>
          </cell>
        </row>
        <row r="143">
          <cell r="A143">
            <v>39955</v>
          </cell>
          <cell r="B143">
            <v>39955</v>
          </cell>
          <cell r="C143" t="str">
            <v>Past</v>
          </cell>
          <cell r="D143">
            <v>0.41499999999999998</v>
          </cell>
          <cell r="E143" t="e">
            <v>#N/A</v>
          </cell>
          <cell r="F143" t="e">
            <v>#N/A</v>
          </cell>
          <cell r="G143" t="e">
            <v>#N/A</v>
          </cell>
          <cell r="H143" t="e">
            <v>#N/A</v>
          </cell>
          <cell r="I143" t="e">
            <v>#N/A</v>
          </cell>
          <cell r="J143" t="e">
            <v>#N/A</v>
          </cell>
          <cell r="K143" t="e">
            <v>#N/A</v>
          </cell>
          <cell r="L143" t="e">
            <v>#N/A</v>
          </cell>
          <cell r="M143" t="e">
            <v>#N/A</v>
          </cell>
          <cell r="N143" t="e">
            <v>#N/A</v>
          </cell>
          <cell r="O143" t="e">
            <v>#N/A</v>
          </cell>
          <cell r="P143">
            <v>0.41499999999999998</v>
          </cell>
          <cell r="Q143">
            <v>3.0652619999999997</v>
          </cell>
          <cell r="R143" t="e">
            <v>#N/A</v>
          </cell>
        </row>
        <row r="144">
          <cell r="A144">
            <v>39958</v>
          </cell>
          <cell r="B144">
            <v>39958</v>
          </cell>
          <cell r="C144" t="str">
            <v>Past</v>
          </cell>
          <cell r="D144">
            <v>0.43</v>
          </cell>
          <cell r="E144" t="e">
            <v>#N/A</v>
          </cell>
          <cell r="F144" t="e">
            <v>#N/A</v>
          </cell>
          <cell r="G144" t="e">
            <v>#N/A</v>
          </cell>
          <cell r="H144" t="e">
            <v>#N/A</v>
          </cell>
          <cell r="I144" t="e">
            <v>#N/A</v>
          </cell>
          <cell r="J144" t="e">
            <v>#N/A</v>
          </cell>
          <cell r="K144" t="e">
            <v>#N/A</v>
          </cell>
          <cell r="L144" t="e">
            <v>#N/A</v>
          </cell>
          <cell r="M144" t="e">
            <v>#N/A</v>
          </cell>
          <cell r="N144" t="e">
            <v>#N/A</v>
          </cell>
          <cell r="O144" t="e">
            <v>#N/A</v>
          </cell>
          <cell r="P144">
            <v>0.43</v>
          </cell>
          <cell r="Q144">
            <v>0.80089899999999992</v>
          </cell>
          <cell r="R144" t="e">
            <v>#N/A</v>
          </cell>
        </row>
        <row r="145">
          <cell r="A145">
            <v>39959</v>
          </cell>
          <cell r="B145">
            <v>39959</v>
          </cell>
          <cell r="C145" t="str">
            <v>Past</v>
          </cell>
          <cell r="D145">
            <v>0.46</v>
          </cell>
          <cell r="E145" t="e">
            <v>#N/A</v>
          </cell>
          <cell r="F145" t="e">
            <v>#N/A</v>
          </cell>
          <cell r="G145" t="e">
            <v>#N/A</v>
          </cell>
          <cell r="H145" t="e">
            <v>#N/A</v>
          </cell>
          <cell r="I145" t="e">
            <v>#N/A</v>
          </cell>
          <cell r="J145" t="e">
            <v>#N/A</v>
          </cell>
          <cell r="K145" t="e">
            <v>#N/A</v>
          </cell>
          <cell r="L145" t="e">
            <v>#N/A</v>
          </cell>
          <cell r="M145" t="e">
            <v>#N/A</v>
          </cell>
          <cell r="N145" t="e">
            <v>#N/A</v>
          </cell>
          <cell r="O145" t="e">
            <v>#N/A</v>
          </cell>
          <cell r="P145">
            <v>0.46</v>
          </cell>
          <cell r="Q145">
            <v>1.5660000000000001</v>
          </cell>
          <cell r="R145" t="e">
            <v>#N/A</v>
          </cell>
        </row>
        <row r="146">
          <cell r="A146">
            <v>39960</v>
          </cell>
          <cell r="B146">
            <v>39960</v>
          </cell>
          <cell r="C146" t="str">
            <v>Past</v>
          </cell>
          <cell r="D146">
            <v>0.435</v>
          </cell>
          <cell r="E146" t="e">
            <v>#N/A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>
            <v>0.435</v>
          </cell>
          <cell r="Q146">
            <v>3.871861</v>
          </cell>
          <cell r="R146" t="e">
            <v>#N/A</v>
          </cell>
        </row>
        <row r="147">
          <cell r="A147">
            <v>39961</v>
          </cell>
          <cell r="B147">
            <v>39961</v>
          </cell>
          <cell r="C147" t="str">
            <v>Past</v>
          </cell>
          <cell r="D147">
            <v>0.42499999999999999</v>
          </cell>
          <cell r="E147" t="e">
            <v>#N/A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>
            <v>0.42499999999999999</v>
          </cell>
          <cell r="Q147">
            <v>2.9084490000000001</v>
          </cell>
          <cell r="R147" t="e">
            <v>#N/A</v>
          </cell>
        </row>
        <row r="148">
          <cell r="A148">
            <v>39962</v>
          </cell>
          <cell r="B148">
            <v>39962</v>
          </cell>
          <cell r="C148" t="str">
            <v>Past</v>
          </cell>
          <cell r="D148">
            <v>0.435</v>
          </cell>
          <cell r="E148" t="e">
            <v>#N/A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>
            <v>0.435</v>
          </cell>
          <cell r="Q148">
            <v>1.8784600000000002</v>
          </cell>
          <cell r="R148" t="e">
            <v>#N/A</v>
          </cell>
        </row>
        <row r="149">
          <cell r="A149">
            <v>39965</v>
          </cell>
          <cell r="B149">
            <v>39965</v>
          </cell>
          <cell r="C149" t="str">
            <v>Past</v>
          </cell>
          <cell r="D149">
            <v>0.45</v>
          </cell>
          <cell r="E149" t="e">
            <v>#N/A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>
            <v>0.45</v>
          </cell>
          <cell r="Q149">
            <v>3.522097</v>
          </cell>
          <cell r="R149" t="e">
            <v>#N/A</v>
          </cell>
        </row>
        <row r="150">
          <cell r="A150">
            <v>39966</v>
          </cell>
          <cell r="B150">
            <v>39966</v>
          </cell>
          <cell r="C150" t="str">
            <v>Past</v>
          </cell>
          <cell r="D150">
            <v>0.46500000000000002</v>
          </cell>
          <cell r="E150" t="e">
            <v>#N/A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>
            <v>0.46500000000000002</v>
          </cell>
          <cell r="Q150">
            <v>4.5546629999999997</v>
          </cell>
          <cell r="R150" t="e">
            <v>#N/A</v>
          </cell>
        </row>
        <row r="151">
          <cell r="A151">
            <v>39967</v>
          </cell>
          <cell r="B151">
            <v>39967</v>
          </cell>
          <cell r="C151" t="str">
            <v>Past</v>
          </cell>
          <cell r="D151">
            <v>0.47</v>
          </cell>
          <cell r="E151" t="e">
            <v>#N/A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>
            <v>0.47</v>
          </cell>
          <cell r="Q151">
            <v>2.067993</v>
          </cell>
          <cell r="R151" t="e">
            <v>#N/A</v>
          </cell>
        </row>
        <row r="152">
          <cell r="A152">
            <v>39968</v>
          </cell>
          <cell r="B152">
            <v>39968</v>
          </cell>
          <cell r="C152" t="str">
            <v>Past</v>
          </cell>
          <cell r="D152">
            <v>0.46500000000000002</v>
          </cell>
          <cell r="E152" t="e">
            <v>#N/A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>
            <v>0.46500000000000002</v>
          </cell>
          <cell r="Q152">
            <v>2.176282</v>
          </cell>
          <cell r="R152" t="e">
            <v>#N/A</v>
          </cell>
        </row>
        <row r="153">
          <cell r="A153">
            <v>39969</v>
          </cell>
          <cell r="B153">
            <v>39969</v>
          </cell>
          <cell r="C153" t="str">
            <v>Past</v>
          </cell>
          <cell r="D153">
            <v>0.53500000000000003</v>
          </cell>
          <cell r="E153" t="e">
            <v>#N/A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>
            <v>0.53500000000000003</v>
          </cell>
          <cell r="Q153">
            <v>3.7858889999999996</v>
          </cell>
          <cell r="R153" t="e">
            <v>#N/A</v>
          </cell>
        </row>
        <row r="154">
          <cell r="A154">
            <v>39972</v>
          </cell>
          <cell r="B154">
            <v>39972</v>
          </cell>
          <cell r="C154" t="str">
            <v>Past</v>
          </cell>
          <cell r="D154">
            <v>0.53500000000000003</v>
          </cell>
          <cell r="E154" t="e">
            <v>#N/A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>
            <v>0.53500000000000003</v>
          </cell>
          <cell r="Q154">
            <v>0</v>
          </cell>
          <cell r="R154" t="e">
            <v>#N/A</v>
          </cell>
        </row>
        <row r="155">
          <cell r="A155">
            <v>39973</v>
          </cell>
          <cell r="B155">
            <v>39973</v>
          </cell>
          <cell r="C155" t="str">
            <v>Past</v>
          </cell>
          <cell r="D155">
            <v>0.495</v>
          </cell>
          <cell r="E155" t="e">
            <v>#N/A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>
            <v>0.495</v>
          </cell>
          <cell r="Q155">
            <v>3.7077</v>
          </cell>
          <cell r="R155" t="e">
            <v>#N/A</v>
          </cell>
        </row>
        <row r="156">
          <cell r="A156">
            <v>39974</v>
          </cell>
          <cell r="B156">
            <v>39974</v>
          </cell>
          <cell r="C156" t="str">
            <v>Past</v>
          </cell>
          <cell r="D156">
            <v>0.5</v>
          </cell>
          <cell r="E156" t="e">
            <v>#N/A</v>
          </cell>
          <cell r="F156" t="e">
            <v>#N/A</v>
          </cell>
          <cell r="G156" t="e">
            <v>#N/A</v>
          </cell>
          <cell r="H156" t="e">
            <v>#N/A</v>
          </cell>
          <cell r="I156" t="e">
            <v>#N/A</v>
          </cell>
          <cell r="J156" t="e">
            <v>#N/A</v>
          </cell>
          <cell r="K156" t="e">
            <v>#N/A</v>
          </cell>
          <cell r="L156" t="e">
            <v>#N/A</v>
          </cell>
          <cell r="M156" t="e">
            <v>#N/A</v>
          </cell>
          <cell r="N156" t="e">
            <v>#N/A</v>
          </cell>
          <cell r="O156" t="e">
            <v>#N/A</v>
          </cell>
          <cell r="P156">
            <v>0.5</v>
          </cell>
          <cell r="Q156">
            <v>2.8250829999999998</v>
          </cell>
          <cell r="R156" t="e">
            <v>#N/A</v>
          </cell>
        </row>
        <row r="157">
          <cell r="A157">
            <v>39975</v>
          </cell>
          <cell r="B157">
            <v>39975</v>
          </cell>
          <cell r="C157" t="str">
            <v>Past</v>
          </cell>
          <cell r="D157">
            <v>0.49</v>
          </cell>
          <cell r="E157" t="e">
            <v>#N/A</v>
          </cell>
          <cell r="F157" t="e">
            <v>#N/A</v>
          </cell>
          <cell r="G157" t="e">
            <v>#N/A</v>
          </cell>
          <cell r="H157" t="e">
            <v>#N/A</v>
          </cell>
          <cell r="I157" t="e">
            <v>#N/A</v>
          </cell>
          <cell r="J157" t="e">
            <v>#N/A</v>
          </cell>
          <cell r="K157" t="e">
            <v>#N/A</v>
          </cell>
          <cell r="L157" t="e">
            <v>#N/A</v>
          </cell>
          <cell r="M157" t="e">
            <v>#N/A</v>
          </cell>
          <cell r="N157" t="e">
            <v>#N/A</v>
          </cell>
          <cell r="O157" t="e">
            <v>#N/A</v>
          </cell>
          <cell r="P157">
            <v>0.49</v>
          </cell>
          <cell r="Q157">
            <v>1.0505739999999999</v>
          </cell>
          <cell r="R157" t="e">
            <v>#N/A</v>
          </cell>
        </row>
        <row r="158">
          <cell r="A158">
            <v>39976</v>
          </cell>
          <cell r="B158">
            <v>39976</v>
          </cell>
          <cell r="C158" t="str">
            <v>Past</v>
          </cell>
          <cell r="D158">
            <v>0.495</v>
          </cell>
          <cell r="E158" t="e">
            <v>#N/A</v>
          </cell>
          <cell r="F158" t="e">
            <v>#N/A</v>
          </cell>
          <cell r="G158" t="e">
            <v>#N/A</v>
          </cell>
          <cell r="H158" t="e">
            <v>#N/A</v>
          </cell>
          <cell r="I158" t="e">
            <v>#N/A</v>
          </cell>
          <cell r="J158" t="e">
            <v>#N/A</v>
          </cell>
          <cell r="K158" t="e">
            <v>#N/A</v>
          </cell>
          <cell r="L158" t="e">
            <v>#N/A</v>
          </cell>
          <cell r="M158" t="e">
            <v>#N/A</v>
          </cell>
          <cell r="N158" t="e">
            <v>#N/A</v>
          </cell>
          <cell r="O158" t="e">
            <v>#N/A</v>
          </cell>
          <cell r="P158">
            <v>0.495</v>
          </cell>
          <cell r="Q158">
            <v>1.627556</v>
          </cell>
          <cell r="R158" t="e">
            <v>#N/A</v>
          </cell>
        </row>
        <row r="159">
          <cell r="A159">
            <v>39979</v>
          </cell>
          <cell r="B159">
            <v>39979</v>
          </cell>
          <cell r="C159" t="str">
            <v>Past</v>
          </cell>
          <cell r="D159">
            <v>0.48499999999999999</v>
          </cell>
          <cell r="E159" t="e">
            <v>#N/A</v>
          </cell>
          <cell r="F159" t="e">
            <v>#N/A</v>
          </cell>
          <cell r="G159" t="e">
            <v>#N/A</v>
          </cell>
          <cell r="H159" t="e">
            <v>#N/A</v>
          </cell>
          <cell r="I159" t="e">
            <v>#N/A</v>
          </cell>
          <cell r="J159" t="e">
            <v>#N/A</v>
          </cell>
          <cell r="K159" t="e">
            <v>#N/A</v>
          </cell>
          <cell r="L159" t="e">
            <v>#N/A</v>
          </cell>
          <cell r="M159" t="e">
            <v>#N/A</v>
          </cell>
          <cell r="N159" t="e">
            <v>#N/A</v>
          </cell>
          <cell r="O159" t="e">
            <v>#N/A</v>
          </cell>
          <cell r="P159">
            <v>0.48499999999999999</v>
          </cell>
          <cell r="Q159">
            <v>3.6540349999999999</v>
          </cell>
          <cell r="R159" t="e">
            <v>#N/A</v>
          </cell>
        </row>
        <row r="160">
          <cell r="A160">
            <v>39980</v>
          </cell>
          <cell r="B160">
            <v>39980</v>
          </cell>
          <cell r="C160" t="str">
            <v>Past</v>
          </cell>
          <cell r="D160">
            <v>0.46</v>
          </cell>
          <cell r="E160" t="e">
            <v>#N/A</v>
          </cell>
          <cell r="F160" t="e">
            <v>#N/A</v>
          </cell>
          <cell r="G160" t="e">
            <v>#N/A</v>
          </cell>
          <cell r="H160" t="e">
            <v>#N/A</v>
          </cell>
          <cell r="I160" t="e">
            <v>#N/A</v>
          </cell>
          <cell r="J160" t="e">
            <v>#N/A</v>
          </cell>
          <cell r="K160" t="e">
            <v>#N/A</v>
          </cell>
          <cell r="L160" t="e">
            <v>#N/A</v>
          </cell>
          <cell r="M160" t="e">
            <v>#N/A</v>
          </cell>
          <cell r="N160" t="e">
            <v>#N/A</v>
          </cell>
          <cell r="O160" t="e">
            <v>#N/A</v>
          </cell>
          <cell r="P160">
            <v>0.46</v>
          </cell>
          <cell r="Q160">
            <v>2.1395520000000001</v>
          </cell>
          <cell r="R160" t="e">
            <v>#N/A</v>
          </cell>
        </row>
        <row r="161">
          <cell r="A161">
            <v>39981</v>
          </cell>
          <cell r="B161">
            <v>39981</v>
          </cell>
          <cell r="C161" t="str">
            <v>Past</v>
          </cell>
          <cell r="D161">
            <v>0.44</v>
          </cell>
          <cell r="E161" t="e">
            <v>#N/A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>
            <v>0.44</v>
          </cell>
          <cell r="Q161">
            <v>3.5216439999999998</v>
          </cell>
          <cell r="R161" t="e">
            <v>#N/A</v>
          </cell>
        </row>
        <row r="162">
          <cell r="A162">
            <v>39982</v>
          </cell>
          <cell r="B162">
            <v>39982</v>
          </cell>
          <cell r="C162" t="str">
            <v>Past</v>
          </cell>
          <cell r="D162">
            <v>0.44</v>
          </cell>
          <cell r="E162" t="e">
            <v>#N/A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>
            <v>0.44</v>
          </cell>
          <cell r="Q162">
            <v>3.7955500000000004</v>
          </cell>
          <cell r="R162" t="e">
            <v>#N/A</v>
          </cell>
        </row>
        <row r="163">
          <cell r="A163">
            <v>39983</v>
          </cell>
          <cell r="B163">
            <v>39983</v>
          </cell>
          <cell r="C163" t="str">
            <v>Past</v>
          </cell>
          <cell r="D163">
            <v>0.45</v>
          </cell>
          <cell r="E163" t="e">
            <v>#N/A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>
            <v>0.45</v>
          </cell>
          <cell r="Q163">
            <v>4.1983769999999998</v>
          </cell>
          <cell r="R163" t="e">
            <v>#N/A</v>
          </cell>
        </row>
        <row r="164">
          <cell r="A164">
            <v>39986</v>
          </cell>
          <cell r="B164">
            <v>39986</v>
          </cell>
          <cell r="C164" t="str">
            <v>Past</v>
          </cell>
          <cell r="D164">
            <v>0.44</v>
          </cell>
          <cell r="E164" t="e">
            <v>#N/A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>
            <v>0.44</v>
          </cell>
          <cell r="Q164">
            <v>2.736005</v>
          </cell>
          <cell r="R164" t="e">
            <v>#N/A</v>
          </cell>
        </row>
        <row r="165">
          <cell r="A165">
            <v>39987</v>
          </cell>
          <cell r="B165">
            <v>39987</v>
          </cell>
          <cell r="C165" t="str">
            <v>Past</v>
          </cell>
          <cell r="D165">
            <v>0.42499999999999999</v>
          </cell>
          <cell r="E165" t="e">
            <v>#N/A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>
            <v>0.42499999999999999</v>
          </cell>
          <cell r="Q165">
            <v>1.8502779999999999</v>
          </cell>
          <cell r="R165" t="e">
            <v>#N/A</v>
          </cell>
        </row>
        <row r="166">
          <cell r="A166">
            <v>39988</v>
          </cell>
          <cell r="B166">
            <v>39988</v>
          </cell>
          <cell r="C166" t="str">
            <v>Past</v>
          </cell>
          <cell r="D166">
            <v>0.42499999999999999</v>
          </cell>
          <cell r="E166" t="e">
            <v>#N/A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>
            <v>0.42499999999999999</v>
          </cell>
          <cell r="Q166">
            <v>1.1594819999999999</v>
          </cell>
          <cell r="R166" t="e">
            <v>#N/A</v>
          </cell>
        </row>
        <row r="167">
          <cell r="A167">
            <v>39989</v>
          </cell>
          <cell r="B167">
            <v>39989</v>
          </cell>
          <cell r="C167" t="str">
            <v>Past</v>
          </cell>
          <cell r="D167">
            <v>0.42499999999999999</v>
          </cell>
          <cell r="E167" t="e">
            <v>#N/A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>
            <v>0.42499999999999999</v>
          </cell>
          <cell r="Q167">
            <v>1.8339000000000001</v>
          </cell>
          <cell r="R167" t="e">
            <v>#N/A</v>
          </cell>
        </row>
        <row r="168">
          <cell r="A168">
            <v>39990</v>
          </cell>
          <cell r="B168">
            <v>39990</v>
          </cell>
          <cell r="C168" t="str">
            <v>Past</v>
          </cell>
          <cell r="D168">
            <v>0.41</v>
          </cell>
          <cell r="E168" t="e">
            <v>#N/A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>
            <v>0.41</v>
          </cell>
          <cell r="Q168">
            <v>3.3120379999999998</v>
          </cell>
          <cell r="R168" t="e">
            <v>#N/A</v>
          </cell>
        </row>
        <row r="169">
          <cell r="A169">
            <v>39993</v>
          </cell>
          <cell r="B169">
            <v>39993</v>
          </cell>
          <cell r="C169" t="str">
            <v>Past</v>
          </cell>
          <cell r="D169">
            <v>0.39500000000000002</v>
          </cell>
          <cell r="E169" t="e">
            <v>#N/A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>
            <v>0.39500000000000002</v>
          </cell>
          <cell r="Q169">
            <v>3.4781839999999997</v>
          </cell>
          <cell r="R169" t="e">
            <v>#N/A</v>
          </cell>
        </row>
        <row r="170">
          <cell r="A170">
            <v>39994</v>
          </cell>
          <cell r="B170">
            <v>39994</v>
          </cell>
          <cell r="C170" t="str">
            <v>Past</v>
          </cell>
          <cell r="D170">
            <v>0.40500000000000003</v>
          </cell>
          <cell r="E170" t="e">
            <v>#N/A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>
            <v>0.40500000000000003</v>
          </cell>
          <cell r="Q170">
            <v>4.6140700000000008</v>
          </cell>
          <cell r="R170" t="e">
            <v>#N/A</v>
          </cell>
        </row>
        <row r="171">
          <cell r="A171">
            <v>39995</v>
          </cell>
          <cell r="B171">
            <v>39995</v>
          </cell>
          <cell r="C171" t="str">
            <v>Past</v>
          </cell>
          <cell r="D171">
            <v>0.38500000000000001</v>
          </cell>
          <cell r="E171" t="e">
            <v>#N/A</v>
          </cell>
          <cell r="F171" t="e">
            <v>#N/A</v>
          </cell>
          <cell r="G171" t="e">
            <v>#N/A</v>
          </cell>
          <cell r="H171" t="e">
            <v>#N/A</v>
          </cell>
          <cell r="I171" t="e">
            <v>#N/A</v>
          </cell>
          <cell r="J171" t="e">
            <v>#N/A</v>
          </cell>
          <cell r="K171" t="e">
            <v>#N/A</v>
          </cell>
          <cell r="L171" t="e">
            <v>#N/A</v>
          </cell>
          <cell r="M171" t="e">
            <v>#N/A</v>
          </cell>
          <cell r="N171" t="e">
            <v>#N/A</v>
          </cell>
          <cell r="O171" t="e">
            <v>#N/A</v>
          </cell>
          <cell r="P171">
            <v>0.38500000000000001</v>
          </cell>
          <cell r="Q171">
            <v>2.9744039999999998</v>
          </cell>
          <cell r="R171" t="e">
            <v>#N/A</v>
          </cell>
        </row>
        <row r="172">
          <cell r="A172">
            <v>39996</v>
          </cell>
          <cell r="B172">
            <v>39996</v>
          </cell>
          <cell r="C172" t="str">
            <v>Past</v>
          </cell>
          <cell r="D172">
            <v>0.39</v>
          </cell>
          <cell r="E172" t="e">
            <v>#N/A</v>
          </cell>
          <cell r="F172" t="e">
            <v>#N/A</v>
          </cell>
          <cell r="G172" t="e">
            <v>#N/A</v>
          </cell>
          <cell r="H172" t="e">
            <v>#N/A</v>
          </cell>
          <cell r="I172" t="e">
            <v>#N/A</v>
          </cell>
          <cell r="J172" t="e">
            <v>#N/A</v>
          </cell>
          <cell r="K172" t="e">
            <v>#N/A</v>
          </cell>
          <cell r="L172" t="e">
            <v>#N/A</v>
          </cell>
          <cell r="M172" t="e">
            <v>#N/A</v>
          </cell>
          <cell r="N172" t="e">
            <v>#N/A</v>
          </cell>
          <cell r="O172" t="e">
            <v>#N/A</v>
          </cell>
          <cell r="P172">
            <v>0.39</v>
          </cell>
          <cell r="Q172">
            <v>2.4596389999999997</v>
          </cell>
          <cell r="R172" t="e">
            <v>#N/A</v>
          </cell>
        </row>
        <row r="173">
          <cell r="A173">
            <v>39997</v>
          </cell>
          <cell r="B173">
            <v>39997</v>
          </cell>
          <cell r="C173" t="str">
            <v>Past</v>
          </cell>
          <cell r="D173">
            <v>0.38</v>
          </cell>
          <cell r="E173" t="e">
            <v>#N/A</v>
          </cell>
          <cell r="F173" t="e">
            <v>#N/A</v>
          </cell>
          <cell r="G173" t="e">
            <v>#N/A</v>
          </cell>
          <cell r="H173" t="e">
            <v>#N/A</v>
          </cell>
          <cell r="I173" t="e">
            <v>#N/A</v>
          </cell>
          <cell r="J173" t="e">
            <v>#N/A</v>
          </cell>
          <cell r="K173" t="e">
            <v>#N/A</v>
          </cell>
          <cell r="L173" t="e">
            <v>#N/A</v>
          </cell>
          <cell r="M173" t="e">
            <v>#N/A</v>
          </cell>
          <cell r="N173" t="e">
            <v>#N/A</v>
          </cell>
          <cell r="O173" t="e">
            <v>#N/A</v>
          </cell>
          <cell r="P173">
            <v>0.38</v>
          </cell>
          <cell r="Q173">
            <v>1.363105</v>
          </cell>
          <cell r="R173" t="e">
            <v>#N/A</v>
          </cell>
        </row>
        <row r="174">
          <cell r="A174">
            <v>40000</v>
          </cell>
          <cell r="B174">
            <v>40000</v>
          </cell>
          <cell r="C174" t="str">
            <v>Past</v>
          </cell>
          <cell r="D174">
            <v>0.36</v>
          </cell>
          <cell r="E174" t="e">
            <v>#N/A</v>
          </cell>
          <cell r="F174" t="e">
            <v>#N/A</v>
          </cell>
          <cell r="G174" t="e">
            <v>#N/A</v>
          </cell>
          <cell r="H174" t="e">
            <v>#N/A</v>
          </cell>
          <cell r="I174" t="e">
            <v>#N/A</v>
          </cell>
          <cell r="J174" t="e">
            <v>#N/A</v>
          </cell>
          <cell r="K174" t="e">
            <v>#N/A</v>
          </cell>
          <cell r="L174" t="e">
            <v>#N/A</v>
          </cell>
          <cell r="M174" t="e">
            <v>#N/A</v>
          </cell>
          <cell r="N174" t="e">
            <v>#N/A</v>
          </cell>
          <cell r="O174" t="e">
            <v>#N/A</v>
          </cell>
          <cell r="P174">
            <v>0.36</v>
          </cell>
          <cell r="Q174">
            <v>1.6176489999999999</v>
          </cell>
          <cell r="R174" t="e">
            <v>#N/A</v>
          </cell>
        </row>
        <row r="175">
          <cell r="A175">
            <v>40001</v>
          </cell>
          <cell r="B175">
            <v>40001</v>
          </cell>
          <cell r="C175" t="str">
            <v>Past</v>
          </cell>
          <cell r="D175">
            <v>0.34499999999999997</v>
          </cell>
          <cell r="E175" t="e">
            <v>#N/A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>
            <v>0.34499999999999997</v>
          </cell>
          <cell r="Q175">
            <v>1.9389879999999999</v>
          </cell>
          <cell r="R175" t="e">
            <v>#N/A</v>
          </cell>
        </row>
        <row r="176">
          <cell r="A176">
            <v>40002</v>
          </cell>
          <cell r="B176">
            <v>40002</v>
          </cell>
          <cell r="C176" t="str">
            <v>Past</v>
          </cell>
          <cell r="D176">
            <v>0.33500000000000002</v>
          </cell>
          <cell r="E176" t="e">
            <v>#N/A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>
            <v>0.33500000000000002</v>
          </cell>
          <cell r="Q176">
            <v>3.438593</v>
          </cell>
          <cell r="R176" t="e">
            <v>#N/A</v>
          </cell>
        </row>
        <row r="177">
          <cell r="A177">
            <v>40003</v>
          </cell>
          <cell r="B177">
            <v>40003</v>
          </cell>
          <cell r="C177" t="str">
            <v>Past</v>
          </cell>
          <cell r="D177">
            <v>0.34</v>
          </cell>
          <cell r="E177" t="e">
            <v>#N/A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>
            <v>0.34</v>
          </cell>
          <cell r="Q177">
            <v>1.6411229999999999</v>
          </cell>
          <cell r="R177" t="e">
            <v>#N/A</v>
          </cell>
        </row>
        <row r="178">
          <cell r="A178">
            <v>40004</v>
          </cell>
          <cell r="B178">
            <v>40004</v>
          </cell>
          <cell r="C178" t="str">
            <v>Past</v>
          </cell>
          <cell r="D178">
            <v>0.36499999999999999</v>
          </cell>
          <cell r="E178" t="e">
            <v>#N/A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>
            <v>0.36499999999999999</v>
          </cell>
          <cell r="Q178">
            <v>1.7557909999999999</v>
          </cell>
          <cell r="R178" t="e">
            <v>#N/A</v>
          </cell>
        </row>
        <row r="179">
          <cell r="A179">
            <v>40007</v>
          </cell>
          <cell r="B179">
            <v>40007</v>
          </cell>
          <cell r="C179" t="str">
            <v>Past</v>
          </cell>
          <cell r="D179">
            <v>0.35</v>
          </cell>
          <cell r="E179" t="e">
            <v>#N/A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>
            <v>0.35</v>
          </cell>
          <cell r="Q179">
            <v>1.355343</v>
          </cell>
          <cell r="R179" t="e">
            <v>#N/A</v>
          </cell>
        </row>
        <row r="180">
          <cell r="A180">
            <v>40008</v>
          </cell>
          <cell r="B180">
            <v>40008</v>
          </cell>
          <cell r="C180" t="str">
            <v>Past</v>
          </cell>
          <cell r="D180">
            <v>0.35</v>
          </cell>
          <cell r="E180" t="e">
            <v>#N/A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>
            <v>0.35</v>
          </cell>
          <cell r="Q180">
            <v>3.1401129999999999</v>
          </cell>
          <cell r="R180" t="e">
            <v>#N/A</v>
          </cell>
        </row>
        <row r="181">
          <cell r="A181">
            <v>40009</v>
          </cell>
          <cell r="B181">
            <v>40009</v>
          </cell>
          <cell r="C181" t="str">
            <v>Past</v>
          </cell>
          <cell r="D181">
            <v>0.36499999999999999</v>
          </cell>
          <cell r="E181" t="e">
            <v>#N/A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>
            <v>0.36499999999999999</v>
          </cell>
          <cell r="Q181">
            <v>3.0144200000000003</v>
          </cell>
          <cell r="R181" t="e">
            <v>#N/A</v>
          </cell>
        </row>
        <row r="182">
          <cell r="A182">
            <v>40010</v>
          </cell>
          <cell r="B182">
            <v>40010</v>
          </cell>
          <cell r="C182" t="str">
            <v>Past</v>
          </cell>
          <cell r="D182">
            <v>0.35499999999999998</v>
          </cell>
          <cell r="E182" t="e">
            <v>#N/A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>
            <v>0.35499999999999998</v>
          </cell>
          <cell r="Q182">
            <v>3.4525729999999997</v>
          </cell>
          <cell r="R182" t="e">
            <v>#N/A</v>
          </cell>
        </row>
        <row r="183">
          <cell r="A183">
            <v>40011</v>
          </cell>
          <cell r="B183">
            <v>40011</v>
          </cell>
          <cell r="C183" t="str">
            <v>Past</v>
          </cell>
          <cell r="D183">
            <v>0.36499999999999999</v>
          </cell>
          <cell r="E183" t="e">
            <v>#N/A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>
            <v>0.36499999999999999</v>
          </cell>
          <cell r="Q183">
            <v>0.94256499999999999</v>
          </cell>
          <cell r="R183" t="e">
            <v>#N/A</v>
          </cell>
        </row>
        <row r="184">
          <cell r="A184">
            <v>40014</v>
          </cell>
          <cell r="B184">
            <v>40014</v>
          </cell>
          <cell r="C184" t="str">
            <v>Past</v>
          </cell>
          <cell r="D184">
            <v>0.38</v>
          </cell>
          <cell r="E184" t="e">
            <v>#N/A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>
            <v>0.38</v>
          </cell>
          <cell r="Q184">
            <v>2.2237739999999997</v>
          </cell>
          <cell r="R184" t="e">
            <v>#N/A</v>
          </cell>
        </row>
        <row r="185">
          <cell r="A185">
            <v>40015</v>
          </cell>
          <cell r="B185">
            <v>40015</v>
          </cell>
          <cell r="C185" t="str">
            <v>Past</v>
          </cell>
          <cell r="D185">
            <v>0.40500000000000003</v>
          </cell>
          <cell r="E185" t="e">
            <v>#N/A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>
            <v>0.40500000000000003</v>
          </cell>
          <cell r="Q185">
            <v>3.9504259999999998</v>
          </cell>
          <cell r="R185" t="e">
            <v>#N/A</v>
          </cell>
        </row>
        <row r="186">
          <cell r="A186">
            <v>40016</v>
          </cell>
          <cell r="B186">
            <v>40016</v>
          </cell>
          <cell r="C186" t="str">
            <v>Past</v>
          </cell>
          <cell r="D186">
            <v>0.435</v>
          </cell>
          <cell r="E186" t="e">
            <v>#N/A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>
            <v>0.435</v>
          </cell>
          <cell r="Q186">
            <v>3.8496789999999996</v>
          </cell>
          <cell r="R186" t="e">
            <v>#N/A</v>
          </cell>
        </row>
        <row r="187">
          <cell r="A187">
            <v>40017</v>
          </cell>
          <cell r="B187">
            <v>40017</v>
          </cell>
          <cell r="C187" t="str">
            <v>Past</v>
          </cell>
          <cell r="D187">
            <v>0.46</v>
          </cell>
          <cell r="E187" t="e">
            <v>#N/A</v>
          </cell>
          <cell r="F187" t="e">
            <v>#N/A</v>
          </cell>
          <cell r="G187" t="e">
            <v>#N/A</v>
          </cell>
          <cell r="H187" t="e">
            <v>#N/A</v>
          </cell>
          <cell r="I187" t="e">
            <v>#N/A</v>
          </cell>
          <cell r="J187" t="e">
            <v>#N/A</v>
          </cell>
          <cell r="K187" t="e">
            <v>#N/A</v>
          </cell>
          <cell r="L187" t="e">
            <v>#N/A</v>
          </cell>
          <cell r="M187" t="e">
            <v>#N/A</v>
          </cell>
          <cell r="N187" t="e">
            <v>#N/A</v>
          </cell>
          <cell r="O187" t="e">
            <v>#N/A</v>
          </cell>
          <cell r="P187">
            <v>0.46</v>
          </cell>
          <cell r="Q187">
            <v>5.7262849999999998</v>
          </cell>
          <cell r="R187" t="e">
            <v>#N/A</v>
          </cell>
        </row>
        <row r="188">
          <cell r="A188">
            <v>40018</v>
          </cell>
          <cell r="B188">
            <v>40018</v>
          </cell>
          <cell r="C188" t="str">
            <v>Past</v>
          </cell>
          <cell r="D188">
            <v>0.47</v>
          </cell>
          <cell r="E188" t="e">
            <v>#N/A</v>
          </cell>
          <cell r="F188" t="e">
            <v>#N/A</v>
          </cell>
          <cell r="G188" t="e">
            <v>#N/A</v>
          </cell>
          <cell r="H188" t="e">
            <v>#N/A</v>
          </cell>
          <cell r="I188" t="e">
            <v>#N/A</v>
          </cell>
          <cell r="J188" t="e">
            <v>#N/A</v>
          </cell>
          <cell r="K188" t="e">
            <v>#N/A</v>
          </cell>
          <cell r="L188" t="e">
            <v>#N/A</v>
          </cell>
          <cell r="M188" t="e">
            <v>#N/A</v>
          </cell>
          <cell r="N188" t="e">
            <v>#N/A</v>
          </cell>
          <cell r="O188" t="e">
            <v>#N/A</v>
          </cell>
          <cell r="P188">
            <v>0.47</v>
          </cell>
          <cell r="Q188">
            <v>5.4542919999999997</v>
          </cell>
          <cell r="R188" t="e">
            <v>#N/A</v>
          </cell>
        </row>
        <row r="189">
          <cell r="A189">
            <v>40021</v>
          </cell>
          <cell r="B189">
            <v>40021</v>
          </cell>
          <cell r="C189" t="str">
            <v>Past</v>
          </cell>
          <cell r="D189">
            <v>0.47</v>
          </cell>
          <cell r="E189" t="e">
            <v>#N/A</v>
          </cell>
          <cell r="F189" t="e">
            <v>#N/A</v>
          </cell>
          <cell r="G189" t="e">
            <v>#N/A</v>
          </cell>
          <cell r="H189" t="e">
            <v>#N/A</v>
          </cell>
          <cell r="I189" t="e">
            <v>#N/A</v>
          </cell>
          <cell r="J189" t="e">
            <v>#N/A</v>
          </cell>
          <cell r="K189" t="e">
            <v>#N/A</v>
          </cell>
          <cell r="L189" t="e">
            <v>#N/A</v>
          </cell>
          <cell r="M189" t="e">
            <v>#N/A</v>
          </cell>
          <cell r="N189" t="e">
            <v>#N/A</v>
          </cell>
          <cell r="O189" t="e">
            <v>#N/A</v>
          </cell>
          <cell r="P189">
            <v>0.47</v>
          </cell>
          <cell r="Q189">
            <v>2.0631059999999999</v>
          </cell>
          <cell r="R189" t="e">
            <v>#N/A</v>
          </cell>
        </row>
        <row r="190">
          <cell r="A190">
            <v>40022</v>
          </cell>
          <cell r="B190">
            <v>40022</v>
          </cell>
          <cell r="C190" t="str">
            <v>Past</v>
          </cell>
          <cell r="D190">
            <v>0.45500000000000002</v>
          </cell>
          <cell r="E190" t="e">
            <v>#N/A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>
            <v>0.45500000000000002</v>
          </cell>
          <cell r="Q190">
            <v>3.3460289999999997</v>
          </cell>
          <cell r="R190" t="e">
            <v>#N/A</v>
          </cell>
        </row>
        <row r="191">
          <cell r="A191">
            <v>40023</v>
          </cell>
          <cell r="B191">
            <v>40023</v>
          </cell>
          <cell r="C191" t="str">
            <v>Past</v>
          </cell>
          <cell r="D191">
            <v>0.48499999999999999</v>
          </cell>
          <cell r="E191" t="e">
            <v>#N/A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>
            <v>0.48499999999999999</v>
          </cell>
          <cell r="Q191">
            <v>3.442364</v>
          </cell>
          <cell r="R191" t="e">
            <v>#N/A</v>
          </cell>
        </row>
        <row r="192">
          <cell r="A192">
            <v>40024</v>
          </cell>
          <cell r="B192">
            <v>40024</v>
          </cell>
          <cell r="C192" t="str">
            <v>Past</v>
          </cell>
          <cell r="D192">
            <v>0.52500000000000002</v>
          </cell>
          <cell r="E192" t="e">
            <v>#N/A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>
            <v>0.52500000000000002</v>
          </cell>
          <cell r="Q192">
            <v>3.6417919999999997</v>
          </cell>
          <cell r="R192" t="e">
            <v>#N/A</v>
          </cell>
        </row>
        <row r="193">
          <cell r="A193">
            <v>40025</v>
          </cell>
          <cell r="B193">
            <v>40025</v>
          </cell>
          <cell r="C193" t="str">
            <v>Past</v>
          </cell>
          <cell r="D193">
            <v>0.55000000000000004</v>
          </cell>
          <cell r="E193" t="e">
            <v>#N/A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>
            <v>0.55000000000000004</v>
          </cell>
          <cell r="Q193">
            <v>4.7375509999999998</v>
          </cell>
          <cell r="R193" t="e">
            <v>#N/A</v>
          </cell>
        </row>
        <row r="194">
          <cell r="A194">
            <v>40028</v>
          </cell>
          <cell r="B194">
            <v>40028</v>
          </cell>
          <cell r="C194" t="str">
            <v>Past</v>
          </cell>
          <cell r="D194">
            <v>0.56000000000000005</v>
          </cell>
          <cell r="E194" t="e">
            <v>#N/A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>
            <v>0.56000000000000005</v>
          </cell>
          <cell r="Q194">
            <v>2.4505909999999997</v>
          </cell>
          <cell r="R194" t="e">
            <v>#N/A</v>
          </cell>
        </row>
        <row r="195">
          <cell r="A195">
            <v>40029</v>
          </cell>
          <cell r="B195">
            <v>40029</v>
          </cell>
          <cell r="C195" t="str">
            <v>Past</v>
          </cell>
          <cell r="D195">
            <v>0.57999999999999996</v>
          </cell>
          <cell r="E195" t="e">
            <v>#N/A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>
            <v>0.57999999999999996</v>
          </cell>
          <cell r="Q195">
            <v>3.992775</v>
          </cell>
          <cell r="R195" t="e">
            <v>#N/A</v>
          </cell>
        </row>
        <row r="196">
          <cell r="A196">
            <v>40030</v>
          </cell>
          <cell r="B196">
            <v>40030</v>
          </cell>
          <cell r="C196" t="str">
            <v>Past</v>
          </cell>
          <cell r="D196">
            <v>0.6</v>
          </cell>
          <cell r="E196" t="e">
            <v>#N/A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>
            <v>0.6</v>
          </cell>
          <cell r="Q196">
            <v>6.9229719999999997</v>
          </cell>
          <cell r="R196" t="e">
            <v>#N/A</v>
          </cell>
        </row>
        <row r="197">
          <cell r="A197">
            <v>40031</v>
          </cell>
          <cell r="B197">
            <v>40031</v>
          </cell>
          <cell r="C197" t="str">
            <v>Past</v>
          </cell>
          <cell r="D197">
            <v>0.63</v>
          </cell>
          <cell r="E197" t="e">
            <v>#N/A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>
            <v>0.63</v>
          </cell>
          <cell r="Q197">
            <v>2.5087539999999997</v>
          </cell>
          <cell r="R197" t="e">
            <v>#N/A</v>
          </cell>
        </row>
        <row r="198">
          <cell r="A198">
            <v>40032</v>
          </cell>
          <cell r="B198">
            <v>40032</v>
          </cell>
          <cell r="C198" t="str">
            <v>Past</v>
          </cell>
          <cell r="D198">
            <v>0.64500000000000002</v>
          </cell>
          <cell r="E198" t="e">
            <v>#N/A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>
            <v>0.64500000000000002</v>
          </cell>
          <cell r="Q198">
            <v>2.9928379999999999</v>
          </cell>
          <cell r="R198" t="e">
            <v>#N/A</v>
          </cell>
        </row>
        <row r="199">
          <cell r="A199">
            <v>40035</v>
          </cell>
          <cell r="B199">
            <v>40035</v>
          </cell>
          <cell r="C199" t="str">
            <v>Past</v>
          </cell>
          <cell r="D199">
            <v>0.66</v>
          </cell>
          <cell r="E199" t="e">
            <v>#N/A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>
            <v>0.66</v>
          </cell>
          <cell r="Q199">
            <v>2.8791889999999998</v>
          </cell>
          <cell r="R199" t="e">
            <v>#N/A</v>
          </cell>
        </row>
        <row r="200">
          <cell r="A200">
            <v>40036</v>
          </cell>
          <cell r="B200">
            <v>40036</v>
          </cell>
          <cell r="C200" t="str">
            <v>Past</v>
          </cell>
          <cell r="D200">
            <v>0.69</v>
          </cell>
          <cell r="E200" t="e">
            <v>#N/A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>
            <v>0.69</v>
          </cell>
          <cell r="Q200">
            <v>2.9220280000000001</v>
          </cell>
          <cell r="R200" t="e">
            <v>#N/A</v>
          </cell>
        </row>
        <row r="201">
          <cell r="A201">
            <v>40037</v>
          </cell>
          <cell r="B201">
            <v>40037</v>
          </cell>
          <cell r="C201" t="str">
            <v>Past</v>
          </cell>
          <cell r="D201">
            <v>0.77500000000000002</v>
          </cell>
          <cell r="E201" t="e">
            <v>#N/A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>
            <v>0.77500000000000002</v>
          </cell>
          <cell r="Q201">
            <v>7.0984239999999996</v>
          </cell>
          <cell r="R201" t="e">
            <v>#N/A</v>
          </cell>
        </row>
        <row r="202">
          <cell r="A202">
            <v>40038</v>
          </cell>
          <cell r="B202">
            <v>40038</v>
          </cell>
          <cell r="C202" t="str">
            <v>Past</v>
          </cell>
          <cell r="D202">
            <v>0.85</v>
          </cell>
          <cell r="E202" t="e">
            <v>#N/A</v>
          </cell>
          <cell r="F202" t="e">
            <v>#N/A</v>
          </cell>
          <cell r="G202" t="e">
            <v>#N/A</v>
          </cell>
          <cell r="H202" t="e">
            <v>#N/A</v>
          </cell>
          <cell r="I202" t="e">
            <v>#N/A</v>
          </cell>
          <cell r="J202" t="e">
            <v>#N/A</v>
          </cell>
          <cell r="K202" t="e">
            <v>#N/A</v>
          </cell>
          <cell r="L202" t="e">
            <v>#N/A</v>
          </cell>
          <cell r="M202" t="e">
            <v>#N/A</v>
          </cell>
          <cell r="N202" t="e">
            <v>#N/A</v>
          </cell>
          <cell r="O202" t="e">
            <v>#N/A</v>
          </cell>
          <cell r="P202">
            <v>0.85</v>
          </cell>
          <cell r="Q202">
            <v>8.3261209999999988</v>
          </cell>
          <cell r="R202" t="e">
            <v>#N/A</v>
          </cell>
        </row>
        <row r="203">
          <cell r="A203">
            <v>40039</v>
          </cell>
          <cell r="B203">
            <v>40039</v>
          </cell>
          <cell r="C203" t="str">
            <v>Past</v>
          </cell>
          <cell r="D203">
            <v>0.8</v>
          </cell>
          <cell r="E203" t="e">
            <v>#N/A</v>
          </cell>
          <cell r="F203" t="e">
            <v>#N/A</v>
          </cell>
          <cell r="G203" t="e">
            <v>#N/A</v>
          </cell>
          <cell r="H203" t="e">
            <v>#N/A</v>
          </cell>
          <cell r="I203" t="e">
            <v>#N/A</v>
          </cell>
          <cell r="J203" t="e">
            <v>#N/A</v>
          </cell>
          <cell r="K203" t="e">
            <v>#N/A</v>
          </cell>
          <cell r="L203" t="e">
            <v>#N/A</v>
          </cell>
          <cell r="M203" t="e">
            <v>#N/A</v>
          </cell>
          <cell r="N203" t="e">
            <v>#N/A</v>
          </cell>
          <cell r="O203" t="e">
            <v>#N/A</v>
          </cell>
          <cell r="P203">
            <v>0.8</v>
          </cell>
          <cell r="Q203">
            <v>6.2403170000000001</v>
          </cell>
          <cell r="R203" t="e">
            <v>#N/A</v>
          </cell>
        </row>
        <row r="204">
          <cell r="A204">
            <v>40042</v>
          </cell>
          <cell r="B204">
            <v>40042</v>
          </cell>
          <cell r="C204" t="str">
            <v>Past</v>
          </cell>
          <cell r="D204">
            <v>0.80500000000000005</v>
          </cell>
          <cell r="E204" t="e">
            <v>#N/A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>
            <v>0.80500000000000005</v>
          </cell>
          <cell r="Q204">
            <v>2.4980789999999997</v>
          </cell>
          <cell r="R204" t="e">
            <v>#N/A</v>
          </cell>
        </row>
        <row r="205">
          <cell r="A205">
            <v>40043</v>
          </cell>
          <cell r="B205">
            <v>40043</v>
          </cell>
          <cell r="C205" t="str">
            <v>Past</v>
          </cell>
          <cell r="D205">
            <v>0.8</v>
          </cell>
          <cell r="E205" t="e">
            <v>#N/A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>
            <v>0.8</v>
          </cell>
          <cell r="Q205">
            <v>3.875883</v>
          </cell>
          <cell r="R205" t="e">
            <v>#N/A</v>
          </cell>
        </row>
        <row r="206">
          <cell r="A206">
            <v>40044</v>
          </cell>
          <cell r="B206">
            <v>40044</v>
          </cell>
          <cell r="C206" t="str">
            <v>Past</v>
          </cell>
          <cell r="D206">
            <v>0.75</v>
          </cell>
          <cell r="E206" t="e">
            <v>#N/A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>
            <v>0.75</v>
          </cell>
          <cell r="Q206">
            <v>3.619936</v>
          </cell>
          <cell r="R206" t="e">
            <v>#N/A</v>
          </cell>
        </row>
        <row r="207">
          <cell r="A207">
            <v>40045</v>
          </cell>
          <cell r="B207">
            <v>40045</v>
          </cell>
          <cell r="C207" t="str">
            <v>Past</v>
          </cell>
          <cell r="D207">
            <v>0.77</v>
          </cell>
          <cell r="E207" t="e">
            <v>#N/A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>
            <v>0.77</v>
          </cell>
          <cell r="Q207">
            <v>3.2781449999999999</v>
          </cell>
          <cell r="R207" t="e">
            <v>#N/A</v>
          </cell>
        </row>
        <row r="208">
          <cell r="A208">
            <v>40046</v>
          </cell>
          <cell r="B208">
            <v>40046</v>
          </cell>
          <cell r="C208" t="str">
            <v>Past</v>
          </cell>
          <cell r="D208">
            <v>0.71499999999999997</v>
          </cell>
          <cell r="E208" t="e">
            <v>#N/A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>
            <v>0.71499999999999997</v>
          </cell>
          <cell r="Q208">
            <v>3.2770929999999998</v>
          </cell>
          <cell r="R208" t="e">
            <v>#N/A</v>
          </cell>
        </row>
        <row r="209">
          <cell r="A209">
            <v>40049</v>
          </cell>
          <cell r="B209">
            <v>40049</v>
          </cell>
          <cell r="C209" t="str">
            <v>Past</v>
          </cell>
          <cell r="D209">
            <v>0.66</v>
          </cell>
          <cell r="E209" t="e">
            <v>#N/A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>
            <v>0.66</v>
          </cell>
          <cell r="Q209">
            <v>7.2321409999999995</v>
          </cell>
          <cell r="R209" t="e">
            <v>#N/A</v>
          </cell>
        </row>
        <row r="210">
          <cell r="A210">
            <v>40050</v>
          </cell>
          <cell r="B210">
            <v>40050</v>
          </cell>
          <cell r="C210" t="str">
            <v>Past</v>
          </cell>
          <cell r="D210">
            <v>0.72499999999999998</v>
          </cell>
          <cell r="E210" t="e">
            <v>#N/A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>
            <v>0.72499999999999998</v>
          </cell>
          <cell r="Q210">
            <v>6.2626559999999998</v>
          </cell>
          <cell r="R210" t="e">
            <v>#N/A</v>
          </cell>
        </row>
        <row r="211">
          <cell r="A211">
            <v>40051</v>
          </cell>
          <cell r="B211">
            <v>40051</v>
          </cell>
          <cell r="C211" t="str">
            <v>Past</v>
          </cell>
          <cell r="D211">
            <v>0.76500000000000001</v>
          </cell>
          <cell r="E211" t="e">
            <v>#N/A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>
            <v>0.76500000000000001</v>
          </cell>
          <cell r="Q211">
            <v>4.892976</v>
          </cell>
          <cell r="R211" t="e">
            <v>#N/A</v>
          </cell>
        </row>
        <row r="212">
          <cell r="A212">
            <v>40052</v>
          </cell>
          <cell r="B212">
            <v>40052</v>
          </cell>
          <cell r="C212" t="str">
            <v>Past</v>
          </cell>
          <cell r="D212">
            <v>0.8</v>
          </cell>
          <cell r="E212" t="e">
            <v>#N/A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>
            <v>0.8</v>
          </cell>
          <cell r="Q212">
            <v>6.1582309999999998</v>
          </cell>
          <cell r="R212" t="e">
            <v>#N/A</v>
          </cell>
        </row>
        <row r="213">
          <cell r="A213">
            <v>40053</v>
          </cell>
          <cell r="B213">
            <v>40053</v>
          </cell>
          <cell r="C213" t="str">
            <v>Past</v>
          </cell>
          <cell r="D213">
            <v>0.80500000000000005</v>
          </cell>
          <cell r="E213" t="e">
            <v>#N/A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>
            <v>0.80500000000000005</v>
          </cell>
          <cell r="Q213">
            <v>2.5193889999999999</v>
          </cell>
          <cell r="R213" t="e">
            <v>#N/A</v>
          </cell>
        </row>
        <row r="214">
          <cell r="A214">
            <v>40056</v>
          </cell>
          <cell r="B214">
            <v>40056</v>
          </cell>
          <cell r="C214" t="str">
            <v>Past</v>
          </cell>
          <cell r="D214">
            <v>0.77500000000000002</v>
          </cell>
          <cell r="E214" t="e">
            <v>#N/A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>
            <v>0.77500000000000002</v>
          </cell>
          <cell r="Q214">
            <v>2.3803339999999999</v>
          </cell>
          <cell r="R214" t="e">
            <v>#N/A</v>
          </cell>
        </row>
        <row r="215">
          <cell r="A215">
            <v>40057</v>
          </cell>
          <cell r="B215">
            <v>40057</v>
          </cell>
          <cell r="C215" t="str">
            <v>Past</v>
          </cell>
          <cell r="D215">
            <v>0.755</v>
          </cell>
          <cell r="E215" t="e">
            <v>#N/A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>
            <v>0.755</v>
          </cell>
          <cell r="Q215">
            <v>2.1160579999999998</v>
          </cell>
          <cell r="R215" t="e">
            <v>#N/A</v>
          </cell>
        </row>
        <row r="216">
          <cell r="A216">
            <v>40058</v>
          </cell>
          <cell r="B216">
            <v>40058</v>
          </cell>
          <cell r="C216" t="str">
            <v>Past</v>
          </cell>
          <cell r="D216">
            <v>0.72</v>
          </cell>
          <cell r="E216" t="e">
            <v>#N/A</v>
          </cell>
          <cell r="F216" t="e">
            <v>#N/A</v>
          </cell>
          <cell r="G216" t="e">
            <v>#N/A</v>
          </cell>
          <cell r="H216" t="e">
            <v>#N/A</v>
          </cell>
          <cell r="I216" t="e">
            <v>#N/A</v>
          </cell>
          <cell r="J216" t="e">
            <v>#N/A</v>
          </cell>
          <cell r="K216" t="e">
            <v>#N/A</v>
          </cell>
          <cell r="L216" t="e">
            <v>#N/A</v>
          </cell>
          <cell r="M216" t="e">
            <v>#N/A</v>
          </cell>
          <cell r="N216" t="e">
            <v>#N/A</v>
          </cell>
          <cell r="O216" t="e">
            <v>#N/A</v>
          </cell>
          <cell r="P216">
            <v>0.72</v>
          </cell>
          <cell r="Q216">
            <v>3.1621000000000001</v>
          </cell>
          <cell r="R216" t="e">
            <v>#N/A</v>
          </cell>
        </row>
        <row r="217">
          <cell r="A217">
            <v>40059</v>
          </cell>
          <cell r="B217">
            <v>40059</v>
          </cell>
          <cell r="C217" t="str">
            <v>Past</v>
          </cell>
          <cell r="D217">
            <v>0.7</v>
          </cell>
          <cell r="E217" t="e">
            <v>#N/A</v>
          </cell>
          <cell r="F217" t="e">
            <v>#N/A</v>
          </cell>
          <cell r="G217" t="e">
            <v>#N/A</v>
          </cell>
          <cell r="H217" t="e">
            <v>#N/A</v>
          </cell>
          <cell r="I217" t="e">
            <v>#N/A</v>
          </cell>
          <cell r="J217" t="e">
            <v>#N/A</v>
          </cell>
          <cell r="K217" t="e">
            <v>#N/A</v>
          </cell>
          <cell r="L217" t="e">
            <v>#N/A</v>
          </cell>
          <cell r="M217" t="e">
            <v>#N/A</v>
          </cell>
          <cell r="N217" t="e">
            <v>#N/A</v>
          </cell>
          <cell r="O217" t="e">
            <v>#N/A</v>
          </cell>
          <cell r="P217">
            <v>0.7</v>
          </cell>
          <cell r="Q217">
            <v>3.3941649999999997</v>
          </cell>
          <cell r="R217" t="e">
            <v>#N/A</v>
          </cell>
        </row>
        <row r="218">
          <cell r="A218">
            <v>40060</v>
          </cell>
          <cell r="B218">
            <v>40060</v>
          </cell>
          <cell r="C218" t="str">
            <v>Past</v>
          </cell>
          <cell r="D218">
            <v>0.77</v>
          </cell>
          <cell r="E218" t="e">
            <v>#N/A</v>
          </cell>
          <cell r="F218" t="e">
            <v>#N/A</v>
          </cell>
          <cell r="G218" t="e">
            <v>#N/A</v>
          </cell>
          <cell r="H218" t="e">
            <v>#N/A</v>
          </cell>
          <cell r="I218" t="e">
            <v>#N/A</v>
          </cell>
          <cell r="J218" t="e">
            <v>#N/A</v>
          </cell>
          <cell r="K218" t="e">
            <v>#N/A</v>
          </cell>
          <cell r="L218" t="e">
            <v>#N/A</v>
          </cell>
          <cell r="M218" t="e">
            <v>#N/A</v>
          </cell>
          <cell r="N218" t="e">
            <v>#N/A</v>
          </cell>
          <cell r="O218" t="e">
            <v>#N/A</v>
          </cell>
          <cell r="P218">
            <v>0.77</v>
          </cell>
          <cell r="Q218">
            <v>7.2661700000000007</v>
          </cell>
          <cell r="R218" t="e">
            <v>#N/A</v>
          </cell>
        </row>
        <row r="219">
          <cell r="A219">
            <v>40063</v>
          </cell>
          <cell r="B219">
            <v>40063</v>
          </cell>
          <cell r="C219" t="str">
            <v>Past</v>
          </cell>
          <cell r="D219">
            <v>0.8</v>
          </cell>
          <cell r="E219" t="e">
            <v>#N/A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>
            <v>0.8</v>
          </cell>
          <cell r="Q219">
            <v>5.23712</v>
          </cell>
          <cell r="R219" t="e">
            <v>#N/A</v>
          </cell>
        </row>
        <row r="220">
          <cell r="A220">
            <v>40064</v>
          </cell>
          <cell r="B220">
            <v>40064</v>
          </cell>
          <cell r="C220" t="str">
            <v>Past</v>
          </cell>
          <cell r="D220">
            <v>0.85</v>
          </cell>
          <cell r="E220" t="e">
            <v>#N/A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>
            <v>0.85</v>
          </cell>
          <cell r="Q220">
            <v>9.520287999999999</v>
          </cell>
          <cell r="R220" t="e">
            <v>#N/A</v>
          </cell>
        </row>
        <row r="221">
          <cell r="A221">
            <v>40065</v>
          </cell>
          <cell r="B221">
            <v>40065</v>
          </cell>
          <cell r="C221" t="str">
            <v>Past</v>
          </cell>
          <cell r="D221">
            <v>0.89</v>
          </cell>
          <cell r="E221" t="e">
            <v>#N/A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>
            <v>0.89</v>
          </cell>
          <cell r="Q221">
            <v>5.2275939999999999</v>
          </cell>
          <cell r="R221" t="e">
            <v>#N/A</v>
          </cell>
        </row>
        <row r="222">
          <cell r="A222">
            <v>40066</v>
          </cell>
          <cell r="B222">
            <v>40066</v>
          </cell>
          <cell r="C222" t="str">
            <v>Past</v>
          </cell>
          <cell r="D222">
            <v>0.9</v>
          </cell>
          <cell r="E222" t="e">
            <v>#N/A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>
            <v>0.9</v>
          </cell>
          <cell r="Q222">
            <v>2.3587720000000001</v>
          </cell>
          <cell r="R222" t="e">
            <v>#N/A</v>
          </cell>
        </row>
        <row r="223">
          <cell r="A223">
            <v>40067</v>
          </cell>
          <cell r="B223">
            <v>40067</v>
          </cell>
          <cell r="C223" t="str">
            <v>Past</v>
          </cell>
          <cell r="D223">
            <v>0.88500000000000001</v>
          </cell>
          <cell r="E223" t="e">
            <v>#N/A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>
            <v>0.88500000000000001</v>
          </cell>
          <cell r="Q223">
            <v>2.630312</v>
          </cell>
          <cell r="R223" t="e">
            <v>#N/A</v>
          </cell>
        </row>
        <row r="224">
          <cell r="A224">
            <v>40070</v>
          </cell>
          <cell r="B224">
            <v>40070</v>
          </cell>
          <cell r="C224" t="str">
            <v>Past</v>
          </cell>
          <cell r="D224">
            <v>0.86</v>
          </cell>
          <cell r="E224" t="e">
            <v>#N/A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>
            <v>0.86</v>
          </cell>
          <cell r="Q224">
            <v>3.2897379999999998</v>
          </cell>
          <cell r="R224" t="e">
            <v>#N/A</v>
          </cell>
        </row>
        <row r="225">
          <cell r="A225">
            <v>40071</v>
          </cell>
          <cell r="B225">
            <v>40071</v>
          </cell>
          <cell r="C225" t="str">
            <v>Past</v>
          </cell>
          <cell r="D225">
            <v>0.88</v>
          </cell>
          <cell r="E225" t="e">
            <v>#N/A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>
            <v>0.88</v>
          </cell>
          <cell r="Q225">
            <v>4.609807</v>
          </cell>
          <cell r="R225" t="e">
            <v>#N/A</v>
          </cell>
        </row>
        <row r="226">
          <cell r="A226">
            <v>40072</v>
          </cell>
          <cell r="B226">
            <v>40072</v>
          </cell>
          <cell r="C226" t="str">
            <v>Past</v>
          </cell>
          <cell r="D226">
            <v>0.88</v>
          </cell>
          <cell r="E226" t="e">
            <v>#N/A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>
            <v>0.88</v>
          </cell>
          <cell r="Q226">
            <v>3.1936419999999996</v>
          </cell>
          <cell r="R226" t="e">
            <v>#N/A</v>
          </cell>
        </row>
        <row r="227">
          <cell r="A227">
            <v>40073</v>
          </cell>
          <cell r="B227">
            <v>40073</v>
          </cell>
          <cell r="C227" t="str">
            <v>Past</v>
          </cell>
          <cell r="D227">
            <v>0.91</v>
          </cell>
          <cell r="E227" t="e">
            <v>#N/A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>
            <v>0.91</v>
          </cell>
          <cell r="Q227">
            <v>4.6552889999999998</v>
          </cell>
          <cell r="R227" t="e">
            <v>#N/A</v>
          </cell>
        </row>
        <row r="228">
          <cell r="A228">
            <v>40074</v>
          </cell>
          <cell r="B228">
            <v>40074</v>
          </cell>
          <cell r="C228" t="str">
            <v>Past</v>
          </cell>
          <cell r="D228">
            <v>0.91</v>
          </cell>
          <cell r="E228" t="e">
            <v>#N/A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>
            <v>0.91</v>
          </cell>
          <cell r="Q228">
            <v>5.485341</v>
          </cell>
          <cell r="R228" t="e">
            <v>#N/A</v>
          </cell>
        </row>
        <row r="229">
          <cell r="A229">
            <v>40077</v>
          </cell>
          <cell r="B229">
            <v>40077</v>
          </cell>
          <cell r="C229" t="str">
            <v>Past</v>
          </cell>
          <cell r="D229">
            <v>0.93</v>
          </cell>
          <cell r="E229" t="e">
            <v>#N/A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>
            <v>0.93</v>
          </cell>
          <cell r="Q229">
            <v>1.922758</v>
          </cell>
          <cell r="R229" t="e">
            <v>#N/A</v>
          </cell>
        </row>
        <row r="230">
          <cell r="A230">
            <v>40078</v>
          </cell>
          <cell r="B230">
            <v>40078</v>
          </cell>
          <cell r="C230" t="str">
            <v>Past</v>
          </cell>
          <cell r="D230">
            <v>0.95499999999999996</v>
          </cell>
          <cell r="E230" t="e">
            <v>#N/A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>
            <v>0.95499999999999996</v>
          </cell>
          <cell r="Q230">
            <v>4.0316000000000001</v>
          </cell>
          <cell r="R230" t="e">
            <v>#N/A</v>
          </cell>
        </row>
        <row r="231">
          <cell r="A231">
            <v>40079</v>
          </cell>
          <cell r="B231">
            <v>40079</v>
          </cell>
          <cell r="C231" t="str">
            <v>Past</v>
          </cell>
          <cell r="D231">
            <v>0.98499999999999999</v>
          </cell>
          <cell r="E231" t="e">
            <v>#N/A</v>
          </cell>
          <cell r="F231" t="e">
            <v>#N/A</v>
          </cell>
          <cell r="G231" t="e">
            <v>#N/A</v>
          </cell>
          <cell r="H231" t="e">
            <v>#N/A</v>
          </cell>
          <cell r="I231" t="e">
            <v>#N/A</v>
          </cell>
          <cell r="J231" t="e">
            <v>#N/A</v>
          </cell>
          <cell r="K231" t="e">
            <v>#N/A</v>
          </cell>
          <cell r="L231" t="e">
            <v>#N/A</v>
          </cell>
          <cell r="M231" t="e">
            <v>#N/A</v>
          </cell>
          <cell r="N231" t="e">
            <v>#N/A</v>
          </cell>
          <cell r="O231" t="e">
            <v>#N/A</v>
          </cell>
          <cell r="P231">
            <v>0.98499999999999999</v>
          </cell>
          <cell r="Q231">
            <v>5.3740649999999999</v>
          </cell>
          <cell r="R231" t="e">
            <v>#N/A</v>
          </cell>
        </row>
        <row r="232">
          <cell r="A232">
            <v>40080</v>
          </cell>
          <cell r="B232">
            <v>40080</v>
          </cell>
          <cell r="C232" t="str">
            <v>Past</v>
          </cell>
          <cell r="D232">
            <v>0.94</v>
          </cell>
          <cell r="E232" t="e">
            <v>#N/A</v>
          </cell>
          <cell r="F232" t="e">
            <v>#N/A</v>
          </cell>
          <cell r="G232" t="e">
            <v>#N/A</v>
          </cell>
          <cell r="H232" t="e">
            <v>#N/A</v>
          </cell>
          <cell r="I232" t="e">
            <v>#N/A</v>
          </cell>
          <cell r="J232" t="e">
            <v>#N/A</v>
          </cell>
          <cell r="K232" t="e">
            <v>#N/A</v>
          </cell>
          <cell r="L232" t="e">
            <v>#N/A</v>
          </cell>
          <cell r="M232" t="e">
            <v>#N/A</v>
          </cell>
          <cell r="N232" t="e">
            <v>#N/A</v>
          </cell>
          <cell r="O232" t="e">
            <v>#N/A</v>
          </cell>
          <cell r="P232">
            <v>0.94</v>
          </cell>
          <cell r="Q232">
            <v>5.1751749999999994</v>
          </cell>
          <cell r="R232" t="e">
            <v>#N/A</v>
          </cell>
        </row>
        <row r="233">
          <cell r="A233">
            <v>40081</v>
          </cell>
          <cell r="B233">
            <v>40081</v>
          </cell>
          <cell r="C233" t="str">
            <v>Past</v>
          </cell>
          <cell r="D233">
            <v>0.84</v>
          </cell>
          <cell r="E233" t="e">
            <v>#N/A</v>
          </cell>
          <cell r="F233" t="e">
            <v>#N/A</v>
          </cell>
          <cell r="G233" t="e">
            <v>#N/A</v>
          </cell>
          <cell r="H233" t="e">
            <v>#N/A</v>
          </cell>
          <cell r="I233" t="e">
            <v>#N/A</v>
          </cell>
          <cell r="J233" t="e">
            <v>#N/A</v>
          </cell>
          <cell r="K233" t="e">
            <v>#N/A</v>
          </cell>
          <cell r="L233" t="e">
            <v>#N/A</v>
          </cell>
          <cell r="M233" t="e">
            <v>#N/A</v>
          </cell>
          <cell r="N233" t="e">
            <v>#N/A</v>
          </cell>
          <cell r="O233" t="e">
            <v>#N/A</v>
          </cell>
          <cell r="P233">
            <v>0.84</v>
          </cell>
          <cell r="Q233">
            <v>10.477950000000002</v>
          </cell>
          <cell r="R233" t="e">
            <v>#N/A</v>
          </cell>
        </row>
        <row r="234">
          <cell r="A234">
            <v>40084</v>
          </cell>
          <cell r="B234">
            <v>40084</v>
          </cell>
          <cell r="C234" t="str">
            <v>Past</v>
          </cell>
          <cell r="D234">
            <v>0.82</v>
          </cell>
          <cell r="E234" t="e">
            <v>#N/A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>
            <v>0.82</v>
          </cell>
          <cell r="Q234">
            <v>4.4103319999999995</v>
          </cell>
          <cell r="R234" t="e">
            <v>#N/A</v>
          </cell>
        </row>
        <row r="235">
          <cell r="A235">
            <v>40085</v>
          </cell>
          <cell r="B235">
            <v>40085</v>
          </cell>
          <cell r="C235" t="str">
            <v>Past</v>
          </cell>
          <cell r="D235">
            <v>0.84</v>
          </cell>
          <cell r="E235" t="e">
            <v>#N/A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>
            <v>0.84</v>
          </cell>
          <cell r="Q235">
            <v>2.8789089999999997</v>
          </cell>
          <cell r="R235" t="e">
            <v>#N/A</v>
          </cell>
        </row>
        <row r="236">
          <cell r="A236">
            <v>40086</v>
          </cell>
          <cell r="B236">
            <v>40086</v>
          </cell>
          <cell r="C236" t="str">
            <v>Past</v>
          </cell>
          <cell r="D236">
            <v>0.875</v>
          </cell>
          <cell r="E236" t="e">
            <v>#N/A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>
            <v>0.875</v>
          </cell>
          <cell r="Q236">
            <v>3.4166879999999997</v>
          </cell>
          <cell r="R236" t="e">
            <v>#N/A</v>
          </cell>
        </row>
        <row r="237">
          <cell r="A237">
            <v>40087</v>
          </cell>
          <cell r="B237">
            <v>40087</v>
          </cell>
          <cell r="C237" t="str">
            <v>Past</v>
          </cell>
          <cell r="D237">
            <v>0.85499999999999998</v>
          </cell>
          <cell r="E237" t="e">
            <v>#N/A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>
            <v>0.85499999999999998</v>
          </cell>
          <cell r="Q237">
            <v>7.3491600000000004</v>
          </cell>
          <cell r="R237" t="e">
            <v>#N/A</v>
          </cell>
        </row>
        <row r="238">
          <cell r="A238">
            <v>40088</v>
          </cell>
          <cell r="B238">
            <v>40088</v>
          </cell>
          <cell r="C238" t="str">
            <v>Past</v>
          </cell>
          <cell r="D238">
            <v>0.86499999999999999</v>
          </cell>
          <cell r="E238" t="e">
            <v>#N/A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>
            <v>0.86499999999999999</v>
          </cell>
          <cell r="Q238">
            <v>3.8729</v>
          </cell>
          <cell r="R238" t="e">
            <v>#N/A</v>
          </cell>
        </row>
        <row r="239">
          <cell r="A239">
            <v>40091</v>
          </cell>
          <cell r="B239">
            <v>40091</v>
          </cell>
          <cell r="C239" t="str">
            <v>Past</v>
          </cell>
          <cell r="D239">
            <v>0.84499999999999997</v>
          </cell>
          <cell r="E239" t="e">
            <v>#N/A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>
            <v>0.84499999999999997</v>
          </cell>
          <cell r="Q239">
            <v>0.51937500000000003</v>
          </cell>
          <cell r="R239" t="e">
            <v>#N/A</v>
          </cell>
        </row>
        <row r="240">
          <cell r="A240">
            <v>40092</v>
          </cell>
          <cell r="B240">
            <v>40092</v>
          </cell>
          <cell r="C240" t="str">
            <v>Past</v>
          </cell>
          <cell r="D240">
            <v>0.84</v>
          </cell>
          <cell r="E240" t="e">
            <v>#N/A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>
            <v>0.84</v>
          </cell>
          <cell r="Q240">
            <v>2.9685539999999997</v>
          </cell>
          <cell r="R240" t="e">
            <v>#N/A</v>
          </cell>
        </row>
        <row r="241">
          <cell r="A241">
            <v>40093</v>
          </cell>
          <cell r="B241">
            <v>40093</v>
          </cell>
          <cell r="C241" t="str">
            <v>Past</v>
          </cell>
          <cell r="D241">
            <v>0.84</v>
          </cell>
          <cell r="E241" t="e">
            <v>#N/A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>
            <v>0.84</v>
          </cell>
          <cell r="Q241">
            <v>3.740669</v>
          </cell>
          <cell r="R241" t="e">
            <v>#N/A</v>
          </cell>
        </row>
        <row r="242">
          <cell r="A242">
            <v>40094</v>
          </cell>
          <cell r="B242">
            <v>40094</v>
          </cell>
          <cell r="C242" t="str">
            <v>Past</v>
          </cell>
          <cell r="D242">
            <v>0.82</v>
          </cell>
          <cell r="E242" t="e">
            <v>#N/A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>
            <v>0.82</v>
          </cell>
          <cell r="Q242">
            <v>5.1869639999999997</v>
          </cell>
          <cell r="R242" t="e">
            <v>#N/A</v>
          </cell>
        </row>
        <row r="243">
          <cell r="A243">
            <v>40095</v>
          </cell>
          <cell r="B243">
            <v>40095</v>
          </cell>
          <cell r="C243" t="str">
            <v>Past</v>
          </cell>
          <cell r="D243">
            <v>0.81499999999999995</v>
          </cell>
          <cell r="E243" t="e">
            <v>#N/A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>
            <v>0.81499999999999995</v>
          </cell>
          <cell r="Q243">
            <v>4.1091579999999999</v>
          </cell>
          <cell r="R243" t="e">
            <v>#N/A</v>
          </cell>
        </row>
        <row r="244">
          <cell r="A244">
            <v>40098</v>
          </cell>
          <cell r="B244">
            <v>40098</v>
          </cell>
          <cell r="C244" t="str">
            <v>Past</v>
          </cell>
          <cell r="D244">
            <v>0.81499999999999995</v>
          </cell>
          <cell r="E244" t="e">
            <v>#N/A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>
            <v>0.81499999999999995</v>
          </cell>
          <cell r="Q244">
            <v>0.99311299999999991</v>
          </cell>
          <cell r="R244" t="e">
            <v>#N/A</v>
          </cell>
        </row>
        <row r="245">
          <cell r="A245">
            <v>40099</v>
          </cell>
          <cell r="B245">
            <v>40099</v>
          </cell>
          <cell r="C245" t="str">
            <v>Past</v>
          </cell>
          <cell r="D245">
            <v>0.84499999999999997</v>
          </cell>
          <cell r="E245" t="e">
            <v>#N/A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>
            <v>0.84499999999999997</v>
          </cell>
          <cell r="Q245">
            <v>2.3698069999999998</v>
          </cell>
          <cell r="R245" t="e">
            <v>#N/A</v>
          </cell>
        </row>
        <row r="246">
          <cell r="A246">
            <v>40100</v>
          </cell>
          <cell r="B246">
            <v>40100</v>
          </cell>
          <cell r="C246" t="str">
            <v>Past</v>
          </cell>
          <cell r="D246">
            <v>0.88</v>
          </cell>
          <cell r="E246" t="e">
            <v>#N/A</v>
          </cell>
          <cell r="F246" t="e">
            <v>#N/A</v>
          </cell>
          <cell r="G246" t="e">
            <v>#N/A</v>
          </cell>
          <cell r="H246" t="e">
            <v>#N/A</v>
          </cell>
          <cell r="I246" t="e">
            <v>#N/A</v>
          </cell>
          <cell r="J246" t="e">
            <v>#N/A</v>
          </cell>
          <cell r="K246" t="e">
            <v>#N/A</v>
          </cell>
          <cell r="L246" t="e">
            <v>#N/A</v>
          </cell>
          <cell r="M246" t="e">
            <v>#N/A</v>
          </cell>
          <cell r="N246" t="e">
            <v>#N/A</v>
          </cell>
          <cell r="O246" t="e">
            <v>#N/A</v>
          </cell>
          <cell r="P246">
            <v>0.88</v>
          </cell>
          <cell r="Q246">
            <v>2.1883300000000001</v>
          </cell>
          <cell r="R246" t="e">
            <v>#N/A</v>
          </cell>
        </row>
        <row r="247">
          <cell r="A247">
            <v>40101</v>
          </cell>
          <cell r="B247">
            <v>40101</v>
          </cell>
          <cell r="C247" t="str">
            <v>Past</v>
          </cell>
          <cell r="D247">
            <v>0.89</v>
          </cell>
          <cell r="E247" t="e">
            <v>#N/A</v>
          </cell>
          <cell r="F247" t="e">
            <v>#N/A</v>
          </cell>
          <cell r="G247" t="e">
            <v>#N/A</v>
          </cell>
          <cell r="H247" t="e">
            <v>#N/A</v>
          </cell>
          <cell r="I247" t="e">
            <v>#N/A</v>
          </cell>
          <cell r="J247" t="e">
            <v>#N/A</v>
          </cell>
          <cell r="K247" t="e">
            <v>#N/A</v>
          </cell>
          <cell r="L247" t="e">
            <v>#N/A</v>
          </cell>
          <cell r="M247" t="e">
            <v>#N/A</v>
          </cell>
          <cell r="N247" t="e">
            <v>#N/A</v>
          </cell>
          <cell r="O247" t="e">
            <v>#N/A</v>
          </cell>
          <cell r="P247">
            <v>0.89</v>
          </cell>
          <cell r="Q247">
            <v>3.6580600000000003</v>
          </cell>
          <cell r="R247" t="e">
            <v>#N/A</v>
          </cell>
        </row>
        <row r="248">
          <cell r="A248">
            <v>40102</v>
          </cell>
          <cell r="B248">
            <v>40102</v>
          </cell>
          <cell r="C248" t="str">
            <v>Past</v>
          </cell>
          <cell r="D248">
            <v>0.87</v>
          </cell>
          <cell r="E248" t="e">
            <v>#N/A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>
            <v>0.87</v>
          </cell>
          <cell r="Q248">
            <v>1.4392849999999999</v>
          </cell>
          <cell r="R248" t="e">
            <v>#N/A</v>
          </cell>
        </row>
        <row r="249">
          <cell r="A249">
            <v>40105</v>
          </cell>
          <cell r="B249">
            <v>40105</v>
          </cell>
          <cell r="C249" t="str">
            <v>Past</v>
          </cell>
          <cell r="D249">
            <v>0.86</v>
          </cell>
          <cell r="E249" t="e">
            <v>#N/A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>
            <v>0.86</v>
          </cell>
          <cell r="Q249">
            <v>2.2106170000000001</v>
          </cell>
          <cell r="R249" t="e">
            <v>#N/A</v>
          </cell>
        </row>
        <row r="250">
          <cell r="A250">
            <v>40106</v>
          </cell>
          <cell r="B250">
            <v>40106</v>
          </cell>
          <cell r="C250" t="str">
            <v>Past</v>
          </cell>
          <cell r="D250">
            <v>0.87</v>
          </cell>
          <cell r="E250" t="e">
            <v>#N/A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>
            <v>0.87</v>
          </cell>
          <cell r="Q250">
            <v>2.7861900000000004</v>
          </cell>
          <cell r="R250" t="e">
            <v>#N/A</v>
          </cell>
        </row>
        <row r="251">
          <cell r="A251">
            <v>40107</v>
          </cell>
          <cell r="B251">
            <v>40107</v>
          </cell>
          <cell r="C251" t="str">
            <v>Past</v>
          </cell>
          <cell r="D251">
            <v>0.86</v>
          </cell>
          <cell r="E251" t="e">
            <v>#N/A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>
            <v>0.86</v>
          </cell>
          <cell r="Q251">
            <v>2.9756259999999997</v>
          </cell>
          <cell r="R251" t="e">
            <v>#N/A</v>
          </cell>
        </row>
        <row r="252">
          <cell r="A252">
            <v>40108</v>
          </cell>
          <cell r="B252">
            <v>40108</v>
          </cell>
          <cell r="C252" t="str">
            <v>Past</v>
          </cell>
          <cell r="D252">
            <v>0.84499999999999997</v>
          </cell>
          <cell r="E252" t="e">
            <v>#N/A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>
            <v>0.84499999999999997</v>
          </cell>
          <cell r="Q252">
            <v>4.2072880000000001</v>
          </cell>
          <cell r="R252" t="e">
            <v>#N/A</v>
          </cell>
        </row>
        <row r="253">
          <cell r="A253">
            <v>40109</v>
          </cell>
          <cell r="B253">
            <v>40109</v>
          </cell>
          <cell r="C253" t="str">
            <v>Past</v>
          </cell>
          <cell r="D253">
            <v>0.86499999999999999</v>
          </cell>
          <cell r="E253" t="e">
            <v>#N/A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>
            <v>0.86499999999999999</v>
          </cell>
          <cell r="Q253">
            <v>10.896420000000001</v>
          </cell>
          <cell r="R253" t="e">
            <v>#N/A</v>
          </cell>
        </row>
        <row r="254">
          <cell r="A254">
            <v>40112</v>
          </cell>
          <cell r="B254">
            <v>40112</v>
          </cell>
          <cell r="C254" t="str">
            <v>Past</v>
          </cell>
          <cell r="D254">
            <v>0.87</v>
          </cell>
          <cell r="E254" t="e">
            <v>#N/A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>
            <v>0.87</v>
          </cell>
          <cell r="Q254">
            <v>11.987080000000001</v>
          </cell>
          <cell r="R254" t="e">
            <v>#N/A</v>
          </cell>
        </row>
        <row r="255">
          <cell r="A255">
            <v>40113</v>
          </cell>
          <cell r="B255">
            <v>40113</v>
          </cell>
          <cell r="C255" t="str">
            <v>Past</v>
          </cell>
          <cell r="D255">
            <v>0.89</v>
          </cell>
          <cell r="E255" t="e">
            <v>#N/A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>
            <v>0.89</v>
          </cell>
          <cell r="Q255">
            <v>4.1386459999999996</v>
          </cell>
          <cell r="R255" t="e">
            <v>#N/A</v>
          </cell>
        </row>
        <row r="256">
          <cell r="A256">
            <v>40114</v>
          </cell>
          <cell r="B256">
            <v>40114</v>
          </cell>
          <cell r="C256" t="str">
            <v>Past</v>
          </cell>
          <cell r="D256">
            <v>0.88</v>
          </cell>
          <cell r="E256" t="e">
            <v>#N/A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>
            <v>0.88</v>
          </cell>
          <cell r="Q256">
            <v>4.9116089999999994</v>
          </cell>
          <cell r="R256" t="e">
            <v>#N/A</v>
          </cell>
        </row>
        <row r="257">
          <cell r="A257">
            <v>40115</v>
          </cell>
          <cell r="B257">
            <v>40115</v>
          </cell>
          <cell r="C257" t="str">
            <v>Past</v>
          </cell>
          <cell r="D257">
            <v>0.84</v>
          </cell>
          <cell r="E257" t="e">
            <v>#N/A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>
            <v>0.84</v>
          </cell>
          <cell r="Q257">
            <v>3.0905519999999997</v>
          </cell>
          <cell r="R257" t="e">
            <v>#N/A</v>
          </cell>
        </row>
        <row r="258">
          <cell r="A258">
            <v>40116</v>
          </cell>
          <cell r="B258">
            <v>40116</v>
          </cell>
          <cell r="C258" t="str">
            <v>Past</v>
          </cell>
          <cell r="D258">
            <v>0.88</v>
          </cell>
          <cell r="E258" t="e">
            <v>#N/A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>
            <v>0.88</v>
          </cell>
          <cell r="Q258">
            <v>4.8274409999999994</v>
          </cell>
          <cell r="R258" t="e">
            <v>#N/A</v>
          </cell>
        </row>
        <row r="259">
          <cell r="A259">
            <v>40119</v>
          </cell>
          <cell r="B259">
            <v>40119</v>
          </cell>
          <cell r="C259" t="str">
            <v>Past</v>
          </cell>
          <cell r="D259">
            <v>0.85</v>
          </cell>
          <cell r="E259" t="e">
            <v>#N/A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>
            <v>0.85</v>
          </cell>
          <cell r="Q259">
            <v>2.4841129999999998</v>
          </cell>
          <cell r="R259" t="e">
            <v>#N/A</v>
          </cell>
        </row>
        <row r="260">
          <cell r="A260">
            <v>40120</v>
          </cell>
          <cell r="B260">
            <v>40120</v>
          </cell>
          <cell r="C260" t="str">
            <v>Past</v>
          </cell>
          <cell r="D260">
            <v>0.84499999999999997</v>
          </cell>
          <cell r="E260" t="e">
            <v>#N/A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>
            <v>0.84499999999999997</v>
          </cell>
          <cell r="Q260">
            <v>0.961669</v>
          </cell>
          <cell r="R260" t="e">
            <v>#N/A</v>
          </cell>
        </row>
        <row r="261">
          <cell r="A261">
            <v>40121</v>
          </cell>
          <cell r="B261">
            <v>40121</v>
          </cell>
          <cell r="C261" t="str">
            <v>Past</v>
          </cell>
          <cell r="D261">
            <v>0.84</v>
          </cell>
          <cell r="E261" t="e">
            <v>#N/A</v>
          </cell>
          <cell r="F261" t="e">
            <v>#N/A</v>
          </cell>
          <cell r="G261" t="e">
            <v>#N/A</v>
          </cell>
          <cell r="H261" t="e">
            <v>#N/A</v>
          </cell>
          <cell r="I261" t="e">
            <v>#N/A</v>
          </cell>
          <cell r="J261" t="e">
            <v>#N/A</v>
          </cell>
          <cell r="K261" t="e">
            <v>#N/A</v>
          </cell>
          <cell r="L261" t="e">
            <v>#N/A</v>
          </cell>
          <cell r="M261" t="e">
            <v>#N/A</v>
          </cell>
          <cell r="N261" t="e">
            <v>#N/A</v>
          </cell>
          <cell r="O261" t="e">
            <v>#N/A</v>
          </cell>
          <cell r="P261">
            <v>0.84</v>
          </cell>
          <cell r="Q261">
            <v>2.4508289999999997</v>
          </cell>
          <cell r="R261" t="e">
            <v>#N/A</v>
          </cell>
        </row>
        <row r="262">
          <cell r="A262">
            <v>40122</v>
          </cell>
          <cell r="B262">
            <v>40122</v>
          </cell>
          <cell r="C262" t="str">
            <v>Past</v>
          </cell>
          <cell r="D262">
            <v>0.84</v>
          </cell>
          <cell r="E262" t="e">
            <v>#N/A</v>
          </cell>
          <cell r="F262" t="e">
            <v>#N/A</v>
          </cell>
          <cell r="G262" t="e">
            <v>#N/A</v>
          </cell>
          <cell r="H262" t="e">
            <v>#N/A</v>
          </cell>
          <cell r="I262" t="e">
            <v>#N/A</v>
          </cell>
          <cell r="J262" t="e">
            <v>#N/A</v>
          </cell>
          <cell r="K262" t="e">
            <v>#N/A</v>
          </cell>
          <cell r="L262" t="e">
            <v>#N/A</v>
          </cell>
          <cell r="M262" t="e">
            <v>#N/A</v>
          </cell>
          <cell r="N262" t="e">
            <v>#N/A</v>
          </cell>
          <cell r="O262" t="e">
            <v>#N/A</v>
          </cell>
          <cell r="P262">
            <v>0.84</v>
          </cell>
          <cell r="Q262">
            <v>1.8522369999999999</v>
          </cell>
          <cell r="R262" t="e">
            <v>#N/A</v>
          </cell>
        </row>
        <row r="263">
          <cell r="A263">
            <v>40123</v>
          </cell>
          <cell r="B263">
            <v>40123</v>
          </cell>
          <cell r="C263" t="str">
            <v>Past</v>
          </cell>
          <cell r="D263">
            <v>0.82499999999999996</v>
          </cell>
          <cell r="E263" t="e">
            <v>#N/A</v>
          </cell>
          <cell r="F263" t="e">
            <v>#N/A</v>
          </cell>
          <cell r="G263" t="e">
            <v>#N/A</v>
          </cell>
          <cell r="H263" t="e">
            <v>#N/A</v>
          </cell>
          <cell r="I263" t="e">
            <v>#N/A</v>
          </cell>
          <cell r="J263" t="e">
            <v>#N/A</v>
          </cell>
          <cell r="K263" t="e">
            <v>#N/A</v>
          </cell>
          <cell r="L263" t="e">
            <v>#N/A</v>
          </cell>
          <cell r="M263" t="e">
            <v>#N/A</v>
          </cell>
          <cell r="N263" t="e">
            <v>#N/A</v>
          </cell>
          <cell r="O263" t="e">
            <v>#N/A</v>
          </cell>
          <cell r="P263">
            <v>0.82499999999999996</v>
          </cell>
          <cell r="Q263">
            <v>3.9202000000000004</v>
          </cell>
          <cell r="R263" t="e">
            <v>#N/A</v>
          </cell>
        </row>
        <row r="264">
          <cell r="A264">
            <v>40126</v>
          </cell>
          <cell r="B264">
            <v>40126</v>
          </cell>
          <cell r="C264" t="str">
            <v>Past</v>
          </cell>
          <cell r="D264">
            <v>0.83499999999999996</v>
          </cell>
          <cell r="E264" t="e">
            <v>#N/A</v>
          </cell>
          <cell r="F264" t="e">
            <v>#N/A</v>
          </cell>
          <cell r="G264" t="e">
            <v>#N/A</v>
          </cell>
          <cell r="H264" t="e">
            <v>#N/A</v>
          </cell>
          <cell r="I264" t="e">
            <v>#N/A</v>
          </cell>
          <cell r="J264" t="e">
            <v>#N/A</v>
          </cell>
          <cell r="K264" t="e">
            <v>#N/A</v>
          </cell>
          <cell r="L264" t="e">
            <v>#N/A</v>
          </cell>
          <cell r="M264" t="e">
            <v>#N/A</v>
          </cell>
          <cell r="N264" t="e">
            <v>#N/A</v>
          </cell>
          <cell r="O264" t="e">
            <v>#N/A</v>
          </cell>
          <cell r="P264">
            <v>0.83499999999999996</v>
          </cell>
          <cell r="Q264">
            <v>2.1793800000000001</v>
          </cell>
          <cell r="R264" t="e">
            <v>#N/A</v>
          </cell>
        </row>
        <row r="265">
          <cell r="A265">
            <v>40127</v>
          </cell>
          <cell r="B265">
            <v>40127</v>
          </cell>
          <cell r="C265" t="str">
            <v>Past</v>
          </cell>
          <cell r="D265">
            <v>0.9</v>
          </cell>
          <cell r="E265" t="e">
            <v>#N/A</v>
          </cell>
          <cell r="F265" t="e">
            <v>#N/A</v>
          </cell>
          <cell r="G265" t="e">
            <v>#N/A</v>
          </cell>
          <cell r="H265" t="e">
            <v>#N/A</v>
          </cell>
          <cell r="I265" t="e">
            <v>#N/A</v>
          </cell>
          <cell r="J265" t="e">
            <v>#N/A</v>
          </cell>
          <cell r="K265" t="e">
            <v>#N/A</v>
          </cell>
          <cell r="L265" t="e">
            <v>#N/A</v>
          </cell>
          <cell r="M265" t="e">
            <v>#N/A</v>
          </cell>
          <cell r="N265" t="e">
            <v>#N/A</v>
          </cell>
          <cell r="O265" t="e">
            <v>#N/A</v>
          </cell>
          <cell r="P265">
            <v>0.9</v>
          </cell>
          <cell r="Q265">
            <v>7.5919109999999996</v>
          </cell>
          <cell r="R265" t="e">
            <v>#N/A</v>
          </cell>
        </row>
        <row r="266">
          <cell r="A266">
            <v>40128</v>
          </cell>
          <cell r="B266">
            <v>40128</v>
          </cell>
          <cell r="C266" t="str">
            <v>Past</v>
          </cell>
          <cell r="D266">
            <v>0.86</v>
          </cell>
          <cell r="E266" t="e">
            <v>#N/A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>
            <v>0.86</v>
          </cell>
          <cell r="Q266">
            <v>4.7444239999999995</v>
          </cell>
          <cell r="R266" t="e">
            <v>#N/A</v>
          </cell>
        </row>
        <row r="267">
          <cell r="A267">
            <v>40129</v>
          </cell>
          <cell r="B267">
            <v>40129</v>
          </cell>
          <cell r="C267" t="str">
            <v>Past</v>
          </cell>
          <cell r="D267">
            <v>0.85499999999999998</v>
          </cell>
          <cell r="E267" t="e">
            <v>#N/A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>
            <v>0.85499999999999998</v>
          </cell>
          <cell r="Q267">
            <v>1.438941</v>
          </cell>
          <cell r="R267" t="e">
            <v>#N/A</v>
          </cell>
        </row>
        <row r="268">
          <cell r="A268">
            <v>40130</v>
          </cell>
          <cell r="B268">
            <v>40130</v>
          </cell>
          <cell r="C268" t="str">
            <v>Past</v>
          </cell>
          <cell r="D268">
            <v>0.84499999999999997</v>
          </cell>
          <cell r="E268" t="e">
            <v>#N/A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>
            <v>0.84499999999999997</v>
          </cell>
          <cell r="Q268">
            <v>1.2370539999999999</v>
          </cell>
          <cell r="R268" t="e">
            <v>#N/A</v>
          </cell>
        </row>
        <row r="269">
          <cell r="A269">
            <v>40133</v>
          </cell>
          <cell r="B269">
            <v>40133</v>
          </cell>
          <cell r="C269" t="str">
            <v>Past</v>
          </cell>
          <cell r="D269">
            <v>0.85</v>
          </cell>
          <cell r="E269" t="e">
            <v>#N/A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>
            <v>0.85</v>
          </cell>
          <cell r="Q269">
            <v>2.3814329999999999</v>
          </cell>
          <cell r="R269" t="e">
            <v>#N/A</v>
          </cell>
        </row>
        <row r="270">
          <cell r="A270">
            <v>40134</v>
          </cell>
          <cell r="B270">
            <v>40134</v>
          </cell>
          <cell r="C270" t="str">
            <v>Past</v>
          </cell>
          <cell r="D270">
            <v>0.9</v>
          </cell>
          <cell r="E270" t="e">
            <v>#N/A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>
            <v>0.9</v>
          </cell>
          <cell r="Q270">
            <v>3.5616969999999997</v>
          </cell>
          <cell r="R270" t="e">
            <v>#N/A</v>
          </cell>
        </row>
        <row r="271">
          <cell r="A271">
            <v>40135</v>
          </cell>
          <cell r="B271">
            <v>40135</v>
          </cell>
          <cell r="C271" t="str">
            <v>Past</v>
          </cell>
          <cell r="D271">
            <v>0.87</v>
          </cell>
          <cell r="E271" t="e">
            <v>#N/A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>
            <v>0.87</v>
          </cell>
          <cell r="Q271">
            <v>10.1965</v>
          </cell>
          <cell r="R271" t="e">
            <v>#N/A</v>
          </cell>
        </row>
        <row r="272">
          <cell r="A272">
            <v>40136</v>
          </cell>
          <cell r="B272">
            <v>40136</v>
          </cell>
          <cell r="C272" t="str">
            <v>Past</v>
          </cell>
          <cell r="D272">
            <v>0.85499999999999998</v>
          </cell>
          <cell r="E272" t="e">
            <v>#N/A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>
            <v>0.85499999999999998</v>
          </cell>
          <cell r="Q272">
            <v>3.7342109999999997</v>
          </cell>
          <cell r="R272" t="e">
            <v>#N/A</v>
          </cell>
        </row>
        <row r="273">
          <cell r="A273">
            <v>40137</v>
          </cell>
          <cell r="B273">
            <v>40137</v>
          </cell>
          <cell r="C273" t="str">
            <v>Past</v>
          </cell>
          <cell r="D273">
            <v>0.85499999999999998</v>
          </cell>
          <cell r="E273" t="e">
            <v>#N/A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>
            <v>0.85499999999999998</v>
          </cell>
          <cell r="Q273">
            <v>0.686913</v>
          </cell>
          <cell r="R273" t="e">
            <v>#N/A</v>
          </cell>
        </row>
        <row r="274">
          <cell r="A274">
            <v>40140</v>
          </cell>
          <cell r="B274">
            <v>40140</v>
          </cell>
          <cell r="C274" t="str">
            <v>Past</v>
          </cell>
          <cell r="D274">
            <v>0.84499999999999997</v>
          </cell>
          <cell r="E274" t="e">
            <v>#N/A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>
            <v>0.84499999999999997</v>
          </cell>
          <cell r="Q274">
            <v>0.99447399999999997</v>
          </cell>
          <cell r="R274" t="e">
            <v>#N/A</v>
          </cell>
        </row>
        <row r="275">
          <cell r="A275">
            <v>40141</v>
          </cell>
          <cell r="B275">
            <v>40141</v>
          </cell>
          <cell r="C275" t="str">
            <v>Past</v>
          </cell>
          <cell r="D275">
            <v>0.84</v>
          </cell>
          <cell r="E275" t="e">
            <v>#N/A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>
            <v>0.84</v>
          </cell>
          <cell r="Q275">
            <v>0.89847199999999994</v>
          </cell>
          <cell r="R275" t="e">
            <v>#N/A</v>
          </cell>
        </row>
        <row r="276">
          <cell r="A276">
            <v>40142</v>
          </cell>
          <cell r="B276">
            <v>40142</v>
          </cell>
          <cell r="C276" t="str">
            <v>Past</v>
          </cell>
          <cell r="D276">
            <v>0.84</v>
          </cell>
          <cell r="E276" t="e">
            <v>#N/A</v>
          </cell>
          <cell r="F276" t="e">
            <v>#N/A</v>
          </cell>
          <cell r="G276" t="e">
            <v>#N/A</v>
          </cell>
          <cell r="H276" t="e">
            <v>#N/A</v>
          </cell>
          <cell r="I276" t="e">
            <v>#N/A</v>
          </cell>
          <cell r="J276" t="e">
            <v>#N/A</v>
          </cell>
          <cell r="K276" t="e">
            <v>#N/A</v>
          </cell>
          <cell r="L276" t="e">
            <v>#N/A</v>
          </cell>
          <cell r="M276" t="e">
            <v>#N/A</v>
          </cell>
          <cell r="N276" t="e">
            <v>#N/A</v>
          </cell>
          <cell r="O276" t="e">
            <v>#N/A</v>
          </cell>
          <cell r="P276">
            <v>0.84</v>
          </cell>
          <cell r="Q276">
            <v>1.430258</v>
          </cell>
          <cell r="R276" t="e">
            <v>#N/A</v>
          </cell>
        </row>
        <row r="277">
          <cell r="A277">
            <v>40143</v>
          </cell>
          <cell r="B277">
            <v>40143</v>
          </cell>
          <cell r="C277" t="str">
            <v>Past</v>
          </cell>
          <cell r="D277">
            <v>0.85</v>
          </cell>
          <cell r="E277" t="e">
            <v>#N/A</v>
          </cell>
          <cell r="F277" t="e">
            <v>#N/A</v>
          </cell>
          <cell r="G277" t="e">
            <v>#N/A</v>
          </cell>
          <cell r="H277" t="e">
            <v>#N/A</v>
          </cell>
          <cell r="I277" t="e">
            <v>#N/A</v>
          </cell>
          <cell r="J277" t="e">
            <v>#N/A</v>
          </cell>
          <cell r="K277" t="e">
            <v>#N/A</v>
          </cell>
          <cell r="L277" t="e">
            <v>#N/A</v>
          </cell>
          <cell r="M277" t="e">
            <v>#N/A</v>
          </cell>
          <cell r="N277" t="e">
            <v>#N/A</v>
          </cell>
          <cell r="O277" t="e">
            <v>#N/A</v>
          </cell>
          <cell r="P277">
            <v>0.85</v>
          </cell>
          <cell r="Q277">
            <v>1.9967549999999998</v>
          </cell>
          <cell r="R277" t="e">
            <v>#N/A</v>
          </cell>
        </row>
        <row r="278">
          <cell r="A278">
            <v>40144</v>
          </cell>
          <cell r="B278">
            <v>40144</v>
          </cell>
          <cell r="C278" t="str">
            <v>Past</v>
          </cell>
          <cell r="D278">
            <v>0.81</v>
          </cell>
          <cell r="E278" t="e">
            <v>#N/A</v>
          </cell>
          <cell r="F278" t="e">
            <v>#N/A</v>
          </cell>
          <cell r="G278" t="e">
            <v>#N/A</v>
          </cell>
          <cell r="H278" t="e">
            <v>#N/A</v>
          </cell>
          <cell r="I278" t="e">
            <v>#N/A</v>
          </cell>
          <cell r="J278" t="e">
            <v>#N/A</v>
          </cell>
          <cell r="K278" t="e">
            <v>#N/A</v>
          </cell>
          <cell r="L278" t="e">
            <v>#N/A</v>
          </cell>
          <cell r="M278" t="e">
            <v>#N/A</v>
          </cell>
          <cell r="N278" t="e">
            <v>#N/A</v>
          </cell>
          <cell r="O278" t="e">
            <v>#N/A</v>
          </cell>
          <cell r="P278">
            <v>0.81</v>
          </cell>
          <cell r="Q278">
            <v>1.666388</v>
          </cell>
          <cell r="R278" t="e">
            <v>#N/A</v>
          </cell>
        </row>
        <row r="279">
          <cell r="A279">
            <v>40147</v>
          </cell>
          <cell r="B279">
            <v>40147</v>
          </cell>
          <cell r="C279" t="str">
            <v>Past</v>
          </cell>
          <cell r="D279">
            <v>0.81</v>
          </cell>
          <cell r="E279" t="e">
            <v>#N/A</v>
          </cell>
          <cell r="F279" t="e">
            <v>#N/A</v>
          </cell>
          <cell r="G279" t="e">
            <v>#N/A</v>
          </cell>
          <cell r="H279" t="e">
            <v>#N/A</v>
          </cell>
          <cell r="I279" t="e">
            <v>#N/A</v>
          </cell>
          <cell r="J279" t="e">
            <v>#N/A</v>
          </cell>
          <cell r="K279" t="e">
            <v>#N/A</v>
          </cell>
          <cell r="L279" t="e">
            <v>#N/A</v>
          </cell>
          <cell r="M279" t="e">
            <v>#N/A</v>
          </cell>
          <cell r="N279" t="e">
            <v>#N/A</v>
          </cell>
          <cell r="O279" t="e">
            <v>#N/A</v>
          </cell>
          <cell r="P279">
            <v>0.81</v>
          </cell>
          <cell r="Q279">
            <v>1.3534539999999999</v>
          </cell>
          <cell r="R279" t="e">
            <v>#N/A</v>
          </cell>
        </row>
        <row r="280">
          <cell r="A280">
            <v>40148</v>
          </cell>
          <cell r="B280">
            <v>40148</v>
          </cell>
          <cell r="C280" t="str">
            <v>Past</v>
          </cell>
          <cell r="D280">
            <v>0.80500000000000005</v>
          </cell>
          <cell r="E280" t="e">
            <v>#N/A</v>
          </cell>
          <cell r="F280" t="e">
            <v>#N/A</v>
          </cell>
          <cell r="G280" t="e">
            <v>#N/A</v>
          </cell>
          <cell r="H280" t="e">
            <v>#N/A</v>
          </cell>
          <cell r="I280" t="e">
            <v>#N/A</v>
          </cell>
          <cell r="J280" t="e">
            <v>#N/A</v>
          </cell>
          <cell r="K280" t="e">
            <v>#N/A</v>
          </cell>
          <cell r="L280" t="e">
            <v>#N/A</v>
          </cell>
          <cell r="M280" t="e">
            <v>#N/A</v>
          </cell>
          <cell r="N280" t="e">
            <v>#N/A</v>
          </cell>
          <cell r="O280" t="e">
            <v>#N/A</v>
          </cell>
          <cell r="P280">
            <v>0.80500000000000005</v>
          </cell>
          <cell r="Q280">
            <v>1.7489709999999998</v>
          </cell>
          <cell r="R280" t="e">
            <v>#N/A</v>
          </cell>
        </row>
        <row r="281">
          <cell r="A281">
            <v>40149</v>
          </cell>
          <cell r="B281">
            <v>40149</v>
          </cell>
          <cell r="C281" t="str">
            <v>Past</v>
          </cell>
          <cell r="D281">
            <v>0.82</v>
          </cell>
          <cell r="E281" t="e">
            <v>#N/A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>
            <v>0.82</v>
          </cell>
          <cell r="Q281">
            <v>1.3769749999999998</v>
          </cell>
          <cell r="R281" t="e">
            <v>#N/A</v>
          </cell>
        </row>
        <row r="282">
          <cell r="A282">
            <v>40150</v>
          </cell>
          <cell r="B282">
            <v>40150</v>
          </cell>
          <cell r="C282" t="str">
            <v>Past</v>
          </cell>
          <cell r="D282">
            <v>0.82</v>
          </cell>
          <cell r="E282" t="e">
            <v>#N/A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>
            <v>0.82</v>
          </cell>
          <cell r="Q282">
            <v>2.391219</v>
          </cell>
          <cell r="R282" t="e">
            <v>#N/A</v>
          </cell>
        </row>
        <row r="283">
          <cell r="A283">
            <v>40151</v>
          </cell>
          <cell r="B283">
            <v>40151</v>
          </cell>
          <cell r="C283" t="str">
            <v>Past</v>
          </cell>
          <cell r="D283">
            <v>0.78500000000000003</v>
          </cell>
          <cell r="E283" t="e">
            <v>#N/A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>
            <v>0.78500000000000003</v>
          </cell>
          <cell r="Q283">
            <v>2.3552400000000002</v>
          </cell>
          <cell r="R283" t="e">
            <v>#N/A</v>
          </cell>
        </row>
        <row r="284">
          <cell r="A284">
            <v>40154</v>
          </cell>
          <cell r="B284">
            <v>40154</v>
          </cell>
          <cell r="C284" t="str">
            <v>Past</v>
          </cell>
          <cell r="D284">
            <v>0.79500000000000004</v>
          </cell>
          <cell r="E284" t="e">
            <v>#N/A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>
            <v>0.79500000000000004</v>
          </cell>
          <cell r="Q284">
            <v>5.232024</v>
          </cell>
          <cell r="R284" t="e">
            <v>#N/A</v>
          </cell>
        </row>
        <row r="285">
          <cell r="A285">
            <v>40155</v>
          </cell>
          <cell r="B285">
            <v>40155</v>
          </cell>
          <cell r="C285" t="str">
            <v>Past</v>
          </cell>
          <cell r="D285">
            <v>0.79</v>
          </cell>
          <cell r="E285" t="e">
            <v>#N/A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>
            <v>0.79</v>
          </cell>
          <cell r="Q285">
            <v>5.0161119999999997</v>
          </cell>
          <cell r="R285" t="e">
            <v>#N/A</v>
          </cell>
        </row>
        <row r="286">
          <cell r="A286">
            <v>40156</v>
          </cell>
          <cell r="B286">
            <v>40156</v>
          </cell>
          <cell r="C286" t="str">
            <v>Past</v>
          </cell>
          <cell r="D286">
            <v>0.77</v>
          </cell>
          <cell r="E286" t="e">
            <v>#N/A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>
            <v>0.77</v>
          </cell>
          <cell r="Q286">
            <v>1.284475</v>
          </cell>
          <cell r="R286" t="e">
            <v>#N/A</v>
          </cell>
        </row>
        <row r="287">
          <cell r="A287">
            <v>40157</v>
          </cell>
          <cell r="B287">
            <v>40157</v>
          </cell>
          <cell r="C287" t="str">
            <v>Past</v>
          </cell>
          <cell r="D287">
            <v>0.755</v>
          </cell>
          <cell r="E287" t="e">
            <v>#N/A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>
            <v>0.755</v>
          </cell>
          <cell r="Q287">
            <v>2.4831219999999998</v>
          </cell>
          <cell r="R287" t="e">
            <v>#N/A</v>
          </cell>
        </row>
        <row r="288">
          <cell r="A288">
            <v>40158</v>
          </cell>
          <cell r="B288">
            <v>40158</v>
          </cell>
          <cell r="C288" t="str">
            <v>Past</v>
          </cell>
          <cell r="D288">
            <v>0.745</v>
          </cell>
          <cell r="E288" t="e">
            <v>#N/A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>
            <v>0.745</v>
          </cell>
          <cell r="Q288">
            <v>2.6638100000000002</v>
          </cell>
          <cell r="R288" t="e">
            <v>#N/A</v>
          </cell>
        </row>
        <row r="289">
          <cell r="A289">
            <v>40161</v>
          </cell>
          <cell r="B289">
            <v>40161</v>
          </cell>
          <cell r="C289" t="str">
            <v>Past</v>
          </cell>
          <cell r="D289">
            <v>0.77</v>
          </cell>
          <cell r="E289" t="e">
            <v>#N/A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>
            <v>0.77</v>
          </cell>
          <cell r="Q289">
            <v>1.5368309999999998</v>
          </cell>
          <cell r="R289" t="e">
            <v>#N/A</v>
          </cell>
        </row>
        <row r="290">
          <cell r="A290">
            <v>40162</v>
          </cell>
          <cell r="B290">
            <v>40162</v>
          </cell>
          <cell r="C290" t="str">
            <v>Past</v>
          </cell>
          <cell r="D290">
            <v>0.78</v>
          </cell>
          <cell r="E290" t="e">
            <v>#N/A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>
            <v>0.78</v>
          </cell>
          <cell r="Q290">
            <v>2.2050419999999997</v>
          </cell>
          <cell r="R290" t="e">
            <v>#N/A</v>
          </cell>
        </row>
        <row r="291">
          <cell r="A291">
            <v>40163</v>
          </cell>
          <cell r="B291">
            <v>40163</v>
          </cell>
          <cell r="C291" t="str">
            <v>Past</v>
          </cell>
          <cell r="D291">
            <v>0.75</v>
          </cell>
          <cell r="E291" t="e">
            <v>#N/A</v>
          </cell>
          <cell r="F291" t="e">
            <v>#N/A</v>
          </cell>
          <cell r="G291" t="e">
            <v>#N/A</v>
          </cell>
          <cell r="H291" t="e">
            <v>#N/A</v>
          </cell>
          <cell r="I291" t="e">
            <v>#N/A</v>
          </cell>
          <cell r="J291" t="e">
            <v>#N/A</v>
          </cell>
          <cell r="K291" t="e">
            <v>#N/A</v>
          </cell>
          <cell r="L291" t="e">
            <v>#N/A</v>
          </cell>
          <cell r="M291" t="e">
            <v>#N/A</v>
          </cell>
          <cell r="N291" t="e">
            <v>#N/A</v>
          </cell>
          <cell r="O291" t="e">
            <v>#N/A</v>
          </cell>
          <cell r="P291">
            <v>0.75</v>
          </cell>
          <cell r="Q291">
            <v>1.5621800000000001</v>
          </cell>
          <cell r="R291" t="e">
            <v>#N/A</v>
          </cell>
        </row>
        <row r="292">
          <cell r="A292">
            <v>40164</v>
          </cell>
          <cell r="B292">
            <v>40164</v>
          </cell>
          <cell r="C292" t="str">
            <v>Past</v>
          </cell>
          <cell r="D292">
            <v>0.79</v>
          </cell>
          <cell r="E292" t="e">
            <v>#N/A</v>
          </cell>
          <cell r="F292" t="e">
            <v>#N/A</v>
          </cell>
          <cell r="G292" t="e">
            <v>#N/A</v>
          </cell>
          <cell r="H292" t="e">
            <v>#N/A</v>
          </cell>
          <cell r="I292" t="e">
            <v>#N/A</v>
          </cell>
          <cell r="J292" t="e">
            <v>#N/A</v>
          </cell>
          <cell r="K292" t="e">
            <v>#N/A</v>
          </cell>
          <cell r="L292" t="e">
            <v>#N/A</v>
          </cell>
          <cell r="M292" t="e">
            <v>#N/A</v>
          </cell>
          <cell r="N292" t="e">
            <v>#N/A</v>
          </cell>
          <cell r="O292" t="e">
            <v>#N/A</v>
          </cell>
          <cell r="P292">
            <v>0.79</v>
          </cell>
          <cell r="Q292">
            <v>3.2045179999999998</v>
          </cell>
          <cell r="R292" t="e">
            <v>#N/A</v>
          </cell>
        </row>
        <row r="293">
          <cell r="A293">
            <v>40165</v>
          </cell>
          <cell r="B293">
            <v>40165</v>
          </cell>
          <cell r="C293" t="str">
            <v>Past</v>
          </cell>
          <cell r="D293">
            <v>0.77500000000000002</v>
          </cell>
          <cell r="E293" t="e">
            <v>#N/A</v>
          </cell>
          <cell r="F293" t="e">
            <v>#N/A</v>
          </cell>
          <cell r="G293" t="e">
            <v>#N/A</v>
          </cell>
          <cell r="H293" t="e">
            <v>#N/A</v>
          </cell>
          <cell r="I293" t="e">
            <v>#N/A</v>
          </cell>
          <cell r="J293" t="e">
            <v>#N/A</v>
          </cell>
          <cell r="K293" t="e">
            <v>#N/A</v>
          </cell>
          <cell r="L293" t="e">
            <v>#N/A</v>
          </cell>
          <cell r="M293" t="e">
            <v>#N/A</v>
          </cell>
          <cell r="N293" t="e">
            <v>#N/A</v>
          </cell>
          <cell r="O293" t="e">
            <v>#N/A</v>
          </cell>
          <cell r="P293">
            <v>0.77500000000000002</v>
          </cell>
          <cell r="Q293">
            <v>1.2878049999999999</v>
          </cell>
          <cell r="R293" t="e">
            <v>#N/A</v>
          </cell>
        </row>
        <row r="294">
          <cell r="A294">
            <v>40168</v>
          </cell>
          <cell r="B294">
            <v>40168</v>
          </cell>
          <cell r="C294" t="str">
            <v>Past</v>
          </cell>
          <cell r="D294">
            <v>0.77</v>
          </cell>
          <cell r="E294" t="e">
            <v>#N/A</v>
          </cell>
          <cell r="F294" t="e">
            <v>#N/A</v>
          </cell>
          <cell r="G294" t="e">
            <v>#N/A</v>
          </cell>
          <cell r="H294" t="e">
            <v>#N/A</v>
          </cell>
          <cell r="I294" t="e">
            <v>#N/A</v>
          </cell>
          <cell r="J294" t="e">
            <v>#N/A</v>
          </cell>
          <cell r="K294" t="e">
            <v>#N/A</v>
          </cell>
          <cell r="L294" t="e">
            <v>#N/A</v>
          </cell>
          <cell r="M294" t="e">
            <v>#N/A</v>
          </cell>
          <cell r="N294" t="e">
            <v>#N/A</v>
          </cell>
          <cell r="O294" t="e">
            <v>#N/A</v>
          </cell>
          <cell r="P294">
            <v>0.77</v>
          </cell>
          <cell r="Q294">
            <v>1.140495</v>
          </cell>
          <cell r="R294" t="e">
            <v>#N/A</v>
          </cell>
        </row>
        <row r="295">
          <cell r="A295">
            <v>40169</v>
          </cell>
          <cell r="B295">
            <v>40169</v>
          </cell>
          <cell r="C295" t="str">
            <v>Past</v>
          </cell>
          <cell r="D295">
            <v>0.77</v>
          </cell>
          <cell r="E295" t="e">
            <v>#N/A</v>
          </cell>
          <cell r="F295" t="e">
            <v>#N/A</v>
          </cell>
          <cell r="G295" t="e">
            <v>#N/A</v>
          </cell>
          <cell r="H295" t="e">
            <v>#N/A</v>
          </cell>
          <cell r="I295" t="e">
            <v>#N/A</v>
          </cell>
          <cell r="J295" t="e">
            <v>#N/A</v>
          </cell>
          <cell r="K295" t="e">
            <v>#N/A</v>
          </cell>
          <cell r="L295" t="e">
            <v>#N/A</v>
          </cell>
          <cell r="M295" t="e">
            <v>#N/A</v>
          </cell>
          <cell r="N295" t="e">
            <v>#N/A</v>
          </cell>
          <cell r="O295" t="e">
            <v>#N/A</v>
          </cell>
          <cell r="P295">
            <v>0.77</v>
          </cell>
          <cell r="Q295">
            <v>2.6172459999999997</v>
          </cell>
          <cell r="R295" t="e">
            <v>#N/A</v>
          </cell>
        </row>
        <row r="296">
          <cell r="A296">
            <v>40170</v>
          </cell>
          <cell r="B296">
            <v>40170</v>
          </cell>
          <cell r="C296" t="str">
            <v>Past</v>
          </cell>
          <cell r="D296">
            <v>0.77</v>
          </cell>
          <cell r="E296" t="e">
            <v>#N/A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>
            <v>0.77</v>
          </cell>
          <cell r="Q296">
            <v>1.490526</v>
          </cell>
          <cell r="R296" t="e">
            <v>#N/A</v>
          </cell>
        </row>
        <row r="297">
          <cell r="A297">
            <v>40171</v>
          </cell>
          <cell r="B297">
            <v>40171</v>
          </cell>
          <cell r="C297" t="str">
            <v>Past</v>
          </cell>
          <cell r="D297">
            <v>0.77</v>
          </cell>
          <cell r="E297" t="e">
            <v>#N/A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>
            <v>0.77</v>
          </cell>
          <cell r="Q297">
            <v>1.599</v>
          </cell>
          <cell r="R297" t="e">
            <v>#N/A</v>
          </cell>
        </row>
        <row r="298">
          <cell r="A298">
            <v>40172</v>
          </cell>
          <cell r="B298">
            <v>40172</v>
          </cell>
          <cell r="C298" t="str">
            <v>Past</v>
          </cell>
          <cell r="D298">
            <v>0.77</v>
          </cell>
          <cell r="E298" t="e">
            <v>#N/A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>
            <v>0.77</v>
          </cell>
          <cell r="Q298">
            <v>0</v>
          </cell>
          <cell r="R298" t="e">
            <v>#N/A</v>
          </cell>
        </row>
        <row r="299">
          <cell r="A299">
            <v>40175</v>
          </cell>
          <cell r="B299">
            <v>40175</v>
          </cell>
          <cell r="C299" t="str">
            <v>Past</v>
          </cell>
          <cell r="D299">
            <v>0.77</v>
          </cell>
          <cell r="E299" t="e">
            <v>#N/A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>
            <v>0.77</v>
          </cell>
          <cell r="Q299">
            <v>0</v>
          </cell>
          <cell r="R299" t="e">
            <v>#N/A</v>
          </cell>
        </row>
        <row r="300">
          <cell r="A300">
            <v>40176</v>
          </cell>
          <cell r="B300">
            <v>40176</v>
          </cell>
          <cell r="C300" t="str">
            <v>Past</v>
          </cell>
          <cell r="D300">
            <v>0.77500000000000002</v>
          </cell>
          <cell r="E300" t="e">
            <v>#N/A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>
            <v>0.77500000000000002</v>
          </cell>
          <cell r="Q300">
            <v>2.3258900000000002</v>
          </cell>
          <cell r="R300" t="e">
            <v>#N/A</v>
          </cell>
        </row>
        <row r="301">
          <cell r="A301">
            <v>40177</v>
          </cell>
          <cell r="B301">
            <v>40177</v>
          </cell>
          <cell r="C301" t="str">
            <v>Past</v>
          </cell>
          <cell r="D301">
            <v>0.8</v>
          </cell>
          <cell r="E301" t="e">
            <v>#N/A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>
            <v>0.8</v>
          </cell>
          <cell r="Q301">
            <v>1.2560500000000001</v>
          </cell>
          <cell r="R301" t="e">
            <v>#N/A</v>
          </cell>
        </row>
        <row r="302">
          <cell r="A302">
            <v>40178</v>
          </cell>
          <cell r="B302">
            <v>40178</v>
          </cell>
          <cell r="C302" t="str">
            <v>Past</v>
          </cell>
          <cell r="D302">
            <v>0.79</v>
          </cell>
          <cell r="E302" t="e">
            <v>#N/A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>
            <v>0.79</v>
          </cell>
          <cell r="Q302">
            <v>0.49624699999999999</v>
          </cell>
          <cell r="R302" t="e">
            <v>#N/A</v>
          </cell>
        </row>
        <row r="303">
          <cell r="A303">
            <v>40179</v>
          </cell>
          <cell r="B303">
            <v>40179</v>
          </cell>
          <cell r="C303" t="str">
            <v>Past</v>
          </cell>
          <cell r="D303">
            <v>0.79</v>
          </cell>
          <cell r="E303" t="e">
            <v>#N/A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>
            <v>0.79</v>
          </cell>
          <cell r="Q303">
            <v>0</v>
          </cell>
          <cell r="R303" t="e">
            <v>#N/A</v>
          </cell>
        </row>
        <row r="304">
          <cell r="A304">
            <v>40182</v>
          </cell>
          <cell r="B304">
            <v>40182</v>
          </cell>
          <cell r="C304" t="str">
            <v>Past</v>
          </cell>
          <cell r="D304">
            <v>0.81</v>
          </cell>
          <cell r="E304" t="e">
            <v>#N/A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>
            <v>0.81</v>
          </cell>
          <cell r="Q304">
            <v>2.1654059999999999</v>
          </cell>
          <cell r="R304" t="e">
            <v>#N/A</v>
          </cell>
        </row>
        <row r="305">
          <cell r="A305">
            <v>40183</v>
          </cell>
          <cell r="B305">
            <v>40183</v>
          </cell>
          <cell r="C305" t="str">
            <v>Past</v>
          </cell>
          <cell r="D305">
            <v>0.78500000000000003</v>
          </cell>
          <cell r="E305" t="e">
            <v>#N/A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>
            <v>0.78500000000000003</v>
          </cell>
          <cell r="Q305">
            <v>3.446113</v>
          </cell>
          <cell r="R305" t="e">
            <v>#N/A</v>
          </cell>
        </row>
        <row r="306">
          <cell r="A306">
            <v>40184</v>
          </cell>
          <cell r="B306">
            <v>40184</v>
          </cell>
          <cell r="C306" t="str">
            <v>Past</v>
          </cell>
          <cell r="D306">
            <v>0.78</v>
          </cell>
          <cell r="E306" t="e">
            <v>#N/A</v>
          </cell>
          <cell r="F306" t="e">
            <v>#N/A</v>
          </cell>
          <cell r="G306" t="e">
            <v>#N/A</v>
          </cell>
          <cell r="H306" t="e">
            <v>#N/A</v>
          </cell>
          <cell r="I306" t="e">
            <v>#N/A</v>
          </cell>
          <cell r="J306" t="e">
            <v>#N/A</v>
          </cell>
          <cell r="K306" t="e">
            <v>#N/A</v>
          </cell>
          <cell r="L306" t="e">
            <v>#N/A</v>
          </cell>
          <cell r="M306" t="e">
            <v>#N/A</v>
          </cell>
          <cell r="N306" t="e">
            <v>#N/A</v>
          </cell>
          <cell r="O306" t="e">
            <v>#N/A</v>
          </cell>
          <cell r="P306">
            <v>0.78</v>
          </cell>
          <cell r="Q306">
            <v>5.3090469999999996</v>
          </cell>
          <cell r="R306" t="e">
            <v>#N/A</v>
          </cell>
        </row>
        <row r="307">
          <cell r="A307">
            <v>40185</v>
          </cell>
          <cell r="B307">
            <v>40185</v>
          </cell>
          <cell r="C307" t="str">
            <v>Past</v>
          </cell>
          <cell r="D307">
            <v>0.8</v>
          </cell>
          <cell r="E307" t="e">
            <v>#N/A</v>
          </cell>
          <cell r="F307" t="e">
            <v>#N/A</v>
          </cell>
          <cell r="G307" t="e">
            <v>#N/A</v>
          </cell>
          <cell r="H307" t="e">
            <v>#N/A</v>
          </cell>
          <cell r="I307" t="e">
            <v>#N/A</v>
          </cell>
          <cell r="J307" t="e">
            <v>#N/A</v>
          </cell>
          <cell r="K307" t="e">
            <v>#N/A</v>
          </cell>
          <cell r="L307" t="e">
            <v>#N/A</v>
          </cell>
          <cell r="M307" t="e">
            <v>#N/A</v>
          </cell>
          <cell r="N307" t="e">
            <v>#N/A</v>
          </cell>
          <cell r="O307" t="e">
            <v>#N/A</v>
          </cell>
          <cell r="P307">
            <v>0.8</v>
          </cell>
          <cell r="Q307">
            <v>3.7510029999999999</v>
          </cell>
          <cell r="R307" t="e">
            <v>#N/A</v>
          </cell>
        </row>
        <row r="308">
          <cell r="A308">
            <v>40186</v>
          </cell>
          <cell r="B308">
            <v>40186</v>
          </cell>
          <cell r="C308" t="str">
            <v>Past</v>
          </cell>
          <cell r="D308">
            <v>0.8</v>
          </cell>
          <cell r="E308" t="e">
            <v>#N/A</v>
          </cell>
          <cell r="F308" t="e">
            <v>#N/A</v>
          </cell>
          <cell r="G308" t="e">
            <v>#N/A</v>
          </cell>
          <cell r="H308" t="e">
            <v>#N/A</v>
          </cell>
          <cell r="I308" t="e">
            <v>#N/A</v>
          </cell>
          <cell r="J308" t="e">
            <v>#N/A</v>
          </cell>
          <cell r="K308" t="e">
            <v>#N/A</v>
          </cell>
          <cell r="L308" t="e">
            <v>#N/A</v>
          </cell>
          <cell r="M308" t="e">
            <v>#N/A</v>
          </cell>
          <cell r="N308" t="e">
            <v>#N/A</v>
          </cell>
          <cell r="O308" t="e">
            <v>#N/A</v>
          </cell>
          <cell r="P308">
            <v>0.8</v>
          </cell>
          <cell r="Q308">
            <v>3.2348569999999999</v>
          </cell>
          <cell r="R308" t="e">
            <v>#N/A</v>
          </cell>
        </row>
        <row r="309">
          <cell r="A309">
            <v>40189</v>
          </cell>
          <cell r="B309">
            <v>40189</v>
          </cell>
          <cell r="C309" t="str">
            <v>Past</v>
          </cell>
          <cell r="D309">
            <v>0.8</v>
          </cell>
          <cell r="E309" t="e">
            <v>#N/A</v>
          </cell>
          <cell r="F309" t="e">
            <v>#N/A</v>
          </cell>
          <cell r="G309" t="e">
            <v>#N/A</v>
          </cell>
          <cell r="H309" t="e">
            <v>#N/A</v>
          </cell>
          <cell r="I309" t="e">
            <v>#N/A</v>
          </cell>
          <cell r="J309" t="e">
            <v>#N/A</v>
          </cell>
          <cell r="K309" t="e">
            <v>#N/A</v>
          </cell>
          <cell r="L309" t="e">
            <v>#N/A</v>
          </cell>
          <cell r="M309" t="e">
            <v>#N/A</v>
          </cell>
          <cell r="N309" t="e">
            <v>#N/A</v>
          </cell>
          <cell r="O309" t="e">
            <v>#N/A</v>
          </cell>
          <cell r="P309">
            <v>0.8</v>
          </cell>
          <cell r="Q309">
            <v>2.1566679999999998</v>
          </cell>
          <cell r="R309" t="e">
            <v>#N/A</v>
          </cell>
        </row>
        <row r="310">
          <cell r="A310">
            <v>40190</v>
          </cell>
          <cell r="B310">
            <v>40190</v>
          </cell>
          <cell r="C310" t="str">
            <v>Past</v>
          </cell>
          <cell r="D310">
            <v>0.79500000000000004</v>
          </cell>
          <cell r="E310" t="e">
            <v>#N/A</v>
          </cell>
          <cell r="F310" t="e">
            <v>#N/A</v>
          </cell>
          <cell r="G310" t="e">
            <v>#N/A</v>
          </cell>
          <cell r="H310" t="e">
            <v>#N/A</v>
          </cell>
          <cell r="I310" t="e">
            <v>#N/A</v>
          </cell>
          <cell r="J310" t="e">
            <v>#N/A</v>
          </cell>
          <cell r="K310" t="e">
            <v>#N/A</v>
          </cell>
          <cell r="L310" t="e">
            <v>#N/A</v>
          </cell>
          <cell r="M310" t="e">
            <v>#N/A</v>
          </cell>
          <cell r="N310" t="e">
            <v>#N/A</v>
          </cell>
          <cell r="O310" t="e">
            <v>#N/A</v>
          </cell>
          <cell r="P310">
            <v>0.79500000000000004</v>
          </cell>
          <cell r="Q310">
            <v>1.8446629999999999</v>
          </cell>
          <cell r="R310" t="e">
            <v>#N/A</v>
          </cell>
        </row>
        <row r="311">
          <cell r="A311">
            <v>40191</v>
          </cell>
          <cell r="B311">
            <v>40191</v>
          </cell>
          <cell r="C311" t="str">
            <v>Past</v>
          </cell>
          <cell r="D311">
            <v>0.8</v>
          </cell>
          <cell r="E311" t="e">
            <v>#N/A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>
            <v>0.8</v>
          </cell>
          <cell r="Q311">
            <v>2.9057909999999998</v>
          </cell>
          <cell r="R311" t="e">
            <v>#N/A</v>
          </cell>
        </row>
        <row r="312">
          <cell r="A312">
            <v>40192</v>
          </cell>
          <cell r="B312">
            <v>40192</v>
          </cell>
          <cell r="C312" t="str">
            <v>Past</v>
          </cell>
          <cell r="D312">
            <v>0.78</v>
          </cell>
          <cell r="E312" t="e">
            <v>#N/A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>
            <v>0.78</v>
          </cell>
          <cell r="Q312">
            <v>2.1899569999999997</v>
          </cell>
          <cell r="R312" t="e">
            <v>#N/A</v>
          </cell>
        </row>
        <row r="313">
          <cell r="A313">
            <v>40193</v>
          </cell>
          <cell r="B313">
            <v>40193</v>
          </cell>
          <cell r="C313" t="str">
            <v>Past</v>
          </cell>
          <cell r="D313">
            <v>0.78</v>
          </cell>
          <cell r="E313" t="e">
            <v>#N/A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>
            <v>0.78</v>
          </cell>
          <cell r="Q313">
            <v>3.1855609999999999</v>
          </cell>
          <cell r="R313" t="e">
            <v>#N/A</v>
          </cell>
        </row>
        <row r="314">
          <cell r="A314">
            <v>40196</v>
          </cell>
          <cell r="B314">
            <v>40196</v>
          </cell>
          <cell r="C314" t="str">
            <v>Past</v>
          </cell>
          <cell r="D314">
            <v>0.78500000000000003</v>
          </cell>
          <cell r="E314" t="e">
            <v>#N/A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>
            <v>0.78500000000000003</v>
          </cell>
          <cell r="Q314">
            <v>3.3478369999999997</v>
          </cell>
          <cell r="R314" t="e">
            <v>#N/A</v>
          </cell>
        </row>
        <row r="315">
          <cell r="A315">
            <v>40197</v>
          </cell>
          <cell r="B315">
            <v>40197</v>
          </cell>
          <cell r="C315" t="str">
            <v>Past</v>
          </cell>
          <cell r="D315">
            <v>0.76</v>
          </cell>
          <cell r="E315" t="e">
            <v>#N/A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>
            <v>0.76</v>
          </cell>
          <cell r="Q315">
            <v>3.6229639999999996</v>
          </cell>
          <cell r="R315" t="e">
            <v>#N/A</v>
          </cell>
        </row>
        <row r="316">
          <cell r="A316">
            <v>40198</v>
          </cell>
          <cell r="B316">
            <v>40198</v>
          </cell>
          <cell r="C316" t="str">
            <v>Past</v>
          </cell>
          <cell r="D316">
            <v>0.74</v>
          </cell>
          <cell r="E316" t="e">
            <v>#N/A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>
            <v>0.74</v>
          </cell>
          <cell r="Q316">
            <v>3.1173769999999998</v>
          </cell>
          <cell r="R316" t="e">
            <v>#N/A</v>
          </cell>
        </row>
        <row r="317">
          <cell r="A317">
            <v>40199</v>
          </cell>
          <cell r="B317">
            <v>40199</v>
          </cell>
          <cell r="C317" t="str">
            <v>Past</v>
          </cell>
          <cell r="D317">
            <v>0.745</v>
          </cell>
          <cell r="E317" t="e">
            <v>#N/A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>
            <v>0.745</v>
          </cell>
          <cell r="Q317">
            <v>3.341208</v>
          </cell>
          <cell r="R317" t="e">
            <v>#N/A</v>
          </cell>
        </row>
        <row r="318">
          <cell r="A318">
            <v>40200</v>
          </cell>
          <cell r="B318">
            <v>40200</v>
          </cell>
          <cell r="C318" t="str">
            <v>Past</v>
          </cell>
          <cell r="D318">
            <v>0.73499999999999999</v>
          </cell>
          <cell r="E318" t="e">
            <v>#N/A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>
            <v>0.73499999999999999</v>
          </cell>
          <cell r="Q318">
            <v>2.8766749999999996</v>
          </cell>
          <cell r="R318" t="e">
            <v>#N/A</v>
          </cell>
        </row>
        <row r="319">
          <cell r="A319">
            <v>40203</v>
          </cell>
          <cell r="B319">
            <v>40203</v>
          </cell>
          <cell r="C319" t="str">
            <v>Past</v>
          </cell>
          <cell r="D319">
            <v>0.71499999999999997</v>
          </cell>
          <cell r="E319" t="e">
            <v>#N/A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>
            <v>0.71499999999999997</v>
          </cell>
          <cell r="Q319">
            <v>1.5722639999999999</v>
          </cell>
          <cell r="R319" t="e">
            <v>#N/A</v>
          </cell>
        </row>
        <row r="320">
          <cell r="A320">
            <v>40204</v>
          </cell>
          <cell r="B320">
            <v>40204</v>
          </cell>
          <cell r="C320" t="str">
            <v>Past</v>
          </cell>
          <cell r="D320">
            <v>0.71499999999999997</v>
          </cell>
          <cell r="E320" t="e">
            <v>#N/A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>
            <v>0.71499999999999997</v>
          </cell>
          <cell r="Q320">
            <v>0</v>
          </cell>
          <cell r="R320" t="e">
            <v>#N/A</v>
          </cell>
        </row>
        <row r="321">
          <cell r="A321">
            <v>40205</v>
          </cell>
          <cell r="B321">
            <v>40205</v>
          </cell>
          <cell r="C321" t="str">
            <v>Past</v>
          </cell>
          <cell r="D321">
            <v>0.72499999999999998</v>
          </cell>
          <cell r="E321" t="e">
            <v>#N/A</v>
          </cell>
          <cell r="F321" t="e">
            <v>#N/A</v>
          </cell>
          <cell r="G321" t="e">
            <v>#N/A</v>
          </cell>
          <cell r="H321" t="e">
            <v>#N/A</v>
          </cell>
          <cell r="I321" t="e">
            <v>#N/A</v>
          </cell>
          <cell r="J321" t="e">
            <v>#N/A</v>
          </cell>
          <cell r="K321" t="e">
            <v>#N/A</v>
          </cell>
          <cell r="L321" t="e">
            <v>#N/A</v>
          </cell>
          <cell r="M321" t="e">
            <v>#N/A</v>
          </cell>
          <cell r="N321" t="e">
            <v>#N/A</v>
          </cell>
          <cell r="O321" t="e">
            <v>#N/A</v>
          </cell>
          <cell r="P321">
            <v>0.72499999999999998</v>
          </cell>
          <cell r="Q321">
            <v>2.3895559999999998</v>
          </cell>
          <cell r="R321" t="e">
            <v>#N/A</v>
          </cell>
        </row>
        <row r="322">
          <cell r="A322">
            <v>40206</v>
          </cell>
          <cell r="B322">
            <v>40206</v>
          </cell>
          <cell r="C322" t="str">
            <v>Past</v>
          </cell>
          <cell r="D322">
            <v>0.72</v>
          </cell>
          <cell r="E322" t="e">
            <v>#N/A</v>
          </cell>
          <cell r="F322" t="e">
            <v>#N/A</v>
          </cell>
          <cell r="G322" t="e">
            <v>#N/A</v>
          </cell>
          <cell r="H322" t="e">
            <v>#N/A</v>
          </cell>
          <cell r="I322" t="e">
            <v>#N/A</v>
          </cell>
          <cell r="J322" t="e">
            <v>#N/A</v>
          </cell>
          <cell r="K322" t="e">
            <v>#N/A</v>
          </cell>
          <cell r="L322" t="e">
            <v>#N/A</v>
          </cell>
          <cell r="M322" t="e">
            <v>#N/A</v>
          </cell>
          <cell r="N322" t="e">
            <v>#N/A</v>
          </cell>
          <cell r="O322" t="e">
            <v>#N/A</v>
          </cell>
          <cell r="P322">
            <v>0.72</v>
          </cell>
          <cell r="Q322">
            <v>2.3524959999999999</v>
          </cell>
          <cell r="R322" t="e">
            <v>#N/A</v>
          </cell>
        </row>
        <row r="323">
          <cell r="A323">
            <v>40207</v>
          </cell>
          <cell r="B323">
            <v>40207</v>
          </cell>
          <cell r="C323" t="str">
            <v>Past</v>
          </cell>
          <cell r="D323">
            <v>0.69499999999999995</v>
          </cell>
          <cell r="E323" t="e">
            <v>#N/A</v>
          </cell>
          <cell r="F323" t="e">
            <v>#N/A</v>
          </cell>
          <cell r="G323" t="e">
            <v>#N/A</v>
          </cell>
          <cell r="H323" t="e">
            <v>#N/A</v>
          </cell>
          <cell r="I323" t="e">
            <v>#N/A</v>
          </cell>
          <cell r="J323" t="e">
            <v>#N/A</v>
          </cell>
          <cell r="K323" t="e">
            <v>#N/A</v>
          </cell>
          <cell r="L323" t="e">
            <v>#N/A</v>
          </cell>
          <cell r="M323" t="e">
            <v>#N/A</v>
          </cell>
          <cell r="N323" t="e">
            <v>#N/A</v>
          </cell>
          <cell r="O323" t="e">
            <v>#N/A</v>
          </cell>
          <cell r="P323">
            <v>0.69499999999999995</v>
          </cell>
          <cell r="Q323">
            <v>2.6376390000000001</v>
          </cell>
          <cell r="R323" t="e">
            <v>#N/A</v>
          </cell>
        </row>
        <row r="324">
          <cell r="A324">
            <v>40210</v>
          </cell>
          <cell r="B324">
            <v>40210</v>
          </cell>
          <cell r="C324" t="str">
            <v>Past</v>
          </cell>
          <cell r="D324">
            <v>0.64500000000000002</v>
          </cell>
          <cell r="E324" t="e">
            <v>#N/A</v>
          </cell>
          <cell r="F324" t="e">
            <v>#N/A</v>
          </cell>
          <cell r="G324" t="e">
            <v>#N/A</v>
          </cell>
          <cell r="H324" t="e">
            <v>#N/A</v>
          </cell>
          <cell r="I324" t="e">
            <v>#N/A</v>
          </cell>
          <cell r="J324" t="e">
            <v>#N/A</v>
          </cell>
          <cell r="K324" t="e">
            <v>#N/A</v>
          </cell>
          <cell r="L324" t="e">
            <v>#N/A</v>
          </cell>
          <cell r="M324" t="e">
            <v>#N/A</v>
          </cell>
          <cell r="N324" t="e">
            <v>#N/A</v>
          </cell>
          <cell r="O324" t="e">
            <v>#N/A</v>
          </cell>
          <cell r="P324">
            <v>0.64500000000000002</v>
          </cell>
          <cell r="Q324">
            <v>4.5979999999999999</v>
          </cell>
          <cell r="R324" t="e">
            <v>#N/A</v>
          </cell>
        </row>
        <row r="325">
          <cell r="A325">
            <v>40211</v>
          </cell>
          <cell r="B325">
            <v>40211</v>
          </cell>
          <cell r="C325" t="str">
            <v>Past</v>
          </cell>
          <cell r="D325">
            <v>0.68</v>
          </cell>
          <cell r="E325" t="e">
            <v>#N/A</v>
          </cell>
          <cell r="F325" t="e">
            <v>#N/A</v>
          </cell>
          <cell r="G325" t="e">
            <v>#N/A</v>
          </cell>
          <cell r="H325" t="e">
            <v>#N/A</v>
          </cell>
          <cell r="I325" t="e">
            <v>#N/A</v>
          </cell>
          <cell r="J325" t="e">
            <v>#N/A</v>
          </cell>
          <cell r="K325" t="e">
            <v>#N/A</v>
          </cell>
          <cell r="L325" t="e">
            <v>#N/A</v>
          </cell>
          <cell r="M325" t="e">
            <v>#N/A</v>
          </cell>
          <cell r="N325" t="e">
            <v>#N/A</v>
          </cell>
          <cell r="O325" t="e">
            <v>#N/A</v>
          </cell>
          <cell r="P325">
            <v>0.68</v>
          </cell>
          <cell r="Q325">
            <v>2.7987649999999999</v>
          </cell>
          <cell r="R325" t="e">
            <v>#N/A</v>
          </cell>
        </row>
        <row r="326">
          <cell r="A326">
            <v>40212</v>
          </cell>
          <cell r="B326">
            <v>40212</v>
          </cell>
          <cell r="C326" t="str">
            <v>Past</v>
          </cell>
          <cell r="D326">
            <v>0.71</v>
          </cell>
          <cell r="E326" t="e">
            <v>#N/A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>
            <v>0.71</v>
          </cell>
          <cell r="Q326">
            <v>1.4094059999999999</v>
          </cell>
          <cell r="R326" t="e">
            <v>#N/A</v>
          </cell>
        </row>
        <row r="327">
          <cell r="A327">
            <v>40213</v>
          </cell>
          <cell r="B327">
            <v>40213</v>
          </cell>
          <cell r="C327" t="str">
            <v>Past</v>
          </cell>
          <cell r="D327">
            <v>0.67</v>
          </cell>
          <cell r="E327" t="e">
            <v>#N/A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>
            <v>0.67</v>
          </cell>
          <cell r="Q327">
            <v>5.0306509999999998</v>
          </cell>
          <cell r="R327" t="e">
            <v>#N/A</v>
          </cell>
        </row>
        <row r="328">
          <cell r="A328">
            <v>40214</v>
          </cell>
          <cell r="B328">
            <v>40214</v>
          </cell>
          <cell r="C328" t="str">
            <v>Past</v>
          </cell>
          <cell r="D328">
            <v>0.64</v>
          </cell>
          <cell r="E328" t="e">
            <v>#N/A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>
            <v>0.64</v>
          </cell>
          <cell r="Q328">
            <v>4.8175309999999998</v>
          </cell>
          <cell r="R328" t="e">
            <v>#N/A</v>
          </cell>
        </row>
        <row r="329">
          <cell r="A329">
            <v>40217</v>
          </cell>
          <cell r="B329">
            <v>40217</v>
          </cell>
          <cell r="C329" t="str">
            <v>Past</v>
          </cell>
          <cell r="D329">
            <v>0.63500000000000001</v>
          </cell>
          <cell r="E329" t="e">
            <v>#N/A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>
            <v>0.63500000000000001</v>
          </cell>
          <cell r="Q329">
            <v>2.51498</v>
          </cell>
          <cell r="R329" t="e">
            <v>#N/A</v>
          </cell>
        </row>
        <row r="330">
          <cell r="A330">
            <v>40218</v>
          </cell>
          <cell r="B330">
            <v>40218</v>
          </cell>
          <cell r="C330" t="str">
            <v>Past</v>
          </cell>
          <cell r="D330">
            <v>0.67</v>
          </cell>
          <cell r="E330" t="e">
            <v>#N/A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>
            <v>0.67</v>
          </cell>
          <cell r="Q330">
            <v>1.879097</v>
          </cell>
          <cell r="R330" t="e">
            <v>#N/A</v>
          </cell>
        </row>
        <row r="331">
          <cell r="A331">
            <v>40219</v>
          </cell>
          <cell r="B331">
            <v>40219</v>
          </cell>
          <cell r="C331" t="str">
            <v>Past</v>
          </cell>
          <cell r="D331">
            <v>0.65</v>
          </cell>
          <cell r="E331" t="e">
            <v>#N/A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>
            <v>0.65</v>
          </cell>
          <cell r="Q331">
            <v>2.856328</v>
          </cell>
          <cell r="R331" t="e">
            <v>#N/A</v>
          </cell>
        </row>
        <row r="332">
          <cell r="A332">
            <v>40220</v>
          </cell>
          <cell r="B332">
            <v>40220</v>
          </cell>
          <cell r="C332" t="str">
            <v>Past</v>
          </cell>
          <cell r="D332">
            <v>0.67</v>
          </cell>
          <cell r="E332" t="e">
            <v>#N/A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>
            <v>0.67</v>
          </cell>
          <cell r="Q332">
            <v>1.254237</v>
          </cell>
          <cell r="R332" t="e">
            <v>#N/A</v>
          </cell>
        </row>
        <row r="333">
          <cell r="A333">
            <v>40221</v>
          </cell>
          <cell r="B333">
            <v>40221</v>
          </cell>
          <cell r="C333" t="str">
            <v>Past</v>
          </cell>
          <cell r="D333">
            <v>0.72499999999999998</v>
          </cell>
          <cell r="E333" t="e">
            <v>#N/A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>
            <v>0.72499999999999998</v>
          </cell>
          <cell r="Q333">
            <v>6.7634339999999993</v>
          </cell>
          <cell r="R333" t="e">
            <v>#N/A</v>
          </cell>
        </row>
        <row r="334">
          <cell r="A334">
            <v>40224</v>
          </cell>
          <cell r="B334">
            <v>40224</v>
          </cell>
          <cell r="C334" t="str">
            <v>Past</v>
          </cell>
          <cell r="D334">
            <v>0.7</v>
          </cell>
          <cell r="E334" t="e">
            <v>#N/A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>
            <v>0.7</v>
          </cell>
          <cell r="Q334">
            <v>2.6114310000000001</v>
          </cell>
          <cell r="R334" t="e">
            <v>#N/A</v>
          </cell>
        </row>
        <row r="335">
          <cell r="A335">
            <v>40225</v>
          </cell>
          <cell r="B335">
            <v>40225</v>
          </cell>
          <cell r="C335" t="str">
            <v>Past</v>
          </cell>
          <cell r="D335">
            <v>0.7</v>
          </cell>
          <cell r="E335" t="e">
            <v>#N/A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>
            <v>0.7</v>
          </cell>
          <cell r="Q335">
            <v>1.793706</v>
          </cell>
          <cell r="R335" t="e">
            <v>#N/A</v>
          </cell>
        </row>
        <row r="336">
          <cell r="A336">
            <v>40226</v>
          </cell>
          <cell r="B336">
            <v>40226</v>
          </cell>
          <cell r="C336" t="str">
            <v>Past</v>
          </cell>
          <cell r="D336">
            <v>0.72499999999999998</v>
          </cell>
          <cell r="E336" t="e">
            <v>#N/A</v>
          </cell>
          <cell r="F336" t="e">
            <v>#N/A</v>
          </cell>
          <cell r="G336" t="e">
            <v>#N/A</v>
          </cell>
          <cell r="H336" t="e">
            <v>#N/A</v>
          </cell>
          <cell r="I336" t="e">
            <v>#N/A</v>
          </cell>
          <cell r="J336" t="e">
            <v>#N/A</v>
          </cell>
          <cell r="K336" t="e">
            <v>#N/A</v>
          </cell>
          <cell r="L336" t="e">
            <v>#N/A</v>
          </cell>
          <cell r="M336" t="e">
            <v>#N/A</v>
          </cell>
          <cell r="N336" t="e">
            <v>#N/A</v>
          </cell>
          <cell r="O336" t="e">
            <v>#N/A</v>
          </cell>
          <cell r="P336">
            <v>0.72499999999999998</v>
          </cell>
          <cell r="Q336">
            <v>2.289857</v>
          </cell>
          <cell r="R336" t="e">
            <v>#N/A</v>
          </cell>
        </row>
        <row r="337">
          <cell r="A337">
            <v>40227</v>
          </cell>
          <cell r="B337">
            <v>40227</v>
          </cell>
          <cell r="C337" t="str">
            <v>Past</v>
          </cell>
          <cell r="D337">
            <v>0.76</v>
          </cell>
          <cell r="E337" t="e">
            <v>#N/A</v>
          </cell>
          <cell r="F337" t="e">
            <v>#N/A</v>
          </cell>
          <cell r="G337" t="e">
            <v>#N/A</v>
          </cell>
          <cell r="H337" t="e">
            <v>#N/A</v>
          </cell>
          <cell r="I337" t="e">
            <v>#N/A</v>
          </cell>
          <cell r="J337" t="e">
            <v>#N/A</v>
          </cell>
          <cell r="K337" t="e">
            <v>#N/A</v>
          </cell>
          <cell r="L337" t="e">
            <v>#N/A</v>
          </cell>
          <cell r="M337" t="e">
            <v>#N/A</v>
          </cell>
          <cell r="N337" t="e">
            <v>#N/A</v>
          </cell>
          <cell r="O337" t="e">
            <v>#N/A</v>
          </cell>
          <cell r="P337">
            <v>0.76</v>
          </cell>
          <cell r="Q337">
            <v>1.9865929999999998</v>
          </cell>
          <cell r="R337" t="e">
            <v>#N/A</v>
          </cell>
        </row>
        <row r="338">
          <cell r="A338">
            <v>40228</v>
          </cell>
          <cell r="B338">
            <v>40228</v>
          </cell>
          <cell r="C338" t="str">
            <v>Past</v>
          </cell>
          <cell r="D338">
            <v>0.73</v>
          </cell>
          <cell r="E338" t="e">
            <v>#N/A</v>
          </cell>
          <cell r="F338" t="e">
            <v>#N/A</v>
          </cell>
          <cell r="G338" t="e">
            <v>#N/A</v>
          </cell>
          <cell r="H338" t="e">
            <v>#N/A</v>
          </cell>
          <cell r="I338" t="e">
            <v>#N/A</v>
          </cell>
          <cell r="J338" t="e">
            <v>#N/A</v>
          </cell>
          <cell r="K338" t="e">
            <v>#N/A</v>
          </cell>
          <cell r="L338" t="e">
            <v>#N/A</v>
          </cell>
          <cell r="M338" t="e">
            <v>#N/A</v>
          </cell>
          <cell r="N338" t="e">
            <v>#N/A</v>
          </cell>
          <cell r="O338" t="e">
            <v>#N/A</v>
          </cell>
          <cell r="P338">
            <v>0.73</v>
          </cell>
          <cell r="Q338">
            <v>3.3111829999999998</v>
          </cell>
          <cell r="R338" t="e">
            <v>#N/A</v>
          </cell>
        </row>
        <row r="339">
          <cell r="A339">
            <v>40231</v>
          </cell>
          <cell r="B339">
            <v>40231</v>
          </cell>
          <cell r="C339" t="str">
            <v>Past</v>
          </cell>
          <cell r="D339">
            <v>0.76</v>
          </cell>
          <cell r="E339" t="e">
            <v>#N/A</v>
          </cell>
          <cell r="F339" t="e">
            <v>#N/A</v>
          </cell>
          <cell r="G339" t="e">
            <v>#N/A</v>
          </cell>
          <cell r="H339" t="e">
            <v>#N/A</v>
          </cell>
          <cell r="I339" t="e">
            <v>#N/A</v>
          </cell>
          <cell r="J339" t="e">
            <v>#N/A</v>
          </cell>
          <cell r="K339" t="e">
            <v>#N/A</v>
          </cell>
          <cell r="L339" t="e">
            <v>#N/A</v>
          </cell>
          <cell r="M339" t="e">
            <v>#N/A</v>
          </cell>
          <cell r="N339" t="e">
            <v>#N/A</v>
          </cell>
          <cell r="O339" t="e">
            <v>#N/A</v>
          </cell>
          <cell r="P339">
            <v>0.76</v>
          </cell>
          <cell r="Q339">
            <v>3.0227469999999999</v>
          </cell>
          <cell r="R339" t="e">
            <v>#N/A</v>
          </cell>
        </row>
        <row r="340">
          <cell r="A340">
            <v>40232</v>
          </cell>
          <cell r="B340">
            <v>40232</v>
          </cell>
          <cell r="C340" t="str">
            <v>Past</v>
          </cell>
          <cell r="D340">
            <v>0.73499999999999999</v>
          </cell>
          <cell r="E340" t="e">
            <v>#N/A</v>
          </cell>
          <cell r="F340" t="e">
            <v>#N/A</v>
          </cell>
          <cell r="G340" t="e">
            <v>#N/A</v>
          </cell>
          <cell r="H340" t="e">
            <v>#N/A</v>
          </cell>
          <cell r="I340" t="e">
            <v>#N/A</v>
          </cell>
          <cell r="J340" t="e">
            <v>#N/A</v>
          </cell>
          <cell r="K340" t="e">
            <v>#N/A</v>
          </cell>
          <cell r="L340" t="e">
            <v>#N/A</v>
          </cell>
          <cell r="M340" t="e">
            <v>#N/A</v>
          </cell>
          <cell r="N340" t="e">
            <v>#N/A</v>
          </cell>
          <cell r="O340" t="e">
            <v>#N/A</v>
          </cell>
          <cell r="P340">
            <v>0.73499999999999999</v>
          </cell>
          <cell r="Q340">
            <v>2.3857149999999998</v>
          </cell>
          <cell r="R340" t="e">
            <v>#N/A</v>
          </cell>
        </row>
        <row r="341">
          <cell r="A341">
            <v>40233</v>
          </cell>
          <cell r="B341">
            <v>40233</v>
          </cell>
          <cell r="C341" t="str">
            <v>Past</v>
          </cell>
          <cell r="D341">
            <v>0.71</v>
          </cell>
          <cell r="E341" t="e">
            <v>#N/A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>
            <v>0.71</v>
          </cell>
          <cell r="Q341">
            <v>3.8792219999999999</v>
          </cell>
          <cell r="R341" t="e">
            <v>#N/A</v>
          </cell>
        </row>
        <row r="342">
          <cell r="A342">
            <v>40234</v>
          </cell>
          <cell r="B342">
            <v>40234</v>
          </cell>
          <cell r="C342" t="str">
            <v>Past</v>
          </cell>
          <cell r="D342">
            <v>0.69</v>
          </cell>
          <cell r="E342" t="e">
            <v>#N/A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>
            <v>0.69</v>
          </cell>
          <cell r="Q342">
            <v>6.983765</v>
          </cell>
          <cell r="R342" t="e">
            <v>#N/A</v>
          </cell>
        </row>
        <row r="343">
          <cell r="A343">
            <v>40235</v>
          </cell>
          <cell r="B343">
            <v>40235</v>
          </cell>
          <cell r="C343" t="str">
            <v>Past</v>
          </cell>
          <cell r="D343">
            <v>0.68500000000000005</v>
          </cell>
          <cell r="E343" t="e">
            <v>#N/A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>
            <v>0.68500000000000005</v>
          </cell>
          <cell r="Q343">
            <v>2.7141289999999998</v>
          </cell>
          <cell r="R343" t="e">
            <v>#N/A</v>
          </cell>
        </row>
        <row r="344">
          <cell r="A344">
            <v>40238</v>
          </cell>
          <cell r="B344">
            <v>40238</v>
          </cell>
          <cell r="C344" t="str">
            <v>Past</v>
          </cell>
          <cell r="D344">
            <v>0.69</v>
          </cell>
          <cell r="E344" t="e">
            <v>#N/A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>
            <v>0.69</v>
          </cell>
          <cell r="Q344">
            <v>2.8326180000000001</v>
          </cell>
          <cell r="R344" t="e">
            <v>#N/A</v>
          </cell>
        </row>
        <row r="345">
          <cell r="A345">
            <v>40239</v>
          </cell>
          <cell r="B345">
            <v>40239</v>
          </cell>
          <cell r="C345" t="str">
            <v>Past</v>
          </cell>
          <cell r="D345">
            <v>0.68500000000000005</v>
          </cell>
          <cell r="E345" t="e">
            <v>#N/A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>
            <v>0.68500000000000005</v>
          </cell>
          <cell r="Q345">
            <v>2.4169700000000001</v>
          </cell>
          <cell r="R345" t="e">
            <v>#N/A</v>
          </cell>
        </row>
        <row r="346">
          <cell r="A346">
            <v>40240</v>
          </cell>
          <cell r="B346">
            <v>40240</v>
          </cell>
          <cell r="C346" t="str">
            <v>Past</v>
          </cell>
          <cell r="D346">
            <v>0.67500000000000004</v>
          </cell>
          <cell r="E346" t="e">
            <v>#N/A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>
            <v>0.67500000000000004</v>
          </cell>
          <cell r="Q346">
            <v>3.7312959999999999</v>
          </cell>
          <cell r="R346" t="e">
            <v>#N/A</v>
          </cell>
        </row>
        <row r="347">
          <cell r="A347">
            <v>40241</v>
          </cell>
          <cell r="B347">
            <v>40241</v>
          </cell>
          <cell r="C347" t="str">
            <v>Past</v>
          </cell>
          <cell r="D347">
            <v>0.66500000000000004</v>
          </cell>
          <cell r="E347" t="e">
            <v>#N/A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>
            <v>0.66500000000000004</v>
          </cell>
          <cell r="Q347">
            <v>1.1656339999999998</v>
          </cell>
          <cell r="R347" t="e">
            <v>#N/A</v>
          </cell>
        </row>
        <row r="348">
          <cell r="A348">
            <v>40242</v>
          </cell>
          <cell r="B348">
            <v>40242</v>
          </cell>
          <cell r="C348" t="str">
            <v>Past</v>
          </cell>
          <cell r="D348">
            <v>0.67</v>
          </cell>
          <cell r="E348" t="e">
            <v>#N/A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>
            <v>0.67</v>
          </cell>
          <cell r="Q348">
            <v>2.1057509999999997</v>
          </cell>
          <cell r="R348" t="e">
            <v>#N/A</v>
          </cell>
        </row>
        <row r="349">
          <cell r="A349">
            <v>40245</v>
          </cell>
          <cell r="B349">
            <v>40245</v>
          </cell>
          <cell r="C349" t="str">
            <v>Past</v>
          </cell>
          <cell r="D349">
            <v>0.65</v>
          </cell>
          <cell r="E349" t="e">
            <v>#N/A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>
            <v>0.65</v>
          </cell>
          <cell r="Q349">
            <v>1.6828559999999999</v>
          </cell>
          <cell r="R349" t="e">
            <v>#N/A</v>
          </cell>
        </row>
        <row r="350">
          <cell r="A350">
            <v>40246</v>
          </cell>
          <cell r="B350">
            <v>40246</v>
          </cell>
          <cell r="C350" t="str">
            <v>Past</v>
          </cell>
          <cell r="D350">
            <v>0.65</v>
          </cell>
          <cell r="E350" t="e">
            <v>#N/A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>
            <v>0.65</v>
          </cell>
          <cell r="Q350">
            <v>2.9209510000000001</v>
          </cell>
          <cell r="R350" t="e">
            <v>#N/A</v>
          </cell>
        </row>
        <row r="351">
          <cell r="A351">
            <v>40247</v>
          </cell>
          <cell r="B351">
            <v>40247</v>
          </cell>
          <cell r="C351" t="str">
            <v>Past</v>
          </cell>
          <cell r="D351">
            <v>0.64500000000000002</v>
          </cell>
          <cell r="E351" t="e">
            <v>#N/A</v>
          </cell>
          <cell r="F351" t="e">
            <v>#N/A</v>
          </cell>
          <cell r="G351" t="e">
            <v>#N/A</v>
          </cell>
          <cell r="H351" t="e">
            <v>#N/A</v>
          </cell>
          <cell r="I351" t="e">
            <v>#N/A</v>
          </cell>
          <cell r="J351" t="e">
            <v>#N/A</v>
          </cell>
          <cell r="K351" t="e">
            <v>#N/A</v>
          </cell>
          <cell r="L351" t="e">
            <v>#N/A</v>
          </cell>
          <cell r="M351" t="e">
            <v>#N/A</v>
          </cell>
          <cell r="N351" t="e">
            <v>#N/A</v>
          </cell>
          <cell r="O351" t="e">
            <v>#N/A</v>
          </cell>
          <cell r="P351">
            <v>0.64500000000000002</v>
          </cell>
          <cell r="Q351">
            <v>3.3948209999999999</v>
          </cell>
          <cell r="R351" t="e">
            <v>#N/A</v>
          </cell>
        </row>
        <row r="352">
          <cell r="A352">
            <v>40248</v>
          </cell>
          <cell r="B352">
            <v>40248</v>
          </cell>
          <cell r="C352" t="str">
            <v>Past</v>
          </cell>
          <cell r="D352">
            <v>0.63</v>
          </cell>
          <cell r="E352" t="e">
            <v>#N/A</v>
          </cell>
          <cell r="F352" t="e">
            <v>#N/A</v>
          </cell>
          <cell r="G352" t="e">
            <v>#N/A</v>
          </cell>
          <cell r="H352" t="e">
            <v>#N/A</v>
          </cell>
          <cell r="I352" t="e">
            <v>#N/A</v>
          </cell>
          <cell r="J352" t="e">
            <v>#N/A</v>
          </cell>
          <cell r="K352" t="e">
            <v>#N/A</v>
          </cell>
          <cell r="L352" t="e">
            <v>#N/A</v>
          </cell>
          <cell r="M352" t="e">
            <v>#N/A</v>
          </cell>
          <cell r="N352" t="e">
            <v>#N/A</v>
          </cell>
          <cell r="O352" t="e">
            <v>#N/A</v>
          </cell>
          <cell r="P352">
            <v>0.63</v>
          </cell>
          <cell r="Q352">
            <v>3.0609069999999998</v>
          </cell>
          <cell r="R352" t="e">
            <v>#N/A</v>
          </cell>
        </row>
        <row r="353">
          <cell r="A353">
            <v>40249</v>
          </cell>
          <cell r="B353">
            <v>40249</v>
          </cell>
          <cell r="C353" t="str">
            <v>Past</v>
          </cell>
          <cell r="D353">
            <v>0.61499999999999999</v>
          </cell>
          <cell r="E353" t="e">
            <v>#N/A</v>
          </cell>
          <cell r="F353" t="e">
            <v>#N/A</v>
          </cell>
          <cell r="G353" t="e">
            <v>#N/A</v>
          </cell>
          <cell r="H353" t="e">
            <v>#N/A</v>
          </cell>
          <cell r="I353" t="e">
            <v>#N/A</v>
          </cell>
          <cell r="J353" t="e">
            <v>#N/A</v>
          </cell>
          <cell r="K353" t="e">
            <v>#N/A</v>
          </cell>
          <cell r="L353" t="e">
            <v>#N/A</v>
          </cell>
          <cell r="M353" t="e">
            <v>#N/A</v>
          </cell>
          <cell r="N353" t="e">
            <v>#N/A</v>
          </cell>
          <cell r="O353" t="e">
            <v>#N/A</v>
          </cell>
          <cell r="P353">
            <v>0.61499999999999999</v>
          </cell>
          <cell r="Q353">
            <v>3.0285349999999998</v>
          </cell>
          <cell r="R353" t="e">
            <v>#N/A</v>
          </cell>
        </row>
        <row r="354">
          <cell r="A354">
            <v>40252</v>
          </cell>
          <cell r="B354">
            <v>40252</v>
          </cell>
          <cell r="C354" t="str">
            <v>Past</v>
          </cell>
          <cell r="D354">
            <v>0.58499999999999996</v>
          </cell>
          <cell r="E354" t="e">
            <v>#N/A</v>
          </cell>
          <cell r="F354" t="e">
            <v>#N/A</v>
          </cell>
          <cell r="G354" t="e">
            <v>#N/A</v>
          </cell>
          <cell r="H354" t="e">
            <v>#N/A</v>
          </cell>
          <cell r="I354" t="e">
            <v>#N/A</v>
          </cell>
          <cell r="J354" t="e">
            <v>#N/A</v>
          </cell>
          <cell r="K354" t="e">
            <v>#N/A</v>
          </cell>
          <cell r="L354" t="e">
            <v>#N/A</v>
          </cell>
          <cell r="M354" t="e">
            <v>#N/A</v>
          </cell>
          <cell r="N354" t="e">
            <v>#N/A</v>
          </cell>
          <cell r="O354" t="e">
            <v>#N/A</v>
          </cell>
          <cell r="P354">
            <v>0.58499999999999996</v>
          </cell>
          <cell r="Q354">
            <v>3.407483</v>
          </cell>
          <cell r="R354" t="e">
            <v>#N/A</v>
          </cell>
        </row>
        <row r="355">
          <cell r="A355">
            <v>40253</v>
          </cell>
          <cell r="B355">
            <v>40253</v>
          </cell>
          <cell r="C355" t="str">
            <v>Past</v>
          </cell>
          <cell r="D355">
            <v>0.57999999999999996</v>
          </cell>
          <cell r="E355" t="e">
            <v>#N/A</v>
          </cell>
          <cell r="F355" t="e">
            <v>#N/A</v>
          </cell>
          <cell r="G355" t="e">
            <v>#N/A</v>
          </cell>
          <cell r="H355" t="e">
            <v>#N/A</v>
          </cell>
          <cell r="I355" t="e">
            <v>#N/A</v>
          </cell>
          <cell r="J355" t="e">
            <v>#N/A</v>
          </cell>
          <cell r="K355" t="e">
            <v>#N/A</v>
          </cell>
          <cell r="L355" t="e">
            <v>#N/A</v>
          </cell>
          <cell r="M355" t="e">
            <v>#N/A</v>
          </cell>
          <cell r="N355" t="e">
            <v>#N/A</v>
          </cell>
          <cell r="O355" t="e">
            <v>#N/A</v>
          </cell>
          <cell r="P355">
            <v>0.57999999999999996</v>
          </cell>
          <cell r="Q355">
            <v>3.9521139999999999</v>
          </cell>
          <cell r="R355" t="e">
            <v>#N/A</v>
          </cell>
        </row>
        <row r="356">
          <cell r="A356">
            <v>40254</v>
          </cell>
          <cell r="B356">
            <v>40254</v>
          </cell>
          <cell r="C356" t="str">
            <v>Past</v>
          </cell>
          <cell r="D356">
            <v>0.56999999999999995</v>
          </cell>
          <cell r="E356" t="e">
            <v>#N/A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>
            <v>0.56999999999999995</v>
          </cell>
          <cell r="Q356">
            <v>3.3520309999999998</v>
          </cell>
          <cell r="R356" t="e">
            <v>#N/A</v>
          </cell>
        </row>
        <row r="357">
          <cell r="A357">
            <v>40255</v>
          </cell>
          <cell r="B357">
            <v>40255</v>
          </cell>
          <cell r="C357" t="str">
            <v>Past</v>
          </cell>
          <cell r="D357">
            <v>0.60499999999999998</v>
          </cell>
          <cell r="E357" t="e">
            <v>#N/A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>
            <v>0.60499999999999998</v>
          </cell>
          <cell r="Q357">
            <v>4.5533300000000008</v>
          </cell>
          <cell r="R357" t="e">
            <v>#N/A</v>
          </cell>
        </row>
        <row r="358">
          <cell r="A358">
            <v>40256</v>
          </cell>
          <cell r="B358">
            <v>40256</v>
          </cell>
          <cell r="C358" t="str">
            <v>Past</v>
          </cell>
          <cell r="D358">
            <v>0.61</v>
          </cell>
          <cell r="E358" t="e">
            <v>#N/A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>
            <v>0.61</v>
          </cell>
          <cell r="Q358">
            <v>3.5575069999999998</v>
          </cell>
          <cell r="R358" t="e">
            <v>#N/A</v>
          </cell>
        </row>
        <row r="359">
          <cell r="A359">
            <v>40259</v>
          </cell>
          <cell r="B359">
            <v>40259</v>
          </cell>
          <cell r="C359" t="str">
            <v>Past</v>
          </cell>
          <cell r="D359">
            <v>0.60499999999999998</v>
          </cell>
          <cell r="E359" t="e">
            <v>#N/A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>
            <v>0.60499999999999998</v>
          </cell>
          <cell r="Q359">
            <v>2.0089509999999997</v>
          </cell>
          <cell r="R359" t="e">
            <v>#N/A</v>
          </cell>
        </row>
        <row r="360">
          <cell r="A360">
            <v>40260</v>
          </cell>
          <cell r="B360">
            <v>40260</v>
          </cell>
          <cell r="C360" t="str">
            <v>Past</v>
          </cell>
          <cell r="D360">
            <v>0.64</v>
          </cell>
          <cell r="E360" t="e">
            <v>#N/A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>
            <v>0.64</v>
          </cell>
          <cell r="Q360">
            <v>3.3499719999999997</v>
          </cell>
          <cell r="R360" t="e">
            <v>#N/A</v>
          </cell>
        </row>
        <row r="361">
          <cell r="A361">
            <v>40261</v>
          </cell>
          <cell r="B361">
            <v>40261</v>
          </cell>
          <cell r="C361" t="str">
            <v>Past</v>
          </cell>
          <cell r="D361">
            <v>0.625</v>
          </cell>
          <cell r="E361" t="e">
            <v>#N/A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>
            <v>0.625</v>
          </cell>
          <cell r="Q361">
            <v>2.9569579999999998</v>
          </cell>
          <cell r="R361" t="e">
            <v>#N/A</v>
          </cell>
        </row>
        <row r="362">
          <cell r="A362">
            <v>40262</v>
          </cell>
          <cell r="B362">
            <v>40262</v>
          </cell>
          <cell r="C362" t="str">
            <v>Past</v>
          </cell>
          <cell r="D362">
            <v>0.60499999999999998</v>
          </cell>
          <cell r="E362" t="e">
            <v>#N/A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>
            <v>0.60499999999999998</v>
          </cell>
          <cell r="Q362">
            <v>1.6036189999999999</v>
          </cell>
          <cell r="R362" t="e">
            <v>#N/A</v>
          </cell>
        </row>
        <row r="363">
          <cell r="A363">
            <v>40263</v>
          </cell>
          <cell r="B363">
            <v>40263</v>
          </cell>
          <cell r="C363" t="str">
            <v>Past</v>
          </cell>
          <cell r="D363">
            <v>0.6</v>
          </cell>
          <cell r="E363" t="e">
            <v>#N/A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>
            <v>0.6</v>
          </cell>
          <cell r="Q363">
            <v>1.700394</v>
          </cell>
          <cell r="R363" t="e">
            <v>#N/A</v>
          </cell>
        </row>
        <row r="364">
          <cell r="A364">
            <v>40266</v>
          </cell>
          <cell r="B364">
            <v>40266</v>
          </cell>
          <cell r="C364" t="str">
            <v>Past</v>
          </cell>
          <cell r="D364">
            <v>0.59499999999999997</v>
          </cell>
          <cell r="E364" t="e">
            <v>#N/A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>
            <v>0.59499999999999997</v>
          </cell>
          <cell r="Q364">
            <v>2.213381</v>
          </cell>
          <cell r="R364" t="e">
            <v>#N/A</v>
          </cell>
        </row>
        <row r="365">
          <cell r="A365">
            <v>40267</v>
          </cell>
          <cell r="B365">
            <v>40267</v>
          </cell>
          <cell r="C365" t="str">
            <v>Past</v>
          </cell>
          <cell r="D365">
            <v>0.59499999999999997</v>
          </cell>
          <cell r="E365" t="e">
            <v>#N/A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>
            <v>0.59499999999999997</v>
          </cell>
          <cell r="Q365">
            <v>2.912836</v>
          </cell>
          <cell r="R365" t="e">
            <v>#N/A</v>
          </cell>
        </row>
        <row r="366">
          <cell r="A366">
            <v>40268</v>
          </cell>
          <cell r="B366">
            <v>40268</v>
          </cell>
          <cell r="C366" t="str">
            <v>Past</v>
          </cell>
          <cell r="D366">
            <v>0.61</v>
          </cell>
          <cell r="E366" t="e">
            <v>#N/A</v>
          </cell>
          <cell r="F366" t="e">
            <v>#N/A</v>
          </cell>
          <cell r="G366" t="e">
            <v>#N/A</v>
          </cell>
          <cell r="H366" t="e">
            <v>#N/A</v>
          </cell>
          <cell r="I366" t="e">
            <v>#N/A</v>
          </cell>
          <cell r="J366" t="e">
            <v>#N/A</v>
          </cell>
          <cell r="K366" t="e">
            <v>#N/A</v>
          </cell>
          <cell r="L366" t="e">
            <v>#N/A</v>
          </cell>
          <cell r="M366" t="e">
            <v>#N/A</v>
          </cell>
          <cell r="N366" t="e">
            <v>#N/A</v>
          </cell>
          <cell r="O366" t="e">
            <v>#N/A</v>
          </cell>
          <cell r="P366">
            <v>0.61</v>
          </cell>
          <cell r="Q366">
            <v>1.8237209999999999</v>
          </cell>
          <cell r="R366" t="e">
            <v>#N/A</v>
          </cell>
        </row>
        <row r="367">
          <cell r="A367">
            <v>40269</v>
          </cell>
          <cell r="B367">
            <v>40269</v>
          </cell>
          <cell r="C367" t="str">
            <v>Past</v>
          </cell>
          <cell r="D367">
            <v>0.61499999999999999</v>
          </cell>
          <cell r="E367" t="e">
            <v>#N/A</v>
          </cell>
          <cell r="F367" t="e">
            <v>#N/A</v>
          </cell>
          <cell r="G367" t="e">
            <v>#N/A</v>
          </cell>
          <cell r="H367" t="e">
            <v>#N/A</v>
          </cell>
          <cell r="I367" t="e">
            <v>#N/A</v>
          </cell>
          <cell r="J367" t="e">
            <v>#N/A</v>
          </cell>
          <cell r="K367" t="e">
            <v>#N/A</v>
          </cell>
          <cell r="L367" t="e">
            <v>#N/A</v>
          </cell>
          <cell r="M367" t="e">
            <v>#N/A</v>
          </cell>
          <cell r="N367" t="e">
            <v>#N/A</v>
          </cell>
          <cell r="O367" t="e">
            <v>#N/A</v>
          </cell>
          <cell r="P367">
            <v>0.61499999999999999</v>
          </cell>
          <cell r="Q367">
            <v>3.1092900000000001</v>
          </cell>
          <cell r="R367" t="e">
            <v>#N/A</v>
          </cell>
        </row>
        <row r="368">
          <cell r="A368">
            <v>40270</v>
          </cell>
          <cell r="B368">
            <v>40270</v>
          </cell>
          <cell r="C368" t="str">
            <v>Past</v>
          </cell>
          <cell r="D368">
            <v>0.61499999999999999</v>
          </cell>
          <cell r="E368" t="e">
            <v>#N/A</v>
          </cell>
          <cell r="F368" t="e">
            <v>#N/A</v>
          </cell>
          <cell r="G368" t="e">
            <v>#N/A</v>
          </cell>
          <cell r="H368" t="e">
            <v>#N/A</v>
          </cell>
          <cell r="I368" t="e">
            <v>#N/A</v>
          </cell>
          <cell r="J368" t="e">
            <v>#N/A</v>
          </cell>
          <cell r="K368" t="e">
            <v>#N/A</v>
          </cell>
          <cell r="L368" t="e">
            <v>#N/A</v>
          </cell>
          <cell r="M368" t="e">
            <v>#N/A</v>
          </cell>
          <cell r="N368" t="e">
            <v>#N/A</v>
          </cell>
          <cell r="O368" t="e">
            <v>#N/A</v>
          </cell>
          <cell r="P368">
            <v>0.61499999999999999</v>
          </cell>
          <cell r="Q368">
            <v>0</v>
          </cell>
          <cell r="R368" t="e">
            <v>#N/A</v>
          </cell>
        </row>
        <row r="369">
          <cell r="A369">
            <v>40273</v>
          </cell>
          <cell r="B369">
            <v>40273</v>
          </cell>
          <cell r="C369" t="str">
            <v>Past</v>
          </cell>
          <cell r="D369">
            <v>0.61499999999999999</v>
          </cell>
          <cell r="E369" t="e">
            <v>#N/A</v>
          </cell>
          <cell r="F369" t="e">
            <v>#N/A</v>
          </cell>
          <cell r="G369" t="e">
            <v>#N/A</v>
          </cell>
          <cell r="H369" t="e">
            <v>#N/A</v>
          </cell>
          <cell r="I369" t="e">
            <v>#N/A</v>
          </cell>
          <cell r="J369" t="e">
            <v>#N/A</v>
          </cell>
          <cell r="K369" t="e">
            <v>#N/A</v>
          </cell>
          <cell r="L369" t="e">
            <v>#N/A</v>
          </cell>
          <cell r="M369" t="e">
            <v>#N/A</v>
          </cell>
          <cell r="N369" t="e">
            <v>#N/A</v>
          </cell>
          <cell r="O369" t="e">
            <v>#N/A</v>
          </cell>
          <cell r="P369">
            <v>0.61499999999999999</v>
          </cell>
          <cell r="Q369">
            <v>0</v>
          </cell>
          <cell r="R369" t="e">
            <v>#N/A</v>
          </cell>
        </row>
        <row r="370">
          <cell r="A370">
            <v>40274</v>
          </cell>
          <cell r="B370">
            <v>40274</v>
          </cell>
          <cell r="C370" t="str">
            <v>Past</v>
          </cell>
          <cell r="D370">
            <v>0.63</v>
          </cell>
          <cell r="E370" t="e">
            <v>#N/A</v>
          </cell>
          <cell r="F370" t="e">
            <v>#N/A</v>
          </cell>
          <cell r="G370" t="e">
            <v>#N/A</v>
          </cell>
          <cell r="H370" t="e">
            <v>#N/A</v>
          </cell>
          <cell r="I370" t="e">
            <v>#N/A</v>
          </cell>
          <cell r="J370" t="e">
            <v>#N/A</v>
          </cell>
          <cell r="K370" t="e">
            <v>#N/A</v>
          </cell>
          <cell r="L370" t="e">
            <v>#N/A</v>
          </cell>
          <cell r="M370" t="e">
            <v>#N/A</v>
          </cell>
          <cell r="N370" t="e">
            <v>#N/A</v>
          </cell>
          <cell r="O370" t="e">
            <v>#N/A</v>
          </cell>
          <cell r="P370">
            <v>0.63</v>
          </cell>
          <cell r="Q370">
            <v>1.7220759999999999</v>
          </cell>
          <cell r="R370" t="e">
            <v>#N/A</v>
          </cell>
        </row>
        <row r="371">
          <cell r="A371">
            <v>40275</v>
          </cell>
          <cell r="B371">
            <v>40275</v>
          </cell>
          <cell r="C371" t="str">
            <v>Past</v>
          </cell>
          <cell r="D371">
            <v>0.61499999999999999</v>
          </cell>
          <cell r="E371" t="e">
            <v>#N/A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>
            <v>0.61499999999999999</v>
          </cell>
          <cell r="Q371">
            <v>2.1472720000000001</v>
          </cell>
          <cell r="R371" t="e">
            <v>#N/A</v>
          </cell>
        </row>
        <row r="372">
          <cell r="A372">
            <v>40276</v>
          </cell>
          <cell r="B372">
            <v>40276</v>
          </cell>
          <cell r="C372" t="str">
            <v>Past</v>
          </cell>
          <cell r="D372">
            <v>0.63500000000000001</v>
          </cell>
          <cell r="E372" t="e">
            <v>#N/A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>
            <v>0.63500000000000001</v>
          </cell>
          <cell r="Q372">
            <v>1.950008</v>
          </cell>
          <cell r="R372" t="e">
            <v>#N/A</v>
          </cell>
        </row>
        <row r="373">
          <cell r="A373">
            <v>40277</v>
          </cell>
          <cell r="B373">
            <v>40277</v>
          </cell>
          <cell r="C373" t="str">
            <v>Past</v>
          </cell>
          <cell r="D373">
            <v>0.67500000000000004</v>
          </cell>
          <cell r="E373" t="e">
            <v>#N/A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>
            <v>0.67500000000000004</v>
          </cell>
          <cell r="Q373">
            <v>3.4423719999999998</v>
          </cell>
          <cell r="R373" t="e">
            <v>#N/A</v>
          </cell>
        </row>
        <row r="374">
          <cell r="A374">
            <v>40280</v>
          </cell>
          <cell r="B374">
            <v>40280</v>
          </cell>
          <cell r="C374" t="str">
            <v>Past</v>
          </cell>
          <cell r="D374">
            <v>0.7</v>
          </cell>
          <cell r="E374" t="e">
            <v>#N/A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>
            <v>0.7</v>
          </cell>
          <cell r="Q374">
            <v>3.396306</v>
          </cell>
          <cell r="R374" t="e">
            <v>#N/A</v>
          </cell>
        </row>
        <row r="375">
          <cell r="A375">
            <v>40281</v>
          </cell>
          <cell r="B375">
            <v>40281</v>
          </cell>
          <cell r="C375" t="str">
            <v>Past</v>
          </cell>
          <cell r="D375">
            <v>0.69499999999999995</v>
          </cell>
          <cell r="E375" t="e">
            <v>#N/A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>
            <v>0.69499999999999995</v>
          </cell>
          <cell r="Q375">
            <v>3.3313079999999999</v>
          </cell>
          <cell r="R375" t="e">
            <v>#N/A</v>
          </cell>
        </row>
        <row r="376">
          <cell r="A376">
            <v>40282</v>
          </cell>
          <cell r="B376">
            <v>40282</v>
          </cell>
          <cell r="C376" t="str">
            <v>Past</v>
          </cell>
          <cell r="D376">
            <v>0.71</v>
          </cell>
          <cell r="E376" t="e">
            <v>#N/A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>
            <v>0.71</v>
          </cell>
          <cell r="Q376">
            <v>4.5330629999999994</v>
          </cell>
          <cell r="R376" t="e">
            <v>#N/A</v>
          </cell>
        </row>
        <row r="377">
          <cell r="A377">
            <v>40283</v>
          </cell>
          <cell r="B377">
            <v>40283</v>
          </cell>
          <cell r="C377" t="str">
            <v>Past</v>
          </cell>
          <cell r="D377">
            <v>0.72499999999999998</v>
          </cell>
          <cell r="E377" t="e">
            <v>#N/A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>
            <v>0.72499999999999998</v>
          </cell>
          <cell r="Q377">
            <v>6.144425</v>
          </cell>
          <cell r="R377" t="e">
            <v>#N/A</v>
          </cell>
        </row>
        <row r="378">
          <cell r="A378">
            <v>40284</v>
          </cell>
          <cell r="B378">
            <v>40284</v>
          </cell>
          <cell r="C378" t="str">
            <v>Past</v>
          </cell>
          <cell r="D378">
            <v>0.72</v>
          </cell>
          <cell r="E378" t="e">
            <v>#N/A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>
            <v>0.72</v>
          </cell>
          <cell r="Q378">
            <v>1.6446800000000001</v>
          </cell>
          <cell r="R378" t="e">
            <v>#N/A</v>
          </cell>
        </row>
        <row r="379">
          <cell r="A379">
            <v>40287</v>
          </cell>
          <cell r="B379">
            <v>40287</v>
          </cell>
          <cell r="C379" t="str">
            <v>Past</v>
          </cell>
          <cell r="D379">
            <v>0.71</v>
          </cell>
          <cell r="E379" t="e">
            <v>#N/A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>
            <v>0.71</v>
          </cell>
          <cell r="Q379">
            <v>2.8108169999999997</v>
          </cell>
          <cell r="R379" t="e">
            <v>#N/A</v>
          </cell>
        </row>
        <row r="380">
          <cell r="A380">
            <v>40288</v>
          </cell>
          <cell r="B380">
            <v>40288</v>
          </cell>
          <cell r="C380" t="str">
            <v>Past</v>
          </cell>
          <cell r="D380">
            <v>0.71499999999999997</v>
          </cell>
          <cell r="E380" t="e">
            <v>#N/A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>
            <v>0.71499999999999997</v>
          </cell>
          <cell r="Q380">
            <v>1.1060269999999999</v>
          </cell>
          <cell r="R380" t="e">
            <v>#N/A</v>
          </cell>
        </row>
        <row r="381">
          <cell r="A381">
            <v>40289</v>
          </cell>
          <cell r="B381">
            <v>40289</v>
          </cell>
          <cell r="C381" t="str">
            <v>Past</v>
          </cell>
          <cell r="D381">
            <v>0.73</v>
          </cell>
          <cell r="E381" t="e">
            <v>#N/A</v>
          </cell>
          <cell r="F381" t="e">
            <v>#N/A</v>
          </cell>
          <cell r="G381" t="e">
            <v>#N/A</v>
          </cell>
          <cell r="H381" t="e">
            <v>#N/A</v>
          </cell>
          <cell r="I381" t="e">
            <v>#N/A</v>
          </cell>
          <cell r="J381" t="e">
            <v>#N/A</v>
          </cell>
          <cell r="K381" t="e">
            <v>#N/A</v>
          </cell>
          <cell r="L381" t="e">
            <v>#N/A</v>
          </cell>
          <cell r="M381" t="e">
            <v>#N/A</v>
          </cell>
          <cell r="N381" t="e">
            <v>#N/A</v>
          </cell>
          <cell r="O381" t="e">
            <v>#N/A</v>
          </cell>
          <cell r="P381">
            <v>0.73</v>
          </cell>
          <cell r="Q381">
            <v>1.6497439999999999</v>
          </cell>
          <cell r="R381" t="e">
            <v>#N/A</v>
          </cell>
        </row>
        <row r="382">
          <cell r="A382">
            <v>40290</v>
          </cell>
          <cell r="B382">
            <v>40290</v>
          </cell>
          <cell r="C382" t="str">
            <v>Past</v>
          </cell>
          <cell r="D382">
            <v>0.72499999999999998</v>
          </cell>
          <cell r="E382" t="e">
            <v>#N/A</v>
          </cell>
          <cell r="F382" t="e">
            <v>#N/A</v>
          </cell>
          <cell r="G382" t="e">
            <v>#N/A</v>
          </cell>
          <cell r="H382" t="e">
            <v>#N/A</v>
          </cell>
          <cell r="I382" t="e">
            <v>#N/A</v>
          </cell>
          <cell r="J382" t="e">
            <v>#N/A</v>
          </cell>
          <cell r="K382" t="e">
            <v>#N/A</v>
          </cell>
          <cell r="L382" t="e">
            <v>#N/A</v>
          </cell>
          <cell r="M382" t="e">
            <v>#N/A</v>
          </cell>
          <cell r="N382" t="e">
            <v>#N/A</v>
          </cell>
          <cell r="O382" t="e">
            <v>#N/A</v>
          </cell>
          <cell r="P382">
            <v>0.72499999999999998</v>
          </cell>
          <cell r="Q382">
            <v>2.3483449999999997</v>
          </cell>
          <cell r="R382" t="e">
            <v>#N/A</v>
          </cell>
        </row>
        <row r="383">
          <cell r="A383">
            <v>40291</v>
          </cell>
          <cell r="B383">
            <v>40291</v>
          </cell>
          <cell r="C383" t="str">
            <v>Past</v>
          </cell>
          <cell r="D383">
            <v>0.72</v>
          </cell>
          <cell r="E383" t="e">
            <v>#N/A</v>
          </cell>
          <cell r="F383" t="e">
            <v>#N/A</v>
          </cell>
          <cell r="G383" t="e">
            <v>#N/A</v>
          </cell>
          <cell r="H383" t="e">
            <v>#N/A</v>
          </cell>
          <cell r="I383" t="e">
            <v>#N/A</v>
          </cell>
          <cell r="J383" t="e">
            <v>#N/A</v>
          </cell>
          <cell r="K383" t="e">
            <v>#N/A</v>
          </cell>
          <cell r="L383" t="e">
            <v>#N/A</v>
          </cell>
          <cell r="M383" t="e">
            <v>#N/A</v>
          </cell>
          <cell r="N383" t="e">
            <v>#N/A</v>
          </cell>
          <cell r="O383" t="e">
            <v>#N/A</v>
          </cell>
          <cell r="P383">
            <v>0.72</v>
          </cell>
          <cell r="Q383">
            <v>4.7153149999999995</v>
          </cell>
          <cell r="R383" t="e">
            <v>#N/A</v>
          </cell>
        </row>
        <row r="384">
          <cell r="A384">
            <v>40294</v>
          </cell>
          <cell r="B384">
            <v>40294</v>
          </cell>
          <cell r="C384" t="str">
            <v>Past</v>
          </cell>
          <cell r="D384">
            <v>0.72</v>
          </cell>
          <cell r="E384" t="e">
            <v>#N/A</v>
          </cell>
          <cell r="F384" t="e">
            <v>#N/A</v>
          </cell>
          <cell r="G384" t="e">
            <v>#N/A</v>
          </cell>
          <cell r="H384" t="e">
            <v>#N/A</v>
          </cell>
          <cell r="I384" t="e">
            <v>#N/A</v>
          </cell>
          <cell r="J384" t="e">
            <v>#N/A</v>
          </cell>
          <cell r="K384" t="e">
            <v>#N/A</v>
          </cell>
          <cell r="L384" t="e">
            <v>#N/A</v>
          </cell>
          <cell r="M384" t="e">
            <v>#N/A</v>
          </cell>
          <cell r="N384" t="e">
            <v>#N/A</v>
          </cell>
          <cell r="O384" t="e">
            <v>#N/A</v>
          </cell>
          <cell r="P384">
            <v>0.72</v>
          </cell>
          <cell r="Q384">
            <v>0</v>
          </cell>
          <cell r="R384" t="e">
            <v>#N/A</v>
          </cell>
        </row>
        <row r="385">
          <cell r="A385">
            <v>40295</v>
          </cell>
          <cell r="B385">
            <v>40295</v>
          </cell>
          <cell r="C385" t="str">
            <v>Past</v>
          </cell>
          <cell r="D385">
            <v>0.72</v>
          </cell>
          <cell r="E385" t="e">
            <v>#N/A</v>
          </cell>
          <cell r="F385" t="e">
            <v>#N/A</v>
          </cell>
          <cell r="G385" t="e">
            <v>#N/A</v>
          </cell>
          <cell r="H385" t="e">
            <v>#N/A</v>
          </cell>
          <cell r="I385" t="e">
            <v>#N/A</v>
          </cell>
          <cell r="J385" t="e">
            <v>#N/A</v>
          </cell>
          <cell r="K385" t="e">
            <v>#N/A</v>
          </cell>
          <cell r="L385" t="e">
            <v>#N/A</v>
          </cell>
          <cell r="M385" t="e">
            <v>#N/A</v>
          </cell>
          <cell r="N385" t="e">
            <v>#N/A</v>
          </cell>
          <cell r="O385" t="e">
            <v>#N/A</v>
          </cell>
          <cell r="P385">
            <v>0.72</v>
          </cell>
          <cell r="Q385">
            <v>2.099386</v>
          </cell>
          <cell r="R385" t="e">
            <v>#N/A</v>
          </cell>
        </row>
        <row r="386">
          <cell r="A386">
            <v>40296</v>
          </cell>
          <cell r="B386">
            <v>40296</v>
          </cell>
          <cell r="C386" t="str">
            <v>Past</v>
          </cell>
          <cell r="D386">
            <v>0.69499999999999995</v>
          </cell>
          <cell r="E386" t="e">
            <v>#N/A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>
            <v>0.69499999999999995</v>
          </cell>
          <cell r="Q386">
            <v>4.8665880000000001</v>
          </cell>
          <cell r="R386" t="e">
            <v>#N/A</v>
          </cell>
        </row>
        <row r="387">
          <cell r="A387">
            <v>40297</v>
          </cell>
          <cell r="B387">
            <v>40297</v>
          </cell>
          <cell r="C387" t="str">
            <v>Past</v>
          </cell>
          <cell r="D387">
            <v>0.68500000000000005</v>
          </cell>
          <cell r="E387" t="e">
            <v>#N/A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>
            <v>0.68500000000000005</v>
          </cell>
          <cell r="Q387">
            <v>4.3993859999999998</v>
          </cell>
          <cell r="R387" t="e">
            <v>#N/A</v>
          </cell>
        </row>
        <row r="388">
          <cell r="A388">
            <v>40298</v>
          </cell>
          <cell r="B388">
            <v>40298</v>
          </cell>
          <cell r="C388" t="str">
            <v>Past</v>
          </cell>
          <cell r="D388">
            <v>0.69</v>
          </cell>
          <cell r="E388" t="e">
            <v>#N/A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>
            <v>0.69</v>
          </cell>
          <cell r="Q388">
            <v>2.3791629999999997</v>
          </cell>
          <cell r="R388" t="e">
            <v>#N/A</v>
          </cell>
        </row>
        <row r="389">
          <cell r="A389">
            <v>40301</v>
          </cell>
          <cell r="B389">
            <v>40301</v>
          </cell>
          <cell r="C389" t="str">
            <v>Past</v>
          </cell>
          <cell r="D389">
            <v>0.68</v>
          </cell>
          <cell r="E389" t="e">
            <v>#N/A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>
            <v>0.68</v>
          </cell>
          <cell r="Q389">
            <v>1.411494</v>
          </cell>
          <cell r="R389" t="e">
            <v>#N/A</v>
          </cell>
        </row>
        <row r="390">
          <cell r="A390">
            <v>40302</v>
          </cell>
          <cell r="B390">
            <v>40302</v>
          </cell>
          <cell r="C390" t="str">
            <v>Past</v>
          </cell>
          <cell r="D390">
            <v>0.68500000000000005</v>
          </cell>
          <cell r="E390" t="e">
            <v>#N/A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>
            <v>0.68500000000000005</v>
          </cell>
          <cell r="Q390">
            <v>2.5473459999999997</v>
          </cell>
          <cell r="R390" t="e">
            <v>#N/A</v>
          </cell>
        </row>
        <row r="391">
          <cell r="A391">
            <v>40303</v>
          </cell>
          <cell r="B391">
            <v>40303</v>
          </cell>
          <cell r="C391" t="str">
            <v>Past</v>
          </cell>
          <cell r="D391">
            <v>0.65</v>
          </cell>
          <cell r="E391" t="e">
            <v>#N/A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>
            <v>0.65</v>
          </cell>
          <cell r="Q391">
            <v>5.6784439999999998</v>
          </cell>
          <cell r="R391" t="e">
            <v>#N/A</v>
          </cell>
        </row>
        <row r="392">
          <cell r="A392">
            <v>40304</v>
          </cell>
          <cell r="B392">
            <v>40304</v>
          </cell>
          <cell r="C392" t="str">
            <v>Past</v>
          </cell>
          <cell r="D392">
            <v>0.61499999999999999</v>
          </cell>
          <cell r="E392" t="e">
            <v>#N/A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>
            <v>0.61499999999999999</v>
          </cell>
          <cell r="Q392">
            <v>2.9671829999999999</v>
          </cell>
          <cell r="R392" t="e">
            <v>#N/A</v>
          </cell>
        </row>
        <row r="393">
          <cell r="A393">
            <v>40305</v>
          </cell>
          <cell r="B393">
            <v>40305</v>
          </cell>
          <cell r="C393" t="str">
            <v>Past</v>
          </cell>
          <cell r="D393">
            <v>0.59499999999999997</v>
          </cell>
          <cell r="E393" t="e">
            <v>#N/A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>
            <v>0.59499999999999997</v>
          </cell>
          <cell r="Q393">
            <v>2.3802000000000003</v>
          </cell>
          <cell r="R393" t="e">
            <v>#N/A</v>
          </cell>
        </row>
        <row r="394">
          <cell r="A394">
            <v>40308</v>
          </cell>
          <cell r="B394">
            <v>40308</v>
          </cell>
          <cell r="C394" t="str">
            <v>Past</v>
          </cell>
          <cell r="D394">
            <v>0.57999999999999996</v>
          </cell>
          <cell r="E394" t="e">
            <v>#N/A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>
            <v>0.57999999999999996</v>
          </cell>
          <cell r="Q394">
            <v>10.162940000000001</v>
          </cell>
          <cell r="R394" t="e">
            <v>#N/A</v>
          </cell>
        </row>
        <row r="395">
          <cell r="A395">
            <v>40309</v>
          </cell>
          <cell r="B395">
            <v>40309</v>
          </cell>
          <cell r="C395" t="str">
            <v>Past</v>
          </cell>
          <cell r="D395">
            <v>0.59499999999999997</v>
          </cell>
          <cell r="E395" t="e">
            <v>#N/A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>
            <v>0.59499999999999997</v>
          </cell>
          <cell r="Q395">
            <v>3.4963600000000001</v>
          </cell>
          <cell r="R395" t="e">
            <v>#N/A</v>
          </cell>
        </row>
        <row r="396">
          <cell r="A396">
            <v>40310</v>
          </cell>
          <cell r="B396">
            <v>40310</v>
          </cell>
          <cell r="C396" t="str">
            <v>Past</v>
          </cell>
          <cell r="D396">
            <v>0.6</v>
          </cell>
          <cell r="E396" t="e">
            <v>#N/A</v>
          </cell>
          <cell r="F396" t="e">
            <v>#N/A</v>
          </cell>
          <cell r="G396" t="e">
            <v>#N/A</v>
          </cell>
          <cell r="H396" t="e">
            <v>#N/A</v>
          </cell>
          <cell r="I396" t="e">
            <v>#N/A</v>
          </cell>
          <cell r="J396" t="e">
            <v>#N/A</v>
          </cell>
          <cell r="K396" t="e">
            <v>#N/A</v>
          </cell>
          <cell r="L396" t="e">
            <v>#N/A</v>
          </cell>
          <cell r="M396" t="e">
            <v>#N/A</v>
          </cell>
          <cell r="N396" t="e">
            <v>#N/A</v>
          </cell>
          <cell r="O396" t="e">
            <v>#N/A</v>
          </cell>
          <cell r="P396">
            <v>0.6</v>
          </cell>
          <cell r="Q396">
            <v>1.4554100000000001</v>
          </cell>
          <cell r="R396" t="e">
            <v>#N/A</v>
          </cell>
        </row>
        <row r="397">
          <cell r="A397">
            <v>40311</v>
          </cell>
          <cell r="B397">
            <v>40311</v>
          </cell>
          <cell r="C397" t="str">
            <v>Past</v>
          </cell>
          <cell r="D397">
            <v>0.60499999999999998</v>
          </cell>
          <cell r="E397" t="e">
            <v>#N/A</v>
          </cell>
          <cell r="F397" t="e">
            <v>#N/A</v>
          </cell>
          <cell r="G397" t="e">
            <v>#N/A</v>
          </cell>
          <cell r="H397" t="e">
            <v>#N/A</v>
          </cell>
          <cell r="I397" t="e">
            <v>#N/A</v>
          </cell>
          <cell r="J397" t="e">
            <v>#N/A</v>
          </cell>
          <cell r="K397" t="e">
            <v>#N/A</v>
          </cell>
          <cell r="L397" t="e">
            <v>#N/A</v>
          </cell>
          <cell r="M397" t="e">
            <v>#N/A</v>
          </cell>
          <cell r="N397" t="e">
            <v>#N/A</v>
          </cell>
          <cell r="O397" t="e">
            <v>#N/A</v>
          </cell>
          <cell r="P397">
            <v>0.60499999999999998</v>
          </cell>
          <cell r="Q397">
            <v>1.681881</v>
          </cell>
          <cell r="R397" t="e">
            <v>#N/A</v>
          </cell>
        </row>
        <row r="398">
          <cell r="A398">
            <v>40312</v>
          </cell>
          <cell r="B398">
            <v>40312</v>
          </cell>
          <cell r="C398" t="str">
            <v>Past</v>
          </cell>
          <cell r="D398">
            <v>0.60499999999999998</v>
          </cell>
          <cell r="E398" t="e">
            <v>#N/A</v>
          </cell>
          <cell r="F398" t="e">
            <v>#N/A</v>
          </cell>
          <cell r="G398" t="e">
            <v>#N/A</v>
          </cell>
          <cell r="H398" t="e">
            <v>#N/A</v>
          </cell>
          <cell r="I398" t="e">
            <v>#N/A</v>
          </cell>
          <cell r="J398" t="e">
            <v>#N/A</v>
          </cell>
          <cell r="K398" t="e">
            <v>#N/A</v>
          </cell>
          <cell r="L398" t="e">
            <v>#N/A</v>
          </cell>
          <cell r="M398" t="e">
            <v>#N/A</v>
          </cell>
          <cell r="N398" t="e">
            <v>#N/A</v>
          </cell>
          <cell r="O398" t="e">
            <v>#N/A</v>
          </cell>
          <cell r="P398">
            <v>0.60499999999999998</v>
          </cell>
          <cell r="Q398">
            <v>1.319761</v>
          </cell>
          <cell r="R398" t="e">
            <v>#N/A</v>
          </cell>
        </row>
        <row r="399">
          <cell r="A399">
            <v>40315</v>
          </cell>
          <cell r="B399">
            <v>40315</v>
          </cell>
          <cell r="C399" t="str">
            <v>Past</v>
          </cell>
          <cell r="D399">
            <v>0.55500000000000005</v>
          </cell>
          <cell r="E399" t="e">
            <v>#N/A</v>
          </cell>
          <cell r="F399" t="e">
            <v>#N/A</v>
          </cell>
          <cell r="G399" t="e">
            <v>#N/A</v>
          </cell>
          <cell r="H399" t="e">
            <v>#N/A</v>
          </cell>
          <cell r="I399" t="e">
            <v>#N/A</v>
          </cell>
          <cell r="J399" t="e">
            <v>#N/A</v>
          </cell>
          <cell r="K399" t="e">
            <v>#N/A</v>
          </cell>
          <cell r="L399" t="e">
            <v>#N/A</v>
          </cell>
          <cell r="M399" t="e">
            <v>#N/A</v>
          </cell>
          <cell r="N399" t="e">
            <v>#N/A</v>
          </cell>
          <cell r="O399" t="e">
            <v>#N/A</v>
          </cell>
          <cell r="P399">
            <v>0.55500000000000005</v>
          </cell>
          <cell r="Q399">
            <v>2.7302</v>
          </cell>
          <cell r="R399" t="e">
            <v>#N/A</v>
          </cell>
        </row>
        <row r="400">
          <cell r="A400">
            <v>40316</v>
          </cell>
          <cell r="B400">
            <v>40316</v>
          </cell>
          <cell r="C400" t="str">
            <v>Past</v>
          </cell>
          <cell r="D400">
            <v>0.57499999999999996</v>
          </cell>
          <cell r="E400" t="e">
            <v>#N/A</v>
          </cell>
          <cell r="F400" t="e">
            <v>#N/A</v>
          </cell>
          <cell r="G400" t="e">
            <v>#N/A</v>
          </cell>
          <cell r="H400" t="e">
            <v>#N/A</v>
          </cell>
          <cell r="I400" t="e">
            <v>#N/A</v>
          </cell>
          <cell r="J400" t="e">
            <v>#N/A</v>
          </cell>
          <cell r="K400" t="e">
            <v>#N/A</v>
          </cell>
          <cell r="L400" t="e">
            <v>#N/A</v>
          </cell>
          <cell r="M400" t="e">
            <v>#N/A</v>
          </cell>
          <cell r="N400" t="e">
            <v>#N/A</v>
          </cell>
          <cell r="O400" t="e">
            <v>#N/A</v>
          </cell>
          <cell r="P400">
            <v>0.57499999999999996</v>
          </cell>
          <cell r="Q400">
            <v>2.6340840000000001</v>
          </cell>
          <cell r="R400" t="e">
            <v>#N/A</v>
          </cell>
        </row>
        <row r="401">
          <cell r="A401">
            <v>40317</v>
          </cell>
          <cell r="B401">
            <v>40317</v>
          </cell>
          <cell r="C401" t="str">
            <v>Past</v>
          </cell>
          <cell r="D401">
            <v>0.55000000000000004</v>
          </cell>
          <cell r="E401" t="e">
            <v>#N/A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>
            <v>0.55000000000000004</v>
          </cell>
          <cell r="Q401">
            <v>3.3715669999999998</v>
          </cell>
          <cell r="R401" t="e">
            <v>#N/A</v>
          </cell>
        </row>
        <row r="402">
          <cell r="A402">
            <v>40318</v>
          </cell>
          <cell r="B402">
            <v>40318</v>
          </cell>
          <cell r="C402" t="str">
            <v>Past</v>
          </cell>
          <cell r="D402">
            <v>0.5</v>
          </cell>
          <cell r="E402" t="e">
            <v>#N/A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>
            <v>0.5</v>
          </cell>
          <cell r="Q402">
            <v>3.642242</v>
          </cell>
          <cell r="R402" t="e">
            <v>#N/A</v>
          </cell>
        </row>
        <row r="403">
          <cell r="A403">
            <v>40319</v>
          </cell>
          <cell r="B403">
            <v>40319</v>
          </cell>
          <cell r="C403" t="str">
            <v>Past</v>
          </cell>
          <cell r="D403">
            <v>0.55000000000000004</v>
          </cell>
          <cell r="E403" t="e">
            <v>#N/A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>
            <v>0.55000000000000004</v>
          </cell>
          <cell r="Q403">
            <v>10.28134</v>
          </cell>
          <cell r="R403" t="e">
            <v>#N/A</v>
          </cell>
        </row>
        <row r="404">
          <cell r="A404">
            <v>40322</v>
          </cell>
          <cell r="B404">
            <v>40322</v>
          </cell>
          <cell r="C404" t="str">
            <v>Past</v>
          </cell>
          <cell r="D404">
            <v>0.53</v>
          </cell>
          <cell r="E404" t="e">
            <v>#N/A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>
            <v>0.53</v>
          </cell>
          <cell r="Q404">
            <v>2.7749859999999997</v>
          </cell>
          <cell r="R404" t="e">
            <v>#N/A</v>
          </cell>
        </row>
        <row r="405">
          <cell r="A405">
            <v>40323</v>
          </cell>
          <cell r="B405">
            <v>40323</v>
          </cell>
          <cell r="C405" t="str">
            <v>Past</v>
          </cell>
          <cell r="D405">
            <v>0.505</v>
          </cell>
          <cell r="E405" t="e">
            <v>#N/A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>
            <v>0.505</v>
          </cell>
          <cell r="Q405">
            <v>2.6819449999999998</v>
          </cell>
          <cell r="R405" t="e">
            <v>#N/A</v>
          </cell>
        </row>
        <row r="406">
          <cell r="A406">
            <v>40324</v>
          </cell>
          <cell r="B406">
            <v>40324</v>
          </cell>
          <cell r="C406" t="str">
            <v>Past</v>
          </cell>
          <cell r="D406">
            <v>0.48</v>
          </cell>
          <cell r="E406" t="e">
            <v>#N/A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>
            <v>0.48</v>
          </cell>
          <cell r="Q406">
            <v>3.0328900000000001</v>
          </cell>
          <cell r="R406" t="e">
            <v>#N/A</v>
          </cell>
        </row>
        <row r="407">
          <cell r="A407">
            <v>40325</v>
          </cell>
          <cell r="B407">
            <v>40325</v>
          </cell>
          <cell r="C407" t="str">
            <v>Past</v>
          </cell>
          <cell r="D407">
            <v>0.49</v>
          </cell>
          <cell r="E407" t="e">
            <v>#N/A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>
            <v>0.49</v>
          </cell>
          <cell r="Q407">
            <v>3.6862439999999999</v>
          </cell>
          <cell r="R407" t="e">
            <v>#N/A</v>
          </cell>
        </row>
        <row r="408">
          <cell r="A408">
            <v>40326</v>
          </cell>
          <cell r="B408">
            <v>40326</v>
          </cell>
          <cell r="C408" t="str">
            <v>Past</v>
          </cell>
          <cell r="D408">
            <v>0.53</v>
          </cell>
          <cell r="E408" t="e">
            <v>#N/A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>
            <v>0.53</v>
          </cell>
          <cell r="Q408">
            <v>5.5328300000000006</v>
          </cell>
          <cell r="R408" t="e">
            <v>#N/A</v>
          </cell>
        </row>
        <row r="409">
          <cell r="A409">
            <v>40329</v>
          </cell>
          <cell r="B409">
            <v>40329</v>
          </cell>
          <cell r="C409" t="str">
            <v>Past</v>
          </cell>
          <cell r="D409">
            <v>0.54</v>
          </cell>
          <cell r="E409" t="e">
            <v>#N/A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>
            <v>0.54</v>
          </cell>
          <cell r="Q409">
            <v>2.1628629999999998</v>
          </cell>
          <cell r="R409" t="e">
            <v>#N/A</v>
          </cell>
        </row>
        <row r="410">
          <cell r="A410">
            <v>40330</v>
          </cell>
          <cell r="B410">
            <v>40330</v>
          </cell>
          <cell r="C410" t="str">
            <v>Past</v>
          </cell>
          <cell r="D410">
            <v>0.53500000000000003</v>
          </cell>
          <cell r="E410" t="e">
            <v>#N/A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>
            <v>0.53500000000000003</v>
          </cell>
          <cell r="Q410">
            <v>3.0020689999999997</v>
          </cell>
          <cell r="R410" t="e">
            <v>#N/A</v>
          </cell>
        </row>
        <row r="411">
          <cell r="A411">
            <v>40331</v>
          </cell>
          <cell r="B411">
            <v>40331</v>
          </cell>
          <cell r="C411" t="str">
            <v>Past</v>
          </cell>
          <cell r="D411">
            <v>0.495</v>
          </cell>
          <cell r="E411" t="e">
            <v>#N/A</v>
          </cell>
          <cell r="F411" t="e">
            <v>#N/A</v>
          </cell>
          <cell r="G411" t="e">
            <v>#N/A</v>
          </cell>
          <cell r="H411" t="e">
            <v>#N/A</v>
          </cell>
          <cell r="I411" t="e">
            <v>#N/A</v>
          </cell>
          <cell r="J411" t="e">
            <v>#N/A</v>
          </cell>
          <cell r="K411" t="e">
            <v>#N/A</v>
          </cell>
          <cell r="L411" t="e">
            <v>#N/A</v>
          </cell>
          <cell r="M411" t="e">
            <v>#N/A</v>
          </cell>
          <cell r="N411" t="e">
            <v>#N/A</v>
          </cell>
          <cell r="O411" t="e">
            <v>#N/A</v>
          </cell>
          <cell r="P411">
            <v>0.495</v>
          </cell>
          <cell r="Q411">
            <v>3.619078</v>
          </cell>
          <cell r="R411" t="e">
            <v>#N/A</v>
          </cell>
        </row>
        <row r="412">
          <cell r="A412">
            <v>40332</v>
          </cell>
          <cell r="B412">
            <v>40332</v>
          </cell>
          <cell r="C412" t="str">
            <v>Past</v>
          </cell>
          <cell r="D412">
            <v>0.53</v>
          </cell>
          <cell r="E412" t="e">
            <v>#N/A</v>
          </cell>
          <cell r="F412" t="e">
            <v>#N/A</v>
          </cell>
          <cell r="G412" t="e">
            <v>#N/A</v>
          </cell>
          <cell r="H412" t="e">
            <v>#N/A</v>
          </cell>
          <cell r="I412" t="e">
            <v>#N/A</v>
          </cell>
          <cell r="J412" t="e">
            <v>#N/A</v>
          </cell>
          <cell r="K412" t="e">
            <v>#N/A</v>
          </cell>
          <cell r="L412" t="e">
            <v>#N/A</v>
          </cell>
          <cell r="M412" t="e">
            <v>#N/A</v>
          </cell>
          <cell r="N412" t="e">
            <v>#N/A</v>
          </cell>
          <cell r="O412" t="e">
            <v>#N/A</v>
          </cell>
          <cell r="P412">
            <v>0.53</v>
          </cell>
          <cell r="Q412">
            <v>4.1280999999999999</v>
          </cell>
          <cell r="R412" t="e">
            <v>#N/A</v>
          </cell>
        </row>
        <row r="413">
          <cell r="A413">
            <v>40333</v>
          </cell>
          <cell r="B413">
            <v>40333</v>
          </cell>
          <cell r="C413" t="str">
            <v>Past</v>
          </cell>
          <cell r="D413">
            <v>0.51</v>
          </cell>
          <cell r="E413" t="e">
            <v>#N/A</v>
          </cell>
          <cell r="F413" t="e">
            <v>#N/A</v>
          </cell>
          <cell r="G413" t="e">
            <v>#N/A</v>
          </cell>
          <cell r="H413" t="e">
            <v>#N/A</v>
          </cell>
          <cell r="I413" t="e">
            <v>#N/A</v>
          </cell>
          <cell r="J413" t="e">
            <v>#N/A</v>
          </cell>
          <cell r="K413" t="e">
            <v>#N/A</v>
          </cell>
          <cell r="L413" t="e">
            <v>#N/A</v>
          </cell>
          <cell r="M413" t="e">
            <v>#N/A</v>
          </cell>
          <cell r="N413" t="e">
            <v>#N/A</v>
          </cell>
          <cell r="O413" t="e">
            <v>#N/A</v>
          </cell>
          <cell r="P413">
            <v>0.51</v>
          </cell>
          <cell r="Q413">
            <v>3.366212</v>
          </cell>
          <cell r="R413" t="e">
            <v>#N/A</v>
          </cell>
        </row>
        <row r="414">
          <cell r="A414">
            <v>40336</v>
          </cell>
          <cell r="B414">
            <v>40336</v>
          </cell>
          <cell r="C414" t="str">
            <v>Past</v>
          </cell>
          <cell r="D414">
            <v>0.5</v>
          </cell>
          <cell r="E414" t="e">
            <v>#N/A</v>
          </cell>
          <cell r="F414" t="e">
            <v>#N/A</v>
          </cell>
          <cell r="G414" t="e">
            <v>#N/A</v>
          </cell>
          <cell r="H414" t="e">
            <v>#N/A</v>
          </cell>
          <cell r="I414" t="e">
            <v>#N/A</v>
          </cell>
          <cell r="J414" t="e">
            <v>#N/A</v>
          </cell>
          <cell r="K414" t="e">
            <v>#N/A</v>
          </cell>
          <cell r="L414" t="e">
            <v>#N/A</v>
          </cell>
          <cell r="M414" t="e">
            <v>#N/A</v>
          </cell>
          <cell r="N414" t="e">
            <v>#N/A</v>
          </cell>
          <cell r="O414" t="e">
            <v>#N/A</v>
          </cell>
          <cell r="P414">
            <v>0.5</v>
          </cell>
          <cell r="Q414">
            <v>2.0330689999999998</v>
          </cell>
          <cell r="R414" t="e">
            <v>#N/A</v>
          </cell>
        </row>
        <row r="415">
          <cell r="A415">
            <v>40337</v>
          </cell>
          <cell r="B415">
            <v>40337</v>
          </cell>
          <cell r="C415" t="str">
            <v>Past</v>
          </cell>
          <cell r="D415">
            <v>0.5</v>
          </cell>
          <cell r="E415" t="e">
            <v>#N/A</v>
          </cell>
          <cell r="F415" t="e">
            <v>#N/A</v>
          </cell>
          <cell r="G415" t="e">
            <v>#N/A</v>
          </cell>
          <cell r="H415" t="e">
            <v>#N/A</v>
          </cell>
          <cell r="I415" t="e">
            <v>#N/A</v>
          </cell>
          <cell r="J415" t="e">
            <v>#N/A</v>
          </cell>
          <cell r="K415" t="e">
            <v>#N/A</v>
          </cell>
          <cell r="L415" t="e">
            <v>#N/A</v>
          </cell>
          <cell r="M415" t="e">
            <v>#N/A</v>
          </cell>
          <cell r="N415" t="e">
            <v>#N/A</v>
          </cell>
          <cell r="O415" t="e">
            <v>#N/A</v>
          </cell>
          <cell r="P415">
            <v>0.5</v>
          </cell>
          <cell r="Q415">
            <v>4.33596</v>
          </cell>
          <cell r="R415" t="e">
            <v>#N/A</v>
          </cell>
        </row>
        <row r="416">
          <cell r="A416">
            <v>40338</v>
          </cell>
          <cell r="B416">
            <v>40338</v>
          </cell>
          <cell r="C416" t="str">
            <v>Past</v>
          </cell>
          <cell r="D416">
            <v>0.51500000000000001</v>
          </cell>
          <cell r="E416" t="e">
            <v>#N/A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>
            <v>0.51500000000000001</v>
          </cell>
          <cell r="Q416">
            <v>4.8930509999999998</v>
          </cell>
          <cell r="R416" t="e">
            <v>#N/A</v>
          </cell>
        </row>
        <row r="417">
          <cell r="A417">
            <v>40339</v>
          </cell>
          <cell r="B417">
            <v>40339</v>
          </cell>
          <cell r="C417" t="str">
            <v>Past</v>
          </cell>
          <cell r="D417">
            <v>0.52</v>
          </cell>
          <cell r="E417" t="e">
            <v>#N/A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>
            <v>0.52</v>
          </cell>
          <cell r="Q417">
            <v>1.6435139999999999</v>
          </cell>
          <cell r="R417" t="e">
            <v>#N/A</v>
          </cell>
        </row>
        <row r="418">
          <cell r="A418">
            <v>40340</v>
          </cell>
          <cell r="B418">
            <v>40340</v>
          </cell>
          <cell r="C418" t="str">
            <v>Past</v>
          </cell>
          <cell r="D418">
            <v>0.54</v>
          </cell>
          <cell r="E418" t="e">
            <v>#N/A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>
            <v>0.54</v>
          </cell>
          <cell r="Q418">
            <v>2.3453759999999999</v>
          </cell>
          <cell r="R418" t="e">
            <v>#N/A</v>
          </cell>
        </row>
        <row r="419">
          <cell r="A419">
            <v>40343</v>
          </cell>
          <cell r="B419">
            <v>40343</v>
          </cell>
          <cell r="C419" t="str">
            <v>Past</v>
          </cell>
          <cell r="D419">
            <v>0.54</v>
          </cell>
          <cell r="E419" t="e">
            <v>#N/A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>
            <v>0.54</v>
          </cell>
          <cell r="Q419">
            <v>0</v>
          </cell>
          <cell r="R419" t="e">
            <v>#N/A</v>
          </cell>
        </row>
        <row r="420">
          <cell r="A420">
            <v>40344</v>
          </cell>
          <cell r="B420">
            <v>40344</v>
          </cell>
          <cell r="C420" t="str">
            <v>Past</v>
          </cell>
          <cell r="D420">
            <v>0.56999999999999995</v>
          </cell>
          <cell r="E420" t="e">
            <v>#N/A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>
            <v>0.56999999999999995</v>
          </cell>
          <cell r="Q420">
            <v>5.5811380000000002</v>
          </cell>
          <cell r="R420" t="e">
            <v>#N/A</v>
          </cell>
        </row>
        <row r="421">
          <cell r="A421">
            <v>40345</v>
          </cell>
          <cell r="B421">
            <v>40345</v>
          </cell>
          <cell r="C421" t="str">
            <v>Past</v>
          </cell>
          <cell r="D421">
            <v>0.59</v>
          </cell>
          <cell r="E421" t="e">
            <v>#N/A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>
            <v>0.59</v>
          </cell>
          <cell r="Q421">
            <v>3.8897939999999998</v>
          </cell>
          <cell r="R421" t="e">
            <v>#N/A</v>
          </cell>
        </row>
        <row r="422">
          <cell r="A422">
            <v>40346</v>
          </cell>
          <cell r="B422">
            <v>40346</v>
          </cell>
          <cell r="C422" t="str">
            <v>Past</v>
          </cell>
          <cell r="D422">
            <v>0.56999999999999995</v>
          </cell>
          <cell r="E422" t="e">
            <v>#N/A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>
            <v>0.56999999999999995</v>
          </cell>
          <cell r="Q422">
            <v>2.689279</v>
          </cell>
          <cell r="R422" t="e">
            <v>#N/A</v>
          </cell>
        </row>
        <row r="423">
          <cell r="A423">
            <v>40347</v>
          </cell>
          <cell r="B423">
            <v>40347</v>
          </cell>
          <cell r="C423" t="str">
            <v>Past</v>
          </cell>
          <cell r="D423">
            <v>0.56999999999999995</v>
          </cell>
          <cell r="E423" t="e">
            <v>#N/A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>
            <v>0.56999999999999995</v>
          </cell>
          <cell r="Q423">
            <v>1.828392</v>
          </cell>
          <cell r="R423" t="e">
            <v>#N/A</v>
          </cell>
        </row>
        <row r="424">
          <cell r="A424">
            <v>40350</v>
          </cell>
          <cell r="B424">
            <v>40350</v>
          </cell>
          <cell r="C424" t="str">
            <v>Past</v>
          </cell>
          <cell r="D424">
            <v>0.59</v>
          </cell>
          <cell r="E424" t="e">
            <v>#N/A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>
            <v>0.59</v>
          </cell>
          <cell r="Q424">
            <v>1.9376629999999999</v>
          </cell>
          <cell r="R424" t="e">
            <v>#N/A</v>
          </cell>
        </row>
        <row r="425">
          <cell r="A425">
            <v>40351</v>
          </cell>
          <cell r="B425">
            <v>40351</v>
          </cell>
          <cell r="C425" t="str">
            <v>Past</v>
          </cell>
          <cell r="D425">
            <v>0.58499999999999996</v>
          </cell>
          <cell r="E425" t="e">
            <v>#N/A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>
            <v>0.58499999999999996</v>
          </cell>
          <cell r="Q425">
            <v>1.1319000000000001</v>
          </cell>
          <cell r="R425" t="e">
            <v>#N/A</v>
          </cell>
        </row>
        <row r="426">
          <cell r="A426">
            <v>40352</v>
          </cell>
          <cell r="B426">
            <v>40352</v>
          </cell>
          <cell r="C426" t="str">
            <v>Past</v>
          </cell>
          <cell r="D426">
            <v>0.56999999999999995</v>
          </cell>
          <cell r="E426" t="e">
            <v>#N/A</v>
          </cell>
          <cell r="F426" t="e">
            <v>#N/A</v>
          </cell>
          <cell r="G426" t="e">
            <v>#N/A</v>
          </cell>
          <cell r="H426" t="e">
            <v>#N/A</v>
          </cell>
          <cell r="I426" t="e">
            <v>#N/A</v>
          </cell>
          <cell r="J426" t="e">
            <v>#N/A</v>
          </cell>
          <cell r="K426" t="e">
            <v>#N/A</v>
          </cell>
          <cell r="L426" t="e">
            <v>#N/A</v>
          </cell>
          <cell r="M426" t="e">
            <v>#N/A</v>
          </cell>
          <cell r="N426" t="e">
            <v>#N/A</v>
          </cell>
          <cell r="O426" t="e">
            <v>#N/A</v>
          </cell>
          <cell r="P426">
            <v>0.56999999999999995</v>
          </cell>
          <cell r="Q426">
            <v>1.4331259999999999</v>
          </cell>
          <cell r="R426" t="e">
            <v>#N/A</v>
          </cell>
        </row>
        <row r="427">
          <cell r="A427">
            <v>40353</v>
          </cell>
          <cell r="B427">
            <v>40353</v>
          </cell>
          <cell r="C427" t="str">
            <v>Past</v>
          </cell>
          <cell r="D427">
            <v>0.56499999999999995</v>
          </cell>
          <cell r="E427" t="e">
            <v>#N/A</v>
          </cell>
          <cell r="F427" t="e">
            <v>#N/A</v>
          </cell>
          <cell r="G427" t="e">
            <v>#N/A</v>
          </cell>
          <cell r="H427" t="e">
            <v>#N/A</v>
          </cell>
          <cell r="I427" t="e">
            <v>#N/A</v>
          </cell>
          <cell r="J427" t="e">
            <v>#N/A</v>
          </cell>
          <cell r="K427" t="e">
            <v>#N/A</v>
          </cell>
          <cell r="L427" t="e">
            <v>#N/A</v>
          </cell>
          <cell r="M427" t="e">
            <v>#N/A</v>
          </cell>
          <cell r="N427" t="e">
            <v>#N/A</v>
          </cell>
          <cell r="O427" t="e">
            <v>#N/A</v>
          </cell>
          <cell r="P427">
            <v>0.56499999999999995</v>
          </cell>
          <cell r="Q427">
            <v>1.061015</v>
          </cell>
          <cell r="R427" t="e">
            <v>#N/A</v>
          </cell>
        </row>
        <row r="428">
          <cell r="A428">
            <v>40354</v>
          </cell>
          <cell r="B428">
            <v>40354</v>
          </cell>
          <cell r="C428" t="str">
            <v>Past</v>
          </cell>
          <cell r="D428">
            <v>0.56000000000000005</v>
          </cell>
          <cell r="E428" t="e">
            <v>#N/A</v>
          </cell>
          <cell r="F428" t="e">
            <v>#N/A</v>
          </cell>
          <cell r="G428" t="e">
            <v>#N/A</v>
          </cell>
          <cell r="H428" t="e">
            <v>#N/A</v>
          </cell>
          <cell r="I428" t="e">
            <v>#N/A</v>
          </cell>
          <cell r="J428" t="e">
            <v>#N/A</v>
          </cell>
          <cell r="K428" t="e">
            <v>#N/A</v>
          </cell>
          <cell r="L428" t="e">
            <v>#N/A</v>
          </cell>
          <cell r="M428" t="e">
            <v>#N/A</v>
          </cell>
          <cell r="N428" t="e">
            <v>#N/A</v>
          </cell>
          <cell r="O428" t="e">
            <v>#N/A</v>
          </cell>
          <cell r="P428">
            <v>0.56000000000000005</v>
          </cell>
          <cell r="Q428">
            <v>2.3289469999999999</v>
          </cell>
          <cell r="R428" t="e">
            <v>#N/A</v>
          </cell>
        </row>
        <row r="429">
          <cell r="A429">
            <v>40357</v>
          </cell>
          <cell r="B429">
            <v>40357</v>
          </cell>
          <cell r="C429" t="str">
            <v>Past</v>
          </cell>
          <cell r="D429">
            <v>0.56499999999999995</v>
          </cell>
          <cell r="E429" t="e">
            <v>#N/A</v>
          </cell>
          <cell r="F429" t="e">
            <v>#N/A</v>
          </cell>
          <cell r="G429" t="e">
            <v>#N/A</v>
          </cell>
          <cell r="H429" t="e">
            <v>#N/A</v>
          </cell>
          <cell r="I429" t="e">
            <v>#N/A</v>
          </cell>
          <cell r="J429" t="e">
            <v>#N/A</v>
          </cell>
          <cell r="K429" t="e">
            <v>#N/A</v>
          </cell>
          <cell r="L429" t="e">
            <v>#N/A</v>
          </cell>
          <cell r="M429" t="e">
            <v>#N/A</v>
          </cell>
          <cell r="N429" t="e">
            <v>#N/A</v>
          </cell>
          <cell r="O429" t="e">
            <v>#N/A</v>
          </cell>
          <cell r="P429">
            <v>0.56499999999999995</v>
          </cell>
          <cell r="Q429">
            <v>1.1384559999999999</v>
          </cell>
          <cell r="R429" t="e">
            <v>#N/A</v>
          </cell>
        </row>
        <row r="430">
          <cell r="A430">
            <v>40358</v>
          </cell>
          <cell r="B430">
            <v>40358</v>
          </cell>
          <cell r="C430" t="str">
            <v>Past</v>
          </cell>
          <cell r="D430">
            <v>0.59</v>
          </cell>
          <cell r="E430" t="e">
            <v>#N/A</v>
          </cell>
          <cell r="F430" t="e">
            <v>#N/A</v>
          </cell>
          <cell r="G430" t="e">
            <v>#N/A</v>
          </cell>
          <cell r="H430" t="e">
            <v>#N/A</v>
          </cell>
          <cell r="I430" t="e">
            <v>#N/A</v>
          </cell>
          <cell r="J430" t="e">
            <v>#N/A</v>
          </cell>
          <cell r="K430" t="e">
            <v>#N/A</v>
          </cell>
          <cell r="L430" t="e">
            <v>#N/A</v>
          </cell>
          <cell r="M430" t="e">
            <v>#N/A</v>
          </cell>
          <cell r="N430" t="e">
            <v>#N/A</v>
          </cell>
          <cell r="O430" t="e">
            <v>#N/A</v>
          </cell>
          <cell r="P430">
            <v>0.59</v>
          </cell>
          <cell r="Q430">
            <v>2.682887</v>
          </cell>
          <cell r="R430" t="e">
            <v>#N/A</v>
          </cell>
        </row>
        <row r="431">
          <cell r="A431">
            <v>40359</v>
          </cell>
          <cell r="B431">
            <v>40359</v>
          </cell>
          <cell r="C431" t="str">
            <v>Past</v>
          </cell>
          <cell r="D431">
            <v>0.57999999999999996</v>
          </cell>
          <cell r="E431" t="e">
            <v>#N/A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>
            <v>0.57999999999999996</v>
          </cell>
          <cell r="Q431">
            <v>2.2033589999999998</v>
          </cell>
          <cell r="R431" t="e">
            <v>#N/A</v>
          </cell>
        </row>
        <row r="432">
          <cell r="A432">
            <v>40360</v>
          </cell>
          <cell r="B432">
            <v>40360</v>
          </cell>
          <cell r="C432" t="str">
            <v>Past</v>
          </cell>
          <cell r="D432">
            <v>0.56999999999999995</v>
          </cell>
          <cell r="E432" t="e">
            <v>#N/A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>
            <v>0.56999999999999995</v>
          </cell>
          <cell r="Q432">
            <v>2.0292859999999999</v>
          </cell>
          <cell r="R432" t="e">
            <v>#N/A</v>
          </cell>
        </row>
        <row r="433">
          <cell r="A433">
            <v>40361</v>
          </cell>
          <cell r="B433">
            <v>40361</v>
          </cell>
          <cell r="C433" t="str">
            <v>Past</v>
          </cell>
          <cell r="D433">
            <v>0.57999999999999996</v>
          </cell>
          <cell r="E433" t="e">
            <v>#N/A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>
            <v>0.57999999999999996</v>
          </cell>
          <cell r="Q433">
            <v>1.5750469999999999</v>
          </cell>
          <cell r="R433" t="e">
            <v>#N/A</v>
          </cell>
        </row>
        <row r="434">
          <cell r="A434">
            <v>40364</v>
          </cell>
          <cell r="B434">
            <v>40364</v>
          </cell>
          <cell r="C434" t="str">
            <v>Past</v>
          </cell>
          <cell r="D434">
            <v>0.57999999999999996</v>
          </cell>
          <cell r="E434" t="e">
            <v>#N/A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>
            <v>0.57999999999999996</v>
          </cell>
          <cell r="Q434">
            <v>2.7860860000000001</v>
          </cell>
          <cell r="R434" t="e">
            <v>#N/A</v>
          </cell>
        </row>
        <row r="435">
          <cell r="A435">
            <v>40365</v>
          </cell>
          <cell r="B435">
            <v>40365</v>
          </cell>
          <cell r="C435" t="str">
            <v>Past</v>
          </cell>
          <cell r="D435">
            <v>0.6</v>
          </cell>
          <cell r="E435" t="e">
            <v>#N/A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>
            <v>0.6</v>
          </cell>
          <cell r="Q435">
            <v>4.625229</v>
          </cell>
          <cell r="R435" t="e">
            <v>#N/A</v>
          </cell>
        </row>
        <row r="436">
          <cell r="A436">
            <v>40366</v>
          </cell>
          <cell r="B436">
            <v>40366</v>
          </cell>
          <cell r="C436" t="str">
            <v>Past</v>
          </cell>
          <cell r="D436">
            <v>0.58499999999999996</v>
          </cell>
          <cell r="E436" t="e">
            <v>#N/A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>
            <v>0.58499999999999996</v>
          </cell>
          <cell r="Q436">
            <v>1.9849649999999999</v>
          </cell>
          <cell r="R436" t="e">
            <v>#N/A</v>
          </cell>
        </row>
        <row r="437">
          <cell r="A437">
            <v>40367</v>
          </cell>
          <cell r="B437">
            <v>40367</v>
          </cell>
          <cell r="C437" t="str">
            <v>Past</v>
          </cell>
          <cell r="D437">
            <v>0.57999999999999996</v>
          </cell>
          <cell r="E437" t="e">
            <v>#N/A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>
            <v>0.57999999999999996</v>
          </cell>
          <cell r="Q437">
            <v>3.9638389999999997</v>
          </cell>
          <cell r="R437" t="e">
            <v>#N/A</v>
          </cell>
        </row>
        <row r="438">
          <cell r="A438">
            <v>40368</v>
          </cell>
          <cell r="B438">
            <v>40368</v>
          </cell>
          <cell r="C438" t="str">
            <v>Past</v>
          </cell>
          <cell r="D438">
            <v>0.58499999999999996</v>
          </cell>
          <cell r="E438" t="e">
            <v>#N/A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>
            <v>0.58499999999999996</v>
          </cell>
          <cell r="Q438">
            <v>2.6867669999999997</v>
          </cell>
          <cell r="R438" t="e">
            <v>#N/A</v>
          </cell>
        </row>
        <row r="439">
          <cell r="A439">
            <v>40371</v>
          </cell>
          <cell r="B439">
            <v>40371</v>
          </cell>
          <cell r="C439" t="str">
            <v>Past</v>
          </cell>
          <cell r="D439">
            <v>0.57999999999999996</v>
          </cell>
          <cell r="E439" t="e">
            <v>#N/A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>
            <v>0.57999999999999996</v>
          </cell>
          <cell r="Q439">
            <v>3.463527</v>
          </cell>
          <cell r="R439" t="e">
            <v>#N/A</v>
          </cell>
        </row>
        <row r="440">
          <cell r="A440">
            <v>40372</v>
          </cell>
          <cell r="B440">
            <v>40372</v>
          </cell>
          <cell r="C440" t="str">
            <v>Past</v>
          </cell>
          <cell r="D440">
            <v>0.60499999999999998</v>
          </cell>
          <cell r="E440" t="e">
            <v>#N/A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>
            <v>0.60499999999999998</v>
          </cell>
          <cell r="Q440">
            <v>2.8454729999999997</v>
          </cell>
          <cell r="R440" t="e">
            <v>#N/A</v>
          </cell>
        </row>
        <row r="441">
          <cell r="A441">
            <v>40373</v>
          </cell>
          <cell r="B441">
            <v>40373</v>
          </cell>
          <cell r="C441" t="str">
            <v>Past</v>
          </cell>
          <cell r="D441">
            <v>0.64500000000000002</v>
          </cell>
          <cell r="E441" t="e">
            <v>#N/A</v>
          </cell>
          <cell r="F441" t="e">
            <v>#N/A</v>
          </cell>
          <cell r="G441" t="e">
            <v>#N/A</v>
          </cell>
          <cell r="H441" t="e">
            <v>#N/A</v>
          </cell>
          <cell r="I441" t="e">
            <v>#N/A</v>
          </cell>
          <cell r="J441" t="e">
            <v>#N/A</v>
          </cell>
          <cell r="K441" t="e">
            <v>#N/A</v>
          </cell>
          <cell r="L441" t="e">
            <v>#N/A</v>
          </cell>
          <cell r="M441" t="e">
            <v>#N/A</v>
          </cell>
          <cell r="N441" t="e">
            <v>#N/A</v>
          </cell>
          <cell r="O441" t="e">
            <v>#N/A</v>
          </cell>
          <cell r="P441">
            <v>0.64500000000000002</v>
          </cell>
          <cell r="Q441">
            <v>3.590392</v>
          </cell>
          <cell r="R441" t="e">
            <v>#N/A</v>
          </cell>
        </row>
        <row r="442">
          <cell r="A442">
            <v>40374</v>
          </cell>
          <cell r="B442">
            <v>40374</v>
          </cell>
          <cell r="C442" t="str">
            <v>Past</v>
          </cell>
          <cell r="D442">
            <v>0.64500000000000002</v>
          </cell>
          <cell r="E442" t="e">
            <v>#N/A</v>
          </cell>
          <cell r="F442" t="e">
            <v>#N/A</v>
          </cell>
          <cell r="G442" t="e">
            <v>#N/A</v>
          </cell>
          <cell r="H442" t="e">
            <v>#N/A</v>
          </cell>
          <cell r="I442" t="e">
            <v>#N/A</v>
          </cell>
          <cell r="J442" t="e">
            <v>#N/A</v>
          </cell>
          <cell r="K442" t="e">
            <v>#N/A</v>
          </cell>
          <cell r="L442" t="e">
            <v>#N/A</v>
          </cell>
          <cell r="M442" t="e">
            <v>#N/A</v>
          </cell>
          <cell r="N442" t="e">
            <v>#N/A</v>
          </cell>
          <cell r="O442" t="e">
            <v>#N/A</v>
          </cell>
          <cell r="P442">
            <v>0.64500000000000002</v>
          </cell>
          <cell r="Q442">
            <v>5.473795</v>
          </cell>
          <cell r="R442" t="e">
            <v>#N/A</v>
          </cell>
        </row>
        <row r="443">
          <cell r="A443">
            <v>40375</v>
          </cell>
          <cell r="B443">
            <v>40375</v>
          </cell>
          <cell r="C443" t="str">
            <v>Past</v>
          </cell>
          <cell r="D443">
            <v>0.66</v>
          </cell>
          <cell r="E443" t="e">
            <v>#N/A</v>
          </cell>
          <cell r="F443" t="e">
            <v>#N/A</v>
          </cell>
          <cell r="G443" t="e">
            <v>#N/A</v>
          </cell>
          <cell r="H443" t="e">
            <v>#N/A</v>
          </cell>
          <cell r="I443" t="e">
            <v>#N/A</v>
          </cell>
          <cell r="J443" t="e">
            <v>#N/A</v>
          </cell>
          <cell r="K443" t="e">
            <v>#N/A</v>
          </cell>
          <cell r="L443" t="e">
            <v>#N/A</v>
          </cell>
          <cell r="M443" t="e">
            <v>#N/A</v>
          </cell>
          <cell r="N443" t="e">
            <v>#N/A</v>
          </cell>
          <cell r="O443" t="e">
            <v>#N/A</v>
          </cell>
          <cell r="P443">
            <v>0.66</v>
          </cell>
          <cell r="Q443">
            <v>3.4398929999999996</v>
          </cell>
          <cell r="R443" t="e">
            <v>#N/A</v>
          </cell>
        </row>
        <row r="444">
          <cell r="A444">
            <v>40378</v>
          </cell>
          <cell r="B444">
            <v>40378</v>
          </cell>
          <cell r="C444" t="str">
            <v>Past</v>
          </cell>
          <cell r="D444">
            <v>0.63500000000000001</v>
          </cell>
          <cell r="E444" t="e">
            <v>#N/A</v>
          </cell>
          <cell r="F444" t="e">
            <v>#N/A</v>
          </cell>
          <cell r="G444" t="e">
            <v>#N/A</v>
          </cell>
          <cell r="H444" t="e">
            <v>#N/A</v>
          </cell>
          <cell r="I444" t="e">
            <v>#N/A</v>
          </cell>
          <cell r="J444" t="e">
            <v>#N/A</v>
          </cell>
          <cell r="K444" t="e">
            <v>#N/A</v>
          </cell>
          <cell r="L444" t="e">
            <v>#N/A</v>
          </cell>
          <cell r="M444" t="e">
            <v>#N/A</v>
          </cell>
          <cell r="N444" t="e">
            <v>#N/A</v>
          </cell>
          <cell r="O444" t="e">
            <v>#N/A</v>
          </cell>
          <cell r="P444">
            <v>0.63500000000000001</v>
          </cell>
          <cell r="Q444">
            <v>1.345459</v>
          </cell>
          <cell r="R444" t="e">
            <v>#N/A</v>
          </cell>
        </row>
        <row r="445">
          <cell r="A445">
            <v>40379</v>
          </cell>
          <cell r="B445">
            <v>40379</v>
          </cell>
          <cell r="C445" t="str">
            <v>Past</v>
          </cell>
          <cell r="D445">
            <v>0.63</v>
          </cell>
          <cell r="E445" t="e">
            <v>#N/A</v>
          </cell>
          <cell r="F445" t="e">
            <v>#N/A</v>
          </cell>
          <cell r="G445" t="e">
            <v>#N/A</v>
          </cell>
          <cell r="H445" t="e">
            <v>#N/A</v>
          </cell>
          <cell r="I445" t="e">
            <v>#N/A</v>
          </cell>
          <cell r="J445" t="e">
            <v>#N/A</v>
          </cell>
          <cell r="K445" t="e">
            <v>#N/A</v>
          </cell>
          <cell r="L445" t="e">
            <v>#N/A</v>
          </cell>
          <cell r="M445" t="e">
            <v>#N/A</v>
          </cell>
          <cell r="N445" t="e">
            <v>#N/A</v>
          </cell>
          <cell r="O445" t="e">
            <v>#N/A</v>
          </cell>
          <cell r="P445">
            <v>0.63</v>
          </cell>
          <cell r="Q445">
            <v>1.7807489999999999</v>
          </cell>
          <cell r="R445" t="e">
            <v>#N/A</v>
          </cell>
        </row>
        <row r="446">
          <cell r="A446">
            <v>40380</v>
          </cell>
          <cell r="B446">
            <v>40380</v>
          </cell>
          <cell r="C446" t="str">
            <v>Past</v>
          </cell>
          <cell r="D446">
            <v>0.625</v>
          </cell>
          <cell r="E446" t="e">
            <v>#N/A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>
            <v>0.625</v>
          </cell>
          <cell r="Q446">
            <v>0.96268100000000001</v>
          </cell>
          <cell r="R446" t="e">
            <v>#N/A</v>
          </cell>
        </row>
        <row r="447">
          <cell r="A447">
            <v>40381</v>
          </cell>
          <cell r="B447">
            <v>40381</v>
          </cell>
          <cell r="C447" t="str">
            <v>Past</v>
          </cell>
          <cell r="D447">
            <v>0.61499999999999999</v>
          </cell>
          <cell r="E447" t="e">
            <v>#N/A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>
            <v>0.61499999999999999</v>
          </cell>
          <cell r="Q447">
            <v>1.0808249999999999</v>
          </cell>
          <cell r="R447" t="e">
            <v>#N/A</v>
          </cell>
        </row>
        <row r="448">
          <cell r="A448">
            <v>40382</v>
          </cell>
          <cell r="B448">
            <v>40382</v>
          </cell>
          <cell r="C448" t="str">
            <v>Past</v>
          </cell>
          <cell r="D448">
            <v>0.64</v>
          </cell>
          <cell r="E448" t="e">
            <v>#N/A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>
            <v>0.64</v>
          </cell>
          <cell r="Q448">
            <v>4.7892999999999999</v>
          </cell>
          <cell r="R448" t="e">
            <v>#N/A</v>
          </cell>
        </row>
        <row r="449">
          <cell r="A449">
            <v>40385</v>
          </cell>
          <cell r="B449">
            <v>40385</v>
          </cell>
          <cell r="C449" t="str">
            <v>Past</v>
          </cell>
          <cell r="D449">
            <v>0.68</v>
          </cell>
          <cell r="E449" t="e">
            <v>#N/A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>
            <v>0.68</v>
          </cell>
          <cell r="Q449">
            <v>2.2056239999999998</v>
          </cell>
          <cell r="R449" t="e">
            <v>#N/A</v>
          </cell>
        </row>
        <row r="450">
          <cell r="A450">
            <v>40386</v>
          </cell>
          <cell r="B450">
            <v>40386</v>
          </cell>
          <cell r="C450" t="str">
            <v>Past</v>
          </cell>
          <cell r="D450">
            <v>0.65</v>
          </cell>
          <cell r="E450" t="e">
            <v>#N/A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>
            <v>0.65</v>
          </cell>
          <cell r="Q450">
            <v>2.8513820000000001</v>
          </cell>
          <cell r="R450" t="e">
            <v>#N/A</v>
          </cell>
        </row>
        <row r="451">
          <cell r="A451">
            <v>40387</v>
          </cell>
          <cell r="B451">
            <v>40387</v>
          </cell>
          <cell r="C451" t="str">
            <v>Past</v>
          </cell>
          <cell r="D451">
            <v>0.67500000000000004</v>
          </cell>
          <cell r="E451" t="e">
            <v>#N/A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>
            <v>0.67500000000000004</v>
          </cell>
          <cell r="Q451">
            <v>1.6861029999999999</v>
          </cell>
          <cell r="R451" t="e">
            <v>#N/A</v>
          </cell>
        </row>
        <row r="452">
          <cell r="A452">
            <v>40388</v>
          </cell>
          <cell r="B452">
            <v>40388</v>
          </cell>
          <cell r="C452" t="str">
            <v>Past</v>
          </cell>
          <cell r="D452">
            <v>0.69</v>
          </cell>
          <cell r="E452" t="e">
            <v>#N/A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>
            <v>0.69</v>
          </cell>
          <cell r="Q452">
            <v>3.309291</v>
          </cell>
          <cell r="R452" t="e">
            <v>#N/A</v>
          </cell>
        </row>
        <row r="453">
          <cell r="A453">
            <v>40389</v>
          </cell>
          <cell r="B453">
            <v>40389</v>
          </cell>
          <cell r="C453" t="str">
            <v>Past</v>
          </cell>
          <cell r="D453">
            <v>0.67500000000000004</v>
          </cell>
          <cell r="E453" t="e">
            <v>#N/A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>
            <v>0.67500000000000004</v>
          </cell>
          <cell r="Q453">
            <v>1.387818</v>
          </cell>
          <cell r="R453" t="e">
            <v>#N/A</v>
          </cell>
        </row>
        <row r="454">
          <cell r="A454">
            <v>40392</v>
          </cell>
          <cell r="B454">
            <v>40392</v>
          </cell>
          <cell r="C454" t="str">
            <v>Past</v>
          </cell>
          <cell r="D454">
            <v>0.69499999999999995</v>
          </cell>
          <cell r="E454" t="e">
            <v>#N/A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>
            <v>0.69499999999999995</v>
          </cell>
          <cell r="Q454">
            <v>1.5023789999999999</v>
          </cell>
          <cell r="R454" t="e">
            <v>#N/A</v>
          </cell>
        </row>
        <row r="455">
          <cell r="A455">
            <v>40393</v>
          </cell>
          <cell r="B455">
            <v>40393</v>
          </cell>
          <cell r="C455" t="str">
            <v>Past</v>
          </cell>
          <cell r="D455">
            <v>0.72</v>
          </cell>
          <cell r="E455" t="e">
            <v>#N/A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>
            <v>0.72</v>
          </cell>
          <cell r="Q455">
            <v>2.8615119999999998</v>
          </cell>
          <cell r="R455" t="e">
            <v>#N/A</v>
          </cell>
        </row>
        <row r="456">
          <cell r="A456">
            <v>40394</v>
          </cell>
          <cell r="B456">
            <v>40394</v>
          </cell>
          <cell r="C456" t="str">
            <v>Past</v>
          </cell>
          <cell r="D456">
            <v>0.71</v>
          </cell>
          <cell r="E456" t="e">
            <v>#N/A</v>
          </cell>
          <cell r="F456" t="e">
            <v>#N/A</v>
          </cell>
          <cell r="G456" t="e">
            <v>#N/A</v>
          </cell>
          <cell r="H456" t="e">
            <v>#N/A</v>
          </cell>
          <cell r="I456" t="e">
            <v>#N/A</v>
          </cell>
          <cell r="J456" t="e">
            <v>#N/A</v>
          </cell>
          <cell r="K456" t="e">
            <v>#N/A</v>
          </cell>
          <cell r="L456" t="e">
            <v>#N/A</v>
          </cell>
          <cell r="M456" t="e">
            <v>#N/A</v>
          </cell>
          <cell r="N456" t="e">
            <v>#N/A</v>
          </cell>
          <cell r="O456" t="e">
            <v>#N/A</v>
          </cell>
          <cell r="P456">
            <v>0.71</v>
          </cell>
          <cell r="Q456">
            <v>2.0471300000000001</v>
          </cell>
          <cell r="R456" t="e">
            <v>#N/A</v>
          </cell>
        </row>
        <row r="457">
          <cell r="A457">
            <v>40395</v>
          </cell>
          <cell r="B457">
            <v>40395</v>
          </cell>
          <cell r="C457" t="str">
            <v>Past</v>
          </cell>
          <cell r="D457">
            <v>0.71499999999999997</v>
          </cell>
          <cell r="E457" t="e">
            <v>#N/A</v>
          </cell>
          <cell r="F457" t="e">
            <v>#N/A</v>
          </cell>
          <cell r="G457" t="e">
            <v>#N/A</v>
          </cell>
          <cell r="H457" t="e">
            <v>#N/A</v>
          </cell>
          <cell r="I457" t="e">
            <v>#N/A</v>
          </cell>
          <cell r="J457" t="e">
            <v>#N/A</v>
          </cell>
          <cell r="K457" t="e">
            <v>#N/A</v>
          </cell>
          <cell r="L457" t="e">
            <v>#N/A</v>
          </cell>
          <cell r="M457" t="e">
            <v>#N/A</v>
          </cell>
          <cell r="N457" t="e">
            <v>#N/A</v>
          </cell>
          <cell r="O457" t="e">
            <v>#N/A</v>
          </cell>
          <cell r="P457">
            <v>0.71499999999999997</v>
          </cell>
          <cell r="Q457">
            <v>1.6978959999999998</v>
          </cell>
          <cell r="R457" t="e">
            <v>#N/A</v>
          </cell>
        </row>
        <row r="458">
          <cell r="A458">
            <v>40396</v>
          </cell>
          <cell r="B458">
            <v>40396</v>
          </cell>
          <cell r="C458" t="str">
            <v>Past</v>
          </cell>
          <cell r="D458">
            <v>0.71499999999999997</v>
          </cell>
          <cell r="E458" t="e">
            <v>#N/A</v>
          </cell>
          <cell r="F458" t="e">
            <v>#N/A</v>
          </cell>
          <cell r="G458" t="e">
            <v>#N/A</v>
          </cell>
          <cell r="H458" t="e">
            <v>#N/A</v>
          </cell>
          <cell r="I458" t="e">
            <v>#N/A</v>
          </cell>
          <cell r="J458" t="e">
            <v>#N/A</v>
          </cell>
          <cell r="K458" t="e">
            <v>#N/A</v>
          </cell>
          <cell r="L458" t="e">
            <v>#N/A</v>
          </cell>
          <cell r="M458" t="e">
            <v>#N/A</v>
          </cell>
          <cell r="N458" t="e">
            <v>#N/A</v>
          </cell>
          <cell r="O458" t="e">
            <v>#N/A</v>
          </cell>
          <cell r="P458">
            <v>0.71499999999999997</v>
          </cell>
          <cell r="Q458">
            <v>1.153319</v>
          </cell>
          <cell r="R458" t="e">
            <v>#N/A</v>
          </cell>
        </row>
        <row r="459">
          <cell r="A459">
            <v>40399</v>
          </cell>
          <cell r="B459">
            <v>40399</v>
          </cell>
          <cell r="C459" t="str">
            <v>Past</v>
          </cell>
          <cell r="D459">
            <v>0.71</v>
          </cell>
          <cell r="E459" t="e">
            <v>#N/A</v>
          </cell>
          <cell r="F459" t="e">
            <v>#N/A</v>
          </cell>
          <cell r="G459" t="e">
            <v>#N/A</v>
          </cell>
          <cell r="H459" t="e">
            <v>#N/A</v>
          </cell>
          <cell r="I459" t="e">
            <v>#N/A</v>
          </cell>
          <cell r="J459" t="e">
            <v>#N/A</v>
          </cell>
          <cell r="K459" t="e">
            <v>#N/A</v>
          </cell>
          <cell r="L459" t="e">
            <v>#N/A</v>
          </cell>
          <cell r="M459" t="e">
            <v>#N/A</v>
          </cell>
          <cell r="N459" t="e">
            <v>#N/A</v>
          </cell>
          <cell r="O459" t="e">
            <v>#N/A</v>
          </cell>
          <cell r="P459">
            <v>0.71</v>
          </cell>
          <cell r="Q459">
            <v>1.1253200000000001</v>
          </cell>
          <cell r="R459" t="e">
            <v>#N/A</v>
          </cell>
        </row>
        <row r="460">
          <cell r="A460">
            <v>40400</v>
          </cell>
          <cell r="B460">
            <v>40400</v>
          </cell>
          <cell r="C460" t="str">
            <v>Past</v>
          </cell>
          <cell r="D460">
            <v>0.72</v>
          </cell>
          <cell r="E460" t="e">
            <v>#N/A</v>
          </cell>
          <cell r="F460" t="e">
            <v>#N/A</v>
          </cell>
          <cell r="G460" t="e">
            <v>#N/A</v>
          </cell>
          <cell r="H460" t="e">
            <v>#N/A</v>
          </cell>
          <cell r="I460" t="e">
            <v>#N/A</v>
          </cell>
          <cell r="J460" t="e">
            <v>#N/A</v>
          </cell>
          <cell r="K460" t="e">
            <v>#N/A</v>
          </cell>
          <cell r="L460" t="e">
            <v>#N/A</v>
          </cell>
          <cell r="M460" t="e">
            <v>#N/A</v>
          </cell>
          <cell r="N460" t="e">
            <v>#N/A</v>
          </cell>
          <cell r="O460" t="e">
            <v>#N/A</v>
          </cell>
          <cell r="P460">
            <v>0.72</v>
          </cell>
          <cell r="Q460">
            <v>0.94720399999999993</v>
          </cell>
          <cell r="R460" t="e">
            <v>#N/A</v>
          </cell>
        </row>
        <row r="461">
          <cell r="A461">
            <v>40401</v>
          </cell>
          <cell r="B461">
            <v>40401</v>
          </cell>
          <cell r="C461" t="str">
            <v>Past</v>
          </cell>
          <cell r="D461">
            <v>0.71499999999999997</v>
          </cell>
          <cell r="E461" t="e">
            <v>#N/A</v>
          </cell>
          <cell r="F461" t="e">
            <v>#N/A</v>
          </cell>
          <cell r="G461" t="e">
            <v>#N/A</v>
          </cell>
          <cell r="H461" t="e">
            <v>#N/A</v>
          </cell>
          <cell r="I461" t="e">
            <v>#N/A</v>
          </cell>
          <cell r="J461" t="e">
            <v>#N/A</v>
          </cell>
          <cell r="K461" t="e">
            <v>#N/A</v>
          </cell>
          <cell r="L461" t="e">
            <v>#N/A</v>
          </cell>
          <cell r="M461" t="e">
            <v>#N/A</v>
          </cell>
          <cell r="N461" t="e">
            <v>#N/A</v>
          </cell>
          <cell r="O461" t="e">
            <v>#N/A</v>
          </cell>
          <cell r="P461">
            <v>0.71499999999999997</v>
          </cell>
          <cell r="Q461">
            <v>2.4526729999999999</v>
          </cell>
          <cell r="R461" t="e">
            <v>#N/A</v>
          </cell>
        </row>
        <row r="462">
          <cell r="A462">
            <v>40402</v>
          </cell>
          <cell r="B462">
            <v>40402</v>
          </cell>
          <cell r="C462" t="str">
            <v>Past</v>
          </cell>
          <cell r="D462">
            <v>0.71499999999999997</v>
          </cell>
          <cell r="E462" t="e">
            <v>#N/A</v>
          </cell>
          <cell r="F462" t="e">
            <v>#N/A</v>
          </cell>
          <cell r="G462" t="e">
            <v>#N/A</v>
          </cell>
          <cell r="H462" t="e">
            <v>#N/A</v>
          </cell>
          <cell r="I462" t="e">
            <v>#N/A</v>
          </cell>
          <cell r="J462" t="e">
            <v>#N/A</v>
          </cell>
          <cell r="K462" t="e">
            <v>#N/A</v>
          </cell>
          <cell r="L462" t="e">
            <v>#N/A</v>
          </cell>
          <cell r="M462" t="e">
            <v>#N/A</v>
          </cell>
          <cell r="N462" t="e">
            <v>#N/A</v>
          </cell>
          <cell r="O462" t="e">
            <v>#N/A</v>
          </cell>
          <cell r="P462">
            <v>0.71499999999999997</v>
          </cell>
          <cell r="Q462">
            <v>1.5174569999999998</v>
          </cell>
          <cell r="R462" t="e">
            <v>#N/A</v>
          </cell>
        </row>
        <row r="463">
          <cell r="A463">
            <v>40403</v>
          </cell>
          <cell r="B463">
            <v>40403</v>
          </cell>
          <cell r="C463" t="str">
            <v>Past</v>
          </cell>
          <cell r="D463">
            <v>0.72499999999999998</v>
          </cell>
          <cell r="E463" t="e">
            <v>#N/A</v>
          </cell>
          <cell r="F463" t="e">
            <v>#N/A</v>
          </cell>
          <cell r="G463" t="e">
            <v>#N/A</v>
          </cell>
          <cell r="H463" t="e">
            <v>#N/A</v>
          </cell>
          <cell r="I463" t="e">
            <v>#N/A</v>
          </cell>
          <cell r="J463" t="e">
            <v>#N/A</v>
          </cell>
          <cell r="K463" t="e">
            <v>#N/A</v>
          </cell>
          <cell r="L463" t="e">
            <v>#N/A</v>
          </cell>
          <cell r="M463" t="e">
            <v>#N/A</v>
          </cell>
          <cell r="N463" t="e">
            <v>#N/A</v>
          </cell>
          <cell r="O463" t="e">
            <v>#N/A</v>
          </cell>
          <cell r="P463">
            <v>0.72499999999999998</v>
          </cell>
          <cell r="Q463">
            <v>1.936593</v>
          </cell>
          <cell r="R463" t="e">
            <v>#N/A</v>
          </cell>
        </row>
        <row r="464">
          <cell r="A464">
            <v>40406</v>
          </cell>
          <cell r="B464">
            <v>40406</v>
          </cell>
          <cell r="C464" t="str">
            <v>Past</v>
          </cell>
          <cell r="D464">
            <v>0.71499999999999997</v>
          </cell>
          <cell r="E464" t="e">
            <v>#N/A</v>
          </cell>
          <cell r="F464" t="e">
            <v>#N/A</v>
          </cell>
          <cell r="G464" t="e">
            <v>#N/A</v>
          </cell>
          <cell r="H464" t="e">
            <v>#N/A</v>
          </cell>
          <cell r="I464" t="e">
            <v>#N/A</v>
          </cell>
          <cell r="J464" t="e">
            <v>#N/A</v>
          </cell>
          <cell r="K464" t="e">
            <v>#N/A</v>
          </cell>
          <cell r="L464" t="e">
            <v>#N/A</v>
          </cell>
          <cell r="M464" t="e">
            <v>#N/A</v>
          </cell>
          <cell r="N464" t="e">
            <v>#N/A</v>
          </cell>
          <cell r="O464" t="e">
            <v>#N/A</v>
          </cell>
          <cell r="P464">
            <v>0.71499999999999997</v>
          </cell>
          <cell r="Q464">
            <v>0.96847799999999995</v>
          </cell>
          <cell r="R464" t="e">
            <v>#N/A</v>
          </cell>
        </row>
        <row r="465">
          <cell r="A465">
            <v>40407</v>
          </cell>
          <cell r="B465">
            <v>40407</v>
          </cell>
          <cell r="C465" t="str">
            <v>Past</v>
          </cell>
          <cell r="D465">
            <v>0.72</v>
          </cell>
          <cell r="E465" t="e">
            <v>#N/A</v>
          </cell>
          <cell r="F465" t="e">
            <v>#N/A</v>
          </cell>
          <cell r="G465" t="e">
            <v>#N/A</v>
          </cell>
          <cell r="H465" t="e">
            <v>#N/A</v>
          </cell>
          <cell r="I465" t="e">
            <v>#N/A</v>
          </cell>
          <cell r="J465" t="e">
            <v>#N/A</v>
          </cell>
          <cell r="K465" t="e">
            <v>#N/A</v>
          </cell>
          <cell r="L465" t="e">
            <v>#N/A</v>
          </cell>
          <cell r="M465" t="e">
            <v>#N/A</v>
          </cell>
          <cell r="N465" t="e">
            <v>#N/A</v>
          </cell>
          <cell r="O465" t="e">
            <v>#N/A</v>
          </cell>
          <cell r="P465">
            <v>0.72</v>
          </cell>
          <cell r="Q465">
            <v>1.318924</v>
          </cell>
          <cell r="R465" t="e">
            <v>#N/A</v>
          </cell>
        </row>
        <row r="466">
          <cell r="A466">
            <v>40408</v>
          </cell>
          <cell r="B466">
            <v>40408</v>
          </cell>
          <cell r="C466" t="str">
            <v>Past</v>
          </cell>
          <cell r="D466">
            <v>0.73</v>
          </cell>
          <cell r="E466" t="e">
            <v>#N/A</v>
          </cell>
          <cell r="F466" t="e">
            <v>#N/A</v>
          </cell>
          <cell r="G466" t="e">
            <v>#N/A</v>
          </cell>
          <cell r="H466" t="e">
            <v>#N/A</v>
          </cell>
          <cell r="I466" t="e">
            <v>#N/A</v>
          </cell>
          <cell r="J466" t="e">
            <v>#N/A</v>
          </cell>
          <cell r="K466" t="e">
            <v>#N/A</v>
          </cell>
          <cell r="L466" t="e">
            <v>#N/A</v>
          </cell>
          <cell r="M466" t="e">
            <v>#N/A</v>
          </cell>
          <cell r="N466" t="e">
            <v>#N/A</v>
          </cell>
          <cell r="O466" t="e">
            <v>#N/A</v>
          </cell>
          <cell r="P466">
            <v>0.73</v>
          </cell>
          <cell r="Q466">
            <v>1.794092</v>
          </cell>
          <cell r="R466" t="e">
            <v>#N/A</v>
          </cell>
        </row>
        <row r="467">
          <cell r="A467">
            <v>40409</v>
          </cell>
          <cell r="B467">
            <v>40409</v>
          </cell>
          <cell r="C467" t="str">
            <v>Past</v>
          </cell>
          <cell r="D467">
            <v>0.73</v>
          </cell>
          <cell r="E467" t="e">
            <v>#N/A</v>
          </cell>
          <cell r="F467" t="e">
            <v>#N/A</v>
          </cell>
          <cell r="G467" t="e">
            <v>#N/A</v>
          </cell>
          <cell r="H467" t="e">
            <v>#N/A</v>
          </cell>
          <cell r="I467" t="e">
            <v>#N/A</v>
          </cell>
          <cell r="J467" t="e">
            <v>#N/A</v>
          </cell>
          <cell r="K467" t="e">
            <v>#N/A</v>
          </cell>
          <cell r="L467" t="e">
            <v>#N/A</v>
          </cell>
          <cell r="M467" t="e">
            <v>#N/A</v>
          </cell>
          <cell r="N467" t="e">
            <v>#N/A</v>
          </cell>
          <cell r="O467" t="e">
            <v>#N/A</v>
          </cell>
          <cell r="P467">
            <v>0.73</v>
          </cell>
          <cell r="Q467">
            <v>2.5040469999999999</v>
          </cell>
          <cell r="R467" t="e">
            <v>#N/A</v>
          </cell>
        </row>
        <row r="468">
          <cell r="A468">
            <v>40410</v>
          </cell>
          <cell r="B468">
            <v>40410</v>
          </cell>
          <cell r="C468" t="str">
            <v>Past</v>
          </cell>
          <cell r="D468">
            <v>0.7</v>
          </cell>
          <cell r="E468" t="e">
            <v>#N/A</v>
          </cell>
          <cell r="F468" t="e">
            <v>#N/A</v>
          </cell>
          <cell r="G468" t="e">
            <v>#N/A</v>
          </cell>
          <cell r="H468" t="e">
            <v>#N/A</v>
          </cell>
          <cell r="I468" t="e">
            <v>#N/A</v>
          </cell>
          <cell r="J468" t="e">
            <v>#N/A</v>
          </cell>
          <cell r="K468" t="e">
            <v>#N/A</v>
          </cell>
          <cell r="L468" t="e">
            <v>#N/A</v>
          </cell>
          <cell r="M468" t="e">
            <v>#N/A</v>
          </cell>
          <cell r="N468" t="e">
            <v>#N/A</v>
          </cell>
          <cell r="O468" t="e">
            <v>#N/A</v>
          </cell>
          <cell r="P468">
            <v>0.7</v>
          </cell>
          <cell r="Q468">
            <v>2.605683</v>
          </cell>
          <cell r="R468" t="e">
            <v>#N/A</v>
          </cell>
        </row>
        <row r="469">
          <cell r="A469">
            <v>40413</v>
          </cell>
          <cell r="B469">
            <v>40413</v>
          </cell>
          <cell r="C469" t="str">
            <v>Past</v>
          </cell>
          <cell r="D469">
            <v>0.73</v>
          </cell>
          <cell r="E469" t="e">
            <v>#N/A</v>
          </cell>
          <cell r="F469" t="e">
            <v>#N/A</v>
          </cell>
          <cell r="G469" t="e">
            <v>#N/A</v>
          </cell>
          <cell r="H469" t="e">
            <v>#N/A</v>
          </cell>
          <cell r="I469" t="e">
            <v>#N/A</v>
          </cell>
          <cell r="J469" t="e">
            <v>#N/A</v>
          </cell>
          <cell r="K469" t="e">
            <v>#N/A</v>
          </cell>
          <cell r="L469" t="e">
            <v>#N/A</v>
          </cell>
          <cell r="M469" t="e">
            <v>#N/A</v>
          </cell>
          <cell r="N469" t="e">
            <v>#N/A</v>
          </cell>
          <cell r="O469" t="e">
            <v>#N/A</v>
          </cell>
          <cell r="P469">
            <v>0.73</v>
          </cell>
          <cell r="Q469">
            <v>2.5581679999999998</v>
          </cell>
          <cell r="R469" t="e">
            <v>#N/A</v>
          </cell>
        </row>
        <row r="470">
          <cell r="A470">
            <v>40414</v>
          </cell>
          <cell r="B470">
            <v>40414</v>
          </cell>
          <cell r="C470" t="str">
            <v>Past</v>
          </cell>
          <cell r="D470">
            <v>0.72</v>
          </cell>
          <cell r="E470" t="e">
            <v>#N/A</v>
          </cell>
          <cell r="F470" t="e">
            <v>#N/A</v>
          </cell>
          <cell r="G470" t="e">
            <v>#N/A</v>
          </cell>
          <cell r="H470" t="e">
            <v>#N/A</v>
          </cell>
          <cell r="I470" t="e">
            <v>#N/A</v>
          </cell>
          <cell r="J470" t="e">
            <v>#N/A</v>
          </cell>
          <cell r="K470" t="e">
            <v>#N/A</v>
          </cell>
          <cell r="L470" t="e">
            <v>#N/A</v>
          </cell>
          <cell r="M470" t="e">
            <v>#N/A</v>
          </cell>
          <cell r="N470" t="e">
            <v>#N/A</v>
          </cell>
          <cell r="O470" t="e">
            <v>#N/A</v>
          </cell>
          <cell r="P470">
            <v>0.72</v>
          </cell>
          <cell r="Q470">
            <v>1.1234300000000002</v>
          </cell>
          <cell r="R470" t="e">
            <v>#N/A</v>
          </cell>
        </row>
        <row r="471">
          <cell r="A471">
            <v>40415</v>
          </cell>
          <cell r="B471">
            <v>40415</v>
          </cell>
          <cell r="C471" t="str">
            <v>Past</v>
          </cell>
          <cell r="D471">
            <v>0.77</v>
          </cell>
          <cell r="E471" t="e">
            <v>#N/A</v>
          </cell>
          <cell r="F471" t="e">
            <v>#N/A</v>
          </cell>
          <cell r="G471" t="e">
            <v>#N/A</v>
          </cell>
          <cell r="H471" t="e">
            <v>#N/A</v>
          </cell>
          <cell r="I471" t="e">
            <v>#N/A</v>
          </cell>
          <cell r="J471" t="e">
            <v>#N/A</v>
          </cell>
          <cell r="K471" t="e">
            <v>#N/A</v>
          </cell>
          <cell r="L471" t="e">
            <v>#N/A</v>
          </cell>
          <cell r="M471" t="e">
            <v>#N/A</v>
          </cell>
          <cell r="N471" t="e">
            <v>#N/A</v>
          </cell>
          <cell r="O471" t="e">
            <v>#N/A</v>
          </cell>
          <cell r="P471">
            <v>0.77</v>
          </cell>
          <cell r="Q471">
            <v>5.8299759999999994</v>
          </cell>
          <cell r="R471" t="e">
            <v>#N/A</v>
          </cell>
        </row>
        <row r="472">
          <cell r="A472">
            <v>40416</v>
          </cell>
          <cell r="B472">
            <v>40416</v>
          </cell>
          <cell r="C472" t="str">
            <v>Past</v>
          </cell>
          <cell r="D472">
            <v>0.75</v>
          </cell>
          <cell r="E472" t="e">
            <v>#N/A</v>
          </cell>
          <cell r="F472" t="e">
            <v>#N/A</v>
          </cell>
          <cell r="G472" t="e">
            <v>#N/A</v>
          </cell>
          <cell r="H472" t="e">
            <v>#N/A</v>
          </cell>
          <cell r="I472" t="e">
            <v>#N/A</v>
          </cell>
          <cell r="J472" t="e">
            <v>#N/A</v>
          </cell>
          <cell r="K472" t="e">
            <v>#N/A</v>
          </cell>
          <cell r="L472" t="e">
            <v>#N/A</v>
          </cell>
          <cell r="M472" t="e">
            <v>#N/A</v>
          </cell>
          <cell r="N472" t="e">
            <v>#N/A</v>
          </cell>
          <cell r="O472" t="e">
            <v>#N/A</v>
          </cell>
          <cell r="P472">
            <v>0.75</v>
          </cell>
          <cell r="Q472">
            <v>2.3256459999999999</v>
          </cell>
          <cell r="R472" t="e">
            <v>#N/A</v>
          </cell>
        </row>
        <row r="473">
          <cell r="A473">
            <v>40417</v>
          </cell>
          <cell r="B473">
            <v>40417</v>
          </cell>
          <cell r="C473" t="str">
            <v>Past</v>
          </cell>
          <cell r="D473">
            <v>0.755</v>
          </cell>
          <cell r="E473" t="e">
            <v>#N/A</v>
          </cell>
          <cell r="F473" t="e">
            <v>#N/A</v>
          </cell>
          <cell r="G473" t="e">
            <v>#N/A</v>
          </cell>
          <cell r="H473" t="e">
            <v>#N/A</v>
          </cell>
          <cell r="I473" t="e">
            <v>#N/A</v>
          </cell>
          <cell r="J473" t="e">
            <v>#N/A</v>
          </cell>
          <cell r="K473" t="e">
            <v>#N/A</v>
          </cell>
          <cell r="L473" t="e">
            <v>#N/A</v>
          </cell>
          <cell r="M473" t="e">
            <v>#N/A</v>
          </cell>
          <cell r="N473" t="e">
            <v>#N/A</v>
          </cell>
          <cell r="O473" t="e">
            <v>#N/A</v>
          </cell>
          <cell r="P473">
            <v>0.755</v>
          </cell>
          <cell r="Q473">
            <v>2.3273440000000001</v>
          </cell>
          <cell r="R473" t="e">
            <v>#N/A</v>
          </cell>
        </row>
        <row r="474">
          <cell r="A474">
            <v>40420</v>
          </cell>
          <cell r="B474">
            <v>40420</v>
          </cell>
          <cell r="C474" t="str">
            <v>Past</v>
          </cell>
          <cell r="D474">
            <v>0.77500000000000002</v>
          </cell>
          <cell r="E474" t="e">
            <v>#N/A</v>
          </cell>
          <cell r="F474" t="e">
            <v>#N/A</v>
          </cell>
          <cell r="G474" t="e">
            <v>#N/A</v>
          </cell>
          <cell r="H474" t="e">
            <v>#N/A</v>
          </cell>
          <cell r="I474" t="e">
            <v>#N/A</v>
          </cell>
          <cell r="J474" t="e">
            <v>#N/A</v>
          </cell>
          <cell r="K474" t="e">
            <v>#N/A</v>
          </cell>
          <cell r="L474" t="e">
            <v>#N/A</v>
          </cell>
          <cell r="M474" t="e">
            <v>#N/A</v>
          </cell>
          <cell r="N474" t="e">
            <v>#N/A</v>
          </cell>
          <cell r="O474" t="e">
            <v>#N/A</v>
          </cell>
          <cell r="P474">
            <v>0.77500000000000002</v>
          </cell>
          <cell r="Q474">
            <v>2.8303970000000001</v>
          </cell>
          <cell r="R474" t="e">
            <v>#N/A</v>
          </cell>
        </row>
        <row r="475">
          <cell r="A475">
            <v>40421</v>
          </cell>
          <cell r="B475">
            <v>40421</v>
          </cell>
          <cell r="C475" t="str">
            <v>Past</v>
          </cell>
          <cell r="D475">
            <v>0.77</v>
          </cell>
          <cell r="E475" t="e">
            <v>#N/A</v>
          </cell>
          <cell r="F475" t="e">
            <v>#N/A</v>
          </cell>
          <cell r="G475" t="e">
            <v>#N/A</v>
          </cell>
          <cell r="H475" t="e">
            <v>#N/A</v>
          </cell>
          <cell r="I475" t="e">
            <v>#N/A</v>
          </cell>
          <cell r="J475" t="e">
            <v>#N/A</v>
          </cell>
          <cell r="K475" t="e">
            <v>#N/A</v>
          </cell>
          <cell r="L475" t="e">
            <v>#N/A</v>
          </cell>
          <cell r="M475" t="e">
            <v>#N/A</v>
          </cell>
          <cell r="N475" t="e">
            <v>#N/A</v>
          </cell>
          <cell r="O475" t="e">
            <v>#N/A</v>
          </cell>
          <cell r="P475">
            <v>0.77</v>
          </cell>
          <cell r="Q475">
            <v>2.5204549999999997</v>
          </cell>
          <cell r="R475" t="e">
            <v>#N/A</v>
          </cell>
        </row>
        <row r="476">
          <cell r="A476">
            <v>40422</v>
          </cell>
          <cell r="B476">
            <v>40422</v>
          </cell>
          <cell r="C476" t="str">
            <v>Past</v>
          </cell>
          <cell r="D476">
            <v>0.78500000000000003</v>
          </cell>
          <cell r="E476" t="e">
            <v>#N/A</v>
          </cell>
          <cell r="F476" t="e">
            <v>#N/A</v>
          </cell>
          <cell r="G476" t="e">
            <v>#N/A</v>
          </cell>
          <cell r="H476" t="e">
            <v>#N/A</v>
          </cell>
          <cell r="I476" t="e">
            <v>#N/A</v>
          </cell>
          <cell r="J476" t="e">
            <v>#N/A</v>
          </cell>
          <cell r="K476" t="e">
            <v>#N/A</v>
          </cell>
          <cell r="L476" t="e">
            <v>#N/A</v>
          </cell>
          <cell r="M476" t="e">
            <v>#N/A</v>
          </cell>
          <cell r="N476" t="e">
            <v>#N/A</v>
          </cell>
          <cell r="O476" t="e">
            <v>#N/A</v>
          </cell>
          <cell r="P476">
            <v>0.78500000000000003</v>
          </cell>
          <cell r="Q476">
            <v>5.6971249999999998</v>
          </cell>
          <cell r="R476" t="e">
            <v>#N/A</v>
          </cell>
        </row>
        <row r="477">
          <cell r="A477">
            <v>40423</v>
          </cell>
          <cell r="B477">
            <v>40423</v>
          </cell>
          <cell r="C477" t="str">
            <v>Past</v>
          </cell>
          <cell r="D477">
            <v>0.78500000000000003</v>
          </cell>
          <cell r="E477" t="e">
            <v>#N/A</v>
          </cell>
          <cell r="F477" t="e">
            <v>#N/A</v>
          </cell>
          <cell r="G477" t="e">
            <v>#N/A</v>
          </cell>
          <cell r="H477" t="e">
            <v>#N/A</v>
          </cell>
          <cell r="I477" t="e">
            <v>#N/A</v>
          </cell>
          <cell r="J477" t="e">
            <v>#N/A</v>
          </cell>
          <cell r="K477" t="e">
            <v>#N/A</v>
          </cell>
          <cell r="L477" t="e">
            <v>#N/A</v>
          </cell>
          <cell r="M477" t="e">
            <v>#N/A</v>
          </cell>
          <cell r="N477" t="e">
            <v>#N/A</v>
          </cell>
          <cell r="O477" t="e">
            <v>#N/A</v>
          </cell>
          <cell r="P477">
            <v>0.78500000000000003</v>
          </cell>
          <cell r="Q477">
            <v>1.2777879999999999</v>
          </cell>
          <cell r="R477" t="e">
            <v>#N/A</v>
          </cell>
        </row>
        <row r="478">
          <cell r="A478">
            <v>40424</v>
          </cell>
          <cell r="B478">
            <v>40424</v>
          </cell>
          <cell r="C478" t="str">
            <v>Past</v>
          </cell>
          <cell r="D478">
            <v>0.79</v>
          </cell>
          <cell r="E478" t="e">
            <v>#N/A</v>
          </cell>
          <cell r="F478" t="e">
            <v>#N/A</v>
          </cell>
          <cell r="G478" t="e">
            <v>#N/A</v>
          </cell>
          <cell r="H478" t="e">
            <v>#N/A</v>
          </cell>
          <cell r="I478" t="e">
            <v>#N/A</v>
          </cell>
          <cell r="J478" t="e">
            <v>#N/A</v>
          </cell>
          <cell r="K478" t="e">
            <v>#N/A</v>
          </cell>
          <cell r="L478" t="e">
            <v>#N/A</v>
          </cell>
          <cell r="M478" t="e">
            <v>#N/A</v>
          </cell>
          <cell r="N478" t="e">
            <v>#N/A</v>
          </cell>
          <cell r="O478" t="e">
            <v>#N/A</v>
          </cell>
          <cell r="P478">
            <v>0.79</v>
          </cell>
          <cell r="Q478">
            <v>2.3888560000000001</v>
          </cell>
          <cell r="R478" t="e">
            <v>#N/A</v>
          </cell>
        </row>
        <row r="479">
          <cell r="A479">
            <v>40427</v>
          </cell>
          <cell r="B479">
            <v>40427</v>
          </cell>
          <cell r="C479" t="str">
            <v>Past</v>
          </cell>
          <cell r="D479">
            <v>0.81499999999999995</v>
          </cell>
          <cell r="E479" t="e">
            <v>#N/A</v>
          </cell>
          <cell r="F479" t="e">
            <v>#N/A</v>
          </cell>
          <cell r="G479" t="e">
            <v>#N/A</v>
          </cell>
          <cell r="H479" t="e">
            <v>#N/A</v>
          </cell>
          <cell r="I479" t="e">
            <v>#N/A</v>
          </cell>
          <cell r="J479" t="e">
            <v>#N/A</v>
          </cell>
          <cell r="K479" t="e">
            <v>#N/A</v>
          </cell>
          <cell r="L479" t="e">
            <v>#N/A</v>
          </cell>
          <cell r="M479" t="e">
            <v>#N/A</v>
          </cell>
          <cell r="N479" t="e">
            <v>#N/A</v>
          </cell>
          <cell r="O479" t="e">
            <v>#N/A</v>
          </cell>
          <cell r="P479">
            <v>0.81499999999999995</v>
          </cell>
          <cell r="Q479">
            <v>2.7012689999999999</v>
          </cell>
          <cell r="R479" t="e">
            <v>#N/A</v>
          </cell>
        </row>
        <row r="480">
          <cell r="A480">
            <v>40428</v>
          </cell>
          <cell r="B480">
            <v>40428</v>
          </cell>
          <cell r="C480" t="str">
            <v>Past</v>
          </cell>
          <cell r="D480">
            <v>0.82</v>
          </cell>
          <cell r="E480" t="e">
            <v>#N/A</v>
          </cell>
          <cell r="F480" t="e">
            <v>#N/A</v>
          </cell>
          <cell r="G480" t="e">
            <v>#N/A</v>
          </cell>
          <cell r="H480" t="e">
            <v>#N/A</v>
          </cell>
          <cell r="I480" t="e">
            <v>#N/A</v>
          </cell>
          <cell r="J480" t="e">
            <v>#N/A</v>
          </cell>
          <cell r="K480" t="e">
            <v>#N/A</v>
          </cell>
          <cell r="L480" t="e">
            <v>#N/A</v>
          </cell>
          <cell r="M480" t="e">
            <v>#N/A</v>
          </cell>
          <cell r="N480" t="e">
            <v>#N/A</v>
          </cell>
          <cell r="O480" t="e">
            <v>#N/A</v>
          </cell>
          <cell r="P480">
            <v>0.82</v>
          </cell>
          <cell r="Q480">
            <v>1.6331629999999999</v>
          </cell>
          <cell r="R480" t="e">
            <v>#N/A</v>
          </cell>
        </row>
        <row r="481">
          <cell r="A481">
            <v>40429</v>
          </cell>
          <cell r="B481">
            <v>40429</v>
          </cell>
          <cell r="C481" t="str">
            <v>Past</v>
          </cell>
          <cell r="D481">
            <v>0.81499999999999995</v>
          </cell>
          <cell r="E481" t="e">
            <v>#N/A</v>
          </cell>
          <cell r="F481" t="e">
            <v>#N/A</v>
          </cell>
          <cell r="G481" t="e">
            <v>#N/A</v>
          </cell>
          <cell r="H481" t="e">
            <v>#N/A</v>
          </cell>
          <cell r="I481" t="e">
            <v>#N/A</v>
          </cell>
          <cell r="J481" t="e">
            <v>#N/A</v>
          </cell>
          <cell r="K481" t="e">
            <v>#N/A</v>
          </cell>
          <cell r="L481" t="e">
            <v>#N/A</v>
          </cell>
          <cell r="M481" t="e">
            <v>#N/A</v>
          </cell>
          <cell r="N481" t="e">
            <v>#N/A</v>
          </cell>
          <cell r="O481" t="e">
            <v>#N/A</v>
          </cell>
          <cell r="P481">
            <v>0.81499999999999995</v>
          </cell>
          <cell r="Q481">
            <v>1.6071259999999998</v>
          </cell>
          <cell r="R481" t="e">
            <v>#N/A</v>
          </cell>
        </row>
        <row r="482">
          <cell r="A482">
            <v>40430</v>
          </cell>
          <cell r="B482">
            <v>40430</v>
          </cell>
          <cell r="C482" t="str">
            <v>Past</v>
          </cell>
          <cell r="D482">
            <v>0.85499999999999998</v>
          </cell>
          <cell r="E482" t="e">
            <v>#N/A</v>
          </cell>
          <cell r="F482" t="e">
            <v>#N/A</v>
          </cell>
          <cell r="G482" t="e">
            <v>#N/A</v>
          </cell>
          <cell r="H482" t="e">
            <v>#N/A</v>
          </cell>
          <cell r="I482" t="e">
            <v>#N/A</v>
          </cell>
          <cell r="J482" t="e">
            <v>#N/A</v>
          </cell>
          <cell r="K482" t="e">
            <v>#N/A</v>
          </cell>
          <cell r="L482" t="e">
            <v>#N/A</v>
          </cell>
          <cell r="M482" t="e">
            <v>#N/A</v>
          </cell>
          <cell r="N482" t="e">
            <v>#N/A</v>
          </cell>
          <cell r="O482" t="e">
            <v>#N/A</v>
          </cell>
          <cell r="P482">
            <v>0.85499999999999998</v>
          </cell>
          <cell r="Q482">
            <v>4.1107550000000002</v>
          </cell>
          <cell r="R482" t="e">
            <v>#N/A</v>
          </cell>
        </row>
        <row r="483">
          <cell r="A483">
            <v>40431</v>
          </cell>
          <cell r="B483">
            <v>40431</v>
          </cell>
          <cell r="C483" t="str">
            <v>Past</v>
          </cell>
          <cell r="D483">
            <v>0.84499999999999997</v>
          </cell>
          <cell r="E483" t="e">
            <v>#N/A</v>
          </cell>
          <cell r="F483" t="e">
            <v>#N/A</v>
          </cell>
          <cell r="G483" t="e">
            <v>#N/A</v>
          </cell>
          <cell r="H483" t="e">
            <v>#N/A</v>
          </cell>
          <cell r="I483" t="e">
            <v>#N/A</v>
          </cell>
          <cell r="J483" t="e">
            <v>#N/A</v>
          </cell>
          <cell r="K483" t="e">
            <v>#N/A</v>
          </cell>
          <cell r="L483" t="e">
            <v>#N/A</v>
          </cell>
          <cell r="M483" t="e">
            <v>#N/A</v>
          </cell>
          <cell r="N483" t="e">
            <v>#N/A</v>
          </cell>
          <cell r="O483" t="e">
            <v>#N/A</v>
          </cell>
          <cell r="P483">
            <v>0.84499999999999997</v>
          </cell>
          <cell r="Q483">
            <v>2.1999439999999999</v>
          </cell>
          <cell r="R483" t="e">
            <v>#N/A</v>
          </cell>
        </row>
        <row r="484">
          <cell r="A484">
            <v>40434</v>
          </cell>
          <cell r="B484">
            <v>40434</v>
          </cell>
          <cell r="C484" t="str">
            <v>Past</v>
          </cell>
          <cell r="D484">
            <v>0.88</v>
          </cell>
          <cell r="E484" t="e">
            <v>#N/A</v>
          </cell>
          <cell r="F484" t="e">
            <v>#N/A</v>
          </cell>
          <cell r="G484" t="e">
            <v>#N/A</v>
          </cell>
          <cell r="H484" t="e">
            <v>#N/A</v>
          </cell>
          <cell r="I484" t="e">
            <v>#N/A</v>
          </cell>
          <cell r="J484" t="e">
            <v>#N/A</v>
          </cell>
          <cell r="K484" t="e">
            <v>#N/A</v>
          </cell>
          <cell r="L484" t="e">
            <v>#N/A</v>
          </cell>
          <cell r="M484" t="e">
            <v>#N/A</v>
          </cell>
          <cell r="N484" t="e">
            <v>#N/A</v>
          </cell>
          <cell r="O484" t="e">
            <v>#N/A</v>
          </cell>
          <cell r="P484">
            <v>0.88</v>
          </cell>
          <cell r="Q484">
            <v>5.269577</v>
          </cell>
          <cell r="R484" t="e">
            <v>#N/A</v>
          </cell>
        </row>
        <row r="485">
          <cell r="A485">
            <v>40435</v>
          </cell>
          <cell r="B485">
            <v>40435</v>
          </cell>
          <cell r="C485" t="str">
            <v>Past</v>
          </cell>
          <cell r="D485">
            <v>0.88500000000000001</v>
          </cell>
          <cell r="E485" t="e">
            <v>#N/A</v>
          </cell>
          <cell r="F485" t="e">
            <v>#N/A</v>
          </cell>
          <cell r="G485" t="e">
            <v>#N/A</v>
          </cell>
          <cell r="H485" t="e">
            <v>#N/A</v>
          </cell>
          <cell r="I485" t="e">
            <v>#N/A</v>
          </cell>
          <cell r="J485" t="e">
            <v>#N/A</v>
          </cell>
          <cell r="K485" t="e">
            <v>#N/A</v>
          </cell>
          <cell r="L485" t="e">
            <v>#N/A</v>
          </cell>
          <cell r="M485" t="e">
            <v>#N/A</v>
          </cell>
          <cell r="N485" t="e">
            <v>#N/A</v>
          </cell>
          <cell r="O485" t="e">
            <v>#N/A</v>
          </cell>
          <cell r="P485">
            <v>0.88500000000000001</v>
          </cell>
          <cell r="Q485">
            <v>7.7583529999999996</v>
          </cell>
          <cell r="R485" t="e">
            <v>#N/A</v>
          </cell>
        </row>
        <row r="486">
          <cell r="A486">
            <v>40436</v>
          </cell>
          <cell r="B486">
            <v>40436</v>
          </cell>
          <cell r="C486" t="str">
            <v>Past</v>
          </cell>
          <cell r="D486">
            <v>0.89500000000000002</v>
          </cell>
          <cell r="E486" t="e">
            <v>#N/A</v>
          </cell>
          <cell r="F486" t="e">
            <v>#N/A</v>
          </cell>
          <cell r="G486" t="e">
            <v>#N/A</v>
          </cell>
          <cell r="H486" t="e">
            <v>#N/A</v>
          </cell>
          <cell r="I486" t="e">
            <v>#N/A</v>
          </cell>
          <cell r="J486" t="e">
            <v>#N/A</v>
          </cell>
          <cell r="K486" t="e">
            <v>#N/A</v>
          </cell>
          <cell r="L486" t="e">
            <v>#N/A</v>
          </cell>
          <cell r="M486" t="e">
            <v>#N/A</v>
          </cell>
          <cell r="N486" t="e">
            <v>#N/A</v>
          </cell>
          <cell r="O486" t="e">
            <v>#N/A</v>
          </cell>
          <cell r="P486">
            <v>0.89500000000000002</v>
          </cell>
          <cell r="Q486">
            <v>4.7279169999999997</v>
          </cell>
          <cell r="R486" t="e">
            <v>#N/A</v>
          </cell>
        </row>
        <row r="487">
          <cell r="A487">
            <v>40437</v>
          </cell>
          <cell r="B487">
            <v>40437</v>
          </cell>
          <cell r="C487" t="str">
            <v>Past</v>
          </cell>
          <cell r="D487">
            <v>0.89</v>
          </cell>
          <cell r="E487" t="e">
            <v>#N/A</v>
          </cell>
          <cell r="F487" t="e">
            <v>#N/A</v>
          </cell>
          <cell r="G487" t="e">
            <v>#N/A</v>
          </cell>
          <cell r="H487" t="e">
            <v>#N/A</v>
          </cell>
          <cell r="I487" t="e">
            <v>#N/A</v>
          </cell>
          <cell r="J487" t="e">
            <v>#N/A</v>
          </cell>
          <cell r="K487" t="e">
            <v>#N/A</v>
          </cell>
          <cell r="L487" t="e">
            <v>#N/A</v>
          </cell>
          <cell r="M487" t="e">
            <v>#N/A</v>
          </cell>
          <cell r="N487" t="e">
            <v>#N/A</v>
          </cell>
          <cell r="O487" t="e">
            <v>#N/A</v>
          </cell>
          <cell r="P487">
            <v>0.89</v>
          </cell>
          <cell r="Q487">
            <v>8.0769649999999995</v>
          </cell>
          <cell r="R487" t="e">
            <v>#N/A</v>
          </cell>
        </row>
        <row r="488">
          <cell r="A488">
            <v>40438</v>
          </cell>
          <cell r="B488">
            <v>40438</v>
          </cell>
          <cell r="C488" t="str">
            <v>Past</v>
          </cell>
          <cell r="D488">
            <v>0.88</v>
          </cell>
          <cell r="E488" t="e">
            <v>#N/A</v>
          </cell>
          <cell r="F488" t="e">
            <v>#N/A</v>
          </cell>
          <cell r="G488" t="e">
            <v>#N/A</v>
          </cell>
          <cell r="H488" t="e">
            <v>#N/A</v>
          </cell>
          <cell r="I488" t="e">
            <v>#N/A</v>
          </cell>
          <cell r="J488" t="e">
            <v>#N/A</v>
          </cell>
          <cell r="K488" t="e">
            <v>#N/A</v>
          </cell>
          <cell r="L488" t="e">
            <v>#N/A</v>
          </cell>
          <cell r="M488" t="e">
            <v>#N/A</v>
          </cell>
          <cell r="N488" t="e">
            <v>#N/A</v>
          </cell>
          <cell r="O488" t="e">
            <v>#N/A</v>
          </cell>
          <cell r="P488">
            <v>0.88</v>
          </cell>
          <cell r="Q488">
            <v>1.8864509999999999</v>
          </cell>
          <cell r="R488" t="e">
            <v>#N/A</v>
          </cell>
        </row>
        <row r="489">
          <cell r="A489">
            <v>40441</v>
          </cell>
          <cell r="B489">
            <v>40441</v>
          </cell>
          <cell r="C489" t="str">
            <v>Past</v>
          </cell>
          <cell r="D489">
            <v>0.88</v>
          </cell>
          <cell r="E489" t="e">
            <v>#N/A</v>
          </cell>
          <cell r="F489" t="e">
            <v>#N/A</v>
          </cell>
          <cell r="G489" t="e">
            <v>#N/A</v>
          </cell>
          <cell r="H489" t="e">
            <v>#N/A</v>
          </cell>
          <cell r="I489" t="e">
            <v>#N/A</v>
          </cell>
          <cell r="J489" t="e">
            <v>#N/A</v>
          </cell>
          <cell r="K489" t="e">
            <v>#N/A</v>
          </cell>
          <cell r="L489" t="e">
            <v>#N/A</v>
          </cell>
          <cell r="M489" t="e">
            <v>#N/A</v>
          </cell>
          <cell r="N489" t="e">
            <v>#N/A</v>
          </cell>
          <cell r="O489" t="e">
            <v>#N/A</v>
          </cell>
          <cell r="P489">
            <v>0.88</v>
          </cell>
          <cell r="Q489">
            <v>3.1927529999999997</v>
          </cell>
          <cell r="R489" t="e">
            <v>#N/A</v>
          </cell>
        </row>
        <row r="490">
          <cell r="A490">
            <v>40442</v>
          </cell>
          <cell r="B490">
            <v>40442</v>
          </cell>
          <cell r="C490" t="str">
            <v>Past</v>
          </cell>
          <cell r="D490">
            <v>0.88500000000000001</v>
          </cell>
          <cell r="E490" t="e">
            <v>#N/A</v>
          </cell>
          <cell r="F490" t="e">
            <v>#N/A</v>
          </cell>
          <cell r="G490" t="e">
            <v>#N/A</v>
          </cell>
          <cell r="H490" t="e">
            <v>#N/A</v>
          </cell>
          <cell r="I490" t="e">
            <v>#N/A</v>
          </cell>
          <cell r="J490" t="e">
            <v>#N/A</v>
          </cell>
          <cell r="K490" t="e">
            <v>#N/A</v>
          </cell>
          <cell r="L490" t="e">
            <v>#N/A</v>
          </cell>
          <cell r="M490" t="e">
            <v>#N/A</v>
          </cell>
          <cell r="N490" t="e">
            <v>#N/A</v>
          </cell>
          <cell r="O490" t="e">
            <v>#N/A</v>
          </cell>
          <cell r="P490">
            <v>0.88500000000000001</v>
          </cell>
          <cell r="Q490">
            <v>1.3901649999999999</v>
          </cell>
          <cell r="R490" t="e">
            <v>#N/A</v>
          </cell>
        </row>
        <row r="491">
          <cell r="A491">
            <v>40443</v>
          </cell>
          <cell r="B491">
            <v>40443</v>
          </cell>
          <cell r="C491" t="str">
            <v>Past</v>
          </cell>
          <cell r="D491">
            <v>0.88500000000000001</v>
          </cell>
          <cell r="E491" t="e">
            <v>#N/A</v>
          </cell>
          <cell r="F491" t="e">
            <v>#N/A</v>
          </cell>
          <cell r="G491" t="e">
            <v>#N/A</v>
          </cell>
          <cell r="H491" t="e">
            <v>#N/A</v>
          </cell>
          <cell r="I491" t="e">
            <v>#N/A</v>
          </cell>
          <cell r="J491" t="e">
            <v>#N/A</v>
          </cell>
          <cell r="K491" t="e">
            <v>#N/A</v>
          </cell>
          <cell r="L491" t="e">
            <v>#N/A</v>
          </cell>
          <cell r="M491" t="e">
            <v>#N/A</v>
          </cell>
          <cell r="N491" t="e">
            <v>#N/A</v>
          </cell>
          <cell r="O491" t="e">
            <v>#N/A</v>
          </cell>
          <cell r="P491">
            <v>0.88500000000000001</v>
          </cell>
          <cell r="Q491">
            <v>3.5069749999999997</v>
          </cell>
          <cell r="R491" t="e">
            <v>#N/A</v>
          </cell>
        </row>
        <row r="492">
          <cell r="A492">
            <v>40444</v>
          </cell>
          <cell r="B492">
            <v>40444</v>
          </cell>
          <cell r="C492" t="str">
            <v>Past</v>
          </cell>
          <cell r="D492">
            <v>0.88</v>
          </cell>
          <cell r="E492" t="e">
            <v>#N/A</v>
          </cell>
          <cell r="F492" t="e">
            <v>#N/A</v>
          </cell>
          <cell r="G492" t="e">
            <v>#N/A</v>
          </cell>
          <cell r="H492" t="e">
            <v>#N/A</v>
          </cell>
          <cell r="I492" t="e">
            <v>#N/A</v>
          </cell>
          <cell r="J492" t="e">
            <v>#N/A</v>
          </cell>
          <cell r="K492" t="e">
            <v>#N/A</v>
          </cell>
          <cell r="L492" t="e">
            <v>#N/A</v>
          </cell>
          <cell r="M492" t="e">
            <v>#N/A</v>
          </cell>
          <cell r="N492" t="e">
            <v>#N/A</v>
          </cell>
          <cell r="O492" t="e">
            <v>#N/A</v>
          </cell>
          <cell r="P492">
            <v>0.88</v>
          </cell>
          <cell r="Q492">
            <v>4.0916900000000007</v>
          </cell>
          <cell r="R492" t="e">
            <v>#N/A</v>
          </cell>
        </row>
        <row r="493">
          <cell r="A493">
            <v>40445</v>
          </cell>
          <cell r="B493">
            <v>40445</v>
          </cell>
          <cell r="C493" t="str">
            <v>Past</v>
          </cell>
          <cell r="D493">
            <v>0.88</v>
          </cell>
          <cell r="E493" t="e">
            <v>#N/A</v>
          </cell>
          <cell r="F493" t="e">
            <v>#N/A</v>
          </cell>
          <cell r="G493" t="e">
            <v>#N/A</v>
          </cell>
          <cell r="H493" t="e">
            <v>#N/A</v>
          </cell>
          <cell r="I493" t="e">
            <v>#N/A</v>
          </cell>
          <cell r="J493" t="e">
            <v>#N/A</v>
          </cell>
          <cell r="K493" t="e">
            <v>#N/A</v>
          </cell>
          <cell r="L493" t="e">
            <v>#N/A</v>
          </cell>
          <cell r="M493" t="e">
            <v>#N/A</v>
          </cell>
          <cell r="N493" t="e">
            <v>#N/A</v>
          </cell>
          <cell r="O493" t="e">
            <v>#N/A</v>
          </cell>
          <cell r="P493">
            <v>0.88</v>
          </cell>
          <cell r="Q493">
            <v>2.64053</v>
          </cell>
          <cell r="R493" t="e">
            <v>#N/A</v>
          </cell>
        </row>
        <row r="494">
          <cell r="A494">
            <v>40448</v>
          </cell>
          <cell r="B494">
            <v>40448</v>
          </cell>
          <cell r="C494" t="str">
            <v>Past</v>
          </cell>
          <cell r="D494">
            <v>0.9</v>
          </cell>
          <cell r="E494" t="e">
            <v>#N/A</v>
          </cell>
          <cell r="F494" t="e">
            <v>#N/A</v>
          </cell>
          <cell r="G494" t="e">
            <v>#N/A</v>
          </cell>
          <cell r="H494" t="e">
            <v>#N/A</v>
          </cell>
          <cell r="I494" t="e">
            <v>#N/A</v>
          </cell>
          <cell r="J494" t="e">
            <v>#N/A</v>
          </cell>
          <cell r="K494" t="e">
            <v>#N/A</v>
          </cell>
          <cell r="L494" t="e">
            <v>#N/A</v>
          </cell>
          <cell r="M494" t="e">
            <v>#N/A</v>
          </cell>
          <cell r="N494" t="e">
            <v>#N/A</v>
          </cell>
          <cell r="O494" t="e">
            <v>#N/A</v>
          </cell>
          <cell r="P494">
            <v>0.9</v>
          </cell>
          <cell r="Q494">
            <v>4.3023189999999998</v>
          </cell>
          <cell r="R494" t="e">
            <v>#N/A</v>
          </cell>
        </row>
        <row r="495">
          <cell r="A495">
            <v>40449</v>
          </cell>
          <cell r="B495">
            <v>40449</v>
          </cell>
          <cell r="C495" t="str">
            <v>Past</v>
          </cell>
          <cell r="D495">
            <v>0.9</v>
          </cell>
          <cell r="E495" t="e">
            <v>#N/A</v>
          </cell>
          <cell r="F495" t="e">
            <v>#N/A</v>
          </cell>
          <cell r="G495" t="e">
            <v>#N/A</v>
          </cell>
          <cell r="H495" t="e">
            <v>#N/A</v>
          </cell>
          <cell r="I495" t="e">
            <v>#N/A</v>
          </cell>
          <cell r="J495" t="e">
            <v>#N/A</v>
          </cell>
          <cell r="K495" t="e">
            <v>#N/A</v>
          </cell>
          <cell r="L495" t="e">
            <v>#N/A</v>
          </cell>
          <cell r="M495" t="e">
            <v>#N/A</v>
          </cell>
          <cell r="N495" t="e">
            <v>#N/A</v>
          </cell>
          <cell r="O495" t="e">
            <v>#N/A</v>
          </cell>
          <cell r="P495">
            <v>0.9</v>
          </cell>
          <cell r="Q495">
            <v>0.70831199999999994</v>
          </cell>
          <cell r="R495" t="e">
            <v>#N/A</v>
          </cell>
        </row>
        <row r="496">
          <cell r="A496">
            <v>40450</v>
          </cell>
          <cell r="B496">
            <v>40450</v>
          </cell>
          <cell r="C496" t="str">
            <v>Past</v>
          </cell>
          <cell r="D496">
            <v>0.89</v>
          </cell>
          <cell r="E496" t="e">
            <v>#N/A</v>
          </cell>
          <cell r="F496" t="e">
            <v>#N/A</v>
          </cell>
          <cell r="G496" t="e">
            <v>#N/A</v>
          </cell>
          <cell r="H496" t="e">
            <v>#N/A</v>
          </cell>
          <cell r="I496" t="e">
            <v>#N/A</v>
          </cell>
          <cell r="J496" t="e">
            <v>#N/A</v>
          </cell>
          <cell r="K496" t="e">
            <v>#N/A</v>
          </cell>
          <cell r="L496" t="e">
            <v>#N/A</v>
          </cell>
          <cell r="M496" t="e">
            <v>#N/A</v>
          </cell>
          <cell r="N496" t="e">
            <v>#N/A</v>
          </cell>
          <cell r="O496" t="e">
            <v>#N/A</v>
          </cell>
          <cell r="P496">
            <v>0.89</v>
          </cell>
          <cell r="Q496">
            <v>1.481263</v>
          </cell>
          <cell r="R496" t="e">
            <v>#N/A</v>
          </cell>
        </row>
        <row r="497">
          <cell r="A497">
            <v>40451</v>
          </cell>
          <cell r="B497">
            <v>40451</v>
          </cell>
          <cell r="C497" t="str">
            <v>Past</v>
          </cell>
          <cell r="D497">
            <v>0.86</v>
          </cell>
          <cell r="E497" t="e">
            <v>#N/A</v>
          </cell>
          <cell r="F497" t="e">
            <v>#N/A</v>
          </cell>
          <cell r="G497" t="e">
            <v>#N/A</v>
          </cell>
          <cell r="H497" t="e">
            <v>#N/A</v>
          </cell>
          <cell r="I497" t="e">
            <v>#N/A</v>
          </cell>
          <cell r="J497" t="e">
            <v>#N/A</v>
          </cell>
          <cell r="K497" t="e">
            <v>#N/A</v>
          </cell>
          <cell r="L497" t="e">
            <v>#N/A</v>
          </cell>
          <cell r="M497" t="e">
            <v>#N/A</v>
          </cell>
          <cell r="N497" t="e">
            <v>#N/A</v>
          </cell>
          <cell r="O497" t="e">
            <v>#N/A</v>
          </cell>
          <cell r="P497">
            <v>0.86</v>
          </cell>
          <cell r="Q497">
            <v>1.4896500000000001</v>
          </cell>
          <cell r="R497" t="e">
            <v>#N/A</v>
          </cell>
        </row>
        <row r="498">
          <cell r="A498">
            <v>40452</v>
          </cell>
          <cell r="B498">
            <v>40452</v>
          </cell>
          <cell r="C498" t="str">
            <v>Past</v>
          </cell>
          <cell r="D498">
            <v>0.86</v>
          </cell>
          <cell r="E498" t="e">
            <v>#N/A</v>
          </cell>
          <cell r="F498" t="e">
            <v>#N/A</v>
          </cell>
          <cell r="G498" t="e">
            <v>#N/A</v>
          </cell>
          <cell r="H498" t="e">
            <v>#N/A</v>
          </cell>
          <cell r="I498" t="e">
            <v>#N/A</v>
          </cell>
          <cell r="J498" t="e">
            <v>#N/A</v>
          </cell>
          <cell r="K498" t="e">
            <v>#N/A</v>
          </cell>
          <cell r="L498" t="e">
            <v>#N/A</v>
          </cell>
          <cell r="M498" t="e">
            <v>#N/A</v>
          </cell>
          <cell r="N498" t="e">
            <v>#N/A</v>
          </cell>
          <cell r="O498" t="e">
            <v>#N/A</v>
          </cell>
          <cell r="P498">
            <v>0.86</v>
          </cell>
          <cell r="Q498">
            <v>1.4474229999999999</v>
          </cell>
          <cell r="R498" t="e">
            <v>#N/A</v>
          </cell>
        </row>
        <row r="499">
          <cell r="A499">
            <v>40455</v>
          </cell>
          <cell r="B499">
            <v>40455</v>
          </cell>
          <cell r="C499" t="str">
            <v>Past</v>
          </cell>
          <cell r="D499">
            <v>0.87</v>
          </cell>
          <cell r="E499" t="e">
            <v>#N/A</v>
          </cell>
          <cell r="F499" t="e">
            <v>#N/A</v>
          </cell>
          <cell r="G499" t="e">
            <v>#N/A</v>
          </cell>
          <cell r="H499" t="e">
            <v>#N/A</v>
          </cell>
          <cell r="I499" t="e">
            <v>#N/A</v>
          </cell>
          <cell r="J499" t="e">
            <v>#N/A</v>
          </cell>
          <cell r="K499" t="e">
            <v>#N/A</v>
          </cell>
          <cell r="L499" t="e">
            <v>#N/A</v>
          </cell>
          <cell r="M499" t="e">
            <v>#N/A</v>
          </cell>
          <cell r="N499" t="e">
            <v>#N/A</v>
          </cell>
          <cell r="O499" t="e">
            <v>#N/A</v>
          </cell>
          <cell r="P499">
            <v>0.87</v>
          </cell>
          <cell r="Q499">
            <v>1.164445</v>
          </cell>
          <cell r="R499" t="e">
            <v>#N/A</v>
          </cell>
        </row>
        <row r="500">
          <cell r="A500">
            <v>40456</v>
          </cell>
          <cell r="B500">
            <v>40456</v>
          </cell>
          <cell r="C500" t="str">
            <v>Past</v>
          </cell>
          <cell r="D500">
            <v>0.86</v>
          </cell>
          <cell r="E500" t="e">
            <v>#N/A</v>
          </cell>
          <cell r="F500" t="e">
            <v>#N/A</v>
          </cell>
          <cell r="G500" t="e">
            <v>#N/A</v>
          </cell>
          <cell r="H500" t="e">
            <v>#N/A</v>
          </cell>
          <cell r="I500" t="e">
            <v>#N/A</v>
          </cell>
          <cell r="J500" t="e">
            <v>#N/A</v>
          </cell>
          <cell r="K500" t="e">
            <v>#N/A</v>
          </cell>
          <cell r="L500" t="e">
            <v>#N/A</v>
          </cell>
          <cell r="M500" t="e">
            <v>#N/A</v>
          </cell>
          <cell r="N500" t="e">
            <v>#N/A</v>
          </cell>
          <cell r="O500" t="e">
            <v>#N/A</v>
          </cell>
          <cell r="P500">
            <v>0.86</v>
          </cell>
          <cell r="Q500">
            <v>1.9825400000000002</v>
          </cell>
          <cell r="R500" t="e">
            <v>#N/A</v>
          </cell>
        </row>
        <row r="501">
          <cell r="A501">
            <v>40457</v>
          </cell>
          <cell r="B501">
            <v>40457</v>
          </cell>
          <cell r="C501" t="str">
            <v>Past</v>
          </cell>
          <cell r="D501">
            <v>0.88</v>
          </cell>
          <cell r="E501" t="e">
            <v>#N/A</v>
          </cell>
          <cell r="F501" t="e">
            <v>#N/A</v>
          </cell>
          <cell r="G501" t="e">
            <v>#N/A</v>
          </cell>
          <cell r="H501" t="e">
            <v>#N/A</v>
          </cell>
          <cell r="I501" t="e">
            <v>#N/A</v>
          </cell>
          <cell r="J501" t="e">
            <v>#N/A</v>
          </cell>
          <cell r="K501" t="e">
            <v>#N/A</v>
          </cell>
          <cell r="L501" t="e">
            <v>#N/A</v>
          </cell>
          <cell r="M501" t="e">
            <v>#N/A</v>
          </cell>
          <cell r="N501" t="e">
            <v>#N/A</v>
          </cell>
          <cell r="O501" t="e">
            <v>#N/A</v>
          </cell>
          <cell r="P501">
            <v>0.88</v>
          </cell>
          <cell r="Q501">
            <v>2.8290289999999998</v>
          </cell>
          <cell r="R501" t="e">
            <v>#N/A</v>
          </cell>
        </row>
        <row r="502">
          <cell r="A502">
            <v>40458</v>
          </cell>
          <cell r="B502">
            <v>40458</v>
          </cell>
          <cell r="C502" t="str">
            <v>Past</v>
          </cell>
          <cell r="D502">
            <v>0.89500000000000002</v>
          </cell>
          <cell r="E502" t="e">
            <v>#N/A</v>
          </cell>
          <cell r="F502" t="e">
            <v>#N/A</v>
          </cell>
          <cell r="G502" t="e">
            <v>#N/A</v>
          </cell>
          <cell r="H502" t="e">
            <v>#N/A</v>
          </cell>
          <cell r="I502" t="e">
            <v>#N/A</v>
          </cell>
          <cell r="J502" t="e">
            <v>#N/A</v>
          </cell>
          <cell r="K502" t="e">
            <v>#N/A</v>
          </cell>
          <cell r="L502" t="e">
            <v>#N/A</v>
          </cell>
          <cell r="M502" t="e">
            <v>#N/A</v>
          </cell>
          <cell r="N502" t="e">
            <v>#N/A</v>
          </cell>
          <cell r="O502" t="e">
            <v>#N/A</v>
          </cell>
          <cell r="P502">
            <v>0.89500000000000002</v>
          </cell>
          <cell r="Q502">
            <v>2.30294</v>
          </cell>
          <cell r="R502" t="e">
            <v>#N/A</v>
          </cell>
        </row>
        <row r="503">
          <cell r="A503">
            <v>40459</v>
          </cell>
          <cell r="B503">
            <v>40459</v>
          </cell>
          <cell r="C503" t="str">
            <v>Past</v>
          </cell>
          <cell r="D503">
            <v>0.9</v>
          </cell>
          <cell r="E503" t="e">
            <v>#N/A</v>
          </cell>
          <cell r="F503" t="e">
            <v>#N/A</v>
          </cell>
          <cell r="G503" t="e">
            <v>#N/A</v>
          </cell>
          <cell r="H503" t="e">
            <v>#N/A</v>
          </cell>
          <cell r="I503" t="e">
            <v>#N/A</v>
          </cell>
          <cell r="J503" t="e">
            <v>#N/A</v>
          </cell>
          <cell r="K503" t="e">
            <v>#N/A</v>
          </cell>
          <cell r="L503" t="e">
            <v>#N/A</v>
          </cell>
          <cell r="M503" t="e">
            <v>#N/A</v>
          </cell>
          <cell r="N503" t="e">
            <v>#N/A</v>
          </cell>
          <cell r="O503" t="e">
            <v>#N/A</v>
          </cell>
          <cell r="P503">
            <v>0.9</v>
          </cell>
          <cell r="Q503">
            <v>1.3586229999999999</v>
          </cell>
          <cell r="R503" t="e">
            <v>#N/A</v>
          </cell>
        </row>
        <row r="504">
          <cell r="A504">
            <v>40462</v>
          </cell>
          <cell r="B504">
            <v>40462</v>
          </cell>
          <cell r="C504" t="str">
            <v>Past</v>
          </cell>
          <cell r="D504">
            <v>0.88</v>
          </cell>
          <cell r="E504" t="e">
            <v>#N/A</v>
          </cell>
          <cell r="F504" t="e">
            <v>#N/A</v>
          </cell>
          <cell r="G504" t="e">
            <v>#N/A</v>
          </cell>
          <cell r="H504" t="e">
            <v>#N/A</v>
          </cell>
          <cell r="I504" t="e">
            <v>#N/A</v>
          </cell>
          <cell r="J504" t="e">
            <v>#N/A</v>
          </cell>
          <cell r="K504" t="e">
            <v>#N/A</v>
          </cell>
          <cell r="L504" t="e">
            <v>#N/A</v>
          </cell>
          <cell r="M504" t="e">
            <v>#N/A</v>
          </cell>
          <cell r="N504" t="e">
            <v>#N/A</v>
          </cell>
          <cell r="O504" t="e">
            <v>#N/A</v>
          </cell>
          <cell r="P504">
            <v>0.88</v>
          </cell>
          <cell r="Q504">
            <v>2.5815929999999998</v>
          </cell>
          <cell r="R504" t="e">
            <v>#N/A</v>
          </cell>
        </row>
        <row r="505">
          <cell r="A505">
            <v>40463</v>
          </cell>
          <cell r="B505">
            <v>40463</v>
          </cell>
          <cell r="C505" t="str">
            <v>Past</v>
          </cell>
          <cell r="D505">
            <v>0.88</v>
          </cell>
          <cell r="E505" t="e">
            <v>#N/A</v>
          </cell>
          <cell r="F505" t="e">
            <v>#N/A</v>
          </cell>
          <cell r="G505" t="e">
            <v>#N/A</v>
          </cell>
          <cell r="H505" t="e">
            <v>#N/A</v>
          </cell>
          <cell r="I505" t="e">
            <v>#N/A</v>
          </cell>
          <cell r="J505" t="e">
            <v>#N/A</v>
          </cell>
          <cell r="K505" t="e">
            <v>#N/A</v>
          </cell>
          <cell r="L505" t="e">
            <v>#N/A</v>
          </cell>
          <cell r="M505" t="e">
            <v>#N/A</v>
          </cell>
          <cell r="N505" t="e">
            <v>#N/A</v>
          </cell>
          <cell r="O505" t="e">
            <v>#N/A</v>
          </cell>
          <cell r="P505">
            <v>0.88</v>
          </cell>
          <cell r="Q505">
            <v>1.3874769999999998</v>
          </cell>
          <cell r="R505" t="e">
            <v>#N/A</v>
          </cell>
        </row>
        <row r="506">
          <cell r="A506">
            <v>40464</v>
          </cell>
          <cell r="B506">
            <v>40464</v>
          </cell>
          <cell r="C506" t="str">
            <v>Past</v>
          </cell>
          <cell r="D506">
            <v>0.87</v>
          </cell>
          <cell r="E506" t="e">
            <v>#N/A</v>
          </cell>
          <cell r="F506" t="e">
            <v>#N/A</v>
          </cell>
          <cell r="G506" t="e">
            <v>#N/A</v>
          </cell>
          <cell r="H506" t="e">
            <v>#N/A</v>
          </cell>
          <cell r="I506" t="e">
            <v>#N/A</v>
          </cell>
          <cell r="J506" t="e">
            <v>#N/A</v>
          </cell>
          <cell r="K506" t="e">
            <v>#N/A</v>
          </cell>
          <cell r="L506" t="e">
            <v>#N/A</v>
          </cell>
          <cell r="M506" t="e">
            <v>#N/A</v>
          </cell>
          <cell r="N506" t="e">
            <v>#N/A</v>
          </cell>
          <cell r="O506" t="e">
            <v>#N/A</v>
          </cell>
          <cell r="P506">
            <v>0.87</v>
          </cell>
          <cell r="Q506">
            <v>1.5554100000000002</v>
          </cell>
          <cell r="R506" t="e">
            <v>#N/A</v>
          </cell>
        </row>
        <row r="507">
          <cell r="A507">
            <v>40465</v>
          </cell>
          <cell r="B507">
            <v>40465</v>
          </cell>
          <cell r="C507" t="str">
            <v>Past</v>
          </cell>
          <cell r="D507">
            <v>0.83499999999999996</v>
          </cell>
          <cell r="E507" t="e">
            <v>#N/A</v>
          </cell>
          <cell r="F507" t="e">
            <v>#N/A</v>
          </cell>
          <cell r="G507" t="e">
            <v>#N/A</v>
          </cell>
          <cell r="H507" t="e">
            <v>#N/A</v>
          </cell>
          <cell r="I507" t="e">
            <v>#N/A</v>
          </cell>
          <cell r="J507" t="e">
            <v>#N/A</v>
          </cell>
          <cell r="K507" t="e">
            <v>#N/A</v>
          </cell>
          <cell r="L507" t="e">
            <v>#N/A</v>
          </cell>
          <cell r="M507" t="e">
            <v>#N/A</v>
          </cell>
          <cell r="N507" t="e">
            <v>#N/A</v>
          </cell>
          <cell r="O507" t="e">
            <v>#N/A</v>
          </cell>
          <cell r="P507">
            <v>0.83499999999999996</v>
          </cell>
          <cell r="Q507">
            <v>2.6671489999999998</v>
          </cell>
          <cell r="R507" t="e">
            <v>#N/A</v>
          </cell>
        </row>
        <row r="508">
          <cell r="A508">
            <v>40466</v>
          </cell>
          <cell r="B508">
            <v>40466</v>
          </cell>
          <cell r="C508" t="str">
            <v>Past</v>
          </cell>
          <cell r="D508">
            <v>0.84</v>
          </cell>
          <cell r="E508" t="e">
            <v>#N/A</v>
          </cell>
          <cell r="F508" t="e">
            <v>#N/A</v>
          </cell>
          <cell r="G508" t="e">
            <v>#N/A</v>
          </cell>
          <cell r="H508" t="e">
            <v>#N/A</v>
          </cell>
          <cell r="I508" t="e">
            <v>#N/A</v>
          </cell>
          <cell r="J508" t="e">
            <v>#N/A</v>
          </cell>
          <cell r="K508" t="e">
            <v>#N/A</v>
          </cell>
          <cell r="L508" t="e">
            <v>#N/A</v>
          </cell>
          <cell r="M508" t="e">
            <v>#N/A</v>
          </cell>
          <cell r="N508" t="e">
            <v>#N/A</v>
          </cell>
          <cell r="O508" t="e">
            <v>#N/A</v>
          </cell>
          <cell r="P508">
            <v>0.84</v>
          </cell>
          <cell r="Q508">
            <v>3.7905509999999998</v>
          </cell>
          <cell r="R508" t="e">
            <v>#N/A</v>
          </cell>
        </row>
        <row r="509">
          <cell r="A509">
            <v>40469</v>
          </cell>
          <cell r="B509">
            <v>40469</v>
          </cell>
          <cell r="C509" t="str">
            <v>Past</v>
          </cell>
          <cell r="D509">
            <v>0.82</v>
          </cell>
          <cell r="E509" t="e">
            <v>#N/A</v>
          </cell>
          <cell r="F509" t="e">
            <v>#N/A</v>
          </cell>
          <cell r="G509" t="e">
            <v>#N/A</v>
          </cell>
          <cell r="H509" t="e">
            <v>#N/A</v>
          </cell>
          <cell r="I509" t="e">
            <v>#N/A</v>
          </cell>
          <cell r="J509" t="e">
            <v>#N/A</v>
          </cell>
          <cell r="K509" t="e">
            <v>#N/A</v>
          </cell>
          <cell r="L509" t="e">
            <v>#N/A</v>
          </cell>
          <cell r="M509" t="e">
            <v>#N/A</v>
          </cell>
          <cell r="N509" t="e">
            <v>#N/A</v>
          </cell>
          <cell r="O509" t="e">
            <v>#N/A</v>
          </cell>
          <cell r="P509">
            <v>0.82</v>
          </cell>
          <cell r="Q509">
            <v>2.0772919999999999</v>
          </cell>
          <cell r="R509" t="e">
            <v>#N/A</v>
          </cell>
        </row>
        <row r="510">
          <cell r="A510">
            <v>40470</v>
          </cell>
          <cell r="B510">
            <v>40470</v>
          </cell>
          <cell r="C510" t="str">
            <v>Past</v>
          </cell>
          <cell r="D510">
            <v>0.85</v>
          </cell>
          <cell r="E510" t="e">
            <v>#N/A</v>
          </cell>
          <cell r="F510" t="e">
            <v>#N/A</v>
          </cell>
          <cell r="G510" t="e">
            <v>#N/A</v>
          </cell>
          <cell r="H510" t="e">
            <v>#N/A</v>
          </cell>
          <cell r="I510" t="e">
            <v>#N/A</v>
          </cell>
          <cell r="J510" t="e">
            <v>#N/A</v>
          </cell>
          <cell r="K510" t="e">
            <v>#N/A</v>
          </cell>
          <cell r="L510" t="e">
            <v>#N/A</v>
          </cell>
          <cell r="M510" t="e">
            <v>#N/A</v>
          </cell>
          <cell r="N510" t="e">
            <v>#N/A</v>
          </cell>
          <cell r="O510" t="e">
            <v>#N/A</v>
          </cell>
          <cell r="P510">
            <v>0.85</v>
          </cell>
          <cell r="Q510">
            <v>2.5788919999999997</v>
          </cell>
          <cell r="R510" t="e">
            <v>#N/A</v>
          </cell>
        </row>
        <row r="511">
          <cell r="A511">
            <v>40471</v>
          </cell>
          <cell r="B511">
            <v>40471</v>
          </cell>
          <cell r="C511" t="str">
            <v>Past</v>
          </cell>
          <cell r="D511">
            <v>0.84499999999999997</v>
          </cell>
          <cell r="E511" t="e">
            <v>#N/A</v>
          </cell>
          <cell r="F511" t="e">
            <v>#N/A</v>
          </cell>
          <cell r="G511" t="e">
            <v>#N/A</v>
          </cell>
          <cell r="H511" t="e">
            <v>#N/A</v>
          </cell>
          <cell r="I511" t="e">
            <v>#N/A</v>
          </cell>
          <cell r="J511" t="e">
            <v>#N/A</v>
          </cell>
          <cell r="K511" t="e">
            <v>#N/A</v>
          </cell>
          <cell r="L511" t="e">
            <v>#N/A</v>
          </cell>
          <cell r="M511" t="e">
            <v>#N/A</v>
          </cell>
          <cell r="N511" t="e">
            <v>#N/A</v>
          </cell>
          <cell r="O511" t="e">
            <v>#N/A</v>
          </cell>
          <cell r="P511">
            <v>0.84499999999999997</v>
          </cell>
          <cell r="Q511">
            <v>1.6824349999999999</v>
          </cell>
          <cell r="R511" t="e">
            <v>#N/A</v>
          </cell>
        </row>
        <row r="512">
          <cell r="A512">
            <v>40472</v>
          </cell>
          <cell r="B512">
            <v>40472</v>
          </cell>
          <cell r="C512" t="str">
            <v>Past</v>
          </cell>
          <cell r="D512">
            <v>0.86</v>
          </cell>
          <cell r="E512" t="e">
            <v>#N/A</v>
          </cell>
          <cell r="F512" t="e">
            <v>#N/A</v>
          </cell>
          <cell r="G512" t="e">
            <v>#N/A</v>
          </cell>
          <cell r="H512" t="e">
            <v>#N/A</v>
          </cell>
          <cell r="I512" t="e">
            <v>#N/A</v>
          </cell>
          <cell r="J512" t="e">
            <v>#N/A</v>
          </cell>
          <cell r="K512" t="e">
            <v>#N/A</v>
          </cell>
          <cell r="L512" t="e">
            <v>#N/A</v>
          </cell>
          <cell r="M512" t="e">
            <v>#N/A</v>
          </cell>
          <cell r="N512" t="e">
            <v>#N/A</v>
          </cell>
          <cell r="O512" t="e">
            <v>#N/A</v>
          </cell>
          <cell r="P512">
            <v>0.86</v>
          </cell>
          <cell r="Q512">
            <v>3.0843259999999999</v>
          </cell>
          <cell r="R512" t="e">
            <v>#N/A</v>
          </cell>
        </row>
        <row r="513">
          <cell r="A513">
            <v>40473</v>
          </cell>
          <cell r="B513">
            <v>40473</v>
          </cell>
          <cell r="C513" t="str">
            <v>Past</v>
          </cell>
          <cell r="D513">
            <v>0.88</v>
          </cell>
          <cell r="E513" t="e">
            <v>#N/A</v>
          </cell>
          <cell r="F513" t="e">
            <v>#N/A</v>
          </cell>
          <cell r="G513" t="e">
            <v>#N/A</v>
          </cell>
          <cell r="H513" t="e">
            <v>#N/A</v>
          </cell>
          <cell r="I513" t="e">
            <v>#N/A</v>
          </cell>
          <cell r="J513" t="e">
            <v>#N/A</v>
          </cell>
          <cell r="K513" t="e">
            <v>#N/A</v>
          </cell>
          <cell r="L513" t="e">
            <v>#N/A</v>
          </cell>
          <cell r="M513" t="e">
            <v>#N/A</v>
          </cell>
          <cell r="N513" t="e">
            <v>#N/A</v>
          </cell>
          <cell r="O513" t="e">
            <v>#N/A</v>
          </cell>
          <cell r="P513">
            <v>0.88</v>
          </cell>
          <cell r="Q513">
            <v>2.2684159999999998</v>
          </cell>
          <cell r="R513" t="e">
            <v>#N/A</v>
          </cell>
        </row>
        <row r="514">
          <cell r="A514">
            <v>40476</v>
          </cell>
          <cell r="B514">
            <v>40476</v>
          </cell>
          <cell r="C514" t="str">
            <v>Past</v>
          </cell>
          <cell r="D514">
            <v>0.91</v>
          </cell>
          <cell r="E514" t="e">
            <v>#N/A</v>
          </cell>
          <cell r="F514" t="e">
            <v>#N/A</v>
          </cell>
          <cell r="G514" t="e">
            <v>#N/A</v>
          </cell>
          <cell r="H514" t="e">
            <v>#N/A</v>
          </cell>
          <cell r="I514" t="e">
            <v>#N/A</v>
          </cell>
          <cell r="J514" t="e">
            <v>#N/A</v>
          </cell>
          <cell r="K514" t="e">
            <v>#N/A</v>
          </cell>
          <cell r="L514" t="e">
            <v>#N/A</v>
          </cell>
          <cell r="M514" t="e">
            <v>#N/A</v>
          </cell>
          <cell r="N514" t="e">
            <v>#N/A</v>
          </cell>
          <cell r="O514" t="e">
            <v>#N/A</v>
          </cell>
          <cell r="P514">
            <v>0.91</v>
          </cell>
          <cell r="Q514">
            <v>4.045096</v>
          </cell>
          <cell r="R514" t="e">
            <v>#N/A</v>
          </cell>
        </row>
        <row r="515">
          <cell r="A515">
            <v>40477</v>
          </cell>
          <cell r="B515">
            <v>40477</v>
          </cell>
          <cell r="C515" t="str">
            <v>Past</v>
          </cell>
          <cell r="D515">
            <v>0.93</v>
          </cell>
          <cell r="E515" t="e">
            <v>#N/A</v>
          </cell>
          <cell r="F515" t="e">
            <v>#N/A</v>
          </cell>
          <cell r="G515" t="e">
            <v>#N/A</v>
          </cell>
          <cell r="H515" t="e">
            <v>#N/A</v>
          </cell>
          <cell r="I515" t="e">
            <v>#N/A</v>
          </cell>
          <cell r="J515" t="e">
            <v>#N/A</v>
          </cell>
          <cell r="K515" t="e">
            <v>#N/A</v>
          </cell>
          <cell r="L515" t="e">
            <v>#N/A</v>
          </cell>
          <cell r="M515" t="e">
            <v>#N/A</v>
          </cell>
          <cell r="N515" t="e">
            <v>#N/A</v>
          </cell>
          <cell r="O515" t="e">
            <v>#N/A</v>
          </cell>
          <cell r="P515">
            <v>0.93</v>
          </cell>
          <cell r="Q515">
            <v>2.034691</v>
          </cell>
          <cell r="R515" t="e">
            <v>#N/A</v>
          </cell>
        </row>
        <row r="516">
          <cell r="A516">
            <v>40478</v>
          </cell>
          <cell r="B516">
            <v>40478</v>
          </cell>
          <cell r="C516" t="str">
            <v>Past</v>
          </cell>
          <cell r="D516">
            <v>0.9</v>
          </cell>
          <cell r="E516" t="e">
            <v>#N/A</v>
          </cell>
          <cell r="F516" t="e">
            <v>#N/A</v>
          </cell>
          <cell r="G516" t="e">
            <v>#N/A</v>
          </cell>
          <cell r="H516" t="e">
            <v>#N/A</v>
          </cell>
          <cell r="I516" t="e">
            <v>#N/A</v>
          </cell>
          <cell r="J516" t="e">
            <v>#N/A</v>
          </cell>
          <cell r="K516" t="e">
            <v>#N/A</v>
          </cell>
          <cell r="L516" t="e">
            <v>#N/A</v>
          </cell>
          <cell r="M516" t="e">
            <v>#N/A</v>
          </cell>
          <cell r="N516" t="e">
            <v>#N/A</v>
          </cell>
          <cell r="O516" t="e">
            <v>#N/A</v>
          </cell>
          <cell r="P516">
            <v>0.9</v>
          </cell>
          <cell r="Q516">
            <v>3.0655900000000003</v>
          </cell>
          <cell r="R516" t="e">
            <v>#N/A</v>
          </cell>
        </row>
        <row r="517">
          <cell r="A517">
            <v>40479</v>
          </cell>
          <cell r="B517">
            <v>40479</v>
          </cell>
          <cell r="C517" t="str">
            <v>Past</v>
          </cell>
          <cell r="D517">
            <v>0.90500000000000003</v>
          </cell>
          <cell r="E517" t="e">
            <v>#N/A</v>
          </cell>
          <cell r="F517" t="e">
            <v>#N/A</v>
          </cell>
          <cell r="G517" t="e">
            <v>#N/A</v>
          </cell>
          <cell r="H517" t="e">
            <v>#N/A</v>
          </cell>
          <cell r="I517" t="e">
            <v>#N/A</v>
          </cell>
          <cell r="J517" t="e">
            <v>#N/A</v>
          </cell>
          <cell r="K517" t="e">
            <v>#N/A</v>
          </cell>
          <cell r="L517" t="e">
            <v>#N/A</v>
          </cell>
          <cell r="M517" t="e">
            <v>#N/A</v>
          </cell>
          <cell r="N517" t="e">
            <v>#N/A</v>
          </cell>
          <cell r="O517" t="e">
            <v>#N/A</v>
          </cell>
          <cell r="P517">
            <v>0.90500000000000003</v>
          </cell>
          <cell r="Q517">
            <v>1.0977379999999999</v>
          </cell>
          <cell r="R517" t="e">
            <v>#N/A</v>
          </cell>
        </row>
        <row r="518">
          <cell r="A518">
            <v>40480</v>
          </cell>
          <cell r="B518">
            <v>40480</v>
          </cell>
          <cell r="C518" t="str">
            <v>Past</v>
          </cell>
          <cell r="D518">
            <v>0.89</v>
          </cell>
          <cell r="E518" t="e">
            <v>#N/A</v>
          </cell>
          <cell r="F518" t="e">
            <v>#N/A</v>
          </cell>
          <cell r="G518" t="e">
            <v>#N/A</v>
          </cell>
          <cell r="H518" t="e">
            <v>#N/A</v>
          </cell>
          <cell r="I518" t="e">
            <v>#N/A</v>
          </cell>
          <cell r="J518" t="e">
            <v>#N/A</v>
          </cell>
          <cell r="K518" t="e">
            <v>#N/A</v>
          </cell>
          <cell r="L518" t="e">
            <v>#N/A</v>
          </cell>
          <cell r="M518" t="e">
            <v>#N/A</v>
          </cell>
          <cell r="N518" t="e">
            <v>#N/A</v>
          </cell>
          <cell r="O518" t="e">
            <v>#N/A</v>
          </cell>
          <cell r="P518">
            <v>0.89</v>
          </cell>
          <cell r="Q518">
            <v>3.381745</v>
          </cell>
          <cell r="R518" t="e">
            <v>#N/A</v>
          </cell>
        </row>
        <row r="519">
          <cell r="A519">
            <v>40483</v>
          </cell>
          <cell r="B519">
            <v>40483</v>
          </cell>
          <cell r="C519" t="str">
            <v>Past</v>
          </cell>
          <cell r="D519">
            <v>0.9</v>
          </cell>
          <cell r="E519" t="e">
            <v>#N/A</v>
          </cell>
          <cell r="F519" t="e">
            <v>#N/A</v>
          </cell>
          <cell r="G519" t="e">
            <v>#N/A</v>
          </cell>
          <cell r="H519" t="e">
            <v>#N/A</v>
          </cell>
          <cell r="I519" t="e">
            <v>#N/A</v>
          </cell>
          <cell r="J519" t="e">
            <v>#N/A</v>
          </cell>
          <cell r="K519" t="e">
            <v>#N/A</v>
          </cell>
          <cell r="L519" t="e">
            <v>#N/A</v>
          </cell>
          <cell r="M519" t="e">
            <v>#N/A</v>
          </cell>
          <cell r="N519" t="e">
            <v>#N/A</v>
          </cell>
          <cell r="O519" t="e">
            <v>#N/A</v>
          </cell>
          <cell r="P519">
            <v>0.9</v>
          </cell>
          <cell r="Q519">
            <v>1.265916</v>
          </cell>
          <cell r="R519" t="e">
            <v>#N/A</v>
          </cell>
        </row>
        <row r="520">
          <cell r="A520">
            <v>40484</v>
          </cell>
          <cell r="B520">
            <v>40484</v>
          </cell>
          <cell r="C520" t="str">
            <v>Past</v>
          </cell>
          <cell r="D520">
            <v>0.88500000000000001</v>
          </cell>
          <cell r="E520" t="e">
            <v>#N/A</v>
          </cell>
          <cell r="F520" t="e">
            <v>#N/A</v>
          </cell>
          <cell r="G520" t="e">
            <v>#N/A</v>
          </cell>
          <cell r="H520" t="e">
            <v>#N/A</v>
          </cell>
          <cell r="I520" t="e">
            <v>#N/A</v>
          </cell>
          <cell r="J520" t="e">
            <v>#N/A</v>
          </cell>
          <cell r="K520" t="e">
            <v>#N/A</v>
          </cell>
          <cell r="L520" t="e">
            <v>#N/A</v>
          </cell>
          <cell r="M520" t="e">
            <v>#N/A</v>
          </cell>
          <cell r="N520" t="e">
            <v>#N/A</v>
          </cell>
          <cell r="O520" t="e">
            <v>#N/A</v>
          </cell>
          <cell r="P520">
            <v>0.88500000000000001</v>
          </cell>
          <cell r="Q520">
            <v>0.95446000000000009</v>
          </cell>
          <cell r="R520" t="e">
            <v>#N/A</v>
          </cell>
        </row>
        <row r="521">
          <cell r="A521">
            <v>40485</v>
          </cell>
          <cell r="B521">
            <v>40485</v>
          </cell>
          <cell r="C521" t="str">
            <v>Past</v>
          </cell>
          <cell r="D521">
            <v>0.90500000000000003</v>
          </cell>
          <cell r="E521" t="e">
            <v>#N/A</v>
          </cell>
          <cell r="F521" t="e">
            <v>#N/A</v>
          </cell>
          <cell r="G521" t="e">
            <v>#N/A</v>
          </cell>
          <cell r="H521" t="e">
            <v>#N/A</v>
          </cell>
          <cell r="I521" t="e">
            <v>#N/A</v>
          </cell>
          <cell r="J521" t="e">
            <v>#N/A</v>
          </cell>
          <cell r="K521" t="e">
            <v>#N/A</v>
          </cell>
          <cell r="L521" t="e">
            <v>#N/A</v>
          </cell>
          <cell r="M521" t="e">
            <v>#N/A</v>
          </cell>
          <cell r="N521" t="e">
            <v>#N/A</v>
          </cell>
          <cell r="O521" t="e">
            <v>#N/A</v>
          </cell>
          <cell r="P521">
            <v>0.90500000000000003</v>
          </cell>
          <cell r="Q521">
            <v>3.7453319999999999</v>
          </cell>
          <cell r="R521" t="e">
            <v>#N/A</v>
          </cell>
        </row>
        <row r="522">
          <cell r="A522">
            <v>40486</v>
          </cell>
          <cell r="B522">
            <v>40486</v>
          </cell>
          <cell r="C522" t="str">
            <v>Past</v>
          </cell>
          <cell r="D522">
            <v>0.9</v>
          </cell>
          <cell r="E522" t="e">
            <v>#N/A</v>
          </cell>
          <cell r="F522" t="e">
            <v>#N/A</v>
          </cell>
          <cell r="G522" t="e">
            <v>#N/A</v>
          </cell>
          <cell r="H522" t="e">
            <v>#N/A</v>
          </cell>
          <cell r="I522" t="e">
            <v>#N/A</v>
          </cell>
          <cell r="J522" t="e">
            <v>#N/A</v>
          </cell>
          <cell r="K522" t="e">
            <v>#N/A</v>
          </cell>
          <cell r="L522" t="e">
            <v>#N/A</v>
          </cell>
          <cell r="M522" t="e">
            <v>#N/A</v>
          </cell>
          <cell r="N522" t="e">
            <v>#N/A</v>
          </cell>
          <cell r="O522" t="e">
            <v>#N/A</v>
          </cell>
          <cell r="P522">
            <v>0.9</v>
          </cell>
          <cell r="Q522">
            <v>1.3964109999999998</v>
          </cell>
          <cell r="R522" t="e">
            <v>#N/A</v>
          </cell>
        </row>
        <row r="523">
          <cell r="A523">
            <v>40487</v>
          </cell>
          <cell r="B523">
            <v>40487</v>
          </cell>
          <cell r="C523" t="str">
            <v>Past</v>
          </cell>
          <cell r="D523">
            <v>0.95</v>
          </cell>
          <cell r="E523" t="e">
            <v>#N/A</v>
          </cell>
          <cell r="F523" t="e">
            <v>#N/A</v>
          </cell>
          <cell r="G523" t="e">
            <v>#N/A</v>
          </cell>
          <cell r="H523" t="e">
            <v>#N/A</v>
          </cell>
          <cell r="I523" t="e">
            <v>#N/A</v>
          </cell>
          <cell r="J523" t="e">
            <v>#N/A</v>
          </cell>
          <cell r="K523" t="e">
            <v>#N/A</v>
          </cell>
          <cell r="L523" t="e">
            <v>#N/A</v>
          </cell>
          <cell r="M523" t="e">
            <v>#N/A</v>
          </cell>
          <cell r="N523" t="e">
            <v>#N/A</v>
          </cell>
          <cell r="O523" t="e">
            <v>#N/A</v>
          </cell>
          <cell r="P523">
            <v>0.95</v>
          </cell>
          <cell r="Q523">
            <v>8.5543859999999992</v>
          </cell>
          <cell r="R523" t="e">
            <v>#N/A</v>
          </cell>
        </row>
        <row r="524">
          <cell r="A524">
            <v>40490</v>
          </cell>
          <cell r="B524">
            <v>40490</v>
          </cell>
          <cell r="C524" t="str">
            <v>Past</v>
          </cell>
          <cell r="D524">
            <v>0.98</v>
          </cell>
          <cell r="E524" t="e">
            <v>#N/A</v>
          </cell>
          <cell r="F524" t="e">
            <v>#N/A</v>
          </cell>
          <cell r="G524" t="e">
            <v>#N/A</v>
          </cell>
          <cell r="H524" t="e">
            <v>#N/A</v>
          </cell>
          <cell r="I524" t="e">
            <v>#N/A</v>
          </cell>
          <cell r="J524" t="e">
            <v>#N/A</v>
          </cell>
          <cell r="K524" t="e">
            <v>#N/A</v>
          </cell>
          <cell r="L524" t="e">
            <v>#N/A</v>
          </cell>
          <cell r="M524" t="e">
            <v>#N/A</v>
          </cell>
          <cell r="N524" t="e">
            <v>#N/A</v>
          </cell>
          <cell r="O524" t="e">
            <v>#N/A</v>
          </cell>
          <cell r="P524">
            <v>0.98</v>
          </cell>
          <cell r="Q524">
            <v>5.2629000000000001</v>
          </cell>
          <cell r="R524" t="e">
            <v>#N/A</v>
          </cell>
        </row>
        <row r="525">
          <cell r="A525">
            <v>40491</v>
          </cell>
          <cell r="B525">
            <v>40491</v>
          </cell>
          <cell r="C525" t="str">
            <v>Past</v>
          </cell>
          <cell r="D525">
            <v>0.98499999999999999</v>
          </cell>
          <cell r="E525" t="e">
            <v>#N/A</v>
          </cell>
          <cell r="F525" t="e">
            <v>#N/A</v>
          </cell>
          <cell r="G525" t="e">
            <v>#N/A</v>
          </cell>
          <cell r="H525" t="e">
            <v>#N/A</v>
          </cell>
          <cell r="I525" t="e">
            <v>#N/A</v>
          </cell>
          <cell r="J525" t="e">
            <v>#N/A</v>
          </cell>
          <cell r="K525" t="e">
            <v>#N/A</v>
          </cell>
          <cell r="L525" t="e">
            <v>#N/A</v>
          </cell>
          <cell r="M525" t="e">
            <v>#N/A</v>
          </cell>
          <cell r="N525" t="e">
            <v>#N/A</v>
          </cell>
          <cell r="O525" t="e">
            <v>#N/A</v>
          </cell>
          <cell r="P525">
            <v>0.98499999999999999</v>
          </cell>
          <cell r="Q525">
            <v>4.424811</v>
          </cell>
          <cell r="R525" t="e">
            <v>#N/A</v>
          </cell>
        </row>
        <row r="526">
          <cell r="A526">
            <v>40492</v>
          </cell>
          <cell r="B526">
            <v>40492</v>
          </cell>
          <cell r="C526" t="str">
            <v>Past</v>
          </cell>
          <cell r="D526">
            <v>0.97499999999999998</v>
          </cell>
          <cell r="E526" t="e">
            <v>#N/A</v>
          </cell>
          <cell r="F526" t="e">
            <v>#N/A</v>
          </cell>
          <cell r="G526" t="e">
            <v>#N/A</v>
          </cell>
          <cell r="H526" t="e">
            <v>#N/A</v>
          </cell>
          <cell r="I526" t="e">
            <v>#N/A</v>
          </cell>
          <cell r="J526" t="e">
            <v>#N/A</v>
          </cell>
          <cell r="K526" t="e">
            <v>#N/A</v>
          </cell>
          <cell r="L526" t="e">
            <v>#N/A</v>
          </cell>
          <cell r="M526" t="e">
            <v>#N/A</v>
          </cell>
          <cell r="N526" t="e">
            <v>#N/A</v>
          </cell>
          <cell r="O526" t="e">
            <v>#N/A</v>
          </cell>
          <cell r="P526">
            <v>0.97499999999999998</v>
          </cell>
          <cell r="Q526">
            <v>3.1214800000000005</v>
          </cell>
          <cell r="R526" t="e">
            <v>#N/A</v>
          </cell>
        </row>
        <row r="527">
          <cell r="A527">
            <v>40493</v>
          </cell>
          <cell r="B527">
            <v>40493</v>
          </cell>
          <cell r="C527" t="str">
            <v>Past</v>
          </cell>
          <cell r="D527">
            <v>0.98</v>
          </cell>
          <cell r="E527" t="e">
            <v>#N/A</v>
          </cell>
          <cell r="F527" t="e">
            <v>#N/A</v>
          </cell>
          <cell r="G527" t="e">
            <v>#N/A</v>
          </cell>
          <cell r="H527" t="e">
            <v>#N/A</v>
          </cell>
          <cell r="I527" t="e">
            <v>#N/A</v>
          </cell>
          <cell r="J527" t="e">
            <v>#N/A</v>
          </cell>
          <cell r="K527" t="e">
            <v>#N/A</v>
          </cell>
          <cell r="L527" t="e">
            <v>#N/A</v>
          </cell>
          <cell r="M527" t="e">
            <v>#N/A</v>
          </cell>
          <cell r="N527" t="e">
            <v>#N/A</v>
          </cell>
          <cell r="O527" t="e">
            <v>#N/A</v>
          </cell>
          <cell r="P527">
            <v>0.98</v>
          </cell>
          <cell r="Q527">
            <v>2.8117419999999997</v>
          </cell>
          <cell r="R527" t="e">
            <v>#N/A</v>
          </cell>
        </row>
        <row r="528">
          <cell r="A528">
            <v>40494</v>
          </cell>
          <cell r="B528">
            <v>40494</v>
          </cell>
          <cell r="C528" t="str">
            <v>Past</v>
          </cell>
          <cell r="D528">
            <v>0.97</v>
          </cell>
          <cell r="E528" t="e">
            <v>#N/A</v>
          </cell>
          <cell r="F528" t="e">
            <v>#N/A</v>
          </cell>
          <cell r="G528" t="e">
            <v>#N/A</v>
          </cell>
          <cell r="H528" t="e">
            <v>#N/A</v>
          </cell>
          <cell r="I528" t="e">
            <v>#N/A</v>
          </cell>
          <cell r="J528" t="e">
            <v>#N/A</v>
          </cell>
          <cell r="K528" t="e">
            <v>#N/A</v>
          </cell>
          <cell r="L528" t="e">
            <v>#N/A</v>
          </cell>
          <cell r="M528" t="e">
            <v>#N/A</v>
          </cell>
          <cell r="N528" t="e">
            <v>#N/A</v>
          </cell>
          <cell r="O528" t="e">
            <v>#N/A</v>
          </cell>
          <cell r="P528">
            <v>0.97</v>
          </cell>
          <cell r="Q528">
            <v>1.4309000000000001</v>
          </cell>
          <cell r="R528" t="e">
            <v>#N/A</v>
          </cell>
        </row>
        <row r="529">
          <cell r="A529">
            <v>40497</v>
          </cell>
          <cell r="B529">
            <v>40497</v>
          </cell>
          <cell r="C529" t="str">
            <v>Past</v>
          </cell>
          <cell r="D529">
            <v>0.99</v>
          </cell>
          <cell r="E529" t="e">
            <v>#N/A</v>
          </cell>
          <cell r="F529" t="e">
            <v>#N/A</v>
          </cell>
          <cell r="G529" t="e">
            <v>#N/A</v>
          </cell>
          <cell r="H529" t="e">
            <v>#N/A</v>
          </cell>
          <cell r="I529" t="e">
            <v>#N/A</v>
          </cell>
          <cell r="J529" t="e">
            <v>#N/A</v>
          </cell>
          <cell r="K529" t="e">
            <v>#N/A</v>
          </cell>
          <cell r="L529" t="e">
            <v>#N/A</v>
          </cell>
          <cell r="M529" t="e">
            <v>#N/A</v>
          </cell>
          <cell r="N529" t="e">
            <v>#N/A</v>
          </cell>
          <cell r="O529" t="e">
            <v>#N/A</v>
          </cell>
          <cell r="P529">
            <v>0.99</v>
          </cell>
          <cell r="Q529">
            <v>3.744367</v>
          </cell>
          <cell r="R529" t="e">
            <v>#N/A</v>
          </cell>
        </row>
        <row r="530">
          <cell r="A530">
            <v>40498</v>
          </cell>
          <cell r="B530">
            <v>40498</v>
          </cell>
          <cell r="C530" t="str">
            <v>Past</v>
          </cell>
          <cell r="D530">
            <v>0.995</v>
          </cell>
          <cell r="E530" t="e">
            <v>#N/A</v>
          </cell>
          <cell r="F530" t="e">
            <v>#N/A</v>
          </cell>
          <cell r="G530" t="e">
            <v>#N/A</v>
          </cell>
          <cell r="H530" t="e">
            <v>#N/A</v>
          </cell>
          <cell r="I530" t="e">
            <v>#N/A</v>
          </cell>
          <cell r="J530" t="e">
            <v>#N/A</v>
          </cell>
          <cell r="K530" t="e">
            <v>#N/A</v>
          </cell>
          <cell r="L530" t="e">
            <v>#N/A</v>
          </cell>
          <cell r="M530" t="e">
            <v>#N/A</v>
          </cell>
          <cell r="N530" t="e">
            <v>#N/A</v>
          </cell>
          <cell r="O530" t="e">
            <v>#N/A</v>
          </cell>
          <cell r="P530">
            <v>0.995</v>
          </cell>
          <cell r="Q530">
            <v>3.8564189999999998</v>
          </cell>
          <cell r="R530" t="e">
            <v>#N/A</v>
          </cell>
        </row>
        <row r="531">
          <cell r="A531">
            <v>40499</v>
          </cell>
          <cell r="B531">
            <v>40499</v>
          </cell>
          <cell r="C531" t="str">
            <v>Past</v>
          </cell>
          <cell r="D531">
            <v>0.99</v>
          </cell>
          <cell r="E531" t="e">
            <v>#N/A</v>
          </cell>
          <cell r="F531" t="e">
            <v>#N/A</v>
          </cell>
          <cell r="G531" t="e">
            <v>#N/A</v>
          </cell>
          <cell r="H531" t="e">
            <v>#N/A</v>
          </cell>
          <cell r="I531" t="e">
            <v>#N/A</v>
          </cell>
          <cell r="J531" t="e">
            <v>#N/A</v>
          </cell>
          <cell r="K531" t="e">
            <v>#N/A</v>
          </cell>
          <cell r="L531" t="e">
            <v>#N/A</v>
          </cell>
          <cell r="M531" t="e">
            <v>#N/A</v>
          </cell>
          <cell r="N531" t="e">
            <v>#N/A</v>
          </cell>
          <cell r="O531" t="e">
            <v>#N/A</v>
          </cell>
          <cell r="P531">
            <v>0.99</v>
          </cell>
          <cell r="Q531">
            <v>2.6282300000000003</v>
          </cell>
          <cell r="R531" t="e">
            <v>#N/A</v>
          </cell>
        </row>
        <row r="532">
          <cell r="A532">
            <v>40500</v>
          </cell>
          <cell r="B532">
            <v>40500</v>
          </cell>
          <cell r="C532" t="str">
            <v>Past</v>
          </cell>
          <cell r="D532">
            <v>0.99</v>
          </cell>
          <cell r="E532" t="e">
            <v>#N/A</v>
          </cell>
          <cell r="F532" t="e">
            <v>#N/A</v>
          </cell>
          <cell r="G532" t="e">
            <v>#N/A</v>
          </cell>
          <cell r="H532" t="e">
            <v>#N/A</v>
          </cell>
          <cell r="I532" t="e">
            <v>#N/A</v>
          </cell>
          <cell r="J532" t="e">
            <v>#N/A</v>
          </cell>
          <cell r="K532" t="e">
            <v>#N/A</v>
          </cell>
          <cell r="L532" t="e">
            <v>#N/A</v>
          </cell>
          <cell r="M532" t="e">
            <v>#N/A</v>
          </cell>
          <cell r="N532" t="e">
            <v>#N/A</v>
          </cell>
          <cell r="O532" t="e">
            <v>#N/A</v>
          </cell>
          <cell r="P532">
            <v>0.99</v>
          </cell>
          <cell r="Q532">
            <v>1.6923249999999999</v>
          </cell>
          <cell r="R532" t="e">
            <v>#N/A</v>
          </cell>
        </row>
        <row r="533">
          <cell r="A533">
            <v>40501</v>
          </cell>
          <cell r="B533">
            <v>40501</v>
          </cell>
          <cell r="C533" t="str">
            <v>Past</v>
          </cell>
          <cell r="D533">
            <v>0.99</v>
          </cell>
          <cell r="E533" t="e">
            <v>#N/A</v>
          </cell>
          <cell r="F533" t="e">
            <v>#N/A</v>
          </cell>
          <cell r="G533" t="e">
            <v>#N/A</v>
          </cell>
          <cell r="H533" t="e">
            <v>#N/A</v>
          </cell>
          <cell r="I533" t="e">
            <v>#N/A</v>
          </cell>
          <cell r="J533" t="e">
            <v>#N/A</v>
          </cell>
          <cell r="K533" t="e">
            <v>#N/A</v>
          </cell>
          <cell r="L533" t="e">
            <v>#N/A</v>
          </cell>
          <cell r="M533" t="e">
            <v>#N/A</v>
          </cell>
          <cell r="N533" t="e">
            <v>#N/A</v>
          </cell>
          <cell r="O533" t="e">
            <v>#N/A</v>
          </cell>
          <cell r="P533">
            <v>0.99</v>
          </cell>
          <cell r="Q533">
            <v>3.5827</v>
          </cell>
          <cell r="R533" t="e">
            <v>#N/A</v>
          </cell>
        </row>
        <row r="534">
          <cell r="A534">
            <v>40504</v>
          </cell>
          <cell r="B534">
            <v>40504</v>
          </cell>
          <cell r="C534" t="str">
            <v>Past</v>
          </cell>
          <cell r="D534">
            <v>0.99</v>
          </cell>
          <cell r="E534" t="e">
            <v>#N/A</v>
          </cell>
          <cell r="F534" t="e">
            <v>#N/A</v>
          </cell>
          <cell r="G534" t="e">
            <v>#N/A</v>
          </cell>
          <cell r="H534" t="e">
            <v>#N/A</v>
          </cell>
          <cell r="I534" t="e">
            <v>#N/A</v>
          </cell>
          <cell r="J534" t="e">
            <v>#N/A</v>
          </cell>
          <cell r="K534" t="e">
            <v>#N/A</v>
          </cell>
          <cell r="L534" t="e">
            <v>#N/A</v>
          </cell>
          <cell r="M534" t="e">
            <v>#N/A</v>
          </cell>
          <cell r="N534" t="e">
            <v>#N/A</v>
          </cell>
          <cell r="O534" t="e">
            <v>#N/A</v>
          </cell>
          <cell r="P534">
            <v>0.99</v>
          </cell>
          <cell r="Q534">
            <v>1.851691</v>
          </cell>
          <cell r="R534" t="e">
            <v>#N/A</v>
          </cell>
        </row>
        <row r="535">
          <cell r="A535">
            <v>40505</v>
          </cell>
          <cell r="B535">
            <v>40505</v>
          </cell>
          <cell r="C535" t="str">
            <v>Past</v>
          </cell>
          <cell r="D535">
            <v>0.97</v>
          </cell>
          <cell r="E535" t="e">
            <v>#N/A</v>
          </cell>
          <cell r="F535" t="e">
            <v>#N/A</v>
          </cell>
          <cell r="G535" t="e">
            <v>#N/A</v>
          </cell>
          <cell r="H535" t="e">
            <v>#N/A</v>
          </cell>
          <cell r="I535" t="e">
            <v>#N/A</v>
          </cell>
          <cell r="J535" t="e">
            <v>#N/A</v>
          </cell>
          <cell r="K535" t="e">
            <v>#N/A</v>
          </cell>
          <cell r="L535" t="e">
            <v>#N/A</v>
          </cell>
          <cell r="M535" t="e">
            <v>#N/A</v>
          </cell>
          <cell r="N535" t="e">
            <v>#N/A</v>
          </cell>
          <cell r="O535" t="e">
            <v>#N/A</v>
          </cell>
          <cell r="P535">
            <v>0.97</v>
          </cell>
          <cell r="Q535">
            <v>4.2122000000000002</v>
          </cell>
          <cell r="R535" t="e">
            <v>#N/A</v>
          </cell>
        </row>
        <row r="536">
          <cell r="A536">
            <v>40506</v>
          </cell>
          <cell r="B536">
            <v>40506</v>
          </cell>
          <cell r="C536" t="str">
            <v>Past</v>
          </cell>
          <cell r="D536">
            <v>0.97499999999999998</v>
          </cell>
          <cell r="E536" t="e">
            <v>#N/A</v>
          </cell>
          <cell r="F536" t="e">
            <v>#N/A</v>
          </cell>
          <cell r="G536" t="e">
            <v>#N/A</v>
          </cell>
          <cell r="H536" t="e">
            <v>#N/A</v>
          </cell>
          <cell r="I536" t="e">
            <v>#N/A</v>
          </cell>
          <cell r="J536" t="e">
            <v>#N/A</v>
          </cell>
          <cell r="K536" t="e">
            <v>#N/A</v>
          </cell>
          <cell r="L536" t="e">
            <v>#N/A</v>
          </cell>
          <cell r="M536" t="e">
            <v>#N/A</v>
          </cell>
          <cell r="N536" t="e">
            <v>#N/A</v>
          </cell>
          <cell r="O536" t="e">
            <v>#N/A</v>
          </cell>
          <cell r="P536">
            <v>0.97499999999999998</v>
          </cell>
          <cell r="Q536">
            <v>3.2723260000000001</v>
          </cell>
          <cell r="R536" t="e">
            <v>#N/A</v>
          </cell>
        </row>
        <row r="537">
          <cell r="A537">
            <v>40507</v>
          </cell>
          <cell r="B537">
            <v>40507</v>
          </cell>
          <cell r="C537" t="str">
            <v>Past</v>
          </cell>
          <cell r="D537">
            <v>0.97</v>
          </cell>
          <cell r="E537" t="e">
            <v>#N/A</v>
          </cell>
          <cell r="F537" t="e">
            <v>#N/A</v>
          </cell>
          <cell r="G537" t="e">
            <v>#N/A</v>
          </cell>
          <cell r="H537" t="e">
            <v>#N/A</v>
          </cell>
          <cell r="I537" t="e">
            <v>#N/A</v>
          </cell>
          <cell r="J537" t="e">
            <v>#N/A</v>
          </cell>
          <cell r="K537" t="e">
            <v>#N/A</v>
          </cell>
          <cell r="L537" t="e">
            <v>#N/A</v>
          </cell>
          <cell r="M537" t="e">
            <v>#N/A</v>
          </cell>
          <cell r="N537" t="e">
            <v>#N/A</v>
          </cell>
          <cell r="O537" t="e">
            <v>#N/A</v>
          </cell>
          <cell r="P537">
            <v>0.97</v>
          </cell>
          <cell r="Q537">
            <v>2.3203969999999998</v>
          </cell>
          <cell r="R537" t="e">
            <v>#N/A</v>
          </cell>
        </row>
        <row r="538">
          <cell r="A538">
            <v>40508</v>
          </cell>
          <cell r="B538">
            <v>40508</v>
          </cell>
          <cell r="C538" t="str">
            <v>Past</v>
          </cell>
          <cell r="D538">
            <v>0.95499999999999996</v>
          </cell>
          <cell r="E538" t="e">
            <v>#N/A</v>
          </cell>
          <cell r="F538" t="e">
            <v>#N/A</v>
          </cell>
          <cell r="G538" t="e">
            <v>#N/A</v>
          </cell>
          <cell r="H538" t="e">
            <v>#N/A</v>
          </cell>
          <cell r="I538" t="e">
            <v>#N/A</v>
          </cell>
          <cell r="J538" t="e">
            <v>#N/A</v>
          </cell>
          <cell r="K538" t="e">
            <v>#N/A</v>
          </cell>
          <cell r="L538" t="e">
            <v>#N/A</v>
          </cell>
          <cell r="M538" t="e">
            <v>#N/A</v>
          </cell>
          <cell r="N538" t="e">
            <v>#N/A</v>
          </cell>
          <cell r="O538" t="e">
            <v>#N/A</v>
          </cell>
          <cell r="P538">
            <v>0.95499999999999996</v>
          </cell>
          <cell r="Q538">
            <v>1.2163059999999999</v>
          </cell>
          <cell r="R538" t="e">
            <v>#N/A</v>
          </cell>
        </row>
        <row r="539">
          <cell r="A539">
            <v>40511</v>
          </cell>
          <cell r="B539">
            <v>40511</v>
          </cell>
          <cell r="C539" t="str">
            <v>Past</v>
          </cell>
          <cell r="D539">
            <v>0.93500000000000005</v>
          </cell>
          <cell r="E539" t="e">
            <v>#N/A</v>
          </cell>
          <cell r="F539" t="e">
            <v>#N/A</v>
          </cell>
          <cell r="G539" t="e">
            <v>#N/A</v>
          </cell>
          <cell r="H539" t="e">
            <v>#N/A</v>
          </cell>
          <cell r="I539" t="e">
            <v>#N/A</v>
          </cell>
          <cell r="J539" t="e">
            <v>#N/A</v>
          </cell>
          <cell r="K539" t="e">
            <v>#N/A</v>
          </cell>
          <cell r="L539" t="e">
            <v>#N/A</v>
          </cell>
          <cell r="M539" t="e">
            <v>#N/A</v>
          </cell>
          <cell r="N539" t="e">
            <v>#N/A</v>
          </cell>
          <cell r="O539" t="e">
            <v>#N/A</v>
          </cell>
          <cell r="P539">
            <v>0.93500000000000005</v>
          </cell>
          <cell r="Q539">
            <v>2.6692929999999997</v>
          </cell>
          <cell r="R539" t="e">
            <v>#N/A</v>
          </cell>
        </row>
        <row r="540">
          <cell r="A540">
            <v>40512</v>
          </cell>
          <cell r="B540">
            <v>40512</v>
          </cell>
          <cell r="C540" t="str">
            <v>Past</v>
          </cell>
          <cell r="D540">
            <v>0.97</v>
          </cell>
          <cell r="E540" t="e">
            <v>#N/A</v>
          </cell>
          <cell r="F540" t="e">
            <v>#N/A</v>
          </cell>
          <cell r="G540" t="e">
            <v>#N/A</v>
          </cell>
          <cell r="H540" t="e">
            <v>#N/A</v>
          </cell>
          <cell r="I540" t="e">
            <v>#N/A</v>
          </cell>
          <cell r="J540" t="e">
            <v>#N/A</v>
          </cell>
          <cell r="K540" t="e">
            <v>#N/A</v>
          </cell>
          <cell r="L540" t="e">
            <v>#N/A</v>
          </cell>
          <cell r="M540" t="e">
            <v>#N/A</v>
          </cell>
          <cell r="N540" t="e">
            <v>#N/A</v>
          </cell>
          <cell r="O540" t="e">
            <v>#N/A</v>
          </cell>
          <cell r="P540">
            <v>0.97</v>
          </cell>
          <cell r="Q540">
            <v>3.4672529999999999</v>
          </cell>
          <cell r="R540" t="e">
            <v>#N/A</v>
          </cell>
        </row>
        <row r="541">
          <cell r="A541">
            <v>40513</v>
          </cell>
          <cell r="B541">
            <v>40513</v>
          </cell>
          <cell r="C541" t="str">
            <v>Past</v>
          </cell>
          <cell r="D541">
            <v>0.94</v>
          </cell>
          <cell r="E541" t="e">
            <v>#N/A</v>
          </cell>
          <cell r="F541" t="e">
            <v>#N/A</v>
          </cell>
          <cell r="G541" t="e">
            <v>#N/A</v>
          </cell>
          <cell r="H541" t="e">
            <v>#N/A</v>
          </cell>
          <cell r="I541" t="e">
            <v>#N/A</v>
          </cell>
          <cell r="J541" t="e">
            <v>#N/A</v>
          </cell>
          <cell r="K541" t="e">
            <v>#N/A</v>
          </cell>
          <cell r="L541" t="e">
            <v>#N/A</v>
          </cell>
          <cell r="M541" t="e">
            <v>#N/A</v>
          </cell>
          <cell r="N541" t="e">
            <v>#N/A</v>
          </cell>
          <cell r="O541" t="e">
            <v>#N/A</v>
          </cell>
          <cell r="P541">
            <v>0.94</v>
          </cell>
          <cell r="Q541">
            <v>2.3559709999999998</v>
          </cell>
          <cell r="R541" t="e">
            <v>#N/A</v>
          </cell>
        </row>
        <row r="542">
          <cell r="A542">
            <v>40514</v>
          </cell>
          <cell r="B542">
            <v>40514</v>
          </cell>
          <cell r="C542" t="str">
            <v>Past</v>
          </cell>
          <cell r="D542">
            <v>0.97</v>
          </cell>
          <cell r="E542" t="e">
            <v>#N/A</v>
          </cell>
          <cell r="F542" t="e">
            <v>#N/A</v>
          </cell>
          <cell r="G542" t="e">
            <v>#N/A</v>
          </cell>
          <cell r="H542" t="e">
            <v>#N/A</v>
          </cell>
          <cell r="I542" t="e">
            <v>#N/A</v>
          </cell>
          <cell r="J542" t="e">
            <v>#N/A</v>
          </cell>
          <cell r="K542" t="e">
            <v>#N/A</v>
          </cell>
          <cell r="L542" t="e">
            <v>#N/A</v>
          </cell>
          <cell r="M542" t="e">
            <v>#N/A</v>
          </cell>
          <cell r="N542" t="e">
            <v>#N/A</v>
          </cell>
          <cell r="O542" t="e">
            <v>#N/A</v>
          </cell>
          <cell r="P542">
            <v>0.97</v>
          </cell>
          <cell r="Q542">
            <v>2.1264110000000001</v>
          </cell>
          <cell r="R542" t="e">
            <v>#N/A</v>
          </cell>
        </row>
        <row r="543">
          <cell r="A543">
            <v>40515</v>
          </cell>
          <cell r="B543">
            <v>40515</v>
          </cell>
          <cell r="C543" t="str">
            <v>Past</v>
          </cell>
          <cell r="D543">
            <v>1.0049999999999999</v>
          </cell>
          <cell r="E543" t="e">
            <v>#N/A</v>
          </cell>
          <cell r="F543" t="e">
            <v>#N/A</v>
          </cell>
          <cell r="G543" t="e">
            <v>#N/A</v>
          </cell>
          <cell r="H543" t="e">
            <v>#N/A</v>
          </cell>
          <cell r="I543" t="e">
            <v>#N/A</v>
          </cell>
          <cell r="J543" t="e">
            <v>#N/A</v>
          </cell>
          <cell r="K543" t="e">
            <v>#N/A</v>
          </cell>
          <cell r="L543" t="e">
            <v>#N/A</v>
          </cell>
          <cell r="M543" t="e">
            <v>#N/A</v>
          </cell>
          <cell r="N543" t="e">
            <v>#N/A</v>
          </cell>
          <cell r="O543" t="e">
            <v>#N/A</v>
          </cell>
          <cell r="P543">
            <v>1.0049999999999999</v>
          </cell>
          <cell r="Q543">
            <v>4.8048630000000001</v>
          </cell>
          <cell r="R543" t="e">
            <v>#N/A</v>
          </cell>
        </row>
        <row r="544">
          <cell r="A544">
            <v>40518</v>
          </cell>
          <cell r="B544">
            <v>40518</v>
          </cell>
          <cell r="C544" t="str">
            <v>Past</v>
          </cell>
          <cell r="D544">
            <v>1.01</v>
          </cell>
          <cell r="E544" t="e">
            <v>#N/A</v>
          </cell>
          <cell r="F544" t="e">
            <v>#N/A</v>
          </cell>
          <cell r="G544" t="e">
            <v>#N/A</v>
          </cell>
          <cell r="H544" t="e">
            <v>#N/A</v>
          </cell>
          <cell r="I544" t="e">
            <v>#N/A</v>
          </cell>
          <cell r="J544" t="e">
            <v>#N/A</v>
          </cell>
          <cell r="K544" t="e">
            <v>#N/A</v>
          </cell>
          <cell r="L544" t="e">
            <v>#N/A</v>
          </cell>
          <cell r="M544" t="e">
            <v>#N/A</v>
          </cell>
          <cell r="N544" t="e">
            <v>#N/A</v>
          </cell>
          <cell r="O544" t="e">
            <v>#N/A</v>
          </cell>
          <cell r="P544">
            <v>1.01</v>
          </cell>
          <cell r="Q544">
            <v>3.3679319999999997</v>
          </cell>
          <cell r="R544" t="e">
            <v>#N/A</v>
          </cell>
        </row>
        <row r="545">
          <cell r="A545">
            <v>40519</v>
          </cell>
          <cell r="B545">
            <v>40519</v>
          </cell>
          <cell r="C545" t="str">
            <v>Past</v>
          </cell>
          <cell r="D545">
            <v>1.0549999999999999</v>
          </cell>
          <cell r="E545" t="e">
            <v>#N/A</v>
          </cell>
          <cell r="F545" t="e">
            <v>#N/A</v>
          </cell>
          <cell r="G545" t="e">
            <v>#N/A</v>
          </cell>
          <cell r="H545" t="e">
            <v>#N/A</v>
          </cell>
          <cell r="I545" t="e">
            <v>#N/A</v>
          </cell>
          <cell r="J545" t="e">
            <v>#N/A</v>
          </cell>
          <cell r="K545" t="e">
            <v>#N/A</v>
          </cell>
          <cell r="L545" t="e">
            <v>#N/A</v>
          </cell>
          <cell r="M545" t="e">
            <v>#N/A</v>
          </cell>
          <cell r="N545" t="e">
            <v>#N/A</v>
          </cell>
          <cell r="O545" t="e">
            <v>#N/A</v>
          </cell>
          <cell r="P545">
            <v>1.0549999999999999</v>
          </cell>
          <cell r="Q545">
            <v>7.7677359999999993</v>
          </cell>
          <cell r="R545" t="e">
            <v>#N/A</v>
          </cell>
        </row>
        <row r="546">
          <cell r="A546">
            <v>40520</v>
          </cell>
          <cell r="B546">
            <v>40520</v>
          </cell>
          <cell r="C546" t="str">
            <v>Past</v>
          </cell>
          <cell r="D546">
            <v>1.04</v>
          </cell>
          <cell r="E546" t="e">
            <v>#N/A</v>
          </cell>
          <cell r="F546" t="e">
            <v>#N/A</v>
          </cell>
          <cell r="G546" t="e">
            <v>#N/A</v>
          </cell>
          <cell r="H546" t="e">
            <v>#N/A</v>
          </cell>
          <cell r="I546" t="e">
            <v>#N/A</v>
          </cell>
          <cell r="J546" t="e">
            <v>#N/A</v>
          </cell>
          <cell r="K546" t="e">
            <v>#N/A</v>
          </cell>
          <cell r="L546" t="e">
            <v>#N/A</v>
          </cell>
          <cell r="M546" t="e">
            <v>#N/A</v>
          </cell>
          <cell r="N546" t="e">
            <v>#N/A</v>
          </cell>
          <cell r="O546" t="e">
            <v>#N/A</v>
          </cell>
          <cell r="P546">
            <v>1.04</v>
          </cell>
          <cell r="Q546">
            <v>3.0655700000000001</v>
          </cell>
          <cell r="R546" t="e">
            <v>#N/A</v>
          </cell>
        </row>
        <row r="547">
          <cell r="A547">
            <v>40521</v>
          </cell>
          <cell r="B547">
            <v>40521</v>
          </cell>
          <cell r="C547" t="str">
            <v>Past</v>
          </cell>
          <cell r="D547">
            <v>1.08</v>
          </cell>
          <cell r="E547" t="e">
            <v>#N/A</v>
          </cell>
          <cell r="F547" t="e">
            <v>#N/A</v>
          </cell>
          <cell r="G547" t="e">
            <v>#N/A</v>
          </cell>
          <cell r="H547" t="e">
            <v>#N/A</v>
          </cell>
          <cell r="I547" t="e">
            <v>#N/A</v>
          </cell>
          <cell r="J547" t="e">
            <v>#N/A</v>
          </cell>
          <cell r="K547" t="e">
            <v>#N/A</v>
          </cell>
          <cell r="L547" t="e">
            <v>#N/A</v>
          </cell>
          <cell r="M547" t="e">
            <v>#N/A</v>
          </cell>
          <cell r="N547" t="e">
            <v>#N/A</v>
          </cell>
          <cell r="O547" t="e">
            <v>#N/A</v>
          </cell>
          <cell r="P547">
            <v>1.08</v>
          </cell>
          <cell r="Q547">
            <v>5.1119129999999995</v>
          </cell>
          <cell r="R547" t="e">
            <v>#N/A</v>
          </cell>
        </row>
        <row r="548">
          <cell r="A548">
            <v>40522</v>
          </cell>
          <cell r="B548">
            <v>40522</v>
          </cell>
          <cell r="C548" t="str">
            <v>Past</v>
          </cell>
          <cell r="D548">
            <v>1.05</v>
          </cell>
          <cell r="E548" t="e">
            <v>#N/A</v>
          </cell>
          <cell r="F548" t="e">
            <v>#N/A</v>
          </cell>
          <cell r="G548" t="e">
            <v>#N/A</v>
          </cell>
          <cell r="H548" t="e">
            <v>#N/A</v>
          </cell>
          <cell r="I548" t="e">
            <v>#N/A</v>
          </cell>
          <cell r="J548" t="e">
            <v>#N/A</v>
          </cell>
          <cell r="K548" t="e">
            <v>#N/A</v>
          </cell>
          <cell r="L548" t="e">
            <v>#N/A</v>
          </cell>
          <cell r="M548" t="e">
            <v>#N/A</v>
          </cell>
          <cell r="N548" t="e">
            <v>#N/A</v>
          </cell>
          <cell r="O548" t="e">
            <v>#N/A</v>
          </cell>
          <cell r="P548">
            <v>1.05</v>
          </cell>
          <cell r="Q548">
            <v>3.268157</v>
          </cell>
          <cell r="R548" t="e">
            <v>#N/A</v>
          </cell>
        </row>
        <row r="549">
          <cell r="A549">
            <v>40525</v>
          </cell>
          <cell r="B549">
            <v>40525</v>
          </cell>
          <cell r="C549" t="str">
            <v>Past</v>
          </cell>
          <cell r="D549">
            <v>1.0549999999999999</v>
          </cell>
          <cell r="E549" t="e">
            <v>#N/A</v>
          </cell>
          <cell r="F549" t="e">
            <v>#N/A</v>
          </cell>
          <cell r="G549" t="e">
            <v>#N/A</v>
          </cell>
          <cell r="H549" t="e">
            <v>#N/A</v>
          </cell>
          <cell r="I549" t="e">
            <v>#N/A</v>
          </cell>
          <cell r="J549" t="e">
            <v>#N/A</v>
          </cell>
          <cell r="K549" t="e">
            <v>#N/A</v>
          </cell>
          <cell r="L549" t="e">
            <v>#N/A</v>
          </cell>
          <cell r="M549" t="e">
            <v>#N/A</v>
          </cell>
          <cell r="N549" t="e">
            <v>#N/A</v>
          </cell>
          <cell r="O549" t="e">
            <v>#N/A</v>
          </cell>
          <cell r="P549">
            <v>1.0549999999999999</v>
          </cell>
          <cell r="Q549">
            <v>1.515215</v>
          </cell>
          <cell r="R549" t="e">
            <v>#N/A</v>
          </cell>
        </row>
        <row r="550">
          <cell r="A550">
            <v>40526</v>
          </cell>
          <cell r="B550">
            <v>40526</v>
          </cell>
          <cell r="C550" t="str">
            <v>Past</v>
          </cell>
          <cell r="D550">
            <v>1.08</v>
          </cell>
          <cell r="E550" t="e">
            <v>#N/A</v>
          </cell>
          <cell r="F550" t="e">
            <v>#N/A</v>
          </cell>
          <cell r="G550" t="e">
            <v>#N/A</v>
          </cell>
          <cell r="H550" t="e">
            <v>#N/A</v>
          </cell>
          <cell r="I550" t="e">
            <v>#N/A</v>
          </cell>
          <cell r="J550" t="e">
            <v>#N/A</v>
          </cell>
          <cell r="K550" t="e">
            <v>#N/A</v>
          </cell>
          <cell r="L550" t="e">
            <v>#N/A</v>
          </cell>
          <cell r="M550" t="e">
            <v>#N/A</v>
          </cell>
          <cell r="N550" t="e">
            <v>#N/A</v>
          </cell>
          <cell r="O550" t="e">
            <v>#N/A</v>
          </cell>
          <cell r="P550">
            <v>1.08</v>
          </cell>
          <cell r="Q550">
            <v>3.6617109999999999</v>
          </cell>
          <cell r="R550" t="e">
            <v>#N/A</v>
          </cell>
        </row>
        <row r="551">
          <cell r="A551">
            <v>40527</v>
          </cell>
          <cell r="B551">
            <v>40527</v>
          </cell>
          <cell r="C551" t="str">
            <v>Past</v>
          </cell>
          <cell r="D551">
            <v>1.0900000000000001</v>
          </cell>
          <cell r="E551" t="e">
            <v>#N/A</v>
          </cell>
          <cell r="F551" t="e">
            <v>#N/A</v>
          </cell>
          <cell r="G551" t="e">
            <v>#N/A</v>
          </cell>
          <cell r="H551" t="e">
            <v>#N/A</v>
          </cell>
          <cell r="I551" t="e">
            <v>#N/A</v>
          </cell>
          <cell r="J551" t="e">
            <v>#N/A</v>
          </cell>
          <cell r="K551" t="e">
            <v>#N/A</v>
          </cell>
          <cell r="L551" t="e">
            <v>#N/A</v>
          </cell>
          <cell r="M551" t="e">
            <v>#N/A</v>
          </cell>
          <cell r="N551" t="e">
            <v>#N/A</v>
          </cell>
          <cell r="O551" t="e">
            <v>#N/A</v>
          </cell>
          <cell r="P551">
            <v>1.0900000000000001</v>
          </cell>
          <cell r="Q551">
            <v>6.4525730000000001</v>
          </cell>
          <cell r="R551" t="e">
            <v>#N/A</v>
          </cell>
        </row>
        <row r="552">
          <cell r="A552">
            <v>40528</v>
          </cell>
          <cell r="B552">
            <v>40528</v>
          </cell>
          <cell r="C552" t="str">
            <v>Past</v>
          </cell>
          <cell r="D552">
            <v>1.1299999999999999</v>
          </cell>
          <cell r="E552" t="e">
            <v>#N/A</v>
          </cell>
          <cell r="F552" t="e">
            <v>#N/A</v>
          </cell>
          <cell r="G552" t="e">
            <v>#N/A</v>
          </cell>
          <cell r="H552" t="e">
            <v>#N/A</v>
          </cell>
          <cell r="I552" t="e">
            <v>#N/A</v>
          </cell>
          <cell r="J552" t="e">
            <v>#N/A</v>
          </cell>
          <cell r="K552" t="e">
            <v>#N/A</v>
          </cell>
          <cell r="L552" t="e">
            <v>#N/A</v>
          </cell>
          <cell r="M552" t="e">
            <v>#N/A</v>
          </cell>
          <cell r="N552" t="e">
            <v>#N/A</v>
          </cell>
          <cell r="O552" t="e">
            <v>#N/A</v>
          </cell>
          <cell r="P552">
            <v>1.1299999999999999</v>
          </cell>
          <cell r="Q552">
            <v>8.9067419999999995</v>
          </cell>
          <cell r="R552" t="e">
            <v>#N/A</v>
          </cell>
        </row>
        <row r="553">
          <cell r="A553">
            <v>40529</v>
          </cell>
          <cell r="B553">
            <v>40529</v>
          </cell>
          <cell r="C553" t="str">
            <v>Past</v>
          </cell>
          <cell r="D553">
            <v>1.1299999999999999</v>
          </cell>
          <cell r="E553" t="e">
            <v>#N/A</v>
          </cell>
          <cell r="F553" t="e">
            <v>#N/A</v>
          </cell>
          <cell r="G553" t="e">
            <v>#N/A</v>
          </cell>
          <cell r="H553" t="e">
            <v>#N/A</v>
          </cell>
          <cell r="I553" t="e">
            <v>#N/A</v>
          </cell>
          <cell r="J553" t="e">
            <v>#N/A</v>
          </cell>
          <cell r="K553" t="e">
            <v>#N/A</v>
          </cell>
          <cell r="L553" t="e">
            <v>#N/A</v>
          </cell>
          <cell r="M553" t="e">
            <v>#N/A</v>
          </cell>
          <cell r="N553" t="e">
            <v>#N/A</v>
          </cell>
          <cell r="O553" t="e">
            <v>#N/A</v>
          </cell>
          <cell r="P553">
            <v>1.1299999999999999</v>
          </cell>
          <cell r="Q553">
            <v>2.3024119999999999</v>
          </cell>
          <cell r="R553" t="e">
            <v>#N/A</v>
          </cell>
        </row>
        <row r="554">
          <cell r="A554">
            <v>40532</v>
          </cell>
          <cell r="B554">
            <v>40532</v>
          </cell>
          <cell r="C554" t="str">
            <v>Past</v>
          </cell>
          <cell r="D554">
            <v>1.1499999999999999</v>
          </cell>
          <cell r="E554" t="e">
            <v>#N/A</v>
          </cell>
          <cell r="F554" t="e">
            <v>#N/A</v>
          </cell>
          <cell r="G554" t="e">
            <v>#N/A</v>
          </cell>
          <cell r="H554" t="e">
            <v>#N/A</v>
          </cell>
          <cell r="I554" t="e">
            <v>#N/A</v>
          </cell>
          <cell r="J554" t="e">
            <v>#N/A</v>
          </cell>
          <cell r="K554" t="e">
            <v>#N/A</v>
          </cell>
          <cell r="L554" t="e">
            <v>#N/A</v>
          </cell>
          <cell r="M554" t="e">
            <v>#N/A</v>
          </cell>
          <cell r="N554" t="e">
            <v>#N/A</v>
          </cell>
          <cell r="O554" t="e">
            <v>#N/A</v>
          </cell>
          <cell r="P554">
            <v>1.1499999999999999</v>
          </cell>
          <cell r="Q554">
            <v>4.0656639999999999</v>
          </cell>
          <cell r="R554" t="e">
            <v>#N/A</v>
          </cell>
        </row>
        <row r="555">
          <cell r="A555">
            <v>40533</v>
          </cell>
          <cell r="B555">
            <v>40533</v>
          </cell>
          <cell r="C555" t="str">
            <v>Past</v>
          </cell>
          <cell r="D555">
            <v>1.165</v>
          </cell>
          <cell r="E555" t="e">
            <v>#N/A</v>
          </cell>
          <cell r="F555" t="e">
            <v>#N/A</v>
          </cell>
          <cell r="G555" t="e">
            <v>#N/A</v>
          </cell>
          <cell r="H555" t="e">
            <v>#N/A</v>
          </cell>
          <cell r="I555" t="e">
            <v>#N/A</v>
          </cell>
          <cell r="J555" t="e">
            <v>#N/A</v>
          </cell>
          <cell r="K555" t="e">
            <v>#N/A</v>
          </cell>
          <cell r="L555" t="e">
            <v>#N/A</v>
          </cell>
          <cell r="M555" t="e">
            <v>#N/A</v>
          </cell>
          <cell r="N555" t="e">
            <v>#N/A</v>
          </cell>
          <cell r="O555" t="e">
            <v>#N/A</v>
          </cell>
          <cell r="P555">
            <v>1.165</v>
          </cell>
          <cell r="Q555">
            <v>2.0891389999999999</v>
          </cell>
          <cell r="R555" t="e">
            <v>#N/A</v>
          </cell>
        </row>
        <row r="556">
          <cell r="A556">
            <v>40534</v>
          </cell>
          <cell r="B556">
            <v>40534</v>
          </cell>
          <cell r="C556" t="str">
            <v>Past</v>
          </cell>
          <cell r="D556">
            <v>1.1299999999999999</v>
          </cell>
          <cell r="E556" t="e">
            <v>#N/A</v>
          </cell>
          <cell r="F556" t="e">
            <v>#N/A</v>
          </cell>
          <cell r="G556" t="e">
            <v>#N/A</v>
          </cell>
          <cell r="H556" t="e">
            <v>#N/A</v>
          </cell>
          <cell r="I556" t="e">
            <v>#N/A</v>
          </cell>
          <cell r="J556" t="e">
            <v>#N/A</v>
          </cell>
          <cell r="K556" t="e">
            <v>#N/A</v>
          </cell>
          <cell r="L556" t="e">
            <v>#N/A</v>
          </cell>
          <cell r="M556" t="e">
            <v>#N/A</v>
          </cell>
          <cell r="N556" t="e">
            <v>#N/A</v>
          </cell>
          <cell r="O556" t="e">
            <v>#N/A</v>
          </cell>
          <cell r="P556">
            <v>1.1299999999999999</v>
          </cell>
          <cell r="Q556">
            <v>1.6653629999999999</v>
          </cell>
          <cell r="R556" t="e">
            <v>#N/A</v>
          </cell>
        </row>
        <row r="557">
          <cell r="A557">
            <v>40535</v>
          </cell>
          <cell r="B557">
            <v>40535</v>
          </cell>
          <cell r="C557" t="str">
            <v>Past</v>
          </cell>
          <cell r="D557">
            <v>1.115</v>
          </cell>
          <cell r="E557" t="e">
            <v>#N/A</v>
          </cell>
          <cell r="F557" t="e">
            <v>#N/A</v>
          </cell>
          <cell r="G557" t="e">
            <v>#N/A</v>
          </cell>
          <cell r="H557" t="e">
            <v>#N/A</v>
          </cell>
          <cell r="I557" t="e">
            <v>#N/A</v>
          </cell>
          <cell r="J557" t="e">
            <v>#N/A</v>
          </cell>
          <cell r="K557" t="e">
            <v>#N/A</v>
          </cell>
          <cell r="L557" t="e">
            <v>#N/A</v>
          </cell>
          <cell r="M557" t="e">
            <v>#N/A</v>
          </cell>
          <cell r="N557" t="e">
            <v>#N/A</v>
          </cell>
          <cell r="O557" t="e">
            <v>#N/A</v>
          </cell>
          <cell r="P557">
            <v>1.115</v>
          </cell>
          <cell r="Q557">
            <v>1.4108719999999999</v>
          </cell>
          <cell r="R557" t="e">
            <v>#N/A</v>
          </cell>
        </row>
        <row r="558">
          <cell r="A558">
            <v>40536</v>
          </cell>
          <cell r="B558">
            <v>40536</v>
          </cell>
          <cell r="C558" t="str">
            <v>Past</v>
          </cell>
          <cell r="D558">
            <v>1.1000000000000001</v>
          </cell>
          <cell r="E558" t="e">
            <v>#N/A</v>
          </cell>
          <cell r="F558" t="e">
            <v>#N/A</v>
          </cell>
          <cell r="G558" t="e">
            <v>#N/A</v>
          </cell>
          <cell r="H558" t="e">
            <v>#N/A</v>
          </cell>
          <cell r="I558" t="e">
            <v>#N/A</v>
          </cell>
          <cell r="J558" t="e">
            <v>#N/A</v>
          </cell>
          <cell r="K558" t="e">
            <v>#N/A</v>
          </cell>
          <cell r="L558" t="e">
            <v>#N/A</v>
          </cell>
          <cell r="M558" t="e">
            <v>#N/A</v>
          </cell>
          <cell r="N558" t="e">
            <v>#N/A</v>
          </cell>
          <cell r="O558" t="e">
            <v>#N/A</v>
          </cell>
          <cell r="P558">
            <v>1.1000000000000001</v>
          </cell>
          <cell r="Q558">
            <v>0.61887599999999998</v>
          </cell>
          <cell r="R558" t="e">
            <v>#N/A</v>
          </cell>
        </row>
        <row r="559">
          <cell r="A559">
            <v>40539</v>
          </cell>
          <cell r="B559">
            <v>40539</v>
          </cell>
          <cell r="C559" t="str">
            <v>Past</v>
          </cell>
          <cell r="D559">
            <v>1.1000000000000001</v>
          </cell>
          <cell r="E559" t="e">
            <v>#N/A</v>
          </cell>
          <cell r="F559" t="e">
            <v>#N/A</v>
          </cell>
          <cell r="G559" t="e">
            <v>#N/A</v>
          </cell>
          <cell r="H559" t="e">
            <v>#N/A</v>
          </cell>
          <cell r="I559" t="e">
            <v>#N/A</v>
          </cell>
          <cell r="J559" t="e">
            <v>#N/A</v>
          </cell>
          <cell r="K559" t="e">
            <v>#N/A</v>
          </cell>
          <cell r="L559" t="e">
            <v>#N/A</v>
          </cell>
          <cell r="M559" t="e">
            <v>#N/A</v>
          </cell>
          <cell r="N559" t="e">
            <v>#N/A</v>
          </cell>
          <cell r="O559" t="e">
            <v>#N/A</v>
          </cell>
          <cell r="P559">
            <v>1.1000000000000001</v>
          </cell>
          <cell r="Q559">
            <v>0</v>
          </cell>
          <cell r="R559" t="e">
            <v>#N/A</v>
          </cell>
        </row>
        <row r="560">
          <cell r="A560">
            <v>40540</v>
          </cell>
          <cell r="B560">
            <v>40540</v>
          </cell>
          <cell r="C560" t="str">
            <v>Past</v>
          </cell>
          <cell r="D560">
            <v>1.1000000000000001</v>
          </cell>
          <cell r="E560" t="e">
            <v>#N/A</v>
          </cell>
          <cell r="F560" t="e">
            <v>#N/A</v>
          </cell>
          <cell r="G560" t="e">
            <v>#N/A</v>
          </cell>
          <cell r="H560" t="e">
            <v>#N/A</v>
          </cell>
          <cell r="I560" t="e">
            <v>#N/A</v>
          </cell>
          <cell r="J560" t="e">
            <v>#N/A</v>
          </cell>
          <cell r="K560" t="e">
            <v>#N/A</v>
          </cell>
          <cell r="L560" t="e">
            <v>#N/A</v>
          </cell>
          <cell r="M560" t="e">
            <v>#N/A</v>
          </cell>
          <cell r="N560" t="e">
            <v>#N/A</v>
          </cell>
          <cell r="O560" t="e">
            <v>#N/A</v>
          </cell>
          <cell r="P560">
            <v>1.1000000000000001</v>
          </cell>
          <cell r="Q560">
            <v>0</v>
          </cell>
          <cell r="R560" t="e">
            <v>#N/A</v>
          </cell>
        </row>
        <row r="561">
          <cell r="A561">
            <v>40541</v>
          </cell>
          <cell r="B561">
            <v>40541</v>
          </cell>
          <cell r="C561" t="str">
            <v>Past</v>
          </cell>
          <cell r="D561">
            <v>1.095</v>
          </cell>
          <cell r="E561" t="e">
            <v>#N/A</v>
          </cell>
          <cell r="F561" t="e">
            <v>#N/A</v>
          </cell>
          <cell r="G561" t="e">
            <v>#N/A</v>
          </cell>
          <cell r="H561" t="e">
            <v>#N/A</v>
          </cell>
          <cell r="I561" t="e">
            <v>#N/A</v>
          </cell>
          <cell r="J561" t="e">
            <v>#N/A</v>
          </cell>
          <cell r="K561" t="e">
            <v>#N/A</v>
          </cell>
          <cell r="L561" t="e">
            <v>#N/A</v>
          </cell>
          <cell r="M561" t="e">
            <v>#N/A</v>
          </cell>
          <cell r="N561" t="e">
            <v>#N/A</v>
          </cell>
          <cell r="O561" t="e">
            <v>#N/A</v>
          </cell>
          <cell r="P561">
            <v>1.095</v>
          </cell>
          <cell r="Q561">
            <v>0.83722099999999999</v>
          </cell>
          <cell r="R561" t="e">
            <v>#N/A</v>
          </cell>
        </row>
        <row r="562">
          <cell r="A562">
            <v>40542</v>
          </cell>
          <cell r="B562">
            <v>40542</v>
          </cell>
          <cell r="C562" t="str">
            <v>Past</v>
          </cell>
          <cell r="D562">
            <v>1.095</v>
          </cell>
          <cell r="E562" t="e">
            <v>#N/A</v>
          </cell>
          <cell r="F562" t="e">
            <v>#N/A</v>
          </cell>
          <cell r="G562" t="e">
            <v>#N/A</v>
          </cell>
          <cell r="H562" t="e">
            <v>#N/A</v>
          </cell>
          <cell r="I562" t="e">
            <v>#N/A</v>
          </cell>
          <cell r="J562" t="e">
            <v>#N/A</v>
          </cell>
          <cell r="K562" t="e">
            <v>#N/A</v>
          </cell>
          <cell r="L562" t="e">
            <v>#N/A</v>
          </cell>
          <cell r="M562" t="e">
            <v>#N/A</v>
          </cell>
          <cell r="N562" t="e">
            <v>#N/A</v>
          </cell>
          <cell r="O562" t="e">
            <v>#N/A</v>
          </cell>
          <cell r="P562">
            <v>1.095</v>
          </cell>
          <cell r="Q562">
            <v>1.069591</v>
          </cell>
          <cell r="R562" t="e">
            <v>#N/A</v>
          </cell>
        </row>
        <row r="563">
          <cell r="A563">
            <v>40543</v>
          </cell>
          <cell r="B563">
            <v>40543</v>
          </cell>
          <cell r="C563" t="str">
            <v>Past</v>
          </cell>
          <cell r="D563">
            <v>1.08</v>
          </cell>
          <cell r="E563" t="e">
            <v>#N/A</v>
          </cell>
          <cell r="F563" t="e">
            <v>#N/A</v>
          </cell>
          <cell r="G563" t="e">
            <v>#N/A</v>
          </cell>
          <cell r="H563" t="e">
            <v>#N/A</v>
          </cell>
          <cell r="I563" t="e">
            <v>#N/A</v>
          </cell>
          <cell r="J563" t="e">
            <v>#N/A</v>
          </cell>
          <cell r="K563" t="e">
            <v>#N/A</v>
          </cell>
          <cell r="L563" t="e">
            <v>#N/A</v>
          </cell>
          <cell r="M563" t="e">
            <v>#N/A</v>
          </cell>
          <cell r="N563" t="e">
            <v>#N/A</v>
          </cell>
          <cell r="O563" t="e">
            <v>#N/A</v>
          </cell>
          <cell r="P563">
            <v>1.08</v>
          </cell>
          <cell r="Q563">
            <v>0.61960399999999993</v>
          </cell>
          <cell r="R563" t="e">
            <v>#N/A</v>
          </cell>
        </row>
        <row r="564">
          <cell r="A564">
            <v>40546</v>
          </cell>
          <cell r="B564">
            <v>40546</v>
          </cell>
          <cell r="C564" t="str">
            <v>Past</v>
          </cell>
          <cell r="D564">
            <v>1.08</v>
          </cell>
          <cell r="E564" t="e">
            <v>#N/A</v>
          </cell>
          <cell r="F564" t="e">
            <v>#N/A</v>
          </cell>
          <cell r="G564" t="e">
            <v>#N/A</v>
          </cell>
          <cell r="H564" t="e">
            <v>#N/A</v>
          </cell>
          <cell r="I564" t="e">
            <v>#N/A</v>
          </cell>
          <cell r="J564" t="e">
            <v>#N/A</v>
          </cell>
          <cell r="K564" t="e">
            <v>#N/A</v>
          </cell>
          <cell r="L564" t="e">
            <v>#N/A</v>
          </cell>
          <cell r="M564" t="e">
            <v>#N/A</v>
          </cell>
          <cell r="N564" t="e">
            <v>#N/A</v>
          </cell>
          <cell r="O564" t="e">
            <v>#N/A</v>
          </cell>
          <cell r="P564">
            <v>1.08</v>
          </cell>
          <cell r="Q564">
            <v>0</v>
          </cell>
          <cell r="R564" t="e">
            <v>#N/A</v>
          </cell>
        </row>
        <row r="565">
          <cell r="A565">
            <v>40547</v>
          </cell>
          <cell r="B565">
            <v>40547</v>
          </cell>
          <cell r="C565" t="str">
            <v>Past</v>
          </cell>
          <cell r="D565">
            <v>1.03</v>
          </cell>
          <cell r="E565" t="e">
            <v>#N/A</v>
          </cell>
          <cell r="F565" t="e">
            <v>#N/A</v>
          </cell>
          <cell r="G565" t="e">
            <v>#N/A</v>
          </cell>
          <cell r="H565" t="e">
            <v>#N/A</v>
          </cell>
          <cell r="I565" t="e">
            <v>#N/A</v>
          </cell>
          <cell r="J565" t="e">
            <v>#N/A</v>
          </cell>
          <cell r="K565" t="e">
            <v>#N/A</v>
          </cell>
          <cell r="L565" t="e">
            <v>#N/A</v>
          </cell>
          <cell r="M565" t="e">
            <v>#N/A</v>
          </cell>
          <cell r="N565" t="e">
            <v>#N/A</v>
          </cell>
          <cell r="O565" t="e">
            <v>#N/A</v>
          </cell>
          <cell r="P565">
            <v>1.03</v>
          </cell>
          <cell r="Q565">
            <v>5.3507479999999994</v>
          </cell>
          <cell r="R565" t="e">
            <v>#N/A</v>
          </cell>
        </row>
        <row r="566">
          <cell r="A566">
            <v>40548</v>
          </cell>
          <cell r="B566">
            <v>40548</v>
          </cell>
          <cell r="C566" t="str">
            <v>Past</v>
          </cell>
          <cell r="D566">
            <v>0.97</v>
          </cell>
          <cell r="E566" t="e">
            <v>#N/A</v>
          </cell>
          <cell r="F566" t="e">
            <v>#N/A</v>
          </cell>
          <cell r="G566" t="e">
            <v>#N/A</v>
          </cell>
          <cell r="H566" t="e">
            <v>#N/A</v>
          </cell>
          <cell r="I566" t="e">
            <v>#N/A</v>
          </cell>
          <cell r="J566" t="e">
            <v>#N/A</v>
          </cell>
          <cell r="K566" t="e">
            <v>#N/A</v>
          </cell>
          <cell r="L566" t="e">
            <v>#N/A</v>
          </cell>
          <cell r="M566" t="e">
            <v>#N/A</v>
          </cell>
          <cell r="N566" t="e">
            <v>#N/A</v>
          </cell>
          <cell r="O566" t="e">
            <v>#N/A</v>
          </cell>
          <cell r="P566">
            <v>0.97</v>
          </cell>
          <cell r="Q566">
            <v>5.1028729999999998</v>
          </cell>
          <cell r="R566" t="e">
            <v>#N/A</v>
          </cell>
        </row>
        <row r="567">
          <cell r="A567">
            <v>40549</v>
          </cell>
          <cell r="B567">
            <v>40549</v>
          </cell>
          <cell r="C567" t="str">
            <v>Past</v>
          </cell>
          <cell r="D567">
            <v>1.0449999999999999</v>
          </cell>
          <cell r="E567" t="e">
            <v>#N/A</v>
          </cell>
          <cell r="F567" t="e">
            <v>#N/A</v>
          </cell>
          <cell r="G567" t="e">
            <v>#N/A</v>
          </cell>
          <cell r="H567" t="e">
            <v>#N/A</v>
          </cell>
          <cell r="I567" t="e">
            <v>#N/A</v>
          </cell>
          <cell r="J567" t="e">
            <v>#N/A</v>
          </cell>
          <cell r="K567" t="e">
            <v>#N/A</v>
          </cell>
          <cell r="L567" t="e">
            <v>#N/A</v>
          </cell>
          <cell r="M567" t="e">
            <v>#N/A</v>
          </cell>
          <cell r="N567" t="e">
            <v>#N/A</v>
          </cell>
          <cell r="O567" t="e">
            <v>#N/A</v>
          </cell>
          <cell r="P567">
            <v>1.0449999999999999</v>
          </cell>
          <cell r="Q567">
            <v>7.6777150000000001</v>
          </cell>
          <cell r="R567" t="e">
            <v>#N/A</v>
          </cell>
        </row>
        <row r="568">
          <cell r="A568">
            <v>40550</v>
          </cell>
          <cell r="B568">
            <v>40550</v>
          </cell>
          <cell r="C568" t="str">
            <v>Past</v>
          </cell>
          <cell r="D568">
            <v>1.0449999999999999</v>
          </cell>
          <cell r="E568" t="e">
            <v>#N/A</v>
          </cell>
          <cell r="F568" t="e">
            <v>#N/A</v>
          </cell>
          <cell r="G568" t="e">
            <v>#N/A</v>
          </cell>
          <cell r="H568" t="e">
            <v>#N/A</v>
          </cell>
          <cell r="I568" t="e">
            <v>#N/A</v>
          </cell>
          <cell r="J568" t="e">
            <v>#N/A</v>
          </cell>
          <cell r="K568" t="e">
            <v>#N/A</v>
          </cell>
          <cell r="L568" t="e">
            <v>#N/A</v>
          </cell>
          <cell r="M568" t="e">
            <v>#N/A</v>
          </cell>
          <cell r="N568" t="e">
            <v>#N/A</v>
          </cell>
          <cell r="O568" t="e">
            <v>#N/A</v>
          </cell>
          <cell r="P568">
            <v>1.0449999999999999</v>
          </cell>
          <cell r="Q568">
            <v>1.9860909999999998</v>
          </cell>
          <cell r="R568" t="e">
            <v>#N/A</v>
          </cell>
        </row>
        <row r="569">
          <cell r="A569">
            <v>40553</v>
          </cell>
          <cell r="B569">
            <v>40553</v>
          </cell>
          <cell r="C569" t="str">
            <v>Past</v>
          </cell>
          <cell r="D569">
            <v>1.0449999999999999</v>
          </cell>
          <cell r="E569" t="e">
            <v>#N/A</v>
          </cell>
          <cell r="F569" t="e">
            <v>#N/A</v>
          </cell>
          <cell r="G569" t="e">
            <v>#N/A</v>
          </cell>
          <cell r="H569" t="e">
            <v>#N/A</v>
          </cell>
          <cell r="I569" t="e">
            <v>#N/A</v>
          </cell>
          <cell r="J569" t="e">
            <v>#N/A</v>
          </cell>
          <cell r="K569" t="e">
            <v>#N/A</v>
          </cell>
          <cell r="L569" t="e">
            <v>#N/A</v>
          </cell>
          <cell r="M569" t="e">
            <v>#N/A</v>
          </cell>
          <cell r="N569" t="e">
            <v>#N/A</v>
          </cell>
          <cell r="O569" t="e">
            <v>#N/A</v>
          </cell>
          <cell r="P569">
            <v>1.0449999999999999</v>
          </cell>
          <cell r="Q569">
            <v>2.0200420000000001</v>
          </cell>
          <cell r="R569" t="e">
            <v>#N/A</v>
          </cell>
        </row>
        <row r="570">
          <cell r="A570">
            <v>40554</v>
          </cell>
          <cell r="B570">
            <v>40554</v>
          </cell>
          <cell r="C570" t="str">
            <v>Past</v>
          </cell>
          <cell r="D570">
            <v>1.04</v>
          </cell>
          <cell r="E570" t="e">
            <v>#N/A</v>
          </cell>
          <cell r="F570" t="e">
            <v>#N/A</v>
          </cell>
          <cell r="G570" t="e">
            <v>#N/A</v>
          </cell>
          <cell r="H570" t="e">
            <v>#N/A</v>
          </cell>
          <cell r="I570" t="e">
            <v>#N/A</v>
          </cell>
          <cell r="J570" t="e">
            <v>#N/A</v>
          </cell>
          <cell r="K570" t="e">
            <v>#N/A</v>
          </cell>
          <cell r="L570" t="e">
            <v>#N/A</v>
          </cell>
          <cell r="M570" t="e">
            <v>#N/A</v>
          </cell>
          <cell r="N570" t="e">
            <v>#N/A</v>
          </cell>
          <cell r="O570" t="e">
            <v>#N/A</v>
          </cell>
          <cell r="P570">
            <v>1.04</v>
          </cell>
          <cell r="Q570">
            <v>1.529396</v>
          </cell>
          <cell r="R570" t="e">
            <v>#N/A</v>
          </cell>
        </row>
        <row r="571">
          <cell r="A571">
            <v>40555</v>
          </cell>
          <cell r="B571">
            <v>40555</v>
          </cell>
          <cell r="C571" t="str">
            <v>Past</v>
          </cell>
          <cell r="D571">
            <v>0.99</v>
          </cell>
          <cell r="E571" t="e">
            <v>#N/A</v>
          </cell>
          <cell r="F571" t="e">
            <v>#N/A</v>
          </cell>
          <cell r="G571" t="e">
            <v>#N/A</v>
          </cell>
          <cell r="H571" t="e">
            <v>#N/A</v>
          </cell>
          <cell r="I571" t="e">
            <v>#N/A</v>
          </cell>
          <cell r="J571" t="e">
            <v>#N/A</v>
          </cell>
          <cell r="K571" t="e">
            <v>#N/A</v>
          </cell>
          <cell r="L571" t="e">
            <v>#N/A</v>
          </cell>
          <cell r="M571" t="e">
            <v>#N/A</v>
          </cell>
          <cell r="N571" t="e">
            <v>#N/A</v>
          </cell>
          <cell r="O571" t="e">
            <v>#N/A</v>
          </cell>
          <cell r="P571">
            <v>0.99</v>
          </cell>
          <cell r="Q571">
            <v>3.3447139999999997</v>
          </cell>
          <cell r="R571" t="e">
            <v>#N/A</v>
          </cell>
        </row>
        <row r="572">
          <cell r="A572">
            <v>40556</v>
          </cell>
          <cell r="B572">
            <v>40556</v>
          </cell>
          <cell r="C572" t="str">
            <v>Past</v>
          </cell>
          <cell r="D572">
            <v>1.04</v>
          </cell>
          <cell r="E572" t="e">
            <v>#N/A</v>
          </cell>
          <cell r="F572" t="e">
            <v>#N/A</v>
          </cell>
          <cell r="G572" t="e">
            <v>#N/A</v>
          </cell>
          <cell r="H572" t="e">
            <v>#N/A</v>
          </cell>
          <cell r="I572" t="e">
            <v>#N/A</v>
          </cell>
          <cell r="J572" t="e">
            <v>#N/A</v>
          </cell>
          <cell r="K572" t="e">
            <v>#N/A</v>
          </cell>
          <cell r="L572" t="e">
            <v>#N/A</v>
          </cell>
          <cell r="M572" t="e">
            <v>#N/A</v>
          </cell>
          <cell r="N572" t="e">
            <v>#N/A</v>
          </cell>
          <cell r="O572" t="e">
            <v>#N/A</v>
          </cell>
          <cell r="P572">
            <v>1.04</v>
          </cell>
          <cell r="Q572">
            <v>1.986931</v>
          </cell>
          <cell r="R572" t="e">
            <v>#N/A</v>
          </cell>
        </row>
        <row r="573">
          <cell r="A573">
            <v>40557</v>
          </cell>
          <cell r="B573">
            <v>40557</v>
          </cell>
          <cell r="C573" t="str">
            <v>Past</v>
          </cell>
          <cell r="D573">
            <v>1.08</v>
          </cell>
          <cell r="E573" t="e">
            <v>#N/A</v>
          </cell>
          <cell r="F573" t="e">
            <v>#N/A</v>
          </cell>
          <cell r="G573" t="e">
            <v>#N/A</v>
          </cell>
          <cell r="H573" t="e">
            <v>#N/A</v>
          </cell>
          <cell r="I573" t="e">
            <v>#N/A</v>
          </cell>
          <cell r="J573" t="e">
            <v>#N/A</v>
          </cell>
          <cell r="K573" t="e">
            <v>#N/A</v>
          </cell>
          <cell r="L573" t="e">
            <v>#N/A</v>
          </cell>
          <cell r="M573" t="e">
            <v>#N/A</v>
          </cell>
          <cell r="N573" t="e">
            <v>#N/A</v>
          </cell>
          <cell r="O573" t="e">
            <v>#N/A</v>
          </cell>
          <cell r="P573">
            <v>1.08</v>
          </cell>
          <cell r="Q573">
            <v>1.8957900000000001</v>
          </cell>
          <cell r="R573" t="e">
            <v>#N/A</v>
          </cell>
        </row>
        <row r="574">
          <cell r="A574">
            <v>40560</v>
          </cell>
          <cell r="B574">
            <v>40560</v>
          </cell>
          <cell r="C574" t="str">
            <v>Past</v>
          </cell>
          <cell r="D574">
            <v>1.0900000000000001</v>
          </cell>
          <cell r="E574" t="e">
            <v>#N/A</v>
          </cell>
          <cell r="F574" t="e">
            <v>#N/A</v>
          </cell>
          <cell r="G574" t="e">
            <v>#N/A</v>
          </cell>
          <cell r="H574" t="e">
            <v>#N/A</v>
          </cell>
          <cell r="I574" t="e">
            <v>#N/A</v>
          </cell>
          <cell r="J574" t="e">
            <v>#N/A</v>
          </cell>
          <cell r="K574" t="e">
            <v>#N/A</v>
          </cell>
          <cell r="L574" t="e">
            <v>#N/A</v>
          </cell>
          <cell r="M574" t="e">
            <v>#N/A</v>
          </cell>
          <cell r="N574" t="e">
            <v>#N/A</v>
          </cell>
          <cell r="O574" t="e">
            <v>#N/A</v>
          </cell>
          <cell r="P574">
            <v>1.0900000000000001</v>
          </cell>
          <cell r="Q574">
            <v>1.7217859999999998</v>
          </cell>
          <cell r="R574" t="e">
            <v>#N/A</v>
          </cell>
        </row>
        <row r="575">
          <cell r="A575">
            <v>40561</v>
          </cell>
          <cell r="B575">
            <v>40561</v>
          </cell>
          <cell r="C575" t="str">
            <v>Past</v>
          </cell>
          <cell r="D575">
            <v>1.0900000000000001</v>
          </cell>
          <cell r="E575" t="e">
            <v>#N/A</v>
          </cell>
          <cell r="F575" t="e">
            <v>#N/A</v>
          </cell>
          <cell r="G575" t="e">
            <v>#N/A</v>
          </cell>
          <cell r="H575" t="e">
            <v>#N/A</v>
          </cell>
          <cell r="I575" t="e">
            <v>#N/A</v>
          </cell>
          <cell r="J575" t="e">
            <v>#N/A</v>
          </cell>
          <cell r="K575" t="e">
            <v>#N/A</v>
          </cell>
          <cell r="L575" t="e">
            <v>#N/A</v>
          </cell>
          <cell r="M575" t="e">
            <v>#N/A</v>
          </cell>
          <cell r="N575" t="e">
            <v>#N/A</v>
          </cell>
          <cell r="O575">
            <v>0</v>
          </cell>
          <cell r="P575">
            <v>1.0900000000000001</v>
          </cell>
          <cell r="Q575">
            <v>0.39633199999999996</v>
          </cell>
          <cell r="R575" t="e">
            <v>#N/A</v>
          </cell>
        </row>
        <row r="576">
          <cell r="A576">
            <v>40562</v>
          </cell>
          <cell r="B576">
            <v>40562</v>
          </cell>
          <cell r="C576" t="str">
            <v>Current</v>
          </cell>
          <cell r="D576">
            <v>1.095</v>
          </cell>
          <cell r="E576">
            <v>1.095</v>
          </cell>
          <cell r="F576">
            <v>1.095</v>
          </cell>
          <cell r="G576">
            <v>1.095</v>
          </cell>
          <cell r="H576">
            <v>1.095</v>
          </cell>
          <cell r="I576">
            <v>1.095</v>
          </cell>
          <cell r="J576" t="e">
            <v>#N/A</v>
          </cell>
          <cell r="K576" t="e">
            <v>#N/A</v>
          </cell>
          <cell r="L576" t="e">
            <v>#N/A</v>
          </cell>
          <cell r="M576" t="e">
            <v>#N/A</v>
          </cell>
          <cell r="N576" t="e">
            <v>#N/A</v>
          </cell>
          <cell r="O576">
            <v>63.336800000000004</v>
          </cell>
          <cell r="P576">
            <v>1.095</v>
          </cell>
          <cell r="Q576">
            <v>1.9640909999999998</v>
          </cell>
          <cell r="R576" t="e">
            <v>#N/A</v>
          </cell>
        </row>
        <row r="577">
          <cell r="A577">
            <v>40563</v>
          </cell>
          <cell r="B577">
            <v>40563</v>
          </cell>
          <cell r="C577" t="str">
            <v>Future</v>
          </cell>
          <cell r="D577" t="e">
            <v>#N/A</v>
          </cell>
          <cell r="E577">
            <v>1.0908206106870229</v>
          </cell>
          <cell r="F577">
            <v>1.0966984732824427</v>
          </cell>
          <cell r="G577">
            <v>1.0937213740458016</v>
          </cell>
          <cell r="H577">
            <v>1.0937213740458016</v>
          </cell>
          <cell r="I577" t="e">
            <v>#N/A</v>
          </cell>
          <cell r="J577" t="e">
            <v>#N/A</v>
          </cell>
          <cell r="K577" t="e">
            <v>#N/A</v>
          </cell>
          <cell r="L577" t="e">
            <v>#N/A</v>
          </cell>
          <cell r="M577" t="e">
            <v>#N/A</v>
          </cell>
          <cell r="N577" t="e">
            <v>#N/A</v>
          </cell>
          <cell r="O577" t="e">
            <v>#N/A</v>
          </cell>
          <cell r="P577">
            <v>1.095</v>
          </cell>
          <cell r="Q577">
            <v>0</v>
          </cell>
          <cell r="R577" t="e">
            <v>#N/A</v>
          </cell>
        </row>
        <row r="578">
          <cell r="A578">
            <v>40564</v>
          </cell>
          <cell r="B578">
            <v>40564</v>
          </cell>
          <cell r="C578" t="str">
            <v>Future</v>
          </cell>
          <cell r="D578" t="e">
            <v>#N/A</v>
          </cell>
          <cell r="E578">
            <v>1.0866412213740457</v>
          </cell>
          <cell r="F578">
            <v>1.0983969465648855</v>
          </cell>
          <cell r="G578">
            <v>1.0924427480916032</v>
          </cell>
          <cell r="H578">
            <v>1.0924427480916032</v>
          </cell>
          <cell r="I578" t="e">
            <v>#N/A</v>
          </cell>
          <cell r="J578" t="e">
            <v>#N/A</v>
          </cell>
          <cell r="K578" t="e">
            <v>#N/A</v>
          </cell>
          <cell r="L578" t="e">
            <v>#N/A</v>
          </cell>
          <cell r="M578" t="e">
            <v>#N/A</v>
          </cell>
          <cell r="N578" t="e">
            <v>#N/A</v>
          </cell>
          <cell r="O578" t="e">
            <v>#N/A</v>
          </cell>
          <cell r="P578">
            <v>1.095</v>
          </cell>
          <cell r="Q578" t="str">
            <v/>
          </cell>
          <cell r="R578" t="e">
            <v>#N/A</v>
          </cell>
        </row>
        <row r="579">
          <cell r="A579">
            <v>40567</v>
          </cell>
          <cell r="B579">
            <v>40567</v>
          </cell>
          <cell r="C579" t="str">
            <v>Future</v>
          </cell>
          <cell r="D579" t="e">
            <v>#N/A</v>
          </cell>
          <cell r="E579">
            <v>1.0824618320610686</v>
          </cell>
          <cell r="F579">
            <v>1.1000954198473283</v>
          </cell>
          <cell r="G579">
            <v>1.0911641221374049</v>
          </cell>
          <cell r="H579">
            <v>1.0911641221374049</v>
          </cell>
          <cell r="I579" t="e">
            <v>#N/A</v>
          </cell>
          <cell r="J579" t="e">
            <v>#N/A</v>
          </cell>
          <cell r="K579" t="e">
            <v>#N/A</v>
          </cell>
          <cell r="L579" t="e">
            <v>#N/A</v>
          </cell>
          <cell r="M579" t="e">
            <v>#N/A</v>
          </cell>
          <cell r="N579" t="e">
            <v>#N/A</v>
          </cell>
          <cell r="O579" t="e">
            <v>#N/A</v>
          </cell>
          <cell r="P579">
            <v>1.095</v>
          </cell>
          <cell r="Q579" t="str">
            <v/>
          </cell>
          <cell r="R579" t="e">
            <v>#N/A</v>
          </cell>
        </row>
        <row r="580">
          <cell r="A580">
            <v>40568</v>
          </cell>
          <cell r="B580">
            <v>40568</v>
          </cell>
          <cell r="C580" t="str">
            <v>Future</v>
          </cell>
          <cell r="D580" t="e">
            <v>#N/A</v>
          </cell>
          <cell r="E580">
            <v>1.0782824427480915</v>
          </cell>
          <cell r="F580">
            <v>1.1017938931297711</v>
          </cell>
          <cell r="G580">
            <v>1.0898854961832065</v>
          </cell>
          <cell r="H580">
            <v>1.0898854961832065</v>
          </cell>
          <cell r="I580" t="e">
            <v>#N/A</v>
          </cell>
          <cell r="J580" t="e">
            <v>#N/A</v>
          </cell>
          <cell r="K580" t="e">
            <v>#N/A</v>
          </cell>
          <cell r="L580" t="e">
            <v>#N/A</v>
          </cell>
          <cell r="M580" t="e">
            <v>#N/A</v>
          </cell>
          <cell r="N580" t="e">
            <v>#N/A</v>
          </cell>
          <cell r="O580" t="e">
            <v>#N/A</v>
          </cell>
          <cell r="P580">
            <v>1.095</v>
          </cell>
          <cell r="Q580" t="str">
            <v/>
          </cell>
          <cell r="R580" t="e">
            <v>#N/A</v>
          </cell>
        </row>
        <row r="581">
          <cell r="A581">
            <v>40569</v>
          </cell>
          <cell r="B581">
            <v>40569</v>
          </cell>
          <cell r="C581" t="str">
            <v>Future</v>
          </cell>
          <cell r="D581" t="e">
            <v>#N/A</v>
          </cell>
          <cell r="E581">
            <v>1.0741030534351144</v>
          </cell>
          <cell r="F581">
            <v>1.1034923664122138</v>
          </cell>
          <cell r="G581">
            <v>1.0886068702290082</v>
          </cell>
          <cell r="H581">
            <v>1.0886068702290082</v>
          </cell>
          <cell r="I581" t="e">
            <v>#N/A</v>
          </cell>
          <cell r="J581" t="e">
            <v>#N/A</v>
          </cell>
          <cell r="K581" t="e">
            <v>#N/A</v>
          </cell>
          <cell r="L581" t="e">
            <v>#N/A</v>
          </cell>
          <cell r="M581" t="e">
            <v>#N/A</v>
          </cell>
          <cell r="N581" t="e">
            <v>#N/A</v>
          </cell>
          <cell r="O581" t="e">
            <v>#N/A</v>
          </cell>
          <cell r="P581">
            <v>1.095</v>
          </cell>
          <cell r="Q581" t="str">
            <v/>
          </cell>
          <cell r="R581" t="e">
            <v>#N/A</v>
          </cell>
        </row>
        <row r="582">
          <cell r="A582">
            <v>40570</v>
          </cell>
          <cell r="B582">
            <v>40570</v>
          </cell>
          <cell r="C582" t="str">
            <v>Future</v>
          </cell>
          <cell r="D582" t="e">
            <v>#N/A</v>
          </cell>
          <cell r="E582">
            <v>1.0699236641221372</v>
          </cell>
          <cell r="F582">
            <v>1.1051908396946566</v>
          </cell>
          <cell r="G582">
            <v>1.0873282442748098</v>
          </cell>
          <cell r="H582">
            <v>1.0873282442748098</v>
          </cell>
          <cell r="I582" t="e">
            <v>#N/A</v>
          </cell>
          <cell r="J582" t="e">
            <v>#N/A</v>
          </cell>
          <cell r="K582" t="e">
            <v>#N/A</v>
          </cell>
          <cell r="L582" t="e">
            <v>#N/A</v>
          </cell>
          <cell r="M582" t="e">
            <v>#N/A</v>
          </cell>
          <cell r="N582" t="e">
            <v>#N/A</v>
          </cell>
          <cell r="O582" t="e">
            <v>#N/A</v>
          </cell>
          <cell r="P582">
            <v>1.095</v>
          </cell>
          <cell r="Q582" t="str">
            <v/>
          </cell>
          <cell r="R582" t="e">
            <v>#N/A</v>
          </cell>
        </row>
        <row r="583">
          <cell r="A583">
            <v>40571</v>
          </cell>
          <cell r="B583">
            <v>40571</v>
          </cell>
          <cell r="C583" t="str">
            <v>Future</v>
          </cell>
          <cell r="D583" t="e">
            <v>#N/A</v>
          </cell>
          <cell r="E583">
            <v>1.0657442748091601</v>
          </cell>
          <cell r="F583">
            <v>1.1068893129770994</v>
          </cell>
          <cell r="G583">
            <v>1.0860496183206114</v>
          </cell>
          <cell r="H583">
            <v>1.0860496183206114</v>
          </cell>
          <cell r="I583" t="e">
            <v>#N/A</v>
          </cell>
          <cell r="J583" t="e">
            <v>#N/A</v>
          </cell>
          <cell r="K583" t="e">
            <v>#N/A</v>
          </cell>
          <cell r="L583" t="e">
            <v>#N/A</v>
          </cell>
          <cell r="M583" t="e">
            <v>#N/A</v>
          </cell>
          <cell r="N583" t="e">
            <v>#N/A</v>
          </cell>
          <cell r="O583" t="e">
            <v>#N/A</v>
          </cell>
          <cell r="P583">
            <v>1.095</v>
          </cell>
          <cell r="Q583" t="str">
            <v/>
          </cell>
          <cell r="R583" t="e">
            <v>#N/A</v>
          </cell>
        </row>
        <row r="584">
          <cell r="A584">
            <v>40574</v>
          </cell>
          <cell r="B584">
            <v>40574</v>
          </cell>
          <cell r="C584" t="str">
            <v>Future</v>
          </cell>
          <cell r="D584" t="e">
            <v>#N/A</v>
          </cell>
          <cell r="E584">
            <v>1.061564885496183</v>
          </cell>
          <cell r="F584">
            <v>1.1085877862595421</v>
          </cell>
          <cell r="G584">
            <v>1.0847709923664131</v>
          </cell>
          <cell r="H584">
            <v>1.0847709923664131</v>
          </cell>
          <cell r="I584" t="e">
            <v>#N/A</v>
          </cell>
          <cell r="J584" t="e">
            <v>#N/A</v>
          </cell>
          <cell r="K584" t="e">
            <v>#N/A</v>
          </cell>
          <cell r="L584" t="e">
            <v>#N/A</v>
          </cell>
          <cell r="M584" t="e">
            <v>#N/A</v>
          </cell>
          <cell r="N584" t="e">
            <v>#N/A</v>
          </cell>
          <cell r="O584" t="e">
            <v>#N/A</v>
          </cell>
          <cell r="P584">
            <v>1.095</v>
          </cell>
          <cell r="Q584" t="str">
            <v/>
          </cell>
          <cell r="R584" t="e">
            <v>#N/A</v>
          </cell>
        </row>
        <row r="585">
          <cell r="A585">
            <v>40575</v>
          </cell>
          <cell r="B585">
            <v>40575</v>
          </cell>
          <cell r="C585" t="str">
            <v>Future</v>
          </cell>
          <cell r="D585" t="e">
            <v>#N/A</v>
          </cell>
          <cell r="E585">
            <v>1.0573854961832059</v>
          </cell>
          <cell r="F585">
            <v>1.1102862595419849</v>
          </cell>
          <cell r="G585">
            <v>1.0834923664122147</v>
          </cell>
          <cell r="H585">
            <v>1.0834923664122147</v>
          </cell>
          <cell r="I585" t="e">
            <v>#N/A</v>
          </cell>
          <cell r="J585" t="e">
            <v>#N/A</v>
          </cell>
          <cell r="K585" t="e">
            <v>#N/A</v>
          </cell>
          <cell r="L585" t="e">
            <v>#N/A</v>
          </cell>
          <cell r="M585" t="e">
            <v>#N/A</v>
          </cell>
          <cell r="N585" t="e">
            <v>#N/A</v>
          </cell>
          <cell r="O585" t="e">
            <v>#N/A</v>
          </cell>
          <cell r="P585">
            <v>1.095</v>
          </cell>
          <cell r="Q585" t="str">
            <v/>
          </cell>
          <cell r="R585" t="e">
            <v>#N/A</v>
          </cell>
        </row>
        <row r="586">
          <cell r="A586">
            <v>40576</v>
          </cell>
          <cell r="B586">
            <v>40576</v>
          </cell>
          <cell r="C586" t="str">
            <v>Future</v>
          </cell>
          <cell r="D586" t="e">
            <v>#N/A</v>
          </cell>
          <cell r="E586">
            <v>1.0532061068702288</v>
          </cell>
          <cell r="F586">
            <v>1.1119847328244277</v>
          </cell>
          <cell r="G586">
            <v>1.0822137404580163</v>
          </cell>
          <cell r="H586">
            <v>1.0822137404580163</v>
          </cell>
          <cell r="I586" t="e">
            <v>#N/A</v>
          </cell>
          <cell r="J586" t="e">
            <v>#N/A</v>
          </cell>
          <cell r="K586" t="e">
            <v>#N/A</v>
          </cell>
          <cell r="L586" t="e">
            <v>#N/A</v>
          </cell>
          <cell r="M586" t="e">
            <v>#N/A</v>
          </cell>
          <cell r="N586" t="e">
            <v>#N/A</v>
          </cell>
          <cell r="O586" t="e">
            <v>#N/A</v>
          </cell>
          <cell r="P586">
            <v>1.095</v>
          </cell>
          <cell r="Q586" t="str">
            <v/>
          </cell>
          <cell r="R586" t="e">
            <v>#N/A</v>
          </cell>
        </row>
        <row r="587">
          <cell r="A587">
            <v>40577</v>
          </cell>
          <cell r="B587">
            <v>40577</v>
          </cell>
          <cell r="C587" t="str">
            <v>Future</v>
          </cell>
          <cell r="D587" t="e">
            <v>#N/A</v>
          </cell>
          <cell r="E587">
            <v>1.0490267175572516</v>
          </cell>
          <cell r="F587">
            <v>1.1136832061068704</v>
          </cell>
          <cell r="G587">
            <v>1.080935114503818</v>
          </cell>
          <cell r="H587">
            <v>1.080935114503818</v>
          </cell>
          <cell r="I587" t="e">
            <v>#N/A</v>
          </cell>
          <cell r="J587" t="e">
            <v>#N/A</v>
          </cell>
          <cell r="K587" t="e">
            <v>#N/A</v>
          </cell>
          <cell r="L587" t="e">
            <v>#N/A</v>
          </cell>
          <cell r="M587" t="e">
            <v>#N/A</v>
          </cell>
          <cell r="N587" t="e">
            <v>#N/A</v>
          </cell>
          <cell r="O587" t="e">
            <v>#N/A</v>
          </cell>
          <cell r="P587">
            <v>1.095</v>
          </cell>
          <cell r="Q587" t="str">
            <v/>
          </cell>
          <cell r="R587" t="e">
            <v>#N/A</v>
          </cell>
        </row>
        <row r="588">
          <cell r="A588">
            <v>40578</v>
          </cell>
          <cell r="B588">
            <v>40578</v>
          </cell>
          <cell r="C588" t="str">
            <v>Future</v>
          </cell>
          <cell r="D588" t="e">
            <v>#N/A</v>
          </cell>
          <cell r="E588">
            <v>1.0448473282442745</v>
          </cell>
          <cell r="F588">
            <v>1.1153816793893132</v>
          </cell>
          <cell r="G588">
            <v>1.0796564885496196</v>
          </cell>
          <cell r="H588">
            <v>1.0796564885496196</v>
          </cell>
          <cell r="I588" t="e">
            <v>#N/A</v>
          </cell>
          <cell r="J588" t="e">
            <v>#N/A</v>
          </cell>
          <cell r="K588" t="e">
            <v>#N/A</v>
          </cell>
          <cell r="L588" t="e">
            <v>#N/A</v>
          </cell>
          <cell r="M588" t="e">
            <v>#N/A</v>
          </cell>
          <cell r="N588" t="e">
            <v>#N/A</v>
          </cell>
          <cell r="O588" t="e">
            <v>#N/A</v>
          </cell>
          <cell r="P588">
            <v>1.095</v>
          </cell>
          <cell r="Q588" t="str">
            <v/>
          </cell>
          <cell r="R588" t="e">
            <v>#N/A</v>
          </cell>
        </row>
        <row r="589">
          <cell r="A589">
            <v>40581</v>
          </cell>
          <cell r="B589">
            <v>40581</v>
          </cell>
          <cell r="C589" t="str">
            <v>Future</v>
          </cell>
          <cell r="D589" t="e">
            <v>#N/A</v>
          </cell>
          <cell r="E589">
            <v>1.0406679389312974</v>
          </cell>
          <cell r="F589">
            <v>1.117080152671756</v>
          </cell>
          <cell r="G589">
            <v>1.0783778625954212</v>
          </cell>
          <cell r="H589">
            <v>1.0783778625954212</v>
          </cell>
          <cell r="I589" t="e">
            <v>#N/A</v>
          </cell>
          <cell r="J589" t="e">
            <v>#N/A</v>
          </cell>
          <cell r="K589" t="e">
            <v>#N/A</v>
          </cell>
          <cell r="L589" t="e">
            <v>#N/A</v>
          </cell>
          <cell r="M589" t="e">
            <v>#N/A</v>
          </cell>
          <cell r="N589" t="e">
            <v>#N/A</v>
          </cell>
          <cell r="O589" t="e">
            <v>#N/A</v>
          </cell>
          <cell r="P589">
            <v>1.095</v>
          </cell>
          <cell r="Q589" t="str">
            <v/>
          </cell>
          <cell r="R589" t="e">
            <v>#N/A</v>
          </cell>
        </row>
        <row r="590">
          <cell r="A590">
            <v>40582</v>
          </cell>
          <cell r="B590">
            <v>40582</v>
          </cell>
          <cell r="C590" t="str">
            <v>Future</v>
          </cell>
          <cell r="D590" t="e">
            <v>#N/A</v>
          </cell>
          <cell r="E590">
            <v>1.0364885496183203</v>
          </cell>
          <cell r="F590">
            <v>1.1187786259541987</v>
          </cell>
          <cell r="G590">
            <v>1.0770992366412229</v>
          </cell>
          <cell r="H590">
            <v>1.0770992366412229</v>
          </cell>
          <cell r="I590" t="e">
            <v>#N/A</v>
          </cell>
          <cell r="J590" t="e">
            <v>#N/A</v>
          </cell>
          <cell r="K590" t="e">
            <v>#N/A</v>
          </cell>
          <cell r="L590" t="e">
            <v>#N/A</v>
          </cell>
          <cell r="M590" t="e">
            <v>#N/A</v>
          </cell>
          <cell r="N590" t="e">
            <v>#N/A</v>
          </cell>
          <cell r="O590" t="e">
            <v>#N/A</v>
          </cell>
          <cell r="P590">
            <v>1.095</v>
          </cell>
          <cell r="Q590" t="str">
            <v/>
          </cell>
          <cell r="R590" t="e">
            <v>#N/A</v>
          </cell>
        </row>
        <row r="591">
          <cell r="A591">
            <v>40583</v>
          </cell>
          <cell r="B591">
            <v>40583</v>
          </cell>
          <cell r="C591" t="str">
            <v>Future</v>
          </cell>
          <cell r="D591" t="e">
            <v>#N/A</v>
          </cell>
          <cell r="E591">
            <v>1.0323091603053431</v>
          </cell>
          <cell r="F591">
            <v>1.1204770992366415</v>
          </cell>
          <cell r="G591">
            <v>1.0758206106870245</v>
          </cell>
          <cell r="H591">
            <v>1.0758206106870245</v>
          </cell>
          <cell r="I591" t="e">
            <v>#N/A</v>
          </cell>
          <cell r="J591" t="e">
            <v>#N/A</v>
          </cell>
          <cell r="K591" t="e">
            <v>#N/A</v>
          </cell>
          <cell r="L591" t="e">
            <v>#N/A</v>
          </cell>
          <cell r="M591" t="e">
            <v>#N/A</v>
          </cell>
          <cell r="N591" t="e">
            <v>#N/A</v>
          </cell>
          <cell r="O591" t="e">
            <v>#N/A</v>
          </cell>
          <cell r="P591">
            <v>1.095</v>
          </cell>
          <cell r="Q591" t="str">
            <v/>
          </cell>
          <cell r="R591" t="e">
            <v>#N/A</v>
          </cell>
        </row>
        <row r="592">
          <cell r="A592">
            <v>40584</v>
          </cell>
          <cell r="B592">
            <v>40584</v>
          </cell>
          <cell r="C592" t="str">
            <v>Future</v>
          </cell>
          <cell r="D592" t="e">
            <v>#N/A</v>
          </cell>
          <cell r="E592">
            <v>1.028129770992366</v>
          </cell>
          <cell r="F592">
            <v>1.1221755725190843</v>
          </cell>
          <cell r="G592">
            <v>1.0745419847328261</v>
          </cell>
          <cell r="H592">
            <v>1.0745419847328261</v>
          </cell>
          <cell r="I592" t="e">
            <v>#N/A</v>
          </cell>
          <cell r="J592" t="e">
            <v>#N/A</v>
          </cell>
          <cell r="K592" t="e">
            <v>#N/A</v>
          </cell>
          <cell r="L592" t="e">
            <v>#N/A</v>
          </cell>
          <cell r="M592" t="e">
            <v>#N/A</v>
          </cell>
          <cell r="N592" t="e">
            <v>#N/A</v>
          </cell>
          <cell r="O592" t="e">
            <v>#N/A</v>
          </cell>
          <cell r="P592">
            <v>1.095</v>
          </cell>
          <cell r="Q592" t="str">
            <v/>
          </cell>
          <cell r="R592" t="e">
            <v>#N/A</v>
          </cell>
        </row>
        <row r="593">
          <cell r="A593">
            <v>40585</v>
          </cell>
          <cell r="B593">
            <v>40585</v>
          </cell>
          <cell r="C593" t="str">
            <v>Future</v>
          </cell>
          <cell r="D593" t="e">
            <v>#N/A</v>
          </cell>
          <cell r="E593">
            <v>1.0239503816793889</v>
          </cell>
          <cell r="F593">
            <v>1.1238740458015271</v>
          </cell>
          <cell r="G593">
            <v>1.0732633587786278</v>
          </cell>
          <cell r="H593">
            <v>1.0732633587786278</v>
          </cell>
          <cell r="I593" t="e">
            <v>#N/A</v>
          </cell>
          <cell r="J593" t="e">
            <v>#N/A</v>
          </cell>
          <cell r="K593" t="e">
            <v>#N/A</v>
          </cell>
          <cell r="L593" t="e">
            <v>#N/A</v>
          </cell>
          <cell r="M593" t="e">
            <v>#N/A</v>
          </cell>
          <cell r="N593" t="e">
            <v>#N/A</v>
          </cell>
          <cell r="O593" t="e">
            <v>#N/A</v>
          </cell>
          <cell r="P593">
            <v>1.095</v>
          </cell>
          <cell r="Q593" t="str">
            <v/>
          </cell>
          <cell r="R593" t="e">
            <v>#N/A</v>
          </cell>
        </row>
        <row r="594">
          <cell r="A594">
            <v>40588</v>
          </cell>
          <cell r="B594">
            <v>40588</v>
          </cell>
          <cell r="C594" t="str">
            <v>Future</v>
          </cell>
          <cell r="D594" t="e">
            <v>#N/A</v>
          </cell>
          <cell r="E594">
            <v>1.0197709923664118</v>
          </cell>
          <cell r="F594">
            <v>1.1255725190839698</v>
          </cell>
          <cell r="G594">
            <v>1.0719847328244294</v>
          </cell>
          <cell r="H594">
            <v>1.0719847328244294</v>
          </cell>
          <cell r="I594" t="e">
            <v>#N/A</v>
          </cell>
          <cell r="J594" t="e">
            <v>#N/A</v>
          </cell>
          <cell r="K594" t="e">
            <v>#N/A</v>
          </cell>
          <cell r="L594" t="e">
            <v>#N/A</v>
          </cell>
          <cell r="M594" t="e">
            <v>#N/A</v>
          </cell>
          <cell r="N594" t="e">
            <v>#N/A</v>
          </cell>
          <cell r="O594" t="e">
            <v>#N/A</v>
          </cell>
          <cell r="P594">
            <v>1.095</v>
          </cell>
          <cell r="Q594" t="str">
            <v/>
          </cell>
          <cell r="R594" t="e">
            <v>#N/A</v>
          </cell>
        </row>
        <row r="595">
          <cell r="A595">
            <v>40589</v>
          </cell>
          <cell r="B595">
            <v>40589</v>
          </cell>
          <cell r="C595" t="str">
            <v>Future</v>
          </cell>
          <cell r="D595" t="e">
            <v>#N/A</v>
          </cell>
          <cell r="E595">
            <v>1.0155916030534347</v>
          </cell>
          <cell r="F595">
            <v>1.1272709923664126</v>
          </cell>
          <cell r="G595">
            <v>1.070706106870231</v>
          </cell>
          <cell r="H595">
            <v>1.070706106870231</v>
          </cell>
          <cell r="I595" t="e">
            <v>#N/A</v>
          </cell>
          <cell r="J595" t="e">
            <v>#N/A</v>
          </cell>
          <cell r="K595" t="e">
            <v>#N/A</v>
          </cell>
          <cell r="L595" t="e">
            <v>#N/A</v>
          </cell>
          <cell r="M595" t="e">
            <v>#N/A</v>
          </cell>
          <cell r="N595" t="e">
            <v>#N/A</v>
          </cell>
          <cell r="O595" t="e">
            <v>#N/A</v>
          </cell>
          <cell r="P595">
            <v>1.095</v>
          </cell>
          <cell r="Q595" t="str">
            <v/>
          </cell>
          <cell r="R595" t="e">
            <v>#N/A</v>
          </cell>
        </row>
        <row r="596">
          <cell r="A596">
            <v>40590</v>
          </cell>
          <cell r="B596">
            <v>40590</v>
          </cell>
          <cell r="C596" t="str">
            <v>Future</v>
          </cell>
          <cell r="D596" t="e">
            <v>#N/A</v>
          </cell>
          <cell r="E596">
            <v>1.0114122137404575</v>
          </cell>
          <cell r="F596">
            <v>1.1289694656488554</v>
          </cell>
          <cell r="G596">
            <v>1.0694274809160327</v>
          </cell>
          <cell r="H596">
            <v>1.0694274809160327</v>
          </cell>
          <cell r="I596" t="e">
            <v>#N/A</v>
          </cell>
          <cell r="J596" t="e">
            <v>#N/A</v>
          </cell>
          <cell r="K596" t="e">
            <v>#N/A</v>
          </cell>
          <cell r="L596" t="e">
            <v>#N/A</v>
          </cell>
          <cell r="M596" t="e">
            <v>#N/A</v>
          </cell>
          <cell r="N596" t="e">
            <v>#N/A</v>
          </cell>
          <cell r="O596" t="e">
            <v>#N/A</v>
          </cell>
          <cell r="P596">
            <v>1.095</v>
          </cell>
          <cell r="Q596" t="str">
            <v/>
          </cell>
          <cell r="R596" t="e">
            <v>#N/A</v>
          </cell>
        </row>
        <row r="597">
          <cell r="A597">
            <v>40591</v>
          </cell>
          <cell r="B597">
            <v>40591</v>
          </cell>
          <cell r="C597" t="str">
            <v>Future</v>
          </cell>
          <cell r="D597" t="e">
            <v>#N/A</v>
          </cell>
          <cell r="E597">
            <v>1.0072328244274804</v>
          </cell>
          <cell r="F597">
            <v>1.1306679389312981</v>
          </cell>
          <cell r="G597">
            <v>1.0681488549618343</v>
          </cell>
          <cell r="H597">
            <v>1.0681488549618343</v>
          </cell>
          <cell r="I597" t="e">
            <v>#N/A</v>
          </cell>
          <cell r="J597" t="e">
            <v>#N/A</v>
          </cell>
          <cell r="K597" t="e">
            <v>#N/A</v>
          </cell>
          <cell r="L597" t="e">
            <v>#N/A</v>
          </cell>
          <cell r="M597" t="e">
            <v>#N/A</v>
          </cell>
          <cell r="N597" t="e">
            <v>#N/A</v>
          </cell>
          <cell r="O597" t="e">
            <v>#N/A</v>
          </cell>
          <cell r="P597">
            <v>1.095</v>
          </cell>
          <cell r="Q597" t="str">
            <v/>
          </cell>
          <cell r="R597" t="e">
            <v>#N/A</v>
          </cell>
        </row>
        <row r="598">
          <cell r="A598">
            <v>40592</v>
          </cell>
          <cell r="B598">
            <v>40592</v>
          </cell>
          <cell r="C598" t="str">
            <v>Future</v>
          </cell>
          <cell r="D598" t="e">
            <v>#N/A</v>
          </cell>
          <cell r="E598">
            <v>1.0030534351145033</v>
          </cell>
          <cell r="F598">
            <v>1.1323664122137409</v>
          </cell>
          <cell r="G598">
            <v>1.066870229007636</v>
          </cell>
          <cell r="H598">
            <v>1.066870229007636</v>
          </cell>
          <cell r="I598" t="e">
            <v>#N/A</v>
          </cell>
          <cell r="J598" t="e">
            <v>#N/A</v>
          </cell>
          <cell r="K598" t="e">
            <v>#N/A</v>
          </cell>
          <cell r="L598" t="e">
            <v>#N/A</v>
          </cell>
          <cell r="M598" t="e">
            <v>#N/A</v>
          </cell>
          <cell r="N598" t="e">
            <v>#N/A</v>
          </cell>
          <cell r="O598" t="e">
            <v>#N/A</v>
          </cell>
          <cell r="P598">
            <v>1.095</v>
          </cell>
          <cell r="Q598" t="str">
            <v/>
          </cell>
          <cell r="R598" t="e">
            <v>#N/A</v>
          </cell>
        </row>
        <row r="599">
          <cell r="A599">
            <v>40595</v>
          </cell>
          <cell r="B599">
            <v>40595</v>
          </cell>
          <cell r="C599" t="str">
            <v>Future</v>
          </cell>
          <cell r="D599" t="e">
            <v>#N/A</v>
          </cell>
          <cell r="E599">
            <v>0.99887404580152617</v>
          </cell>
          <cell r="F599">
            <v>1.1340648854961837</v>
          </cell>
          <cell r="G599">
            <v>1.0655916030534376</v>
          </cell>
          <cell r="H599">
            <v>1.0655916030534376</v>
          </cell>
          <cell r="I599" t="e">
            <v>#N/A</v>
          </cell>
          <cell r="J599" t="e">
            <v>#N/A</v>
          </cell>
          <cell r="K599" t="e">
            <v>#N/A</v>
          </cell>
          <cell r="L599" t="e">
            <v>#N/A</v>
          </cell>
          <cell r="M599" t="e">
            <v>#N/A</v>
          </cell>
          <cell r="N599" t="e">
            <v>#N/A</v>
          </cell>
          <cell r="O599" t="e">
            <v>#N/A</v>
          </cell>
          <cell r="P599">
            <v>1.095</v>
          </cell>
          <cell r="Q599" t="str">
            <v/>
          </cell>
          <cell r="R599" t="e">
            <v>#N/A</v>
          </cell>
        </row>
        <row r="600">
          <cell r="A600">
            <v>40596</v>
          </cell>
          <cell r="B600">
            <v>40596</v>
          </cell>
          <cell r="C600" t="str">
            <v>Future</v>
          </cell>
          <cell r="D600" t="e">
            <v>#N/A</v>
          </cell>
          <cell r="E600">
            <v>0.99469465648854904</v>
          </cell>
          <cell r="F600">
            <v>1.1357633587786264</v>
          </cell>
          <cell r="G600">
            <v>1.0643129770992392</v>
          </cell>
          <cell r="H600">
            <v>1.0643129770992392</v>
          </cell>
          <cell r="I600" t="e">
            <v>#N/A</v>
          </cell>
          <cell r="J600" t="e">
            <v>#N/A</v>
          </cell>
          <cell r="K600" t="e">
            <v>#N/A</v>
          </cell>
          <cell r="L600" t="e">
            <v>#N/A</v>
          </cell>
          <cell r="M600" t="e">
            <v>#N/A</v>
          </cell>
          <cell r="N600" t="e">
            <v>#N/A</v>
          </cell>
          <cell r="O600" t="e">
            <v>#N/A</v>
          </cell>
          <cell r="P600">
            <v>1.095</v>
          </cell>
          <cell r="Q600" t="str">
            <v/>
          </cell>
          <cell r="R600" t="e">
            <v>#N/A</v>
          </cell>
        </row>
        <row r="601">
          <cell r="A601">
            <v>40597</v>
          </cell>
          <cell r="B601">
            <v>40597</v>
          </cell>
          <cell r="C601" t="str">
            <v>Future</v>
          </cell>
          <cell r="D601" t="e">
            <v>#N/A</v>
          </cell>
          <cell r="E601">
            <v>0.99051526717557192</v>
          </cell>
          <cell r="F601">
            <v>1.1374618320610692</v>
          </cell>
          <cell r="G601">
            <v>1.0630343511450409</v>
          </cell>
          <cell r="H601">
            <v>1.0630343511450409</v>
          </cell>
          <cell r="I601" t="e">
            <v>#N/A</v>
          </cell>
          <cell r="J601" t="e">
            <v>#N/A</v>
          </cell>
          <cell r="K601" t="e">
            <v>#N/A</v>
          </cell>
          <cell r="L601" t="e">
            <v>#N/A</v>
          </cell>
          <cell r="M601" t="e">
            <v>#N/A</v>
          </cell>
          <cell r="N601" t="e">
            <v>#N/A</v>
          </cell>
          <cell r="O601" t="e">
            <v>#N/A</v>
          </cell>
          <cell r="P601">
            <v>1.095</v>
          </cell>
          <cell r="Q601" t="str">
            <v/>
          </cell>
          <cell r="R601" t="e">
            <v>#N/A</v>
          </cell>
        </row>
        <row r="602">
          <cell r="A602">
            <v>40598</v>
          </cell>
          <cell r="B602">
            <v>40598</v>
          </cell>
          <cell r="C602" t="str">
            <v>Future</v>
          </cell>
          <cell r="D602" t="e">
            <v>#N/A</v>
          </cell>
          <cell r="E602">
            <v>0.9863358778625948</v>
          </cell>
          <cell r="F602">
            <v>1.139160305343512</v>
          </cell>
          <cell r="G602">
            <v>1.0617557251908425</v>
          </cell>
          <cell r="H602">
            <v>1.0617557251908425</v>
          </cell>
          <cell r="I602" t="e">
            <v>#N/A</v>
          </cell>
          <cell r="J602" t="e">
            <v>#N/A</v>
          </cell>
          <cell r="K602" t="e">
            <v>#N/A</v>
          </cell>
          <cell r="L602" t="e">
            <v>#N/A</v>
          </cell>
          <cell r="M602" t="e">
            <v>#N/A</v>
          </cell>
          <cell r="N602" t="e">
            <v>#N/A</v>
          </cell>
          <cell r="O602" t="e">
            <v>#N/A</v>
          </cell>
          <cell r="P602">
            <v>1.095</v>
          </cell>
          <cell r="Q602" t="str">
            <v/>
          </cell>
          <cell r="R602" t="e">
            <v>#N/A</v>
          </cell>
        </row>
        <row r="603">
          <cell r="A603">
            <v>40599</v>
          </cell>
          <cell r="B603">
            <v>40599</v>
          </cell>
          <cell r="C603" t="str">
            <v>Future</v>
          </cell>
          <cell r="D603" t="e">
            <v>#N/A</v>
          </cell>
          <cell r="E603">
            <v>0.98215648854961768</v>
          </cell>
          <cell r="F603">
            <v>1.1408587786259548</v>
          </cell>
          <cell r="G603">
            <v>1.0604770992366441</v>
          </cell>
          <cell r="H603">
            <v>1.0604770992366441</v>
          </cell>
          <cell r="I603" t="e">
            <v>#N/A</v>
          </cell>
          <cell r="J603" t="e">
            <v>#N/A</v>
          </cell>
          <cell r="K603" t="e">
            <v>#N/A</v>
          </cell>
          <cell r="L603" t="e">
            <v>#N/A</v>
          </cell>
          <cell r="M603" t="e">
            <v>#N/A</v>
          </cell>
          <cell r="N603" t="e">
            <v>#N/A</v>
          </cell>
          <cell r="O603" t="e">
            <v>#N/A</v>
          </cell>
          <cell r="P603">
            <v>1.095</v>
          </cell>
          <cell r="Q603" t="str">
            <v/>
          </cell>
          <cell r="R603" t="e">
            <v>#N/A</v>
          </cell>
        </row>
        <row r="604">
          <cell r="A604">
            <v>40602</v>
          </cell>
          <cell r="B604">
            <v>40602</v>
          </cell>
          <cell r="C604" t="str">
            <v>Future</v>
          </cell>
          <cell r="D604" t="e">
            <v>#N/A</v>
          </cell>
          <cell r="E604">
            <v>0.97797709923664056</v>
          </cell>
          <cell r="F604">
            <v>1.1425572519083975</v>
          </cell>
          <cell r="G604">
            <v>1.0591984732824458</v>
          </cell>
          <cell r="H604">
            <v>1.0591984732824458</v>
          </cell>
          <cell r="I604" t="e">
            <v>#N/A</v>
          </cell>
          <cell r="J604" t="e">
            <v>#N/A</v>
          </cell>
          <cell r="K604" t="e">
            <v>#N/A</v>
          </cell>
          <cell r="L604" t="e">
            <v>#N/A</v>
          </cell>
          <cell r="M604" t="e">
            <v>#N/A</v>
          </cell>
          <cell r="N604" t="e">
            <v>#N/A</v>
          </cell>
          <cell r="O604" t="e">
            <v>#N/A</v>
          </cell>
          <cell r="P604">
            <v>1.095</v>
          </cell>
          <cell r="Q604" t="str">
            <v/>
          </cell>
          <cell r="R604" t="e">
            <v>#N/A</v>
          </cell>
        </row>
        <row r="605">
          <cell r="A605">
            <v>40603</v>
          </cell>
          <cell r="B605">
            <v>40603</v>
          </cell>
          <cell r="C605" t="str">
            <v>Future</v>
          </cell>
          <cell r="D605" t="e">
            <v>#N/A</v>
          </cell>
          <cell r="E605">
            <v>0.97379770992366343</v>
          </cell>
          <cell r="F605">
            <v>1.1442557251908403</v>
          </cell>
          <cell r="G605">
            <v>1.0579198473282474</v>
          </cell>
          <cell r="H605">
            <v>1.0579198473282474</v>
          </cell>
          <cell r="I605" t="e">
            <v>#N/A</v>
          </cell>
          <cell r="J605" t="e">
            <v>#N/A</v>
          </cell>
          <cell r="K605" t="e">
            <v>#N/A</v>
          </cell>
          <cell r="L605" t="e">
            <v>#N/A</v>
          </cell>
          <cell r="M605" t="e">
            <v>#N/A</v>
          </cell>
          <cell r="N605" t="e">
            <v>#N/A</v>
          </cell>
          <cell r="O605" t="e">
            <v>#N/A</v>
          </cell>
          <cell r="P605">
            <v>1.095</v>
          </cell>
          <cell r="Q605" t="str">
            <v/>
          </cell>
          <cell r="R605" t="e">
            <v>#N/A</v>
          </cell>
        </row>
        <row r="606">
          <cell r="A606">
            <v>40604</v>
          </cell>
          <cell r="B606">
            <v>40604</v>
          </cell>
          <cell r="C606" t="str">
            <v>Future</v>
          </cell>
          <cell r="D606" t="e">
            <v>#N/A</v>
          </cell>
          <cell r="E606">
            <v>0.96961832061068631</v>
          </cell>
          <cell r="F606">
            <v>1.1459541984732831</v>
          </cell>
          <cell r="G606">
            <v>1.056641221374049</v>
          </cell>
          <cell r="H606">
            <v>1.056641221374049</v>
          </cell>
          <cell r="I606" t="e">
            <v>#N/A</v>
          </cell>
          <cell r="J606" t="e">
            <v>#N/A</v>
          </cell>
          <cell r="K606" t="e">
            <v>#N/A</v>
          </cell>
          <cell r="L606" t="e">
            <v>#N/A</v>
          </cell>
          <cell r="M606" t="e">
            <v>#N/A</v>
          </cell>
          <cell r="N606" t="e">
            <v>#N/A</v>
          </cell>
          <cell r="O606" t="e">
            <v>#N/A</v>
          </cell>
          <cell r="P606">
            <v>1.095</v>
          </cell>
          <cell r="Q606" t="str">
            <v/>
          </cell>
          <cell r="R606" t="e">
            <v>#N/A</v>
          </cell>
        </row>
        <row r="607">
          <cell r="A607">
            <v>40605</v>
          </cell>
          <cell r="B607">
            <v>40605</v>
          </cell>
          <cell r="C607" t="str">
            <v>Future</v>
          </cell>
          <cell r="D607" t="e">
            <v>#N/A</v>
          </cell>
          <cell r="E607">
            <v>0.96543893129770919</v>
          </cell>
          <cell r="F607">
            <v>1.1476526717557258</v>
          </cell>
          <cell r="G607">
            <v>1.0553625954198507</v>
          </cell>
          <cell r="H607">
            <v>1.0553625954198507</v>
          </cell>
          <cell r="I607" t="e">
            <v>#N/A</v>
          </cell>
          <cell r="J607" t="e">
            <v>#N/A</v>
          </cell>
          <cell r="K607" t="e">
            <v>#N/A</v>
          </cell>
          <cell r="L607" t="e">
            <v>#N/A</v>
          </cell>
          <cell r="M607" t="e">
            <v>#N/A</v>
          </cell>
          <cell r="N607" t="e">
            <v>#N/A</v>
          </cell>
          <cell r="O607" t="e">
            <v>#N/A</v>
          </cell>
          <cell r="P607">
            <v>1.095</v>
          </cell>
          <cell r="Q607" t="str">
            <v/>
          </cell>
          <cell r="R607" t="e">
            <v>#N/A</v>
          </cell>
        </row>
        <row r="608">
          <cell r="A608">
            <v>40606</v>
          </cell>
          <cell r="B608">
            <v>40606</v>
          </cell>
          <cell r="C608" t="str">
            <v>Future</v>
          </cell>
          <cell r="D608" t="e">
            <v>#N/A</v>
          </cell>
          <cell r="E608">
            <v>0.96125954198473207</v>
          </cell>
          <cell r="F608">
            <v>1.1493511450381686</v>
          </cell>
          <cell r="G608">
            <v>1.0540839694656523</v>
          </cell>
          <cell r="H608">
            <v>1.0540839694656523</v>
          </cell>
          <cell r="I608" t="e">
            <v>#N/A</v>
          </cell>
          <cell r="J608" t="e">
            <v>#N/A</v>
          </cell>
          <cell r="K608" t="e">
            <v>#N/A</v>
          </cell>
          <cell r="L608" t="e">
            <v>#N/A</v>
          </cell>
          <cell r="M608" t="e">
            <v>#N/A</v>
          </cell>
          <cell r="N608" t="e">
            <v>#N/A</v>
          </cell>
          <cell r="O608" t="e">
            <v>#N/A</v>
          </cell>
          <cell r="P608">
            <v>1.095</v>
          </cell>
          <cell r="Q608" t="str">
            <v/>
          </cell>
          <cell r="R608" t="e">
            <v>#N/A</v>
          </cell>
        </row>
        <row r="609">
          <cell r="A609">
            <v>40609</v>
          </cell>
          <cell r="B609">
            <v>40609</v>
          </cell>
          <cell r="C609" t="str">
            <v>Future</v>
          </cell>
          <cell r="D609" t="e">
            <v>#N/A</v>
          </cell>
          <cell r="E609">
            <v>0.95708015267175495</v>
          </cell>
          <cell r="F609">
            <v>1.1510496183206114</v>
          </cell>
          <cell r="G609">
            <v>1.0528053435114539</v>
          </cell>
          <cell r="H609">
            <v>1.0528053435114539</v>
          </cell>
          <cell r="I609" t="e">
            <v>#N/A</v>
          </cell>
          <cell r="J609" t="e">
            <v>#N/A</v>
          </cell>
          <cell r="K609" t="e">
            <v>#N/A</v>
          </cell>
          <cell r="L609" t="e">
            <v>#N/A</v>
          </cell>
          <cell r="M609" t="e">
            <v>#N/A</v>
          </cell>
          <cell r="N609" t="e">
            <v>#N/A</v>
          </cell>
          <cell r="O609" t="e">
            <v>#N/A</v>
          </cell>
          <cell r="P609">
            <v>1.095</v>
          </cell>
          <cell r="Q609" t="str">
            <v/>
          </cell>
          <cell r="R609" t="e">
            <v>#N/A</v>
          </cell>
        </row>
        <row r="610">
          <cell r="A610">
            <v>40610</v>
          </cell>
          <cell r="B610">
            <v>40610</v>
          </cell>
          <cell r="C610" t="str">
            <v>Future</v>
          </cell>
          <cell r="D610" t="e">
            <v>#N/A</v>
          </cell>
          <cell r="E610">
            <v>0.95290076335877782</v>
          </cell>
          <cell r="F610">
            <v>1.1527480916030541</v>
          </cell>
          <cell r="G610">
            <v>1.0515267175572556</v>
          </cell>
          <cell r="H610">
            <v>1.0515267175572556</v>
          </cell>
          <cell r="I610" t="e">
            <v>#N/A</v>
          </cell>
          <cell r="J610" t="e">
            <v>#N/A</v>
          </cell>
          <cell r="K610" t="e">
            <v>#N/A</v>
          </cell>
          <cell r="L610" t="e">
            <v>#N/A</v>
          </cell>
          <cell r="M610" t="e">
            <v>#N/A</v>
          </cell>
          <cell r="N610" t="e">
            <v>#N/A</v>
          </cell>
          <cell r="O610" t="e">
            <v>#N/A</v>
          </cell>
          <cell r="P610">
            <v>1.095</v>
          </cell>
          <cell r="Q610" t="str">
            <v/>
          </cell>
          <cell r="R610" t="e">
            <v>#N/A</v>
          </cell>
        </row>
        <row r="611">
          <cell r="A611">
            <v>40611</v>
          </cell>
          <cell r="B611">
            <v>40611</v>
          </cell>
          <cell r="C611" t="str">
            <v>Future</v>
          </cell>
          <cell r="D611" t="e">
            <v>#N/A</v>
          </cell>
          <cell r="E611">
            <v>0.9487213740458007</v>
          </cell>
          <cell r="F611">
            <v>1.1544465648854969</v>
          </cell>
          <cell r="G611">
            <v>1.0502480916030572</v>
          </cell>
          <cell r="H611">
            <v>1.0502480916030572</v>
          </cell>
          <cell r="I611" t="e">
            <v>#N/A</v>
          </cell>
          <cell r="J611" t="e">
            <v>#N/A</v>
          </cell>
          <cell r="K611" t="e">
            <v>#N/A</v>
          </cell>
          <cell r="L611" t="e">
            <v>#N/A</v>
          </cell>
          <cell r="M611" t="e">
            <v>#N/A</v>
          </cell>
          <cell r="N611" t="e">
            <v>#N/A</v>
          </cell>
          <cell r="O611" t="e">
            <v>#N/A</v>
          </cell>
          <cell r="P611">
            <v>1.095</v>
          </cell>
          <cell r="Q611" t="str">
            <v/>
          </cell>
          <cell r="R611" t="e">
            <v>#N/A</v>
          </cell>
        </row>
        <row r="612">
          <cell r="A612">
            <v>40612</v>
          </cell>
          <cell r="B612">
            <v>40612</v>
          </cell>
          <cell r="C612" t="str">
            <v>Future</v>
          </cell>
          <cell r="D612" t="e">
            <v>#N/A</v>
          </cell>
          <cell r="E612">
            <v>0.94454198473282358</v>
          </cell>
          <cell r="F612">
            <v>1.1561450381679397</v>
          </cell>
          <cell r="G612">
            <v>1.0489694656488588</v>
          </cell>
          <cell r="H612">
            <v>1.0489694656488588</v>
          </cell>
          <cell r="I612" t="e">
            <v>#N/A</v>
          </cell>
          <cell r="J612" t="e">
            <v>#N/A</v>
          </cell>
          <cell r="K612" t="e">
            <v>#N/A</v>
          </cell>
          <cell r="L612" t="e">
            <v>#N/A</v>
          </cell>
          <cell r="M612" t="e">
            <v>#N/A</v>
          </cell>
          <cell r="N612" t="e">
            <v>#N/A</v>
          </cell>
          <cell r="O612" t="e">
            <v>#N/A</v>
          </cell>
          <cell r="P612">
            <v>1.095</v>
          </cell>
          <cell r="Q612" t="str">
            <v/>
          </cell>
          <cell r="R612" t="e">
            <v>#N/A</v>
          </cell>
        </row>
        <row r="613">
          <cell r="A613">
            <v>40613</v>
          </cell>
          <cell r="B613">
            <v>40613</v>
          </cell>
          <cell r="C613" t="str">
            <v>Future</v>
          </cell>
          <cell r="D613" t="e">
            <v>#N/A</v>
          </cell>
          <cell r="E613">
            <v>0.94036259541984646</v>
          </cell>
          <cell r="F613">
            <v>1.1578435114503824</v>
          </cell>
          <cell r="G613">
            <v>1.0476908396946605</v>
          </cell>
          <cell r="H613">
            <v>1.0476908396946605</v>
          </cell>
          <cell r="I613" t="e">
            <v>#N/A</v>
          </cell>
          <cell r="J613" t="e">
            <v>#N/A</v>
          </cell>
          <cell r="K613" t="e">
            <v>#N/A</v>
          </cell>
          <cell r="L613" t="e">
            <v>#N/A</v>
          </cell>
          <cell r="M613" t="e">
            <v>#N/A</v>
          </cell>
          <cell r="N613" t="e">
            <v>#N/A</v>
          </cell>
          <cell r="O613" t="e">
            <v>#N/A</v>
          </cell>
          <cell r="P613">
            <v>1.095</v>
          </cell>
          <cell r="Q613" t="str">
            <v/>
          </cell>
          <cell r="R613" t="e">
            <v>#N/A</v>
          </cell>
        </row>
        <row r="614">
          <cell r="A614">
            <v>40616</v>
          </cell>
          <cell r="B614">
            <v>40616</v>
          </cell>
          <cell r="C614" t="str">
            <v>Future</v>
          </cell>
          <cell r="D614" t="e">
            <v>#N/A</v>
          </cell>
          <cell r="E614">
            <v>0.93618320610686934</v>
          </cell>
          <cell r="F614">
            <v>1.1595419847328252</v>
          </cell>
          <cell r="G614">
            <v>1.0464122137404621</v>
          </cell>
          <cell r="H614">
            <v>1.0464122137404621</v>
          </cell>
          <cell r="I614" t="e">
            <v>#N/A</v>
          </cell>
          <cell r="J614" t="e">
            <v>#N/A</v>
          </cell>
          <cell r="K614" t="e">
            <v>#N/A</v>
          </cell>
          <cell r="L614" t="e">
            <v>#N/A</v>
          </cell>
          <cell r="M614" t="e">
            <v>#N/A</v>
          </cell>
          <cell r="N614" t="e">
            <v>#N/A</v>
          </cell>
          <cell r="O614" t="e">
            <v>#N/A</v>
          </cell>
          <cell r="P614">
            <v>1.095</v>
          </cell>
          <cell r="Q614" t="str">
            <v/>
          </cell>
          <cell r="R614" t="e">
            <v>#N/A</v>
          </cell>
        </row>
        <row r="615">
          <cell r="A615">
            <v>40617</v>
          </cell>
          <cell r="B615">
            <v>40617</v>
          </cell>
          <cell r="C615" t="str">
            <v>Future</v>
          </cell>
          <cell r="D615" t="e">
            <v>#N/A</v>
          </cell>
          <cell r="E615">
            <v>0.93200381679389221</v>
          </cell>
          <cell r="F615">
            <v>1.161240458015268</v>
          </cell>
          <cell r="G615">
            <v>1.0451335877862638</v>
          </cell>
          <cell r="H615">
            <v>1.0451335877862638</v>
          </cell>
          <cell r="I615" t="e">
            <v>#N/A</v>
          </cell>
          <cell r="J615" t="e">
            <v>#N/A</v>
          </cell>
          <cell r="K615" t="e">
            <v>#N/A</v>
          </cell>
          <cell r="L615" t="e">
            <v>#N/A</v>
          </cell>
          <cell r="M615" t="e">
            <v>#N/A</v>
          </cell>
          <cell r="N615" t="e">
            <v>#N/A</v>
          </cell>
          <cell r="O615" t="e">
            <v>#N/A</v>
          </cell>
          <cell r="P615">
            <v>1.095</v>
          </cell>
          <cell r="Q615" t="str">
            <v/>
          </cell>
          <cell r="R615" t="e">
            <v>#N/A</v>
          </cell>
        </row>
        <row r="616">
          <cell r="A616">
            <v>40618</v>
          </cell>
          <cell r="B616">
            <v>40618</v>
          </cell>
          <cell r="C616" t="str">
            <v>Future</v>
          </cell>
          <cell r="D616" t="e">
            <v>#N/A</v>
          </cell>
          <cell r="E616">
            <v>0.92782442748091509</v>
          </cell>
          <cell r="F616">
            <v>1.1629389312977108</v>
          </cell>
          <cell r="G616">
            <v>1.0438549618320654</v>
          </cell>
          <cell r="H616">
            <v>1.0438549618320654</v>
          </cell>
          <cell r="I616" t="e">
            <v>#N/A</v>
          </cell>
          <cell r="J616" t="e">
            <v>#N/A</v>
          </cell>
          <cell r="K616" t="e">
            <v>#N/A</v>
          </cell>
          <cell r="L616" t="e">
            <v>#N/A</v>
          </cell>
          <cell r="M616" t="e">
            <v>#N/A</v>
          </cell>
          <cell r="N616" t="e">
            <v>#N/A</v>
          </cell>
          <cell r="O616" t="e">
            <v>#N/A</v>
          </cell>
          <cell r="P616">
            <v>1.095</v>
          </cell>
          <cell r="Q616" t="str">
            <v/>
          </cell>
          <cell r="R616" t="e">
            <v>#N/A</v>
          </cell>
        </row>
        <row r="617">
          <cell r="A617">
            <v>40619</v>
          </cell>
          <cell r="B617">
            <v>40619</v>
          </cell>
          <cell r="C617" t="str">
            <v>Future</v>
          </cell>
          <cell r="D617" t="e">
            <v>#N/A</v>
          </cell>
          <cell r="E617">
            <v>0.92364503816793797</v>
          </cell>
          <cell r="F617">
            <v>1.1646374045801535</v>
          </cell>
          <cell r="G617">
            <v>1.042576335877867</v>
          </cell>
          <cell r="H617">
            <v>1.042576335877867</v>
          </cell>
          <cell r="I617" t="e">
            <v>#N/A</v>
          </cell>
          <cell r="J617" t="e">
            <v>#N/A</v>
          </cell>
          <cell r="K617" t="e">
            <v>#N/A</v>
          </cell>
          <cell r="L617" t="e">
            <v>#N/A</v>
          </cell>
          <cell r="M617" t="e">
            <v>#N/A</v>
          </cell>
          <cell r="N617" t="e">
            <v>#N/A</v>
          </cell>
          <cell r="O617" t="e">
            <v>#N/A</v>
          </cell>
          <cell r="P617">
            <v>1.095</v>
          </cell>
          <cell r="Q617" t="str">
            <v/>
          </cell>
          <cell r="R617" t="e">
            <v>#N/A</v>
          </cell>
        </row>
        <row r="618">
          <cell r="A618">
            <v>40620</v>
          </cell>
          <cell r="B618">
            <v>40620</v>
          </cell>
          <cell r="C618" t="str">
            <v>Future</v>
          </cell>
          <cell r="D618" t="e">
            <v>#N/A</v>
          </cell>
          <cell r="E618">
            <v>0.91946564885496085</v>
          </cell>
          <cell r="F618">
            <v>1.1663358778625963</v>
          </cell>
          <cell r="G618">
            <v>1.0412977099236687</v>
          </cell>
          <cell r="H618">
            <v>1.0412977099236687</v>
          </cell>
          <cell r="I618" t="e">
            <v>#N/A</v>
          </cell>
          <cell r="J618" t="e">
            <v>#N/A</v>
          </cell>
          <cell r="K618" t="e">
            <v>#N/A</v>
          </cell>
          <cell r="L618" t="e">
            <v>#N/A</v>
          </cell>
          <cell r="M618" t="e">
            <v>#N/A</v>
          </cell>
          <cell r="N618" t="e">
            <v>#N/A</v>
          </cell>
          <cell r="O618" t="e">
            <v>#N/A</v>
          </cell>
          <cell r="P618">
            <v>1.095</v>
          </cell>
          <cell r="Q618" t="str">
            <v/>
          </cell>
          <cell r="R618" t="e">
            <v>#N/A</v>
          </cell>
        </row>
        <row r="619">
          <cell r="A619">
            <v>40623</v>
          </cell>
          <cell r="B619">
            <v>40623</v>
          </cell>
          <cell r="C619" t="str">
            <v>Future</v>
          </cell>
          <cell r="D619" t="e">
            <v>#N/A</v>
          </cell>
          <cell r="E619">
            <v>0.91528625954198373</v>
          </cell>
          <cell r="F619">
            <v>1.1680343511450391</v>
          </cell>
          <cell r="G619">
            <v>1.0400190839694703</v>
          </cell>
          <cell r="H619">
            <v>1.0400190839694703</v>
          </cell>
          <cell r="I619" t="e">
            <v>#N/A</v>
          </cell>
          <cell r="J619" t="e">
            <v>#N/A</v>
          </cell>
          <cell r="K619" t="e">
            <v>#N/A</v>
          </cell>
          <cell r="L619" t="e">
            <v>#N/A</v>
          </cell>
          <cell r="M619" t="e">
            <v>#N/A</v>
          </cell>
          <cell r="N619" t="e">
            <v>#N/A</v>
          </cell>
          <cell r="O619" t="e">
            <v>#N/A</v>
          </cell>
          <cell r="P619">
            <v>1.095</v>
          </cell>
          <cell r="Q619" t="str">
            <v/>
          </cell>
          <cell r="R619" t="e">
            <v>#N/A</v>
          </cell>
        </row>
        <row r="620">
          <cell r="A620">
            <v>40624</v>
          </cell>
          <cell r="B620">
            <v>40624</v>
          </cell>
          <cell r="C620" t="str">
            <v>Future</v>
          </cell>
          <cell r="D620" t="e">
            <v>#N/A</v>
          </cell>
          <cell r="E620">
            <v>0.9111068702290066</v>
          </cell>
          <cell r="F620">
            <v>1.1697328244274818</v>
          </cell>
          <cell r="G620">
            <v>1.0387404580152719</v>
          </cell>
          <cell r="H620">
            <v>1.0387404580152719</v>
          </cell>
          <cell r="I620" t="e">
            <v>#N/A</v>
          </cell>
          <cell r="J620" t="e">
            <v>#N/A</v>
          </cell>
          <cell r="K620" t="e">
            <v>#N/A</v>
          </cell>
          <cell r="L620" t="e">
            <v>#N/A</v>
          </cell>
          <cell r="M620" t="e">
            <v>#N/A</v>
          </cell>
          <cell r="N620" t="e">
            <v>#N/A</v>
          </cell>
          <cell r="O620" t="e">
            <v>#N/A</v>
          </cell>
          <cell r="P620">
            <v>1.095</v>
          </cell>
          <cell r="Q620" t="str">
            <v/>
          </cell>
          <cell r="R620" t="e">
            <v>#N/A</v>
          </cell>
        </row>
        <row r="621">
          <cell r="A621">
            <v>40625</v>
          </cell>
          <cell r="B621">
            <v>40625</v>
          </cell>
          <cell r="C621" t="str">
            <v>Future</v>
          </cell>
          <cell r="D621" t="e">
            <v>#N/A</v>
          </cell>
          <cell r="E621">
            <v>0.90692748091602948</v>
          </cell>
          <cell r="F621">
            <v>1.1714312977099246</v>
          </cell>
          <cell r="G621">
            <v>1.0374618320610736</v>
          </cell>
          <cell r="H621">
            <v>1.0374618320610736</v>
          </cell>
          <cell r="I621" t="e">
            <v>#N/A</v>
          </cell>
          <cell r="J621" t="e">
            <v>#N/A</v>
          </cell>
          <cell r="K621" t="e">
            <v>#N/A</v>
          </cell>
          <cell r="L621" t="e">
            <v>#N/A</v>
          </cell>
          <cell r="M621" t="e">
            <v>#N/A</v>
          </cell>
          <cell r="N621" t="e">
            <v>#N/A</v>
          </cell>
          <cell r="O621" t="e">
            <v>#N/A</v>
          </cell>
          <cell r="P621">
            <v>1.095</v>
          </cell>
          <cell r="Q621" t="str">
            <v/>
          </cell>
          <cell r="R621" t="e">
            <v>#N/A</v>
          </cell>
        </row>
        <row r="622">
          <cell r="A622">
            <v>40626</v>
          </cell>
          <cell r="B622">
            <v>40626</v>
          </cell>
          <cell r="C622" t="str">
            <v>Future</v>
          </cell>
          <cell r="D622" t="e">
            <v>#N/A</v>
          </cell>
          <cell r="E622">
            <v>0.90274809160305236</v>
          </cell>
          <cell r="F622">
            <v>1.1731297709923674</v>
          </cell>
          <cell r="G622">
            <v>1.0361832061068752</v>
          </cell>
          <cell r="H622">
            <v>1.0361832061068752</v>
          </cell>
          <cell r="I622" t="e">
            <v>#N/A</v>
          </cell>
          <cell r="J622" t="e">
            <v>#N/A</v>
          </cell>
          <cell r="K622" t="e">
            <v>#N/A</v>
          </cell>
          <cell r="L622" t="e">
            <v>#N/A</v>
          </cell>
          <cell r="M622" t="e">
            <v>#N/A</v>
          </cell>
          <cell r="N622" t="e">
            <v>#N/A</v>
          </cell>
          <cell r="O622" t="e">
            <v>#N/A</v>
          </cell>
          <cell r="P622">
            <v>1.095</v>
          </cell>
          <cell r="Q622" t="str">
            <v/>
          </cell>
          <cell r="R622" t="e">
            <v>#N/A</v>
          </cell>
        </row>
        <row r="623">
          <cell r="A623">
            <v>40627</v>
          </cell>
          <cell r="B623">
            <v>40627</v>
          </cell>
          <cell r="C623" t="str">
            <v>Future</v>
          </cell>
          <cell r="D623" t="e">
            <v>#N/A</v>
          </cell>
          <cell r="E623">
            <v>0.89856870229007524</v>
          </cell>
          <cell r="F623">
            <v>1.1748282442748101</v>
          </cell>
          <cell r="G623">
            <v>1.0349045801526768</v>
          </cell>
          <cell r="H623">
            <v>1.0349045801526768</v>
          </cell>
          <cell r="I623" t="e">
            <v>#N/A</v>
          </cell>
          <cell r="J623" t="e">
            <v>#N/A</v>
          </cell>
          <cell r="K623" t="e">
            <v>#N/A</v>
          </cell>
          <cell r="L623" t="e">
            <v>#N/A</v>
          </cell>
          <cell r="M623" t="e">
            <v>#N/A</v>
          </cell>
          <cell r="N623" t="e">
            <v>#N/A</v>
          </cell>
          <cell r="O623" t="e">
            <v>#N/A</v>
          </cell>
          <cell r="P623">
            <v>1.095</v>
          </cell>
          <cell r="Q623" t="str">
            <v/>
          </cell>
          <cell r="R623" t="e">
            <v>#N/A</v>
          </cell>
        </row>
        <row r="624">
          <cell r="A624">
            <v>40630</v>
          </cell>
          <cell r="B624">
            <v>40630</v>
          </cell>
          <cell r="C624" t="str">
            <v>Future</v>
          </cell>
          <cell r="D624" t="e">
            <v>#N/A</v>
          </cell>
          <cell r="E624">
            <v>0.89438931297709812</v>
          </cell>
          <cell r="F624">
            <v>1.1765267175572529</v>
          </cell>
          <cell r="G624">
            <v>1.0336259541984785</v>
          </cell>
          <cell r="H624">
            <v>1.0336259541984785</v>
          </cell>
          <cell r="I624" t="e">
            <v>#N/A</v>
          </cell>
          <cell r="J624" t="e">
            <v>#N/A</v>
          </cell>
          <cell r="K624" t="e">
            <v>#N/A</v>
          </cell>
          <cell r="L624" t="e">
            <v>#N/A</v>
          </cell>
          <cell r="M624" t="e">
            <v>#N/A</v>
          </cell>
          <cell r="N624" t="e">
            <v>#N/A</v>
          </cell>
          <cell r="O624" t="e">
            <v>#N/A</v>
          </cell>
          <cell r="P624">
            <v>1.095</v>
          </cell>
          <cell r="Q624" t="str">
            <v/>
          </cell>
          <cell r="R624" t="e">
            <v>#N/A</v>
          </cell>
        </row>
        <row r="625">
          <cell r="A625">
            <v>40631</v>
          </cell>
          <cell r="B625">
            <v>40631</v>
          </cell>
          <cell r="C625" t="str">
            <v>Future</v>
          </cell>
          <cell r="D625" t="e">
            <v>#N/A</v>
          </cell>
          <cell r="E625">
            <v>0.89020992366412099</v>
          </cell>
          <cell r="F625">
            <v>1.1782251908396957</v>
          </cell>
          <cell r="G625">
            <v>1.0323473282442801</v>
          </cell>
          <cell r="H625">
            <v>1.0323473282442801</v>
          </cell>
          <cell r="I625" t="e">
            <v>#N/A</v>
          </cell>
          <cell r="J625" t="e">
            <v>#N/A</v>
          </cell>
          <cell r="K625" t="e">
            <v>#N/A</v>
          </cell>
          <cell r="L625" t="e">
            <v>#N/A</v>
          </cell>
          <cell r="M625" t="e">
            <v>#N/A</v>
          </cell>
          <cell r="N625" t="e">
            <v>#N/A</v>
          </cell>
          <cell r="O625" t="e">
            <v>#N/A</v>
          </cell>
          <cell r="P625">
            <v>1.095</v>
          </cell>
          <cell r="Q625" t="str">
            <v/>
          </cell>
          <cell r="R625" t="e">
            <v>#N/A</v>
          </cell>
        </row>
        <row r="626">
          <cell r="A626">
            <v>40632</v>
          </cell>
          <cell r="B626">
            <v>40632</v>
          </cell>
          <cell r="C626" t="str">
            <v>Future</v>
          </cell>
          <cell r="D626" t="e">
            <v>#N/A</v>
          </cell>
          <cell r="E626">
            <v>0.88603053435114387</v>
          </cell>
          <cell r="F626">
            <v>1.1799236641221384</v>
          </cell>
          <cell r="G626">
            <v>1.0310687022900817</v>
          </cell>
          <cell r="H626">
            <v>1.0310687022900817</v>
          </cell>
          <cell r="I626" t="e">
            <v>#N/A</v>
          </cell>
          <cell r="J626" t="e">
            <v>#N/A</v>
          </cell>
          <cell r="K626" t="e">
            <v>#N/A</v>
          </cell>
          <cell r="L626" t="e">
            <v>#N/A</v>
          </cell>
          <cell r="M626" t="e">
            <v>#N/A</v>
          </cell>
          <cell r="N626" t="e">
            <v>#N/A</v>
          </cell>
          <cell r="O626" t="e">
            <v>#N/A</v>
          </cell>
          <cell r="P626">
            <v>1.095</v>
          </cell>
          <cell r="Q626" t="str">
            <v/>
          </cell>
          <cell r="R626" t="e">
            <v>#N/A</v>
          </cell>
        </row>
        <row r="627">
          <cell r="A627">
            <v>40633</v>
          </cell>
          <cell r="B627">
            <v>40633</v>
          </cell>
          <cell r="C627" t="str">
            <v>Future</v>
          </cell>
          <cell r="D627" t="e">
            <v>#N/A</v>
          </cell>
          <cell r="E627">
            <v>0.88185114503816675</v>
          </cell>
          <cell r="F627">
            <v>1.1816221374045812</v>
          </cell>
          <cell r="G627">
            <v>1.0297900763358834</v>
          </cell>
          <cell r="H627">
            <v>1.0297900763358834</v>
          </cell>
          <cell r="I627" t="e">
            <v>#N/A</v>
          </cell>
          <cell r="J627" t="e">
            <v>#N/A</v>
          </cell>
          <cell r="K627" t="e">
            <v>#N/A</v>
          </cell>
          <cell r="L627" t="e">
            <v>#N/A</v>
          </cell>
          <cell r="M627" t="e">
            <v>#N/A</v>
          </cell>
          <cell r="N627" t="e">
            <v>#N/A</v>
          </cell>
          <cell r="O627" t="e">
            <v>#N/A</v>
          </cell>
          <cell r="P627">
            <v>1.095</v>
          </cell>
          <cell r="Q627" t="str">
            <v/>
          </cell>
          <cell r="R627" t="e">
            <v>#N/A</v>
          </cell>
        </row>
        <row r="628">
          <cell r="A628">
            <v>40634</v>
          </cell>
          <cell r="B628">
            <v>40634</v>
          </cell>
          <cell r="C628" t="str">
            <v>Future</v>
          </cell>
          <cell r="D628" t="e">
            <v>#N/A</v>
          </cell>
          <cell r="E628">
            <v>0.87767175572518963</v>
          </cell>
          <cell r="F628">
            <v>1.183320610687024</v>
          </cell>
          <cell r="G628">
            <v>1.028511450381685</v>
          </cell>
          <cell r="H628">
            <v>1.028511450381685</v>
          </cell>
          <cell r="I628" t="e">
            <v>#N/A</v>
          </cell>
          <cell r="J628" t="e">
            <v>#N/A</v>
          </cell>
          <cell r="K628" t="e">
            <v>#N/A</v>
          </cell>
          <cell r="L628" t="e">
            <v>#N/A</v>
          </cell>
          <cell r="M628" t="e">
            <v>#N/A</v>
          </cell>
          <cell r="N628" t="e">
            <v>#N/A</v>
          </cell>
          <cell r="O628" t="e">
            <v>#N/A</v>
          </cell>
          <cell r="P628">
            <v>1.095</v>
          </cell>
          <cell r="Q628" t="str">
            <v/>
          </cell>
          <cell r="R628" t="e">
            <v>#N/A</v>
          </cell>
        </row>
        <row r="629">
          <cell r="A629">
            <v>40637</v>
          </cell>
          <cell r="B629">
            <v>40637</v>
          </cell>
          <cell r="C629" t="str">
            <v>Future</v>
          </cell>
          <cell r="D629" t="e">
            <v>#N/A</v>
          </cell>
          <cell r="E629">
            <v>0.87349236641221251</v>
          </cell>
          <cell r="F629">
            <v>1.1850190839694668</v>
          </cell>
          <cell r="G629">
            <v>1.0272328244274866</v>
          </cell>
          <cell r="H629">
            <v>1.0272328244274866</v>
          </cell>
          <cell r="I629" t="e">
            <v>#N/A</v>
          </cell>
          <cell r="J629" t="e">
            <v>#N/A</v>
          </cell>
          <cell r="K629" t="e">
            <v>#N/A</v>
          </cell>
          <cell r="L629" t="e">
            <v>#N/A</v>
          </cell>
          <cell r="M629" t="e">
            <v>#N/A</v>
          </cell>
          <cell r="N629" t="e">
            <v>#N/A</v>
          </cell>
          <cell r="O629" t="e">
            <v>#N/A</v>
          </cell>
          <cell r="P629">
            <v>1.095</v>
          </cell>
          <cell r="Q629" t="str">
            <v/>
          </cell>
          <cell r="R629" t="e">
            <v>#N/A</v>
          </cell>
        </row>
        <row r="630">
          <cell r="A630">
            <v>40638</v>
          </cell>
          <cell r="B630">
            <v>40638</v>
          </cell>
          <cell r="C630" t="str">
            <v>Future</v>
          </cell>
          <cell r="D630" t="e">
            <v>#N/A</v>
          </cell>
          <cell r="E630">
            <v>0.86931297709923538</v>
          </cell>
          <cell r="F630">
            <v>1.1867175572519095</v>
          </cell>
          <cell r="G630">
            <v>1.0259541984732883</v>
          </cell>
          <cell r="H630">
            <v>1.0259541984732883</v>
          </cell>
          <cell r="I630" t="e">
            <v>#N/A</v>
          </cell>
          <cell r="J630" t="e">
            <v>#N/A</v>
          </cell>
          <cell r="K630" t="e">
            <v>#N/A</v>
          </cell>
          <cell r="L630" t="e">
            <v>#N/A</v>
          </cell>
          <cell r="M630" t="e">
            <v>#N/A</v>
          </cell>
          <cell r="N630" t="e">
            <v>#N/A</v>
          </cell>
          <cell r="O630" t="e">
            <v>#N/A</v>
          </cell>
          <cell r="P630">
            <v>1.095</v>
          </cell>
          <cell r="Q630" t="str">
            <v/>
          </cell>
          <cell r="R630" t="e">
            <v>#N/A</v>
          </cell>
        </row>
        <row r="631">
          <cell r="A631">
            <v>40639</v>
          </cell>
          <cell r="B631">
            <v>40639</v>
          </cell>
          <cell r="C631" t="str">
            <v>Future</v>
          </cell>
          <cell r="D631" t="e">
            <v>#N/A</v>
          </cell>
          <cell r="E631">
            <v>0.86513358778625826</v>
          </cell>
          <cell r="F631">
            <v>1.1884160305343523</v>
          </cell>
          <cell r="G631">
            <v>1.0246755725190899</v>
          </cell>
          <cell r="H631">
            <v>1.0246755725190899</v>
          </cell>
          <cell r="I631" t="e">
            <v>#N/A</v>
          </cell>
          <cell r="J631" t="e">
            <v>#N/A</v>
          </cell>
          <cell r="K631" t="e">
            <v>#N/A</v>
          </cell>
          <cell r="L631" t="e">
            <v>#N/A</v>
          </cell>
          <cell r="M631" t="e">
            <v>#N/A</v>
          </cell>
          <cell r="N631" t="e">
            <v>#N/A</v>
          </cell>
          <cell r="O631" t="e">
            <v>#N/A</v>
          </cell>
          <cell r="P631">
            <v>1.095</v>
          </cell>
          <cell r="Q631" t="str">
            <v/>
          </cell>
          <cell r="R631" t="e">
            <v>#N/A</v>
          </cell>
        </row>
        <row r="632">
          <cell r="A632">
            <v>40640</v>
          </cell>
          <cell r="B632">
            <v>40640</v>
          </cell>
          <cell r="C632" t="str">
            <v>Future</v>
          </cell>
          <cell r="D632" t="e">
            <v>#N/A</v>
          </cell>
          <cell r="E632">
            <v>0.86095419847328114</v>
          </cell>
          <cell r="F632">
            <v>1.1901145038167951</v>
          </cell>
          <cell r="G632">
            <v>1.0233969465648916</v>
          </cell>
          <cell r="H632">
            <v>1.0233969465648916</v>
          </cell>
          <cell r="I632" t="e">
            <v>#N/A</v>
          </cell>
          <cell r="J632" t="e">
            <v>#N/A</v>
          </cell>
          <cell r="K632" t="e">
            <v>#N/A</v>
          </cell>
          <cell r="L632" t="e">
            <v>#N/A</v>
          </cell>
          <cell r="M632" t="e">
            <v>#N/A</v>
          </cell>
          <cell r="N632" t="e">
            <v>#N/A</v>
          </cell>
          <cell r="O632" t="e">
            <v>#N/A</v>
          </cell>
          <cell r="P632">
            <v>1.095</v>
          </cell>
          <cell r="Q632" t="str">
            <v/>
          </cell>
          <cell r="R632" t="e">
            <v>#N/A</v>
          </cell>
        </row>
        <row r="633">
          <cell r="A633">
            <v>40641</v>
          </cell>
          <cell r="B633">
            <v>40641</v>
          </cell>
          <cell r="C633" t="str">
            <v>Future</v>
          </cell>
          <cell r="D633" t="e">
            <v>#N/A</v>
          </cell>
          <cell r="E633">
            <v>0.85677480916030402</v>
          </cell>
          <cell r="F633">
            <v>1.1918129770992378</v>
          </cell>
          <cell r="G633">
            <v>1.0221183206106932</v>
          </cell>
          <cell r="H633">
            <v>1.0221183206106932</v>
          </cell>
          <cell r="I633" t="e">
            <v>#N/A</v>
          </cell>
          <cell r="J633" t="e">
            <v>#N/A</v>
          </cell>
          <cell r="K633" t="e">
            <v>#N/A</v>
          </cell>
          <cell r="L633" t="e">
            <v>#N/A</v>
          </cell>
          <cell r="M633" t="e">
            <v>#N/A</v>
          </cell>
          <cell r="N633" t="e">
            <v>#N/A</v>
          </cell>
          <cell r="O633" t="e">
            <v>#N/A</v>
          </cell>
          <cell r="P633">
            <v>1.095</v>
          </cell>
          <cell r="Q633" t="str">
            <v/>
          </cell>
          <cell r="R633" t="e">
            <v>#N/A</v>
          </cell>
        </row>
        <row r="634">
          <cell r="A634">
            <v>40644</v>
          </cell>
          <cell r="B634">
            <v>40644</v>
          </cell>
          <cell r="C634" t="str">
            <v>Future</v>
          </cell>
          <cell r="D634" t="e">
            <v>#N/A</v>
          </cell>
          <cell r="E634">
            <v>0.8525954198473269</v>
          </cell>
          <cell r="F634">
            <v>1.1935114503816806</v>
          </cell>
          <cell r="G634">
            <v>1.0208396946564948</v>
          </cell>
          <cell r="H634">
            <v>1.0208396946564948</v>
          </cell>
          <cell r="I634" t="e">
            <v>#N/A</v>
          </cell>
          <cell r="J634" t="e">
            <v>#N/A</v>
          </cell>
          <cell r="K634" t="e">
            <v>#N/A</v>
          </cell>
          <cell r="L634" t="e">
            <v>#N/A</v>
          </cell>
          <cell r="M634" t="e">
            <v>#N/A</v>
          </cell>
          <cell r="N634" t="e">
            <v>#N/A</v>
          </cell>
          <cell r="O634" t="e">
            <v>#N/A</v>
          </cell>
          <cell r="P634">
            <v>1.095</v>
          </cell>
          <cell r="Q634" t="str">
            <v/>
          </cell>
          <cell r="R634" t="e">
            <v>#N/A</v>
          </cell>
        </row>
        <row r="635">
          <cell r="A635">
            <v>40645</v>
          </cell>
          <cell r="B635">
            <v>40645</v>
          </cell>
          <cell r="C635" t="str">
            <v>Future</v>
          </cell>
          <cell r="D635" t="e">
            <v>#N/A</v>
          </cell>
          <cell r="E635">
            <v>0.84841603053434977</v>
          </cell>
          <cell r="F635">
            <v>1.1952099236641234</v>
          </cell>
          <cell r="G635">
            <v>1.0195610687022965</v>
          </cell>
          <cell r="H635">
            <v>1.0195610687022965</v>
          </cell>
          <cell r="I635" t="e">
            <v>#N/A</v>
          </cell>
          <cell r="J635" t="e">
            <v>#N/A</v>
          </cell>
          <cell r="K635" t="e">
            <v>#N/A</v>
          </cell>
          <cell r="L635" t="e">
            <v>#N/A</v>
          </cell>
          <cell r="M635" t="e">
            <v>#N/A</v>
          </cell>
          <cell r="N635" t="e">
            <v>#N/A</v>
          </cell>
          <cell r="O635" t="e">
            <v>#N/A</v>
          </cell>
          <cell r="P635">
            <v>1.095</v>
          </cell>
          <cell r="Q635" t="str">
            <v/>
          </cell>
          <cell r="R635" t="e">
            <v>#N/A</v>
          </cell>
        </row>
        <row r="636">
          <cell r="A636">
            <v>40646</v>
          </cell>
          <cell r="B636">
            <v>40646</v>
          </cell>
          <cell r="C636" t="str">
            <v>Future</v>
          </cell>
          <cell r="D636" t="e">
            <v>#N/A</v>
          </cell>
          <cell r="E636">
            <v>0.84423664122137265</v>
          </cell>
          <cell r="F636">
            <v>1.1969083969465661</v>
          </cell>
          <cell r="G636">
            <v>1.0182824427480981</v>
          </cell>
          <cell r="H636">
            <v>1.0182824427480981</v>
          </cell>
          <cell r="I636" t="e">
            <v>#N/A</v>
          </cell>
          <cell r="J636" t="e">
            <v>#N/A</v>
          </cell>
          <cell r="K636" t="e">
            <v>#N/A</v>
          </cell>
          <cell r="L636" t="e">
            <v>#N/A</v>
          </cell>
          <cell r="M636" t="e">
            <v>#N/A</v>
          </cell>
          <cell r="N636" t="e">
            <v>#N/A</v>
          </cell>
          <cell r="O636" t="e">
            <v>#N/A</v>
          </cell>
          <cell r="P636">
            <v>1.095</v>
          </cell>
          <cell r="Q636" t="str">
            <v/>
          </cell>
          <cell r="R636" t="e">
            <v>#N/A</v>
          </cell>
        </row>
        <row r="637">
          <cell r="A637">
            <v>40647</v>
          </cell>
          <cell r="B637">
            <v>40647</v>
          </cell>
          <cell r="C637" t="str">
            <v>Future</v>
          </cell>
          <cell r="D637" t="e">
            <v>#N/A</v>
          </cell>
          <cell r="E637">
            <v>0.84005725190839553</v>
          </cell>
          <cell r="F637">
            <v>1.1986068702290089</v>
          </cell>
          <cell r="G637">
            <v>1.0170038167938997</v>
          </cell>
          <cell r="H637">
            <v>1.0170038167938997</v>
          </cell>
          <cell r="I637" t="e">
            <v>#N/A</v>
          </cell>
          <cell r="J637" t="e">
            <v>#N/A</v>
          </cell>
          <cell r="K637" t="e">
            <v>#N/A</v>
          </cell>
          <cell r="L637" t="e">
            <v>#N/A</v>
          </cell>
          <cell r="M637" t="e">
            <v>#N/A</v>
          </cell>
          <cell r="N637" t="e">
            <v>#N/A</v>
          </cell>
          <cell r="O637" t="e">
            <v>#N/A</v>
          </cell>
          <cell r="P637">
            <v>1.095</v>
          </cell>
          <cell r="Q637" t="str">
            <v/>
          </cell>
          <cell r="R637" t="e">
            <v>#N/A</v>
          </cell>
        </row>
        <row r="638">
          <cell r="A638">
            <v>40648</v>
          </cell>
          <cell r="B638">
            <v>40648</v>
          </cell>
          <cell r="C638" t="str">
            <v>Future</v>
          </cell>
          <cell r="D638" t="e">
            <v>#N/A</v>
          </cell>
          <cell r="E638">
            <v>0.83587786259541841</v>
          </cell>
          <cell r="F638">
            <v>1.2003053435114517</v>
          </cell>
          <cell r="G638">
            <v>1.0157251908397014</v>
          </cell>
          <cell r="H638">
            <v>1.0157251908397014</v>
          </cell>
          <cell r="I638" t="e">
            <v>#N/A</v>
          </cell>
          <cell r="J638" t="e">
            <v>#N/A</v>
          </cell>
          <cell r="K638" t="e">
            <v>#N/A</v>
          </cell>
          <cell r="L638" t="e">
            <v>#N/A</v>
          </cell>
          <cell r="M638" t="e">
            <v>#N/A</v>
          </cell>
          <cell r="N638" t="e">
            <v>#N/A</v>
          </cell>
          <cell r="O638" t="e">
            <v>#N/A</v>
          </cell>
          <cell r="P638">
            <v>1.095</v>
          </cell>
          <cell r="Q638" t="str">
            <v/>
          </cell>
          <cell r="R638" t="e">
            <v>#N/A</v>
          </cell>
        </row>
        <row r="639">
          <cell r="A639">
            <v>40651</v>
          </cell>
          <cell r="B639">
            <v>40651</v>
          </cell>
          <cell r="C639" t="str">
            <v>Future</v>
          </cell>
          <cell r="D639" t="e">
            <v>#N/A</v>
          </cell>
          <cell r="E639">
            <v>0.83169847328244129</v>
          </cell>
          <cell r="F639">
            <v>1.2020038167938945</v>
          </cell>
          <cell r="G639">
            <v>1.014446564885503</v>
          </cell>
          <cell r="H639">
            <v>1.014446564885503</v>
          </cell>
          <cell r="I639" t="e">
            <v>#N/A</v>
          </cell>
          <cell r="J639" t="e">
            <v>#N/A</v>
          </cell>
          <cell r="K639" t="e">
            <v>#N/A</v>
          </cell>
          <cell r="L639" t="e">
            <v>#N/A</v>
          </cell>
          <cell r="M639" t="e">
            <v>#N/A</v>
          </cell>
          <cell r="N639" t="e">
            <v>#N/A</v>
          </cell>
          <cell r="O639" t="e">
            <v>#N/A</v>
          </cell>
          <cell r="P639">
            <v>1.095</v>
          </cell>
          <cell r="Q639" t="str">
            <v/>
          </cell>
          <cell r="R639" t="e">
            <v>#N/A</v>
          </cell>
        </row>
        <row r="640">
          <cell r="A640">
            <v>40652</v>
          </cell>
          <cell r="B640">
            <v>40652</v>
          </cell>
          <cell r="C640" t="str">
            <v>Future</v>
          </cell>
          <cell r="D640" t="e">
            <v>#N/A</v>
          </cell>
          <cell r="E640">
            <v>0.82751908396946416</v>
          </cell>
          <cell r="F640">
            <v>1.2037022900763372</v>
          </cell>
          <cell r="G640">
            <v>1.0131679389313046</v>
          </cell>
          <cell r="H640">
            <v>1.0131679389313046</v>
          </cell>
          <cell r="I640" t="e">
            <v>#N/A</v>
          </cell>
          <cell r="J640" t="e">
            <v>#N/A</v>
          </cell>
          <cell r="K640" t="e">
            <v>#N/A</v>
          </cell>
          <cell r="L640" t="e">
            <v>#N/A</v>
          </cell>
          <cell r="M640" t="e">
            <v>#N/A</v>
          </cell>
          <cell r="N640" t="e">
            <v>#N/A</v>
          </cell>
          <cell r="O640" t="e">
            <v>#N/A</v>
          </cell>
          <cell r="P640">
            <v>1.095</v>
          </cell>
          <cell r="Q640" t="str">
            <v/>
          </cell>
          <cell r="R640" t="e">
            <v>#N/A</v>
          </cell>
        </row>
        <row r="641">
          <cell r="A641">
            <v>40653</v>
          </cell>
          <cell r="B641">
            <v>40653</v>
          </cell>
          <cell r="C641" t="str">
            <v>Future</v>
          </cell>
          <cell r="D641" t="e">
            <v>#N/A</v>
          </cell>
          <cell r="E641">
            <v>0.82333969465648704</v>
          </cell>
          <cell r="F641">
            <v>1.20540076335878</v>
          </cell>
          <cell r="G641">
            <v>1.0118893129771063</v>
          </cell>
          <cell r="H641">
            <v>1.0118893129771063</v>
          </cell>
          <cell r="I641" t="e">
            <v>#N/A</v>
          </cell>
          <cell r="J641" t="e">
            <v>#N/A</v>
          </cell>
          <cell r="K641" t="e">
            <v>#N/A</v>
          </cell>
          <cell r="L641" t="e">
            <v>#N/A</v>
          </cell>
          <cell r="M641" t="e">
            <v>#N/A</v>
          </cell>
          <cell r="N641" t="e">
            <v>#N/A</v>
          </cell>
          <cell r="O641" t="e">
            <v>#N/A</v>
          </cell>
          <cell r="P641">
            <v>1.095</v>
          </cell>
          <cell r="Q641" t="str">
            <v/>
          </cell>
          <cell r="R641" t="e">
            <v>#N/A</v>
          </cell>
        </row>
        <row r="642">
          <cell r="A642">
            <v>40654</v>
          </cell>
          <cell r="B642">
            <v>40654</v>
          </cell>
          <cell r="C642" t="str">
            <v>Future</v>
          </cell>
          <cell r="D642" t="e">
            <v>#N/A</v>
          </cell>
          <cell r="E642">
            <v>0.81916030534350992</v>
          </cell>
          <cell r="F642">
            <v>1.2070992366412228</v>
          </cell>
          <cell r="G642">
            <v>1.0106106870229079</v>
          </cell>
          <cell r="H642">
            <v>1.0106106870229079</v>
          </cell>
          <cell r="I642" t="e">
            <v>#N/A</v>
          </cell>
          <cell r="J642" t="e">
            <v>#N/A</v>
          </cell>
          <cell r="K642" t="e">
            <v>#N/A</v>
          </cell>
          <cell r="L642" t="e">
            <v>#N/A</v>
          </cell>
          <cell r="M642" t="e">
            <v>#N/A</v>
          </cell>
          <cell r="N642" t="e">
            <v>#N/A</v>
          </cell>
          <cell r="O642" t="e">
            <v>#N/A</v>
          </cell>
          <cell r="P642">
            <v>1.095</v>
          </cell>
          <cell r="Q642" t="str">
            <v/>
          </cell>
          <cell r="R642" t="e">
            <v>#N/A</v>
          </cell>
        </row>
        <row r="643">
          <cell r="A643">
            <v>40655</v>
          </cell>
          <cell r="B643">
            <v>40655</v>
          </cell>
          <cell r="C643" t="str">
            <v>Future</v>
          </cell>
          <cell r="D643" t="e">
            <v>#N/A</v>
          </cell>
          <cell r="E643">
            <v>0.8149809160305328</v>
          </cell>
          <cell r="F643">
            <v>1.2087977099236655</v>
          </cell>
          <cell r="G643">
            <v>1.0093320610687095</v>
          </cell>
          <cell r="H643">
            <v>1.0093320610687095</v>
          </cell>
          <cell r="I643" t="e">
            <v>#N/A</v>
          </cell>
          <cell r="J643" t="e">
            <v>#N/A</v>
          </cell>
          <cell r="K643" t="e">
            <v>#N/A</v>
          </cell>
          <cell r="L643" t="e">
            <v>#N/A</v>
          </cell>
          <cell r="M643" t="e">
            <v>#N/A</v>
          </cell>
          <cell r="N643" t="e">
            <v>#N/A</v>
          </cell>
          <cell r="O643" t="e">
            <v>#N/A</v>
          </cell>
          <cell r="P643">
            <v>1.095</v>
          </cell>
          <cell r="Q643" t="str">
            <v/>
          </cell>
          <cell r="R643" t="e">
            <v>#N/A</v>
          </cell>
        </row>
        <row r="644">
          <cell r="A644">
            <v>40658</v>
          </cell>
          <cell r="B644">
            <v>40658</v>
          </cell>
          <cell r="C644" t="str">
            <v>Future</v>
          </cell>
          <cell r="D644" t="e">
            <v>#N/A</v>
          </cell>
          <cell r="E644">
            <v>0.81080152671755568</v>
          </cell>
          <cell r="F644">
            <v>1.2104961832061083</v>
          </cell>
          <cell r="G644">
            <v>1.0080534351145112</v>
          </cell>
          <cell r="H644">
            <v>1.0080534351145112</v>
          </cell>
          <cell r="I644" t="e">
            <v>#N/A</v>
          </cell>
          <cell r="J644" t="e">
            <v>#N/A</v>
          </cell>
          <cell r="K644" t="e">
            <v>#N/A</v>
          </cell>
          <cell r="L644" t="e">
            <v>#N/A</v>
          </cell>
          <cell r="M644" t="e">
            <v>#N/A</v>
          </cell>
          <cell r="N644" t="e">
            <v>#N/A</v>
          </cell>
          <cell r="O644" t="e">
            <v>#N/A</v>
          </cell>
          <cell r="P644">
            <v>1.095</v>
          </cell>
          <cell r="Q644" t="str">
            <v/>
          </cell>
          <cell r="R644" t="e">
            <v>#N/A</v>
          </cell>
        </row>
        <row r="645">
          <cell r="A645">
            <v>40659</v>
          </cell>
          <cell r="B645">
            <v>40659</v>
          </cell>
          <cell r="C645" t="str">
            <v>Future</v>
          </cell>
          <cell r="D645" t="e">
            <v>#N/A</v>
          </cell>
          <cell r="E645">
            <v>0.80662213740457855</v>
          </cell>
          <cell r="F645">
            <v>1.2121946564885511</v>
          </cell>
          <cell r="G645">
            <v>1.0067748091603128</v>
          </cell>
          <cell r="H645">
            <v>1.0067748091603128</v>
          </cell>
          <cell r="I645" t="e">
            <v>#N/A</v>
          </cell>
          <cell r="J645" t="e">
            <v>#N/A</v>
          </cell>
          <cell r="K645" t="e">
            <v>#N/A</v>
          </cell>
          <cell r="L645" t="e">
            <v>#N/A</v>
          </cell>
          <cell r="M645" t="e">
            <v>#N/A</v>
          </cell>
          <cell r="N645" t="e">
            <v>#N/A</v>
          </cell>
          <cell r="O645" t="e">
            <v>#N/A</v>
          </cell>
          <cell r="P645">
            <v>1.095</v>
          </cell>
          <cell r="Q645" t="str">
            <v/>
          </cell>
          <cell r="R645" t="e">
            <v>#N/A</v>
          </cell>
        </row>
        <row r="646">
          <cell r="A646">
            <v>40660</v>
          </cell>
          <cell r="B646">
            <v>40660</v>
          </cell>
          <cell r="C646" t="str">
            <v>Future</v>
          </cell>
          <cell r="D646" t="e">
            <v>#N/A</v>
          </cell>
          <cell r="E646">
            <v>0.80244274809160143</v>
          </cell>
          <cell r="F646">
            <v>1.2138931297709938</v>
          </cell>
          <cell r="G646">
            <v>1.0054961832061144</v>
          </cell>
          <cell r="H646">
            <v>1.0054961832061144</v>
          </cell>
          <cell r="I646" t="e">
            <v>#N/A</v>
          </cell>
          <cell r="J646" t="e">
            <v>#N/A</v>
          </cell>
          <cell r="K646" t="e">
            <v>#N/A</v>
          </cell>
          <cell r="L646" t="e">
            <v>#N/A</v>
          </cell>
          <cell r="M646" t="e">
            <v>#N/A</v>
          </cell>
          <cell r="N646" t="e">
            <v>#N/A</v>
          </cell>
          <cell r="O646" t="e">
            <v>#N/A</v>
          </cell>
          <cell r="P646">
            <v>1.095</v>
          </cell>
          <cell r="Q646" t="str">
            <v/>
          </cell>
          <cell r="R646" t="e">
            <v>#N/A</v>
          </cell>
        </row>
        <row r="647">
          <cell r="A647">
            <v>40661</v>
          </cell>
          <cell r="B647">
            <v>40661</v>
          </cell>
          <cell r="C647" t="str">
            <v>Future</v>
          </cell>
          <cell r="D647" t="e">
            <v>#N/A</v>
          </cell>
          <cell r="E647">
            <v>0.79826335877862431</v>
          </cell>
          <cell r="F647">
            <v>1.2155916030534366</v>
          </cell>
          <cell r="G647">
            <v>1.0042175572519161</v>
          </cell>
          <cell r="H647">
            <v>1.0042175572519161</v>
          </cell>
          <cell r="I647" t="e">
            <v>#N/A</v>
          </cell>
          <cell r="J647" t="e">
            <v>#N/A</v>
          </cell>
          <cell r="K647" t="e">
            <v>#N/A</v>
          </cell>
          <cell r="L647" t="e">
            <v>#N/A</v>
          </cell>
          <cell r="M647" t="e">
            <v>#N/A</v>
          </cell>
          <cell r="N647" t="e">
            <v>#N/A</v>
          </cell>
          <cell r="O647" t="e">
            <v>#N/A</v>
          </cell>
          <cell r="P647">
            <v>1.095</v>
          </cell>
          <cell r="Q647" t="str">
            <v/>
          </cell>
          <cell r="R647" t="e">
            <v>#N/A</v>
          </cell>
        </row>
        <row r="648">
          <cell r="A648">
            <v>40662</v>
          </cell>
          <cell r="B648">
            <v>40662</v>
          </cell>
          <cell r="C648" t="str">
            <v>Future</v>
          </cell>
          <cell r="D648" t="e">
            <v>#N/A</v>
          </cell>
          <cell r="E648">
            <v>0.79408396946564719</v>
          </cell>
          <cell r="F648">
            <v>1.2172900763358794</v>
          </cell>
          <cell r="G648">
            <v>1.0029389312977177</v>
          </cell>
          <cell r="H648">
            <v>1.0029389312977177</v>
          </cell>
          <cell r="I648" t="e">
            <v>#N/A</v>
          </cell>
          <cell r="J648" t="e">
            <v>#N/A</v>
          </cell>
          <cell r="K648" t="e">
            <v>#N/A</v>
          </cell>
          <cell r="L648" t="e">
            <v>#N/A</v>
          </cell>
          <cell r="M648" t="e">
            <v>#N/A</v>
          </cell>
          <cell r="N648" t="e">
            <v>#N/A</v>
          </cell>
          <cell r="O648" t="e">
            <v>#N/A</v>
          </cell>
          <cell r="P648">
            <v>1.095</v>
          </cell>
          <cell r="Q648" t="str">
            <v/>
          </cell>
          <cell r="R648" t="e">
            <v>#N/A</v>
          </cell>
        </row>
        <row r="649">
          <cell r="A649">
            <v>40665</v>
          </cell>
          <cell r="B649">
            <v>40665</v>
          </cell>
          <cell r="C649" t="str">
            <v>Future</v>
          </cell>
          <cell r="D649" t="e">
            <v>#N/A</v>
          </cell>
          <cell r="E649">
            <v>0.78990458015267007</v>
          </cell>
          <cell r="F649">
            <v>1.2189885496183221</v>
          </cell>
          <cell r="G649">
            <v>1.0016603053435194</v>
          </cell>
          <cell r="H649">
            <v>1.0016603053435194</v>
          </cell>
          <cell r="I649" t="e">
            <v>#N/A</v>
          </cell>
          <cell r="J649" t="e">
            <v>#N/A</v>
          </cell>
          <cell r="K649" t="e">
            <v>#N/A</v>
          </cell>
          <cell r="L649" t="e">
            <v>#N/A</v>
          </cell>
          <cell r="M649" t="e">
            <v>#N/A</v>
          </cell>
          <cell r="N649" t="e">
            <v>#N/A</v>
          </cell>
          <cell r="O649" t="e">
            <v>#N/A</v>
          </cell>
          <cell r="P649">
            <v>1.095</v>
          </cell>
          <cell r="Q649" t="str">
            <v/>
          </cell>
          <cell r="R649" t="e">
            <v>#N/A</v>
          </cell>
        </row>
        <row r="650">
          <cell r="A650">
            <v>40666</v>
          </cell>
          <cell r="B650">
            <v>40666</v>
          </cell>
          <cell r="C650" t="str">
            <v>Future</v>
          </cell>
          <cell r="D650" t="e">
            <v>#N/A</v>
          </cell>
          <cell r="E650">
            <v>0.78572519083969294</v>
          </cell>
          <cell r="F650">
            <v>1.2206870229007649</v>
          </cell>
          <cell r="G650">
            <v>1.000381679389321</v>
          </cell>
          <cell r="H650">
            <v>1.000381679389321</v>
          </cell>
          <cell r="I650" t="e">
            <v>#N/A</v>
          </cell>
          <cell r="J650" t="e">
            <v>#N/A</v>
          </cell>
          <cell r="K650" t="e">
            <v>#N/A</v>
          </cell>
          <cell r="L650" t="e">
            <v>#N/A</v>
          </cell>
          <cell r="M650" t="e">
            <v>#N/A</v>
          </cell>
          <cell r="N650" t="e">
            <v>#N/A</v>
          </cell>
          <cell r="O650" t="e">
            <v>#N/A</v>
          </cell>
          <cell r="P650">
            <v>1.095</v>
          </cell>
          <cell r="Q650" t="str">
            <v/>
          </cell>
          <cell r="R650" t="e">
            <v>#N/A</v>
          </cell>
        </row>
        <row r="651">
          <cell r="A651">
            <v>40667</v>
          </cell>
          <cell r="B651">
            <v>40667</v>
          </cell>
          <cell r="C651" t="str">
            <v>Future</v>
          </cell>
          <cell r="D651" t="e">
            <v>#N/A</v>
          </cell>
          <cell r="E651">
            <v>0.78154580152671582</v>
          </cell>
          <cell r="F651">
            <v>1.2223854961832077</v>
          </cell>
          <cell r="G651">
            <v>0.99910305343512251</v>
          </cell>
          <cell r="H651">
            <v>0.99910305343512251</v>
          </cell>
          <cell r="I651" t="e">
            <v>#N/A</v>
          </cell>
          <cell r="J651" t="e">
            <v>#N/A</v>
          </cell>
          <cell r="K651" t="e">
            <v>#N/A</v>
          </cell>
          <cell r="L651" t="e">
            <v>#N/A</v>
          </cell>
          <cell r="M651" t="e">
            <v>#N/A</v>
          </cell>
          <cell r="N651" t="e">
            <v>#N/A</v>
          </cell>
          <cell r="O651" t="e">
            <v>#N/A</v>
          </cell>
          <cell r="P651">
            <v>1.095</v>
          </cell>
          <cell r="Q651" t="str">
            <v/>
          </cell>
          <cell r="R651" t="e">
            <v>#N/A</v>
          </cell>
        </row>
        <row r="652">
          <cell r="A652">
            <v>40668</v>
          </cell>
          <cell r="B652">
            <v>40668</v>
          </cell>
          <cell r="C652" t="str">
            <v>Future</v>
          </cell>
          <cell r="D652" t="e">
            <v>#N/A</v>
          </cell>
          <cell r="E652">
            <v>0.7773664122137387</v>
          </cell>
          <cell r="F652">
            <v>1.2240839694656505</v>
          </cell>
          <cell r="G652">
            <v>0.99782442748092404</v>
          </cell>
          <cell r="H652">
            <v>0.99782442748092404</v>
          </cell>
          <cell r="I652" t="e">
            <v>#N/A</v>
          </cell>
          <cell r="J652" t="e">
            <v>#N/A</v>
          </cell>
          <cell r="K652" t="e">
            <v>#N/A</v>
          </cell>
          <cell r="L652" t="e">
            <v>#N/A</v>
          </cell>
          <cell r="M652" t="e">
            <v>#N/A</v>
          </cell>
          <cell r="N652" t="e">
            <v>#N/A</v>
          </cell>
          <cell r="O652" t="e">
            <v>#N/A</v>
          </cell>
          <cell r="P652">
            <v>1.095</v>
          </cell>
          <cell r="Q652" t="str">
            <v/>
          </cell>
          <cell r="R652" t="e">
            <v>#N/A</v>
          </cell>
        </row>
        <row r="653">
          <cell r="A653">
            <v>40669</v>
          </cell>
          <cell r="B653">
            <v>40669</v>
          </cell>
          <cell r="C653" t="str">
            <v>Future</v>
          </cell>
          <cell r="D653" t="e">
            <v>#N/A</v>
          </cell>
          <cell r="E653">
            <v>0.77318702290076158</v>
          </cell>
          <cell r="F653">
            <v>1.2257824427480932</v>
          </cell>
          <cell r="G653">
            <v>0.99654580152672556</v>
          </cell>
          <cell r="H653">
            <v>0.99654580152672556</v>
          </cell>
          <cell r="I653" t="e">
            <v>#N/A</v>
          </cell>
          <cell r="J653" t="e">
            <v>#N/A</v>
          </cell>
          <cell r="K653" t="e">
            <v>#N/A</v>
          </cell>
          <cell r="L653" t="e">
            <v>#N/A</v>
          </cell>
          <cell r="M653" t="e">
            <v>#N/A</v>
          </cell>
          <cell r="N653" t="e">
            <v>#N/A</v>
          </cell>
          <cell r="O653" t="e">
            <v>#N/A</v>
          </cell>
          <cell r="P653">
            <v>1.095</v>
          </cell>
          <cell r="Q653" t="str">
            <v/>
          </cell>
          <cell r="R653" t="e">
            <v>#N/A</v>
          </cell>
        </row>
        <row r="654">
          <cell r="A654">
            <v>40672</v>
          </cell>
          <cell r="B654">
            <v>40672</v>
          </cell>
          <cell r="C654" t="str">
            <v>Future</v>
          </cell>
          <cell r="D654" t="e">
            <v>#N/A</v>
          </cell>
          <cell r="E654">
            <v>0.76900763358778446</v>
          </cell>
          <cell r="F654">
            <v>1.227480916030536</v>
          </cell>
          <cell r="G654">
            <v>0.99526717557252709</v>
          </cell>
          <cell r="H654">
            <v>0.99526717557252709</v>
          </cell>
          <cell r="I654" t="e">
            <v>#N/A</v>
          </cell>
          <cell r="J654" t="e">
            <v>#N/A</v>
          </cell>
          <cell r="K654" t="e">
            <v>#N/A</v>
          </cell>
          <cell r="L654" t="e">
            <v>#N/A</v>
          </cell>
          <cell r="M654" t="e">
            <v>#N/A</v>
          </cell>
          <cell r="N654" t="e">
            <v>#N/A</v>
          </cell>
          <cell r="O654" t="e">
            <v>#N/A</v>
          </cell>
          <cell r="P654">
            <v>1.095</v>
          </cell>
          <cell r="Q654" t="str">
            <v/>
          </cell>
          <cell r="R654" t="e">
            <v>#N/A</v>
          </cell>
        </row>
        <row r="655">
          <cell r="A655">
            <v>40673</v>
          </cell>
          <cell r="B655">
            <v>40673</v>
          </cell>
          <cell r="C655" t="str">
            <v>Future</v>
          </cell>
          <cell r="D655" t="e">
            <v>#N/A</v>
          </cell>
          <cell r="E655">
            <v>0.76482824427480733</v>
          </cell>
          <cell r="F655">
            <v>1.2291793893129788</v>
          </cell>
          <cell r="G655">
            <v>0.99398854961832861</v>
          </cell>
          <cell r="H655">
            <v>0.99398854961832861</v>
          </cell>
          <cell r="I655" t="e">
            <v>#N/A</v>
          </cell>
          <cell r="J655" t="e">
            <v>#N/A</v>
          </cell>
          <cell r="K655" t="e">
            <v>#N/A</v>
          </cell>
          <cell r="L655" t="e">
            <v>#N/A</v>
          </cell>
          <cell r="M655" t="e">
            <v>#N/A</v>
          </cell>
          <cell r="N655" t="e">
            <v>#N/A</v>
          </cell>
          <cell r="O655" t="e">
            <v>#N/A</v>
          </cell>
          <cell r="P655">
            <v>1.095</v>
          </cell>
          <cell r="Q655" t="str">
            <v/>
          </cell>
          <cell r="R655" t="e">
            <v>#N/A</v>
          </cell>
        </row>
        <row r="656">
          <cell r="A656">
            <v>40674</v>
          </cell>
          <cell r="B656">
            <v>40674</v>
          </cell>
          <cell r="C656" t="str">
            <v>Future</v>
          </cell>
          <cell r="D656" t="e">
            <v>#N/A</v>
          </cell>
          <cell r="E656">
            <v>0.76064885496183021</v>
          </cell>
          <cell r="F656">
            <v>1.2308778625954215</v>
          </cell>
          <cell r="G656">
            <v>0.99270992366413013</v>
          </cell>
          <cell r="H656">
            <v>0.99270992366413013</v>
          </cell>
          <cell r="I656" t="e">
            <v>#N/A</v>
          </cell>
          <cell r="J656" t="e">
            <v>#N/A</v>
          </cell>
          <cell r="K656" t="e">
            <v>#N/A</v>
          </cell>
          <cell r="L656" t="e">
            <v>#N/A</v>
          </cell>
          <cell r="M656" t="e">
            <v>#N/A</v>
          </cell>
          <cell r="N656" t="e">
            <v>#N/A</v>
          </cell>
          <cell r="O656" t="e">
            <v>#N/A</v>
          </cell>
          <cell r="P656">
            <v>1.095</v>
          </cell>
          <cell r="Q656" t="str">
            <v/>
          </cell>
          <cell r="R656" t="e">
            <v>#N/A</v>
          </cell>
        </row>
        <row r="657">
          <cell r="A657">
            <v>40675</v>
          </cell>
          <cell r="B657">
            <v>40675</v>
          </cell>
          <cell r="C657" t="str">
            <v>Future</v>
          </cell>
          <cell r="D657" t="e">
            <v>#N/A</v>
          </cell>
          <cell r="E657">
            <v>0.75646946564885309</v>
          </cell>
          <cell r="F657">
            <v>1.2325763358778643</v>
          </cell>
          <cell r="G657">
            <v>0.99143129770993166</v>
          </cell>
          <cell r="H657">
            <v>0.99143129770993166</v>
          </cell>
          <cell r="I657" t="e">
            <v>#N/A</v>
          </cell>
          <cell r="J657" t="e">
            <v>#N/A</v>
          </cell>
          <cell r="K657" t="e">
            <v>#N/A</v>
          </cell>
          <cell r="L657" t="e">
            <v>#N/A</v>
          </cell>
          <cell r="M657" t="e">
            <v>#N/A</v>
          </cell>
          <cell r="N657" t="e">
            <v>#N/A</v>
          </cell>
          <cell r="O657" t="e">
            <v>#N/A</v>
          </cell>
          <cell r="P657">
            <v>1.095</v>
          </cell>
          <cell r="Q657" t="str">
            <v/>
          </cell>
          <cell r="R657" t="e">
            <v>#N/A</v>
          </cell>
        </row>
        <row r="658">
          <cell r="A658">
            <v>40676</v>
          </cell>
          <cell r="B658">
            <v>40676</v>
          </cell>
          <cell r="C658" t="str">
            <v>Future</v>
          </cell>
          <cell r="D658" t="e">
            <v>#N/A</v>
          </cell>
          <cell r="E658">
            <v>0.75229007633587597</v>
          </cell>
          <cell r="F658">
            <v>1.2342748091603071</v>
          </cell>
          <cell r="G658">
            <v>0.99015267175573318</v>
          </cell>
          <cell r="H658">
            <v>0.99015267175573318</v>
          </cell>
          <cell r="I658" t="e">
            <v>#N/A</v>
          </cell>
          <cell r="J658" t="e">
            <v>#N/A</v>
          </cell>
          <cell r="K658" t="e">
            <v>#N/A</v>
          </cell>
          <cell r="L658" t="e">
            <v>#N/A</v>
          </cell>
          <cell r="M658" t="e">
            <v>#N/A</v>
          </cell>
          <cell r="N658" t="e">
            <v>#N/A</v>
          </cell>
          <cell r="O658" t="e">
            <v>#N/A</v>
          </cell>
          <cell r="P658">
            <v>1.095</v>
          </cell>
          <cell r="Q658" t="str">
            <v/>
          </cell>
          <cell r="R658" t="e">
            <v>#N/A</v>
          </cell>
        </row>
        <row r="659">
          <cell r="A659">
            <v>40679</v>
          </cell>
          <cell r="B659">
            <v>40679</v>
          </cell>
          <cell r="C659" t="str">
            <v>Future</v>
          </cell>
          <cell r="D659" t="e">
            <v>#N/A</v>
          </cell>
          <cell r="E659">
            <v>0.74811068702289885</v>
          </cell>
          <cell r="F659">
            <v>1.2359732824427498</v>
          </cell>
          <cell r="G659">
            <v>0.98887404580153471</v>
          </cell>
          <cell r="H659">
            <v>0.98887404580153471</v>
          </cell>
          <cell r="I659" t="e">
            <v>#N/A</v>
          </cell>
          <cell r="J659" t="e">
            <v>#N/A</v>
          </cell>
          <cell r="K659" t="e">
            <v>#N/A</v>
          </cell>
          <cell r="L659" t="e">
            <v>#N/A</v>
          </cell>
          <cell r="M659" t="e">
            <v>#N/A</v>
          </cell>
          <cell r="N659" t="e">
            <v>#N/A</v>
          </cell>
          <cell r="O659" t="e">
            <v>#N/A</v>
          </cell>
          <cell r="P659">
            <v>1.095</v>
          </cell>
          <cell r="Q659" t="str">
            <v/>
          </cell>
          <cell r="R659" t="e">
            <v>#N/A</v>
          </cell>
        </row>
        <row r="660">
          <cell r="A660">
            <v>40680</v>
          </cell>
          <cell r="B660">
            <v>40680</v>
          </cell>
          <cell r="C660" t="str">
            <v>Future</v>
          </cell>
          <cell r="D660" t="e">
            <v>#N/A</v>
          </cell>
          <cell r="E660">
            <v>0.74393129770992172</v>
          </cell>
          <cell r="F660">
            <v>1.2376717557251926</v>
          </cell>
          <cell r="G660">
            <v>0.98759541984733623</v>
          </cell>
          <cell r="H660">
            <v>0.98759541984733623</v>
          </cell>
          <cell r="I660" t="e">
            <v>#N/A</v>
          </cell>
          <cell r="J660" t="e">
            <v>#N/A</v>
          </cell>
          <cell r="K660" t="e">
            <v>#N/A</v>
          </cell>
          <cell r="L660" t="e">
            <v>#N/A</v>
          </cell>
          <cell r="M660" t="e">
            <v>#N/A</v>
          </cell>
          <cell r="N660" t="e">
            <v>#N/A</v>
          </cell>
          <cell r="O660" t="e">
            <v>#N/A</v>
          </cell>
          <cell r="P660">
            <v>1.095</v>
          </cell>
          <cell r="Q660" t="str">
            <v/>
          </cell>
          <cell r="R660" t="e">
            <v>#N/A</v>
          </cell>
        </row>
        <row r="661">
          <cell r="A661">
            <v>40681</v>
          </cell>
          <cell r="B661">
            <v>40681</v>
          </cell>
          <cell r="C661" t="str">
            <v>Future</v>
          </cell>
          <cell r="D661" t="e">
            <v>#N/A</v>
          </cell>
          <cell r="E661">
            <v>0.7397519083969446</v>
          </cell>
          <cell r="F661">
            <v>1.2393702290076354</v>
          </cell>
          <cell r="G661">
            <v>0.98631679389313776</v>
          </cell>
          <cell r="H661">
            <v>0.98631679389313776</v>
          </cell>
          <cell r="I661" t="e">
            <v>#N/A</v>
          </cell>
          <cell r="J661" t="e">
            <v>#N/A</v>
          </cell>
          <cell r="K661" t="e">
            <v>#N/A</v>
          </cell>
          <cell r="L661" t="e">
            <v>#N/A</v>
          </cell>
          <cell r="M661" t="e">
            <v>#N/A</v>
          </cell>
          <cell r="N661" t="e">
            <v>#N/A</v>
          </cell>
          <cell r="O661" t="e">
            <v>#N/A</v>
          </cell>
          <cell r="P661">
            <v>1.095</v>
          </cell>
          <cell r="Q661" t="str">
            <v/>
          </cell>
          <cell r="R661" t="e">
            <v>#N/A</v>
          </cell>
        </row>
        <row r="662">
          <cell r="A662">
            <v>40682</v>
          </cell>
          <cell r="B662">
            <v>40682</v>
          </cell>
          <cell r="C662" t="str">
            <v>Future</v>
          </cell>
          <cell r="D662" t="e">
            <v>#N/A</v>
          </cell>
          <cell r="E662">
            <v>0.73557251908396748</v>
          </cell>
          <cell r="F662">
            <v>1.2410687022900782</v>
          </cell>
          <cell r="G662">
            <v>0.98503816793893928</v>
          </cell>
          <cell r="H662">
            <v>0.98503816793893928</v>
          </cell>
          <cell r="I662" t="e">
            <v>#N/A</v>
          </cell>
          <cell r="J662" t="e">
            <v>#N/A</v>
          </cell>
          <cell r="K662" t="e">
            <v>#N/A</v>
          </cell>
          <cell r="L662" t="e">
            <v>#N/A</v>
          </cell>
          <cell r="M662" t="e">
            <v>#N/A</v>
          </cell>
          <cell r="N662" t="e">
            <v>#N/A</v>
          </cell>
          <cell r="O662" t="e">
            <v>#N/A</v>
          </cell>
          <cell r="P662">
            <v>1.095</v>
          </cell>
          <cell r="Q662" t="str">
            <v/>
          </cell>
          <cell r="R662" t="e">
            <v>#N/A</v>
          </cell>
        </row>
        <row r="663">
          <cell r="A663">
            <v>40683</v>
          </cell>
          <cell r="B663">
            <v>40683</v>
          </cell>
          <cell r="C663" t="str">
            <v>Future</v>
          </cell>
          <cell r="D663" t="e">
            <v>#N/A</v>
          </cell>
          <cell r="E663">
            <v>0.73139312977099036</v>
          </cell>
          <cell r="F663">
            <v>1.2427671755725209</v>
          </cell>
          <cell r="G663">
            <v>0.9837595419847408</v>
          </cell>
          <cell r="H663">
            <v>0.9837595419847408</v>
          </cell>
          <cell r="I663" t="e">
            <v>#N/A</v>
          </cell>
          <cell r="J663" t="e">
            <v>#N/A</v>
          </cell>
          <cell r="K663" t="e">
            <v>#N/A</v>
          </cell>
          <cell r="L663" t="e">
            <v>#N/A</v>
          </cell>
          <cell r="M663" t="e">
            <v>#N/A</v>
          </cell>
          <cell r="N663" t="e">
            <v>#N/A</v>
          </cell>
          <cell r="O663" t="e">
            <v>#N/A</v>
          </cell>
          <cell r="P663">
            <v>1.095</v>
          </cell>
          <cell r="Q663" t="str">
            <v/>
          </cell>
          <cell r="R663" t="e">
            <v>#N/A</v>
          </cell>
        </row>
        <row r="664">
          <cell r="A664">
            <v>40686</v>
          </cell>
          <cell r="B664">
            <v>40686</v>
          </cell>
          <cell r="C664" t="str">
            <v>Future</v>
          </cell>
          <cell r="D664" t="e">
            <v>#N/A</v>
          </cell>
          <cell r="E664">
            <v>0.72721374045801324</v>
          </cell>
          <cell r="F664">
            <v>1.2444656488549637</v>
          </cell>
          <cell r="G664">
            <v>0.98248091603054233</v>
          </cell>
          <cell r="H664">
            <v>0.98248091603054233</v>
          </cell>
          <cell r="I664" t="e">
            <v>#N/A</v>
          </cell>
          <cell r="J664" t="e">
            <v>#N/A</v>
          </cell>
          <cell r="K664" t="e">
            <v>#N/A</v>
          </cell>
          <cell r="L664" t="e">
            <v>#N/A</v>
          </cell>
          <cell r="M664" t="e">
            <v>#N/A</v>
          </cell>
          <cell r="N664" t="e">
            <v>#N/A</v>
          </cell>
          <cell r="O664" t="e">
            <v>#N/A</v>
          </cell>
          <cell r="P664">
            <v>1.095</v>
          </cell>
          <cell r="Q664" t="str">
            <v/>
          </cell>
          <cell r="R664" t="e">
            <v>#N/A</v>
          </cell>
        </row>
        <row r="665">
          <cell r="A665">
            <v>40687</v>
          </cell>
          <cell r="B665">
            <v>40687</v>
          </cell>
          <cell r="C665" t="str">
            <v>Future</v>
          </cell>
          <cell r="D665" t="e">
            <v>#N/A</v>
          </cell>
          <cell r="E665">
            <v>0.72303435114503611</v>
          </cell>
          <cell r="F665">
            <v>1.2461641221374065</v>
          </cell>
          <cell r="G665">
            <v>0.98120229007634385</v>
          </cell>
          <cell r="H665">
            <v>0.98120229007634385</v>
          </cell>
          <cell r="I665" t="e">
            <v>#N/A</v>
          </cell>
          <cell r="J665" t="e">
            <v>#N/A</v>
          </cell>
          <cell r="K665" t="e">
            <v>#N/A</v>
          </cell>
          <cell r="L665" t="e">
            <v>#N/A</v>
          </cell>
          <cell r="M665" t="e">
            <v>#N/A</v>
          </cell>
          <cell r="N665" t="e">
            <v>#N/A</v>
          </cell>
          <cell r="O665" t="e">
            <v>#N/A</v>
          </cell>
          <cell r="P665">
            <v>1.095</v>
          </cell>
          <cell r="Q665" t="str">
            <v/>
          </cell>
          <cell r="R665" t="e">
            <v>#N/A</v>
          </cell>
        </row>
        <row r="666">
          <cell r="A666">
            <v>40688</v>
          </cell>
          <cell r="B666">
            <v>40688</v>
          </cell>
          <cell r="C666" t="str">
            <v>Future</v>
          </cell>
          <cell r="D666" t="e">
            <v>#N/A</v>
          </cell>
          <cell r="E666">
            <v>0.71885496183205899</v>
          </cell>
          <cell r="F666">
            <v>1.2478625954198492</v>
          </cell>
          <cell r="G666">
            <v>0.97992366412214538</v>
          </cell>
          <cell r="H666">
            <v>0.97992366412214538</v>
          </cell>
          <cell r="I666" t="e">
            <v>#N/A</v>
          </cell>
          <cell r="J666" t="e">
            <v>#N/A</v>
          </cell>
          <cell r="K666" t="e">
            <v>#N/A</v>
          </cell>
          <cell r="L666" t="e">
            <v>#N/A</v>
          </cell>
          <cell r="M666" t="e">
            <v>#N/A</v>
          </cell>
          <cell r="N666" t="e">
            <v>#N/A</v>
          </cell>
          <cell r="O666" t="e">
            <v>#N/A</v>
          </cell>
          <cell r="P666">
            <v>1.095</v>
          </cell>
          <cell r="Q666" t="str">
            <v/>
          </cell>
          <cell r="R666" t="e">
            <v>#N/A</v>
          </cell>
        </row>
        <row r="667">
          <cell r="A667">
            <v>40689</v>
          </cell>
          <cell r="B667">
            <v>40689</v>
          </cell>
          <cell r="C667" t="str">
            <v>Future</v>
          </cell>
          <cell r="D667" t="e">
            <v>#N/A</v>
          </cell>
          <cell r="E667">
            <v>0.71467557251908187</v>
          </cell>
          <cell r="F667">
            <v>1.249561068702292</v>
          </cell>
          <cell r="G667">
            <v>0.9786450381679469</v>
          </cell>
          <cell r="H667">
            <v>0.9786450381679469</v>
          </cell>
          <cell r="I667" t="e">
            <v>#N/A</v>
          </cell>
          <cell r="J667" t="e">
            <v>#N/A</v>
          </cell>
          <cell r="K667" t="e">
            <v>#N/A</v>
          </cell>
          <cell r="L667" t="e">
            <v>#N/A</v>
          </cell>
          <cell r="M667" t="e">
            <v>#N/A</v>
          </cell>
          <cell r="N667" t="e">
            <v>#N/A</v>
          </cell>
          <cell r="O667" t="e">
            <v>#N/A</v>
          </cell>
          <cell r="P667">
            <v>1.095</v>
          </cell>
          <cell r="Q667" t="str">
            <v/>
          </cell>
          <cell r="R667" t="e">
            <v>#N/A</v>
          </cell>
        </row>
        <row r="668">
          <cell r="A668">
            <v>40690</v>
          </cell>
          <cell r="B668">
            <v>40690</v>
          </cell>
          <cell r="C668" t="str">
            <v>Future</v>
          </cell>
          <cell r="D668" t="e">
            <v>#N/A</v>
          </cell>
          <cell r="E668">
            <v>0.71049618320610475</v>
          </cell>
          <cell r="F668">
            <v>1.2512595419847348</v>
          </cell>
          <cell r="G668">
            <v>0.97736641221374843</v>
          </cell>
          <cell r="H668">
            <v>0.97736641221374843</v>
          </cell>
          <cell r="I668" t="e">
            <v>#N/A</v>
          </cell>
          <cell r="J668" t="e">
            <v>#N/A</v>
          </cell>
          <cell r="K668" t="e">
            <v>#N/A</v>
          </cell>
          <cell r="L668" t="e">
            <v>#N/A</v>
          </cell>
          <cell r="M668" t="e">
            <v>#N/A</v>
          </cell>
          <cell r="N668" t="e">
            <v>#N/A</v>
          </cell>
          <cell r="O668" t="e">
            <v>#N/A</v>
          </cell>
          <cell r="P668">
            <v>1.095</v>
          </cell>
          <cell r="Q668" t="str">
            <v/>
          </cell>
          <cell r="R668" t="e">
            <v>#N/A</v>
          </cell>
        </row>
        <row r="669">
          <cell r="A669">
            <v>40693</v>
          </cell>
          <cell r="B669">
            <v>40693</v>
          </cell>
          <cell r="C669" t="str">
            <v>Future</v>
          </cell>
          <cell r="D669" t="e">
            <v>#N/A</v>
          </cell>
          <cell r="E669">
            <v>0.70631679389312763</v>
          </cell>
          <cell r="F669">
            <v>1.2529580152671775</v>
          </cell>
          <cell r="G669">
            <v>0.97608778625954995</v>
          </cell>
          <cell r="H669">
            <v>0.97608778625954995</v>
          </cell>
          <cell r="I669" t="e">
            <v>#N/A</v>
          </cell>
          <cell r="J669" t="e">
            <v>#N/A</v>
          </cell>
          <cell r="K669" t="e">
            <v>#N/A</v>
          </cell>
          <cell r="L669" t="e">
            <v>#N/A</v>
          </cell>
          <cell r="M669" t="e">
            <v>#N/A</v>
          </cell>
          <cell r="N669" t="e">
            <v>#N/A</v>
          </cell>
          <cell r="O669" t="e">
            <v>#N/A</v>
          </cell>
          <cell r="P669">
            <v>1.095</v>
          </cell>
          <cell r="Q669" t="str">
            <v/>
          </cell>
          <cell r="R669" t="e">
            <v>#N/A</v>
          </cell>
        </row>
        <row r="670">
          <cell r="A670">
            <v>40694</v>
          </cell>
          <cell r="B670">
            <v>40694</v>
          </cell>
          <cell r="C670" t="str">
            <v>Future</v>
          </cell>
          <cell r="D670" t="e">
            <v>#N/A</v>
          </cell>
          <cell r="E670">
            <v>0.7021374045801505</v>
          </cell>
          <cell r="F670">
            <v>1.2546564885496203</v>
          </cell>
          <cell r="G670">
            <v>0.97480916030535147</v>
          </cell>
          <cell r="H670">
            <v>0.97480916030535147</v>
          </cell>
          <cell r="I670" t="e">
            <v>#N/A</v>
          </cell>
          <cell r="J670" t="e">
            <v>#N/A</v>
          </cell>
          <cell r="K670" t="e">
            <v>#N/A</v>
          </cell>
          <cell r="L670" t="e">
            <v>#N/A</v>
          </cell>
          <cell r="M670" t="e">
            <v>#N/A</v>
          </cell>
          <cell r="N670" t="e">
            <v>#N/A</v>
          </cell>
          <cell r="O670" t="e">
            <v>#N/A</v>
          </cell>
          <cell r="P670">
            <v>1.095</v>
          </cell>
          <cell r="Q670" t="str">
            <v/>
          </cell>
          <cell r="R670" t="e">
            <v>#N/A</v>
          </cell>
        </row>
        <row r="671">
          <cell r="A671">
            <v>40695</v>
          </cell>
          <cell r="B671">
            <v>40695</v>
          </cell>
          <cell r="C671" t="str">
            <v>Future</v>
          </cell>
          <cell r="D671" t="e">
            <v>#N/A</v>
          </cell>
          <cell r="E671">
            <v>0.69795801526717338</v>
          </cell>
          <cell r="F671">
            <v>1.2563549618320631</v>
          </cell>
          <cell r="G671">
            <v>0.973530534351153</v>
          </cell>
          <cell r="H671">
            <v>0.973530534351153</v>
          </cell>
          <cell r="I671" t="e">
            <v>#N/A</v>
          </cell>
          <cell r="J671" t="e">
            <v>#N/A</v>
          </cell>
          <cell r="K671" t="e">
            <v>#N/A</v>
          </cell>
          <cell r="L671" t="e">
            <v>#N/A</v>
          </cell>
          <cell r="M671" t="e">
            <v>#N/A</v>
          </cell>
          <cell r="N671" t="e">
            <v>#N/A</v>
          </cell>
          <cell r="O671" t="e">
            <v>#N/A</v>
          </cell>
          <cell r="P671">
            <v>1.095</v>
          </cell>
          <cell r="Q671" t="str">
            <v/>
          </cell>
          <cell r="R671" t="e">
            <v>#N/A</v>
          </cell>
        </row>
        <row r="672">
          <cell r="A672">
            <v>40696</v>
          </cell>
          <cell r="B672">
            <v>40696</v>
          </cell>
          <cell r="C672" t="str">
            <v>Future</v>
          </cell>
          <cell r="D672" t="e">
            <v>#N/A</v>
          </cell>
          <cell r="E672">
            <v>0.69377862595419626</v>
          </cell>
          <cell r="F672">
            <v>1.2580534351145058</v>
          </cell>
          <cell r="G672">
            <v>0.97225190839695452</v>
          </cell>
          <cell r="H672">
            <v>0.97225190839695452</v>
          </cell>
          <cell r="I672" t="e">
            <v>#N/A</v>
          </cell>
          <cell r="J672" t="e">
            <v>#N/A</v>
          </cell>
          <cell r="K672" t="e">
            <v>#N/A</v>
          </cell>
          <cell r="L672" t="e">
            <v>#N/A</v>
          </cell>
          <cell r="M672" t="e">
            <v>#N/A</v>
          </cell>
          <cell r="N672" t="e">
            <v>#N/A</v>
          </cell>
          <cell r="O672" t="e">
            <v>#N/A</v>
          </cell>
          <cell r="P672">
            <v>1.095</v>
          </cell>
          <cell r="Q672" t="str">
            <v/>
          </cell>
          <cell r="R672" t="e">
            <v>#N/A</v>
          </cell>
        </row>
        <row r="673">
          <cell r="A673">
            <v>40697</v>
          </cell>
          <cell r="B673">
            <v>40697</v>
          </cell>
          <cell r="C673" t="str">
            <v>Future</v>
          </cell>
          <cell r="D673" t="e">
            <v>#N/A</v>
          </cell>
          <cell r="E673">
            <v>0.68959923664121914</v>
          </cell>
          <cell r="F673">
            <v>1.2597519083969486</v>
          </cell>
          <cell r="G673">
            <v>0.97097328244275605</v>
          </cell>
          <cell r="H673">
            <v>0.97097328244275605</v>
          </cell>
          <cell r="I673" t="e">
            <v>#N/A</v>
          </cell>
          <cell r="J673" t="e">
            <v>#N/A</v>
          </cell>
          <cell r="K673" t="e">
            <v>#N/A</v>
          </cell>
          <cell r="L673" t="e">
            <v>#N/A</v>
          </cell>
          <cell r="M673" t="e">
            <v>#N/A</v>
          </cell>
          <cell r="N673" t="e">
            <v>#N/A</v>
          </cell>
          <cell r="O673" t="e">
            <v>#N/A</v>
          </cell>
          <cell r="P673">
            <v>1.095</v>
          </cell>
          <cell r="Q673" t="str">
            <v/>
          </cell>
          <cell r="R673" t="e">
            <v>#N/A</v>
          </cell>
        </row>
        <row r="674">
          <cell r="A674">
            <v>40700</v>
          </cell>
          <cell r="B674">
            <v>40700</v>
          </cell>
          <cell r="C674" t="str">
            <v>Future</v>
          </cell>
          <cell r="D674" t="e">
            <v>#N/A</v>
          </cell>
          <cell r="E674">
            <v>0.68541984732824202</v>
          </cell>
          <cell r="F674">
            <v>1.2614503816793914</v>
          </cell>
          <cell r="G674">
            <v>0.96969465648855757</v>
          </cell>
          <cell r="H674">
            <v>0.96969465648855757</v>
          </cell>
          <cell r="I674" t="e">
            <v>#N/A</v>
          </cell>
          <cell r="J674" t="e">
            <v>#N/A</v>
          </cell>
          <cell r="K674" t="e">
            <v>#N/A</v>
          </cell>
          <cell r="L674" t="e">
            <v>#N/A</v>
          </cell>
          <cell r="M674" t="e">
            <v>#N/A</v>
          </cell>
          <cell r="N674" t="e">
            <v>#N/A</v>
          </cell>
          <cell r="O674" t="e">
            <v>#N/A</v>
          </cell>
          <cell r="P674">
            <v>1.095</v>
          </cell>
          <cell r="Q674" t="str">
            <v/>
          </cell>
          <cell r="R674" t="e">
            <v>#N/A</v>
          </cell>
        </row>
        <row r="675">
          <cell r="A675">
            <v>40701</v>
          </cell>
          <cell r="B675">
            <v>40701</v>
          </cell>
          <cell r="C675" t="str">
            <v>Future</v>
          </cell>
          <cell r="D675" t="e">
            <v>#N/A</v>
          </cell>
          <cell r="E675">
            <v>0.68124045801526489</v>
          </cell>
          <cell r="F675">
            <v>1.2631488549618342</v>
          </cell>
          <cell r="G675">
            <v>0.9684160305343591</v>
          </cell>
          <cell r="H675">
            <v>0.9684160305343591</v>
          </cell>
          <cell r="I675" t="e">
            <v>#N/A</v>
          </cell>
          <cell r="J675" t="e">
            <v>#N/A</v>
          </cell>
          <cell r="K675" t="e">
            <v>#N/A</v>
          </cell>
          <cell r="L675" t="e">
            <v>#N/A</v>
          </cell>
          <cell r="M675" t="e">
            <v>#N/A</v>
          </cell>
          <cell r="N675" t="e">
            <v>#N/A</v>
          </cell>
          <cell r="O675" t="e">
            <v>#N/A</v>
          </cell>
          <cell r="P675">
            <v>1.095</v>
          </cell>
          <cell r="Q675" t="str">
            <v/>
          </cell>
          <cell r="R675" t="e">
            <v>#N/A</v>
          </cell>
        </row>
        <row r="676">
          <cell r="A676">
            <v>40702</v>
          </cell>
          <cell r="B676">
            <v>40702</v>
          </cell>
          <cell r="C676" t="str">
            <v>Future</v>
          </cell>
          <cell r="D676" t="e">
            <v>#N/A</v>
          </cell>
          <cell r="E676">
            <v>0.67706106870228777</v>
          </cell>
          <cell r="F676">
            <v>1.2648473282442769</v>
          </cell>
          <cell r="G676">
            <v>0.96713740458016062</v>
          </cell>
          <cell r="H676">
            <v>0.96713740458016062</v>
          </cell>
          <cell r="I676" t="e">
            <v>#N/A</v>
          </cell>
          <cell r="J676" t="e">
            <v>#N/A</v>
          </cell>
          <cell r="K676" t="e">
            <v>#N/A</v>
          </cell>
          <cell r="L676" t="e">
            <v>#N/A</v>
          </cell>
          <cell r="M676" t="e">
            <v>#N/A</v>
          </cell>
          <cell r="N676" t="e">
            <v>#N/A</v>
          </cell>
          <cell r="O676" t="e">
            <v>#N/A</v>
          </cell>
          <cell r="P676">
            <v>1.095</v>
          </cell>
          <cell r="Q676" t="str">
            <v/>
          </cell>
          <cell r="R676" t="e">
            <v>#N/A</v>
          </cell>
        </row>
        <row r="677">
          <cell r="A677">
            <v>40703</v>
          </cell>
          <cell r="B677">
            <v>40703</v>
          </cell>
          <cell r="C677" t="str">
            <v>Future</v>
          </cell>
          <cell r="D677" t="e">
            <v>#N/A</v>
          </cell>
          <cell r="E677">
            <v>0.67288167938931065</v>
          </cell>
          <cell r="F677">
            <v>1.2665458015267197</v>
          </cell>
          <cell r="G677">
            <v>0.96585877862596214</v>
          </cell>
          <cell r="H677">
            <v>0.96585877862596214</v>
          </cell>
          <cell r="I677" t="e">
            <v>#N/A</v>
          </cell>
          <cell r="J677" t="e">
            <v>#N/A</v>
          </cell>
          <cell r="K677" t="e">
            <v>#N/A</v>
          </cell>
          <cell r="L677" t="e">
            <v>#N/A</v>
          </cell>
          <cell r="M677" t="e">
            <v>#N/A</v>
          </cell>
          <cell r="N677" t="e">
            <v>#N/A</v>
          </cell>
          <cell r="O677" t="e">
            <v>#N/A</v>
          </cell>
          <cell r="P677">
            <v>1.095</v>
          </cell>
          <cell r="Q677" t="str">
            <v/>
          </cell>
          <cell r="R677" t="e">
            <v>#N/A</v>
          </cell>
        </row>
        <row r="678">
          <cell r="A678">
            <v>40704</v>
          </cell>
          <cell r="B678">
            <v>40704</v>
          </cell>
          <cell r="C678" t="str">
            <v>Future</v>
          </cell>
          <cell r="D678" t="e">
            <v>#N/A</v>
          </cell>
          <cell r="E678">
            <v>0.66870229007633353</v>
          </cell>
          <cell r="F678">
            <v>1.2682442748091625</v>
          </cell>
          <cell r="G678">
            <v>0.96458015267176367</v>
          </cell>
          <cell r="H678">
            <v>0.96458015267176367</v>
          </cell>
          <cell r="I678" t="e">
            <v>#N/A</v>
          </cell>
          <cell r="J678" t="e">
            <v>#N/A</v>
          </cell>
          <cell r="K678" t="e">
            <v>#N/A</v>
          </cell>
          <cell r="L678" t="e">
            <v>#N/A</v>
          </cell>
          <cell r="M678" t="e">
            <v>#N/A</v>
          </cell>
          <cell r="N678" t="e">
            <v>#N/A</v>
          </cell>
          <cell r="O678" t="e">
            <v>#N/A</v>
          </cell>
          <cell r="P678">
            <v>1.095</v>
          </cell>
          <cell r="Q678" t="str">
            <v/>
          </cell>
          <cell r="R678" t="e">
            <v>#N/A</v>
          </cell>
        </row>
        <row r="679">
          <cell r="A679">
            <v>40707</v>
          </cell>
          <cell r="B679">
            <v>40707</v>
          </cell>
          <cell r="C679" t="str">
            <v>Future</v>
          </cell>
          <cell r="D679" t="e">
            <v>#N/A</v>
          </cell>
          <cell r="E679">
            <v>0.66452290076335641</v>
          </cell>
          <cell r="F679">
            <v>1.2699427480916052</v>
          </cell>
          <cell r="G679">
            <v>0.96330152671756519</v>
          </cell>
          <cell r="H679">
            <v>0.96330152671756519</v>
          </cell>
          <cell r="I679" t="e">
            <v>#N/A</v>
          </cell>
          <cell r="J679" t="e">
            <v>#N/A</v>
          </cell>
          <cell r="K679" t="e">
            <v>#N/A</v>
          </cell>
          <cell r="L679" t="e">
            <v>#N/A</v>
          </cell>
          <cell r="M679" t="e">
            <v>#N/A</v>
          </cell>
          <cell r="N679" t="e">
            <v>#N/A</v>
          </cell>
          <cell r="O679" t="e">
            <v>#N/A</v>
          </cell>
          <cell r="P679">
            <v>1.095</v>
          </cell>
          <cell r="Q679" t="str">
            <v/>
          </cell>
          <cell r="R679" t="e">
            <v>#N/A</v>
          </cell>
        </row>
        <row r="680">
          <cell r="A680">
            <v>40708</v>
          </cell>
          <cell r="B680">
            <v>40708</v>
          </cell>
          <cell r="C680" t="str">
            <v>Future</v>
          </cell>
          <cell r="D680" t="e">
            <v>#N/A</v>
          </cell>
          <cell r="E680">
            <v>0.66034351145037928</v>
          </cell>
          <cell r="F680">
            <v>1.271641221374048</v>
          </cell>
          <cell r="G680">
            <v>0.96202290076336672</v>
          </cell>
          <cell r="H680">
            <v>0.96202290076336672</v>
          </cell>
          <cell r="I680" t="e">
            <v>#N/A</v>
          </cell>
          <cell r="J680" t="e">
            <v>#N/A</v>
          </cell>
          <cell r="K680" t="e">
            <v>#N/A</v>
          </cell>
          <cell r="L680" t="e">
            <v>#N/A</v>
          </cell>
          <cell r="M680" t="e">
            <v>#N/A</v>
          </cell>
          <cell r="N680" t="e">
            <v>#N/A</v>
          </cell>
          <cell r="O680" t="e">
            <v>#N/A</v>
          </cell>
          <cell r="P680">
            <v>1.095</v>
          </cell>
          <cell r="Q680" t="str">
            <v/>
          </cell>
          <cell r="R680" t="e">
            <v>#N/A</v>
          </cell>
        </row>
        <row r="681">
          <cell r="A681">
            <v>40709</v>
          </cell>
          <cell r="B681">
            <v>40709</v>
          </cell>
          <cell r="C681" t="str">
            <v>Future</v>
          </cell>
          <cell r="D681" t="e">
            <v>#N/A</v>
          </cell>
          <cell r="E681">
            <v>0.65616412213740216</v>
          </cell>
          <cell r="F681">
            <v>1.2733396946564908</v>
          </cell>
          <cell r="G681">
            <v>0.96074427480916824</v>
          </cell>
          <cell r="H681">
            <v>0.96074427480916824</v>
          </cell>
          <cell r="I681" t="e">
            <v>#N/A</v>
          </cell>
          <cell r="J681" t="e">
            <v>#N/A</v>
          </cell>
          <cell r="K681" t="e">
            <v>#N/A</v>
          </cell>
          <cell r="L681" t="e">
            <v>#N/A</v>
          </cell>
          <cell r="M681" t="e">
            <v>#N/A</v>
          </cell>
          <cell r="N681" t="e">
            <v>#N/A</v>
          </cell>
          <cell r="O681" t="e">
            <v>#N/A</v>
          </cell>
          <cell r="P681">
            <v>1.095</v>
          </cell>
          <cell r="Q681" t="str">
            <v/>
          </cell>
          <cell r="R681" t="e">
            <v>#N/A</v>
          </cell>
        </row>
        <row r="682">
          <cell r="A682">
            <v>40710</v>
          </cell>
          <cell r="B682">
            <v>40710</v>
          </cell>
          <cell r="C682" t="str">
            <v>Future</v>
          </cell>
          <cell r="D682" t="e">
            <v>#N/A</v>
          </cell>
          <cell r="E682">
            <v>0.65198473282442504</v>
          </cell>
          <cell r="F682">
            <v>1.2750381679389335</v>
          </cell>
          <cell r="G682">
            <v>0.95946564885496977</v>
          </cell>
          <cell r="H682">
            <v>0.95946564885496977</v>
          </cell>
          <cell r="I682" t="e">
            <v>#N/A</v>
          </cell>
          <cell r="J682" t="e">
            <v>#N/A</v>
          </cell>
          <cell r="K682" t="e">
            <v>#N/A</v>
          </cell>
          <cell r="L682" t="e">
            <v>#N/A</v>
          </cell>
          <cell r="M682" t="e">
            <v>#N/A</v>
          </cell>
          <cell r="N682" t="e">
            <v>#N/A</v>
          </cell>
          <cell r="O682" t="e">
            <v>#N/A</v>
          </cell>
          <cell r="P682">
            <v>1.095</v>
          </cell>
          <cell r="Q682" t="str">
            <v/>
          </cell>
          <cell r="R682" t="e">
            <v>#N/A</v>
          </cell>
        </row>
        <row r="683">
          <cell r="A683">
            <v>40711</v>
          </cell>
          <cell r="B683">
            <v>40711</v>
          </cell>
          <cell r="C683" t="str">
            <v>Future</v>
          </cell>
          <cell r="D683" t="e">
            <v>#N/A</v>
          </cell>
          <cell r="E683">
            <v>0.64780534351144792</v>
          </cell>
          <cell r="F683">
            <v>1.2767366412213763</v>
          </cell>
          <cell r="G683">
            <v>0.95818702290077129</v>
          </cell>
          <cell r="H683">
            <v>0.95818702290077129</v>
          </cell>
          <cell r="I683" t="e">
            <v>#N/A</v>
          </cell>
          <cell r="J683" t="e">
            <v>#N/A</v>
          </cell>
          <cell r="K683" t="e">
            <v>#N/A</v>
          </cell>
          <cell r="L683" t="e">
            <v>#N/A</v>
          </cell>
          <cell r="M683" t="e">
            <v>#N/A</v>
          </cell>
          <cell r="N683" t="e">
            <v>#N/A</v>
          </cell>
          <cell r="O683" t="e">
            <v>#N/A</v>
          </cell>
          <cell r="P683">
            <v>1.095</v>
          </cell>
          <cell r="Q683" t="str">
            <v/>
          </cell>
          <cell r="R683" t="e">
            <v>#N/A</v>
          </cell>
        </row>
        <row r="684">
          <cell r="A684">
            <v>40714</v>
          </cell>
          <cell r="B684">
            <v>40714</v>
          </cell>
          <cell r="C684" t="str">
            <v>Future</v>
          </cell>
          <cell r="D684" t="e">
            <v>#N/A</v>
          </cell>
          <cell r="E684">
            <v>0.6436259541984708</v>
          </cell>
          <cell r="F684">
            <v>1.2784351145038191</v>
          </cell>
          <cell r="G684">
            <v>0.95690839694657281</v>
          </cell>
          <cell r="H684">
            <v>0.95690839694657281</v>
          </cell>
          <cell r="I684" t="e">
            <v>#N/A</v>
          </cell>
          <cell r="J684" t="e">
            <v>#N/A</v>
          </cell>
          <cell r="K684" t="e">
            <v>#N/A</v>
          </cell>
          <cell r="L684" t="e">
            <v>#N/A</v>
          </cell>
          <cell r="M684" t="e">
            <v>#N/A</v>
          </cell>
          <cell r="N684" t="e">
            <v>#N/A</v>
          </cell>
          <cell r="O684" t="e">
            <v>#N/A</v>
          </cell>
          <cell r="P684">
            <v>1.095</v>
          </cell>
          <cell r="Q684" t="str">
            <v/>
          </cell>
          <cell r="R684" t="e">
            <v>#N/A</v>
          </cell>
        </row>
        <row r="685">
          <cell r="A685">
            <v>40715</v>
          </cell>
          <cell r="B685">
            <v>40715</v>
          </cell>
          <cell r="C685" t="str">
            <v>Future</v>
          </cell>
          <cell r="D685" t="e">
            <v>#N/A</v>
          </cell>
          <cell r="E685">
            <v>0.63944656488549367</v>
          </cell>
          <cell r="F685">
            <v>1.2801335877862619</v>
          </cell>
          <cell r="G685">
            <v>0.95562977099237434</v>
          </cell>
          <cell r="H685">
            <v>0.95562977099237434</v>
          </cell>
          <cell r="I685" t="e">
            <v>#N/A</v>
          </cell>
          <cell r="J685" t="e">
            <v>#N/A</v>
          </cell>
          <cell r="K685" t="e">
            <v>#N/A</v>
          </cell>
          <cell r="L685" t="e">
            <v>#N/A</v>
          </cell>
          <cell r="M685" t="e">
            <v>#N/A</v>
          </cell>
          <cell r="N685" t="e">
            <v>#N/A</v>
          </cell>
          <cell r="O685" t="e">
            <v>#N/A</v>
          </cell>
          <cell r="P685">
            <v>1.095</v>
          </cell>
          <cell r="Q685" t="str">
            <v/>
          </cell>
          <cell r="R685" t="e">
            <v>#N/A</v>
          </cell>
        </row>
        <row r="686">
          <cell r="A686">
            <v>40716</v>
          </cell>
          <cell r="B686">
            <v>40716</v>
          </cell>
          <cell r="C686" t="str">
            <v>Future</v>
          </cell>
          <cell r="D686" t="e">
            <v>#N/A</v>
          </cell>
          <cell r="E686">
            <v>0.63526717557251655</v>
          </cell>
          <cell r="F686">
            <v>1.2818320610687046</v>
          </cell>
          <cell r="G686">
            <v>0.95435114503817586</v>
          </cell>
          <cell r="H686">
            <v>0.95435114503817586</v>
          </cell>
          <cell r="I686" t="e">
            <v>#N/A</v>
          </cell>
          <cell r="J686" t="e">
            <v>#N/A</v>
          </cell>
          <cell r="K686" t="e">
            <v>#N/A</v>
          </cell>
          <cell r="L686" t="e">
            <v>#N/A</v>
          </cell>
          <cell r="M686" t="e">
            <v>#N/A</v>
          </cell>
          <cell r="N686" t="e">
            <v>#N/A</v>
          </cell>
          <cell r="O686" t="e">
            <v>#N/A</v>
          </cell>
          <cell r="P686">
            <v>1.095</v>
          </cell>
          <cell r="Q686" t="str">
            <v/>
          </cell>
          <cell r="R686" t="e">
            <v>#N/A</v>
          </cell>
        </row>
        <row r="687">
          <cell r="A687">
            <v>40717</v>
          </cell>
          <cell r="B687">
            <v>40717</v>
          </cell>
          <cell r="C687" t="str">
            <v>Future</v>
          </cell>
          <cell r="D687" t="e">
            <v>#N/A</v>
          </cell>
          <cell r="E687">
            <v>0.63108778625953943</v>
          </cell>
          <cell r="F687">
            <v>1.2835305343511474</v>
          </cell>
          <cell r="G687">
            <v>0.95307251908397739</v>
          </cell>
          <cell r="H687">
            <v>0.95307251908397739</v>
          </cell>
          <cell r="I687" t="e">
            <v>#N/A</v>
          </cell>
          <cell r="J687" t="e">
            <v>#N/A</v>
          </cell>
          <cell r="K687" t="e">
            <v>#N/A</v>
          </cell>
          <cell r="L687" t="e">
            <v>#N/A</v>
          </cell>
          <cell r="M687" t="e">
            <v>#N/A</v>
          </cell>
          <cell r="N687" t="e">
            <v>#N/A</v>
          </cell>
          <cell r="O687" t="e">
            <v>#N/A</v>
          </cell>
          <cell r="P687">
            <v>1.095</v>
          </cell>
          <cell r="Q687" t="str">
            <v/>
          </cell>
          <cell r="R687" t="e">
            <v>#N/A</v>
          </cell>
        </row>
        <row r="688">
          <cell r="A688">
            <v>40718</v>
          </cell>
          <cell r="B688">
            <v>40718</v>
          </cell>
          <cell r="C688" t="str">
            <v>Future</v>
          </cell>
          <cell r="D688" t="e">
            <v>#N/A</v>
          </cell>
          <cell r="E688">
            <v>0.62690839694656231</v>
          </cell>
          <cell r="F688">
            <v>1.2852290076335902</v>
          </cell>
          <cell r="G688">
            <v>0.95179389312977891</v>
          </cell>
          <cell r="H688">
            <v>0.95179389312977891</v>
          </cell>
          <cell r="I688" t="e">
            <v>#N/A</v>
          </cell>
          <cell r="J688" t="e">
            <v>#N/A</v>
          </cell>
          <cell r="K688" t="e">
            <v>#N/A</v>
          </cell>
          <cell r="L688" t="e">
            <v>#N/A</v>
          </cell>
          <cell r="M688" t="e">
            <v>#N/A</v>
          </cell>
          <cell r="N688" t="e">
            <v>#N/A</v>
          </cell>
          <cell r="O688" t="e">
            <v>#N/A</v>
          </cell>
          <cell r="P688">
            <v>1.095</v>
          </cell>
          <cell r="Q688" t="str">
            <v/>
          </cell>
          <cell r="R688" t="e">
            <v>#N/A</v>
          </cell>
        </row>
        <row r="689">
          <cell r="A689">
            <v>40721</v>
          </cell>
          <cell r="B689">
            <v>40721</v>
          </cell>
          <cell r="C689" t="str">
            <v>Future</v>
          </cell>
          <cell r="D689" t="e">
            <v>#N/A</v>
          </cell>
          <cell r="E689">
            <v>0.62272900763358519</v>
          </cell>
          <cell r="F689">
            <v>1.2869274809160329</v>
          </cell>
          <cell r="G689">
            <v>0.95051526717558044</v>
          </cell>
          <cell r="H689">
            <v>0.95051526717558044</v>
          </cell>
          <cell r="I689" t="e">
            <v>#N/A</v>
          </cell>
          <cell r="J689" t="e">
            <v>#N/A</v>
          </cell>
          <cell r="K689" t="e">
            <v>#N/A</v>
          </cell>
          <cell r="L689" t="e">
            <v>#N/A</v>
          </cell>
          <cell r="M689" t="e">
            <v>#N/A</v>
          </cell>
          <cell r="N689" t="e">
            <v>#N/A</v>
          </cell>
          <cell r="O689" t="e">
            <v>#N/A</v>
          </cell>
          <cell r="P689">
            <v>1.095</v>
          </cell>
          <cell r="Q689" t="str">
            <v/>
          </cell>
          <cell r="R689" t="e">
            <v>#N/A</v>
          </cell>
        </row>
        <row r="690">
          <cell r="A690">
            <v>40722</v>
          </cell>
          <cell r="B690">
            <v>40722</v>
          </cell>
          <cell r="C690" t="str">
            <v>Future</v>
          </cell>
          <cell r="D690" t="e">
            <v>#N/A</v>
          </cell>
          <cell r="E690">
            <v>0.61854961832060806</v>
          </cell>
          <cell r="F690">
            <v>1.2886259541984757</v>
          </cell>
          <cell r="G690">
            <v>0.94923664122138196</v>
          </cell>
          <cell r="H690">
            <v>0.94923664122138196</v>
          </cell>
          <cell r="I690" t="e">
            <v>#N/A</v>
          </cell>
          <cell r="J690" t="e">
            <v>#N/A</v>
          </cell>
          <cell r="K690" t="e">
            <v>#N/A</v>
          </cell>
          <cell r="L690" t="e">
            <v>#N/A</v>
          </cell>
          <cell r="M690" t="e">
            <v>#N/A</v>
          </cell>
          <cell r="N690" t="e">
            <v>#N/A</v>
          </cell>
          <cell r="O690" t="e">
            <v>#N/A</v>
          </cell>
          <cell r="P690">
            <v>1.095</v>
          </cell>
          <cell r="Q690" t="str">
            <v/>
          </cell>
          <cell r="R690" t="e">
            <v>#N/A</v>
          </cell>
        </row>
        <row r="691">
          <cell r="A691">
            <v>40723</v>
          </cell>
          <cell r="B691">
            <v>40723</v>
          </cell>
          <cell r="C691" t="str">
            <v>Future</v>
          </cell>
          <cell r="D691" t="e">
            <v>#N/A</v>
          </cell>
          <cell r="E691">
            <v>0.61437022900763094</v>
          </cell>
          <cell r="F691">
            <v>1.2903244274809185</v>
          </cell>
          <cell r="G691">
            <v>0.94795801526718348</v>
          </cell>
          <cell r="H691">
            <v>0.94795801526718348</v>
          </cell>
          <cell r="I691" t="e">
            <v>#N/A</v>
          </cell>
          <cell r="J691" t="e">
            <v>#N/A</v>
          </cell>
          <cell r="K691" t="e">
            <v>#N/A</v>
          </cell>
          <cell r="L691" t="e">
            <v>#N/A</v>
          </cell>
          <cell r="M691" t="e">
            <v>#N/A</v>
          </cell>
          <cell r="N691" t="e">
            <v>#N/A</v>
          </cell>
          <cell r="O691" t="e">
            <v>#N/A</v>
          </cell>
          <cell r="P691">
            <v>1.095</v>
          </cell>
          <cell r="Q691" t="str">
            <v/>
          </cell>
          <cell r="R691" t="e">
            <v>#N/A</v>
          </cell>
        </row>
        <row r="692">
          <cell r="A692">
            <v>40724</v>
          </cell>
          <cell r="B692">
            <v>40724</v>
          </cell>
          <cell r="C692" t="str">
            <v>Future</v>
          </cell>
          <cell r="D692" t="e">
            <v>#N/A</v>
          </cell>
          <cell r="E692">
            <v>0.61019083969465382</v>
          </cell>
          <cell r="F692">
            <v>1.2920229007633612</v>
          </cell>
          <cell r="G692">
            <v>0.94667938931298501</v>
          </cell>
          <cell r="H692">
            <v>0.94667938931298501</v>
          </cell>
          <cell r="I692" t="e">
            <v>#N/A</v>
          </cell>
          <cell r="J692" t="e">
            <v>#N/A</v>
          </cell>
          <cell r="K692" t="e">
            <v>#N/A</v>
          </cell>
          <cell r="L692" t="e">
            <v>#N/A</v>
          </cell>
          <cell r="M692" t="e">
            <v>#N/A</v>
          </cell>
          <cell r="N692" t="e">
            <v>#N/A</v>
          </cell>
          <cell r="O692" t="e">
            <v>#N/A</v>
          </cell>
          <cell r="P692">
            <v>1.095</v>
          </cell>
          <cell r="Q692" t="str">
            <v/>
          </cell>
          <cell r="R692" t="e">
            <v>#N/A</v>
          </cell>
        </row>
        <row r="693">
          <cell r="A693">
            <v>40725</v>
          </cell>
          <cell r="B693">
            <v>40725</v>
          </cell>
          <cell r="C693" t="str">
            <v>Future</v>
          </cell>
          <cell r="D693" t="e">
            <v>#N/A</v>
          </cell>
          <cell r="E693">
            <v>0.6060114503816767</v>
          </cell>
          <cell r="F693">
            <v>1.293721374045804</v>
          </cell>
          <cell r="G693">
            <v>0.94540076335878653</v>
          </cell>
          <cell r="H693">
            <v>0.94540076335878653</v>
          </cell>
          <cell r="I693" t="e">
            <v>#N/A</v>
          </cell>
          <cell r="J693" t="e">
            <v>#N/A</v>
          </cell>
          <cell r="K693" t="e">
            <v>#N/A</v>
          </cell>
          <cell r="L693" t="e">
            <v>#N/A</v>
          </cell>
          <cell r="M693" t="e">
            <v>#N/A</v>
          </cell>
          <cell r="N693" t="e">
            <v>#N/A</v>
          </cell>
          <cell r="O693" t="e">
            <v>#N/A</v>
          </cell>
          <cell r="P693">
            <v>1.095</v>
          </cell>
          <cell r="Q693" t="str">
            <v/>
          </cell>
          <cell r="R693" t="e">
            <v>#N/A</v>
          </cell>
        </row>
        <row r="694">
          <cell r="A694">
            <v>40728</v>
          </cell>
          <cell r="B694">
            <v>40728</v>
          </cell>
          <cell r="C694" t="str">
            <v>Future</v>
          </cell>
          <cell r="D694" t="e">
            <v>#N/A</v>
          </cell>
          <cell r="E694">
            <v>0.60183206106869958</v>
          </cell>
          <cell r="F694">
            <v>1.2954198473282468</v>
          </cell>
          <cell r="G694">
            <v>0.94412213740458806</v>
          </cell>
          <cell r="H694">
            <v>0.94412213740458806</v>
          </cell>
          <cell r="I694" t="e">
            <v>#N/A</v>
          </cell>
          <cell r="J694" t="e">
            <v>#N/A</v>
          </cell>
          <cell r="K694" t="e">
            <v>#N/A</v>
          </cell>
          <cell r="L694" t="e">
            <v>#N/A</v>
          </cell>
          <cell r="M694" t="e">
            <v>#N/A</v>
          </cell>
          <cell r="N694" t="e">
            <v>#N/A</v>
          </cell>
          <cell r="O694" t="e">
            <v>#N/A</v>
          </cell>
          <cell r="P694">
            <v>1.095</v>
          </cell>
          <cell r="Q694" t="str">
            <v/>
          </cell>
          <cell r="R694" t="e">
            <v>#N/A</v>
          </cell>
        </row>
        <row r="695">
          <cell r="A695">
            <v>40729</v>
          </cell>
          <cell r="B695">
            <v>40729</v>
          </cell>
          <cell r="C695" t="str">
            <v>Future</v>
          </cell>
          <cell r="D695" t="e">
            <v>#N/A</v>
          </cell>
          <cell r="E695">
            <v>0.59765267175572245</v>
          </cell>
          <cell r="F695">
            <v>1.2971183206106895</v>
          </cell>
          <cell r="G695">
            <v>0.94284351145038958</v>
          </cell>
          <cell r="H695">
            <v>0.94284351145038958</v>
          </cell>
          <cell r="I695" t="e">
            <v>#N/A</v>
          </cell>
          <cell r="J695" t="e">
            <v>#N/A</v>
          </cell>
          <cell r="K695" t="e">
            <v>#N/A</v>
          </cell>
          <cell r="L695" t="e">
            <v>#N/A</v>
          </cell>
          <cell r="M695" t="e">
            <v>#N/A</v>
          </cell>
          <cell r="N695" t="e">
            <v>#N/A</v>
          </cell>
          <cell r="O695" t="e">
            <v>#N/A</v>
          </cell>
          <cell r="P695">
            <v>1.095</v>
          </cell>
          <cell r="Q695" t="str">
            <v/>
          </cell>
          <cell r="R695" t="e">
            <v>#N/A</v>
          </cell>
        </row>
        <row r="696">
          <cell r="A696">
            <v>40730</v>
          </cell>
          <cell r="B696">
            <v>40730</v>
          </cell>
          <cell r="C696" t="str">
            <v>Future</v>
          </cell>
          <cell r="D696" t="e">
            <v>#N/A</v>
          </cell>
          <cell r="E696">
            <v>0.59347328244274533</v>
          </cell>
          <cell r="F696">
            <v>1.2988167938931323</v>
          </cell>
          <cell r="G696">
            <v>0.94156488549619111</v>
          </cell>
          <cell r="H696">
            <v>0.94156488549619111</v>
          </cell>
          <cell r="I696" t="e">
            <v>#N/A</v>
          </cell>
          <cell r="J696" t="e">
            <v>#N/A</v>
          </cell>
          <cell r="K696" t="e">
            <v>#N/A</v>
          </cell>
          <cell r="L696" t="e">
            <v>#N/A</v>
          </cell>
          <cell r="M696" t="e">
            <v>#N/A</v>
          </cell>
          <cell r="N696" t="e">
            <v>#N/A</v>
          </cell>
          <cell r="O696" t="e">
            <v>#N/A</v>
          </cell>
          <cell r="P696">
            <v>1.095</v>
          </cell>
          <cell r="Q696" t="str">
            <v/>
          </cell>
          <cell r="R696" t="e">
            <v>#N/A</v>
          </cell>
        </row>
        <row r="697">
          <cell r="A697">
            <v>40731</v>
          </cell>
          <cell r="B697">
            <v>40731</v>
          </cell>
          <cell r="C697" t="str">
            <v>Future</v>
          </cell>
          <cell r="D697" t="e">
            <v>#N/A</v>
          </cell>
          <cell r="E697">
            <v>0.58929389312976821</v>
          </cell>
          <cell r="F697">
            <v>1.3005152671755751</v>
          </cell>
          <cell r="G697">
            <v>0.94028625954199263</v>
          </cell>
          <cell r="H697">
            <v>0.94028625954199263</v>
          </cell>
          <cell r="I697" t="e">
            <v>#N/A</v>
          </cell>
          <cell r="J697" t="e">
            <v>#N/A</v>
          </cell>
          <cell r="K697" t="e">
            <v>#N/A</v>
          </cell>
          <cell r="L697" t="e">
            <v>#N/A</v>
          </cell>
          <cell r="M697" t="e">
            <v>#N/A</v>
          </cell>
          <cell r="N697" t="e">
            <v>#N/A</v>
          </cell>
          <cell r="O697" t="e">
            <v>#N/A</v>
          </cell>
          <cell r="P697">
            <v>1.095</v>
          </cell>
          <cell r="Q697" t="str">
            <v/>
          </cell>
          <cell r="R697" t="e">
            <v>#N/A</v>
          </cell>
        </row>
        <row r="698">
          <cell r="A698">
            <v>40732</v>
          </cell>
          <cell r="B698">
            <v>40732</v>
          </cell>
          <cell r="C698" t="str">
            <v>Future</v>
          </cell>
          <cell r="D698" t="e">
            <v>#N/A</v>
          </cell>
          <cell r="E698">
            <v>0.58511450381679109</v>
          </cell>
          <cell r="F698">
            <v>1.3022137404580179</v>
          </cell>
          <cell r="G698">
            <v>0.93900763358779415</v>
          </cell>
          <cell r="H698">
            <v>0.93900763358779415</v>
          </cell>
          <cell r="I698" t="e">
            <v>#N/A</v>
          </cell>
          <cell r="J698" t="e">
            <v>#N/A</v>
          </cell>
          <cell r="K698" t="e">
            <v>#N/A</v>
          </cell>
          <cell r="L698" t="e">
            <v>#N/A</v>
          </cell>
          <cell r="M698" t="e">
            <v>#N/A</v>
          </cell>
          <cell r="N698" t="e">
            <v>#N/A</v>
          </cell>
          <cell r="O698" t="e">
            <v>#N/A</v>
          </cell>
          <cell r="P698">
            <v>1.095</v>
          </cell>
          <cell r="Q698" t="str">
            <v/>
          </cell>
          <cell r="R698" t="e">
            <v>#N/A</v>
          </cell>
        </row>
        <row r="699">
          <cell r="A699">
            <v>40735</v>
          </cell>
          <cell r="B699">
            <v>40735</v>
          </cell>
          <cell r="C699" t="str">
            <v>Future</v>
          </cell>
          <cell r="D699" t="e">
            <v>#N/A</v>
          </cell>
          <cell r="E699">
            <v>0.58093511450381397</v>
          </cell>
          <cell r="F699">
            <v>1.3039122137404606</v>
          </cell>
          <cell r="G699">
            <v>0.93772900763359568</v>
          </cell>
          <cell r="H699">
            <v>0.93772900763359568</v>
          </cell>
          <cell r="I699" t="e">
            <v>#N/A</v>
          </cell>
          <cell r="J699" t="e">
            <v>#N/A</v>
          </cell>
          <cell r="K699" t="e">
            <v>#N/A</v>
          </cell>
          <cell r="L699" t="e">
            <v>#N/A</v>
          </cell>
          <cell r="M699" t="e">
            <v>#N/A</v>
          </cell>
          <cell r="N699" t="e">
            <v>#N/A</v>
          </cell>
          <cell r="O699" t="e">
            <v>#N/A</v>
          </cell>
          <cell r="P699">
            <v>1.095</v>
          </cell>
          <cell r="Q699" t="str">
            <v/>
          </cell>
          <cell r="R699" t="e">
            <v>#N/A</v>
          </cell>
        </row>
        <row r="700">
          <cell r="A700">
            <v>40736</v>
          </cell>
          <cell r="B700">
            <v>40736</v>
          </cell>
          <cell r="C700" t="str">
            <v>Future</v>
          </cell>
          <cell r="D700" t="e">
            <v>#N/A</v>
          </cell>
          <cell r="E700">
            <v>0.57675572519083684</v>
          </cell>
          <cell r="F700">
            <v>1.3056106870229034</v>
          </cell>
          <cell r="G700">
            <v>0.9364503816793972</v>
          </cell>
          <cell r="H700">
            <v>0.9364503816793972</v>
          </cell>
          <cell r="I700" t="e">
            <v>#N/A</v>
          </cell>
          <cell r="J700" t="e">
            <v>#N/A</v>
          </cell>
          <cell r="K700" t="e">
            <v>#N/A</v>
          </cell>
          <cell r="L700" t="e">
            <v>#N/A</v>
          </cell>
          <cell r="M700" t="e">
            <v>#N/A</v>
          </cell>
          <cell r="N700" t="e">
            <v>#N/A</v>
          </cell>
          <cell r="O700" t="e">
            <v>#N/A</v>
          </cell>
          <cell r="P700">
            <v>1.095</v>
          </cell>
          <cell r="Q700" t="str">
            <v/>
          </cell>
          <cell r="R700" t="e">
            <v>#N/A</v>
          </cell>
        </row>
        <row r="701">
          <cell r="A701">
            <v>40737</v>
          </cell>
          <cell r="B701">
            <v>40737</v>
          </cell>
          <cell r="C701" t="str">
            <v>Future</v>
          </cell>
          <cell r="D701" t="e">
            <v>#N/A</v>
          </cell>
          <cell r="E701">
            <v>0.57257633587785972</v>
          </cell>
          <cell r="F701">
            <v>1.3073091603053462</v>
          </cell>
          <cell r="G701">
            <v>0.93517175572519873</v>
          </cell>
          <cell r="H701">
            <v>0.93517175572519873</v>
          </cell>
          <cell r="I701" t="e">
            <v>#N/A</v>
          </cell>
          <cell r="J701" t="e">
            <v>#N/A</v>
          </cell>
          <cell r="K701" t="e">
            <v>#N/A</v>
          </cell>
          <cell r="L701" t="e">
            <v>#N/A</v>
          </cell>
          <cell r="M701" t="e">
            <v>#N/A</v>
          </cell>
          <cell r="N701" t="e">
            <v>#N/A</v>
          </cell>
          <cell r="O701" t="e">
            <v>#N/A</v>
          </cell>
          <cell r="P701">
            <v>1.095</v>
          </cell>
          <cell r="Q701" t="str">
            <v/>
          </cell>
          <cell r="R701" t="e">
            <v>#N/A</v>
          </cell>
        </row>
        <row r="702">
          <cell r="A702">
            <v>40738</v>
          </cell>
          <cell r="B702">
            <v>40738</v>
          </cell>
          <cell r="C702" t="str">
            <v>Future</v>
          </cell>
          <cell r="D702" t="e">
            <v>#N/A</v>
          </cell>
          <cell r="E702">
            <v>0.5683969465648826</v>
          </cell>
          <cell r="F702">
            <v>1.3090076335877889</v>
          </cell>
          <cell r="G702">
            <v>0.93389312977100025</v>
          </cell>
          <cell r="H702">
            <v>0.93389312977100025</v>
          </cell>
          <cell r="I702" t="e">
            <v>#N/A</v>
          </cell>
          <cell r="J702" t="e">
            <v>#N/A</v>
          </cell>
          <cell r="K702" t="e">
            <v>#N/A</v>
          </cell>
          <cell r="L702" t="e">
            <v>#N/A</v>
          </cell>
          <cell r="M702" t="e">
            <v>#N/A</v>
          </cell>
          <cell r="N702" t="e">
            <v>#N/A</v>
          </cell>
          <cell r="O702" t="e">
            <v>#N/A</v>
          </cell>
          <cell r="P702">
            <v>1.095</v>
          </cell>
          <cell r="Q702" t="str">
            <v/>
          </cell>
          <cell r="R702" t="e">
            <v>#N/A</v>
          </cell>
        </row>
        <row r="703">
          <cell r="A703">
            <v>40739</v>
          </cell>
          <cell r="B703">
            <v>40739</v>
          </cell>
          <cell r="C703" t="str">
            <v>Future</v>
          </cell>
          <cell r="D703" t="e">
            <v>#N/A</v>
          </cell>
          <cell r="E703">
            <v>0.56421755725190548</v>
          </cell>
          <cell r="F703">
            <v>1.3107061068702317</v>
          </cell>
          <cell r="G703">
            <v>0.93261450381680178</v>
          </cell>
          <cell r="H703">
            <v>0.93261450381680178</v>
          </cell>
          <cell r="I703" t="e">
            <v>#N/A</v>
          </cell>
          <cell r="J703" t="e">
            <v>#N/A</v>
          </cell>
          <cell r="K703" t="e">
            <v>#N/A</v>
          </cell>
          <cell r="L703" t="e">
            <v>#N/A</v>
          </cell>
          <cell r="M703" t="e">
            <v>#N/A</v>
          </cell>
          <cell r="N703" t="e">
            <v>#N/A</v>
          </cell>
          <cell r="O703" t="e">
            <v>#N/A</v>
          </cell>
          <cell r="P703">
            <v>1.095</v>
          </cell>
          <cell r="Q703" t="str">
            <v/>
          </cell>
          <cell r="R703" t="e">
            <v>#N/A</v>
          </cell>
        </row>
        <row r="704">
          <cell r="A704">
            <v>40742</v>
          </cell>
          <cell r="B704">
            <v>40742</v>
          </cell>
          <cell r="C704" t="str">
            <v>Future</v>
          </cell>
          <cell r="D704" t="e">
            <v>#N/A</v>
          </cell>
          <cell r="E704">
            <v>0.56003816793892836</v>
          </cell>
          <cell r="F704">
            <v>1.3124045801526745</v>
          </cell>
          <cell r="G704">
            <v>0.9313358778626033</v>
          </cell>
          <cell r="H704">
            <v>0.9313358778626033</v>
          </cell>
          <cell r="I704" t="e">
            <v>#N/A</v>
          </cell>
          <cell r="J704" t="e">
            <v>#N/A</v>
          </cell>
          <cell r="K704" t="e">
            <v>#N/A</v>
          </cell>
          <cell r="L704" t="e">
            <v>#N/A</v>
          </cell>
          <cell r="M704" t="e">
            <v>#N/A</v>
          </cell>
          <cell r="N704" t="e">
            <v>#N/A</v>
          </cell>
          <cell r="O704" t="e">
            <v>#N/A</v>
          </cell>
          <cell r="P704">
            <v>1.095</v>
          </cell>
          <cell r="Q704" t="str">
            <v/>
          </cell>
          <cell r="R704" t="e">
            <v>#N/A</v>
          </cell>
        </row>
        <row r="705">
          <cell r="A705">
            <v>40743</v>
          </cell>
          <cell r="B705">
            <v>40743</v>
          </cell>
          <cell r="C705" t="str">
            <v>Future</v>
          </cell>
          <cell r="D705" t="e">
            <v>#N/A</v>
          </cell>
          <cell r="E705">
            <v>0.55585877862595123</v>
          </cell>
          <cell r="F705">
            <v>1.3141030534351172</v>
          </cell>
          <cell r="G705">
            <v>0.93005725190840483</v>
          </cell>
          <cell r="H705">
            <v>0.93005725190840483</v>
          </cell>
          <cell r="I705" t="e">
            <v>#N/A</v>
          </cell>
          <cell r="J705" t="e">
            <v>#N/A</v>
          </cell>
          <cell r="K705" t="e">
            <v>#N/A</v>
          </cell>
          <cell r="L705" t="e">
            <v>#N/A</v>
          </cell>
          <cell r="M705" t="e">
            <v>#N/A</v>
          </cell>
          <cell r="N705" t="e">
            <v>#N/A</v>
          </cell>
          <cell r="O705" t="e">
            <v>#N/A</v>
          </cell>
          <cell r="P705">
            <v>1.095</v>
          </cell>
          <cell r="Q705" t="str">
            <v/>
          </cell>
          <cell r="R705" t="e">
            <v>#N/A</v>
          </cell>
        </row>
        <row r="706">
          <cell r="A706">
            <v>40744</v>
          </cell>
          <cell r="B706">
            <v>40744</v>
          </cell>
          <cell r="C706" t="str">
            <v>Future</v>
          </cell>
          <cell r="D706" t="e">
            <v>#N/A</v>
          </cell>
          <cell r="E706">
            <v>0.55167938931297411</v>
          </cell>
          <cell r="F706">
            <v>1.31580152671756</v>
          </cell>
          <cell r="G706">
            <v>0.92877862595420635</v>
          </cell>
          <cell r="H706">
            <v>0.92877862595420635</v>
          </cell>
          <cell r="I706" t="e">
            <v>#N/A</v>
          </cell>
          <cell r="J706" t="e">
            <v>#N/A</v>
          </cell>
          <cell r="K706" t="e">
            <v>#N/A</v>
          </cell>
          <cell r="L706" t="e">
            <v>#N/A</v>
          </cell>
          <cell r="M706" t="e">
            <v>#N/A</v>
          </cell>
          <cell r="N706" t="e">
            <v>#N/A</v>
          </cell>
          <cell r="O706" t="e">
            <v>#N/A</v>
          </cell>
          <cell r="P706">
            <v>1.095</v>
          </cell>
          <cell r="Q706" t="str">
            <v/>
          </cell>
          <cell r="R706" t="e">
            <v>#N/A</v>
          </cell>
        </row>
        <row r="707">
          <cell r="A707">
            <v>40745</v>
          </cell>
          <cell r="B707">
            <v>40745</v>
          </cell>
          <cell r="C707" t="str">
            <v>Future</v>
          </cell>
          <cell r="D707" t="e">
            <v>#N/A</v>
          </cell>
          <cell r="E707">
            <v>0.54749999999999699</v>
          </cell>
          <cell r="F707">
            <v>1.3175000000000028</v>
          </cell>
          <cell r="G707">
            <v>0.92750000000000787</v>
          </cell>
          <cell r="H707">
            <v>0.92750000000000787</v>
          </cell>
          <cell r="I707" t="e">
            <v>#N/A</v>
          </cell>
          <cell r="J707" t="e">
            <v>#N/A</v>
          </cell>
          <cell r="K707" t="e">
            <v>#N/A</v>
          </cell>
          <cell r="L707" t="e">
            <v>#N/A</v>
          </cell>
          <cell r="M707" t="e">
            <v>#N/A</v>
          </cell>
          <cell r="N707" t="e">
            <v>#N/A</v>
          </cell>
          <cell r="O707" t="e">
            <v>#N/A</v>
          </cell>
          <cell r="P707">
            <v>1.095</v>
          </cell>
          <cell r="Q707" t="str">
            <v/>
          </cell>
          <cell r="R707" t="e">
            <v>#N/A</v>
          </cell>
        </row>
        <row r="708">
          <cell r="A708">
            <v>40746</v>
          </cell>
          <cell r="B708">
            <v>40746</v>
          </cell>
          <cell r="C708" t="str">
            <v>Future</v>
          </cell>
          <cell r="D708" t="e">
            <v>#N/A</v>
          </cell>
          <cell r="E708">
            <v>0.54332061068701987</v>
          </cell>
          <cell r="F708">
            <v>1.3191984732824455</v>
          </cell>
          <cell r="G708">
            <v>0.9262213740458094</v>
          </cell>
          <cell r="H708">
            <v>0.9262213740458094</v>
          </cell>
          <cell r="I708" t="e">
            <v>#N/A</v>
          </cell>
          <cell r="J708" t="e">
            <v>#N/A</v>
          </cell>
          <cell r="K708" t="e">
            <v>#N/A</v>
          </cell>
          <cell r="L708" t="e">
            <v>#N/A</v>
          </cell>
          <cell r="M708" t="e">
            <v>#N/A</v>
          </cell>
          <cell r="N708" t="e">
            <v>#N/A</v>
          </cell>
          <cell r="O708" t="e">
            <v>#N/A</v>
          </cell>
          <cell r="P708">
            <v>1.095</v>
          </cell>
          <cell r="Q708" t="str">
            <v/>
          </cell>
          <cell r="R708" t="e">
            <v>#N/A</v>
          </cell>
        </row>
        <row r="709">
          <cell r="A709">
            <v>40749</v>
          </cell>
          <cell r="B709">
            <v>40749</v>
          </cell>
          <cell r="C709" t="str">
            <v>Future</v>
          </cell>
          <cell r="D709" t="e">
            <v>#N/A</v>
          </cell>
          <cell r="E709">
            <v>0.53914122137404275</v>
          </cell>
          <cell r="F709">
            <v>1.3208969465648883</v>
          </cell>
          <cell r="G709">
            <v>0.92494274809161092</v>
          </cell>
          <cell r="H709">
            <v>0.92494274809161092</v>
          </cell>
          <cell r="I709" t="e">
            <v>#N/A</v>
          </cell>
          <cell r="J709" t="e">
            <v>#N/A</v>
          </cell>
          <cell r="K709" t="e">
            <v>#N/A</v>
          </cell>
          <cell r="L709" t="e">
            <v>#N/A</v>
          </cell>
          <cell r="M709" t="e">
            <v>#N/A</v>
          </cell>
          <cell r="N709" t="e">
            <v>#N/A</v>
          </cell>
          <cell r="O709" t="e">
            <v>#N/A</v>
          </cell>
          <cell r="P709">
            <v>1.095</v>
          </cell>
          <cell r="Q709" t="str">
            <v/>
          </cell>
          <cell r="R709" t="e">
            <v>#N/A</v>
          </cell>
        </row>
        <row r="710">
          <cell r="A710">
            <v>40750</v>
          </cell>
          <cell r="B710">
            <v>40750</v>
          </cell>
          <cell r="C710" t="str">
            <v>Future</v>
          </cell>
          <cell r="D710" t="e">
            <v>#N/A</v>
          </cell>
          <cell r="E710">
            <v>0.53496183206106562</v>
          </cell>
          <cell r="F710">
            <v>1.3225954198473311</v>
          </cell>
          <cell r="G710">
            <v>0.92366412213741245</v>
          </cell>
          <cell r="H710">
            <v>0.92366412213741245</v>
          </cell>
          <cell r="I710" t="e">
            <v>#N/A</v>
          </cell>
          <cell r="J710" t="e">
            <v>#N/A</v>
          </cell>
          <cell r="K710" t="e">
            <v>#N/A</v>
          </cell>
          <cell r="L710" t="e">
            <v>#N/A</v>
          </cell>
          <cell r="M710" t="e">
            <v>#N/A</v>
          </cell>
          <cell r="N710" t="e">
            <v>#N/A</v>
          </cell>
          <cell r="O710" t="e">
            <v>#N/A</v>
          </cell>
          <cell r="P710">
            <v>1.095</v>
          </cell>
          <cell r="Q710" t="str">
            <v/>
          </cell>
          <cell r="R710" t="e">
            <v>#N/A</v>
          </cell>
        </row>
        <row r="711">
          <cell r="A711">
            <v>40751</v>
          </cell>
          <cell r="B711">
            <v>40751</v>
          </cell>
          <cell r="C711" t="str">
            <v>Future</v>
          </cell>
          <cell r="D711" t="e">
            <v>#N/A</v>
          </cell>
          <cell r="E711">
            <v>0.5307824427480885</v>
          </cell>
          <cell r="F711">
            <v>1.3242938931297739</v>
          </cell>
          <cell r="G711">
            <v>0.92238549618321397</v>
          </cell>
          <cell r="H711">
            <v>0.92238549618321397</v>
          </cell>
          <cell r="I711" t="e">
            <v>#N/A</v>
          </cell>
          <cell r="J711" t="e">
            <v>#N/A</v>
          </cell>
          <cell r="K711" t="e">
            <v>#N/A</v>
          </cell>
          <cell r="L711" t="e">
            <v>#N/A</v>
          </cell>
          <cell r="M711" t="e">
            <v>#N/A</v>
          </cell>
          <cell r="N711" t="e">
            <v>#N/A</v>
          </cell>
          <cell r="O711" t="e">
            <v>#N/A</v>
          </cell>
          <cell r="P711">
            <v>1.095</v>
          </cell>
          <cell r="Q711" t="str">
            <v/>
          </cell>
          <cell r="R711" t="e">
            <v>#N/A</v>
          </cell>
        </row>
        <row r="712">
          <cell r="A712">
            <v>40752</v>
          </cell>
          <cell r="B712">
            <v>40752</v>
          </cell>
          <cell r="C712" t="str">
            <v>Future</v>
          </cell>
          <cell r="D712" t="e">
            <v>#N/A</v>
          </cell>
          <cell r="E712">
            <v>0.52660305343511138</v>
          </cell>
          <cell r="F712">
            <v>1.3259923664122166</v>
          </cell>
          <cell r="G712">
            <v>0.9211068702290155</v>
          </cell>
          <cell r="H712">
            <v>0.9211068702290155</v>
          </cell>
          <cell r="I712" t="e">
            <v>#N/A</v>
          </cell>
          <cell r="J712" t="e">
            <v>#N/A</v>
          </cell>
          <cell r="K712" t="e">
            <v>#N/A</v>
          </cell>
          <cell r="L712" t="e">
            <v>#N/A</v>
          </cell>
          <cell r="M712" t="e">
            <v>#N/A</v>
          </cell>
          <cell r="N712" t="e">
            <v>#N/A</v>
          </cell>
          <cell r="O712" t="e">
            <v>#N/A</v>
          </cell>
          <cell r="P712">
            <v>1.095</v>
          </cell>
          <cell r="Q712" t="str">
            <v/>
          </cell>
          <cell r="R712" t="e">
            <v>#N/A</v>
          </cell>
        </row>
        <row r="713">
          <cell r="A713">
            <v>40753</v>
          </cell>
          <cell r="B713">
            <v>40753</v>
          </cell>
          <cell r="C713" t="str">
            <v>Future</v>
          </cell>
          <cell r="D713" t="e">
            <v>#N/A</v>
          </cell>
          <cell r="E713">
            <v>0.52242366412213426</v>
          </cell>
          <cell r="F713">
            <v>1.3276908396946594</v>
          </cell>
          <cell r="G713">
            <v>0.91982824427481702</v>
          </cell>
          <cell r="H713">
            <v>0.91982824427481702</v>
          </cell>
          <cell r="I713" t="e">
            <v>#N/A</v>
          </cell>
          <cell r="J713" t="e">
            <v>#N/A</v>
          </cell>
          <cell r="K713" t="e">
            <v>#N/A</v>
          </cell>
          <cell r="L713" t="e">
            <v>#N/A</v>
          </cell>
          <cell r="M713" t="e">
            <v>#N/A</v>
          </cell>
          <cell r="N713" t="e">
            <v>#N/A</v>
          </cell>
          <cell r="O713" t="e">
            <v>#N/A</v>
          </cell>
          <cell r="P713">
            <v>1.095</v>
          </cell>
          <cell r="Q713" t="str">
            <v/>
          </cell>
          <cell r="R713" t="e">
            <v>#N/A</v>
          </cell>
        </row>
        <row r="714">
          <cell r="A714">
            <v>40756</v>
          </cell>
          <cell r="B714">
            <v>40756</v>
          </cell>
          <cell r="C714" t="str">
            <v>Future</v>
          </cell>
          <cell r="D714" t="e">
            <v>#N/A</v>
          </cell>
          <cell r="E714">
            <v>0.51824427480915713</v>
          </cell>
          <cell r="F714">
            <v>1.3293893129771022</v>
          </cell>
          <cell r="G714">
            <v>0.91854961832061854</v>
          </cell>
          <cell r="H714">
            <v>0.91854961832061854</v>
          </cell>
          <cell r="I714" t="e">
            <v>#N/A</v>
          </cell>
          <cell r="J714" t="e">
            <v>#N/A</v>
          </cell>
          <cell r="K714" t="e">
            <v>#N/A</v>
          </cell>
          <cell r="L714" t="e">
            <v>#N/A</v>
          </cell>
          <cell r="M714" t="e">
            <v>#N/A</v>
          </cell>
          <cell r="N714" t="e">
            <v>#N/A</v>
          </cell>
          <cell r="O714" t="e">
            <v>#N/A</v>
          </cell>
          <cell r="P714">
            <v>1.095</v>
          </cell>
          <cell r="Q714" t="str">
            <v/>
          </cell>
          <cell r="R714" t="e">
            <v>#N/A</v>
          </cell>
        </row>
        <row r="715">
          <cell r="A715">
            <v>40757</v>
          </cell>
          <cell r="B715">
            <v>40757</v>
          </cell>
          <cell r="C715" t="str">
            <v>Future</v>
          </cell>
          <cell r="D715" t="e">
            <v>#N/A</v>
          </cell>
          <cell r="E715">
            <v>0.51406488549618001</v>
          </cell>
          <cell r="F715">
            <v>1.3310877862595449</v>
          </cell>
          <cell r="G715">
            <v>0.91727099236642007</v>
          </cell>
          <cell r="H715">
            <v>0.91727099236642007</v>
          </cell>
          <cell r="I715" t="e">
            <v>#N/A</v>
          </cell>
          <cell r="J715" t="e">
            <v>#N/A</v>
          </cell>
          <cell r="K715" t="e">
            <v>#N/A</v>
          </cell>
          <cell r="L715" t="e">
            <v>#N/A</v>
          </cell>
          <cell r="M715" t="e">
            <v>#N/A</v>
          </cell>
          <cell r="N715" t="e">
            <v>#N/A</v>
          </cell>
          <cell r="O715" t="e">
            <v>#N/A</v>
          </cell>
          <cell r="P715">
            <v>1.095</v>
          </cell>
          <cell r="Q715" t="str">
            <v/>
          </cell>
          <cell r="R715" t="e">
            <v>#N/A</v>
          </cell>
        </row>
        <row r="716">
          <cell r="A716">
            <v>40758</v>
          </cell>
          <cell r="B716">
            <v>40758</v>
          </cell>
          <cell r="C716" t="str">
            <v>Future</v>
          </cell>
          <cell r="D716" t="e">
            <v>#N/A</v>
          </cell>
          <cell r="E716">
            <v>0.50988549618320289</v>
          </cell>
          <cell r="F716">
            <v>1.3327862595419877</v>
          </cell>
          <cell r="G716">
            <v>0.91599236641222159</v>
          </cell>
          <cell r="H716">
            <v>0.91599236641222159</v>
          </cell>
          <cell r="I716" t="e">
            <v>#N/A</v>
          </cell>
          <cell r="J716" t="e">
            <v>#N/A</v>
          </cell>
          <cell r="K716" t="e">
            <v>#N/A</v>
          </cell>
          <cell r="L716" t="e">
            <v>#N/A</v>
          </cell>
          <cell r="M716" t="e">
            <v>#N/A</v>
          </cell>
          <cell r="N716" t="e">
            <v>#N/A</v>
          </cell>
          <cell r="O716" t="e">
            <v>#N/A</v>
          </cell>
          <cell r="P716">
            <v>1.095</v>
          </cell>
          <cell r="Q716" t="str">
            <v/>
          </cell>
          <cell r="R716" t="e">
            <v>#N/A</v>
          </cell>
        </row>
        <row r="717">
          <cell r="A717">
            <v>40759</v>
          </cell>
          <cell r="B717">
            <v>40759</v>
          </cell>
          <cell r="C717" t="str">
            <v>Future</v>
          </cell>
          <cell r="D717" t="e">
            <v>#N/A</v>
          </cell>
          <cell r="E717">
            <v>0.50570610687022577</v>
          </cell>
          <cell r="F717">
            <v>1.3344847328244305</v>
          </cell>
          <cell r="G717">
            <v>0.91471374045802312</v>
          </cell>
          <cell r="H717">
            <v>0.91471374045802312</v>
          </cell>
          <cell r="I717" t="e">
            <v>#N/A</v>
          </cell>
          <cell r="J717" t="e">
            <v>#N/A</v>
          </cell>
          <cell r="K717" t="e">
            <v>#N/A</v>
          </cell>
          <cell r="L717" t="e">
            <v>#N/A</v>
          </cell>
          <cell r="M717" t="e">
            <v>#N/A</v>
          </cell>
          <cell r="N717" t="e">
            <v>#N/A</v>
          </cell>
          <cell r="O717" t="e">
            <v>#N/A</v>
          </cell>
          <cell r="P717">
            <v>1.095</v>
          </cell>
          <cell r="Q717" t="str">
            <v/>
          </cell>
          <cell r="R717" t="e">
            <v>#N/A</v>
          </cell>
        </row>
        <row r="718">
          <cell r="A718">
            <v>40760</v>
          </cell>
          <cell r="B718">
            <v>40760</v>
          </cell>
          <cell r="C718" t="str">
            <v>Future</v>
          </cell>
          <cell r="D718" t="e">
            <v>#N/A</v>
          </cell>
          <cell r="E718">
            <v>0.50152671755724865</v>
          </cell>
          <cell r="F718">
            <v>1.3361832061068732</v>
          </cell>
          <cell r="G718">
            <v>0.91343511450382464</v>
          </cell>
          <cell r="H718">
            <v>0.91343511450382464</v>
          </cell>
          <cell r="I718" t="e">
            <v>#N/A</v>
          </cell>
          <cell r="J718" t="e">
            <v>#N/A</v>
          </cell>
          <cell r="K718" t="e">
            <v>#N/A</v>
          </cell>
          <cell r="L718" t="e">
            <v>#N/A</v>
          </cell>
          <cell r="M718" t="e">
            <v>#N/A</v>
          </cell>
          <cell r="N718" t="e">
            <v>#N/A</v>
          </cell>
          <cell r="O718" t="e">
            <v>#N/A</v>
          </cell>
          <cell r="P718">
            <v>1.095</v>
          </cell>
          <cell r="Q718" t="str">
            <v/>
          </cell>
          <cell r="R718" t="e">
            <v>#N/A</v>
          </cell>
        </row>
        <row r="719">
          <cell r="A719">
            <v>40763</v>
          </cell>
          <cell r="B719">
            <v>40763</v>
          </cell>
          <cell r="C719" t="str">
            <v>Future</v>
          </cell>
          <cell r="D719" t="e">
            <v>#N/A</v>
          </cell>
          <cell r="E719">
            <v>0.49734732824427152</v>
          </cell>
          <cell r="F719">
            <v>1.337881679389316</v>
          </cell>
          <cell r="G719">
            <v>0.91215648854962617</v>
          </cell>
          <cell r="H719">
            <v>0.91215648854962617</v>
          </cell>
          <cell r="I719" t="e">
            <v>#N/A</v>
          </cell>
          <cell r="J719" t="e">
            <v>#N/A</v>
          </cell>
          <cell r="K719" t="e">
            <v>#N/A</v>
          </cell>
          <cell r="L719" t="e">
            <v>#N/A</v>
          </cell>
          <cell r="M719" t="e">
            <v>#N/A</v>
          </cell>
          <cell r="N719" t="e">
            <v>#N/A</v>
          </cell>
          <cell r="O719" t="e">
            <v>#N/A</v>
          </cell>
          <cell r="P719">
            <v>1.095</v>
          </cell>
          <cell r="Q719" t="str">
            <v/>
          </cell>
          <cell r="R719" t="e">
            <v>#N/A</v>
          </cell>
        </row>
        <row r="720">
          <cell r="A720">
            <v>40764</v>
          </cell>
          <cell r="B720">
            <v>40764</v>
          </cell>
          <cell r="C720" t="str">
            <v>Future</v>
          </cell>
          <cell r="D720" t="e">
            <v>#N/A</v>
          </cell>
          <cell r="E720">
            <v>0.4931679389312944</v>
          </cell>
          <cell r="F720">
            <v>1.3395801526717588</v>
          </cell>
          <cell r="G720">
            <v>0.91087786259542769</v>
          </cell>
          <cell r="H720">
            <v>0.91087786259542769</v>
          </cell>
          <cell r="I720" t="e">
            <v>#N/A</v>
          </cell>
          <cell r="J720" t="e">
            <v>#N/A</v>
          </cell>
          <cell r="K720" t="e">
            <v>#N/A</v>
          </cell>
          <cell r="L720" t="e">
            <v>#N/A</v>
          </cell>
          <cell r="M720" t="e">
            <v>#N/A</v>
          </cell>
          <cell r="N720" t="e">
            <v>#N/A</v>
          </cell>
          <cell r="O720" t="e">
            <v>#N/A</v>
          </cell>
          <cell r="P720">
            <v>1.095</v>
          </cell>
          <cell r="Q720" t="str">
            <v/>
          </cell>
          <cell r="R720" t="e">
            <v>#N/A</v>
          </cell>
        </row>
        <row r="721">
          <cell r="A721">
            <v>40765</v>
          </cell>
          <cell r="B721">
            <v>40765</v>
          </cell>
          <cell r="C721" t="str">
            <v>Future</v>
          </cell>
          <cell r="D721" t="e">
            <v>#N/A</v>
          </cell>
          <cell r="E721">
            <v>0.48898854961831728</v>
          </cell>
          <cell r="F721">
            <v>1.3412786259542016</v>
          </cell>
          <cell r="G721">
            <v>0.90959923664122921</v>
          </cell>
          <cell r="H721">
            <v>0.90959923664122921</v>
          </cell>
          <cell r="I721" t="e">
            <v>#N/A</v>
          </cell>
          <cell r="J721" t="e">
            <v>#N/A</v>
          </cell>
          <cell r="K721" t="e">
            <v>#N/A</v>
          </cell>
          <cell r="L721" t="e">
            <v>#N/A</v>
          </cell>
          <cell r="M721" t="e">
            <v>#N/A</v>
          </cell>
          <cell r="N721" t="e">
            <v>#N/A</v>
          </cell>
          <cell r="O721" t="e">
            <v>#N/A</v>
          </cell>
          <cell r="P721">
            <v>1.095</v>
          </cell>
          <cell r="Q721" t="str">
            <v/>
          </cell>
          <cell r="R721" t="e">
            <v>#N/A</v>
          </cell>
        </row>
        <row r="722">
          <cell r="A722">
            <v>40766</v>
          </cell>
          <cell r="B722">
            <v>40766</v>
          </cell>
          <cell r="C722" t="str">
            <v>Future</v>
          </cell>
          <cell r="D722" t="e">
            <v>#N/A</v>
          </cell>
          <cell r="E722">
            <v>0.48480916030534016</v>
          </cell>
          <cell r="F722">
            <v>1.3429770992366443</v>
          </cell>
          <cell r="G722">
            <v>0.90832061068703074</v>
          </cell>
          <cell r="H722">
            <v>0.90832061068703074</v>
          </cell>
          <cell r="I722" t="e">
            <v>#N/A</v>
          </cell>
          <cell r="J722" t="e">
            <v>#N/A</v>
          </cell>
          <cell r="K722" t="e">
            <v>#N/A</v>
          </cell>
          <cell r="L722" t="e">
            <v>#N/A</v>
          </cell>
          <cell r="M722" t="e">
            <v>#N/A</v>
          </cell>
          <cell r="N722" t="e">
            <v>#N/A</v>
          </cell>
          <cell r="O722" t="e">
            <v>#N/A</v>
          </cell>
          <cell r="P722">
            <v>1.095</v>
          </cell>
          <cell r="Q722" t="str">
            <v/>
          </cell>
          <cell r="R722" t="e">
            <v>#N/A</v>
          </cell>
        </row>
        <row r="723">
          <cell r="A723">
            <v>40767</v>
          </cell>
          <cell r="B723">
            <v>40767</v>
          </cell>
          <cell r="C723" t="str">
            <v>Future</v>
          </cell>
          <cell r="D723" t="e">
            <v>#N/A</v>
          </cell>
          <cell r="E723">
            <v>0.48062977099236304</v>
          </cell>
          <cell r="F723">
            <v>1.3446755725190871</v>
          </cell>
          <cell r="G723">
            <v>0.90704198473283226</v>
          </cell>
          <cell r="H723">
            <v>0.90704198473283226</v>
          </cell>
          <cell r="I723" t="e">
            <v>#N/A</v>
          </cell>
          <cell r="J723" t="e">
            <v>#N/A</v>
          </cell>
          <cell r="K723" t="e">
            <v>#N/A</v>
          </cell>
          <cell r="L723" t="e">
            <v>#N/A</v>
          </cell>
          <cell r="M723" t="e">
            <v>#N/A</v>
          </cell>
          <cell r="N723" t="e">
            <v>#N/A</v>
          </cell>
          <cell r="O723" t="e">
            <v>#N/A</v>
          </cell>
          <cell r="P723">
            <v>1.095</v>
          </cell>
          <cell r="Q723" t="str">
            <v/>
          </cell>
          <cell r="R723" t="e">
            <v>#N/A</v>
          </cell>
        </row>
        <row r="724">
          <cell r="A724">
            <v>40770</v>
          </cell>
          <cell r="B724">
            <v>40770</v>
          </cell>
          <cell r="C724" t="str">
            <v>Future</v>
          </cell>
          <cell r="D724" t="e">
            <v>#N/A</v>
          </cell>
          <cell r="E724">
            <v>0.47645038167938591</v>
          </cell>
          <cell r="F724">
            <v>1.3463740458015299</v>
          </cell>
          <cell r="G724">
            <v>0.90576335877863379</v>
          </cell>
          <cell r="H724">
            <v>0.90576335877863379</v>
          </cell>
          <cell r="I724" t="e">
            <v>#N/A</v>
          </cell>
          <cell r="J724" t="e">
            <v>#N/A</v>
          </cell>
          <cell r="K724" t="e">
            <v>#N/A</v>
          </cell>
          <cell r="L724" t="e">
            <v>#N/A</v>
          </cell>
          <cell r="M724" t="e">
            <v>#N/A</v>
          </cell>
          <cell r="N724" t="e">
            <v>#N/A</v>
          </cell>
          <cell r="O724" t="e">
            <v>#N/A</v>
          </cell>
          <cell r="P724">
            <v>1.095</v>
          </cell>
          <cell r="Q724" t="str">
            <v/>
          </cell>
          <cell r="R724" t="e">
            <v>#N/A</v>
          </cell>
        </row>
        <row r="725">
          <cell r="A725">
            <v>40771</v>
          </cell>
          <cell r="B725">
            <v>40771</v>
          </cell>
          <cell r="C725" t="str">
            <v>Future</v>
          </cell>
          <cell r="D725" t="e">
            <v>#N/A</v>
          </cell>
          <cell r="E725">
            <v>0.47227099236640879</v>
          </cell>
          <cell r="F725">
            <v>1.3480725190839726</v>
          </cell>
          <cell r="G725">
            <v>0.90448473282443531</v>
          </cell>
          <cell r="H725">
            <v>0.90448473282443531</v>
          </cell>
          <cell r="I725" t="e">
            <v>#N/A</v>
          </cell>
          <cell r="J725" t="e">
            <v>#N/A</v>
          </cell>
          <cell r="K725" t="e">
            <v>#N/A</v>
          </cell>
          <cell r="L725" t="e">
            <v>#N/A</v>
          </cell>
          <cell r="M725" t="e">
            <v>#N/A</v>
          </cell>
          <cell r="N725" t="e">
            <v>#N/A</v>
          </cell>
          <cell r="O725" t="e">
            <v>#N/A</v>
          </cell>
          <cell r="P725">
            <v>1.095</v>
          </cell>
          <cell r="Q725" t="str">
            <v/>
          </cell>
          <cell r="R725" t="e">
            <v>#N/A</v>
          </cell>
        </row>
        <row r="726">
          <cell r="A726">
            <v>40772</v>
          </cell>
          <cell r="B726">
            <v>40772</v>
          </cell>
          <cell r="C726" t="str">
            <v>Future</v>
          </cell>
          <cell r="D726" t="e">
            <v>#N/A</v>
          </cell>
          <cell r="E726">
            <v>0.46809160305343167</v>
          </cell>
          <cell r="F726">
            <v>1.3497709923664154</v>
          </cell>
          <cell r="G726">
            <v>0.90320610687023684</v>
          </cell>
          <cell r="H726">
            <v>0.90320610687023684</v>
          </cell>
          <cell r="I726" t="e">
            <v>#N/A</v>
          </cell>
          <cell r="J726" t="e">
            <v>#N/A</v>
          </cell>
          <cell r="K726" t="e">
            <v>#N/A</v>
          </cell>
          <cell r="L726" t="e">
            <v>#N/A</v>
          </cell>
          <cell r="M726" t="e">
            <v>#N/A</v>
          </cell>
          <cell r="N726" t="e">
            <v>#N/A</v>
          </cell>
          <cell r="O726" t="e">
            <v>#N/A</v>
          </cell>
          <cell r="P726">
            <v>1.095</v>
          </cell>
          <cell r="Q726" t="str">
            <v/>
          </cell>
          <cell r="R726" t="e">
            <v>#N/A</v>
          </cell>
        </row>
        <row r="727">
          <cell r="A727">
            <v>40773</v>
          </cell>
          <cell r="B727">
            <v>40773</v>
          </cell>
          <cell r="C727" t="str">
            <v>Future</v>
          </cell>
          <cell r="D727" t="e">
            <v>#N/A</v>
          </cell>
          <cell r="E727">
            <v>0.46391221374045455</v>
          </cell>
          <cell r="F727">
            <v>1.3514694656488582</v>
          </cell>
          <cell r="G727">
            <v>0.90192748091603836</v>
          </cell>
          <cell r="H727">
            <v>0.90192748091603836</v>
          </cell>
          <cell r="I727" t="e">
            <v>#N/A</v>
          </cell>
          <cell r="J727" t="e">
            <v>#N/A</v>
          </cell>
          <cell r="K727" t="e">
            <v>#N/A</v>
          </cell>
          <cell r="L727" t="e">
            <v>#N/A</v>
          </cell>
          <cell r="M727" t="e">
            <v>#N/A</v>
          </cell>
          <cell r="N727" t="e">
            <v>#N/A</v>
          </cell>
          <cell r="O727" t="e">
            <v>#N/A</v>
          </cell>
          <cell r="P727">
            <v>1.095</v>
          </cell>
          <cell r="Q727" t="str">
            <v/>
          </cell>
          <cell r="R727" t="e">
            <v>#N/A</v>
          </cell>
        </row>
        <row r="728">
          <cell r="A728">
            <v>40774</v>
          </cell>
          <cell r="B728">
            <v>40774</v>
          </cell>
          <cell r="C728" t="str">
            <v>Future</v>
          </cell>
          <cell r="D728" t="e">
            <v>#N/A</v>
          </cell>
          <cell r="E728">
            <v>0.45973282442747743</v>
          </cell>
          <cell r="F728">
            <v>1.3531679389313009</v>
          </cell>
          <cell r="G728">
            <v>0.90064885496183988</v>
          </cell>
          <cell r="H728">
            <v>0.90064885496183988</v>
          </cell>
          <cell r="I728" t="e">
            <v>#N/A</v>
          </cell>
          <cell r="J728" t="e">
            <v>#N/A</v>
          </cell>
          <cell r="K728" t="e">
            <v>#N/A</v>
          </cell>
          <cell r="L728" t="e">
            <v>#N/A</v>
          </cell>
          <cell r="M728" t="e">
            <v>#N/A</v>
          </cell>
          <cell r="N728" t="e">
            <v>#N/A</v>
          </cell>
          <cell r="O728" t="e">
            <v>#N/A</v>
          </cell>
          <cell r="P728">
            <v>1.095</v>
          </cell>
          <cell r="Q728" t="str">
            <v/>
          </cell>
          <cell r="R728" t="e">
            <v>#N/A</v>
          </cell>
        </row>
        <row r="729">
          <cell r="A729">
            <v>40777</v>
          </cell>
          <cell r="B729">
            <v>40777</v>
          </cell>
          <cell r="C729" t="str">
            <v>Future</v>
          </cell>
          <cell r="D729" t="e">
            <v>#N/A</v>
          </cell>
          <cell r="E729">
            <v>0.4555534351145003</v>
          </cell>
          <cell r="F729">
            <v>1.3548664122137437</v>
          </cell>
          <cell r="G729">
            <v>0.89937022900764141</v>
          </cell>
          <cell r="H729">
            <v>0.89937022900764141</v>
          </cell>
          <cell r="I729" t="e">
            <v>#N/A</v>
          </cell>
          <cell r="J729" t="e">
            <v>#N/A</v>
          </cell>
          <cell r="K729" t="e">
            <v>#N/A</v>
          </cell>
          <cell r="L729" t="e">
            <v>#N/A</v>
          </cell>
          <cell r="M729" t="e">
            <v>#N/A</v>
          </cell>
          <cell r="N729" t="e">
            <v>#N/A</v>
          </cell>
          <cell r="O729" t="e">
            <v>#N/A</v>
          </cell>
          <cell r="P729">
            <v>1.095</v>
          </cell>
          <cell r="Q729" t="str">
            <v/>
          </cell>
          <cell r="R729" t="e">
            <v>#N/A</v>
          </cell>
        </row>
        <row r="730">
          <cell r="A730">
            <v>40778</v>
          </cell>
          <cell r="B730">
            <v>40778</v>
          </cell>
          <cell r="C730" t="str">
            <v>Future</v>
          </cell>
          <cell r="D730" t="e">
            <v>#N/A</v>
          </cell>
          <cell r="E730">
            <v>0.45137404580152318</v>
          </cell>
          <cell r="F730">
            <v>1.3565648854961865</v>
          </cell>
          <cell r="G730">
            <v>0.89809160305344293</v>
          </cell>
          <cell r="H730">
            <v>0.89809160305344293</v>
          </cell>
          <cell r="I730" t="e">
            <v>#N/A</v>
          </cell>
          <cell r="J730" t="e">
            <v>#N/A</v>
          </cell>
          <cell r="K730" t="e">
            <v>#N/A</v>
          </cell>
          <cell r="L730" t="e">
            <v>#N/A</v>
          </cell>
          <cell r="M730" t="e">
            <v>#N/A</v>
          </cell>
          <cell r="N730" t="e">
            <v>#N/A</v>
          </cell>
          <cell r="O730" t="e">
            <v>#N/A</v>
          </cell>
          <cell r="P730">
            <v>1.095</v>
          </cell>
          <cell r="Q730" t="str">
            <v/>
          </cell>
          <cell r="R730" t="e">
            <v>#N/A</v>
          </cell>
        </row>
        <row r="731">
          <cell r="A731">
            <v>40779</v>
          </cell>
          <cell r="B731">
            <v>40779</v>
          </cell>
          <cell r="C731" t="str">
            <v>Future</v>
          </cell>
          <cell r="D731" t="e">
            <v>#N/A</v>
          </cell>
          <cell r="E731">
            <v>0.44719465648854606</v>
          </cell>
          <cell r="F731">
            <v>1.3582633587786292</v>
          </cell>
          <cell r="G731">
            <v>0.89681297709924446</v>
          </cell>
          <cell r="H731">
            <v>0.89681297709924446</v>
          </cell>
          <cell r="I731" t="e">
            <v>#N/A</v>
          </cell>
          <cell r="J731" t="e">
            <v>#N/A</v>
          </cell>
          <cell r="K731" t="e">
            <v>#N/A</v>
          </cell>
          <cell r="L731" t="e">
            <v>#N/A</v>
          </cell>
          <cell r="M731" t="e">
            <v>#N/A</v>
          </cell>
          <cell r="N731" t="e">
            <v>#N/A</v>
          </cell>
          <cell r="O731" t="e">
            <v>#N/A</v>
          </cell>
          <cell r="P731">
            <v>1.095</v>
          </cell>
          <cell r="Q731" t="str">
            <v/>
          </cell>
          <cell r="R731" t="e">
            <v>#N/A</v>
          </cell>
        </row>
        <row r="732">
          <cell r="A732">
            <v>40780</v>
          </cell>
          <cell r="B732">
            <v>40780</v>
          </cell>
          <cell r="C732" t="str">
            <v>Future</v>
          </cell>
          <cell r="D732" t="e">
            <v>#N/A</v>
          </cell>
          <cell r="E732">
            <v>0.44301526717556894</v>
          </cell>
          <cell r="F732">
            <v>1.359961832061072</v>
          </cell>
          <cell r="G732">
            <v>0.89553435114504598</v>
          </cell>
          <cell r="H732">
            <v>0.89553435114504598</v>
          </cell>
          <cell r="I732" t="e">
            <v>#N/A</v>
          </cell>
          <cell r="J732" t="e">
            <v>#N/A</v>
          </cell>
          <cell r="K732" t="e">
            <v>#N/A</v>
          </cell>
          <cell r="L732" t="e">
            <v>#N/A</v>
          </cell>
          <cell r="M732" t="e">
            <v>#N/A</v>
          </cell>
          <cell r="N732" t="e">
            <v>#N/A</v>
          </cell>
          <cell r="O732" t="e">
            <v>#N/A</v>
          </cell>
          <cell r="P732">
            <v>1.095</v>
          </cell>
          <cell r="Q732" t="str">
            <v/>
          </cell>
          <cell r="R732" t="e">
            <v>#N/A</v>
          </cell>
        </row>
        <row r="733">
          <cell r="A733">
            <v>40781</v>
          </cell>
          <cell r="B733">
            <v>40781</v>
          </cell>
          <cell r="C733" t="str">
            <v>Future</v>
          </cell>
          <cell r="D733" t="e">
            <v>#N/A</v>
          </cell>
          <cell r="E733">
            <v>0.43883587786259182</v>
          </cell>
          <cell r="F733">
            <v>1.3616603053435148</v>
          </cell>
          <cell r="G733">
            <v>0.89425572519084751</v>
          </cell>
          <cell r="H733">
            <v>0.89425572519084751</v>
          </cell>
          <cell r="I733" t="e">
            <v>#N/A</v>
          </cell>
          <cell r="J733" t="e">
            <v>#N/A</v>
          </cell>
          <cell r="K733" t="e">
            <v>#N/A</v>
          </cell>
          <cell r="L733" t="e">
            <v>#N/A</v>
          </cell>
          <cell r="M733" t="e">
            <v>#N/A</v>
          </cell>
          <cell r="N733" t="e">
            <v>#N/A</v>
          </cell>
          <cell r="O733" t="e">
            <v>#N/A</v>
          </cell>
          <cell r="P733">
            <v>1.095</v>
          </cell>
          <cell r="Q733" t="str">
            <v/>
          </cell>
          <cell r="R733" t="e">
            <v>#N/A</v>
          </cell>
        </row>
        <row r="734">
          <cell r="A734">
            <v>40784</v>
          </cell>
          <cell r="B734">
            <v>40784</v>
          </cell>
          <cell r="C734" t="str">
            <v>Future</v>
          </cell>
          <cell r="D734" t="e">
            <v>#N/A</v>
          </cell>
          <cell r="E734">
            <v>0.43465648854961469</v>
          </cell>
          <cell r="F734">
            <v>1.3633587786259576</v>
          </cell>
          <cell r="G734">
            <v>0.89297709923664903</v>
          </cell>
          <cell r="H734">
            <v>0.89297709923664903</v>
          </cell>
          <cell r="I734" t="e">
            <v>#N/A</v>
          </cell>
          <cell r="J734" t="e">
            <v>#N/A</v>
          </cell>
          <cell r="K734" t="e">
            <v>#N/A</v>
          </cell>
          <cell r="L734" t="e">
            <v>#N/A</v>
          </cell>
          <cell r="M734" t="e">
            <v>#N/A</v>
          </cell>
          <cell r="N734" t="e">
            <v>#N/A</v>
          </cell>
          <cell r="O734" t="e">
            <v>#N/A</v>
          </cell>
          <cell r="P734">
            <v>1.095</v>
          </cell>
          <cell r="Q734" t="str">
            <v/>
          </cell>
          <cell r="R734" t="e">
            <v>#N/A</v>
          </cell>
        </row>
        <row r="735">
          <cell r="A735">
            <v>40785</v>
          </cell>
          <cell r="B735">
            <v>40785</v>
          </cell>
          <cell r="C735" t="str">
            <v>Future</v>
          </cell>
          <cell r="D735" t="e">
            <v>#N/A</v>
          </cell>
          <cell r="E735">
            <v>0.43047709923663757</v>
          </cell>
          <cell r="F735">
            <v>1.3650572519084003</v>
          </cell>
          <cell r="G735">
            <v>0.89169847328245055</v>
          </cell>
          <cell r="H735">
            <v>0.89169847328245055</v>
          </cell>
          <cell r="I735" t="e">
            <v>#N/A</v>
          </cell>
          <cell r="J735" t="e">
            <v>#N/A</v>
          </cell>
          <cell r="K735" t="e">
            <v>#N/A</v>
          </cell>
          <cell r="L735" t="e">
            <v>#N/A</v>
          </cell>
          <cell r="M735" t="e">
            <v>#N/A</v>
          </cell>
          <cell r="N735" t="e">
            <v>#N/A</v>
          </cell>
          <cell r="O735" t="e">
            <v>#N/A</v>
          </cell>
          <cell r="P735">
            <v>1.095</v>
          </cell>
          <cell r="Q735" t="str">
            <v/>
          </cell>
          <cell r="R735" t="e">
            <v>#N/A</v>
          </cell>
        </row>
        <row r="736">
          <cell r="A736">
            <v>40786</v>
          </cell>
          <cell r="B736">
            <v>40786</v>
          </cell>
          <cell r="C736" t="str">
            <v>Future</v>
          </cell>
          <cell r="D736" t="e">
            <v>#N/A</v>
          </cell>
          <cell r="E736">
            <v>0.42629770992366045</v>
          </cell>
          <cell r="F736">
            <v>1.3667557251908431</v>
          </cell>
          <cell r="G736">
            <v>0.89041984732825208</v>
          </cell>
          <cell r="H736">
            <v>0.89041984732825208</v>
          </cell>
          <cell r="I736" t="e">
            <v>#N/A</v>
          </cell>
          <cell r="J736" t="e">
            <v>#N/A</v>
          </cell>
          <cell r="K736" t="e">
            <v>#N/A</v>
          </cell>
          <cell r="L736" t="e">
            <v>#N/A</v>
          </cell>
          <cell r="M736" t="e">
            <v>#N/A</v>
          </cell>
          <cell r="N736" t="e">
            <v>#N/A</v>
          </cell>
          <cell r="O736" t="e">
            <v>#N/A</v>
          </cell>
          <cell r="P736">
            <v>1.095</v>
          </cell>
          <cell r="Q736" t="str">
            <v/>
          </cell>
          <cell r="R736" t="e">
            <v>#N/A</v>
          </cell>
        </row>
        <row r="737">
          <cell r="A737">
            <v>40787</v>
          </cell>
          <cell r="B737">
            <v>40787</v>
          </cell>
          <cell r="C737" t="str">
            <v>Future</v>
          </cell>
          <cell r="D737" t="e">
            <v>#N/A</v>
          </cell>
          <cell r="E737">
            <v>0.42211832061068333</v>
          </cell>
          <cell r="F737">
            <v>1.3684541984732859</v>
          </cell>
          <cell r="G737">
            <v>0.8891412213740536</v>
          </cell>
          <cell r="H737">
            <v>0.8891412213740536</v>
          </cell>
          <cell r="I737" t="e">
            <v>#N/A</v>
          </cell>
          <cell r="J737" t="e">
            <v>#N/A</v>
          </cell>
          <cell r="K737" t="e">
            <v>#N/A</v>
          </cell>
          <cell r="L737" t="e">
            <v>#N/A</v>
          </cell>
          <cell r="M737" t="e">
            <v>#N/A</v>
          </cell>
          <cell r="N737" t="e">
            <v>#N/A</v>
          </cell>
          <cell r="O737" t="e">
            <v>#N/A</v>
          </cell>
          <cell r="P737">
            <v>1.095</v>
          </cell>
          <cell r="Q737" t="str">
            <v/>
          </cell>
          <cell r="R737" t="e">
            <v>#N/A</v>
          </cell>
        </row>
        <row r="738">
          <cell r="A738">
            <v>40788</v>
          </cell>
          <cell r="B738">
            <v>40788</v>
          </cell>
          <cell r="C738" t="str">
            <v>Future</v>
          </cell>
          <cell r="D738" t="e">
            <v>#N/A</v>
          </cell>
          <cell r="E738">
            <v>0.41793893129770621</v>
          </cell>
          <cell r="F738">
            <v>1.3701526717557286</v>
          </cell>
          <cell r="G738">
            <v>0.88786259541985513</v>
          </cell>
          <cell r="H738">
            <v>0.88786259541985513</v>
          </cell>
          <cell r="I738" t="e">
            <v>#N/A</v>
          </cell>
          <cell r="J738" t="e">
            <v>#N/A</v>
          </cell>
          <cell r="K738" t="e">
            <v>#N/A</v>
          </cell>
          <cell r="L738" t="e">
            <v>#N/A</v>
          </cell>
          <cell r="M738" t="e">
            <v>#N/A</v>
          </cell>
          <cell r="N738" t="e">
            <v>#N/A</v>
          </cell>
          <cell r="O738" t="e">
            <v>#N/A</v>
          </cell>
          <cell r="P738">
            <v>1.095</v>
          </cell>
          <cell r="Q738" t="str">
            <v/>
          </cell>
          <cell r="R738" t="e">
            <v>#N/A</v>
          </cell>
        </row>
        <row r="739">
          <cell r="A739">
            <v>40791</v>
          </cell>
          <cell r="B739">
            <v>40791</v>
          </cell>
          <cell r="C739" t="str">
            <v>Future</v>
          </cell>
          <cell r="D739" t="e">
            <v>#N/A</v>
          </cell>
          <cell r="E739">
            <v>0.41375954198472908</v>
          </cell>
          <cell r="F739">
            <v>1.3718511450381714</v>
          </cell>
          <cell r="G739">
            <v>0.88658396946565665</v>
          </cell>
          <cell r="H739">
            <v>0.88658396946565665</v>
          </cell>
          <cell r="I739" t="e">
            <v>#N/A</v>
          </cell>
          <cell r="J739" t="e">
            <v>#N/A</v>
          </cell>
          <cell r="K739" t="e">
            <v>#N/A</v>
          </cell>
          <cell r="L739" t="e">
            <v>#N/A</v>
          </cell>
          <cell r="M739" t="e">
            <v>#N/A</v>
          </cell>
          <cell r="N739" t="e">
            <v>#N/A</v>
          </cell>
          <cell r="O739" t="e">
            <v>#N/A</v>
          </cell>
          <cell r="P739">
            <v>1.095</v>
          </cell>
          <cell r="Q739" t="str">
            <v/>
          </cell>
          <cell r="R739" t="e">
            <v>#N/A</v>
          </cell>
        </row>
        <row r="740">
          <cell r="A740">
            <v>40792</v>
          </cell>
          <cell r="B740">
            <v>40792</v>
          </cell>
          <cell r="C740" t="str">
            <v>Future</v>
          </cell>
          <cell r="D740" t="e">
            <v>#N/A</v>
          </cell>
          <cell r="E740">
            <v>0.40958015267175196</v>
          </cell>
          <cell r="F740">
            <v>1.3735496183206142</v>
          </cell>
          <cell r="G740">
            <v>0.88530534351145818</v>
          </cell>
          <cell r="H740">
            <v>0.88530534351145818</v>
          </cell>
          <cell r="I740" t="e">
            <v>#N/A</v>
          </cell>
          <cell r="J740" t="e">
            <v>#N/A</v>
          </cell>
          <cell r="K740" t="e">
            <v>#N/A</v>
          </cell>
          <cell r="L740" t="e">
            <v>#N/A</v>
          </cell>
          <cell r="M740" t="e">
            <v>#N/A</v>
          </cell>
          <cell r="N740" t="e">
            <v>#N/A</v>
          </cell>
          <cell r="O740" t="e">
            <v>#N/A</v>
          </cell>
          <cell r="P740">
            <v>1.095</v>
          </cell>
          <cell r="Q740" t="str">
            <v/>
          </cell>
          <cell r="R740" t="e">
            <v>#N/A</v>
          </cell>
        </row>
        <row r="741">
          <cell r="A741">
            <v>40793</v>
          </cell>
          <cell r="B741">
            <v>40793</v>
          </cell>
          <cell r="C741" t="str">
            <v>Future</v>
          </cell>
          <cell r="D741" t="e">
            <v>#N/A</v>
          </cell>
          <cell r="E741">
            <v>0.40540076335877484</v>
          </cell>
          <cell r="F741">
            <v>1.3752480916030569</v>
          </cell>
          <cell r="G741">
            <v>0.8840267175572597</v>
          </cell>
          <cell r="H741">
            <v>0.8840267175572597</v>
          </cell>
          <cell r="I741" t="e">
            <v>#N/A</v>
          </cell>
          <cell r="J741" t="e">
            <v>#N/A</v>
          </cell>
          <cell r="K741" t="e">
            <v>#N/A</v>
          </cell>
          <cell r="L741" t="e">
            <v>#N/A</v>
          </cell>
          <cell r="M741" t="e">
            <v>#N/A</v>
          </cell>
          <cell r="N741" t="e">
            <v>#N/A</v>
          </cell>
          <cell r="O741" t="e">
            <v>#N/A</v>
          </cell>
          <cell r="P741">
            <v>1.095</v>
          </cell>
          <cell r="Q741" t="str">
            <v/>
          </cell>
          <cell r="R741" t="e">
            <v>#N/A</v>
          </cell>
        </row>
        <row r="742">
          <cell r="A742">
            <v>40794</v>
          </cell>
          <cell r="B742">
            <v>40794</v>
          </cell>
          <cell r="C742" t="str">
            <v>Future</v>
          </cell>
          <cell r="D742" t="e">
            <v>#N/A</v>
          </cell>
          <cell r="E742">
            <v>0.40122137404579772</v>
          </cell>
          <cell r="F742">
            <v>1.3769465648854997</v>
          </cell>
          <cell r="G742">
            <v>0.88274809160306122</v>
          </cell>
          <cell r="H742">
            <v>0.88274809160306122</v>
          </cell>
          <cell r="I742" t="e">
            <v>#N/A</v>
          </cell>
          <cell r="J742" t="e">
            <v>#N/A</v>
          </cell>
          <cell r="K742" t="e">
            <v>#N/A</v>
          </cell>
          <cell r="L742" t="e">
            <v>#N/A</v>
          </cell>
          <cell r="M742" t="e">
            <v>#N/A</v>
          </cell>
          <cell r="N742" t="e">
            <v>#N/A</v>
          </cell>
          <cell r="O742" t="e">
            <v>#N/A</v>
          </cell>
          <cell r="P742">
            <v>1.095</v>
          </cell>
          <cell r="Q742" t="str">
            <v/>
          </cell>
          <cell r="R742" t="e">
            <v>#N/A</v>
          </cell>
        </row>
        <row r="743">
          <cell r="A743">
            <v>40795</v>
          </cell>
          <cell r="B743">
            <v>40795</v>
          </cell>
          <cell r="C743" t="str">
            <v>Future</v>
          </cell>
          <cell r="D743" t="e">
            <v>#N/A</v>
          </cell>
          <cell r="E743">
            <v>0.3970419847328206</v>
          </cell>
          <cell r="F743">
            <v>1.3786450381679425</v>
          </cell>
          <cell r="G743">
            <v>0.88146946564886275</v>
          </cell>
          <cell r="H743">
            <v>0.88146946564886275</v>
          </cell>
          <cell r="I743" t="e">
            <v>#N/A</v>
          </cell>
          <cell r="J743" t="e">
            <v>#N/A</v>
          </cell>
          <cell r="K743" t="e">
            <v>#N/A</v>
          </cell>
          <cell r="L743" t="e">
            <v>#N/A</v>
          </cell>
          <cell r="M743" t="e">
            <v>#N/A</v>
          </cell>
          <cell r="N743" t="e">
            <v>#N/A</v>
          </cell>
          <cell r="O743" t="e">
            <v>#N/A</v>
          </cell>
          <cell r="P743">
            <v>1.095</v>
          </cell>
          <cell r="Q743" t="str">
            <v/>
          </cell>
          <cell r="R743" t="e">
            <v>#N/A</v>
          </cell>
        </row>
        <row r="744">
          <cell r="A744">
            <v>40798</v>
          </cell>
          <cell r="B744">
            <v>40798</v>
          </cell>
          <cell r="C744" t="str">
            <v>Future</v>
          </cell>
          <cell r="D744" t="e">
            <v>#N/A</v>
          </cell>
          <cell r="E744">
            <v>0.39286259541984347</v>
          </cell>
          <cell r="F744">
            <v>1.3803435114503853</v>
          </cell>
          <cell r="G744">
            <v>0.88019083969466427</v>
          </cell>
          <cell r="H744">
            <v>0.88019083969466427</v>
          </cell>
          <cell r="I744" t="e">
            <v>#N/A</v>
          </cell>
          <cell r="J744" t="e">
            <v>#N/A</v>
          </cell>
          <cell r="K744" t="e">
            <v>#N/A</v>
          </cell>
          <cell r="L744" t="e">
            <v>#N/A</v>
          </cell>
          <cell r="M744" t="e">
            <v>#N/A</v>
          </cell>
          <cell r="N744" t="e">
            <v>#N/A</v>
          </cell>
          <cell r="O744" t="e">
            <v>#N/A</v>
          </cell>
          <cell r="P744">
            <v>1.095</v>
          </cell>
          <cell r="Q744" t="str">
            <v/>
          </cell>
          <cell r="R744" t="e">
            <v>#N/A</v>
          </cell>
        </row>
        <row r="745">
          <cell r="A745">
            <v>40799</v>
          </cell>
          <cell r="B745">
            <v>40799</v>
          </cell>
          <cell r="C745" t="str">
            <v>Future</v>
          </cell>
          <cell r="D745" t="e">
            <v>#N/A</v>
          </cell>
          <cell r="E745">
            <v>0.38868320610686635</v>
          </cell>
          <cell r="F745">
            <v>1.382041984732828</v>
          </cell>
          <cell r="G745">
            <v>0.8789122137404658</v>
          </cell>
          <cell r="H745">
            <v>0.8789122137404658</v>
          </cell>
          <cell r="I745" t="e">
            <v>#N/A</v>
          </cell>
          <cell r="J745" t="e">
            <v>#N/A</v>
          </cell>
          <cell r="K745" t="e">
            <v>#N/A</v>
          </cell>
          <cell r="L745" t="e">
            <v>#N/A</v>
          </cell>
          <cell r="M745" t="e">
            <v>#N/A</v>
          </cell>
          <cell r="N745" t="e">
            <v>#N/A</v>
          </cell>
          <cell r="O745" t="e">
            <v>#N/A</v>
          </cell>
          <cell r="P745">
            <v>1.095</v>
          </cell>
          <cell r="Q745" t="str">
            <v/>
          </cell>
          <cell r="R745" t="e">
            <v>#N/A</v>
          </cell>
        </row>
        <row r="746">
          <cell r="A746">
            <v>40800</v>
          </cell>
          <cell r="B746">
            <v>40800</v>
          </cell>
          <cell r="C746" t="str">
            <v>Future</v>
          </cell>
          <cell r="D746" t="e">
            <v>#N/A</v>
          </cell>
          <cell r="E746">
            <v>0.38450381679388923</v>
          </cell>
          <cell r="F746">
            <v>1.3837404580152708</v>
          </cell>
          <cell r="G746">
            <v>0.87763358778626732</v>
          </cell>
          <cell r="H746">
            <v>0.87763358778626732</v>
          </cell>
          <cell r="I746" t="e">
            <v>#N/A</v>
          </cell>
          <cell r="J746" t="e">
            <v>#N/A</v>
          </cell>
          <cell r="K746" t="e">
            <v>#N/A</v>
          </cell>
          <cell r="L746" t="e">
            <v>#N/A</v>
          </cell>
          <cell r="M746" t="e">
            <v>#N/A</v>
          </cell>
          <cell r="N746" t="e">
            <v>#N/A</v>
          </cell>
          <cell r="O746" t="e">
            <v>#N/A</v>
          </cell>
          <cell r="P746">
            <v>1.095</v>
          </cell>
          <cell r="Q746" t="str">
            <v/>
          </cell>
          <cell r="R746" t="e">
            <v>#N/A</v>
          </cell>
        </row>
        <row r="747">
          <cell r="A747">
            <v>40801</v>
          </cell>
          <cell r="B747">
            <v>40801</v>
          </cell>
          <cell r="C747" t="str">
            <v>Future</v>
          </cell>
          <cell r="D747" t="e">
            <v>#N/A</v>
          </cell>
          <cell r="E747">
            <v>0.38032442748091211</v>
          </cell>
          <cell r="F747">
            <v>1.3854389312977136</v>
          </cell>
          <cell r="G747">
            <v>0.87635496183206885</v>
          </cell>
          <cell r="H747">
            <v>0.87635496183206885</v>
          </cell>
          <cell r="I747" t="e">
            <v>#N/A</v>
          </cell>
          <cell r="J747" t="e">
            <v>#N/A</v>
          </cell>
          <cell r="K747" t="e">
            <v>#N/A</v>
          </cell>
          <cell r="L747" t="e">
            <v>#N/A</v>
          </cell>
          <cell r="M747" t="e">
            <v>#N/A</v>
          </cell>
          <cell r="N747" t="e">
            <v>#N/A</v>
          </cell>
          <cell r="O747" t="e">
            <v>#N/A</v>
          </cell>
          <cell r="P747">
            <v>1.095</v>
          </cell>
          <cell r="Q747" t="str">
            <v/>
          </cell>
          <cell r="R747" t="e">
            <v>#N/A</v>
          </cell>
        </row>
        <row r="748">
          <cell r="A748">
            <v>40802</v>
          </cell>
          <cell r="B748">
            <v>40802</v>
          </cell>
          <cell r="C748" t="str">
            <v>Future</v>
          </cell>
          <cell r="D748" t="e">
            <v>#N/A</v>
          </cell>
          <cell r="E748">
            <v>0.37614503816793499</v>
          </cell>
          <cell r="F748">
            <v>1.3871374045801563</v>
          </cell>
          <cell r="G748">
            <v>0.87507633587787037</v>
          </cell>
          <cell r="H748">
            <v>0.87507633587787037</v>
          </cell>
          <cell r="I748" t="e">
            <v>#N/A</v>
          </cell>
          <cell r="J748" t="e">
            <v>#N/A</v>
          </cell>
          <cell r="K748" t="e">
            <v>#N/A</v>
          </cell>
          <cell r="L748" t="e">
            <v>#N/A</v>
          </cell>
          <cell r="M748" t="e">
            <v>#N/A</v>
          </cell>
          <cell r="N748" t="e">
            <v>#N/A</v>
          </cell>
          <cell r="O748" t="e">
            <v>#N/A</v>
          </cell>
          <cell r="P748">
            <v>1.095</v>
          </cell>
          <cell r="Q748" t="str">
            <v/>
          </cell>
          <cell r="R748" t="e">
            <v>#N/A</v>
          </cell>
        </row>
        <row r="749">
          <cell r="A749">
            <v>40805</v>
          </cell>
          <cell r="B749">
            <v>40805</v>
          </cell>
          <cell r="C749" t="str">
            <v>Future</v>
          </cell>
          <cell r="D749" t="e">
            <v>#N/A</v>
          </cell>
          <cell r="E749">
            <v>0.37196564885495786</v>
          </cell>
          <cell r="F749">
            <v>1.3888358778625991</v>
          </cell>
          <cell r="G749">
            <v>0.87379770992367189</v>
          </cell>
          <cell r="H749">
            <v>0.87379770992367189</v>
          </cell>
          <cell r="I749" t="e">
            <v>#N/A</v>
          </cell>
          <cell r="J749" t="e">
            <v>#N/A</v>
          </cell>
          <cell r="K749" t="e">
            <v>#N/A</v>
          </cell>
          <cell r="L749" t="e">
            <v>#N/A</v>
          </cell>
          <cell r="M749" t="e">
            <v>#N/A</v>
          </cell>
          <cell r="N749" t="e">
            <v>#N/A</v>
          </cell>
          <cell r="O749" t="e">
            <v>#N/A</v>
          </cell>
          <cell r="P749">
            <v>1.095</v>
          </cell>
          <cell r="Q749" t="str">
            <v/>
          </cell>
          <cell r="R749" t="e">
            <v>#N/A</v>
          </cell>
        </row>
        <row r="750">
          <cell r="A750">
            <v>40806</v>
          </cell>
          <cell r="B750">
            <v>40806</v>
          </cell>
          <cell r="C750" t="str">
            <v>Future</v>
          </cell>
          <cell r="D750" t="e">
            <v>#N/A</v>
          </cell>
          <cell r="E750">
            <v>0.36778625954198074</v>
          </cell>
          <cell r="F750">
            <v>1.3905343511450419</v>
          </cell>
          <cell r="G750">
            <v>0.87251908396947342</v>
          </cell>
          <cell r="H750">
            <v>0.87251908396947342</v>
          </cell>
          <cell r="I750" t="e">
            <v>#N/A</v>
          </cell>
          <cell r="J750" t="e">
            <v>#N/A</v>
          </cell>
          <cell r="K750" t="e">
            <v>#N/A</v>
          </cell>
          <cell r="L750" t="e">
            <v>#N/A</v>
          </cell>
          <cell r="M750" t="e">
            <v>#N/A</v>
          </cell>
          <cell r="N750" t="e">
            <v>#N/A</v>
          </cell>
          <cell r="O750" t="e">
            <v>#N/A</v>
          </cell>
          <cell r="P750">
            <v>1.095</v>
          </cell>
          <cell r="Q750" t="str">
            <v/>
          </cell>
          <cell r="R750" t="e">
            <v>#N/A</v>
          </cell>
        </row>
        <row r="751">
          <cell r="A751">
            <v>40807</v>
          </cell>
          <cell r="B751">
            <v>40807</v>
          </cell>
          <cell r="C751" t="str">
            <v>Future</v>
          </cell>
          <cell r="D751" t="e">
            <v>#N/A</v>
          </cell>
          <cell r="E751">
            <v>0.36360687022900362</v>
          </cell>
          <cell r="F751">
            <v>1.3922328244274846</v>
          </cell>
          <cell r="G751">
            <v>0.87124045801527494</v>
          </cell>
          <cell r="H751">
            <v>0.87124045801527494</v>
          </cell>
          <cell r="I751" t="e">
            <v>#N/A</v>
          </cell>
          <cell r="J751" t="e">
            <v>#N/A</v>
          </cell>
          <cell r="K751" t="e">
            <v>#N/A</v>
          </cell>
          <cell r="L751" t="e">
            <v>#N/A</v>
          </cell>
          <cell r="M751" t="e">
            <v>#N/A</v>
          </cell>
          <cell r="N751" t="e">
            <v>#N/A</v>
          </cell>
          <cell r="O751" t="e">
            <v>#N/A</v>
          </cell>
          <cell r="P751">
            <v>1.095</v>
          </cell>
          <cell r="Q751" t="str">
            <v/>
          </cell>
          <cell r="R751" t="e">
            <v>#N/A</v>
          </cell>
        </row>
        <row r="752">
          <cell r="A752">
            <v>40808</v>
          </cell>
          <cell r="B752">
            <v>40808</v>
          </cell>
          <cell r="C752" t="str">
            <v>Future</v>
          </cell>
          <cell r="D752" t="e">
            <v>#N/A</v>
          </cell>
          <cell r="E752">
            <v>0.3594274809160265</v>
          </cell>
          <cell r="F752">
            <v>1.3939312977099274</v>
          </cell>
          <cell r="G752">
            <v>0.86996183206107647</v>
          </cell>
          <cell r="H752">
            <v>0.86996183206107647</v>
          </cell>
          <cell r="I752" t="e">
            <v>#N/A</v>
          </cell>
          <cell r="J752" t="e">
            <v>#N/A</v>
          </cell>
          <cell r="K752" t="e">
            <v>#N/A</v>
          </cell>
          <cell r="L752" t="e">
            <v>#N/A</v>
          </cell>
          <cell r="M752" t="e">
            <v>#N/A</v>
          </cell>
          <cell r="N752" t="e">
            <v>#N/A</v>
          </cell>
          <cell r="O752" t="e">
            <v>#N/A</v>
          </cell>
          <cell r="P752">
            <v>1.095</v>
          </cell>
          <cell r="Q752" t="str">
            <v/>
          </cell>
          <cell r="R752" t="e">
            <v>#N/A</v>
          </cell>
        </row>
        <row r="753">
          <cell r="A753">
            <v>40809</v>
          </cell>
          <cell r="B753">
            <v>40809</v>
          </cell>
          <cell r="C753" t="str">
            <v>Future</v>
          </cell>
          <cell r="D753" t="e">
            <v>#N/A</v>
          </cell>
          <cell r="E753">
            <v>0.35524809160304938</v>
          </cell>
          <cell r="F753">
            <v>1.3956297709923702</v>
          </cell>
          <cell r="G753">
            <v>0.86868320610687799</v>
          </cell>
          <cell r="H753">
            <v>0.86868320610687799</v>
          </cell>
          <cell r="I753" t="e">
            <v>#N/A</v>
          </cell>
          <cell r="J753" t="e">
            <v>#N/A</v>
          </cell>
          <cell r="K753" t="e">
            <v>#N/A</v>
          </cell>
          <cell r="L753" t="e">
            <v>#N/A</v>
          </cell>
          <cell r="M753" t="e">
            <v>#N/A</v>
          </cell>
          <cell r="N753" t="e">
            <v>#N/A</v>
          </cell>
          <cell r="O753" t="e">
            <v>#N/A</v>
          </cell>
          <cell r="P753">
            <v>1.095</v>
          </cell>
          <cell r="Q753" t="str">
            <v/>
          </cell>
          <cell r="R753" t="e">
            <v>#N/A</v>
          </cell>
        </row>
        <row r="754">
          <cell r="A754">
            <v>40812</v>
          </cell>
          <cell r="B754">
            <v>40812</v>
          </cell>
          <cell r="C754" t="str">
            <v>Future</v>
          </cell>
          <cell r="D754" t="e">
            <v>#N/A</v>
          </cell>
          <cell r="E754">
            <v>0.35106870229007225</v>
          </cell>
          <cell r="F754">
            <v>1.3973282442748129</v>
          </cell>
          <cell r="G754">
            <v>0.86740458015267952</v>
          </cell>
          <cell r="H754">
            <v>0.86740458015267952</v>
          </cell>
          <cell r="I754" t="e">
            <v>#N/A</v>
          </cell>
          <cell r="J754" t="e">
            <v>#N/A</v>
          </cell>
          <cell r="K754" t="e">
            <v>#N/A</v>
          </cell>
          <cell r="L754" t="e">
            <v>#N/A</v>
          </cell>
          <cell r="M754" t="e">
            <v>#N/A</v>
          </cell>
          <cell r="N754" t="e">
            <v>#N/A</v>
          </cell>
          <cell r="O754" t="e">
            <v>#N/A</v>
          </cell>
          <cell r="P754">
            <v>1.095</v>
          </cell>
          <cell r="Q754" t="str">
            <v/>
          </cell>
          <cell r="R754" t="e">
            <v>#N/A</v>
          </cell>
        </row>
        <row r="755">
          <cell r="A755">
            <v>40813</v>
          </cell>
          <cell r="B755">
            <v>40813</v>
          </cell>
          <cell r="C755" t="str">
            <v>Future</v>
          </cell>
          <cell r="D755" t="e">
            <v>#N/A</v>
          </cell>
          <cell r="E755">
            <v>0.34688931297709513</v>
          </cell>
          <cell r="F755">
            <v>1.3990267175572557</v>
          </cell>
          <cell r="G755">
            <v>0.86612595419848104</v>
          </cell>
          <cell r="H755">
            <v>0.86612595419848104</v>
          </cell>
          <cell r="I755" t="e">
            <v>#N/A</v>
          </cell>
          <cell r="J755" t="e">
            <v>#N/A</v>
          </cell>
          <cell r="K755" t="e">
            <v>#N/A</v>
          </cell>
          <cell r="L755" t="e">
            <v>#N/A</v>
          </cell>
          <cell r="M755" t="e">
            <v>#N/A</v>
          </cell>
          <cell r="N755" t="e">
            <v>#N/A</v>
          </cell>
          <cell r="O755" t="e">
            <v>#N/A</v>
          </cell>
          <cell r="P755">
            <v>1.095</v>
          </cell>
          <cell r="Q755" t="str">
            <v/>
          </cell>
          <cell r="R755" t="e">
            <v>#N/A</v>
          </cell>
        </row>
        <row r="756">
          <cell r="A756">
            <v>40814</v>
          </cell>
          <cell r="B756">
            <v>40814</v>
          </cell>
          <cell r="C756" t="str">
            <v>Future</v>
          </cell>
          <cell r="D756" t="e">
            <v>#N/A</v>
          </cell>
          <cell r="E756">
            <v>0.34270992366411801</v>
          </cell>
          <cell r="F756">
            <v>1.4007251908396985</v>
          </cell>
          <cell r="G756">
            <v>0.86484732824428256</v>
          </cell>
          <cell r="H756">
            <v>0.86484732824428256</v>
          </cell>
          <cell r="I756" t="e">
            <v>#N/A</v>
          </cell>
          <cell r="J756" t="e">
            <v>#N/A</v>
          </cell>
          <cell r="K756" t="e">
            <v>#N/A</v>
          </cell>
          <cell r="L756" t="e">
            <v>#N/A</v>
          </cell>
          <cell r="M756" t="e">
            <v>#N/A</v>
          </cell>
          <cell r="N756" t="e">
            <v>#N/A</v>
          </cell>
          <cell r="O756" t="e">
            <v>#N/A</v>
          </cell>
          <cell r="P756">
            <v>1.095</v>
          </cell>
          <cell r="Q756" t="str">
            <v/>
          </cell>
          <cell r="R756" t="e">
            <v>#N/A</v>
          </cell>
        </row>
        <row r="757">
          <cell r="A757">
            <v>40815</v>
          </cell>
          <cell r="B757">
            <v>40815</v>
          </cell>
          <cell r="C757" t="str">
            <v>Future</v>
          </cell>
          <cell r="D757" t="e">
            <v>#N/A</v>
          </cell>
          <cell r="E757">
            <v>0.33853053435114089</v>
          </cell>
          <cell r="F757">
            <v>1.4024236641221413</v>
          </cell>
          <cell r="G757">
            <v>0.86356870229008409</v>
          </cell>
          <cell r="H757">
            <v>0.86356870229008409</v>
          </cell>
          <cell r="I757" t="e">
            <v>#N/A</v>
          </cell>
          <cell r="J757" t="e">
            <v>#N/A</v>
          </cell>
          <cell r="K757" t="e">
            <v>#N/A</v>
          </cell>
          <cell r="L757" t="e">
            <v>#N/A</v>
          </cell>
          <cell r="M757" t="e">
            <v>#N/A</v>
          </cell>
          <cell r="N757" t="e">
            <v>#N/A</v>
          </cell>
          <cell r="O757" t="e">
            <v>#N/A</v>
          </cell>
          <cell r="P757">
            <v>1.095</v>
          </cell>
          <cell r="Q757" t="str">
            <v/>
          </cell>
          <cell r="R757" t="e">
            <v>#N/A</v>
          </cell>
        </row>
        <row r="758">
          <cell r="A758">
            <v>40816</v>
          </cell>
          <cell r="B758">
            <v>40816</v>
          </cell>
          <cell r="C758" t="str">
            <v>Future</v>
          </cell>
          <cell r="D758" t="e">
            <v>#N/A</v>
          </cell>
          <cell r="E758">
            <v>0.33435114503816377</v>
          </cell>
          <cell r="F758">
            <v>1.404122137404584</v>
          </cell>
          <cell r="G758">
            <v>0.86229007633588561</v>
          </cell>
          <cell r="H758">
            <v>0.86229007633588561</v>
          </cell>
          <cell r="I758" t="e">
            <v>#N/A</v>
          </cell>
          <cell r="J758" t="e">
            <v>#N/A</v>
          </cell>
          <cell r="K758" t="e">
            <v>#N/A</v>
          </cell>
          <cell r="L758" t="e">
            <v>#N/A</v>
          </cell>
          <cell r="M758" t="e">
            <v>#N/A</v>
          </cell>
          <cell r="N758" t="e">
            <v>#N/A</v>
          </cell>
          <cell r="O758" t="e">
            <v>#N/A</v>
          </cell>
          <cell r="P758">
            <v>1.095</v>
          </cell>
          <cell r="Q758" t="str">
            <v/>
          </cell>
          <cell r="R758" t="e">
            <v>#N/A</v>
          </cell>
        </row>
        <row r="759">
          <cell r="A759">
            <v>40819</v>
          </cell>
          <cell r="B759">
            <v>40819</v>
          </cell>
          <cell r="C759" t="str">
            <v>Future</v>
          </cell>
          <cell r="D759" t="e">
            <v>#N/A</v>
          </cell>
          <cell r="E759">
            <v>0.33017175572518664</v>
          </cell>
          <cell r="F759">
            <v>1.4058206106870268</v>
          </cell>
          <cell r="G759">
            <v>0.86101145038168714</v>
          </cell>
          <cell r="H759">
            <v>0.86101145038168714</v>
          </cell>
          <cell r="I759" t="e">
            <v>#N/A</v>
          </cell>
          <cell r="J759" t="e">
            <v>#N/A</v>
          </cell>
          <cell r="K759" t="e">
            <v>#N/A</v>
          </cell>
          <cell r="L759" t="e">
            <v>#N/A</v>
          </cell>
          <cell r="M759" t="e">
            <v>#N/A</v>
          </cell>
          <cell r="N759" t="e">
            <v>#N/A</v>
          </cell>
          <cell r="O759" t="e">
            <v>#N/A</v>
          </cell>
          <cell r="P759">
            <v>1.095</v>
          </cell>
          <cell r="Q759" t="str">
            <v/>
          </cell>
          <cell r="R759" t="e">
            <v>#N/A</v>
          </cell>
        </row>
        <row r="760">
          <cell r="A760">
            <v>40820</v>
          </cell>
          <cell r="B760">
            <v>40820</v>
          </cell>
          <cell r="C760" t="str">
            <v>Future</v>
          </cell>
          <cell r="D760" t="e">
            <v>#N/A</v>
          </cell>
          <cell r="E760">
            <v>0.32599236641220952</v>
          </cell>
          <cell r="F760">
            <v>1.4075190839694696</v>
          </cell>
          <cell r="G760">
            <v>0.85973282442748866</v>
          </cell>
          <cell r="H760">
            <v>0.85973282442748866</v>
          </cell>
          <cell r="I760" t="e">
            <v>#N/A</v>
          </cell>
          <cell r="J760" t="e">
            <v>#N/A</v>
          </cell>
          <cell r="K760" t="e">
            <v>#N/A</v>
          </cell>
          <cell r="L760" t="e">
            <v>#N/A</v>
          </cell>
          <cell r="M760" t="e">
            <v>#N/A</v>
          </cell>
          <cell r="N760" t="e">
            <v>#N/A</v>
          </cell>
          <cell r="O760" t="e">
            <v>#N/A</v>
          </cell>
          <cell r="P760">
            <v>1.095</v>
          </cell>
          <cell r="Q760" t="str">
            <v/>
          </cell>
          <cell r="R760" t="e">
            <v>#N/A</v>
          </cell>
        </row>
        <row r="761">
          <cell r="A761">
            <v>40821</v>
          </cell>
          <cell r="B761">
            <v>40821</v>
          </cell>
          <cell r="C761" t="str">
            <v>Future</v>
          </cell>
          <cell r="D761" t="e">
            <v>#N/A</v>
          </cell>
          <cell r="E761">
            <v>0.3218129770992324</v>
          </cell>
          <cell r="F761">
            <v>1.4092175572519123</v>
          </cell>
          <cell r="G761">
            <v>0.85845419847329019</v>
          </cell>
          <cell r="H761">
            <v>0.85845419847329019</v>
          </cell>
          <cell r="I761" t="e">
            <v>#N/A</v>
          </cell>
          <cell r="J761" t="e">
            <v>#N/A</v>
          </cell>
          <cell r="K761" t="e">
            <v>#N/A</v>
          </cell>
          <cell r="L761" t="e">
            <v>#N/A</v>
          </cell>
          <cell r="M761" t="e">
            <v>#N/A</v>
          </cell>
          <cell r="N761" t="e">
            <v>#N/A</v>
          </cell>
          <cell r="O761" t="e">
            <v>#N/A</v>
          </cell>
          <cell r="P761">
            <v>1.095</v>
          </cell>
          <cell r="Q761" t="str">
            <v/>
          </cell>
          <cell r="R761" t="e">
            <v>#N/A</v>
          </cell>
        </row>
        <row r="762">
          <cell r="A762">
            <v>40822</v>
          </cell>
          <cell r="B762">
            <v>40822</v>
          </cell>
          <cell r="C762" t="str">
            <v>Future</v>
          </cell>
          <cell r="D762" t="e">
            <v>#N/A</v>
          </cell>
          <cell r="E762">
            <v>0.31763358778625528</v>
          </cell>
          <cell r="F762">
            <v>1.4109160305343551</v>
          </cell>
          <cell r="G762">
            <v>0.85717557251909171</v>
          </cell>
          <cell r="H762">
            <v>0.85717557251909171</v>
          </cell>
          <cell r="I762" t="e">
            <v>#N/A</v>
          </cell>
          <cell r="J762" t="e">
            <v>#N/A</v>
          </cell>
          <cell r="K762" t="e">
            <v>#N/A</v>
          </cell>
          <cell r="L762" t="e">
            <v>#N/A</v>
          </cell>
          <cell r="M762" t="e">
            <v>#N/A</v>
          </cell>
          <cell r="N762" t="e">
            <v>#N/A</v>
          </cell>
          <cell r="O762" t="e">
            <v>#N/A</v>
          </cell>
          <cell r="P762">
            <v>1.095</v>
          </cell>
          <cell r="Q762" t="str">
            <v/>
          </cell>
          <cell r="R762" t="e">
            <v>#N/A</v>
          </cell>
        </row>
        <row r="763">
          <cell r="A763">
            <v>40823</v>
          </cell>
          <cell r="B763">
            <v>40823</v>
          </cell>
          <cell r="C763" t="str">
            <v>Future</v>
          </cell>
          <cell r="D763" t="e">
            <v>#N/A</v>
          </cell>
          <cell r="E763">
            <v>0.31345419847327816</v>
          </cell>
          <cell r="F763">
            <v>1.4126145038167979</v>
          </cell>
          <cell r="G763">
            <v>0.85589694656489324</v>
          </cell>
          <cell r="H763">
            <v>0.85589694656489324</v>
          </cell>
          <cell r="I763" t="e">
            <v>#N/A</v>
          </cell>
          <cell r="J763" t="e">
            <v>#N/A</v>
          </cell>
          <cell r="K763" t="e">
            <v>#N/A</v>
          </cell>
          <cell r="L763" t="e">
            <v>#N/A</v>
          </cell>
          <cell r="M763" t="e">
            <v>#N/A</v>
          </cell>
          <cell r="N763" t="e">
            <v>#N/A</v>
          </cell>
          <cell r="O763" t="e">
            <v>#N/A</v>
          </cell>
          <cell r="P763">
            <v>1.095</v>
          </cell>
          <cell r="Q763" t="str">
            <v/>
          </cell>
          <cell r="R763" t="e">
            <v>#N/A</v>
          </cell>
        </row>
        <row r="764">
          <cell r="A764">
            <v>40826</v>
          </cell>
          <cell r="B764">
            <v>40826</v>
          </cell>
          <cell r="C764" t="str">
            <v>Future</v>
          </cell>
          <cell r="D764" t="e">
            <v>#N/A</v>
          </cell>
          <cell r="E764">
            <v>0.30927480916030103</v>
          </cell>
          <cell r="F764">
            <v>1.4143129770992406</v>
          </cell>
          <cell r="G764">
            <v>0.85461832061069476</v>
          </cell>
          <cell r="H764">
            <v>0.85461832061069476</v>
          </cell>
          <cell r="I764" t="e">
            <v>#N/A</v>
          </cell>
          <cell r="J764" t="e">
            <v>#N/A</v>
          </cell>
          <cell r="K764" t="e">
            <v>#N/A</v>
          </cell>
          <cell r="L764" t="e">
            <v>#N/A</v>
          </cell>
          <cell r="M764" t="e">
            <v>#N/A</v>
          </cell>
          <cell r="N764" t="e">
            <v>#N/A</v>
          </cell>
          <cell r="O764" t="e">
            <v>#N/A</v>
          </cell>
          <cell r="P764">
            <v>1.095</v>
          </cell>
          <cell r="Q764" t="str">
            <v/>
          </cell>
          <cell r="R764" t="e">
            <v>#N/A</v>
          </cell>
        </row>
        <row r="765">
          <cell r="A765">
            <v>40827</v>
          </cell>
          <cell r="B765">
            <v>40827</v>
          </cell>
          <cell r="C765" t="str">
            <v>Future</v>
          </cell>
          <cell r="D765" t="e">
            <v>#N/A</v>
          </cell>
          <cell r="E765">
            <v>0.30509541984732391</v>
          </cell>
          <cell r="F765">
            <v>1.4160114503816834</v>
          </cell>
          <cell r="G765">
            <v>0.85333969465649628</v>
          </cell>
          <cell r="H765">
            <v>0.85333969465649628</v>
          </cell>
          <cell r="I765" t="e">
            <v>#N/A</v>
          </cell>
          <cell r="J765" t="e">
            <v>#N/A</v>
          </cell>
          <cell r="K765" t="e">
            <v>#N/A</v>
          </cell>
          <cell r="L765" t="e">
            <v>#N/A</v>
          </cell>
          <cell r="M765" t="e">
            <v>#N/A</v>
          </cell>
          <cell r="N765" t="e">
            <v>#N/A</v>
          </cell>
          <cell r="O765" t="e">
            <v>#N/A</v>
          </cell>
          <cell r="P765">
            <v>1.095</v>
          </cell>
          <cell r="Q765" t="str">
            <v/>
          </cell>
          <cell r="R765" t="e">
            <v>#N/A</v>
          </cell>
        </row>
        <row r="766">
          <cell r="A766">
            <v>40828</v>
          </cell>
          <cell r="B766">
            <v>40828</v>
          </cell>
          <cell r="C766" t="str">
            <v>Future</v>
          </cell>
          <cell r="D766" t="e">
            <v>#N/A</v>
          </cell>
          <cell r="E766">
            <v>0.30091603053434679</v>
          </cell>
          <cell r="F766">
            <v>1.4177099236641262</v>
          </cell>
          <cell r="G766">
            <v>0.85206106870229781</v>
          </cell>
          <cell r="H766">
            <v>0.85206106870229781</v>
          </cell>
          <cell r="I766" t="e">
            <v>#N/A</v>
          </cell>
          <cell r="J766" t="e">
            <v>#N/A</v>
          </cell>
          <cell r="K766" t="e">
            <v>#N/A</v>
          </cell>
          <cell r="L766" t="e">
            <v>#N/A</v>
          </cell>
          <cell r="M766" t="e">
            <v>#N/A</v>
          </cell>
          <cell r="N766" t="e">
            <v>#N/A</v>
          </cell>
          <cell r="O766" t="e">
            <v>#N/A</v>
          </cell>
          <cell r="P766">
            <v>1.095</v>
          </cell>
          <cell r="Q766" t="str">
            <v/>
          </cell>
          <cell r="R766" t="e">
            <v>#N/A</v>
          </cell>
        </row>
        <row r="767">
          <cell r="A767">
            <v>40829</v>
          </cell>
          <cell r="B767">
            <v>40829</v>
          </cell>
          <cell r="C767" t="str">
            <v>Future</v>
          </cell>
          <cell r="D767" t="e">
            <v>#N/A</v>
          </cell>
          <cell r="E767">
            <v>0.29673664122136967</v>
          </cell>
          <cell r="F767">
            <v>1.419408396946569</v>
          </cell>
          <cell r="G767">
            <v>0.85078244274809933</v>
          </cell>
          <cell r="H767">
            <v>0.85078244274809933</v>
          </cell>
          <cell r="I767" t="e">
            <v>#N/A</v>
          </cell>
          <cell r="J767" t="e">
            <v>#N/A</v>
          </cell>
          <cell r="K767" t="e">
            <v>#N/A</v>
          </cell>
          <cell r="L767" t="e">
            <v>#N/A</v>
          </cell>
          <cell r="M767" t="e">
            <v>#N/A</v>
          </cell>
          <cell r="N767" t="e">
            <v>#N/A</v>
          </cell>
          <cell r="O767" t="e">
            <v>#N/A</v>
          </cell>
          <cell r="P767">
            <v>1.095</v>
          </cell>
          <cell r="Q767" t="str">
            <v/>
          </cell>
          <cell r="R767" t="e">
            <v>#N/A</v>
          </cell>
        </row>
        <row r="768">
          <cell r="A768">
            <v>40830</v>
          </cell>
          <cell r="B768">
            <v>40830</v>
          </cell>
          <cell r="C768" t="str">
            <v>Future</v>
          </cell>
          <cell r="D768" t="e">
            <v>#N/A</v>
          </cell>
          <cell r="E768">
            <v>0.29255725190839255</v>
          </cell>
          <cell r="F768">
            <v>1.4211068702290117</v>
          </cell>
          <cell r="G768">
            <v>0.84950381679390086</v>
          </cell>
          <cell r="H768">
            <v>0.84950381679390086</v>
          </cell>
          <cell r="I768" t="e">
            <v>#N/A</v>
          </cell>
          <cell r="J768" t="e">
            <v>#N/A</v>
          </cell>
          <cell r="K768" t="e">
            <v>#N/A</v>
          </cell>
          <cell r="L768" t="e">
            <v>#N/A</v>
          </cell>
          <cell r="M768" t="e">
            <v>#N/A</v>
          </cell>
          <cell r="N768" t="e">
            <v>#N/A</v>
          </cell>
          <cell r="O768" t="e">
            <v>#N/A</v>
          </cell>
          <cell r="P768">
            <v>1.095</v>
          </cell>
          <cell r="Q768" t="str">
            <v/>
          </cell>
          <cell r="R768" t="e">
            <v>#N/A</v>
          </cell>
        </row>
        <row r="769">
          <cell r="A769">
            <v>40833</v>
          </cell>
          <cell r="B769">
            <v>40833</v>
          </cell>
          <cell r="C769" t="str">
            <v>Future</v>
          </cell>
          <cell r="D769" t="e">
            <v>#N/A</v>
          </cell>
          <cell r="E769">
            <v>0.28837786259541542</v>
          </cell>
          <cell r="F769">
            <v>1.4228053435114545</v>
          </cell>
          <cell r="G769">
            <v>0.84822519083970238</v>
          </cell>
          <cell r="H769">
            <v>0.84822519083970238</v>
          </cell>
          <cell r="I769" t="e">
            <v>#N/A</v>
          </cell>
          <cell r="J769" t="e">
            <v>#N/A</v>
          </cell>
          <cell r="K769" t="e">
            <v>#N/A</v>
          </cell>
          <cell r="L769" t="e">
            <v>#N/A</v>
          </cell>
          <cell r="M769" t="e">
            <v>#N/A</v>
          </cell>
          <cell r="N769" t="e">
            <v>#N/A</v>
          </cell>
          <cell r="O769" t="e">
            <v>#N/A</v>
          </cell>
          <cell r="P769">
            <v>1.095</v>
          </cell>
          <cell r="Q769" t="str">
            <v/>
          </cell>
          <cell r="R769" t="e">
            <v>#N/A</v>
          </cell>
        </row>
        <row r="770">
          <cell r="A770">
            <v>40834</v>
          </cell>
          <cell r="B770">
            <v>40834</v>
          </cell>
          <cell r="C770" t="str">
            <v>Future</v>
          </cell>
          <cell r="D770" t="e">
            <v>#N/A</v>
          </cell>
          <cell r="E770">
            <v>0.2841984732824383</v>
          </cell>
          <cell r="F770">
            <v>1.4245038167938973</v>
          </cell>
          <cell r="G770">
            <v>0.84694656488550391</v>
          </cell>
          <cell r="H770">
            <v>0.84694656488550391</v>
          </cell>
          <cell r="I770" t="e">
            <v>#N/A</v>
          </cell>
          <cell r="J770" t="e">
            <v>#N/A</v>
          </cell>
          <cell r="K770" t="e">
            <v>#N/A</v>
          </cell>
          <cell r="L770" t="e">
            <v>#N/A</v>
          </cell>
          <cell r="M770" t="e">
            <v>#N/A</v>
          </cell>
          <cell r="N770" t="e">
            <v>#N/A</v>
          </cell>
          <cell r="O770" t="e">
            <v>#N/A</v>
          </cell>
          <cell r="P770">
            <v>1.095</v>
          </cell>
          <cell r="Q770" t="str">
            <v/>
          </cell>
          <cell r="R770" t="e">
            <v>#N/A</v>
          </cell>
        </row>
        <row r="771">
          <cell r="A771">
            <v>40835</v>
          </cell>
          <cell r="B771">
            <v>40835</v>
          </cell>
          <cell r="C771" t="str">
            <v>Future</v>
          </cell>
          <cell r="D771" t="e">
            <v>#N/A</v>
          </cell>
          <cell r="E771">
            <v>0.28001908396946118</v>
          </cell>
          <cell r="F771">
            <v>1.42620229007634</v>
          </cell>
          <cell r="G771">
            <v>0.84566793893130543</v>
          </cell>
          <cell r="H771">
            <v>0.84566793893130543</v>
          </cell>
          <cell r="I771" t="e">
            <v>#N/A</v>
          </cell>
          <cell r="J771" t="e">
            <v>#N/A</v>
          </cell>
          <cell r="K771" t="e">
            <v>#N/A</v>
          </cell>
          <cell r="L771" t="e">
            <v>#N/A</v>
          </cell>
          <cell r="M771" t="e">
            <v>#N/A</v>
          </cell>
          <cell r="N771" t="e">
            <v>#N/A</v>
          </cell>
          <cell r="O771" t="e">
            <v>#N/A</v>
          </cell>
          <cell r="P771">
            <v>1.095</v>
          </cell>
          <cell r="Q771" t="str">
            <v/>
          </cell>
          <cell r="R771" t="e">
            <v>#N/A</v>
          </cell>
        </row>
        <row r="772">
          <cell r="A772">
            <v>40836</v>
          </cell>
          <cell r="B772">
            <v>40836</v>
          </cell>
          <cell r="C772" t="str">
            <v>Future</v>
          </cell>
          <cell r="D772" t="e">
            <v>#N/A</v>
          </cell>
          <cell r="E772">
            <v>0.27583969465648406</v>
          </cell>
          <cell r="F772">
            <v>1.4279007633587828</v>
          </cell>
          <cell r="G772">
            <v>0.84438931297710695</v>
          </cell>
          <cell r="H772">
            <v>0.84438931297710695</v>
          </cell>
          <cell r="I772" t="e">
            <v>#N/A</v>
          </cell>
          <cell r="J772" t="e">
            <v>#N/A</v>
          </cell>
          <cell r="K772" t="e">
            <v>#N/A</v>
          </cell>
          <cell r="L772" t="e">
            <v>#N/A</v>
          </cell>
          <cell r="M772" t="e">
            <v>#N/A</v>
          </cell>
          <cell r="N772" t="e">
            <v>#N/A</v>
          </cell>
          <cell r="O772" t="e">
            <v>#N/A</v>
          </cell>
          <cell r="P772">
            <v>1.095</v>
          </cell>
          <cell r="Q772" t="str">
            <v/>
          </cell>
          <cell r="R772" t="e">
            <v>#N/A</v>
          </cell>
        </row>
        <row r="773">
          <cell r="A773">
            <v>40837</v>
          </cell>
          <cell r="B773">
            <v>40837</v>
          </cell>
          <cell r="C773" t="str">
            <v>Future</v>
          </cell>
          <cell r="D773" t="e">
            <v>#N/A</v>
          </cell>
          <cell r="E773">
            <v>0.27166030534350694</v>
          </cell>
          <cell r="F773">
            <v>1.4295992366412256</v>
          </cell>
          <cell r="G773">
            <v>0.84311068702290848</v>
          </cell>
          <cell r="H773">
            <v>0.84311068702290848</v>
          </cell>
          <cell r="I773" t="e">
            <v>#N/A</v>
          </cell>
          <cell r="J773" t="e">
            <v>#N/A</v>
          </cell>
          <cell r="K773" t="e">
            <v>#N/A</v>
          </cell>
          <cell r="L773" t="e">
            <v>#N/A</v>
          </cell>
          <cell r="M773" t="e">
            <v>#N/A</v>
          </cell>
          <cell r="N773" t="e">
            <v>#N/A</v>
          </cell>
          <cell r="O773" t="e">
            <v>#N/A</v>
          </cell>
          <cell r="P773">
            <v>1.095</v>
          </cell>
          <cell r="Q773" t="str">
            <v/>
          </cell>
          <cell r="R773" t="e">
            <v>#N/A</v>
          </cell>
        </row>
        <row r="774">
          <cell r="A774">
            <v>40840</v>
          </cell>
          <cell r="B774">
            <v>40840</v>
          </cell>
          <cell r="C774" t="str">
            <v>Future</v>
          </cell>
          <cell r="D774" t="e">
            <v>#N/A</v>
          </cell>
          <cell r="E774">
            <v>0.26748091603052981</v>
          </cell>
          <cell r="F774">
            <v>1.4312977099236683</v>
          </cell>
          <cell r="G774">
            <v>0.84183206106871</v>
          </cell>
          <cell r="H774">
            <v>0.84183206106871</v>
          </cell>
          <cell r="I774" t="e">
            <v>#N/A</v>
          </cell>
          <cell r="J774" t="e">
            <v>#N/A</v>
          </cell>
          <cell r="K774" t="e">
            <v>#N/A</v>
          </cell>
          <cell r="L774" t="e">
            <v>#N/A</v>
          </cell>
          <cell r="M774" t="e">
            <v>#N/A</v>
          </cell>
          <cell r="N774" t="e">
            <v>#N/A</v>
          </cell>
          <cell r="O774" t="e">
            <v>#N/A</v>
          </cell>
          <cell r="P774">
            <v>1.095</v>
          </cell>
          <cell r="Q774" t="str">
            <v/>
          </cell>
          <cell r="R774" t="e">
            <v>#N/A</v>
          </cell>
        </row>
        <row r="775">
          <cell r="A775">
            <v>40841</v>
          </cell>
          <cell r="B775">
            <v>40841</v>
          </cell>
          <cell r="C775" t="str">
            <v>Future</v>
          </cell>
          <cell r="D775" t="e">
            <v>#N/A</v>
          </cell>
          <cell r="E775">
            <v>0.26330152671755269</v>
          </cell>
          <cell r="F775">
            <v>1.4329961832061111</v>
          </cell>
          <cell r="G775">
            <v>0.84055343511451153</v>
          </cell>
          <cell r="H775">
            <v>0.84055343511451153</v>
          </cell>
          <cell r="I775" t="e">
            <v>#N/A</v>
          </cell>
          <cell r="J775" t="e">
            <v>#N/A</v>
          </cell>
          <cell r="K775" t="e">
            <v>#N/A</v>
          </cell>
          <cell r="L775" t="e">
            <v>#N/A</v>
          </cell>
          <cell r="M775" t="e">
            <v>#N/A</v>
          </cell>
          <cell r="N775" t="e">
            <v>#N/A</v>
          </cell>
          <cell r="O775" t="e">
            <v>#N/A</v>
          </cell>
          <cell r="P775">
            <v>1.095</v>
          </cell>
          <cell r="Q775" t="str">
            <v/>
          </cell>
          <cell r="R775" t="e">
            <v>#N/A</v>
          </cell>
        </row>
        <row r="776">
          <cell r="A776">
            <v>40842</v>
          </cell>
          <cell r="B776">
            <v>40842</v>
          </cell>
          <cell r="C776" t="str">
            <v>Future</v>
          </cell>
          <cell r="D776" t="e">
            <v>#N/A</v>
          </cell>
          <cell r="E776">
            <v>0.25912213740457557</v>
          </cell>
          <cell r="F776">
            <v>1.4346946564885539</v>
          </cell>
          <cell r="G776">
            <v>0.83927480916031305</v>
          </cell>
          <cell r="H776">
            <v>0.83927480916031305</v>
          </cell>
          <cell r="I776" t="e">
            <v>#N/A</v>
          </cell>
          <cell r="J776" t="e">
            <v>#N/A</v>
          </cell>
          <cell r="K776" t="e">
            <v>#N/A</v>
          </cell>
          <cell r="L776" t="e">
            <v>#N/A</v>
          </cell>
          <cell r="M776" t="e">
            <v>#N/A</v>
          </cell>
          <cell r="N776" t="e">
            <v>#N/A</v>
          </cell>
          <cell r="O776" t="e">
            <v>#N/A</v>
          </cell>
          <cell r="P776">
            <v>1.095</v>
          </cell>
          <cell r="Q776" t="str">
            <v/>
          </cell>
          <cell r="R776" t="e">
            <v>#N/A</v>
          </cell>
        </row>
        <row r="777">
          <cell r="A777">
            <v>40843</v>
          </cell>
          <cell r="B777">
            <v>40843</v>
          </cell>
          <cell r="C777" t="str">
            <v>Future</v>
          </cell>
          <cell r="D777" t="e">
            <v>#N/A</v>
          </cell>
          <cell r="E777">
            <v>0.25494274809159845</v>
          </cell>
          <cell r="F777">
            <v>1.4363931297709966</v>
          </cell>
          <cell r="G777">
            <v>0.83799618320611458</v>
          </cell>
          <cell r="H777">
            <v>0.83799618320611458</v>
          </cell>
          <cell r="I777" t="e">
            <v>#N/A</v>
          </cell>
          <cell r="J777" t="e">
            <v>#N/A</v>
          </cell>
          <cell r="K777" t="e">
            <v>#N/A</v>
          </cell>
          <cell r="L777" t="e">
            <v>#N/A</v>
          </cell>
          <cell r="M777" t="e">
            <v>#N/A</v>
          </cell>
          <cell r="N777" t="e">
            <v>#N/A</v>
          </cell>
          <cell r="O777" t="e">
            <v>#N/A</v>
          </cell>
          <cell r="P777">
            <v>1.095</v>
          </cell>
          <cell r="Q777" t="str">
            <v/>
          </cell>
          <cell r="R777" t="e">
            <v>#N/A</v>
          </cell>
        </row>
        <row r="778">
          <cell r="A778">
            <v>40844</v>
          </cell>
          <cell r="B778">
            <v>40844</v>
          </cell>
          <cell r="C778" t="str">
            <v>Future</v>
          </cell>
          <cell r="D778" t="e">
            <v>#N/A</v>
          </cell>
          <cell r="E778">
            <v>0.25076335877862133</v>
          </cell>
          <cell r="F778">
            <v>1.4380916030534394</v>
          </cell>
          <cell r="G778">
            <v>0.8367175572519161</v>
          </cell>
          <cell r="H778">
            <v>0.8367175572519161</v>
          </cell>
          <cell r="I778" t="e">
            <v>#N/A</v>
          </cell>
          <cell r="J778" t="e">
            <v>#N/A</v>
          </cell>
          <cell r="K778" t="e">
            <v>#N/A</v>
          </cell>
          <cell r="L778" t="e">
            <v>#N/A</v>
          </cell>
          <cell r="M778" t="e">
            <v>#N/A</v>
          </cell>
          <cell r="N778" t="e">
            <v>#N/A</v>
          </cell>
          <cell r="O778" t="e">
            <v>#N/A</v>
          </cell>
          <cell r="P778">
            <v>1.095</v>
          </cell>
          <cell r="Q778" t="str">
            <v/>
          </cell>
          <cell r="R778" t="e">
            <v>#N/A</v>
          </cell>
        </row>
        <row r="779">
          <cell r="A779">
            <v>40847</v>
          </cell>
          <cell r="B779">
            <v>40847</v>
          </cell>
          <cell r="C779" t="str">
            <v>Future</v>
          </cell>
          <cell r="D779" t="e">
            <v>#N/A</v>
          </cell>
          <cell r="E779">
            <v>0.24658396946564423</v>
          </cell>
          <cell r="F779">
            <v>1.4397900763358822</v>
          </cell>
          <cell r="G779">
            <v>0.83543893129771762</v>
          </cell>
          <cell r="H779">
            <v>0.83543893129771762</v>
          </cell>
          <cell r="I779" t="e">
            <v>#N/A</v>
          </cell>
          <cell r="J779" t="e">
            <v>#N/A</v>
          </cell>
          <cell r="K779" t="e">
            <v>#N/A</v>
          </cell>
          <cell r="L779" t="e">
            <v>#N/A</v>
          </cell>
          <cell r="M779" t="e">
            <v>#N/A</v>
          </cell>
          <cell r="N779" t="e">
            <v>#N/A</v>
          </cell>
          <cell r="O779" t="e">
            <v>#N/A</v>
          </cell>
          <cell r="P779">
            <v>1.095</v>
          </cell>
          <cell r="Q779" t="str">
            <v/>
          </cell>
          <cell r="R779" t="e">
            <v>#N/A</v>
          </cell>
        </row>
        <row r="780">
          <cell r="A780">
            <v>40848</v>
          </cell>
          <cell r="B780">
            <v>40848</v>
          </cell>
          <cell r="C780" t="str">
            <v>Future</v>
          </cell>
          <cell r="D780" t="e">
            <v>#N/A</v>
          </cell>
          <cell r="E780">
            <v>0.24240458015266714</v>
          </cell>
          <cell r="F780">
            <v>1.441488549618325</v>
          </cell>
          <cell r="G780">
            <v>0.83416030534351915</v>
          </cell>
          <cell r="H780">
            <v>0.83416030534351915</v>
          </cell>
          <cell r="I780" t="e">
            <v>#N/A</v>
          </cell>
          <cell r="J780" t="e">
            <v>#N/A</v>
          </cell>
          <cell r="K780" t="e">
            <v>#N/A</v>
          </cell>
          <cell r="L780" t="e">
            <v>#N/A</v>
          </cell>
          <cell r="M780" t="e">
            <v>#N/A</v>
          </cell>
          <cell r="N780" t="e">
            <v>#N/A</v>
          </cell>
          <cell r="O780" t="e">
            <v>#N/A</v>
          </cell>
          <cell r="P780">
            <v>1.095</v>
          </cell>
          <cell r="Q780" t="str">
            <v/>
          </cell>
          <cell r="R780" t="e">
            <v>#N/A</v>
          </cell>
        </row>
        <row r="781">
          <cell r="A781">
            <v>40849</v>
          </cell>
          <cell r="B781">
            <v>40849</v>
          </cell>
          <cell r="C781" t="str">
            <v>Future</v>
          </cell>
          <cell r="D781" t="e">
            <v>#N/A</v>
          </cell>
          <cell r="E781">
            <v>0.23822519083969004</v>
          </cell>
          <cell r="F781">
            <v>1.4431870229007677</v>
          </cell>
          <cell r="G781">
            <v>0.83288167938932067</v>
          </cell>
          <cell r="H781">
            <v>0.83288167938932067</v>
          </cell>
          <cell r="I781" t="e">
            <v>#N/A</v>
          </cell>
          <cell r="J781" t="e">
            <v>#N/A</v>
          </cell>
          <cell r="K781" t="e">
            <v>#N/A</v>
          </cell>
          <cell r="L781" t="e">
            <v>#N/A</v>
          </cell>
          <cell r="M781" t="e">
            <v>#N/A</v>
          </cell>
          <cell r="N781" t="e">
            <v>#N/A</v>
          </cell>
          <cell r="O781" t="e">
            <v>#N/A</v>
          </cell>
          <cell r="P781">
            <v>1.095</v>
          </cell>
          <cell r="Q781" t="str">
            <v/>
          </cell>
          <cell r="R781" t="e">
            <v>#N/A</v>
          </cell>
        </row>
        <row r="782">
          <cell r="A782">
            <v>40850</v>
          </cell>
          <cell r="B782">
            <v>40850</v>
          </cell>
          <cell r="C782" t="str">
            <v>Future</v>
          </cell>
          <cell r="D782" t="e">
            <v>#N/A</v>
          </cell>
          <cell r="E782">
            <v>0.23404580152671295</v>
          </cell>
          <cell r="F782">
            <v>1.4448854961832105</v>
          </cell>
          <cell r="G782">
            <v>0.8316030534351222</v>
          </cell>
          <cell r="H782">
            <v>0.8316030534351222</v>
          </cell>
          <cell r="I782" t="e">
            <v>#N/A</v>
          </cell>
          <cell r="J782" t="e">
            <v>#N/A</v>
          </cell>
          <cell r="K782" t="e">
            <v>#N/A</v>
          </cell>
          <cell r="L782" t="e">
            <v>#N/A</v>
          </cell>
          <cell r="M782" t="e">
            <v>#N/A</v>
          </cell>
          <cell r="N782" t="e">
            <v>#N/A</v>
          </cell>
          <cell r="O782" t="e">
            <v>#N/A</v>
          </cell>
          <cell r="P782">
            <v>1.095</v>
          </cell>
          <cell r="Q782" t="str">
            <v/>
          </cell>
          <cell r="R782" t="e">
            <v>#N/A</v>
          </cell>
        </row>
        <row r="783">
          <cell r="A783">
            <v>40851</v>
          </cell>
          <cell r="B783">
            <v>40851</v>
          </cell>
          <cell r="C783" t="str">
            <v>Future</v>
          </cell>
          <cell r="D783" t="e">
            <v>#N/A</v>
          </cell>
          <cell r="E783">
            <v>0.22986641221373585</v>
          </cell>
          <cell r="F783">
            <v>1.4465839694656533</v>
          </cell>
          <cell r="G783">
            <v>0.83032442748092372</v>
          </cell>
          <cell r="H783">
            <v>0.83032442748092372</v>
          </cell>
          <cell r="I783" t="e">
            <v>#N/A</v>
          </cell>
          <cell r="J783" t="e">
            <v>#N/A</v>
          </cell>
          <cell r="K783" t="e">
            <v>#N/A</v>
          </cell>
          <cell r="L783" t="e">
            <v>#N/A</v>
          </cell>
          <cell r="M783" t="e">
            <v>#N/A</v>
          </cell>
          <cell r="N783" t="e">
            <v>#N/A</v>
          </cell>
          <cell r="O783" t="e">
            <v>#N/A</v>
          </cell>
          <cell r="P783">
            <v>1.095</v>
          </cell>
          <cell r="Q783" t="str">
            <v/>
          </cell>
          <cell r="R783" t="e">
            <v>#N/A</v>
          </cell>
        </row>
        <row r="784">
          <cell r="A784">
            <v>40854</v>
          </cell>
          <cell r="B784">
            <v>40854</v>
          </cell>
          <cell r="C784" t="str">
            <v>Future</v>
          </cell>
          <cell r="D784" t="e">
            <v>#N/A</v>
          </cell>
          <cell r="E784">
            <v>0.22568702290075876</v>
          </cell>
          <cell r="F784">
            <v>1.448282442748096</v>
          </cell>
          <cell r="G784">
            <v>0.82904580152672525</v>
          </cell>
          <cell r="H784">
            <v>0.82904580152672525</v>
          </cell>
          <cell r="I784" t="e">
            <v>#N/A</v>
          </cell>
          <cell r="J784" t="e">
            <v>#N/A</v>
          </cell>
          <cell r="K784" t="e">
            <v>#N/A</v>
          </cell>
          <cell r="L784" t="e">
            <v>#N/A</v>
          </cell>
          <cell r="M784" t="e">
            <v>#N/A</v>
          </cell>
          <cell r="N784" t="e">
            <v>#N/A</v>
          </cell>
          <cell r="O784" t="e">
            <v>#N/A</v>
          </cell>
          <cell r="P784">
            <v>1.095</v>
          </cell>
          <cell r="Q784" t="str">
            <v/>
          </cell>
          <cell r="R784" t="e">
            <v>#N/A</v>
          </cell>
        </row>
        <row r="785">
          <cell r="A785">
            <v>40855</v>
          </cell>
          <cell r="B785">
            <v>40855</v>
          </cell>
          <cell r="C785" t="str">
            <v>Future</v>
          </cell>
          <cell r="D785" t="e">
            <v>#N/A</v>
          </cell>
          <cell r="E785">
            <v>0.22150763358778167</v>
          </cell>
          <cell r="F785">
            <v>1.4499809160305388</v>
          </cell>
          <cell r="G785">
            <v>0.82776717557252677</v>
          </cell>
          <cell r="H785">
            <v>0.82776717557252677</v>
          </cell>
          <cell r="I785" t="e">
            <v>#N/A</v>
          </cell>
          <cell r="J785" t="e">
            <v>#N/A</v>
          </cell>
          <cell r="K785" t="e">
            <v>#N/A</v>
          </cell>
          <cell r="L785" t="e">
            <v>#N/A</v>
          </cell>
          <cell r="M785" t="e">
            <v>#N/A</v>
          </cell>
          <cell r="N785" t="e">
            <v>#N/A</v>
          </cell>
          <cell r="O785" t="e">
            <v>#N/A</v>
          </cell>
          <cell r="P785">
            <v>1.095</v>
          </cell>
          <cell r="Q785" t="str">
            <v/>
          </cell>
          <cell r="R785" t="e">
            <v>#N/A</v>
          </cell>
        </row>
        <row r="786">
          <cell r="A786">
            <v>40856</v>
          </cell>
          <cell r="B786">
            <v>40856</v>
          </cell>
          <cell r="C786" t="str">
            <v>Future</v>
          </cell>
          <cell r="D786" t="e">
            <v>#N/A</v>
          </cell>
          <cell r="E786">
            <v>0.21732824427480457</v>
          </cell>
          <cell r="F786">
            <v>1.4516793893129816</v>
          </cell>
          <cell r="G786">
            <v>0.82648854961832829</v>
          </cell>
          <cell r="H786">
            <v>0.82648854961832829</v>
          </cell>
          <cell r="I786" t="e">
            <v>#N/A</v>
          </cell>
          <cell r="J786" t="e">
            <v>#N/A</v>
          </cell>
          <cell r="K786" t="e">
            <v>#N/A</v>
          </cell>
          <cell r="L786" t="e">
            <v>#N/A</v>
          </cell>
          <cell r="M786" t="e">
            <v>#N/A</v>
          </cell>
          <cell r="N786" t="e">
            <v>#N/A</v>
          </cell>
          <cell r="O786" t="e">
            <v>#N/A</v>
          </cell>
          <cell r="P786">
            <v>1.095</v>
          </cell>
          <cell r="Q786" t="str">
            <v/>
          </cell>
          <cell r="R786" t="e">
            <v>#N/A</v>
          </cell>
        </row>
        <row r="787">
          <cell r="A787">
            <v>40857</v>
          </cell>
          <cell r="B787">
            <v>40857</v>
          </cell>
          <cell r="C787" t="str">
            <v>Future</v>
          </cell>
          <cell r="D787" t="e">
            <v>#N/A</v>
          </cell>
          <cell r="E787">
            <v>0.21314885496182748</v>
          </cell>
          <cell r="F787">
            <v>1.4533778625954243</v>
          </cell>
          <cell r="G787">
            <v>0.82520992366412982</v>
          </cell>
          <cell r="H787">
            <v>0.82520992366412982</v>
          </cell>
          <cell r="I787" t="e">
            <v>#N/A</v>
          </cell>
          <cell r="J787" t="e">
            <v>#N/A</v>
          </cell>
          <cell r="K787" t="e">
            <v>#N/A</v>
          </cell>
          <cell r="L787" t="e">
            <v>#N/A</v>
          </cell>
          <cell r="M787" t="e">
            <v>#N/A</v>
          </cell>
          <cell r="N787" t="e">
            <v>#N/A</v>
          </cell>
          <cell r="O787" t="e">
            <v>#N/A</v>
          </cell>
          <cell r="P787">
            <v>1.095</v>
          </cell>
          <cell r="Q787" t="str">
            <v/>
          </cell>
          <cell r="R787" t="e">
            <v>#N/A</v>
          </cell>
        </row>
        <row r="788">
          <cell r="A788">
            <v>40858</v>
          </cell>
          <cell r="B788">
            <v>40858</v>
          </cell>
          <cell r="C788" t="str">
            <v>Future</v>
          </cell>
          <cell r="D788" t="e">
            <v>#N/A</v>
          </cell>
          <cell r="E788">
            <v>0.20896946564885038</v>
          </cell>
          <cell r="F788">
            <v>1.4550763358778671</v>
          </cell>
          <cell r="G788">
            <v>0.82393129770993134</v>
          </cell>
          <cell r="H788">
            <v>0.82393129770993134</v>
          </cell>
          <cell r="I788" t="e">
            <v>#N/A</v>
          </cell>
          <cell r="J788" t="e">
            <v>#N/A</v>
          </cell>
          <cell r="K788" t="e">
            <v>#N/A</v>
          </cell>
          <cell r="L788" t="e">
            <v>#N/A</v>
          </cell>
          <cell r="M788" t="e">
            <v>#N/A</v>
          </cell>
          <cell r="N788" t="e">
            <v>#N/A</v>
          </cell>
          <cell r="O788" t="e">
            <v>#N/A</v>
          </cell>
          <cell r="P788">
            <v>1.095</v>
          </cell>
          <cell r="Q788" t="str">
            <v/>
          </cell>
          <cell r="R788" t="e">
            <v>#N/A</v>
          </cell>
        </row>
        <row r="789">
          <cell r="A789">
            <v>40861</v>
          </cell>
          <cell r="B789">
            <v>40861</v>
          </cell>
          <cell r="C789" t="str">
            <v>Future</v>
          </cell>
          <cell r="D789" t="e">
            <v>#N/A</v>
          </cell>
          <cell r="E789">
            <v>0.20479007633587329</v>
          </cell>
          <cell r="F789">
            <v>1.4567748091603099</v>
          </cell>
          <cell r="G789">
            <v>0.82265267175573287</v>
          </cell>
          <cell r="H789">
            <v>0.82265267175573287</v>
          </cell>
          <cell r="I789" t="e">
            <v>#N/A</v>
          </cell>
          <cell r="J789" t="e">
            <v>#N/A</v>
          </cell>
          <cell r="K789" t="e">
            <v>#N/A</v>
          </cell>
          <cell r="L789" t="e">
            <v>#N/A</v>
          </cell>
          <cell r="M789" t="e">
            <v>#N/A</v>
          </cell>
          <cell r="N789" t="e">
            <v>#N/A</v>
          </cell>
          <cell r="O789" t="e">
            <v>#N/A</v>
          </cell>
          <cell r="P789">
            <v>1.095</v>
          </cell>
          <cell r="Q789" t="str">
            <v/>
          </cell>
          <cell r="R789" t="e">
            <v>#N/A</v>
          </cell>
        </row>
        <row r="790">
          <cell r="A790">
            <v>40862</v>
          </cell>
          <cell r="B790">
            <v>40862</v>
          </cell>
          <cell r="C790" t="str">
            <v>Future</v>
          </cell>
          <cell r="D790" t="e">
            <v>#N/A</v>
          </cell>
          <cell r="E790">
            <v>0.20061068702289619</v>
          </cell>
          <cell r="F790">
            <v>1.4584732824427526</v>
          </cell>
          <cell r="G790">
            <v>0.82137404580153439</v>
          </cell>
          <cell r="H790">
            <v>0.82137404580153439</v>
          </cell>
          <cell r="I790" t="e">
            <v>#N/A</v>
          </cell>
          <cell r="J790" t="e">
            <v>#N/A</v>
          </cell>
          <cell r="K790" t="e">
            <v>#N/A</v>
          </cell>
          <cell r="L790" t="e">
            <v>#N/A</v>
          </cell>
          <cell r="M790" t="e">
            <v>#N/A</v>
          </cell>
          <cell r="N790" t="e">
            <v>#N/A</v>
          </cell>
          <cell r="O790" t="e">
            <v>#N/A</v>
          </cell>
          <cell r="P790">
            <v>1.095</v>
          </cell>
          <cell r="Q790" t="str">
            <v/>
          </cell>
          <cell r="R790" t="e">
            <v>#N/A</v>
          </cell>
        </row>
        <row r="791">
          <cell r="A791">
            <v>40863</v>
          </cell>
          <cell r="B791">
            <v>40863</v>
          </cell>
          <cell r="C791" t="str">
            <v>Future</v>
          </cell>
          <cell r="D791" t="e">
            <v>#N/A</v>
          </cell>
          <cell r="E791">
            <v>0.1964312977099191</v>
          </cell>
          <cell r="F791">
            <v>1.4601717557251954</v>
          </cell>
          <cell r="G791">
            <v>0.82009541984733592</v>
          </cell>
          <cell r="H791">
            <v>0.82009541984733592</v>
          </cell>
          <cell r="I791" t="e">
            <v>#N/A</v>
          </cell>
          <cell r="J791" t="e">
            <v>#N/A</v>
          </cell>
          <cell r="K791" t="e">
            <v>#N/A</v>
          </cell>
          <cell r="L791" t="e">
            <v>#N/A</v>
          </cell>
          <cell r="M791" t="e">
            <v>#N/A</v>
          </cell>
          <cell r="N791" t="e">
            <v>#N/A</v>
          </cell>
          <cell r="O791" t="e">
            <v>#N/A</v>
          </cell>
          <cell r="P791">
            <v>1.095</v>
          </cell>
          <cell r="Q791" t="str">
            <v/>
          </cell>
          <cell r="R791" t="e">
            <v>#N/A</v>
          </cell>
        </row>
        <row r="792">
          <cell r="A792">
            <v>40864</v>
          </cell>
          <cell r="B792">
            <v>40864</v>
          </cell>
          <cell r="C792" t="str">
            <v>Future</v>
          </cell>
          <cell r="D792" t="e">
            <v>#N/A</v>
          </cell>
          <cell r="E792">
            <v>0.19225190839694201</v>
          </cell>
          <cell r="F792">
            <v>1.4618702290076382</v>
          </cell>
          <cell r="G792">
            <v>0.81881679389313744</v>
          </cell>
          <cell r="H792">
            <v>0.81881679389313744</v>
          </cell>
          <cell r="I792" t="e">
            <v>#N/A</v>
          </cell>
          <cell r="J792" t="e">
            <v>#N/A</v>
          </cell>
          <cell r="K792" t="e">
            <v>#N/A</v>
          </cell>
          <cell r="L792" t="e">
            <v>#N/A</v>
          </cell>
          <cell r="M792" t="e">
            <v>#N/A</v>
          </cell>
          <cell r="N792" t="e">
            <v>#N/A</v>
          </cell>
          <cell r="O792" t="e">
            <v>#N/A</v>
          </cell>
          <cell r="P792">
            <v>1.095</v>
          </cell>
          <cell r="Q792" t="str">
            <v/>
          </cell>
          <cell r="R792" t="e">
            <v>#N/A</v>
          </cell>
        </row>
        <row r="793">
          <cell r="A793">
            <v>40865</v>
          </cell>
          <cell r="B793">
            <v>40865</v>
          </cell>
          <cell r="C793" t="str">
            <v>Future</v>
          </cell>
          <cell r="D793" t="e">
            <v>#N/A</v>
          </cell>
          <cell r="E793">
            <v>0.18807251908396491</v>
          </cell>
          <cell r="F793">
            <v>1.463568702290081</v>
          </cell>
          <cell r="G793">
            <v>0.81753816793893896</v>
          </cell>
          <cell r="H793">
            <v>0.81753816793893896</v>
          </cell>
          <cell r="I793" t="e">
            <v>#N/A</v>
          </cell>
          <cell r="J793" t="e">
            <v>#N/A</v>
          </cell>
          <cell r="K793" t="e">
            <v>#N/A</v>
          </cell>
          <cell r="L793" t="e">
            <v>#N/A</v>
          </cell>
          <cell r="M793" t="e">
            <v>#N/A</v>
          </cell>
          <cell r="N793" t="e">
            <v>#N/A</v>
          </cell>
          <cell r="O793" t="e">
            <v>#N/A</v>
          </cell>
          <cell r="P793">
            <v>1.095</v>
          </cell>
          <cell r="Q793" t="str">
            <v/>
          </cell>
          <cell r="R793" t="e">
            <v>#N/A</v>
          </cell>
        </row>
        <row r="794">
          <cell r="A794">
            <v>40868</v>
          </cell>
          <cell r="B794">
            <v>40868</v>
          </cell>
          <cell r="C794" t="str">
            <v>Future</v>
          </cell>
          <cell r="D794" t="e">
            <v>#N/A</v>
          </cell>
          <cell r="E794">
            <v>0.18389312977098782</v>
          </cell>
          <cell r="F794">
            <v>1.4652671755725237</v>
          </cell>
          <cell r="G794">
            <v>0.81625954198474049</v>
          </cell>
          <cell r="H794">
            <v>0.81625954198474049</v>
          </cell>
          <cell r="I794" t="e">
            <v>#N/A</v>
          </cell>
          <cell r="J794" t="e">
            <v>#N/A</v>
          </cell>
          <cell r="K794" t="e">
            <v>#N/A</v>
          </cell>
          <cell r="L794" t="e">
            <v>#N/A</v>
          </cell>
          <cell r="M794" t="e">
            <v>#N/A</v>
          </cell>
          <cell r="N794" t="e">
            <v>#N/A</v>
          </cell>
          <cell r="O794" t="e">
            <v>#N/A</v>
          </cell>
          <cell r="P794">
            <v>1.095</v>
          </cell>
          <cell r="Q794" t="str">
            <v/>
          </cell>
          <cell r="R794" t="e">
            <v>#N/A</v>
          </cell>
        </row>
        <row r="795">
          <cell r="A795">
            <v>40869</v>
          </cell>
          <cell r="B795">
            <v>40869</v>
          </cell>
          <cell r="C795" t="str">
            <v>Future</v>
          </cell>
          <cell r="D795" t="e">
            <v>#N/A</v>
          </cell>
          <cell r="E795">
            <v>0.17971374045801072</v>
          </cell>
          <cell r="F795">
            <v>1.4669656488549665</v>
          </cell>
          <cell r="G795">
            <v>0.81498091603054201</v>
          </cell>
          <cell r="H795">
            <v>0.81498091603054201</v>
          </cell>
          <cell r="I795" t="e">
            <v>#N/A</v>
          </cell>
          <cell r="J795" t="e">
            <v>#N/A</v>
          </cell>
          <cell r="K795" t="e">
            <v>#N/A</v>
          </cell>
          <cell r="L795" t="e">
            <v>#N/A</v>
          </cell>
          <cell r="M795" t="e">
            <v>#N/A</v>
          </cell>
          <cell r="N795" t="e">
            <v>#N/A</v>
          </cell>
          <cell r="O795" t="e">
            <v>#N/A</v>
          </cell>
          <cell r="P795">
            <v>1.095</v>
          </cell>
          <cell r="Q795" t="str">
            <v/>
          </cell>
          <cell r="R795" t="e">
            <v>#N/A</v>
          </cell>
        </row>
        <row r="796">
          <cell r="A796">
            <v>40870</v>
          </cell>
          <cell r="B796">
            <v>40870</v>
          </cell>
          <cell r="C796" t="str">
            <v>Future</v>
          </cell>
          <cell r="D796" t="e">
            <v>#N/A</v>
          </cell>
          <cell r="E796">
            <v>0.17553435114503363</v>
          </cell>
          <cell r="F796">
            <v>1.4686641221374093</v>
          </cell>
          <cell r="G796">
            <v>0.81370229007634354</v>
          </cell>
          <cell r="H796">
            <v>0.81370229007634354</v>
          </cell>
          <cell r="I796" t="e">
            <v>#N/A</v>
          </cell>
          <cell r="J796" t="e">
            <v>#N/A</v>
          </cell>
          <cell r="K796" t="e">
            <v>#N/A</v>
          </cell>
          <cell r="L796" t="e">
            <v>#N/A</v>
          </cell>
          <cell r="M796" t="e">
            <v>#N/A</v>
          </cell>
          <cell r="N796" t="e">
            <v>#N/A</v>
          </cell>
          <cell r="O796" t="e">
            <v>#N/A</v>
          </cell>
          <cell r="P796">
            <v>1.095</v>
          </cell>
          <cell r="Q796" t="str">
            <v/>
          </cell>
          <cell r="R796" t="e">
            <v>#N/A</v>
          </cell>
        </row>
        <row r="797">
          <cell r="A797">
            <v>40871</v>
          </cell>
          <cell r="B797">
            <v>40871</v>
          </cell>
          <cell r="C797" t="str">
            <v>Future</v>
          </cell>
          <cell r="D797" t="e">
            <v>#N/A</v>
          </cell>
          <cell r="E797">
            <v>0.17135496183205653</v>
          </cell>
          <cell r="F797">
            <v>1.470362595419852</v>
          </cell>
          <cell r="G797">
            <v>0.81242366412214506</v>
          </cell>
          <cell r="H797">
            <v>0.81242366412214506</v>
          </cell>
          <cell r="I797" t="e">
            <v>#N/A</v>
          </cell>
          <cell r="J797" t="e">
            <v>#N/A</v>
          </cell>
          <cell r="K797" t="e">
            <v>#N/A</v>
          </cell>
          <cell r="L797" t="e">
            <v>#N/A</v>
          </cell>
          <cell r="M797" t="e">
            <v>#N/A</v>
          </cell>
          <cell r="N797" t="e">
            <v>#N/A</v>
          </cell>
          <cell r="O797" t="e">
            <v>#N/A</v>
          </cell>
          <cell r="P797">
            <v>1.095</v>
          </cell>
          <cell r="Q797" t="str">
            <v/>
          </cell>
          <cell r="R797" t="e">
            <v>#N/A</v>
          </cell>
        </row>
        <row r="798">
          <cell r="A798">
            <v>40872</v>
          </cell>
          <cell r="B798">
            <v>40872</v>
          </cell>
          <cell r="C798" t="str">
            <v>Future</v>
          </cell>
          <cell r="D798" t="e">
            <v>#N/A</v>
          </cell>
          <cell r="E798">
            <v>0.16717557251907944</v>
          </cell>
          <cell r="F798">
            <v>1.4720610687022948</v>
          </cell>
          <cell r="G798">
            <v>0.81114503816794659</v>
          </cell>
          <cell r="H798">
            <v>0.81114503816794659</v>
          </cell>
          <cell r="I798" t="e">
            <v>#N/A</v>
          </cell>
          <cell r="J798" t="e">
            <v>#N/A</v>
          </cell>
          <cell r="K798" t="e">
            <v>#N/A</v>
          </cell>
          <cell r="L798" t="e">
            <v>#N/A</v>
          </cell>
          <cell r="M798" t="e">
            <v>#N/A</v>
          </cell>
          <cell r="N798" t="e">
            <v>#N/A</v>
          </cell>
          <cell r="O798" t="e">
            <v>#N/A</v>
          </cell>
          <cell r="P798">
            <v>1.095</v>
          </cell>
          <cell r="Q798" t="str">
            <v/>
          </cell>
          <cell r="R798" t="e">
            <v>#N/A</v>
          </cell>
        </row>
        <row r="799">
          <cell r="A799">
            <v>40875</v>
          </cell>
          <cell r="B799">
            <v>40875</v>
          </cell>
          <cell r="C799" t="str">
            <v>Future</v>
          </cell>
          <cell r="D799" t="e">
            <v>#N/A</v>
          </cell>
          <cell r="E799">
            <v>0.16299618320610235</v>
          </cell>
          <cell r="F799">
            <v>1.4737595419847376</v>
          </cell>
          <cell r="G799">
            <v>0.80986641221374811</v>
          </cell>
          <cell r="H799">
            <v>0.80986641221374811</v>
          </cell>
          <cell r="I799" t="e">
            <v>#N/A</v>
          </cell>
          <cell r="J799" t="e">
            <v>#N/A</v>
          </cell>
          <cell r="K799" t="e">
            <v>#N/A</v>
          </cell>
          <cell r="L799" t="e">
            <v>#N/A</v>
          </cell>
          <cell r="M799" t="e">
            <v>#N/A</v>
          </cell>
          <cell r="N799" t="e">
            <v>#N/A</v>
          </cell>
          <cell r="O799" t="e">
            <v>#N/A</v>
          </cell>
          <cell r="P799">
            <v>1.095</v>
          </cell>
          <cell r="Q799" t="str">
            <v/>
          </cell>
          <cell r="R799" t="e">
            <v>#N/A</v>
          </cell>
        </row>
        <row r="800">
          <cell r="A800">
            <v>40876</v>
          </cell>
          <cell r="B800">
            <v>40876</v>
          </cell>
          <cell r="C800" t="str">
            <v>Future</v>
          </cell>
          <cell r="D800" t="e">
            <v>#N/A</v>
          </cell>
          <cell r="E800">
            <v>0.15881679389312525</v>
          </cell>
          <cell r="F800">
            <v>1.4754580152671803</v>
          </cell>
          <cell r="G800">
            <v>0.80858778625954963</v>
          </cell>
          <cell r="H800">
            <v>0.80858778625954963</v>
          </cell>
          <cell r="I800" t="e">
            <v>#N/A</v>
          </cell>
          <cell r="J800" t="e">
            <v>#N/A</v>
          </cell>
          <cell r="K800" t="e">
            <v>#N/A</v>
          </cell>
          <cell r="L800" t="e">
            <v>#N/A</v>
          </cell>
          <cell r="M800" t="e">
            <v>#N/A</v>
          </cell>
          <cell r="N800" t="e">
            <v>#N/A</v>
          </cell>
          <cell r="O800" t="e">
            <v>#N/A</v>
          </cell>
          <cell r="P800">
            <v>1.095</v>
          </cell>
          <cell r="Q800" t="str">
            <v/>
          </cell>
          <cell r="R800" t="e">
            <v>#N/A</v>
          </cell>
        </row>
        <row r="801">
          <cell r="A801">
            <v>40877</v>
          </cell>
          <cell r="B801">
            <v>40877</v>
          </cell>
          <cell r="C801" t="str">
            <v>Future</v>
          </cell>
          <cell r="D801" t="e">
            <v>#N/A</v>
          </cell>
          <cell r="E801">
            <v>0.15463740458014816</v>
          </cell>
          <cell r="F801">
            <v>1.4771564885496231</v>
          </cell>
          <cell r="G801">
            <v>0.80730916030535116</v>
          </cell>
          <cell r="H801">
            <v>0.80730916030535116</v>
          </cell>
          <cell r="I801" t="e">
            <v>#N/A</v>
          </cell>
          <cell r="J801" t="e">
            <v>#N/A</v>
          </cell>
          <cell r="K801" t="e">
            <v>#N/A</v>
          </cell>
          <cell r="L801" t="e">
            <v>#N/A</v>
          </cell>
          <cell r="M801" t="e">
            <v>#N/A</v>
          </cell>
          <cell r="N801" t="e">
            <v>#N/A</v>
          </cell>
          <cell r="O801" t="e">
            <v>#N/A</v>
          </cell>
          <cell r="P801">
            <v>1.095</v>
          </cell>
          <cell r="Q801" t="str">
            <v/>
          </cell>
          <cell r="R801" t="e">
            <v>#N/A</v>
          </cell>
        </row>
        <row r="802">
          <cell r="A802">
            <v>40878</v>
          </cell>
          <cell r="B802">
            <v>40878</v>
          </cell>
          <cell r="C802" t="str">
            <v>Future</v>
          </cell>
          <cell r="D802" t="e">
            <v>#N/A</v>
          </cell>
          <cell r="E802">
            <v>0.15045801526717106</v>
          </cell>
          <cell r="F802">
            <v>1.4788549618320659</v>
          </cell>
          <cell r="G802">
            <v>0.80603053435115268</v>
          </cell>
          <cell r="H802">
            <v>0.80603053435115268</v>
          </cell>
          <cell r="I802" t="e">
            <v>#N/A</v>
          </cell>
          <cell r="J802" t="e">
            <v>#N/A</v>
          </cell>
          <cell r="K802" t="e">
            <v>#N/A</v>
          </cell>
          <cell r="L802" t="e">
            <v>#N/A</v>
          </cell>
          <cell r="M802" t="e">
            <v>#N/A</v>
          </cell>
          <cell r="N802" t="e">
            <v>#N/A</v>
          </cell>
          <cell r="O802" t="e">
            <v>#N/A</v>
          </cell>
          <cell r="P802">
            <v>1.095</v>
          </cell>
          <cell r="Q802" t="str">
            <v/>
          </cell>
          <cell r="R802" t="e">
            <v>#N/A</v>
          </cell>
        </row>
        <row r="803">
          <cell r="A803">
            <v>40879</v>
          </cell>
          <cell r="B803">
            <v>40879</v>
          </cell>
          <cell r="C803" t="str">
            <v>Future</v>
          </cell>
          <cell r="D803" t="e">
            <v>#N/A</v>
          </cell>
          <cell r="E803">
            <v>0.14627862595419397</v>
          </cell>
          <cell r="F803">
            <v>1.4805534351145087</v>
          </cell>
          <cell r="G803">
            <v>0.80475190839695421</v>
          </cell>
          <cell r="H803">
            <v>0.80475190839695421</v>
          </cell>
          <cell r="I803" t="e">
            <v>#N/A</v>
          </cell>
          <cell r="J803" t="e">
            <v>#N/A</v>
          </cell>
          <cell r="K803" t="e">
            <v>#N/A</v>
          </cell>
          <cell r="L803" t="e">
            <v>#N/A</v>
          </cell>
          <cell r="M803" t="e">
            <v>#N/A</v>
          </cell>
          <cell r="N803" t="e">
            <v>#N/A</v>
          </cell>
          <cell r="O803" t="e">
            <v>#N/A</v>
          </cell>
          <cell r="P803">
            <v>1.095</v>
          </cell>
          <cell r="Q803" t="str">
            <v/>
          </cell>
          <cell r="R803" t="e">
            <v>#N/A</v>
          </cell>
        </row>
        <row r="804">
          <cell r="A804">
            <v>40882</v>
          </cell>
          <cell r="B804">
            <v>40882</v>
          </cell>
          <cell r="C804" t="str">
            <v>Future</v>
          </cell>
          <cell r="D804" t="e">
            <v>#N/A</v>
          </cell>
          <cell r="E804">
            <v>0.14209923664121688</v>
          </cell>
          <cell r="F804">
            <v>1.4822519083969514</v>
          </cell>
          <cell r="G804">
            <v>0.80347328244275573</v>
          </cell>
          <cell r="H804">
            <v>0.80347328244275573</v>
          </cell>
          <cell r="I804" t="e">
            <v>#N/A</v>
          </cell>
          <cell r="J804" t="e">
            <v>#N/A</v>
          </cell>
          <cell r="K804" t="e">
            <v>#N/A</v>
          </cell>
          <cell r="L804" t="e">
            <v>#N/A</v>
          </cell>
          <cell r="M804" t="e">
            <v>#N/A</v>
          </cell>
          <cell r="N804" t="e">
            <v>#N/A</v>
          </cell>
          <cell r="O804" t="e">
            <v>#N/A</v>
          </cell>
          <cell r="P804">
            <v>1.095</v>
          </cell>
          <cell r="Q804" t="str">
            <v/>
          </cell>
          <cell r="R804" t="e">
            <v>#N/A</v>
          </cell>
        </row>
        <row r="805">
          <cell r="A805">
            <v>40883</v>
          </cell>
          <cell r="B805">
            <v>40883</v>
          </cell>
          <cell r="C805" t="str">
            <v>Future</v>
          </cell>
          <cell r="D805" t="e">
            <v>#N/A</v>
          </cell>
          <cell r="E805">
            <v>0.13791984732823978</v>
          </cell>
          <cell r="F805">
            <v>1.4839503816793942</v>
          </cell>
          <cell r="G805">
            <v>0.80219465648855726</v>
          </cell>
          <cell r="H805">
            <v>0.80219465648855726</v>
          </cell>
          <cell r="I805" t="e">
            <v>#N/A</v>
          </cell>
          <cell r="J805" t="e">
            <v>#N/A</v>
          </cell>
          <cell r="K805" t="e">
            <v>#N/A</v>
          </cell>
          <cell r="L805" t="e">
            <v>#N/A</v>
          </cell>
          <cell r="M805" t="e">
            <v>#N/A</v>
          </cell>
          <cell r="N805" t="e">
            <v>#N/A</v>
          </cell>
          <cell r="O805" t="e">
            <v>#N/A</v>
          </cell>
          <cell r="P805">
            <v>1.095</v>
          </cell>
          <cell r="Q805" t="str">
            <v/>
          </cell>
          <cell r="R805" t="e">
            <v>#N/A</v>
          </cell>
        </row>
        <row r="806">
          <cell r="A806">
            <v>40884</v>
          </cell>
          <cell r="B806">
            <v>40884</v>
          </cell>
          <cell r="C806" t="str">
            <v>Future</v>
          </cell>
          <cell r="D806" t="e">
            <v>#N/A</v>
          </cell>
          <cell r="E806">
            <v>0.13374045801526269</v>
          </cell>
          <cell r="F806">
            <v>1.485648854961837</v>
          </cell>
          <cell r="G806">
            <v>0.80091603053435878</v>
          </cell>
          <cell r="H806">
            <v>0.80091603053435878</v>
          </cell>
          <cell r="I806" t="e">
            <v>#N/A</v>
          </cell>
          <cell r="J806" t="e">
            <v>#N/A</v>
          </cell>
          <cell r="K806" t="e">
            <v>#N/A</v>
          </cell>
          <cell r="L806" t="e">
            <v>#N/A</v>
          </cell>
          <cell r="M806" t="e">
            <v>#N/A</v>
          </cell>
          <cell r="N806" t="e">
            <v>#N/A</v>
          </cell>
          <cell r="O806" t="e">
            <v>#N/A</v>
          </cell>
          <cell r="P806">
            <v>1.095</v>
          </cell>
          <cell r="Q806" t="str">
            <v/>
          </cell>
          <cell r="R806" t="e">
            <v>#N/A</v>
          </cell>
        </row>
        <row r="807">
          <cell r="A807">
            <v>40885</v>
          </cell>
          <cell r="B807">
            <v>40885</v>
          </cell>
          <cell r="C807" t="str">
            <v>Future</v>
          </cell>
          <cell r="D807" t="e">
            <v>#N/A</v>
          </cell>
          <cell r="E807">
            <v>0.12956106870228559</v>
          </cell>
          <cell r="F807">
            <v>1.4873473282442797</v>
          </cell>
          <cell r="G807">
            <v>0.7996374045801603</v>
          </cell>
          <cell r="H807">
            <v>0.7996374045801603</v>
          </cell>
          <cell r="I807" t="e">
            <v>#N/A</v>
          </cell>
          <cell r="J807" t="e">
            <v>#N/A</v>
          </cell>
          <cell r="K807" t="e">
            <v>#N/A</v>
          </cell>
          <cell r="L807" t="e">
            <v>#N/A</v>
          </cell>
          <cell r="M807" t="e">
            <v>#N/A</v>
          </cell>
          <cell r="N807" t="e">
            <v>#N/A</v>
          </cell>
          <cell r="O807" t="e">
            <v>#N/A</v>
          </cell>
          <cell r="P807">
            <v>1.095</v>
          </cell>
          <cell r="Q807" t="str">
            <v/>
          </cell>
          <cell r="R807" t="e">
            <v>#N/A</v>
          </cell>
        </row>
        <row r="808">
          <cell r="A808">
            <v>40886</v>
          </cell>
          <cell r="B808">
            <v>40886</v>
          </cell>
          <cell r="C808" t="str">
            <v>Future</v>
          </cell>
          <cell r="D808" t="e">
            <v>#N/A</v>
          </cell>
          <cell r="E808">
            <v>0.1253816793893085</v>
          </cell>
          <cell r="F808">
            <v>1.4890458015267225</v>
          </cell>
          <cell r="G808">
            <v>0.79835877862596183</v>
          </cell>
          <cell r="H808">
            <v>0.79835877862596183</v>
          </cell>
          <cell r="I808" t="e">
            <v>#N/A</v>
          </cell>
          <cell r="J808" t="e">
            <v>#N/A</v>
          </cell>
          <cell r="K808" t="e">
            <v>#N/A</v>
          </cell>
          <cell r="L808" t="e">
            <v>#N/A</v>
          </cell>
          <cell r="M808" t="e">
            <v>#N/A</v>
          </cell>
          <cell r="N808" t="e">
            <v>#N/A</v>
          </cell>
          <cell r="O808" t="e">
            <v>#N/A</v>
          </cell>
          <cell r="P808">
            <v>1.095</v>
          </cell>
          <cell r="Q808" t="str">
            <v/>
          </cell>
          <cell r="R808" t="e">
            <v>#N/A</v>
          </cell>
        </row>
        <row r="809">
          <cell r="A809">
            <v>40889</v>
          </cell>
          <cell r="B809">
            <v>40889</v>
          </cell>
          <cell r="C809" t="str">
            <v>Future</v>
          </cell>
          <cell r="D809" t="e">
            <v>#N/A</v>
          </cell>
          <cell r="E809">
            <v>0.1212022900763314</v>
          </cell>
          <cell r="F809">
            <v>1.4907442748091653</v>
          </cell>
          <cell r="G809">
            <v>0.79708015267176335</v>
          </cell>
          <cell r="H809">
            <v>0.79708015267176335</v>
          </cell>
          <cell r="I809" t="e">
            <v>#N/A</v>
          </cell>
          <cell r="J809" t="e">
            <v>#N/A</v>
          </cell>
          <cell r="K809" t="e">
            <v>#N/A</v>
          </cell>
          <cell r="L809" t="e">
            <v>#N/A</v>
          </cell>
          <cell r="M809" t="e">
            <v>#N/A</v>
          </cell>
          <cell r="N809" t="e">
            <v>#N/A</v>
          </cell>
          <cell r="O809" t="e">
            <v>#N/A</v>
          </cell>
          <cell r="P809">
            <v>1.095</v>
          </cell>
          <cell r="Q809" t="str">
            <v/>
          </cell>
          <cell r="R809" t="e">
            <v>#N/A</v>
          </cell>
        </row>
        <row r="810">
          <cell r="A810">
            <v>40890</v>
          </cell>
          <cell r="B810">
            <v>40890</v>
          </cell>
          <cell r="C810" t="str">
            <v>Future</v>
          </cell>
          <cell r="D810" t="e">
            <v>#N/A</v>
          </cell>
          <cell r="E810">
            <v>0.11702290076335431</v>
          </cell>
          <cell r="F810">
            <v>1.492442748091608</v>
          </cell>
          <cell r="G810">
            <v>0.79580152671756488</v>
          </cell>
          <cell r="H810">
            <v>0.79580152671756488</v>
          </cell>
          <cell r="I810" t="e">
            <v>#N/A</v>
          </cell>
          <cell r="J810" t="e">
            <v>#N/A</v>
          </cell>
          <cell r="K810" t="e">
            <v>#N/A</v>
          </cell>
          <cell r="L810" t="e">
            <v>#N/A</v>
          </cell>
          <cell r="M810" t="e">
            <v>#N/A</v>
          </cell>
          <cell r="N810" t="e">
            <v>#N/A</v>
          </cell>
          <cell r="O810" t="e">
            <v>#N/A</v>
          </cell>
          <cell r="P810">
            <v>1.095</v>
          </cell>
          <cell r="Q810" t="str">
            <v/>
          </cell>
          <cell r="R810" t="e">
            <v>#N/A</v>
          </cell>
        </row>
        <row r="811">
          <cell r="A811">
            <v>40891</v>
          </cell>
          <cell r="B811">
            <v>40891</v>
          </cell>
          <cell r="C811" t="str">
            <v>Future</v>
          </cell>
          <cell r="D811" t="e">
            <v>#N/A</v>
          </cell>
          <cell r="E811">
            <v>0.11284351145037722</v>
          </cell>
          <cell r="F811">
            <v>1.4941412213740508</v>
          </cell>
          <cell r="G811">
            <v>0.7945229007633664</v>
          </cell>
          <cell r="H811">
            <v>0.7945229007633664</v>
          </cell>
          <cell r="I811" t="e">
            <v>#N/A</v>
          </cell>
          <cell r="J811" t="e">
            <v>#N/A</v>
          </cell>
          <cell r="K811" t="e">
            <v>#N/A</v>
          </cell>
          <cell r="L811" t="e">
            <v>#N/A</v>
          </cell>
          <cell r="M811" t="e">
            <v>#N/A</v>
          </cell>
          <cell r="N811" t="e">
            <v>#N/A</v>
          </cell>
          <cell r="O811" t="e">
            <v>#N/A</v>
          </cell>
          <cell r="P811">
            <v>1.095</v>
          </cell>
          <cell r="Q811" t="str">
            <v/>
          </cell>
          <cell r="R811" t="e">
            <v>#N/A</v>
          </cell>
        </row>
        <row r="812">
          <cell r="A812">
            <v>40892</v>
          </cell>
          <cell r="B812">
            <v>40892</v>
          </cell>
          <cell r="C812" t="str">
            <v>Future</v>
          </cell>
          <cell r="D812" t="e">
            <v>#N/A</v>
          </cell>
          <cell r="E812">
            <v>0.10866412213740012</v>
          </cell>
          <cell r="F812">
            <v>1.4958396946564936</v>
          </cell>
          <cell r="G812">
            <v>0.79324427480916793</v>
          </cell>
          <cell r="H812">
            <v>0.79324427480916793</v>
          </cell>
          <cell r="I812" t="e">
            <v>#N/A</v>
          </cell>
          <cell r="J812" t="e">
            <v>#N/A</v>
          </cell>
          <cell r="K812" t="e">
            <v>#N/A</v>
          </cell>
          <cell r="L812" t="e">
            <v>#N/A</v>
          </cell>
          <cell r="M812" t="e">
            <v>#N/A</v>
          </cell>
          <cell r="N812" t="e">
            <v>#N/A</v>
          </cell>
          <cell r="O812" t="e">
            <v>#N/A</v>
          </cell>
          <cell r="P812">
            <v>1.095</v>
          </cell>
          <cell r="Q812" t="str">
            <v/>
          </cell>
          <cell r="R812" t="e">
            <v>#N/A</v>
          </cell>
        </row>
        <row r="813">
          <cell r="A813">
            <v>40893</v>
          </cell>
          <cell r="B813">
            <v>40893</v>
          </cell>
          <cell r="C813" t="str">
            <v>Future</v>
          </cell>
          <cell r="D813" t="e">
            <v>#N/A</v>
          </cell>
          <cell r="E813">
            <v>0.10448473282442303</v>
          </cell>
          <cell r="F813">
            <v>1.4975381679389363</v>
          </cell>
          <cell r="G813">
            <v>0.79196564885496945</v>
          </cell>
          <cell r="H813">
            <v>0.79196564885496945</v>
          </cell>
          <cell r="I813" t="e">
            <v>#N/A</v>
          </cell>
          <cell r="J813" t="e">
            <v>#N/A</v>
          </cell>
          <cell r="K813" t="e">
            <v>#N/A</v>
          </cell>
          <cell r="L813" t="e">
            <v>#N/A</v>
          </cell>
          <cell r="M813" t="e">
            <v>#N/A</v>
          </cell>
          <cell r="N813" t="e">
            <v>#N/A</v>
          </cell>
          <cell r="O813" t="e">
            <v>#N/A</v>
          </cell>
          <cell r="P813">
            <v>1.095</v>
          </cell>
          <cell r="Q813" t="str">
            <v/>
          </cell>
          <cell r="R813" t="e">
            <v>#N/A</v>
          </cell>
        </row>
        <row r="814">
          <cell r="A814">
            <v>40896</v>
          </cell>
          <cell r="B814">
            <v>40896</v>
          </cell>
          <cell r="C814" t="str">
            <v>Future</v>
          </cell>
          <cell r="D814" t="e">
            <v>#N/A</v>
          </cell>
          <cell r="E814">
            <v>0.10030534351144593</v>
          </cell>
          <cell r="F814">
            <v>1.4992366412213791</v>
          </cell>
          <cell r="G814">
            <v>0.79068702290077097</v>
          </cell>
          <cell r="H814">
            <v>0.79068702290077097</v>
          </cell>
          <cell r="I814" t="e">
            <v>#N/A</v>
          </cell>
          <cell r="J814" t="e">
            <v>#N/A</v>
          </cell>
          <cell r="K814" t="e">
            <v>#N/A</v>
          </cell>
          <cell r="L814" t="e">
            <v>#N/A</v>
          </cell>
          <cell r="M814" t="e">
            <v>#N/A</v>
          </cell>
          <cell r="N814" t="e">
            <v>#N/A</v>
          </cell>
          <cell r="O814" t="e">
            <v>#N/A</v>
          </cell>
          <cell r="P814">
            <v>1.095</v>
          </cell>
          <cell r="Q814" t="str">
            <v/>
          </cell>
          <cell r="R814" t="e">
            <v>#N/A</v>
          </cell>
        </row>
        <row r="815">
          <cell r="A815">
            <v>40897</v>
          </cell>
          <cell r="B815">
            <v>40897</v>
          </cell>
          <cell r="C815" t="str">
            <v>Future</v>
          </cell>
          <cell r="D815" t="e">
            <v>#N/A</v>
          </cell>
          <cell r="E815">
            <v>9.6125954198468838E-2</v>
          </cell>
          <cell r="F815">
            <v>1.5009351145038219</v>
          </cell>
          <cell r="G815">
            <v>0.7894083969465725</v>
          </cell>
          <cell r="H815">
            <v>0.7894083969465725</v>
          </cell>
          <cell r="I815" t="e">
            <v>#N/A</v>
          </cell>
          <cell r="J815" t="e">
            <v>#N/A</v>
          </cell>
          <cell r="K815" t="e">
            <v>#N/A</v>
          </cell>
          <cell r="L815" t="e">
            <v>#N/A</v>
          </cell>
          <cell r="M815" t="e">
            <v>#N/A</v>
          </cell>
          <cell r="N815" t="e">
            <v>#N/A</v>
          </cell>
          <cell r="O815" t="e">
            <v>#N/A</v>
          </cell>
          <cell r="P815">
            <v>1.095</v>
          </cell>
          <cell r="Q815" t="str">
            <v/>
          </cell>
          <cell r="R815" t="e">
            <v>#N/A</v>
          </cell>
        </row>
        <row r="816">
          <cell r="A816">
            <v>40898</v>
          </cell>
          <cell r="B816">
            <v>40898</v>
          </cell>
          <cell r="C816" t="str">
            <v>Future</v>
          </cell>
          <cell r="D816" t="e">
            <v>#N/A</v>
          </cell>
          <cell r="E816">
            <v>9.1946564885491744E-2</v>
          </cell>
          <cell r="F816">
            <v>1.5026335877862647</v>
          </cell>
          <cell r="G816">
            <v>0.78812977099237402</v>
          </cell>
          <cell r="H816">
            <v>0.78812977099237402</v>
          </cell>
          <cell r="I816" t="e">
            <v>#N/A</v>
          </cell>
          <cell r="J816" t="e">
            <v>#N/A</v>
          </cell>
          <cell r="K816" t="e">
            <v>#N/A</v>
          </cell>
          <cell r="L816" t="e">
            <v>#N/A</v>
          </cell>
          <cell r="M816" t="e">
            <v>#N/A</v>
          </cell>
          <cell r="N816" t="e">
            <v>#N/A</v>
          </cell>
          <cell r="O816" t="e">
            <v>#N/A</v>
          </cell>
          <cell r="P816">
            <v>1.095</v>
          </cell>
          <cell r="Q816" t="str">
            <v/>
          </cell>
          <cell r="R816" t="e">
            <v>#N/A</v>
          </cell>
        </row>
        <row r="817">
          <cell r="A817">
            <v>40899</v>
          </cell>
          <cell r="B817">
            <v>40899</v>
          </cell>
          <cell r="C817" t="str">
            <v>Future</v>
          </cell>
          <cell r="D817" t="e">
            <v>#N/A</v>
          </cell>
          <cell r="E817">
            <v>8.776717557251465E-2</v>
          </cell>
          <cell r="F817">
            <v>1.5043320610687074</v>
          </cell>
          <cell r="G817">
            <v>0.78685114503817555</v>
          </cell>
          <cell r="H817">
            <v>0.78685114503817555</v>
          </cell>
          <cell r="I817" t="e">
            <v>#N/A</v>
          </cell>
          <cell r="J817" t="e">
            <v>#N/A</v>
          </cell>
          <cell r="K817" t="e">
            <v>#N/A</v>
          </cell>
          <cell r="L817" t="e">
            <v>#N/A</v>
          </cell>
          <cell r="M817" t="e">
            <v>#N/A</v>
          </cell>
          <cell r="N817" t="e">
            <v>#N/A</v>
          </cell>
          <cell r="O817" t="e">
            <v>#N/A</v>
          </cell>
          <cell r="P817">
            <v>1.095</v>
          </cell>
          <cell r="Q817" t="str">
            <v/>
          </cell>
          <cell r="R817" t="e">
            <v>#N/A</v>
          </cell>
        </row>
        <row r="818">
          <cell r="A818">
            <v>40900</v>
          </cell>
          <cell r="B818">
            <v>40900</v>
          </cell>
          <cell r="C818" t="str">
            <v>Future</v>
          </cell>
          <cell r="D818" t="e">
            <v>#N/A</v>
          </cell>
          <cell r="E818">
            <v>8.3587786259537555E-2</v>
          </cell>
          <cell r="F818">
            <v>1.5060305343511502</v>
          </cell>
          <cell r="G818">
            <v>0.78557251908397707</v>
          </cell>
          <cell r="H818">
            <v>0.78557251908397707</v>
          </cell>
          <cell r="I818" t="e">
            <v>#N/A</v>
          </cell>
          <cell r="J818" t="e">
            <v>#N/A</v>
          </cell>
          <cell r="K818" t="e">
            <v>#N/A</v>
          </cell>
          <cell r="L818" t="e">
            <v>#N/A</v>
          </cell>
          <cell r="M818" t="e">
            <v>#N/A</v>
          </cell>
          <cell r="N818" t="e">
            <v>#N/A</v>
          </cell>
          <cell r="O818" t="e">
            <v>#N/A</v>
          </cell>
          <cell r="P818">
            <v>1.095</v>
          </cell>
          <cell r="Q818" t="str">
            <v/>
          </cell>
          <cell r="R818" t="e">
            <v>#N/A</v>
          </cell>
        </row>
        <row r="819">
          <cell r="A819">
            <v>40903</v>
          </cell>
          <cell r="B819">
            <v>40903</v>
          </cell>
          <cell r="C819" t="str">
            <v>Future</v>
          </cell>
          <cell r="D819" t="e">
            <v>#N/A</v>
          </cell>
          <cell r="E819">
            <v>7.9408396946560461E-2</v>
          </cell>
          <cell r="F819">
            <v>1.507729007633593</v>
          </cell>
          <cell r="G819">
            <v>0.7842938931297786</v>
          </cell>
          <cell r="H819">
            <v>0.7842938931297786</v>
          </cell>
          <cell r="I819" t="e">
            <v>#N/A</v>
          </cell>
          <cell r="J819" t="e">
            <v>#N/A</v>
          </cell>
          <cell r="K819" t="e">
            <v>#N/A</v>
          </cell>
          <cell r="L819" t="e">
            <v>#N/A</v>
          </cell>
          <cell r="M819" t="e">
            <v>#N/A</v>
          </cell>
          <cell r="N819" t="e">
            <v>#N/A</v>
          </cell>
          <cell r="O819" t="e">
            <v>#N/A</v>
          </cell>
          <cell r="P819">
            <v>1.095</v>
          </cell>
          <cell r="Q819" t="str">
            <v/>
          </cell>
          <cell r="R819" t="e">
            <v>#N/A</v>
          </cell>
        </row>
        <row r="820">
          <cell r="A820">
            <v>40904</v>
          </cell>
          <cell r="B820">
            <v>40904</v>
          </cell>
          <cell r="C820" t="str">
            <v>Future</v>
          </cell>
          <cell r="D820" t="e">
            <v>#N/A</v>
          </cell>
          <cell r="E820">
            <v>7.5229007633583367E-2</v>
          </cell>
          <cell r="F820">
            <v>1.5094274809160357</v>
          </cell>
          <cell r="G820">
            <v>0.78301526717558012</v>
          </cell>
          <cell r="H820">
            <v>0.78301526717558012</v>
          </cell>
          <cell r="I820" t="e">
            <v>#N/A</v>
          </cell>
          <cell r="J820" t="e">
            <v>#N/A</v>
          </cell>
          <cell r="K820" t="e">
            <v>#N/A</v>
          </cell>
          <cell r="L820" t="e">
            <v>#N/A</v>
          </cell>
          <cell r="M820" t="e">
            <v>#N/A</v>
          </cell>
          <cell r="N820" t="e">
            <v>#N/A</v>
          </cell>
          <cell r="O820" t="e">
            <v>#N/A</v>
          </cell>
          <cell r="P820">
            <v>1.095</v>
          </cell>
          <cell r="Q820" t="str">
            <v/>
          </cell>
          <cell r="R820" t="e">
            <v>#N/A</v>
          </cell>
        </row>
        <row r="821">
          <cell r="A821">
            <v>40905</v>
          </cell>
          <cell r="B821">
            <v>40905</v>
          </cell>
          <cell r="C821" t="str">
            <v>Future</v>
          </cell>
          <cell r="D821" t="e">
            <v>#N/A</v>
          </cell>
          <cell r="E821">
            <v>7.1049618320606273E-2</v>
          </cell>
          <cell r="F821">
            <v>1.5111259541984785</v>
          </cell>
          <cell r="G821">
            <v>0.78173664122138165</v>
          </cell>
          <cell r="H821">
            <v>0.78173664122138165</v>
          </cell>
          <cell r="I821" t="e">
            <v>#N/A</v>
          </cell>
          <cell r="J821" t="e">
            <v>#N/A</v>
          </cell>
          <cell r="K821" t="e">
            <v>#N/A</v>
          </cell>
          <cell r="L821" t="e">
            <v>#N/A</v>
          </cell>
          <cell r="M821" t="e">
            <v>#N/A</v>
          </cell>
          <cell r="N821" t="e">
            <v>#N/A</v>
          </cell>
          <cell r="O821" t="e">
            <v>#N/A</v>
          </cell>
          <cell r="P821">
            <v>1.095</v>
          </cell>
          <cell r="Q821" t="str">
            <v/>
          </cell>
          <cell r="R821" t="e">
            <v>#N/A</v>
          </cell>
        </row>
        <row r="822">
          <cell r="A822">
            <v>40906</v>
          </cell>
          <cell r="B822">
            <v>40906</v>
          </cell>
          <cell r="C822" t="str">
            <v>Future</v>
          </cell>
          <cell r="D822" t="e">
            <v>#N/A</v>
          </cell>
          <cell r="E822">
            <v>6.6870229007629178E-2</v>
          </cell>
          <cell r="F822">
            <v>1.5128244274809213</v>
          </cell>
          <cell r="G822">
            <v>0.78045801526718317</v>
          </cell>
          <cell r="H822">
            <v>0.78045801526718317</v>
          </cell>
          <cell r="I822" t="e">
            <v>#N/A</v>
          </cell>
          <cell r="J822" t="e">
            <v>#N/A</v>
          </cell>
          <cell r="K822" t="e">
            <v>#N/A</v>
          </cell>
          <cell r="L822" t="e">
            <v>#N/A</v>
          </cell>
          <cell r="M822" t="e">
            <v>#N/A</v>
          </cell>
          <cell r="N822" t="e">
            <v>#N/A</v>
          </cell>
          <cell r="O822" t="e">
            <v>#N/A</v>
          </cell>
          <cell r="P822">
            <v>1.095</v>
          </cell>
          <cell r="Q822" t="str">
            <v/>
          </cell>
          <cell r="R822" t="e">
            <v>#N/A</v>
          </cell>
        </row>
        <row r="823">
          <cell r="A823">
            <v>40907</v>
          </cell>
          <cell r="B823">
            <v>40907</v>
          </cell>
          <cell r="C823" t="str">
            <v>Future</v>
          </cell>
          <cell r="D823" t="e">
            <v>#N/A</v>
          </cell>
          <cell r="E823">
            <v>6.2690839694652084E-2</v>
          </cell>
          <cell r="F823">
            <v>1.514522900763364</v>
          </cell>
          <cell r="G823">
            <v>0.77917938931298469</v>
          </cell>
          <cell r="H823">
            <v>0.77917938931298469</v>
          </cell>
          <cell r="I823" t="e">
            <v>#N/A</v>
          </cell>
          <cell r="J823" t="e">
            <v>#N/A</v>
          </cell>
          <cell r="K823" t="e">
            <v>#N/A</v>
          </cell>
          <cell r="L823" t="e">
            <v>#N/A</v>
          </cell>
          <cell r="M823" t="e">
            <v>#N/A</v>
          </cell>
          <cell r="N823" t="e">
            <v>#N/A</v>
          </cell>
          <cell r="O823" t="e">
            <v>#N/A</v>
          </cell>
          <cell r="P823">
            <v>1.095</v>
          </cell>
          <cell r="Q823" t="str">
            <v/>
          </cell>
          <cell r="R823" t="e">
            <v>#N/A</v>
          </cell>
        </row>
        <row r="824">
          <cell r="A824">
            <v>40910</v>
          </cell>
          <cell r="B824">
            <v>40910</v>
          </cell>
          <cell r="C824" t="str">
            <v>Future</v>
          </cell>
          <cell r="D824" t="e">
            <v>#N/A</v>
          </cell>
          <cell r="E824">
            <v>5.8511450381674983E-2</v>
          </cell>
          <cell r="F824">
            <v>1.5162213740458068</v>
          </cell>
          <cell r="G824">
            <v>0.77790076335878622</v>
          </cell>
          <cell r="H824">
            <v>0.77790076335878622</v>
          </cell>
          <cell r="I824" t="e">
            <v>#N/A</v>
          </cell>
          <cell r="J824" t="e">
            <v>#N/A</v>
          </cell>
          <cell r="K824" t="e">
            <v>#N/A</v>
          </cell>
          <cell r="L824" t="e">
            <v>#N/A</v>
          </cell>
          <cell r="M824" t="e">
            <v>#N/A</v>
          </cell>
          <cell r="N824" t="e">
            <v>#N/A</v>
          </cell>
          <cell r="O824" t="e">
            <v>#N/A</v>
          </cell>
          <cell r="P824">
            <v>1.095</v>
          </cell>
          <cell r="Q824" t="str">
            <v/>
          </cell>
          <cell r="R824" t="e">
            <v>#N/A</v>
          </cell>
        </row>
        <row r="825">
          <cell r="A825">
            <v>40911</v>
          </cell>
          <cell r="B825">
            <v>40911</v>
          </cell>
          <cell r="C825" t="str">
            <v>Future</v>
          </cell>
          <cell r="D825" t="e">
            <v>#N/A</v>
          </cell>
          <cell r="E825">
            <v>5.4332061068697882E-2</v>
          </cell>
          <cell r="F825">
            <v>1.5179198473282496</v>
          </cell>
          <cell r="G825">
            <v>0.77662213740458774</v>
          </cell>
          <cell r="H825">
            <v>0.77662213740458774</v>
          </cell>
          <cell r="I825" t="e">
            <v>#N/A</v>
          </cell>
          <cell r="J825" t="e">
            <v>#N/A</v>
          </cell>
          <cell r="K825" t="e">
            <v>#N/A</v>
          </cell>
          <cell r="L825" t="e">
            <v>#N/A</v>
          </cell>
          <cell r="M825" t="e">
            <v>#N/A</v>
          </cell>
          <cell r="N825" t="e">
            <v>#N/A</v>
          </cell>
          <cell r="O825" t="e">
            <v>#N/A</v>
          </cell>
          <cell r="P825">
            <v>1.095</v>
          </cell>
          <cell r="Q825" t="str">
            <v/>
          </cell>
          <cell r="R825" t="e">
            <v>#N/A</v>
          </cell>
        </row>
        <row r="826">
          <cell r="A826">
            <v>40912</v>
          </cell>
          <cell r="B826">
            <v>40912</v>
          </cell>
          <cell r="C826" t="str">
            <v>Future</v>
          </cell>
          <cell r="D826" t="e">
            <v>#N/A</v>
          </cell>
          <cell r="E826">
            <v>5.015267175572078E-2</v>
          </cell>
          <cell r="F826">
            <v>1.5196183206106924</v>
          </cell>
          <cell r="G826">
            <v>0.77534351145038927</v>
          </cell>
          <cell r="H826">
            <v>0.77534351145038927</v>
          </cell>
          <cell r="I826" t="e">
            <v>#N/A</v>
          </cell>
          <cell r="J826" t="e">
            <v>#N/A</v>
          </cell>
          <cell r="K826" t="e">
            <v>#N/A</v>
          </cell>
          <cell r="L826" t="e">
            <v>#N/A</v>
          </cell>
          <cell r="M826" t="e">
            <v>#N/A</v>
          </cell>
          <cell r="N826" t="e">
            <v>#N/A</v>
          </cell>
          <cell r="O826" t="e">
            <v>#N/A</v>
          </cell>
          <cell r="P826">
            <v>1.095</v>
          </cell>
          <cell r="Q826" t="str">
            <v/>
          </cell>
          <cell r="R826" t="e">
            <v>#N/A</v>
          </cell>
        </row>
        <row r="827">
          <cell r="A827">
            <v>40913</v>
          </cell>
          <cell r="B827">
            <v>40913</v>
          </cell>
          <cell r="C827" t="str">
            <v>Future</v>
          </cell>
          <cell r="D827" t="e">
            <v>#N/A</v>
          </cell>
          <cell r="E827">
            <v>4.5973282442743679E-2</v>
          </cell>
          <cell r="F827">
            <v>1.5213167938931351</v>
          </cell>
          <cell r="G827">
            <v>0.77406488549619079</v>
          </cell>
          <cell r="H827">
            <v>0.77406488549619079</v>
          </cell>
          <cell r="I827" t="e">
            <v>#N/A</v>
          </cell>
          <cell r="J827" t="e">
            <v>#N/A</v>
          </cell>
          <cell r="K827" t="e">
            <v>#N/A</v>
          </cell>
          <cell r="L827" t="e">
            <v>#N/A</v>
          </cell>
          <cell r="M827" t="e">
            <v>#N/A</v>
          </cell>
          <cell r="N827" t="e">
            <v>#N/A</v>
          </cell>
          <cell r="O827" t="e">
            <v>#N/A</v>
          </cell>
          <cell r="P827">
            <v>1.095</v>
          </cell>
          <cell r="Q827" t="str">
            <v/>
          </cell>
          <cell r="R827" t="e">
            <v>#N/A</v>
          </cell>
        </row>
        <row r="828">
          <cell r="A828">
            <v>40914</v>
          </cell>
          <cell r="B828">
            <v>40914</v>
          </cell>
          <cell r="C828" t="str">
            <v>Future</v>
          </cell>
          <cell r="D828" t="e">
            <v>#N/A</v>
          </cell>
          <cell r="E828">
            <v>4.1793893129766578E-2</v>
          </cell>
          <cell r="F828">
            <v>1.5230152671755779</v>
          </cell>
          <cell r="G828">
            <v>0.77278625954199232</v>
          </cell>
          <cell r="H828">
            <v>0.77278625954199232</v>
          </cell>
          <cell r="I828" t="e">
            <v>#N/A</v>
          </cell>
          <cell r="J828" t="e">
            <v>#N/A</v>
          </cell>
          <cell r="K828" t="e">
            <v>#N/A</v>
          </cell>
          <cell r="L828" t="e">
            <v>#N/A</v>
          </cell>
          <cell r="M828" t="e">
            <v>#N/A</v>
          </cell>
          <cell r="N828" t="e">
            <v>#N/A</v>
          </cell>
          <cell r="O828" t="e">
            <v>#N/A</v>
          </cell>
          <cell r="P828">
            <v>1.095</v>
          </cell>
          <cell r="Q828" t="str">
            <v/>
          </cell>
          <cell r="R828" t="e">
            <v>#N/A</v>
          </cell>
        </row>
        <row r="829">
          <cell r="A829">
            <v>40917</v>
          </cell>
          <cell r="B829">
            <v>40917</v>
          </cell>
          <cell r="C829" t="str">
            <v>Future</v>
          </cell>
          <cell r="D829" t="e">
            <v>#N/A</v>
          </cell>
          <cell r="E829">
            <v>3.7614503816789477E-2</v>
          </cell>
          <cell r="F829">
            <v>1.5247137404580207</v>
          </cell>
          <cell r="G829">
            <v>0.77150763358779384</v>
          </cell>
          <cell r="H829">
            <v>0.77150763358779384</v>
          </cell>
          <cell r="I829" t="e">
            <v>#N/A</v>
          </cell>
          <cell r="J829" t="e">
            <v>#N/A</v>
          </cell>
          <cell r="K829" t="e">
            <v>#N/A</v>
          </cell>
          <cell r="L829" t="e">
            <v>#N/A</v>
          </cell>
          <cell r="M829" t="e">
            <v>#N/A</v>
          </cell>
          <cell r="N829" t="e">
            <v>#N/A</v>
          </cell>
          <cell r="O829" t="e">
            <v>#N/A</v>
          </cell>
          <cell r="P829">
            <v>1.095</v>
          </cell>
          <cell r="Q829" t="str">
            <v/>
          </cell>
          <cell r="R829" t="e">
            <v>#N/A</v>
          </cell>
        </row>
        <row r="830">
          <cell r="A830">
            <v>40918</v>
          </cell>
          <cell r="B830">
            <v>40918</v>
          </cell>
          <cell r="C830" t="str">
            <v>Future</v>
          </cell>
          <cell r="D830" t="e">
            <v>#N/A</v>
          </cell>
          <cell r="E830">
            <v>3.3435114503812376E-2</v>
          </cell>
          <cell r="F830">
            <v>1.5264122137404634</v>
          </cell>
          <cell r="G830">
            <v>0.77022900763359536</v>
          </cell>
          <cell r="H830">
            <v>0.77022900763359536</v>
          </cell>
          <cell r="I830" t="e">
            <v>#N/A</v>
          </cell>
          <cell r="J830" t="e">
            <v>#N/A</v>
          </cell>
          <cell r="K830" t="e">
            <v>#N/A</v>
          </cell>
          <cell r="L830" t="e">
            <v>#N/A</v>
          </cell>
          <cell r="M830" t="e">
            <v>#N/A</v>
          </cell>
          <cell r="N830" t="e">
            <v>#N/A</v>
          </cell>
          <cell r="O830" t="e">
            <v>#N/A</v>
          </cell>
          <cell r="P830">
            <v>1.095</v>
          </cell>
          <cell r="Q830" t="str">
            <v/>
          </cell>
          <cell r="R830" t="e">
            <v>#N/A</v>
          </cell>
        </row>
        <row r="831">
          <cell r="A831">
            <v>40919</v>
          </cell>
          <cell r="B831">
            <v>40919</v>
          </cell>
          <cell r="C831" t="str">
            <v>Future</v>
          </cell>
          <cell r="D831" t="e">
            <v>#N/A</v>
          </cell>
          <cell r="E831">
            <v>2.9255725190835274E-2</v>
          </cell>
          <cell r="F831">
            <v>1.5281106870229062</v>
          </cell>
          <cell r="G831">
            <v>0.76895038167939689</v>
          </cell>
          <cell r="H831">
            <v>0.76895038167939689</v>
          </cell>
          <cell r="I831" t="e">
            <v>#N/A</v>
          </cell>
          <cell r="J831" t="e">
            <v>#N/A</v>
          </cell>
          <cell r="K831" t="e">
            <v>#N/A</v>
          </cell>
          <cell r="L831" t="e">
            <v>#N/A</v>
          </cell>
          <cell r="M831" t="e">
            <v>#N/A</v>
          </cell>
          <cell r="N831" t="e">
            <v>#N/A</v>
          </cell>
          <cell r="O831" t="e">
            <v>#N/A</v>
          </cell>
          <cell r="P831">
            <v>1.095</v>
          </cell>
          <cell r="Q831" t="str">
            <v/>
          </cell>
          <cell r="R831" t="e">
            <v>#N/A</v>
          </cell>
        </row>
        <row r="832">
          <cell r="A832">
            <v>40920</v>
          </cell>
          <cell r="B832">
            <v>40920</v>
          </cell>
          <cell r="C832" t="str">
            <v>Future</v>
          </cell>
          <cell r="D832" t="e">
            <v>#N/A</v>
          </cell>
          <cell r="E832">
            <v>2.5076335877858173E-2</v>
          </cell>
          <cell r="F832">
            <v>1.529809160305349</v>
          </cell>
          <cell r="G832">
            <v>0.76767175572519841</v>
          </cell>
          <cell r="H832">
            <v>0.76767175572519841</v>
          </cell>
          <cell r="I832" t="e">
            <v>#N/A</v>
          </cell>
          <cell r="J832" t="e">
            <v>#N/A</v>
          </cell>
          <cell r="K832" t="e">
            <v>#N/A</v>
          </cell>
          <cell r="L832" t="e">
            <v>#N/A</v>
          </cell>
          <cell r="M832" t="e">
            <v>#N/A</v>
          </cell>
          <cell r="N832" t="e">
            <v>#N/A</v>
          </cell>
          <cell r="O832" t="e">
            <v>#N/A</v>
          </cell>
          <cell r="P832">
            <v>1.095</v>
          </cell>
          <cell r="Q832" t="str">
            <v/>
          </cell>
          <cell r="R832" t="e">
            <v>#N/A</v>
          </cell>
        </row>
        <row r="833">
          <cell r="A833">
            <v>40921</v>
          </cell>
          <cell r="B833">
            <v>40921</v>
          </cell>
          <cell r="C833" t="str">
            <v>Future</v>
          </cell>
          <cell r="D833" t="e">
            <v>#N/A</v>
          </cell>
          <cell r="E833">
            <v>2.0896946564881072E-2</v>
          </cell>
          <cell r="F833">
            <v>1.5315076335877917</v>
          </cell>
          <cell r="G833">
            <v>0.76639312977099994</v>
          </cell>
          <cell r="H833">
            <v>0.76639312977099994</v>
          </cell>
          <cell r="I833" t="e">
            <v>#N/A</v>
          </cell>
          <cell r="J833" t="e">
            <v>#N/A</v>
          </cell>
          <cell r="K833" t="e">
            <v>#N/A</v>
          </cell>
          <cell r="L833" t="e">
            <v>#N/A</v>
          </cell>
          <cell r="M833" t="e">
            <v>#N/A</v>
          </cell>
          <cell r="N833" t="e">
            <v>#N/A</v>
          </cell>
          <cell r="O833" t="e">
            <v>#N/A</v>
          </cell>
          <cell r="P833">
            <v>1.095</v>
          </cell>
          <cell r="Q833" t="str">
            <v/>
          </cell>
          <cell r="R833" t="e">
            <v>#N/A</v>
          </cell>
        </row>
        <row r="834">
          <cell r="A834">
            <v>40924</v>
          </cell>
          <cell r="B834">
            <v>40924</v>
          </cell>
          <cell r="C834" t="str">
            <v>Future</v>
          </cell>
          <cell r="D834" t="e">
            <v>#N/A</v>
          </cell>
          <cell r="E834">
            <v>1.6717557251903971E-2</v>
          </cell>
          <cell r="F834">
            <v>1.5332061068702345</v>
          </cell>
          <cell r="G834">
            <v>0.76511450381680146</v>
          </cell>
          <cell r="H834">
            <v>0.76511450381680146</v>
          </cell>
          <cell r="I834" t="e">
            <v>#N/A</v>
          </cell>
          <cell r="J834" t="e">
            <v>#N/A</v>
          </cell>
          <cell r="K834" t="e">
            <v>#N/A</v>
          </cell>
          <cell r="L834" t="e">
            <v>#N/A</v>
          </cell>
          <cell r="M834" t="e">
            <v>#N/A</v>
          </cell>
          <cell r="N834" t="e">
            <v>#N/A</v>
          </cell>
          <cell r="O834" t="e">
            <v>#N/A</v>
          </cell>
          <cell r="P834">
            <v>1.095</v>
          </cell>
          <cell r="Q834" t="str">
            <v/>
          </cell>
          <cell r="R834" t="e">
            <v>#N/A</v>
          </cell>
        </row>
        <row r="835">
          <cell r="A835">
            <v>40925</v>
          </cell>
          <cell r="B835">
            <v>40925</v>
          </cell>
          <cell r="C835" t="str">
            <v>Future</v>
          </cell>
          <cell r="D835" t="e">
            <v>#N/A</v>
          </cell>
          <cell r="E835">
            <v>1.2538167938926871E-2</v>
          </cell>
          <cell r="F835">
            <v>1.5349045801526773</v>
          </cell>
          <cell r="G835">
            <v>0.76383587786260299</v>
          </cell>
          <cell r="H835">
            <v>0.76383587786260299</v>
          </cell>
          <cell r="I835" t="e">
            <v>#N/A</v>
          </cell>
          <cell r="J835" t="e">
            <v>#N/A</v>
          </cell>
          <cell r="K835" t="e">
            <v>#N/A</v>
          </cell>
          <cell r="L835" t="e">
            <v>#N/A</v>
          </cell>
          <cell r="M835" t="e">
            <v>#N/A</v>
          </cell>
          <cell r="N835" t="e">
            <v>#N/A</v>
          </cell>
          <cell r="O835" t="e">
            <v>#N/A</v>
          </cell>
          <cell r="P835">
            <v>1.095</v>
          </cell>
          <cell r="Q835" t="str">
            <v/>
          </cell>
          <cell r="R835" t="e">
            <v>#N/A</v>
          </cell>
        </row>
        <row r="836">
          <cell r="A836">
            <v>40926</v>
          </cell>
          <cell r="B836">
            <v>40926</v>
          </cell>
          <cell r="C836" t="str">
            <v>Future</v>
          </cell>
          <cell r="D836" t="e">
            <v>#N/A</v>
          </cell>
          <cell r="E836">
            <v>8.3587786259497719E-3</v>
          </cell>
          <cell r="F836">
            <v>1.53660305343512</v>
          </cell>
          <cell r="G836">
            <v>0.76255725190840451</v>
          </cell>
          <cell r="H836">
            <v>0.76255725190840451</v>
          </cell>
          <cell r="I836" t="e">
            <v>#N/A</v>
          </cell>
          <cell r="J836" t="e">
            <v>#N/A</v>
          </cell>
          <cell r="K836" t="e">
            <v>#N/A</v>
          </cell>
          <cell r="L836" t="e">
            <v>#N/A</v>
          </cell>
          <cell r="M836" t="e">
            <v>#N/A</v>
          </cell>
          <cell r="N836" t="e">
            <v>#N/A</v>
          </cell>
          <cell r="O836" t="e">
            <v>#N/A</v>
          </cell>
          <cell r="P836">
            <v>1.095</v>
          </cell>
          <cell r="Q836" t="str">
            <v/>
          </cell>
          <cell r="R836" t="e">
            <v>#N/A</v>
          </cell>
        </row>
        <row r="837">
          <cell r="A837">
            <v>40927</v>
          </cell>
          <cell r="B837">
            <v>40927</v>
          </cell>
          <cell r="C837" t="str">
            <v>Future</v>
          </cell>
          <cell r="D837" t="e">
            <v>#N/A</v>
          </cell>
          <cell r="E837">
            <v>4.1793893129726725E-3</v>
          </cell>
          <cell r="F837">
            <v>1.5383015267175628</v>
          </cell>
          <cell r="G837">
            <v>0.76127862595420603</v>
          </cell>
          <cell r="H837">
            <v>0.76127862595420603</v>
          </cell>
          <cell r="I837" t="e">
            <v>#N/A</v>
          </cell>
          <cell r="J837" t="e">
            <v>#N/A</v>
          </cell>
          <cell r="K837">
            <v>1.54</v>
          </cell>
          <cell r="L837">
            <v>0.76</v>
          </cell>
          <cell r="M837" t="e">
            <v>#N/A</v>
          </cell>
          <cell r="N837">
            <v>1.2</v>
          </cell>
          <cell r="O837" t="e">
            <v>#N/A</v>
          </cell>
          <cell r="P837">
            <v>1.095</v>
          </cell>
          <cell r="Q837" t="str">
            <v/>
          </cell>
          <cell r="R837">
            <v>1.19</v>
          </cell>
        </row>
        <row r="838">
          <cell r="A838" t="str">
            <v/>
          </cell>
          <cell r="B838" t="str">
            <v/>
          </cell>
          <cell r="C838" t="str">
            <v>Future</v>
          </cell>
          <cell r="D838" t="e">
            <v>#N/A</v>
          </cell>
          <cell r="E838">
            <v>-4.4270143106928117E-15</v>
          </cell>
          <cell r="F838">
            <v>1.5400000000000056</v>
          </cell>
          <cell r="G838">
            <v>0.76000000000000756</v>
          </cell>
          <cell r="H838">
            <v>0.76000000000000756</v>
          </cell>
          <cell r="I838" t="e">
            <v>#N/A</v>
          </cell>
          <cell r="J838" t="e">
            <v>#N/A</v>
          </cell>
          <cell r="K838">
            <v>1.54</v>
          </cell>
          <cell r="L838">
            <v>0.76</v>
          </cell>
          <cell r="M838" t="e">
            <v>#N/A</v>
          </cell>
          <cell r="N838">
            <v>1.2</v>
          </cell>
          <cell r="O838" t="e">
            <v>#N/A</v>
          </cell>
          <cell r="P838" t="str">
            <v/>
          </cell>
          <cell r="Q838" t="str">
            <v/>
          </cell>
          <cell r="R838">
            <v>1.19</v>
          </cell>
        </row>
        <row r="839">
          <cell r="A839" t="str">
            <v/>
          </cell>
          <cell r="B839" t="str">
            <v/>
          </cell>
          <cell r="C839" t="str">
            <v>Future</v>
          </cell>
          <cell r="D839" t="e">
            <v>#N/A</v>
          </cell>
          <cell r="E839">
            <v>-4.1793893129815265E-3</v>
          </cell>
          <cell r="F839">
            <v>1.5416984732824484</v>
          </cell>
          <cell r="G839">
            <v>0.75872137404580908</v>
          </cell>
          <cell r="H839">
            <v>0.75872137404580908</v>
          </cell>
          <cell r="I839" t="e">
            <v>#N/A</v>
          </cell>
          <cell r="J839" t="e">
            <v>#N/A</v>
          </cell>
          <cell r="K839">
            <v>1.54</v>
          </cell>
          <cell r="L839">
            <v>0.76</v>
          </cell>
          <cell r="M839" t="e">
            <v>#N/A</v>
          </cell>
          <cell r="N839">
            <v>1.2</v>
          </cell>
          <cell r="O839" t="e">
            <v>#N/A</v>
          </cell>
          <cell r="P839" t="str">
            <v/>
          </cell>
          <cell r="Q839" t="str">
            <v/>
          </cell>
          <cell r="R839">
            <v>1.19</v>
          </cell>
        </row>
        <row r="840">
          <cell r="A840" t="str">
            <v/>
          </cell>
          <cell r="B840" t="str">
            <v/>
          </cell>
          <cell r="C840" t="str">
            <v>Future</v>
          </cell>
          <cell r="D840" t="e">
            <v>#N/A</v>
          </cell>
          <cell r="E840">
            <v>-8.3587786259586259E-3</v>
          </cell>
          <cell r="F840">
            <v>1.5433969465648911</v>
          </cell>
          <cell r="G840">
            <v>0.75744274809161061</v>
          </cell>
          <cell r="H840">
            <v>0.75744274809161061</v>
          </cell>
          <cell r="I840" t="e">
            <v>#N/A</v>
          </cell>
          <cell r="J840" t="e">
            <v>#N/A</v>
          </cell>
          <cell r="K840">
            <v>1.54</v>
          </cell>
          <cell r="L840">
            <v>0.76</v>
          </cell>
          <cell r="M840" t="e">
            <v>#N/A</v>
          </cell>
          <cell r="N840">
            <v>1.2</v>
          </cell>
          <cell r="O840" t="e">
            <v>#N/A</v>
          </cell>
          <cell r="P840" t="str">
            <v/>
          </cell>
          <cell r="Q840" t="str">
            <v/>
          </cell>
          <cell r="R840">
            <v>1.19</v>
          </cell>
        </row>
        <row r="841">
          <cell r="A841" t="str">
            <v/>
          </cell>
          <cell r="B841" t="str">
            <v/>
          </cell>
          <cell r="C841" t="str">
            <v>Future</v>
          </cell>
          <cell r="D841" t="e">
            <v>#N/A</v>
          </cell>
          <cell r="E841">
            <v>-1.2538167938935725E-2</v>
          </cell>
          <cell r="F841">
            <v>1.5450954198473339</v>
          </cell>
          <cell r="G841">
            <v>0.75616412213741213</v>
          </cell>
          <cell r="H841">
            <v>0.75616412213741213</v>
          </cell>
          <cell r="I841" t="e">
            <v>#N/A</v>
          </cell>
          <cell r="J841" t="e">
            <v>#N/A</v>
          </cell>
          <cell r="K841">
            <v>1.54</v>
          </cell>
          <cell r="L841">
            <v>0.76</v>
          </cell>
          <cell r="M841" t="e">
            <v>#N/A</v>
          </cell>
          <cell r="N841">
            <v>1.2</v>
          </cell>
          <cell r="O841" t="e">
            <v>#N/A</v>
          </cell>
          <cell r="P841" t="str">
            <v/>
          </cell>
          <cell r="Q841" t="str">
            <v/>
          </cell>
          <cell r="R841">
            <v>1.19</v>
          </cell>
        </row>
        <row r="842">
          <cell r="A842" t="str">
            <v/>
          </cell>
          <cell r="B842" t="str">
            <v/>
          </cell>
          <cell r="C842" t="str">
            <v>Future</v>
          </cell>
          <cell r="D842" t="e">
            <v>#N/A</v>
          </cell>
          <cell r="E842">
            <v>-1.6717557251912825E-2</v>
          </cell>
          <cell r="F842">
            <v>1.5467938931297767</v>
          </cell>
          <cell r="G842">
            <v>0.75488549618321366</v>
          </cell>
          <cell r="H842">
            <v>0.75488549618321366</v>
          </cell>
          <cell r="I842" t="e">
            <v>#N/A</v>
          </cell>
          <cell r="J842" t="e">
            <v>#N/A</v>
          </cell>
          <cell r="K842">
            <v>1.54</v>
          </cell>
          <cell r="L842">
            <v>0.76</v>
          </cell>
          <cell r="M842" t="e">
            <v>#N/A</v>
          </cell>
          <cell r="N842">
            <v>1.2</v>
          </cell>
          <cell r="O842" t="e">
            <v>#N/A</v>
          </cell>
          <cell r="P842" t="str">
            <v/>
          </cell>
          <cell r="Q842" t="str">
            <v/>
          </cell>
          <cell r="R842">
            <v>1.19</v>
          </cell>
        </row>
        <row r="843">
          <cell r="A843" t="str">
            <v/>
          </cell>
          <cell r="B843" t="str">
            <v/>
          </cell>
          <cell r="C843" t="str">
            <v>Future</v>
          </cell>
          <cell r="D843" t="e">
            <v>#N/A</v>
          </cell>
          <cell r="E843">
            <v>-2.0896946564889926E-2</v>
          </cell>
          <cell r="F843">
            <v>1.5484923664122194</v>
          </cell>
          <cell r="G843">
            <v>0.75360687022901518</v>
          </cell>
          <cell r="H843">
            <v>0.75360687022901518</v>
          </cell>
          <cell r="I843" t="e">
            <v>#N/A</v>
          </cell>
          <cell r="J843" t="e">
            <v>#N/A</v>
          </cell>
          <cell r="K843">
            <v>1.54</v>
          </cell>
          <cell r="L843">
            <v>0.76</v>
          </cell>
          <cell r="M843" t="e">
            <v>#N/A</v>
          </cell>
          <cell r="N843">
            <v>1.2</v>
          </cell>
          <cell r="O843" t="e">
            <v>#N/A</v>
          </cell>
          <cell r="P843" t="str">
            <v/>
          </cell>
          <cell r="Q843" t="str">
            <v/>
          </cell>
          <cell r="R843">
            <v>1.19</v>
          </cell>
        </row>
        <row r="844">
          <cell r="A844" t="str">
            <v/>
          </cell>
          <cell r="B844" t="str">
            <v/>
          </cell>
          <cell r="C844" t="str">
            <v>Future</v>
          </cell>
          <cell r="D844" t="e">
            <v>#N/A</v>
          </cell>
          <cell r="E844">
            <v>-2.5076335877867027E-2</v>
          </cell>
          <cell r="F844">
            <v>1.5501908396946622</v>
          </cell>
          <cell r="G844">
            <v>0.7523282442748167</v>
          </cell>
          <cell r="H844">
            <v>0.7523282442748167</v>
          </cell>
          <cell r="I844" t="e">
            <v>#N/A</v>
          </cell>
          <cell r="J844" t="e">
            <v>#N/A</v>
          </cell>
          <cell r="K844">
            <v>1.54</v>
          </cell>
          <cell r="L844">
            <v>0.76</v>
          </cell>
          <cell r="M844" t="e">
            <v>#N/A</v>
          </cell>
          <cell r="N844">
            <v>1.2</v>
          </cell>
          <cell r="O844" t="e">
            <v>#N/A</v>
          </cell>
          <cell r="P844" t="str">
            <v/>
          </cell>
          <cell r="Q844" t="str">
            <v/>
          </cell>
          <cell r="R844">
            <v>1.19</v>
          </cell>
        </row>
        <row r="845">
          <cell r="A845" t="str">
            <v/>
          </cell>
          <cell r="B845" t="str">
            <v/>
          </cell>
          <cell r="C845" t="str">
            <v>Future</v>
          </cell>
          <cell r="D845" t="e">
            <v>#N/A</v>
          </cell>
          <cell r="E845">
            <v>-2.9255725190844128E-2</v>
          </cell>
          <cell r="F845">
            <v>1.551889312977105</v>
          </cell>
          <cell r="G845">
            <v>0.75104961832061823</v>
          </cell>
          <cell r="H845">
            <v>0.75104961832061823</v>
          </cell>
          <cell r="I845" t="e">
            <v>#N/A</v>
          </cell>
          <cell r="J845" t="e">
            <v>#N/A</v>
          </cell>
          <cell r="K845">
            <v>1.54</v>
          </cell>
          <cell r="L845">
            <v>0.76</v>
          </cell>
          <cell r="M845" t="e">
            <v>#N/A</v>
          </cell>
          <cell r="N845">
            <v>1.2</v>
          </cell>
          <cell r="O845" t="e">
            <v>#N/A</v>
          </cell>
          <cell r="P845" t="str">
            <v/>
          </cell>
          <cell r="Q845" t="str">
            <v/>
          </cell>
          <cell r="R845">
            <v>1.19</v>
          </cell>
        </row>
        <row r="846">
          <cell r="A846" t="str">
            <v/>
          </cell>
          <cell r="B846" t="str">
            <v/>
          </cell>
          <cell r="C846" t="str">
            <v>Future</v>
          </cell>
          <cell r="D846" t="e">
            <v>#N/A</v>
          </cell>
          <cell r="E846">
            <v>-3.343511450382123E-2</v>
          </cell>
          <cell r="F846">
            <v>1.5535877862595477</v>
          </cell>
          <cell r="G846">
            <v>0.74977099236641975</v>
          </cell>
          <cell r="H846">
            <v>0.74977099236641975</v>
          </cell>
          <cell r="I846" t="e">
            <v>#N/A</v>
          </cell>
          <cell r="J846" t="e">
            <v>#N/A</v>
          </cell>
          <cell r="K846">
            <v>1.54</v>
          </cell>
          <cell r="L846">
            <v>0.76</v>
          </cell>
          <cell r="M846" t="e">
            <v>#N/A</v>
          </cell>
          <cell r="N846">
            <v>1.2</v>
          </cell>
          <cell r="O846" t="e">
            <v>#N/A</v>
          </cell>
          <cell r="P846" t="str">
            <v/>
          </cell>
          <cell r="Q846" t="str">
            <v/>
          </cell>
          <cell r="R846">
            <v>1.19</v>
          </cell>
        </row>
        <row r="847">
          <cell r="A847" t="str">
            <v/>
          </cell>
          <cell r="B847" t="str">
            <v/>
          </cell>
          <cell r="C847" t="str">
            <v>Future</v>
          </cell>
          <cell r="D847" t="e">
            <v>#N/A</v>
          </cell>
          <cell r="E847">
            <v>-3.7614503816798331E-2</v>
          </cell>
          <cell r="F847">
            <v>1.5552862595419905</v>
          </cell>
          <cell r="G847">
            <v>0.74849236641222128</v>
          </cell>
          <cell r="H847">
            <v>0.74849236641222128</v>
          </cell>
          <cell r="I847" t="e">
            <v>#N/A</v>
          </cell>
          <cell r="J847" t="e">
            <v>#N/A</v>
          </cell>
          <cell r="K847">
            <v>1.54</v>
          </cell>
          <cell r="L847">
            <v>0.76</v>
          </cell>
          <cell r="M847" t="e">
            <v>#N/A</v>
          </cell>
          <cell r="N847">
            <v>1.2</v>
          </cell>
          <cell r="O847" t="e">
            <v>#N/A</v>
          </cell>
          <cell r="P847" t="str">
            <v/>
          </cell>
          <cell r="Q847" t="str">
            <v/>
          </cell>
          <cell r="R847">
            <v>1.19</v>
          </cell>
        </row>
        <row r="848">
          <cell r="A848" t="str">
            <v/>
          </cell>
          <cell r="B848" t="str">
            <v/>
          </cell>
          <cell r="C848" t="str">
            <v>Future</v>
          </cell>
          <cell r="D848" t="e">
            <v>#N/A</v>
          </cell>
          <cell r="E848">
            <v>-4.1793893129775432E-2</v>
          </cell>
          <cell r="F848">
            <v>1.5569847328244333</v>
          </cell>
          <cell r="G848">
            <v>0.7472137404580228</v>
          </cell>
          <cell r="H848">
            <v>0.7472137404580228</v>
          </cell>
          <cell r="I848" t="e">
            <v>#N/A</v>
          </cell>
          <cell r="J848" t="e">
            <v>#N/A</v>
          </cell>
          <cell r="K848">
            <v>1.54</v>
          </cell>
          <cell r="L848">
            <v>0.76</v>
          </cell>
          <cell r="M848" t="e">
            <v>#N/A</v>
          </cell>
          <cell r="N848">
            <v>1.2</v>
          </cell>
          <cell r="O848" t="e">
            <v>#N/A</v>
          </cell>
          <cell r="P848" t="str">
            <v/>
          </cell>
          <cell r="Q848" t="str">
            <v/>
          </cell>
          <cell r="R848">
            <v>1.19</v>
          </cell>
        </row>
        <row r="849">
          <cell r="A849" t="str">
            <v/>
          </cell>
          <cell r="B849" t="str">
            <v/>
          </cell>
          <cell r="C849" t="str">
            <v>Future</v>
          </cell>
          <cell r="D849" t="e">
            <v>#N/A</v>
          </cell>
          <cell r="E849">
            <v>-4.5973282442752533E-2</v>
          </cell>
          <cell r="F849">
            <v>1.5586832061068761</v>
          </cell>
          <cell r="G849">
            <v>0.74593511450382433</v>
          </cell>
          <cell r="H849">
            <v>0.74593511450382433</v>
          </cell>
          <cell r="I849" t="e">
            <v>#N/A</v>
          </cell>
          <cell r="J849" t="e">
            <v>#N/A</v>
          </cell>
          <cell r="K849">
            <v>1.54</v>
          </cell>
          <cell r="L849">
            <v>0.76</v>
          </cell>
          <cell r="M849" t="e">
            <v>#N/A</v>
          </cell>
          <cell r="N849">
            <v>1.2</v>
          </cell>
          <cell r="O849" t="e">
            <v>#N/A</v>
          </cell>
          <cell r="P849" t="str">
            <v/>
          </cell>
          <cell r="Q849" t="str">
            <v/>
          </cell>
          <cell r="R849">
            <v>1.19</v>
          </cell>
        </row>
        <row r="850">
          <cell r="A850" t="str">
            <v/>
          </cell>
          <cell r="B850" t="str">
            <v/>
          </cell>
          <cell r="C850" t="str">
            <v>Future</v>
          </cell>
          <cell r="D850" t="e">
            <v>#N/A</v>
          </cell>
          <cell r="E850">
            <v>-5.0152671755729634E-2</v>
          </cell>
          <cell r="F850">
            <v>1.5603816793893188</v>
          </cell>
          <cell r="G850">
            <v>0.74465648854962585</v>
          </cell>
          <cell r="H850">
            <v>0.74465648854962585</v>
          </cell>
          <cell r="I850" t="e">
            <v>#N/A</v>
          </cell>
          <cell r="J850" t="e">
            <v>#N/A</v>
          </cell>
          <cell r="K850">
            <v>1.54</v>
          </cell>
          <cell r="L850">
            <v>0.76</v>
          </cell>
          <cell r="M850" t="e">
            <v>#N/A</v>
          </cell>
          <cell r="N850">
            <v>1.2</v>
          </cell>
          <cell r="O850" t="e">
            <v>#N/A</v>
          </cell>
          <cell r="P850" t="str">
            <v/>
          </cell>
          <cell r="Q850" t="str">
            <v/>
          </cell>
          <cell r="R850">
            <v>1.19</v>
          </cell>
        </row>
        <row r="851">
          <cell r="A851" t="str">
            <v/>
          </cell>
          <cell r="B851" t="str">
            <v/>
          </cell>
          <cell r="C851" t="str">
            <v>Future</v>
          </cell>
          <cell r="D851" t="e">
            <v>#N/A</v>
          </cell>
          <cell r="E851">
            <v>-5.4332061068706736E-2</v>
          </cell>
          <cell r="F851">
            <v>1.5620801526717616</v>
          </cell>
          <cell r="G851">
            <v>0.74337786259542737</v>
          </cell>
          <cell r="H851">
            <v>0.74337786259542737</v>
          </cell>
          <cell r="I851" t="e">
            <v>#N/A</v>
          </cell>
          <cell r="J851" t="e">
            <v>#N/A</v>
          </cell>
          <cell r="K851">
            <v>1.54</v>
          </cell>
          <cell r="L851">
            <v>0.76</v>
          </cell>
          <cell r="M851" t="e">
            <v>#N/A</v>
          </cell>
          <cell r="N851">
            <v>1.2</v>
          </cell>
          <cell r="O851" t="e">
            <v>#N/A</v>
          </cell>
          <cell r="P851" t="str">
            <v/>
          </cell>
          <cell r="Q851" t="str">
            <v/>
          </cell>
          <cell r="R851">
            <v>1.19</v>
          </cell>
        </row>
        <row r="852">
          <cell r="A852" t="str">
            <v/>
          </cell>
          <cell r="B852" t="str">
            <v/>
          </cell>
          <cell r="C852" t="str">
            <v>Future</v>
          </cell>
          <cell r="D852" t="e">
            <v>#N/A</v>
          </cell>
          <cell r="E852">
            <v>-5.8511450381683837E-2</v>
          </cell>
          <cell r="F852">
            <v>1.5637786259542044</v>
          </cell>
          <cell r="G852">
            <v>0.7420992366412289</v>
          </cell>
          <cell r="H852">
            <v>0.7420992366412289</v>
          </cell>
          <cell r="I852" t="e">
            <v>#N/A</v>
          </cell>
          <cell r="J852" t="e">
            <v>#N/A</v>
          </cell>
          <cell r="K852">
            <v>1.54</v>
          </cell>
          <cell r="L852">
            <v>0.76</v>
          </cell>
          <cell r="M852" t="e">
            <v>#N/A</v>
          </cell>
          <cell r="N852">
            <v>1.2</v>
          </cell>
          <cell r="O852" t="e">
            <v>#N/A</v>
          </cell>
          <cell r="P852" t="str">
            <v/>
          </cell>
          <cell r="Q852" t="str">
            <v/>
          </cell>
          <cell r="R852">
            <v>1.19</v>
          </cell>
        </row>
        <row r="853">
          <cell r="A853" t="str">
            <v/>
          </cell>
          <cell r="B853" t="str">
            <v/>
          </cell>
          <cell r="C853" t="str">
            <v>Future</v>
          </cell>
          <cell r="D853" t="e">
            <v>#N/A</v>
          </cell>
          <cell r="E853">
            <v>-6.2690839694660938E-2</v>
          </cell>
          <cell r="F853">
            <v>1.5654770992366471</v>
          </cell>
          <cell r="G853">
            <v>0.74082061068703042</v>
          </cell>
          <cell r="H853">
            <v>0.74082061068703042</v>
          </cell>
          <cell r="I853" t="e">
            <v>#N/A</v>
          </cell>
          <cell r="J853" t="e">
            <v>#N/A</v>
          </cell>
          <cell r="K853">
            <v>1.54</v>
          </cell>
          <cell r="L853">
            <v>0.76</v>
          </cell>
          <cell r="M853" t="e">
            <v>#N/A</v>
          </cell>
          <cell r="N853">
            <v>1.2</v>
          </cell>
          <cell r="O853" t="e">
            <v>#N/A</v>
          </cell>
          <cell r="P853" t="str">
            <v/>
          </cell>
          <cell r="Q853" t="str">
            <v/>
          </cell>
          <cell r="R853">
            <v>1.19</v>
          </cell>
        </row>
        <row r="854">
          <cell r="A854" t="str">
            <v/>
          </cell>
          <cell r="B854" t="str">
            <v/>
          </cell>
          <cell r="C854" t="str">
            <v>Future</v>
          </cell>
          <cell r="D854" t="e">
            <v>#N/A</v>
          </cell>
          <cell r="E854">
            <v>-6.6870229007638032E-2</v>
          </cell>
          <cell r="F854">
            <v>1.5671755725190899</v>
          </cell>
          <cell r="G854">
            <v>0.73954198473283195</v>
          </cell>
          <cell r="H854">
            <v>0.73954198473283195</v>
          </cell>
          <cell r="I854" t="e">
            <v>#N/A</v>
          </cell>
          <cell r="J854" t="e">
            <v>#N/A</v>
          </cell>
          <cell r="K854">
            <v>1.54</v>
          </cell>
          <cell r="L854">
            <v>0.76</v>
          </cell>
          <cell r="M854" t="e">
            <v>#N/A</v>
          </cell>
          <cell r="N854">
            <v>1.2</v>
          </cell>
          <cell r="O854" t="e">
            <v>#N/A</v>
          </cell>
          <cell r="P854" t="str">
            <v/>
          </cell>
          <cell r="Q854" t="str">
            <v/>
          </cell>
          <cell r="R854">
            <v>1.19</v>
          </cell>
        </row>
        <row r="855">
          <cell r="A855" t="str">
            <v/>
          </cell>
          <cell r="B855" t="str">
            <v/>
          </cell>
          <cell r="C855" t="str">
            <v>Future</v>
          </cell>
          <cell r="D855" t="e">
            <v>#N/A</v>
          </cell>
          <cell r="E855">
            <v>-7.1049618320615127E-2</v>
          </cell>
          <cell r="F855">
            <v>1.5688740458015327</v>
          </cell>
          <cell r="G855">
            <v>0.73826335877863347</v>
          </cell>
          <cell r="H855">
            <v>0.73826335877863347</v>
          </cell>
          <cell r="I855" t="e">
            <v>#N/A</v>
          </cell>
          <cell r="J855" t="e">
            <v>#N/A</v>
          </cell>
          <cell r="K855">
            <v>1.54</v>
          </cell>
          <cell r="L855">
            <v>0.76</v>
          </cell>
          <cell r="M855" t="e">
            <v>#N/A</v>
          </cell>
          <cell r="N855">
            <v>1.2</v>
          </cell>
          <cell r="O855" t="e">
            <v>#N/A</v>
          </cell>
          <cell r="P855" t="str">
            <v/>
          </cell>
          <cell r="Q855" t="str">
            <v/>
          </cell>
          <cell r="R855">
            <v>1.19</v>
          </cell>
        </row>
        <row r="856">
          <cell r="A856" t="str">
            <v/>
          </cell>
          <cell r="B856" t="str">
            <v/>
          </cell>
          <cell r="C856" t="str">
            <v>Future</v>
          </cell>
          <cell r="D856" t="e">
            <v>#N/A</v>
          </cell>
          <cell r="E856">
            <v>-7.5229007633592221E-2</v>
          </cell>
          <cell r="F856">
            <v>1.5705725190839754</v>
          </cell>
          <cell r="G856">
            <v>0.736984732824435</v>
          </cell>
          <cell r="H856">
            <v>0.736984732824435</v>
          </cell>
          <cell r="I856" t="e">
            <v>#N/A</v>
          </cell>
          <cell r="J856" t="e">
            <v>#N/A</v>
          </cell>
          <cell r="K856">
            <v>1.54</v>
          </cell>
          <cell r="L856">
            <v>0.76</v>
          </cell>
          <cell r="M856" t="e">
            <v>#N/A</v>
          </cell>
          <cell r="N856">
            <v>1.2</v>
          </cell>
          <cell r="O856" t="e">
            <v>#N/A</v>
          </cell>
          <cell r="P856" t="str">
            <v/>
          </cell>
          <cell r="Q856" t="str">
            <v/>
          </cell>
          <cell r="R856">
            <v>1.19</v>
          </cell>
        </row>
        <row r="857">
          <cell r="A857" t="str">
            <v/>
          </cell>
          <cell r="B857" t="str">
            <v/>
          </cell>
          <cell r="C857" t="str">
            <v>Future</v>
          </cell>
          <cell r="D857" t="e">
            <v>#N/A</v>
          </cell>
          <cell r="E857">
            <v>-7.9408396946569315E-2</v>
          </cell>
          <cell r="F857">
            <v>1.5722709923664182</v>
          </cell>
          <cell r="G857">
            <v>0.73570610687023652</v>
          </cell>
          <cell r="H857">
            <v>0.73570610687023652</v>
          </cell>
          <cell r="I857" t="e">
            <v>#N/A</v>
          </cell>
          <cell r="J857" t="e">
            <v>#N/A</v>
          </cell>
          <cell r="K857">
            <v>1.54</v>
          </cell>
          <cell r="L857">
            <v>0.76</v>
          </cell>
          <cell r="M857" t="e">
            <v>#N/A</v>
          </cell>
          <cell r="N857">
            <v>1.2</v>
          </cell>
          <cell r="O857" t="e">
            <v>#N/A</v>
          </cell>
          <cell r="P857" t="str">
            <v/>
          </cell>
          <cell r="Q857" t="str">
            <v/>
          </cell>
          <cell r="R857">
            <v>1.19</v>
          </cell>
        </row>
        <row r="858">
          <cell r="A858" t="str">
            <v/>
          </cell>
          <cell r="B858" t="str">
            <v/>
          </cell>
          <cell r="C858" t="str">
            <v>Future</v>
          </cell>
          <cell r="D858" t="e">
            <v>#N/A</v>
          </cell>
          <cell r="E858">
            <v>-8.3587786259546409E-2</v>
          </cell>
          <cell r="F858">
            <v>1.573969465648861</v>
          </cell>
          <cell r="G858">
            <v>0.73442748091603804</v>
          </cell>
          <cell r="H858">
            <v>0.73442748091603804</v>
          </cell>
          <cell r="I858" t="e">
            <v>#N/A</v>
          </cell>
          <cell r="J858" t="e">
            <v>#N/A</v>
          </cell>
          <cell r="K858">
            <v>1.54</v>
          </cell>
          <cell r="L858">
            <v>0.76</v>
          </cell>
          <cell r="M858" t="e">
            <v>#N/A</v>
          </cell>
          <cell r="N858">
            <v>1.2</v>
          </cell>
          <cell r="O858" t="e">
            <v>#N/A</v>
          </cell>
          <cell r="P858" t="str">
            <v/>
          </cell>
          <cell r="Q858" t="str">
            <v/>
          </cell>
          <cell r="R858">
            <v>1.19</v>
          </cell>
        </row>
        <row r="859">
          <cell r="A859" t="str">
            <v/>
          </cell>
          <cell r="B859" t="str">
            <v/>
          </cell>
          <cell r="C859" t="str">
            <v>Future</v>
          </cell>
          <cell r="D859" t="e">
            <v>#N/A</v>
          </cell>
          <cell r="E859">
            <v>-8.7767175572523504E-2</v>
          </cell>
          <cell r="F859">
            <v>1.5756679389313037</v>
          </cell>
          <cell r="G859">
            <v>0.73314885496183957</v>
          </cell>
          <cell r="H859">
            <v>0.73314885496183957</v>
          </cell>
          <cell r="I859" t="e">
            <v>#N/A</v>
          </cell>
          <cell r="J859" t="e">
            <v>#N/A</v>
          </cell>
          <cell r="K859">
            <v>1.54</v>
          </cell>
          <cell r="L859">
            <v>0.76</v>
          </cell>
          <cell r="M859" t="e">
            <v>#N/A</v>
          </cell>
          <cell r="N859">
            <v>1.2</v>
          </cell>
          <cell r="O859" t="e">
            <v>#N/A</v>
          </cell>
          <cell r="P859" t="str">
            <v/>
          </cell>
          <cell r="Q859" t="str">
            <v/>
          </cell>
          <cell r="R859">
            <v>1.19</v>
          </cell>
        </row>
        <row r="860">
          <cell r="A860" t="str">
            <v/>
          </cell>
          <cell r="B860" t="str">
            <v/>
          </cell>
          <cell r="C860" t="str">
            <v>Future</v>
          </cell>
          <cell r="D860" t="e">
            <v>#N/A</v>
          </cell>
          <cell r="E860">
            <v>-9.1946564885500598E-2</v>
          </cell>
          <cell r="F860">
            <v>1.5773664122137465</v>
          </cell>
          <cell r="G860">
            <v>0.73187022900764109</v>
          </cell>
          <cell r="H860">
            <v>0.73187022900764109</v>
          </cell>
          <cell r="I860" t="e">
            <v>#N/A</v>
          </cell>
          <cell r="J860" t="e">
            <v>#N/A</v>
          </cell>
          <cell r="K860">
            <v>1.54</v>
          </cell>
          <cell r="L860">
            <v>0.76</v>
          </cell>
          <cell r="M860" t="e">
            <v>#N/A</v>
          </cell>
          <cell r="N860">
            <v>1.2</v>
          </cell>
          <cell r="O860" t="e">
            <v>#N/A</v>
          </cell>
          <cell r="P860" t="str">
            <v/>
          </cell>
          <cell r="Q860" t="str">
            <v/>
          </cell>
          <cell r="R860">
            <v>1.19</v>
          </cell>
        </row>
        <row r="861">
          <cell r="A861" t="str">
            <v/>
          </cell>
          <cell r="B861" t="str">
            <v/>
          </cell>
          <cell r="C861" t="str">
            <v>Future</v>
          </cell>
          <cell r="D861" t="e">
            <v>#N/A</v>
          </cell>
          <cell r="E861">
            <v>-9.6125954198477692E-2</v>
          </cell>
          <cell r="F861">
            <v>1.5790648854961893</v>
          </cell>
          <cell r="G861">
            <v>0.73059160305344262</v>
          </cell>
          <cell r="H861">
            <v>0.73059160305344262</v>
          </cell>
          <cell r="I861" t="e">
            <v>#N/A</v>
          </cell>
          <cell r="J861" t="e">
            <v>#N/A</v>
          </cell>
          <cell r="K861">
            <v>1.54</v>
          </cell>
          <cell r="L861">
            <v>0.76</v>
          </cell>
          <cell r="M861" t="e">
            <v>#N/A</v>
          </cell>
          <cell r="N861">
            <v>1.2</v>
          </cell>
          <cell r="O861" t="e">
            <v>#N/A</v>
          </cell>
          <cell r="P861" t="str">
            <v/>
          </cell>
          <cell r="Q861" t="str">
            <v/>
          </cell>
          <cell r="R861">
            <v>1.19</v>
          </cell>
        </row>
        <row r="862">
          <cell r="A862" t="str">
            <v/>
          </cell>
          <cell r="B862" t="str">
            <v/>
          </cell>
          <cell r="C862" t="str">
            <v>Future</v>
          </cell>
          <cell r="D862" t="e">
            <v>#N/A</v>
          </cell>
          <cell r="E862">
            <v>-0.10030534351145479</v>
          </cell>
          <cell r="F862">
            <v>1.5807633587786321</v>
          </cell>
          <cell r="G862">
            <v>0.72931297709924414</v>
          </cell>
          <cell r="H862">
            <v>0.72931297709924414</v>
          </cell>
          <cell r="I862" t="e">
            <v>#N/A</v>
          </cell>
          <cell r="J862" t="e">
            <v>#N/A</v>
          </cell>
          <cell r="K862">
            <v>1.54</v>
          </cell>
          <cell r="L862">
            <v>0.76</v>
          </cell>
          <cell r="M862" t="e">
            <v>#N/A</v>
          </cell>
          <cell r="N862">
            <v>1.2</v>
          </cell>
          <cell r="O862" t="e">
            <v>#N/A</v>
          </cell>
          <cell r="P862" t="str">
            <v/>
          </cell>
          <cell r="Q862" t="str">
            <v/>
          </cell>
          <cell r="R862">
            <v>1.19</v>
          </cell>
        </row>
        <row r="863">
          <cell r="A863" t="str">
            <v/>
          </cell>
          <cell r="B863" t="str">
            <v/>
          </cell>
          <cell r="C863" t="str">
            <v>Future</v>
          </cell>
          <cell r="D863" t="e">
            <v>#N/A</v>
          </cell>
          <cell r="E863">
            <v>-0.10448473282443188</v>
          </cell>
          <cell r="F863">
            <v>1.5824618320610748</v>
          </cell>
          <cell r="G863">
            <v>0.72803435114504567</v>
          </cell>
          <cell r="H863">
            <v>0.72803435114504567</v>
          </cell>
          <cell r="I863" t="e">
            <v>#N/A</v>
          </cell>
          <cell r="J863" t="e">
            <v>#N/A</v>
          </cell>
          <cell r="K863">
            <v>1.54</v>
          </cell>
          <cell r="L863">
            <v>0.76</v>
          </cell>
          <cell r="M863" t="e">
            <v>#N/A</v>
          </cell>
          <cell r="N863">
            <v>1.2</v>
          </cell>
          <cell r="O863" t="e">
            <v>#N/A</v>
          </cell>
          <cell r="P863" t="str">
            <v/>
          </cell>
          <cell r="Q863" t="str">
            <v/>
          </cell>
          <cell r="R863">
            <v>1.19</v>
          </cell>
        </row>
        <row r="864">
          <cell r="A864" t="str">
            <v/>
          </cell>
          <cell r="B864" t="str">
            <v/>
          </cell>
          <cell r="C864" t="str">
            <v>Future</v>
          </cell>
          <cell r="D864" t="e">
            <v>#N/A</v>
          </cell>
          <cell r="E864">
            <v>-0.10866412213740897</v>
          </cell>
          <cell r="F864">
            <v>1.5841603053435176</v>
          </cell>
          <cell r="G864">
            <v>0.72675572519084719</v>
          </cell>
          <cell r="H864">
            <v>0.72675572519084719</v>
          </cell>
          <cell r="I864" t="e">
            <v>#N/A</v>
          </cell>
          <cell r="J864" t="e">
            <v>#N/A</v>
          </cell>
          <cell r="K864">
            <v>1.54</v>
          </cell>
          <cell r="L864">
            <v>0.76</v>
          </cell>
          <cell r="M864" t="e">
            <v>#N/A</v>
          </cell>
          <cell r="N864">
            <v>1.2</v>
          </cell>
          <cell r="O864" t="e">
            <v>#N/A</v>
          </cell>
          <cell r="P864" t="str">
            <v/>
          </cell>
          <cell r="Q864" t="str">
            <v/>
          </cell>
          <cell r="R864">
            <v>1.19</v>
          </cell>
        </row>
        <row r="865">
          <cell r="A865" t="str">
            <v/>
          </cell>
          <cell r="B865" t="str">
            <v/>
          </cell>
          <cell r="C865" t="str">
            <v>Future</v>
          </cell>
          <cell r="D865" t="e">
            <v>#N/A</v>
          </cell>
          <cell r="E865">
            <v>-0.11284351145038607</v>
          </cell>
          <cell r="F865">
            <v>1.5858587786259604</v>
          </cell>
          <cell r="G865">
            <v>0.72547709923664871</v>
          </cell>
          <cell r="H865">
            <v>0.72547709923664871</v>
          </cell>
          <cell r="I865" t="e">
            <v>#N/A</v>
          </cell>
          <cell r="J865" t="e">
            <v>#N/A</v>
          </cell>
          <cell r="K865">
            <v>1.54</v>
          </cell>
          <cell r="L865">
            <v>0.76</v>
          </cell>
          <cell r="M865" t="e">
            <v>#N/A</v>
          </cell>
          <cell r="N865">
            <v>1.2</v>
          </cell>
          <cell r="O865" t="e">
            <v>#N/A</v>
          </cell>
          <cell r="P865" t="str">
            <v/>
          </cell>
          <cell r="Q865" t="str">
            <v/>
          </cell>
          <cell r="R865">
            <v>1.19</v>
          </cell>
        </row>
        <row r="866">
          <cell r="A866" t="str">
            <v/>
          </cell>
          <cell r="B866" t="str">
            <v/>
          </cell>
          <cell r="C866" t="str">
            <v>Future</v>
          </cell>
          <cell r="D866" t="e">
            <v>#N/A</v>
          </cell>
          <cell r="E866">
            <v>-0.11702290076336316</v>
          </cell>
          <cell r="F866">
            <v>1.5875572519084031</v>
          </cell>
          <cell r="G866">
            <v>0.72419847328245024</v>
          </cell>
          <cell r="H866">
            <v>0.72419847328245024</v>
          </cell>
          <cell r="I866" t="e">
            <v>#N/A</v>
          </cell>
          <cell r="J866" t="e">
            <v>#N/A</v>
          </cell>
          <cell r="K866">
            <v>1.54</v>
          </cell>
          <cell r="L866">
            <v>0.76</v>
          </cell>
          <cell r="M866" t="e">
            <v>#N/A</v>
          </cell>
          <cell r="N866">
            <v>1.2</v>
          </cell>
          <cell r="O866" t="e">
            <v>#N/A</v>
          </cell>
          <cell r="P866" t="str">
            <v/>
          </cell>
          <cell r="Q866" t="str">
            <v/>
          </cell>
          <cell r="R866">
            <v>1.19</v>
          </cell>
        </row>
        <row r="867">
          <cell r="A867" t="str">
            <v/>
          </cell>
          <cell r="B867" t="str">
            <v/>
          </cell>
          <cell r="C867" t="str">
            <v>Future</v>
          </cell>
          <cell r="D867" t="e">
            <v>#N/A</v>
          </cell>
          <cell r="E867">
            <v>-0.12120229007634026</v>
          </cell>
          <cell r="F867">
            <v>1.5892557251908459</v>
          </cell>
          <cell r="G867">
            <v>0.72291984732825176</v>
          </cell>
          <cell r="H867">
            <v>0.72291984732825176</v>
          </cell>
          <cell r="I867" t="e">
            <v>#N/A</v>
          </cell>
          <cell r="J867" t="e">
            <v>#N/A</v>
          </cell>
          <cell r="K867">
            <v>1.54</v>
          </cell>
          <cell r="L867">
            <v>0.76</v>
          </cell>
          <cell r="M867" t="e">
            <v>#N/A</v>
          </cell>
          <cell r="N867">
            <v>1.2</v>
          </cell>
          <cell r="O867" t="e">
            <v>#N/A</v>
          </cell>
          <cell r="P867" t="str">
            <v/>
          </cell>
          <cell r="Q867" t="str">
            <v/>
          </cell>
          <cell r="R867">
            <v>1.19</v>
          </cell>
        </row>
        <row r="868">
          <cell r="A868" t="str">
            <v/>
          </cell>
          <cell r="B868" t="str">
            <v/>
          </cell>
          <cell r="C868" t="str">
            <v>Future</v>
          </cell>
          <cell r="D868" t="e">
            <v>#N/A</v>
          </cell>
          <cell r="E868">
            <v>-0.12538167938931735</v>
          </cell>
          <cell r="F868">
            <v>1.5909541984732887</v>
          </cell>
          <cell r="G868">
            <v>0.72164122137405329</v>
          </cell>
          <cell r="H868">
            <v>0.72164122137405329</v>
          </cell>
          <cell r="I868" t="e">
            <v>#N/A</v>
          </cell>
          <cell r="J868" t="e">
            <v>#N/A</v>
          </cell>
          <cell r="K868">
            <v>1.54</v>
          </cell>
          <cell r="L868">
            <v>0.76</v>
          </cell>
          <cell r="M868" t="e">
            <v>#N/A</v>
          </cell>
          <cell r="N868">
            <v>1.2</v>
          </cell>
          <cell r="O868" t="e">
            <v>#N/A</v>
          </cell>
          <cell r="P868" t="str">
            <v/>
          </cell>
          <cell r="Q868" t="str">
            <v/>
          </cell>
          <cell r="R868">
            <v>1.19</v>
          </cell>
        </row>
        <row r="869">
          <cell r="A869" t="str">
            <v/>
          </cell>
          <cell r="B869" t="str">
            <v/>
          </cell>
          <cell r="C869" t="str">
            <v>Future</v>
          </cell>
          <cell r="D869" t="e">
            <v>#N/A</v>
          </cell>
          <cell r="E869">
            <v>-0.12956106870229445</v>
          </cell>
          <cell r="F869">
            <v>1.5926526717557314</v>
          </cell>
          <cell r="G869">
            <v>0.72036259541985481</v>
          </cell>
          <cell r="H869">
            <v>0.72036259541985481</v>
          </cell>
          <cell r="I869" t="e">
            <v>#N/A</v>
          </cell>
          <cell r="J869" t="e">
            <v>#N/A</v>
          </cell>
          <cell r="K869">
            <v>1.54</v>
          </cell>
          <cell r="L869">
            <v>0.76</v>
          </cell>
          <cell r="M869" t="e">
            <v>#N/A</v>
          </cell>
          <cell r="N869">
            <v>1.2</v>
          </cell>
          <cell r="O869" t="e">
            <v>#N/A</v>
          </cell>
          <cell r="P869" t="str">
            <v/>
          </cell>
          <cell r="Q869" t="str">
            <v/>
          </cell>
          <cell r="R869">
            <v>1.19</v>
          </cell>
        </row>
        <row r="870">
          <cell r="A870" t="str">
            <v/>
          </cell>
          <cell r="B870" t="str">
            <v/>
          </cell>
          <cell r="C870" t="str">
            <v>Future</v>
          </cell>
          <cell r="D870" t="e">
            <v>#N/A</v>
          </cell>
          <cell r="E870">
            <v>-0.13374045801527154</v>
          </cell>
          <cell r="F870">
            <v>1.5943511450381742</v>
          </cell>
          <cell r="G870">
            <v>0.71908396946565634</v>
          </cell>
          <cell r="H870">
            <v>0.71908396946565634</v>
          </cell>
          <cell r="I870" t="e">
            <v>#N/A</v>
          </cell>
          <cell r="J870" t="e">
            <v>#N/A</v>
          </cell>
          <cell r="K870">
            <v>1.54</v>
          </cell>
          <cell r="L870">
            <v>0.76</v>
          </cell>
          <cell r="M870" t="e">
            <v>#N/A</v>
          </cell>
          <cell r="N870">
            <v>1.2</v>
          </cell>
          <cell r="O870" t="e">
            <v>#N/A</v>
          </cell>
          <cell r="P870" t="str">
            <v/>
          </cell>
          <cell r="Q870" t="str">
            <v/>
          </cell>
          <cell r="R870">
            <v>1.19</v>
          </cell>
        </row>
        <row r="871">
          <cell r="A871" t="str">
            <v/>
          </cell>
          <cell r="B871" t="str">
            <v/>
          </cell>
          <cell r="C871" t="str">
            <v>Future</v>
          </cell>
          <cell r="D871" t="e">
            <v>#N/A</v>
          </cell>
          <cell r="E871">
            <v>-0.13791984732824863</v>
          </cell>
          <cell r="F871">
            <v>1.596049618320617</v>
          </cell>
          <cell r="G871">
            <v>0.71780534351145786</v>
          </cell>
          <cell r="H871">
            <v>0.71780534351145786</v>
          </cell>
          <cell r="I871" t="e">
            <v>#N/A</v>
          </cell>
          <cell r="J871" t="e">
            <v>#N/A</v>
          </cell>
          <cell r="K871">
            <v>1.54</v>
          </cell>
          <cell r="L871">
            <v>0.76</v>
          </cell>
          <cell r="M871" t="e">
            <v>#N/A</v>
          </cell>
          <cell r="N871">
            <v>1.2</v>
          </cell>
          <cell r="O871" t="e">
            <v>#N/A</v>
          </cell>
          <cell r="P871" t="str">
            <v/>
          </cell>
          <cell r="Q871" t="str">
            <v/>
          </cell>
          <cell r="R871">
            <v>1.19</v>
          </cell>
        </row>
        <row r="872">
          <cell r="A872" t="str">
            <v/>
          </cell>
          <cell r="B872" t="str">
            <v/>
          </cell>
          <cell r="C872" t="str">
            <v>Future</v>
          </cell>
          <cell r="D872" t="e">
            <v>#N/A</v>
          </cell>
          <cell r="E872">
            <v>-0.14209923664122573</v>
          </cell>
          <cell r="F872">
            <v>1.5977480916030598</v>
          </cell>
          <cell r="G872">
            <v>0.71652671755725938</v>
          </cell>
          <cell r="H872">
            <v>0.71652671755725938</v>
          </cell>
          <cell r="I872" t="e">
            <v>#N/A</v>
          </cell>
          <cell r="J872" t="e">
            <v>#N/A</v>
          </cell>
          <cell r="K872">
            <v>1.54</v>
          </cell>
          <cell r="L872">
            <v>0.76</v>
          </cell>
          <cell r="M872" t="e">
            <v>#N/A</v>
          </cell>
          <cell r="N872">
            <v>1.2</v>
          </cell>
          <cell r="O872" t="e">
            <v>#N/A</v>
          </cell>
          <cell r="P872" t="str">
            <v/>
          </cell>
          <cell r="Q872" t="str">
            <v/>
          </cell>
          <cell r="R872">
            <v>1.19</v>
          </cell>
        </row>
        <row r="873">
          <cell r="A873" t="str">
            <v/>
          </cell>
          <cell r="B873" t="str">
            <v/>
          </cell>
          <cell r="C873" t="str">
            <v>Future</v>
          </cell>
          <cell r="D873" t="e">
            <v>#N/A</v>
          </cell>
          <cell r="E873">
            <v>-0.14627862595420282</v>
          </cell>
          <cell r="F873">
            <v>1.5994465648855025</v>
          </cell>
          <cell r="G873">
            <v>0.71524809160306091</v>
          </cell>
          <cell r="H873">
            <v>0.71524809160306091</v>
          </cell>
          <cell r="I873" t="e">
            <v>#N/A</v>
          </cell>
          <cell r="J873" t="e">
            <v>#N/A</v>
          </cell>
          <cell r="K873">
            <v>1.54</v>
          </cell>
          <cell r="L873">
            <v>0.76</v>
          </cell>
          <cell r="M873" t="e">
            <v>#N/A</v>
          </cell>
          <cell r="N873">
            <v>1.2</v>
          </cell>
          <cell r="O873" t="e">
            <v>#N/A</v>
          </cell>
          <cell r="P873" t="str">
            <v/>
          </cell>
          <cell r="Q873" t="str">
            <v/>
          </cell>
          <cell r="R873">
            <v>1.19</v>
          </cell>
        </row>
        <row r="874">
          <cell r="A874" t="str">
            <v/>
          </cell>
          <cell r="B874" t="str">
            <v/>
          </cell>
          <cell r="C874" t="str">
            <v>Future</v>
          </cell>
          <cell r="D874" t="e">
            <v>#N/A</v>
          </cell>
          <cell r="E874">
            <v>-0.15045801526717992</v>
          </cell>
          <cell r="F874">
            <v>1.6011450381679453</v>
          </cell>
          <cell r="G874">
            <v>0.71396946564886243</v>
          </cell>
          <cell r="H874">
            <v>0.71396946564886243</v>
          </cell>
          <cell r="I874" t="e">
            <v>#N/A</v>
          </cell>
          <cell r="J874" t="e">
            <v>#N/A</v>
          </cell>
          <cell r="K874">
            <v>1.54</v>
          </cell>
          <cell r="L874">
            <v>0.76</v>
          </cell>
          <cell r="M874" t="e">
            <v>#N/A</v>
          </cell>
          <cell r="N874">
            <v>1.2</v>
          </cell>
          <cell r="O874" t="e">
            <v>#N/A</v>
          </cell>
          <cell r="P874" t="str">
            <v/>
          </cell>
          <cell r="Q874" t="str">
            <v/>
          </cell>
          <cell r="R874">
            <v>1.19</v>
          </cell>
        </row>
        <row r="875">
          <cell r="A875" t="str">
            <v/>
          </cell>
          <cell r="B875" t="str">
            <v/>
          </cell>
          <cell r="C875" t="str">
            <v>Future</v>
          </cell>
          <cell r="D875" t="e">
            <v>#N/A</v>
          </cell>
          <cell r="E875">
            <v>-0.15463740458015701</v>
          </cell>
          <cell r="F875">
            <v>1.6028435114503881</v>
          </cell>
          <cell r="G875">
            <v>0.71269083969466396</v>
          </cell>
          <cell r="H875">
            <v>0.71269083969466396</v>
          </cell>
          <cell r="I875" t="e">
            <v>#N/A</v>
          </cell>
          <cell r="J875" t="e">
            <v>#N/A</v>
          </cell>
          <cell r="K875">
            <v>1.54</v>
          </cell>
          <cell r="L875">
            <v>0.76</v>
          </cell>
          <cell r="M875" t="e">
            <v>#N/A</v>
          </cell>
          <cell r="N875">
            <v>1.2</v>
          </cell>
          <cell r="O875" t="e">
            <v>#N/A</v>
          </cell>
          <cell r="P875" t="str">
            <v/>
          </cell>
          <cell r="Q875" t="str">
            <v/>
          </cell>
          <cell r="R875">
            <v>1.19</v>
          </cell>
        </row>
        <row r="876">
          <cell r="A876" t="str">
            <v/>
          </cell>
          <cell r="B876" t="str">
            <v/>
          </cell>
          <cell r="C876" t="str">
            <v>Future</v>
          </cell>
          <cell r="D876" t="e">
            <v>#N/A</v>
          </cell>
          <cell r="E876">
            <v>-0.15881679389313411</v>
          </cell>
          <cell r="F876">
            <v>1.6045419847328308</v>
          </cell>
          <cell r="G876">
            <v>0.71141221374046548</v>
          </cell>
          <cell r="H876">
            <v>0.71141221374046548</v>
          </cell>
          <cell r="I876" t="e">
            <v>#N/A</v>
          </cell>
          <cell r="J876" t="e">
            <v>#N/A</v>
          </cell>
          <cell r="K876">
            <v>1.54</v>
          </cell>
          <cell r="L876">
            <v>0.76</v>
          </cell>
          <cell r="M876" t="e">
            <v>#N/A</v>
          </cell>
          <cell r="N876">
            <v>1.2</v>
          </cell>
          <cell r="O876" t="e">
            <v>#N/A</v>
          </cell>
          <cell r="P876" t="str">
            <v/>
          </cell>
          <cell r="Q876" t="str">
            <v/>
          </cell>
          <cell r="R876">
            <v>1.19</v>
          </cell>
        </row>
        <row r="877">
          <cell r="A877" t="str">
            <v/>
          </cell>
          <cell r="B877" t="str">
            <v/>
          </cell>
          <cell r="C877" t="str">
            <v>Future</v>
          </cell>
          <cell r="D877" t="e">
            <v>#N/A</v>
          </cell>
          <cell r="E877">
            <v>-0.1629961832061112</v>
          </cell>
          <cell r="F877">
            <v>1.6062404580152736</v>
          </cell>
          <cell r="G877">
            <v>0.71013358778626701</v>
          </cell>
          <cell r="H877">
            <v>0.71013358778626701</v>
          </cell>
          <cell r="I877" t="e">
            <v>#N/A</v>
          </cell>
          <cell r="J877" t="e">
            <v>#N/A</v>
          </cell>
          <cell r="K877">
            <v>1.54</v>
          </cell>
          <cell r="L877">
            <v>0.76</v>
          </cell>
          <cell r="M877" t="e">
            <v>#N/A</v>
          </cell>
          <cell r="N877">
            <v>1.2</v>
          </cell>
          <cell r="O877" t="e">
            <v>#N/A</v>
          </cell>
          <cell r="P877" t="str">
            <v/>
          </cell>
          <cell r="Q877" t="str">
            <v/>
          </cell>
          <cell r="R877">
            <v>1.19</v>
          </cell>
        </row>
        <row r="878">
          <cell r="A878" t="str">
            <v/>
          </cell>
          <cell r="B878" t="str">
            <v/>
          </cell>
          <cell r="C878" t="str">
            <v>Future</v>
          </cell>
          <cell r="D878" t="e">
            <v>#N/A</v>
          </cell>
          <cell r="E878">
            <v>-0.16717557251908829</v>
          </cell>
          <cell r="F878">
            <v>1.6079389312977164</v>
          </cell>
          <cell r="G878">
            <v>0.70885496183206853</v>
          </cell>
          <cell r="H878">
            <v>0.70885496183206853</v>
          </cell>
          <cell r="I878" t="e">
            <v>#N/A</v>
          </cell>
          <cell r="J878" t="e">
            <v>#N/A</v>
          </cell>
          <cell r="K878">
            <v>1.54</v>
          </cell>
          <cell r="L878">
            <v>0.76</v>
          </cell>
          <cell r="M878" t="e">
            <v>#N/A</v>
          </cell>
          <cell r="N878">
            <v>1.2</v>
          </cell>
          <cell r="O878" t="e">
            <v>#N/A</v>
          </cell>
          <cell r="P878" t="str">
            <v/>
          </cell>
          <cell r="Q878" t="str">
            <v/>
          </cell>
          <cell r="R878">
            <v>1.19</v>
          </cell>
        </row>
        <row r="879">
          <cell r="A879" t="str">
            <v/>
          </cell>
          <cell r="B879" t="str">
            <v/>
          </cell>
          <cell r="C879" t="str">
            <v>Future</v>
          </cell>
          <cell r="D879" t="e">
            <v>#N/A</v>
          </cell>
          <cell r="E879">
            <v>-0.17135496183206539</v>
          </cell>
          <cell r="F879">
            <v>1.6096374045801591</v>
          </cell>
          <cell r="G879">
            <v>0.70757633587787006</v>
          </cell>
          <cell r="H879">
            <v>0.70757633587787006</v>
          </cell>
          <cell r="I879" t="e">
            <v>#N/A</v>
          </cell>
          <cell r="J879" t="e">
            <v>#N/A</v>
          </cell>
          <cell r="K879">
            <v>1.54</v>
          </cell>
          <cell r="L879">
            <v>0.76</v>
          </cell>
          <cell r="M879" t="e">
            <v>#N/A</v>
          </cell>
          <cell r="N879">
            <v>1.2</v>
          </cell>
          <cell r="O879" t="e">
            <v>#N/A</v>
          </cell>
          <cell r="P879" t="str">
            <v/>
          </cell>
          <cell r="Q879" t="str">
            <v/>
          </cell>
          <cell r="R879">
            <v>1.19</v>
          </cell>
        </row>
        <row r="880">
          <cell r="A880" t="str">
            <v/>
          </cell>
          <cell r="B880" t="str">
            <v/>
          </cell>
          <cell r="C880" t="str">
            <v>Future</v>
          </cell>
          <cell r="D880" t="e">
            <v>#N/A</v>
          </cell>
          <cell r="E880">
            <v>-0.17553435114504248</v>
          </cell>
          <cell r="F880">
            <v>1.6113358778626019</v>
          </cell>
          <cell r="G880">
            <v>0.70629770992367158</v>
          </cell>
          <cell r="H880">
            <v>0.70629770992367158</v>
          </cell>
          <cell r="I880" t="e">
            <v>#N/A</v>
          </cell>
          <cell r="J880" t="e">
            <v>#N/A</v>
          </cell>
          <cell r="K880">
            <v>1.54</v>
          </cell>
          <cell r="L880">
            <v>0.76</v>
          </cell>
          <cell r="M880" t="e">
            <v>#N/A</v>
          </cell>
          <cell r="N880">
            <v>1.2</v>
          </cell>
          <cell r="O880" t="e">
            <v>#N/A</v>
          </cell>
          <cell r="P880" t="str">
            <v/>
          </cell>
          <cell r="Q880" t="str">
            <v/>
          </cell>
          <cell r="R880">
            <v>1.19</v>
          </cell>
        </row>
        <row r="881">
          <cell r="A881" t="str">
            <v/>
          </cell>
          <cell r="B881" t="str">
            <v/>
          </cell>
          <cell r="C881" t="str">
            <v>Future</v>
          </cell>
          <cell r="D881" t="e">
            <v>#N/A</v>
          </cell>
          <cell r="E881">
            <v>-0.17971374045801958</v>
          </cell>
          <cell r="F881">
            <v>1.6130343511450447</v>
          </cell>
          <cell r="G881">
            <v>0.7050190839694731</v>
          </cell>
          <cell r="H881">
            <v>0.7050190839694731</v>
          </cell>
          <cell r="I881" t="e">
            <v>#N/A</v>
          </cell>
          <cell r="J881" t="e">
            <v>#N/A</v>
          </cell>
          <cell r="K881">
            <v>1.54</v>
          </cell>
          <cell r="L881">
            <v>0.76</v>
          </cell>
          <cell r="M881" t="e">
            <v>#N/A</v>
          </cell>
          <cell r="N881">
            <v>1.2</v>
          </cell>
          <cell r="O881" t="e">
            <v>#N/A</v>
          </cell>
          <cell r="P881" t="str">
            <v/>
          </cell>
          <cell r="Q881" t="str">
            <v/>
          </cell>
          <cell r="R881">
            <v>1.19</v>
          </cell>
        </row>
        <row r="882">
          <cell r="A882" t="str">
            <v/>
          </cell>
          <cell r="B882" t="str">
            <v/>
          </cell>
          <cell r="C882" t="str">
            <v>Future</v>
          </cell>
          <cell r="D882" t="e">
            <v>#N/A</v>
          </cell>
          <cell r="E882">
            <v>-0.18389312977099667</v>
          </cell>
          <cell r="F882">
            <v>1.6147328244274874</v>
          </cell>
          <cell r="G882">
            <v>0.70374045801527463</v>
          </cell>
          <cell r="H882">
            <v>0.70374045801527463</v>
          </cell>
          <cell r="I882" t="e">
            <v>#N/A</v>
          </cell>
          <cell r="J882" t="e">
            <v>#N/A</v>
          </cell>
          <cell r="K882">
            <v>1.54</v>
          </cell>
          <cell r="L882">
            <v>0.76</v>
          </cell>
          <cell r="M882" t="e">
            <v>#N/A</v>
          </cell>
          <cell r="N882">
            <v>1.2</v>
          </cell>
          <cell r="O882" t="e">
            <v>#N/A</v>
          </cell>
          <cell r="P882" t="str">
            <v/>
          </cell>
          <cell r="Q882" t="str">
            <v/>
          </cell>
          <cell r="R882">
            <v>1.19</v>
          </cell>
        </row>
        <row r="883">
          <cell r="A883" t="str">
            <v/>
          </cell>
          <cell r="B883" t="str">
            <v/>
          </cell>
          <cell r="C883" t="str">
            <v>Future</v>
          </cell>
          <cell r="D883" t="e">
            <v>#N/A</v>
          </cell>
          <cell r="E883">
            <v>-0.18807251908397377</v>
          </cell>
          <cell r="F883">
            <v>1.6164312977099302</v>
          </cell>
          <cell r="G883">
            <v>0.70246183206107615</v>
          </cell>
          <cell r="H883">
            <v>0.70246183206107615</v>
          </cell>
          <cell r="I883" t="e">
            <v>#N/A</v>
          </cell>
          <cell r="J883" t="e">
            <v>#N/A</v>
          </cell>
          <cell r="K883">
            <v>1.54</v>
          </cell>
          <cell r="L883">
            <v>0.76</v>
          </cell>
          <cell r="M883" t="e">
            <v>#N/A</v>
          </cell>
          <cell r="N883">
            <v>1.2</v>
          </cell>
          <cell r="O883" t="e">
            <v>#N/A</v>
          </cell>
          <cell r="P883" t="str">
            <v/>
          </cell>
          <cell r="Q883" t="str">
            <v/>
          </cell>
          <cell r="R883">
            <v>1.19</v>
          </cell>
        </row>
        <row r="884">
          <cell r="A884" t="str">
            <v/>
          </cell>
          <cell r="B884" t="str">
            <v/>
          </cell>
          <cell r="C884" t="str">
            <v>Future</v>
          </cell>
          <cell r="D884" t="e">
            <v>#N/A</v>
          </cell>
          <cell r="E884">
            <v>-0.19225190839695086</v>
          </cell>
          <cell r="F884">
            <v>1.618129770992373</v>
          </cell>
          <cell r="G884">
            <v>0.70118320610687768</v>
          </cell>
          <cell r="H884">
            <v>0.70118320610687768</v>
          </cell>
          <cell r="I884" t="e">
            <v>#N/A</v>
          </cell>
          <cell r="J884" t="e">
            <v>#N/A</v>
          </cell>
          <cell r="K884">
            <v>1.54</v>
          </cell>
          <cell r="L884">
            <v>0.76</v>
          </cell>
          <cell r="M884" t="e">
            <v>#N/A</v>
          </cell>
          <cell r="N884">
            <v>1.2</v>
          </cell>
          <cell r="O884" t="e">
            <v>#N/A</v>
          </cell>
          <cell r="P884" t="str">
            <v/>
          </cell>
          <cell r="Q884" t="str">
            <v/>
          </cell>
          <cell r="R884">
            <v>1.19</v>
          </cell>
        </row>
        <row r="885">
          <cell r="A885" t="str">
            <v/>
          </cell>
          <cell r="B885" t="str">
            <v/>
          </cell>
          <cell r="C885" t="str">
            <v>Future</v>
          </cell>
          <cell r="D885" t="e">
            <v>#N/A</v>
          </cell>
          <cell r="E885">
            <v>-0.19643129770992795</v>
          </cell>
          <cell r="F885">
            <v>1.6198282442748158</v>
          </cell>
          <cell r="G885">
            <v>0.6999045801526792</v>
          </cell>
          <cell r="H885">
            <v>0.6999045801526792</v>
          </cell>
          <cell r="I885" t="e">
            <v>#N/A</v>
          </cell>
          <cell r="J885" t="e">
            <v>#N/A</v>
          </cell>
          <cell r="K885">
            <v>1.54</v>
          </cell>
          <cell r="L885">
            <v>0.76</v>
          </cell>
          <cell r="M885" t="e">
            <v>#N/A</v>
          </cell>
          <cell r="N885">
            <v>1.2</v>
          </cell>
          <cell r="O885" t="e">
            <v>#N/A</v>
          </cell>
          <cell r="P885" t="str">
            <v/>
          </cell>
          <cell r="Q885" t="str">
            <v/>
          </cell>
          <cell r="R885">
            <v>1.19</v>
          </cell>
        </row>
        <row r="886">
          <cell r="A886" t="str">
            <v/>
          </cell>
          <cell r="B886" t="str">
            <v/>
          </cell>
          <cell r="C886" t="str">
            <v>Future</v>
          </cell>
          <cell r="D886" t="e">
            <v>#N/A</v>
          </cell>
          <cell r="E886">
            <v>-0.20061068702290505</v>
          </cell>
          <cell r="F886">
            <v>1.6215267175572585</v>
          </cell>
          <cell r="G886">
            <v>0.69862595419848073</v>
          </cell>
          <cell r="H886">
            <v>0.69862595419848073</v>
          </cell>
          <cell r="I886" t="e">
            <v>#N/A</v>
          </cell>
          <cell r="J886" t="e">
            <v>#N/A</v>
          </cell>
          <cell r="K886">
            <v>1.54</v>
          </cell>
          <cell r="L886">
            <v>0.76</v>
          </cell>
          <cell r="M886" t="e">
            <v>#N/A</v>
          </cell>
          <cell r="N886">
            <v>1.2</v>
          </cell>
          <cell r="O886" t="e">
            <v>#N/A</v>
          </cell>
          <cell r="P886" t="str">
            <v/>
          </cell>
          <cell r="Q886" t="str">
            <v/>
          </cell>
          <cell r="R886">
            <v>1.19</v>
          </cell>
        </row>
        <row r="887">
          <cell r="A887" t="str">
            <v/>
          </cell>
          <cell r="B887" t="str">
            <v/>
          </cell>
          <cell r="C887" t="str">
            <v>Future</v>
          </cell>
          <cell r="D887" t="e">
            <v>#N/A</v>
          </cell>
          <cell r="E887">
            <v>-0.20479007633588214</v>
          </cell>
          <cell r="F887">
            <v>1.6232251908397013</v>
          </cell>
          <cell r="G887">
            <v>0.69734732824428225</v>
          </cell>
          <cell r="H887">
            <v>0.69734732824428225</v>
          </cell>
          <cell r="I887" t="e">
            <v>#N/A</v>
          </cell>
          <cell r="J887" t="e">
            <v>#N/A</v>
          </cell>
          <cell r="K887">
            <v>1.54</v>
          </cell>
          <cell r="L887">
            <v>0.76</v>
          </cell>
          <cell r="M887" t="e">
            <v>#N/A</v>
          </cell>
          <cell r="N887">
            <v>1.2</v>
          </cell>
          <cell r="O887" t="e">
            <v>#N/A</v>
          </cell>
          <cell r="P887" t="str">
            <v/>
          </cell>
          <cell r="Q887" t="str">
            <v/>
          </cell>
          <cell r="R887">
            <v>1.19</v>
          </cell>
        </row>
        <row r="888">
          <cell r="A888" t="str">
            <v/>
          </cell>
          <cell r="B888" t="str">
            <v/>
          </cell>
          <cell r="C888" t="str">
            <v>Future</v>
          </cell>
          <cell r="D888" t="e">
            <v>#N/A</v>
          </cell>
          <cell r="E888">
            <v>-0.20896946564885924</v>
          </cell>
          <cell r="F888">
            <v>1.6249236641221441</v>
          </cell>
          <cell r="G888">
            <v>0.69606870229008377</v>
          </cell>
          <cell r="H888">
            <v>0.69606870229008377</v>
          </cell>
          <cell r="I888" t="e">
            <v>#N/A</v>
          </cell>
          <cell r="J888" t="e">
            <v>#N/A</v>
          </cell>
          <cell r="K888">
            <v>1.54</v>
          </cell>
          <cell r="L888">
            <v>0.76</v>
          </cell>
          <cell r="M888" t="e">
            <v>#N/A</v>
          </cell>
          <cell r="N888">
            <v>1.2</v>
          </cell>
          <cell r="O888" t="e">
            <v>#N/A</v>
          </cell>
          <cell r="P888" t="str">
            <v/>
          </cell>
          <cell r="Q888" t="str">
            <v/>
          </cell>
          <cell r="R888">
            <v>1.19</v>
          </cell>
        </row>
        <row r="889">
          <cell r="A889" t="str">
            <v/>
          </cell>
          <cell r="B889" t="str">
            <v/>
          </cell>
          <cell r="C889" t="str">
            <v>Future</v>
          </cell>
          <cell r="D889" t="e">
            <v>#N/A</v>
          </cell>
          <cell r="E889">
            <v>-0.21314885496183633</v>
          </cell>
          <cell r="F889">
            <v>1.6266221374045868</v>
          </cell>
          <cell r="G889">
            <v>0.6947900763358853</v>
          </cell>
          <cell r="H889">
            <v>0.6947900763358853</v>
          </cell>
          <cell r="I889" t="e">
            <v>#N/A</v>
          </cell>
          <cell r="J889" t="e">
            <v>#N/A</v>
          </cell>
          <cell r="K889">
            <v>1.54</v>
          </cell>
          <cell r="L889">
            <v>0.76</v>
          </cell>
          <cell r="M889" t="e">
            <v>#N/A</v>
          </cell>
          <cell r="N889">
            <v>1.2</v>
          </cell>
          <cell r="O889" t="e">
            <v>#N/A</v>
          </cell>
          <cell r="P889" t="str">
            <v/>
          </cell>
          <cell r="Q889" t="str">
            <v/>
          </cell>
          <cell r="R889">
            <v>1.19</v>
          </cell>
        </row>
        <row r="890">
          <cell r="A890" t="str">
            <v/>
          </cell>
          <cell r="B890" t="str">
            <v/>
          </cell>
          <cell r="C890" t="str">
            <v>Future</v>
          </cell>
          <cell r="D890" t="e">
            <v>#N/A</v>
          </cell>
          <cell r="E890">
            <v>-0.21732824427481343</v>
          </cell>
          <cell r="F890">
            <v>1.6283206106870296</v>
          </cell>
          <cell r="G890">
            <v>0.69351145038168682</v>
          </cell>
          <cell r="H890">
            <v>0.69351145038168682</v>
          </cell>
          <cell r="I890" t="e">
            <v>#N/A</v>
          </cell>
          <cell r="J890" t="e">
            <v>#N/A</v>
          </cell>
          <cell r="K890">
            <v>1.54</v>
          </cell>
          <cell r="L890">
            <v>0.76</v>
          </cell>
          <cell r="M890" t="e">
            <v>#N/A</v>
          </cell>
          <cell r="N890">
            <v>1.2</v>
          </cell>
          <cell r="O890" t="e">
            <v>#N/A</v>
          </cell>
          <cell r="P890" t="str">
            <v/>
          </cell>
          <cell r="Q890" t="str">
            <v/>
          </cell>
          <cell r="R890">
            <v>1.19</v>
          </cell>
        </row>
        <row r="891">
          <cell r="A891" t="str">
            <v/>
          </cell>
          <cell r="B891" t="str">
            <v/>
          </cell>
          <cell r="C891" t="str">
            <v>Future</v>
          </cell>
          <cell r="D891" t="e">
            <v>#N/A</v>
          </cell>
          <cell r="E891">
            <v>-0.22150763358779052</v>
          </cell>
          <cell r="F891">
            <v>1.6300190839694724</v>
          </cell>
          <cell r="G891">
            <v>0.69223282442748835</v>
          </cell>
          <cell r="H891">
            <v>0.69223282442748835</v>
          </cell>
          <cell r="I891" t="e">
            <v>#N/A</v>
          </cell>
          <cell r="J891" t="e">
            <v>#N/A</v>
          </cell>
          <cell r="K891">
            <v>1.54</v>
          </cell>
          <cell r="L891">
            <v>0.76</v>
          </cell>
          <cell r="M891" t="e">
            <v>#N/A</v>
          </cell>
          <cell r="N891">
            <v>1.2</v>
          </cell>
          <cell r="O891" t="e">
            <v>#N/A</v>
          </cell>
          <cell r="P891" t="str">
            <v/>
          </cell>
          <cell r="Q891" t="str">
            <v/>
          </cell>
          <cell r="R891">
            <v>1.19</v>
          </cell>
        </row>
        <row r="892">
          <cell r="A892" t="str">
            <v/>
          </cell>
          <cell r="B892" t="str">
            <v/>
          </cell>
          <cell r="C892" t="str">
            <v>Future</v>
          </cell>
          <cell r="D892" t="e">
            <v>#N/A</v>
          </cell>
          <cell r="E892">
            <v>-0.22568702290076761</v>
          </cell>
          <cell r="F892">
            <v>1.6317175572519151</v>
          </cell>
          <cell r="G892">
            <v>0.69095419847328987</v>
          </cell>
          <cell r="H892">
            <v>0.69095419847328987</v>
          </cell>
          <cell r="I892" t="e">
            <v>#N/A</v>
          </cell>
          <cell r="J892" t="e">
            <v>#N/A</v>
          </cell>
          <cell r="K892">
            <v>1.54</v>
          </cell>
          <cell r="L892">
            <v>0.76</v>
          </cell>
          <cell r="M892" t="e">
            <v>#N/A</v>
          </cell>
          <cell r="N892">
            <v>1.2</v>
          </cell>
          <cell r="O892" t="e">
            <v>#N/A</v>
          </cell>
          <cell r="P892" t="str">
            <v/>
          </cell>
          <cell r="Q892" t="str">
            <v/>
          </cell>
          <cell r="R892">
            <v>1.19</v>
          </cell>
        </row>
        <row r="893">
          <cell r="A893" t="str">
            <v/>
          </cell>
          <cell r="B893" t="str">
            <v/>
          </cell>
          <cell r="C893" t="str">
            <v>Future</v>
          </cell>
          <cell r="D893" t="e">
            <v>#N/A</v>
          </cell>
          <cell r="E893">
            <v>-0.22986641221374471</v>
          </cell>
          <cell r="F893">
            <v>1.6334160305343579</v>
          </cell>
          <cell r="G893">
            <v>0.6896755725190914</v>
          </cell>
          <cell r="H893">
            <v>0.6896755725190914</v>
          </cell>
          <cell r="I893" t="e">
            <v>#N/A</v>
          </cell>
          <cell r="J893" t="e">
            <v>#N/A</v>
          </cell>
          <cell r="K893">
            <v>1.54</v>
          </cell>
          <cell r="L893">
            <v>0.76</v>
          </cell>
          <cell r="M893" t="e">
            <v>#N/A</v>
          </cell>
          <cell r="N893">
            <v>1.2</v>
          </cell>
          <cell r="O893" t="e">
            <v>#N/A</v>
          </cell>
          <cell r="P893" t="str">
            <v/>
          </cell>
          <cell r="Q893" t="str">
            <v/>
          </cell>
          <cell r="R893">
            <v>1.19</v>
          </cell>
        </row>
        <row r="894">
          <cell r="A894" t="str">
            <v/>
          </cell>
          <cell r="B894" t="str">
            <v/>
          </cell>
          <cell r="C894" t="str">
            <v>Future</v>
          </cell>
          <cell r="D894" t="e">
            <v>#N/A</v>
          </cell>
          <cell r="E894">
            <v>-0.2340458015267218</v>
          </cell>
          <cell r="F894">
            <v>1.6351145038168007</v>
          </cell>
          <cell r="G894">
            <v>0.68839694656489292</v>
          </cell>
          <cell r="H894">
            <v>0.68839694656489292</v>
          </cell>
          <cell r="I894" t="e">
            <v>#N/A</v>
          </cell>
          <cell r="J894" t="e">
            <v>#N/A</v>
          </cell>
          <cell r="K894">
            <v>1.54</v>
          </cell>
          <cell r="L894">
            <v>0.76</v>
          </cell>
          <cell r="M894" t="e">
            <v>#N/A</v>
          </cell>
          <cell r="N894">
            <v>1.2</v>
          </cell>
          <cell r="O894" t="e">
            <v>#N/A</v>
          </cell>
          <cell r="P894" t="str">
            <v/>
          </cell>
          <cell r="Q894" t="str">
            <v/>
          </cell>
          <cell r="R894">
            <v>1.19</v>
          </cell>
        </row>
        <row r="895">
          <cell r="A895" t="str">
            <v/>
          </cell>
          <cell r="B895" t="str">
            <v/>
          </cell>
          <cell r="C895" t="str">
            <v>Future</v>
          </cell>
          <cell r="D895" t="e">
            <v>#N/A</v>
          </cell>
          <cell r="E895">
            <v>-0.2382251908396989</v>
          </cell>
          <cell r="F895">
            <v>1.6368129770992434</v>
          </cell>
          <cell r="G895">
            <v>0.68711832061069444</v>
          </cell>
          <cell r="H895">
            <v>0.68711832061069444</v>
          </cell>
          <cell r="I895" t="e">
            <v>#N/A</v>
          </cell>
          <cell r="J895" t="e">
            <v>#N/A</v>
          </cell>
          <cell r="K895">
            <v>1.54</v>
          </cell>
          <cell r="L895">
            <v>0.76</v>
          </cell>
          <cell r="M895" t="e">
            <v>#N/A</v>
          </cell>
          <cell r="N895">
            <v>1.2</v>
          </cell>
          <cell r="O895" t="e">
            <v>#N/A</v>
          </cell>
          <cell r="P895" t="str">
            <v/>
          </cell>
          <cell r="Q895" t="str">
            <v/>
          </cell>
          <cell r="R895">
            <v>1.19</v>
          </cell>
        </row>
        <row r="896">
          <cell r="A896" t="str">
            <v/>
          </cell>
          <cell r="B896" t="str">
            <v/>
          </cell>
          <cell r="C896" t="str">
            <v>Future</v>
          </cell>
          <cell r="D896" t="e">
            <v>#N/A</v>
          </cell>
          <cell r="E896">
            <v>-0.24240458015267599</v>
          </cell>
          <cell r="F896">
            <v>1.6385114503816862</v>
          </cell>
          <cell r="G896">
            <v>0.68583969465649597</v>
          </cell>
          <cell r="H896">
            <v>0.68583969465649597</v>
          </cell>
          <cell r="I896" t="e">
            <v>#N/A</v>
          </cell>
          <cell r="J896" t="e">
            <v>#N/A</v>
          </cell>
          <cell r="K896">
            <v>1.54</v>
          </cell>
          <cell r="L896">
            <v>0.76</v>
          </cell>
          <cell r="M896" t="e">
            <v>#N/A</v>
          </cell>
          <cell r="N896">
            <v>1.2</v>
          </cell>
          <cell r="O896" t="e">
            <v>#N/A</v>
          </cell>
          <cell r="P896" t="str">
            <v/>
          </cell>
          <cell r="Q896" t="str">
            <v/>
          </cell>
          <cell r="R896">
            <v>1.19</v>
          </cell>
        </row>
        <row r="897">
          <cell r="A897" t="str">
            <v/>
          </cell>
          <cell r="B897" t="str">
            <v/>
          </cell>
          <cell r="C897" t="str">
            <v>Future</v>
          </cell>
          <cell r="D897" t="e">
            <v>#N/A</v>
          </cell>
          <cell r="E897">
            <v>-0.24658396946565309</v>
          </cell>
          <cell r="F897">
            <v>1.640209923664129</v>
          </cell>
          <cell r="G897">
            <v>0.68456106870229749</v>
          </cell>
          <cell r="H897">
            <v>0.68456106870229749</v>
          </cell>
          <cell r="I897" t="e">
            <v>#N/A</v>
          </cell>
          <cell r="J897" t="e">
            <v>#N/A</v>
          </cell>
          <cell r="K897">
            <v>1.54</v>
          </cell>
          <cell r="L897">
            <v>0.76</v>
          </cell>
          <cell r="M897" t="e">
            <v>#N/A</v>
          </cell>
          <cell r="N897">
            <v>1.2</v>
          </cell>
          <cell r="O897" t="e">
            <v>#N/A</v>
          </cell>
          <cell r="P897" t="str">
            <v/>
          </cell>
          <cell r="Q897" t="str">
            <v/>
          </cell>
          <cell r="R897">
            <v>1.19</v>
          </cell>
        </row>
        <row r="898">
          <cell r="A898" t="str">
            <v/>
          </cell>
          <cell r="B898" t="str">
            <v/>
          </cell>
          <cell r="C898" t="str">
            <v>Future</v>
          </cell>
          <cell r="D898" t="e">
            <v>#N/A</v>
          </cell>
          <cell r="E898">
            <v>-0.25076335877863021</v>
          </cell>
          <cell r="F898">
            <v>1.6419083969465718</v>
          </cell>
          <cell r="G898">
            <v>0.68328244274809902</v>
          </cell>
          <cell r="H898">
            <v>0.68328244274809902</v>
          </cell>
          <cell r="I898" t="e">
            <v>#N/A</v>
          </cell>
          <cell r="J898" t="e">
            <v>#N/A</v>
          </cell>
          <cell r="K898">
            <v>1.54</v>
          </cell>
          <cell r="L898">
            <v>0.76</v>
          </cell>
          <cell r="M898" t="e">
            <v>#N/A</v>
          </cell>
          <cell r="N898">
            <v>1.2</v>
          </cell>
          <cell r="O898" t="e">
            <v>#N/A</v>
          </cell>
          <cell r="P898" t="str">
            <v/>
          </cell>
          <cell r="Q898" t="str">
            <v/>
          </cell>
          <cell r="R898">
            <v>1.19</v>
          </cell>
        </row>
        <row r="899">
          <cell r="A899" t="str">
            <v/>
          </cell>
          <cell r="B899" t="str">
            <v/>
          </cell>
          <cell r="C899" t="str">
            <v>Future</v>
          </cell>
          <cell r="D899" t="e">
            <v>#N/A</v>
          </cell>
          <cell r="E899">
            <v>-0.25494274809160733</v>
          </cell>
          <cell r="F899">
            <v>1.6436068702290145</v>
          </cell>
          <cell r="G899">
            <v>0.68200381679390054</v>
          </cell>
          <cell r="H899">
            <v>0.68200381679390054</v>
          </cell>
          <cell r="I899" t="e">
            <v>#N/A</v>
          </cell>
          <cell r="J899" t="e">
            <v>#N/A</v>
          </cell>
          <cell r="K899">
            <v>1.54</v>
          </cell>
          <cell r="L899">
            <v>0.76</v>
          </cell>
          <cell r="M899" t="e">
            <v>#N/A</v>
          </cell>
          <cell r="N899">
            <v>1.2</v>
          </cell>
          <cell r="O899" t="e">
            <v>#N/A</v>
          </cell>
          <cell r="P899" t="str">
            <v/>
          </cell>
          <cell r="Q899" t="str">
            <v/>
          </cell>
          <cell r="R899">
            <v>1.19</v>
          </cell>
        </row>
        <row r="900">
          <cell r="A900" t="str">
            <v/>
          </cell>
          <cell r="B900" t="str">
            <v/>
          </cell>
          <cell r="C900" t="str">
            <v>Future</v>
          </cell>
          <cell r="D900" t="e">
            <v>#N/A</v>
          </cell>
          <cell r="E900">
            <v>-0.25912213740458445</v>
          </cell>
          <cell r="F900">
            <v>1.6453053435114573</v>
          </cell>
          <cell r="G900">
            <v>0.68072519083970207</v>
          </cell>
          <cell r="H900">
            <v>0.68072519083970207</v>
          </cell>
          <cell r="I900" t="e">
            <v>#N/A</v>
          </cell>
          <cell r="J900" t="e">
            <v>#N/A</v>
          </cell>
          <cell r="K900">
            <v>1.54</v>
          </cell>
          <cell r="L900">
            <v>0.76</v>
          </cell>
          <cell r="M900" t="e">
            <v>#N/A</v>
          </cell>
          <cell r="N900">
            <v>1.2</v>
          </cell>
          <cell r="O900" t="e">
            <v>#N/A</v>
          </cell>
          <cell r="P900" t="str">
            <v/>
          </cell>
          <cell r="Q900" t="str">
            <v/>
          </cell>
          <cell r="R900">
            <v>1.19</v>
          </cell>
        </row>
        <row r="901">
          <cell r="A901" t="str">
            <v/>
          </cell>
          <cell r="B901" t="str">
            <v/>
          </cell>
          <cell r="C901" t="str">
            <v>Future</v>
          </cell>
          <cell r="D901" t="e">
            <v>#N/A</v>
          </cell>
          <cell r="E901">
            <v>-0.26330152671756157</v>
          </cell>
          <cell r="F901">
            <v>1.6470038167939001</v>
          </cell>
          <cell r="G901">
            <v>0.67944656488550359</v>
          </cell>
          <cell r="H901">
            <v>0.67944656488550359</v>
          </cell>
          <cell r="I901" t="e">
            <v>#N/A</v>
          </cell>
          <cell r="J901" t="e">
            <v>#N/A</v>
          </cell>
          <cell r="K901">
            <v>1.54</v>
          </cell>
          <cell r="L901">
            <v>0.76</v>
          </cell>
          <cell r="M901" t="e">
            <v>#N/A</v>
          </cell>
          <cell r="N901">
            <v>1.2</v>
          </cell>
          <cell r="O901" t="e">
            <v>#N/A</v>
          </cell>
          <cell r="P901" t="str">
            <v/>
          </cell>
          <cell r="Q901" t="str">
            <v/>
          </cell>
          <cell r="R901">
            <v>1.19</v>
          </cell>
        </row>
        <row r="902">
          <cell r="A902" t="str">
            <v/>
          </cell>
          <cell r="B902" t="str">
            <v/>
          </cell>
          <cell r="C902" t="str">
            <v>Future</v>
          </cell>
          <cell r="D902" t="e">
            <v>#N/A</v>
          </cell>
          <cell r="E902">
            <v>-0.2674809160305387</v>
          </cell>
          <cell r="F902">
            <v>1.6487022900763428</v>
          </cell>
          <cell r="G902">
            <v>0.67816793893130511</v>
          </cell>
          <cell r="H902">
            <v>0.67816793893130511</v>
          </cell>
          <cell r="I902" t="e">
            <v>#N/A</v>
          </cell>
          <cell r="J902" t="e">
            <v>#N/A</v>
          </cell>
          <cell r="K902">
            <v>1.54</v>
          </cell>
          <cell r="L902">
            <v>0.76</v>
          </cell>
          <cell r="M902" t="e">
            <v>#N/A</v>
          </cell>
          <cell r="N902">
            <v>1.2</v>
          </cell>
          <cell r="O902" t="e">
            <v>#N/A</v>
          </cell>
          <cell r="P902" t="str">
            <v/>
          </cell>
          <cell r="Q902" t="str">
            <v/>
          </cell>
          <cell r="R902">
            <v>1.19</v>
          </cell>
        </row>
        <row r="903">
          <cell r="A903" t="str">
            <v/>
          </cell>
          <cell r="B903" t="str">
            <v/>
          </cell>
          <cell r="C903" t="str">
            <v>Future</v>
          </cell>
          <cell r="D903" t="e">
            <v>#N/A</v>
          </cell>
          <cell r="E903">
            <v>-0.27166030534351582</v>
          </cell>
          <cell r="F903">
            <v>1.6504007633587856</v>
          </cell>
          <cell r="G903">
            <v>0.67688931297710664</v>
          </cell>
          <cell r="H903">
            <v>0.67688931297710664</v>
          </cell>
          <cell r="I903" t="e">
            <v>#N/A</v>
          </cell>
          <cell r="J903" t="e">
            <v>#N/A</v>
          </cell>
          <cell r="K903">
            <v>1.54</v>
          </cell>
          <cell r="L903">
            <v>0.76</v>
          </cell>
          <cell r="M903" t="e">
            <v>#N/A</v>
          </cell>
          <cell r="N903">
            <v>1.2</v>
          </cell>
          <cell r="O903" t="e">
            <v>#N/A</v>
          </cell>
          <cell r="P903" t="str">
            <v/>
          </cell>
          <cell r="Q903" t="str">
            <v/>
          </cell>
          <cell r="R903">
            <v>1.19</v>
          </cell>
        </row>
        <row r="904">
          <cell r="A904" t="str">
            <v/>
          </cell>
          <cell r="B904" t="str">
            <v/>
          </cell>
          <cell r="C904" t="str">
            <v>Future</v>
          </cell>
          <cell r="D904" t="e">
            <v>#N/A</v>
          </cell>
          <cell r="E904">
            <v>-0.27583969465649294</v>
          </cell>
          <cell r="F904">
            <v>1.6520992366412284</v>
          </cell>
          <cell r="G904">
            <v>0.67561068702290816</v>
          </cell>
          <cell r="H904">
            <v>0.67561068702290816</v>
          </cell>
          <cell r="I904" t="e">
            <v>#N/A</v>
          </cell>
          <cell r="J904" t="e">
            <v>#N/A</v>
          </cell>
          <cell r="K904">
            <v>1.54</v>
          </cell>
          <cell r="L904">
            <v>0.76</v>
          </cell>
          <cell r="M904" t="e">
            <v>#N/A</v>
          </cell>
          <cell r="N904">
            <v>1.2</v>
          </cell>
          <cell r="O904" t="e">
            <v>#N/A</v>
          </cell>
          <cell r="P904" t="str">
            <v/>
          </cell>
          <cell r="Q904" t="str">
            <v/>
          </cell>
          <cell r="R904">
            <v>1.19</v>
          </cell>
        </row>
        <row r="905">
          <cell r="A905" t="str">
            <v/>
          </cell>
          <cell r="B905" t="str">
            <v/>
          </cell>
          <cell r="C905" t="str">
            <v>Future</v>
          </cell>
          <cell r="D905" t="e">
            <v>#N/A</v>
          </cell>
          <cell r="E905">
            <v>-0.28001908396947006</v>
          </cell>
          <cell r="F905">
            <v>1.6537977099236711</v>
          </cell>
          <cell r="G905">
            <v>0.67433206106870969</v>
          </cell>
          <cell r="H905">
            <v>0.67433206106870969</v>
          </cell>
          <cell r="I905" t="e">
            <v>#N/A</v>
          </cell>
          <cell r="J905" t="e">
            <v>#N/A</v>
          </cell>
          <cell r="K905">
            <v>1.54</v>
          </cell>
          <cell r="L905">
            <v>0.76</v>
          </cell>
          <cell r="M905" t="e">
            <v>#N/A</v>
          </cell>
          <cell r="N905">
            <v>1.2</v>
          </cell>
          <cell r="O905" t="e">
            <v>#N/A</v>
          </cell>
          <cell r="P905" t="str">
            <v/>
          </cell>
          <cell r="Q905" t="str">
            <v/>
          </cell>
          <cell r="R905">
            <v>1.19</v>
          </cell>
        </row>
        <row r="906">
          <cell r="A906" t="str">
            <v/>
          </cell>
          <cell r="B906" t="str">
            <v/>
          </cell>
          <cell r="C906" t="str">
            <v>Future</v>
          </cell>
          <cell r="D906" t="e">
            <v>#N/A</v>
          </cell>
          <cell r="E906">
            <v>-0.28419847328244718</v>
          </cell>
          <cell r="F906">
            <v>1.6554961832061139</v>
          </cell>
          <cell r="G906">
            <v>0.67305343511451121</v>
          </cell>
          <cell r="H906">
            <v>0.67305343511451121</v>
          </cell>
          <cell r="I906" t="e">
            <v>#N/A</v>
          </cell>
          <cell r="J906" t="e">
            <v>#N/A</v>
          </cell>
          <cell r="K906">
            <v>1.54</v>
          </cell>
          <cell r="L906">
            <v>0.76</v>
          </cell>
          <cell r="M906" t="e">
            <v>#N/A</v>
          </cell>
          <cell r="N906">
            <v>1.2</v>
          </cell>
          <cell r="O906" t="e">
            <v>#N/A</v>
          </cell>
          <cell r="P906" t="str">
            <v/>
          </cell>
          <cell r="Q906" t="str">
            <v/>
          </cell>
          <cell r="R906">
            <v>1.19</v>
          </cell>
        </row>
        <row r="907">
          <cell r="A907" t="str">
            <v/>
          </cell>
          <cell r="B907" t="str">
            <v/>
          </cell>
          <cell r="C907" t="str">
            <v>Future</v>
          </cell>
          <cell r="D907" t="e">
            <v>#N/A</v>
          </cell>
          <cell r="E907">
            <v>-0.28837786259542431</v>
          </cell>
          <cell r="F907">
            <v>1.6571946564885567</v>
          </cell>
          <cell r="G907">
            <v>0.67177480916031274</v>
          </cell>
          <cell r="H907">
            <v>0.67177480916031274</v>
          </cell>
          <cell r="I907" t="e">
            <v>#N/A</v>
          </cell>
          <cell r="J907" t="e">
            <v>#N/A</v>
          </cell>
          <cell r="K907">
            <v>1.54</v>
          </cell>
          <cell r="L907">
            <v>0.76</v>
          </cell>
          <cell r="M907" t="e">
            <v>#N/A</v>
          </cell>
          <cell r="N907">
            <v>1.2</v>
          </cell>
          <cell r="O907" t="e">
            <v>#N/A</v>
          </cell>
          <cell r="P907" t="str">
            <v/>
          </cell>
          <cell r="Q907" t="str">
            <v/>
          </cell>
          <cell r="R907">
            <v>1.19</v>
          </cell>
        </row>
        <row r="908">
          <cell r="A908" t="str">
            <v/>
          </cell>
          <cell r="B908" t="str">
            <v/>
          </cell>
          <cell r="C908" t="str">
            <v>Future</v>
          </cell>
          <cell r="D908" t="e">
            <v>#N/A</v>
          </cell>
          <cell r="E908">
            <v>-0.29255725190840143</v>
          </cell>
          <cell r="F908">
            <v>1.6588931297709995</v>
          </cell>
          <cell r="G908">
            <v>0.67049618320611426</v>
          </cell>
          <cell r="H908">
            <v>0.67049618320611426</v>
          </cell>
          <cell r="I908" t="e">
            <v>#N/A</v>
          </cell>
          <cell r="J908" t="e">
            <v>#N/A</v>
          </cell>
          <cell r="K908">
            <v>1.54</v>
          </cell>
          <cell r="L908">
            <v>0.76</v>
          </cell>
          <cell r="M908" t="e">
            <v>#N/A</v>
          </cell>
          <cell r="N908">
            <v>1.2</v>
          </cell>
          <cell r="O908" t="e">
            <v>#N/A</v>
          </cell>
          <cell r="P908" t="str">
            <v/>
          </cell>
          <cell r="Q908" t="str">
            <v/>
          </cell>
          <cell r="R908">
            <v>1.19</v>
          </cell>
        </row>
        <row r="909">
          <cell r="A909" t="str">
            <v/>
          </cell>
          <cell r="B909" t="str">
            <v/>
          </cell>
          <cell r="C909" t="str">
            <v>Future</v>
          </cell>
          <cell r="D909" t="e">
            <v>#N/A</v>
          </cell>
          <cell r="E909">
            <v>-0.29673664122137855</v>
          </cell>
          <cell r="F909">
            <v>1.6605916030534422</v>
          </cell>
          <cell r="G909">
            <v>0.66921755725191578</v>
          </cell>
          <cell r="H909">
            <v>0.66921755725191578</v>
          </cell>
          <cell r="I909" t="e">
            <v>#N/A</v>
          </cell>
          <cell r="J909" t="e">
            <v>#N/A</v>
          </cell>
          <cell r="K909">
            <v>1.54</v>
          </cell>
          <cell r="L909">
            <v>0.76</v>
          </cell>
          <cell r="M909" t="e">
            <v>#N/A</v>
          </cell>
          <cell r="N909">
            <v>1.2</v>
          </cell>
          <cell r="O909" t="e">
            <v>#N/A</v>
          </cell>
          <cell r="P909" t="str">
            <v/>
          </cell>
          <cell r="Q909" t="str">
            <v/>
          </cell>
          <cell r="R909">
            <v>1.19</v>
          </cell>
        </row>
        <row r="910">
          <cell r="A910" t="str">
            <v/>
          </cell>
          <cell r="B910" t="str">
            <v/>
          </cell>
          <cell r="C910" t="str">
            <v>Future</v>
          </cell>
          <cell r="D910" t="e">
            <v>#N/A</v>
          </cell>
          <cell r="E910">
            <v>-0.30091603053435567</v>
          </cell>
          <cell r="F910">
            <v>1.662290076335885</v>
          </cell>
          <cell r="G910">
            <v>0.66793893129771731</v>
          </cell>
          <cell r="H910">
            <v>0.66793893129771731</v>
          </cell>
          <cell r="I910" t="e">
            <v>#N/A</v>
          </cell>
          <cell r="J910" t="e">
            <v>#N/A</v>
          </cell>
          <cell r="K910">
            <v>1.54</v>
          </cell>
          <cell r="L910">
            <v>0.76</v>
          </cell>
          <cell r="M910" t="e">
            <v>#N/A</v>
          </cell>
          <cell r="N910">
            <v>1.2</v>
          </cell>
          <cell r="O910" t="e">
            <v>#N/A</v>
          </cell>
          <cell r="P910" t="str">
            <v/>
          </cell>
          <cell r="Q910" t="str">
            <v/>
          </cell>
          <cell r="R910">
            <v>1.19</v>
          </cell>
        </row>
        <row r="911">
          <cell r="A911" t="str">
            <v/>
          </cell>
          <cell r="B911" t="str">
            <v/>
          </cell>
          <cell r="C911" t="str">
            <v>Future</v>
          </cell>
          <cell r="D911" t="e">
            <v>#N/A</v>
          </cell>
          <cell r="E911">
            <v>-0.30509541984733279</v>
          </cell>
          <cell r="F911">
            <v>1.6639885496183278</v>
          </cell>
          <cell r="G911">
            <v>0.66666030534351883</v>
          </cell>
          <cell r="H911">
            <v>0.66666030534351883</v>
          </cell>
          <cell r="I911" t="e">
            <v>#N/A</v>
          </cell>
          <cell r="J911" t="e">
            <v>#N/A</v>
          </cell>
          <cell r="K911">
            <v>1.54</v>
          </cell>
          <cell r="L911">
            <v>0.76</v>
          </cell>
          <cell r="M911" t="e">
            <v>#N/A</v>
          </cell>
          <cell r="N911">
            <v>1.2</v>
          </cell>
          <cell r="O911" t="e">
            <v>#N/A</v>
          </cell>
          <cell r="P911" t="str">
            <v/>
          </cell>
          <cell r="Q911" t="str">
            <v/>
          </cell>
          <cell r="R911">
            <v>1.19</v>
          </cell>
        </row>
        <row r="912">
          <cell r="A912" t="str">
            <v/>
          </cell>
          <cell r="B912" t="str">
            <v/>
          </cell>
          <cell r="C912" t="str">
            <v>Future</v>
          </cell>
          <cell r="D912" t="e">
            <v>#N/A</v>
          </cell>
          <cell r="E912">
            <v>-0.30927480916030992</v>
          </cell>
          <cell r="F912">
            <v>1.6656870229007705</v>
          </cell>
          <cell r="G912">
            <v>0.66538167938932036</v>
          </cell>
          <cell r="H912">
            <v>0.66538167938932036</v>
          </cell>
          <cell r="I912" t="e">
            <v>#N/A</v>
          </cell>
          <cell r="J912" t="e">
            <v>#N/A</v>
          </cell>
          <cell r="K912">
            <v>1.54</v>
          </cell>
          <cell r="L912">
            <v>0.76</v>
          </cell>
          <cell r="M912" t="e">
            <v>#N/A</v>
          </cell>
          <cell r="N912">
            <v>1.2</v>
          </cell>
          <cell r="O912" t="e">
            <v>#N/A</v>
          </cell>
          <cell r="P912" t="str">
            <v/>
          </cell>
          <cell r="Q912" t="str">
            <v/>
          </cell>
          <cell r="R912">
            <v>1.19</v>
          </cell>
        </row>
        <row r="913">
          <cell r="A913" t="str">
            <v/>
          </cell>
          <cell r="B913" t="str">
            <v/>
          </cell>
          <cell r="C913" t="str">
            <v>Future</v>
          </cell>
          <cell r="D913" t="e">
            <v>#N/A</v>
          </cell>
          <cell r="E913">
            <v>-0.31345419847328704</v>
          </cell>
          <cell r="F913">
            <v>1.6673854961832133</v>
          </cell>
          <cell r="G913">
            <v>0.66410305343512188</v>
          </cell>
          <cell r="H913">
            <v>0.66410305343512188</v>
          </cell>
          <cell r="I913" t="e">
            <v>#N/A</v>
          </cell>
          <cell r="J913" t="e">
            <v>#N/A</v>
          </cell>
          <cell r="K913">
            <v>1.54</v>
          </cell>
          <cell r="L913">
            <v>0.76</v>
          </cell>
          <cell r="M913" t="e">
            <v>#N/A</v>
          </cell>
          <cell r="N913">
            <v>1.2</v>
          </cell>
          <cell r="O913" t="e">
            <v>#N/A</v>
          </cell>
          <cell r="P913" t="str">
            <v/>
          </cell>
          <cell r="Q913" t="str">
            <v/>
          </cell>
          <cell r="R913">
            <v>1.19</v>
          </cell>
        </row>
        <row r="914">
          <cell r="A914" t="str">
            <v/>
          </cell>
          <cell r="B914" t="str">
            <v/>
          </cell>
          <cell r="C914" t="str">
            <v>Future</v>
          </cell>
          <cell r="D914" t="e">
            <v>#N/A</v>
          </cell>
          <cell r="E914">
            <v>-0.31763358778626416</v>
          </cell>
          <cell r="F914">
            <v>1.6690839694656561</v>
          </cell>
          <cell r="G914">
            <v>0.66282442748092341</v>
          </cell>
          <cell r="H914">
            <v>0.66282442748092341</v>
          </cell>
          <cell r="I914" t="e">
            <v>#N/A</v>
          </cell>
          <cell r="J914" t="e">
            <v>#N/A</v>
          </cell>
          <cell r="K914">
            <v>1.54</v>
          </cell>
          <cell r="L914">
            <v>0.76</v>
          </cell>
          <cell r="M914" t="e">
            <v>#N/A</v>
          </cell>
          <cell r="N914">
            <v>1.2</v>
          </cell>
          <cell r="O914" t="e">
            <v>#N/A</v>
          </cell>
          <cell r="P914" t="str">
            <v/>
          </cell>
          <cell r="Q914" t="str">
            <v/>
          </cell>
          <cell r="R914">
            <v>1.19</v>
          </cell>
        </row>
        <row r="915">
          <cell r="A915" t="str">
            <v/>
          </cell>
          <cell r="B915" t="str">
            <v/>
          </cell>
          <cell r="C915" t="str">
            <v>Future</v>
          </cell>
          <cell r="D915" t="e">
            <v>#N/A</v>
          </cell>
          <cell r="E915">
            <v>-0.32181297709924128</v>
          </cell>
          <cell r="F915">
            <v>1.6707824427480988</v>
          </cell>
          <cell r="G915">
            <v>0.66154580152672493</v>
          </cell>
          <cell r="H915">
            <v>0.66154580152672493</v>
          </cell>
          <cell r="I915" t="e">
            <v>#N/A</v>
          </cell>
          <cell r="J915" t="e">
            <v>#N/A</v>
          </cell>
          <cell r="K915">
            <v>1.54</v>
          </cell>
          <cell r="L915">
            <v>0.76</v>
          </cell>
          <cell r="M915" t="e">
            <v>#N/A</v>
          </cell>
          <cell r="N915">
            <v>1.2</v>
          </cell>
          <cell r="O915" t="e">
            <v>#N/A</v>
          </cell>
          <cell r="P915" t="str">
            <v/>
          </cell>
          <cell r="Q915" t="str">
            <v/>
          </cell>
          <cell r="R915">
            <v>1.19</v>
          </cell>
        </row>
        <row r="916">
          <cell r="A916" t="str">
            <v/>
          </cell>
          <cell r="B916" t="str">
            <v/>
          </cell>
          <cell r="C916" t="str">
            <v>Future</v>
          </cell>
          <cell r="D916" t="e">
            <v>#N/A</v>
          </cell>
          <cell r="E916">
            <v>-0.3259923664122184</v>
          </cell>
          <cell r="F916">
            <v>1.6724809160305416</v>
          </cell>
          <cell r="G916">
            <v>0.66026717557252645</v>
          </cell>
          <cell r="H916">
            <v>0.66026717557252645</v>
          </cell>
          <cell r="I916" t="e">
            <v>#N/A</v>
          </cell>
          <cell r="J916" t="e">
            <v>#N/A</v>
          </cell>
          <cell r="K916">
            <v>1.54</v>
          </cell>
          <cell r="L916">
            <v>0.76</v>
          </cell>
          <cell r="M916" t="e">
            <v>#N/A</v>
          </cell>
          <cell r="N916">
            <v>1.2</v>
          </cell>
          <cell r="O916" t="e">
            <v>#N/A</v>
          </cell>
          <cell r="P916" t="str">
            <v/>
          </cell>
          <cell r="Q916" t="str">
            <v/>
          </cell>
          <cell r="R916">
            <v>1.19</v>
          </cell>
        </row>
        <row r="917">
          <cell r="A917" t="str">
            <v/>
          </cell>
          <cell r="B917" t="str">
            <v/>
          </cell>
          <cell r="C917" t="str">
            <v>Future</v>
          </cell>
          <cell r="D917" t="e">
            <v>#N/A</v>
          </cell>
          <cell r="E917">
            <v>-0.33017175572519553</v>
          </cell>
          <cell r="F917">
            <v>1.6741793893129844</v>
          </cell>
          <cell r="G917">
            <v>0.65898854961832798</v>
          </cell>
          <cell r="H917">
            <v>0.65898854961832798</v>
          </cell>
          <cell r="I917" t="e">
            <v>#N/A</v>
          </cell>
          <cell r="J917" t="e">
            <v>#N/A</v>
          </cell>
          <cell r="K917">
            <v>1.54</v>
          </cell>
          <cell r="L917">
            <v>0.76</v>
          </cell>
          <cell r="M917" t="e">
            <v>#N/A</v>
          </cell>
          <cell r="N917">
            <v>1.2</v>
          </cell>
          <cell r="O917" t="e">
            <v>#N/A</v>
          </cell>
          <cell r="P917" t="str">
            <v/>
          </cell>
          <cell r="Q917" t="str">
            <v/>
          </cell>
          <cell r="R917">
            <v>1.19</v>
          </cell>
        </row>
        <row r="918">
          <cell r="A918" t="str">
            <v/>
          </cell>
          <cell r="B918" t="str">
            <v/>
          </cell>
          <cell r="C918" t="str">
            <v>Future</v>
          </cell>
          <cell r="D918" t="e">
            <v>#N/A</v>
          </cell>
          <cell r="E918">
            <v>-0.33435114503817265</v>
          </cell>
          <cell r="F918">
            <v>1.6758778625954271</v>
          </cell>
          <cell r="G918">
            <v>0.6577099236641295</v>
          </cell>
          <cell r="H918">
            <v>0.6577099236641295</v>
          </cell>
          <cell r="I918" t="e">
            <v>#N/A</v>
          </cell>
          <cell r="J918" t="e">
            <v>#N/A</v>
          </cell>
          <cell r="K918">
            <v>1.54</v>
          </cell>
          <cell r="L918">
            <v>0.76</v>
          </cell>
          <cell r="M918" t="e">
            <v>#N/A</v>
          </cell>
          <cell r="N918">
            <v>1.2</v>
          </cell>
          <cell r="O918" t="e">
            <v>#N/A</v>
          </cell>
          <cell r="P918" t="str">
            <v/>
          </cell>
          <cell r="Q918" t="str">
            <v/>
          </cell>
          <cell r="R918">
            <v>1.19</v>
          </cell>
        </row>
        <row r="919">
          <cell r="A919" t="str">
            <v/>
          </cell>
          <cell r="B919" t="str">
            <v/>
          </cell>
          <cell r="C919" t="str">
            <v>Future</v>
          </cell>
          <cell r="D919" t="e">
            <v>#N/A</v>
          </cell>
          <cell r="E919">
            <v>-0.33853053435114977</v>
          </cell>
          <cell r="F919">
            <v>1.6775763358778699</v>
          </cell>
          <cell r="G919">
            <v>0.65643129770993103</v>
          </cell>
          <cell r="H919">
            <v>0.65643129770993103</v>
          </cell>
          <cell r="I919" t="e">
            <v>#N/A</v>
          </cell>
          <cell r="J919" t="e">
            <v>#N/A</v>
          </cell>
          <cell r="K919">
            <v>1.54</v>
          </cell>
          <cell r="L919">
            <v>0.76</v>
          </cell>
          <cell r="M919" t="e">
            <v>#N/A</v>
          </cell>
          <cell r="N919">
            <v>1.2</v>
          </cell>
          <cell r="O919" t="e">
            <v>#N/A</v>
          </cell>
          <cell r="P919" t="str">
            <v/>
          </cell>
          <cell r="Q919" t="str">
            <v/>
          </cell>
          <cell r="R919">
            <v>1.19</v>
          </cell>
        </row>
        <row r="920">
          <cell r="A920" t="str">
            <v/>
          </cell>
          <cell r="B920" t="str">
            <v/>
          </cell>
          <cell r="C920" t="str">
            <v>Future</v>
          </cell>
          <cell r="D920" t="e">
            <v>#N/A</v>
          </cell>
          <cell r="E920">
            <v>-0.34270992366412689</v>
          </cell>
          <cell r="F920">
            <v>1.6792748091603127</v>
          </cell>
          <cell r="G920">
            <v>0.65515267175573255</v>
          </cell>
          <cell r="H920">
            <v>0.65515267175573255</v>
          </cell>
          <cell r="I920" t="e">
            <v>#N/A</v>
          </cell>
          <cell r="J920" t="e">
            <v>#N/A</v>
          </cell>
          <cell r="K920">
            <v>1.54</v>
          </cell>
          <cell r="L920">
            <v>0.76</v>
          </cell>
          <cell r="M920" t="e">
            <v>#N/A</v>
          </cell>
          <cell r="N920">
            <v>1.2</v>
          </cell>
          <cell r="O920" t="e">
            <v>#N/A</v>
          </cell>
          <cell r="P920" t="str">
            <v/>
          </cell>
          <cell r="Q920" t="str">
            <v/>
          </cell>
          <cell r="R920">
            <v>1.19</v>
          </cell>
        </row>
        <row r="921">
          <cell r="A921" t="str">
            <v/>
          </cell>
          <cell r="B921" t="str">
            <v/>
          </cell>
          <cell r="C921" t="str">
            <v>Future</v>
          </cell>
          <cell r="D921" t="e">
            <v>#N/A</v>
          </cell>
          <cell r="E921">
            <v>-0.34688931297710401</v>
          </cell>
          <cell r="F921">
            <v>1.6809732824427555</v>
          </cell>
          <cell r="G921">
            <v>0.65387404580153408</v>
          </cell>
          <cell r="H921">
            <v>0.65387404580153408</v>
          </cell>
          <cell r="I921" t="e">
            <v>#N/A</v>
          </cell>
          <cell r="J921" t="e">
            <v>#N/A</v>
          </cell>
          <cell r="K921">
            <v>1.54</v>
          </cell>
          <cell r="L921">
            <v>0.76</v>
          </cell>
          <cell r="M921" t="e">
            <v>#N/A</v>
          </cell>
          <cell r="N921">
            <v>1.2</v>
          </cell>
          <cell r="O921" t="e">
            <v>#N/A</v>
          </cell>
          <cell r="P921" t="str">
            <v/>
          </cell>
          <cell r="Q921" t="str">
            <v/>
          </cell>
          <cell r="R921">
            <v>1.19</v>
          </cell>
        </row>
        <row r="922">
          <cell r="A922" t="str">
            <v/>
          </cell>
          <cell r="B922" t="str">
            <v/>
          </cell>
          <cell r="C922" t="str">
            <v>Future</v>
          </cell>
          <cell r="D922" t="e">
            <v>#N/A</v>
          </cell>
          <cell r="E922">
            <v>-0.35106870229008114</v>
          </cell>
          <cell r="F922">
            <v>1.6826717557251982</v>
          </cell>
          <cell r="G922">
            <v>0.6525954198473356</v>
          </cell>
          <cell r="H922">
            <v>0.6525954198473356</v>
          </cell>
          <cell r="I922" t="e">
            <v>#N/A</v>
          </cell>
          <cell r="J922" t="e">
            <v>#N/A</v>
          </cell>
          <cell r="K922">
            <v>1.54</v>
          </cell>
          <cell r="L922">
            <v>0.76</v>
          </cell>
          <cell r="M922" t="e">
            <v>#N/A</v>
          </cell>
          <cell r="N922">
            <v>1.2</v>
          </cell>
          <cell r="O922" t="e">
            <v>#N/A</v>
          </cell>
          <cell r="P922" t="str">
            <v/>
          </cell>
          <cell r="Q922" t="str">
            <v/>
          </cell>
          <cell r="R922">
            <v>1.19</v>
          </cell>
        </row>
        <row r="923">
          <cell r="A923" t="str">
            <v/>
          </cell>
          <cell r="B923" t="str">
            <v/>
          </cell>
          <cell r="C923" t="str">
            <v>Future</v>
          </cell>
          <cell r="D923" t="e">
            <v>#N/A</v>
          </cell>
          <cell r="E923">
            <v>-0.35524809160305826</v>
          </cell>
          <cell r="F923">
            <v>1.684370229007641</v>
          </cell>
          <cell r="G923">
            <v>0.65131679389313712</v>
          </cell>
          <cell r="H923">
            <v>0.65131679389313712</v>
          </cell>
          <cell r="I923" t="e">
            <v>#N/A</v>
          </cell>
          <cell r="J923" t="e">
            <v>#N/A</v>
          </cell>
          <cell r="K923">
            <v>1.54</v>
          </cell>
          <cell r="L923">
            <v>0.76</v>
          </cell>
          <cell r="M923" t="e">
            <v>#N/A</v>
          </cell>
          <cell r="N923">
            <v>1.2</v>
          </cell>
          <cell r="O923" t="e">
            <v>#N/A</v>
          </cell>
          <cell r="P923" t="str">
            <v/>
          </cell>
          <cell r="Q923" t="str">
            <v/>
          </cell>
          <cell r="R923">
            <v>1.19</v>
          </cell>
        </row>
        <row r="924">
          <cell r="A924" t="str">
            <v/>
          </cell>
          <cell r="B924" t="str">
            <v/>
          </cell>
          <cell r="C924" t="str">
            <v>Future</v>
          </cell>
          <cell r="D924" t="e">
            <v>#N/A</v>
          </cell>
          <cell r="E924">
            <v>-0.35942748091603538</v>
          </cell>
          <cell r="F924">
            <v>1.6860687022900838</v>
          </cell>
          <cell r="G924">
            <v>0.65003816793893865</v>
          </cell>
          <cell r="H924">
            <v>0.65003816793893865</v>
          </cell>
          <cell r="I924" t="e">
            <v>#N/A</v>
          </cell>
          <cell r="J924" t="e">
            <v>#N/A</v>
          </cell>
          <cell r="K924">
            <v>1.54</v>
          </cell>
          <cell r="L924">
            <v>0.76</v>
          </cell>
          <cell r="M924" t="e">
            <v>#N/A</v>
          </cell>
          <cell r="N924">
            <v>1.2</v>
          </cell>
          <cell r="O924" t="e">
            <v>#N/A</v>
          </cell>
          <cell r="P924" t="str">
            <v/>
          </cell>
          <cell r="Q924" t="str">
            <v/>
          </cell>
          <cell r="R924">
            <v>1.19</v>
          </cell>
        </row>
        <row r="925">
          <cell r="A925" t="str">
            <v/>
          </cell>
          <cell r="B925" t="str">
            <v/>
          </cell>
          <cell r="C925" t="str">
            <v>Future</v>
          </cell>
          <cell r="D925" t="e">
            <v>#N/A</v>
          </cell>
          <cell r="E925">
            <v>-0.3636068702290125</v>
          </cell>
          <cell r="F925">
            <v>1.6877671755725265</v>
          </cell>
          <cell r="G925">
            <v>0.64875954198474017</v>
          </cell>
          <cell r="H925">
            <v>0.64875954198474017</v>
          </cell>
          <cell r="I925" t="e">
            <v>#N/A</v>
          </cell>
          <cell r="J925" t="e">
            <v>#N/A</v>
          </cell>
          <cell r="K925">
            <v>1.54</v>
          </cell>
          <cell r="L925">
            <v>0.76</v>
          </cell>
          <cell r="M925" t="e">
            <v>#N/A</v>
          </cell>
          <cell r="N925">
            <v>1.2</v>
          </cell>
          <cell r="O925" t="e">
            <v>#N/A</v>
          </cell>
          <cell r="P925" t="str">
            <v/>
          </cell>
          <cell r="Q925" t="str">
            <v/>
          </cell>
          <cell r="R925">
            <v>1.19</v>
          </cell>
        </row>
        <row r="926">
          <cell r="A926" t="str">
            <v/>
          </cell>
          <cell r="B926" t="str">
            <v/>
          </cell>
          <cell r="C926" t="str">
            <v>Future</v>
          </cell>
          <cell r="D926" t="e">
            <v>#N/A</v>
          </cell>
          <cell r="E926">
            <v>-0.36778625954198962</v>
          </cell>
          <cell r="F926">
            <v>1.6894656488549693</v>
          </cell>
          <cell r="G926">
            <v>0.6474809160305417</v>
          </cell>
          <cell r="H926">
            <v>0.6474809160305417</v>
          </cell>
          <cell r="I926" t="e">
            <v>#N/A</v>
          </cell>
          <cell r="J926" t="e">
            <v>#N/A</v>
          </cell>
          <cell r="K926">
            <v>1.54</v>
          </cell>
          <cell r="L926">
            <v>0.76</v>
          </cell>
          <cell r="M926" t="e">
            <v>#N/A</v>
          </cell>
          <cell r="N926">
            <v>1.2</v>
          </cell>
          <cell r="O926" t="e">
            <v>#N/A</v>
          </cell>
          <cell r="P926" t="str">
            <v/>
          </cell>
          <cell r="Q926" t="str">
            <v/>
          </cell>
          <cell r="R926">
            <v>1.19</v>
          </cell>
        </row>
        <row r="927">
          <cell r="A927" t="str">
            <v/>
          </cell>
          <cell r="B927" t="str">
            <v/>
          </cell>
          <cell r="C927" t="str">
            <v>Future</v>
          </cell>
          <cell r="D927" t="e">
            <v>#N/A</v>
          </cell>
          <cell r="E927">
            <v>-0.37196564885496675</v>
          </cell>
          <cell r="F927">
            <v>1.6911641221374121</v>
          </cell>
          <cell r="G927">
            <v>0.64620229007634322</v>
          </cell>
          <cell r="H927">
            <v>0.64620229007634322</v>
          </cell>
          <cell r="I927" t="e">
            <v>#N/A</v>
          </cell>
          <cell r="J927" t="e">
            <v>#N/A</v>
          </cell>
          <cell r="K927">
            <v>1.54</v>
          </cell>
          <cell r="L927">
            <v>0.76</v>
          </cell>
          <cell r="M927" t="e">
            <v>#N/A</v>
          </cell>
          <cell r="N927">
            <v>1.2</v>
          </cell>
          <cell r="O927" t="e">
            <v>#N/A</v>
          </cell>
          <cell r="P927" t="str">
            <v/>
          </cell>
          <cell r="Q927" t="str">
            <v/>
          </cell>
          <cell r="R927">
            <v>1.19</v>
          </cell>
        </row>
        <row r="928">
          <cell r="A928" t="str">
            <v/>
          </cell>
          <cell r="B928" t="str">
            <v/>
          </cell>
          <cell r="C928" t="str">
            <v>Future</v>
          </cell>
          <cell r="D928" t="e">
            <v>#N/A</v>
          </cell>
          <cell r="E928">
            <v>-0.37614503816794387</v>
          </cell>
          <cell r="F928">
            <v>1.6928625954198548</v>
          </cell>
          <cell r="G928">
            <v>0.64492366412214475</v>
          </cell>
          <cell r="H928">
            <v>0.64492366412214475</v>
          </cell>
          <cell r="I928" t="e">
            <v>#N/A</v>
          </cell>
          <cell r="J928" t="e">
            <v>#N/A</v>
          </cell>
          <cell r="K928">
            <v>1.54</v>
          </cell>
          <cell r="L928">
            <v>0.76</v>
          </cell>
          <cell r="M928" t="e">
            <v>#N/A</v>
          </cell>
          <cell r="N928">
            <v>1.2</v>
          </cell>
          <cell r="O928" t="e">
            <v>#N/A</v>
          </cell>
          <cell r="P928" t="str">
            <v/>
          </cell>
          <cell r="Q928" t="str">
            <v/>
          </cell>
          <cell r="R928">
            <v>1.19</v>
          </cell>
        </row>
        <row r="929">
          <cell r="A929" t="str">
            <v/>
          </cell>
          <cell r="B929" t="str">
            <v/>
          </cell>
          <cell r="C929" t="str">
            <v>Future</v>
          </cell>
          <cell r="D929" t="e">
            <v>#N/A</v>
          </cell>
          <cell r="E929">
            <v>-0.38032442748092099</v>
          </cell>
          <cell r="F929">
            <v>1.6945610687022976</v>
          </cell>
          <cell r="G929">
            <v>0.64364503816794627</v>
          </cell>
          <cell r="H929">
            <v>0.64364503816794627</v>
          </cell>
          <cell r="I929" t="e">
            <v>#N/A</v>
          </cell>
          <cell r="J929" t="e">
            <v>#N/A</v>
          </cell>
          <cell r="K929">
            <v>1.54</v>
          </cell>
          <cell r="L929">
            <v>0.76</v>
          </cell>
          <cell r="M929" t="e">
            <v>#N/A</v>
          </cell>
          <cell r="N929">
            <v>1.2</v>
          </cell>
          <cell r="O929" t="e">
            <v>#N/A</v>
          </cell>
          <cell r="P929" t="str">
            <v/>
          </cell>
          <cell r="Q929" t="str">
            <v/>
          </cell>
          <cell r="R929">
            <v>1.19</v>
          </cell>
        </row>
        <row r="930">
          <cell r="A930" t="str">
            <v/>
          </cell>
          <cell r="B930" t="str">
            <v/>
          </cell>
          <cell r="C930" t="str">
            <v>Future</v>
          </cell>
          <cell r="D930" t="e">
            <v>#N/A</v>
          </cell>
          <cell r="E930">
            <v>-0.38450381679389811</v>
          </cell>
          <cell r="F930">
            <v>1.6962595419847404</v>
          </cell>
          <cell r="G930">
            <v>0.64236641221374779</v>
          </cell>
          <cell r="H930">
            <v>0.64236641221374779</v>
          </cell>
          <cell r="I930" t="e">
            <v>#N/A</v>
          </cell>
          <cell r="J930" t="e">
            <v>#N/A</v>
          </cell>
          <cell r="K930">
            <v>1.54</v>
          </cell>
          <cell r="L930">
            <v>0.76</v>
          </cell>
          <cell r="M930" t="e">
            <v>#N/A</v>
          </cell>
          <cell r="N930">
            <v>1.2</v>
          </cell>
          <cell r="O930" t="e">
            <v>#N/A</v>
          </cell>
          <cell r="P930" t="str">
            <v/>
          </cell>
          <cell r="Q930" t="str">
            <v/>
          </cell>
          <cell r="R930">
            <v>1.19</v>
          </cell>
        </row>
        <row r="931">
          <cell r="A931" t="str">
            <v/>
          </cell>
          <cell r="B931" t="str">
            <v/>
          </cell>
          <cell r="C931" t="str">
            <v>Future</v>
          </cell>
          <cell r="D931" t="e">
            <v>#N/A</v>
          </cell>
          <cell r="E931">
            <v>-0.38868320610687523</v>
          </cell>
          <cell r="F931">
            <v>1.6979580152671832</v>
          </cell>
          <cell r="G931">
            <v>0.64108778625954932</v>
          </cell>
          <cell r="H931">
            <v>0.64108778625954932</v>
          </cell>
          <cell r="I931" t="e">
            <v>#N/A</v>
          </cell>
          <cell r="J931" t="e">
            <v>#N/A</v>
          </cell>
          <cell r="K931">
            <v>1.54</v>
          </cell>
          <cell r="L931">
            <v>0.76</v>
          </cell>
          <cell r="M931" t="e">
            <v>#N/A</v>
          </cell>
          <cell r="N931">
            <v>1.2</v>
          </cell>
          <cell r="O931" t="e">
            <v>#N/A</v>
          </cell>
          <cell r="P931" t="str">
            <v/>
          </cell>
          <cell r="Q931" t="str">
            <v/>
          </cell>
          <cell r="R931">
            <v>1.19</v>
          </cell>
        </row>
        <row r="932">
          <cell r="A932" t="str">
            <v/>
          </cell>
          <cell r="B932" t="str">
            <v/>
          </cell>
          <cell r="C932" t="str">
            <v>Future</v>
          </cell>
          <cell r="D932" t="e">
            <v>#N/A</v>
          </cell>
          <cell r="E932">
            <v>-0.39286259541985236</v>
          </cell>
          <cell r="F932">
            <v>1.6996564885496259</v>
          </cell>
          <cell r="G932">
            <v>0.63980916030535084</v>
          </cell>
          <cell r="H932">
            <v>0.63980916030535084</v>
          </cell>
          <cell r="I932" t="e">
            <v>#N/A</v>
          </cell>
          <cell r="J932" t="e">
            <v>#N/A</v>
          </cell>
          <cell r="K932">
            <v>1.54</v>
          </cell>
          <cell r="L932">
            <v>0.76</v>
          </cell>
          <cell r="M932" t="e">
            <v>#N/A</v>
          </cell>
          <cell r="N932">
            <v>1.2</v>
          </cell>
          <cell r="O932" t="e">
            <v>#N/A</v>
          </cell>
          <cell r="P932" t="str">
            <v/>
          </cell>
          <cell r="Q932" t="str">
            <v/>
          </cell>
          <cell r="R932">
            <v>1.19</v>
          </cell>
        </row>
        <row r="933">
          <cell r="A933" t="str">
            <v/>
          </cell>
          <cell r="B933" t="str">
            <v/>
          </cell>
          <cell r="C933" t="str">
            <v>Future</v>
          </cell>
          <cell r="D933" t="e">
            <v>#N/A</v>
          </cell>
          <cell r="E933">
            <v>-0.39704198473282948</v>
          </cell>
          <cell r="F933">
            <v>1.7013549618320687</v>
          </cell>
          <cell r="G933">
            <v>0.63853053435115237</v>
          </cell>
          <cell r="H933">
            <v>0.63853053435115237</v>
          </cell>
          <cell r="I933" t="e">
            <v>#N/A</v>
          </cell>
          <cell r="J933" t="e">
            <v>#N/A</v>
          </cell>
          <cell r="K933">
            <v>1.54</v>
          </cell>
          <cell r="L933">
            <v>0.76</v>
          </cell>
          <cell r="M933" t="e">
            <v>#N/A</v>
          </cell>
          <cell r="N933">
            <v>1.2</v>
          </cell>
          <cell r="O933" t="e">
            <v>#N/A</v>
          </cell>
          <cell r="P933" t="str">
            <v/>
          </cell>
          <cell r="Q933" t="str">
            <v/>
          </cell>
          <cell r="R933">
            <v>1.19</v>
          </cell>
        </row>
        <row r="934">
          <cell r="A934" t="str">
            <v/>
          </cell>
          <cell r="B934" t="str">
            <v/>
          </cell>
          <cell r="C934" t="str">
            <v>Future</v>
          </cell>
          <cell r="D934" t="e">
            <v>#N/A</v>
          </cell>
          <cell r="E934">
            <v>-0.4012213740458066</v>
          </cell>
          <cell r="F934">
            <v>1.7030534351145115</v>
          </cell>
          <cell r="G934">
            <v>0.63725190839695389</v>
          </cell>
          <cell r="H934">
            <v>0.63725190839695389</v>
          </cell>
          <cell r="I934" t="e">
            <v>#N/A</v>
          </cell>
          <cell r="J934" t="e">
            <v>#N/A</v>
          </cell>
          <cell r="K934">
            <v>1.54</v>
          </cell>
          <cell r="L934">
            <v>0.76</v>
          </cell>
          <cell r="M934" t="e">
            <v>#N/A</v>
          </cell>
          <cell r="N934">
            <v>1.2</v>
          </cell>
          <cell r="O934" t="e">
            <v>#N/A</v>
          </cell>
          <cell r="P934" t="str">
            <v/>
          </cell>
          <cell r="Q934" t="str">
            <v/>
          </cell>
          <cell r="R934">
            <v>1.19</v>
          </cell>
        </row>
        <row r="935">
          <cell r="A935" t="str">
            <v/>
          </cell>
          <cell r="B935" t="str">
            <v/>
          </cell>
          <cell r="C935" t="str">
            <v>Future</v>
          </cell>
          <cell r="D935" t="e">
            <v>#N/A</v>
          </cell>
          <cell r="E935">
            <v>-0.40540076335878372</v>
          </cell>
          <cell r="F935">
            <v>1.7047519083969542</v>
          </cell>
          <cell r="G935">
            <v>0.63597328244275542</v>
          </cell>
          <cell r="H935">
            <v>0.63597328244275542</v>
          </cell>
          <cell r="I935" t="e">
            <v>#N/A</v>
          </cell>
          <cell r="J935" t="e">
            <v>#N/A</v>
          </cell>
          <cell r="K935">
            <v>1.54</v>
          </cell>
          <cell r="L935">
            <v>0.76</v>
          </cell>
          <cell r="M935" t="e">
            <v>#N/A</v>
          </cell>
          <cell r="N935">
            <v>1.2</v>
          </cell>
          <cell r="O935" t="e">
            <v>#N/A</v>
          </cell>
          <cell r="P935" t="str">
            <v/>
          </cell>
          <cell r="Q935" t="str">
            <v/>
          </cell>
          <cell r="R935">
            <v>1.19</v>
          </cell>
        </row>
        <row r="936">
          <cell r="A936" t="str">
            <v/>
          </cell>
          <cell r="B936" t="str">
            <v/>
          </cell>
          <cell r="C936" t="str">
            <v>Future</v>
          </cell>
          <cell r="D936" t="e">
            <v>#N/A</v>
          </cell>
          <cell r="E936">
            <v>-0.40958015267176084</v>
          </cell>
          <cell r="F936">
            <v>1.706450381679397</v>
          </cell>
          <cell r="G936">
            <v>0.63469465648855694</v>
          </cell>
          <cell r="H936">
            <v>0.63469465648855694</v>
          </cell>
          <cell r="I936" t="e">
            <v>#N/A</v>
          </cell>
          <cell r="J936" t="e">
            <v>#N/A</v>
          </cell>
          <cell r="K936">
            <v>1.54</v>
          </cell>
          <cell r="L936">
            <v>0.76</v>
          </cell>
          <cell r="M936" t="e">
            <v>#N/A</v>
          </cell>
          <cell r="N936">
            <v>1.2</v>
          </cell>
          <cell r="O936" t="e">
            <v>#N/A</v>
          </cell>
          <cell r="P936" t="str">
            <v/>
          </cell>
          <cell r="Q936" t="str">
            <v/>
          </cell>
          <cell r="R936">
            <v>1.19</v>
          </cell>
        </row>
        <row r="937">
          <cell r="A937" t="str">
            <v/>
          </cell>
          <cell r="B937" t="str">
            <v/>
          </cell>
          <cell r="C937" t="str">
            <v>Future</v>
          </cell>
          <cell r="D937" t="e">
            <v>#N/A</v>
          </cell>
          <cell r="E937">
            <v>-0.41375954198473797</v>
          </cell>
          <cell r="F937">
            <v>1.7081488549618398</v>
          </cell>
          <cell r="G937">
            <v>0.63341603053435847</v>
          </cell>
          <cell r="H937">
            <v>0.63341603053435847</v>
          </cell>
          <cell r="I937" t="e">
            <v>#N/A</v>
          </cell>
          <cell r="J937" t="e">
            <v>#N/A</v>
          </cell>
          <cell r="K937">
            <v>1.54</v>
          </cell>
          <cell r="L937">
            <v>0.76</v>
          </cell>
          <cell r="M937" t="e">
            <v>#N/A</v>
          </cell>
          <cell r="N937">
            <v>1.2</v>
          </cell>
          <cell r="O937" t="e">
            <v>#N/A</v>
          </cell>
          <cell r="P937" t="str">
            <v/>
          </cell>
          <cell r="Q937" t="str">
            <v/>
          </cell>
          <cell r="R937">
            <v>1.19</v>
          </cell>
        </row>
        <row r="938">
          <cell r="A938" t="str">
            <v/>
          </cell>
          <cell r="B938" t="str">
            <v/>
          </cell>
          <cell r="C938" t="str">
            <v>Future</v>
          </cell>
          <cell r="D938" t="e">
            <v>#N/A</v>
          </cell>
          <cell r="E938">
            <v>-0.41793893129771509</v>
          </cell>
          <cell r="F938">
            <v>1.7098473282442825</v>
          </cell>
          <cell r="G938">
            <v>0.63213740458015999</v>
          </cell>
          <cell r="H938">
            <v>0.63213740458015999</v>
          </cell>
          <cell r="I938" t="e">
            <v>#N/A</v>
          </cell>
          <cell r="J938" t="e">
            <v>#N/A</v>
          </cell>
          <cell r="K938">
            <v>1.54</v>
          </cell>
          <cell r="L938">
            <v>0.76</v>
          </cell>
          <cell r="M938" t="e">
            <v>#N/A</v>
          </cell>
          <cell r="N938">
            <v>1.2</v>
          </cell>
          <cell r="O938" t="e">
            <v>#N/A</v>
          </cell>
          <cell r="P938" t="str">
            <v/>
          </cell>
          <cell r="Q938" t="str">
            <v/>
          </cell>
          <cell r="R938">
            <v>1.19</v>
          </cell>
        </row>
        <row r="939">
          <cell r="A939" t="str">
            <v/>
          </cell>
          <cell r="B939" t="str">
            <v/>
          </cell>
          <cell r="C939" t="str">
            <v>Future</v>
          </cell>
          <cell r="D939" t="e">
            <v>#N/A</v>
          </cell>
          <cell r="E939">
            <v>-0.42211832061069221</v>
          </cell>
          <cell r="F939">
            <v>1.7115458015267253</v>
          </cell>
          <cell r="G939">
            <v>0.63085877862596151</v>
          </cell>
          <cell r="H939">
            <v>0.63085877862596151</v>
          </cell>
          <cell r="I939" t="e">
            <v>#N/A</v>
          </cell>
          <cell r="J939" t="e">
            <v>#N/A</v>
          </cell>
          <cell r="K939">
            <v>1.54</v>
          </cell>
          <cell r="L939">
            <v>0.76</v>
          </cell>
          <cell r="M939" t="e">
            <v>#N/A</v>
          </cell>
          <cell r="N939">
            <v>1.2</v>
          </cell>
          <cell r="O939" t="e">
            <v>#N/A</v>
          </cell>
          <cell r="P939" t="str">
            <v/>
          </cell>
          <cell r="Q939" t="str">
            <v/>
          </cell>
          <cell r="R939">
            <v>1.19</v>
          </cell>
        </row>
        <row r="940">
          <cell r="A940" t="str">
            <v/>
          </cell>
          <cell r="B940" t="str">
            <v/>
          </cell>
          <cell r="C940" t="str">
            <v>Future</v>
          </cell>
          <cell r="D940" t="e">
            <v>#N/A</v>
          </cell>
          <cell r="E940">
            <v>-0.42629770992366933</v>
          </cell>
          <cell r="F940">
            <v>1.7132442748091681</v>
          </cell>
          <cell r="G940">
            <v>0.62958015267176304</v>
          </cell>
          <cell r="H940">
            <v>0.62958015267176304</v>
          </cell>
          <cell r="I940" t="e">
            <v>#N/A</v>
          </cell>
          <cell r="J940" t="e">
            <v>#N/A</v>
          </cell>
          <cell r="K940">
            <v>1.54</v>
          </cell>
          <cell r="L940">
            <v>0.76</v>
          </cell>
          <cell r="M940" t="e">
            <v>#N/A</v>
          </cell>
          <cell r="N940">
            <v>1.2</v>
          </cell>
          <cell r="O940" t="e">
            <v>#N/A</v>
          </cell>
          <cell r="P940" t="str">
            <v/>
          </cell>
          <cell r="Q940" t="str">
            <v/>
          </cell>
          <cell r="R940">
            <v>1.19</v>
          </cell>
        </row>
        <row r="941">
          <cell r="A941" t="str">
            <v/>
          </cell>
          <cell r="B941" t="str">
            <v/>
          </cell>
          <cell r="C941" t="str">
            <v>Future</v>
          </cell>
          <cell r="D941" t="e">
            <v>#N/A</v>
          </cell>
          <cell r="E941">
            <v>-0.43047709923664645</v>
          </cell>
          <cell r="F941">
            <v>1.7149427480916108</v>
          </cell>
          <cell r="G941">
            <v>0.62830152671756456</v>
          </cell>
          <cell r="H941">
            <v>0.62830152671756456</v>
          </cell>
          <cell r="I941" t="e">
            <v>#N/A</v>
          </cell>
          <cell r="J941" t="e">
            <v>#N/A</v>
          </cell>
          <cell r="K941">
            <v>1.54</v>
          </cell>
          <cell r="L941">
            <v>0.76</v>
          </cell>
          <cell r="M941" t="e">
            <v>#N/A</v>
          </cell>
          <cell r="N941">
            <v>1.2</v>
          </cell>
          <cell r="O941" t="e">
            <v>#N/A</v>
          </cell>
          <cell r="P941" t="str">
            <v/>
          </cell>
          <cell r="Q941" t="str">
            <v/>
          </cell>
          <cell r="R941">
            <v>1.19</v>
          </cell>
        </row>
        <row r="942">
          <cell r="A942" t="str">
            <v/>
          </cell>
          <cell r="B942" t="str">
            <v/>
          </cell>
          <cell r="C942" t="str">
            <v>Future</v>
          </cell>
          <cell r="D942" t="e">
            <v>#N/A</v>
          </cell>
          <cell r="E942">
            <v>-0.43465648854962358</v>
          </cell>
          <cell r="F942">
            <v>1.7166412213740536</v>
          </cell>
          <cell r="G942">
            <v>0.62702290076336609</v>
          </cell>
          <cell r="H942">
            <v>0.62702290076336609</v>
          </cell>
          <cell r="I942" t="e">
            <v>#N/A</v>
          </cell>
          <cell r="J942" t="e">
            <v>#N/A</v>
          </cell>
          <cell r="K942">
            <v>1.54</v>
          </cell>
          <cell r="L942">
            <v>0.76</v>
          </cell>
          <cell r="M942" t="e">
            <v>#N/A</v>
          </cell>
          <cell r="N942">
            <v>1.2</v>
          </cell>
          <cell r="O942" t="e">
            <v>#N/A</v>
          </cell>
          <cell r="P942" t="str">
            <v/>
          </cell>
          <cell r="Q942" t="str">
            <v/>
          </cell>
          <cell r="R942">
            <v>1.19</v>
          </cell>
        </row>
        <row r="943">
          <cell r="A943" t="str">
            <v/>
          </cell>
          <cell r="B943" t="str">
            <v/>
          </cell>
          <cell r="C943" t="str">
            <v>Future</v>
          </cell>
          <cell r="D943" t="e">
            <v>#N/A</v>
          </cell>
          <cell r="E943">
            <v>-0.4388358778626007</v>
          </cell>
          <cell r="F943">
            <v>1.7183396946564964</v>
          </cell>
          <cell r="G943">
            <v>0.62574427480916761</v>
          </cell>
          <cell r="H943">
            <v>0.62574427480916761</v>
          </cell>
          <cell r="I943" t="e">
            <v>#N/A</v>
          </cell>
          <cell r="J943" t="e">
            <v>#N/A</v>
          </cell>
          <cell r="K943">
            <v>1.54</v>
          </cell>
          <cell r="L943">
            <v>0.76</v>
          </cell>
          <cell r="M943" t="e">
            <v>#N/A</v>
          </cell>
          <cell r="N943">
            <v>1.2</v>
          </cell>
          <cell r="O943" t="e">
            <v>#N/A</v>
          </cell>
          <cell r="P943" t="str">
            <v/>
          </cell>
          <cell r="Q943" t="str">
            <v/>
          </cell>
          <cell r="R943">
            <v>1.19</v>
          </cell>
        </row>
        <row r="944">
          <cell r="A944" t="str">
            <v/>
          </cell>
          <cell r="B944" t="str">
            <v/>
          </cell>
          <cell r="C944" t="str">
            <v>Future</v>
          </cell>
          <cell r="D944" t="e">
            <v>#N/A</v>
          </cell>
          <cell r="E944">
            <v>-0.44301526717557782</v>
          </cell>
          <cell r="F944">
            <v>1.7200381679389392</v>
          </cell>
          <cell r="G944">
            <v>0.62446564885496914</v>
          </cell>
          <cell r="H944">
            <v>0.62446564885496914</v>
          </cell>
          <cell r="I944" t="e">
            <v>#N/A</v>
          </cell>
          <cell r="J944" t="e">
            <v>#N/A</v>
          </cell>
          <cell r="K944">
            <v>1.54</v>
          </cell>
          <cell r="L944">
            <v>0.76</v>
          </cell>
          <cell r="M944" t="e">
            <v>#N/A</v>
          </cell>
          <cell r="N944">
            <v>1.2</v>
          </cell>
          <cell r="O944" t="e">
            <v>#N/A</v>
          </cell>
          <cell r="P944" t="str">
            <v/>
          </cell>
          <cell r="Q944" t="str">
            <v/>
          </cell>
          <cell r="R944">
            <v>1.19</v>
          </cell>
        </row>
        <row r="945">
          <cell r="A945" t="str">
            <v/>
          </cell>
          <cell r="B945" t="str">
            <v/>
          </cell>
          <cell r="C945" t="str">
            <v>Future</v>
          </cell>
          <cell r="D945" t="e">
            <v>#N/A</v>
          </cell>
          <cell r="E945">
            <v>-0.44719465648855494</v>
          </cell>
          <cell r="F945">
            <v>1.7217366412213819</v>
          </cell>
          <cell r="G945">
            <v>0.62318702290077066</v>
          </cell>
          <cell r="H945">
            <v>0.62318702290077066</v>
          </cell>
          <cell r="I945" t="e">
            <v>#N/A</v>
          </cell>
          <cell r="J945" t="e">
            <v>#N/A</v>
          </cell>
          <cell r="K945">
            <v>1.54</v>
          </cell>
          <cell r="L945">
            <v>0.76</v>
          </cell>
          <cell r="M945" t="e">
            <v>#N/A</v>
          </cell>
          <cell r="N945">
            <v>1.2</v>
          </cell>
          <cell r="O945" t="e">
            <v>#N/A</v>
          </cell>
          <cell r="P945" t="str">
            <v/>
          </cell>
          <cell r="Q945" t="str">
            <v/>
          </cell>
          <cell r="R945">
            <v>1.19</v>
          </cell>
        </row>
        <row r="946">
          <cell r="A946" t="str">
            <v/>
          </cell>
          <cell r="B946" t="str">
            <v/>
          </cell>
          <cell r="C946" t="str">
            <v>Future</v>
          </cell>
          <cell r="D946" t="e">
            <v>#N/A</v>
          </cell>
          <cell r="E946">
            <v>-0.45137404580153206</v>
          </cell>
          <cell r="F946">
            <v>1.7234351145038247</v>
          </cell>
          <cell r="G946">
            <v>0.62190839694657218</v>
          </cell>
          <cell r="H946">
            <v>0.62190839694657218</v>
          </cell>
          <cell r="I946" t="e">
            <v>#N/A</v>
          </cell>
          <cell r="J946" t="e">
            <v>#N/A</v>
          </cell>
          <cell r="K946">
            <v>1.54</v>
          </cell>
          <cell r="L946">
            <v>0.76</v>
          </cell>
          <cell r="M946" t="e">
            <v>#N/A</v>
          </cell>
          <cell r="N946">
            <v>1.2</v>
          </cell>
          <cell r="O946" t="e">
            <v>#N/A</v>
          </cell>
          <cell r="P946" t="str">
            <v/>
          </cell>
          <cell r="Q946" t="str">
            <v/>
          </cell>
          <cell r="R946">
            <v>1.19</v>
          </cell>
        </row>
        <row r="947">
          <cell r="A947" t="str">
            <v/>
          </cell>
          <cell r="B947" t="str">
            <v/>
          </cell>
          <cell r="C947" t="str">
            <v>Future</v>
          </cell>
          <cell r="D947" t="e">
            <v>#N/A</v>
          </cell>
          <cell r="E947">
            <v>-0.45555343511450919</v>
          </cell>
          <cell r="F947">
            <v>1.7251335877862675</v>
          </cell>
          <cell r="G947">
            <v>0.62062977099237371</v>
          </cell>
          <cell r="H947">
            <v>0.62062977099237371</v>
          </cell>
          <cell r="I947" t="e">
            <v>#N/A</v>
          </cell>
          <cell r="J947" t="e">
            <v>#N/A</v>
          </cell>
          <cell r="K947">
            <v>1.54</v>
          </cell>
          <cell r="L947">
            <v>0.76</v>
          </cell>
          <cell r="M947" t="e">
            <v>#N/A</v>
          </cell>
          <cell r="N947">
            <v>1.2</v>
          </cell>
          <cell r="O947" t="e">
            <v>#N/A</v>
          </cell>
          <cell r="P947" t="str">
            <v/>
          </cell>
          <cell r="Q947" t="str">
            <v/>
          </cell>
          <cell r="R947">
            <v>1.19</v>
          </cell>
        </row>
        <row r="948">
          <cell r="A948" t="str">
            <v/>
          </cell>
          <cell r="B948" t="str">
            <v/>
          </cell>
          <cell r="C948" t="str">
            <v>Future</v>
          </cell>
          <cell r="D948" t="e">
            <v>#N/A</v>
          </cell>
          <cell r="E948">
            <v>-0.45973282442748631</v>
          </cell>
          <cell r="F948">
            <v>1.7268320610687102</v>
          </cell>
          <cell r="G948">
            <v>0.61935114503817523</v>
          </cell>
          <cell r="H948">
            <v>0.61935114503817523</v>
          </cell>
          <cell r="I948" t="e">
            <v>#N/A</v>
          </cell>
          <cell r="J948" t="e">
            <v>#N/A</v>
          </cell>
          <cell r="K948">
            <v>1.54</v>
          </cell>
          <cell r="L948">
            <v>0.76</v>
          </cell>
          <cell r="M948" t="e">
            <v>#N/A</v>
          </cell>
          <cell r="N948">
            <v>1.2</v>
          </cell>
          <cell r="O948" t="e">
            <v>#N/A</v>
          </cell>
          <cell r="P948" t="str">
            <v/>
          </cell>
          <cell r="Q948" t="str">
            <v/>
          </cell>
          <cell r="R948">
            <v>1.19</v>
          </cell>
        </row>
        <row r="949">
          <cell r="A949" t="str">
            <v/>
          </cell>
          <cell r="B949" t="str">
            <v/>
          </cell>
          <cell r="C949" t="str">
            <v>Future</v>
          </cell>
          <cell r="D949" t="e">
            <v>#N/A</v>
          </cell>
          <cell r="E949">
            <v>-0.46391221374046343</v>
          </cell>
          <cell r="F949">
            <v>1.728530534351153</v>
          </cell>
          <cell r="G949">
            <v>0.61807251908397676</v>
          </cell>
          <cell r="H949">
            <v>0.61807251908397676</v>
          </cell>
          <cell r="I949" t="e">
            <v>#N/A</v>
          </cell>
          <cell r="J949" t="e">
            <v>#N/A</v>
          </cell>
          <cell r="K949">
            <v>1.54</v>
          </cell>
          <cell r="L949">
            <v>0.76</v>
          </cell>
          <cell r="M949" t="e">
            <v>#N/A</v>
          </cell>
          <cell r="N949">
            <v>1.2</v>
          </cell>
          <cell r="O949" t="e">
            <v>#N/A</v>
          </cell>
          <cell r="P949" t="str">
            <v/>
          </cell>
          <cell r="Q949" t="str">
            <v/>
          </cell>
          <cell r="R949">
            <v>1.19</v>
          </cell>
        </row>
        <row r="950">
          <cell r="A950" t="str">
            <v/>
          </cell>
          <cell r="B950" t="str">
            <v/>
          </cell>
          <cell r="C950" t="str">
            <v>Future</v>
          </cell>
          <cell r="D950" t="e">
            <v>#N/A</v>
          </cell>
          <cell r="E950">
            <v>-0.46809160305344055</v>
          </cell>
          <cell r="F950">
            <v>1.7302290076335958</v>
          </cell>
          <cell r="G950">
            <v>0.61679389312977828</v>
          </cell>
          <cell r="H950">
            <v>0.61679389312977828</v>
          </cell>
          <cell r="I950" t="e">
            <v>#N/A</v>
          </cell>
          <cell r="J950" t="e">
            <v>#N/A</v>
          </cell>
          <cell r="K950">
            <v>1.54</v>
          </cell>
          <cell r="L950">
            <v>0.76</v>
          </cell>
          <cell r="M950" t="e">
            <v>#N/A</v>
          </cell>
          <cell r="N950">
            <v>1.2</v>
          </cell>
          <cell r="O950" t="e">
            <v>#N/A</v>
          </cell>
          <cell r="P950" t="str">
            <v/>
          </cell>
          <cell r="Q950" t="str">
            <v/>
          </cell>
          <cell r="R950">
            <v>1.19</v>
          </cell>
        </row>
        <row r="951">
          <cell r="A951" t="str">
            <v/>
          </cell>
          <cell r="B951" t="str">
            <v/>
          </cell>
          <cell r="C951" t="str">
            <v>Future</v>
          </cell>
          <cell r="D951" t="e">
            <v>#N/A</v>
          </cell>
          <cell r="E951">
            <v>-0.47227099236641767</v>
          </cell>
          <cell r="F951">
            <v>1.7319274809160385</v>
          </cell>
          <cell r="G951">
            <v>0.61551526717557981</v>
          </cell>
          <cell r="H951">
            <v>0.61551526717557981</v>
          </cell>
          <cell r="I951" t="e">
            <v>#N/A</v>
          </cell>
          <cell r="J951" t="e">
            <v>#N/A</v>
          </cell>
          <cell r="K951">
            <v>1.54</v>
          </cell>
          <cell r="L951">
            <v>0.76</v>
          </cell>
          <cell r="M951" t="e">
            <v>#N/A</v>
          </cell>
          <cell r="N951">
            <v>1.2</v>
          </cell>
          <cell r="O951" t="e">
            <v>#N/A</v>
          </cell>
          <cell r="P951" t="str">
            <v/>
          </cell>
          <cell r="Q951" t="str">
            <v/>
          </cell>
          <cell r="R951">
            <v>1.19</v>
          </cell>
        </row>
        <row r="952">
          <cell r="A952" t="str">
            <v/>
          </cell>
          <cell r="B952" t="str">
            <v/>
          </cell>
          <cell r="C952" t="str">
            <v>Future</v>
          </cell>
          <cell r="D952" t="e">
            <v>#N/A</v>
          </cell>
          <cell r="E952">
            <v>-0.4764503816793948</v>
          </cell>
          <cell r="F952">
            <v>1.7336259541984813</v>
          </cell>
          <cell r="G952">
            <v>0.61423664122138133</v>
          </cell>
          <cell r="H952">
            <v>0.61423664122138133</v>
          </cell>
          <cell r="I952" t="e">
            <v>#N/A</v>
          </cell>
          <cell r="J952" t="e">
            <v>#N/A</v>
          </cell>
          <cell r="K952">
            <v>1.54</v>
          </cell>
          <cell r="L952">
            <v>0.76</v>
          </cell>
          <cell r="M952" t="e">
            <v>#N/A</v>
          </cell>
          <cell r="N952">
            <v>1.2</v>
          </cell>
          <cell r="O952" t="e">
            <v>#N/A</v>
          </cell>
          <cell r="P952" t="str">
            <v/>
          </cell>
          <cell r="Q952" t="str">
            <v/>
          </cell>
          <cell r="R952">
            <v>1.19</v>
          </cell>
        </row>
        <row r="953">
          <cell r="A953" t="str">
            <v/>
          </cell>
          <cell r="B953" t="str">
            <v/>
          </cell>
          <cell r="C953" t="str">
            <v>Future</v>
          </cell>
          <cell r="D953" t="e">
            <v>#N/A</v>
          </cell>
          <cell r="E953">
            <v>-0.48062977099237192</v>
          </cell>
          <cell r="F953">
            <v>1.7353244274809241</v>
          </cell>
          <cell r="G953">
            <v>0.61295801526718285</v>
          </cell>
          <cell r="H953">
            <v>0.61295801526718285</v>
          </cell>
          <cell r="I953" t="e">
            <v>#N/A</v>
          </cell>
          <cell r="J953" t="e">
            <v>#N/A</v>
          </cell>
          <cell r="K953">
            <v>1.54</v>
          </cell>
          <cell r="L953">
            <v>0.76</v>
          </cell>
          <cell r="M953" t="e">
            <v>#N/A</v>
          </cell>
          <cell r="N953">
            <v>1.2</v>
          </cell>
          <cell r="O953" t="e">
            <v>#N/A</v>
          </cell>
          <cell r="P953" t="str">
            <v/>
          </cell>
          <cell r="Q953" t="str">
            <v/>
          </cell>
          <cell r="R953">
            <v>1.19</v>
          </cell>
        </row>
        <row r="954">
          <cell r="A954" t="str">
            <v/>
          </cell>
          <cell r="B954" t="str">
            <v/>
          </cell>
          <cell r="C954" t="str">
            <v>Future</v>
          </cell>
          <cell r="D954" t="e">
            <v>#N/A</v>
          </cell>
          <cell r="E954">
            <v>-0.48480916030534904</v>
          </cell>
          <cell r="F954">
            <v>1.7370229007633669</v>
          </cell>
          <cell r="G954">
            <v>0.61167938931298438</v>
          </cell>
          <cell r="H954">
            <v>0.61167938931298438</v>
          </cell>
          <cell r="I954" t="e">
            <v>#N/A</v>
          </cell>
          <cell r="J954" t="e">
            <v>#N/A</v>
          </cell>
          <cell r="K954">
            <v>1.54</v>
          </cell>
          <cell r="L954">
            <v>0.76</v>
          </cell>
          <cell r="M954" t="e">
            <v>#N/A</v>
          </cell>
          <cell r="N954">
            <v>1.2</v>
          </cell>
          <cell r="O954" t="e">
            <v>#N/A</v>
          </cell>
          <cell r="P954" t="str">
            <v/>
          </cell>
          <cell r="Q954" t="str">
            <v/>
          </cell>
          <cell r="R954">
            <v>1.19</v>
          </cell>
        </row>
        <row r="955">
          <cell r="A955" t="str">
            <v/>
          </cell>
          <cell r="B955" t="str">
            <v/>
          </cell>
          <cell r="C955" t="str">
            <v>Future</v>
          </cell>
          <cell r="D955" t="e">
            <v>#N/A</v>
          </cell>
          <cell r="E955">
            <v>-0.48898854961832616</v>
          </cell>
          <cell r="F955">
            <v>1.7387213740458096</v>
          </cell>
          <cell r="G955">
            <v>0.6104007633587859</v>
          </cell>
          <cell r="H955">
            <v>0.6104007633587859</v>
          </cell>
          <cell r="I955" t="e">
            <v>#N/A</v>
          </cell>
          <cell r="J955" t="e">
            <v>#N/A</v>
          </cell>
          <cell r="K955">
            <v>1.54</v>
          </cell>
          <cell r="L955">
            <v>0.76</v>
          </cell>
          <cell r="M955" t="e">
            <v>#N/A</v>
          </cell>
          <cell r="N955">
            <v>1.2</v>
          </cell>
          <cell r="O955" t="e">
            <v>#N/A</v>
          </cell>
          <cell r="P955" t="str">
            <v/>
          </cell>
          <cell r="Q955" t="str">
            <v/>
          </cell>
          <cell r="R955">
            <v>1.19</v>
          </cell>
        </row>
        <row r="956">
          <cell r="A956" t="str">
            <v/>
          </cell>
          <cell r="B956" t="str">
            <v/>
          </cell>
          <cell r="C956" t="str">
            <v>Future</v>
          </cell>
          <cell r="D956" t="e">
            <v>#N/A</v>
          </cell>
          <cell r="E956">
            <v>-0.49316793893130328</v>
          </cell>
          <cell r="F956">
            <v>1.7404198473282524</v>
          </cell>
          <cell r="G956">
            <v>0.60912213740458743</v>
          </cell>
          <cell r="H956">
            <v>0.60912213740458743</v>
          </cell>
          <cell r="I956" t="e">
            <v>#N/A</v>
          </cell>
          <cell r="J956" t="e">
            <v>#N/A</v>
          </cell>
          <cell r="K956">
            <v>1.54</v>
          </cell>
          <cell r="L956">
            <v>0.76</v>
          </cell>
          <cell r="M956" t="e">
            <v>#N/A</v>
          </cell>
          <cell r="N956">
            <v>1.2</v>
          </cell>
          <cell r="O956" t="e">
            <v>#N/A</v>
          </cell>
          <cell r="P956" t="str">
            <v/>
          </cell>
          <cell r="Q956" t="str">
            <v/>
          </cell>
          <cell r="R956">
            <v>1.19</v>
          </cell>
        </row>
        <row r="957">
          <cell r="A957" t="str">
            <v/>
          </cell>
          <cell r="B957" t="str">
            <v/>
          </cell>
          <cell r="C957" t="str">
            <v>Future</v>
          </cell>
          <cell r="D957" t="e">
            <v>#N/A</v>
          </cell>
          <cell r="E957">
            <v>-0.49734732824428041</v>
          </cell>
          <cell r="F957">
            <v>1.7421183206106952</v>
          </cell>
          <cell r="G957">
            <v>0.60784351145038895</v>
          </cell>
          <cell r="H957">
            <v>0.60784351145038895</v>
          </cell>
          <cell r="I957" t="e">
            <v>#N/A</v>
          </cell>
          <cell r="J957" t="e">
            <v>#N/A</v>
          </cell>
          <cell r="K957">
            <v>1.54</v>
          </cell>
          <cell r="L957">
            <v>0.76</v>
          </cell>
          <cell r="M957" t="e">
            <v>#N/A</v>
          </cell>
          <cell r="N957">
            <v>1.2</v>
          </cell>
          <cell r="O957" t="e">
            <v>#N/A</v>
          </cell>
          <cell r="P957" t="str">
            <v/>
          </cell>
          <cell r="Q957" t="str">
            <v/>
          </cell>
          <cell r="R957">
            <v>1.19</v>
          </cell>
        </row>
        <row r="958">
          <cell r="A958" t="str">
            <v/>
          </cell>
          <cell r="B958" t="str">
            <v/>
          </cell>
          <cell r="C958" t="str">
            <v>Future</v>
          </cell>
          <cell r="D958" t="e">
            <v>#N/A</v>
          </cell>
          <cell r="E958">
            <v>-0.50152671755725753</v>
          </cell>
          <cell r="F958">
            <v>1.7438167938931379</v>
          </cell>
          <cell r="G958">
            <v>0.60656488549619048</v>
          </cell>
          <cell r="H958">
            <v>0.60656488549619048</v>
          </cell>
          <cell r="I958" t="e">
            <v>#N/A</v>
          </cell>
          <cell r="J958" t="e">
            <v>#N/A</v>
          </cell>
          <cell r="K958">
            <v>1.54</v>
          </cell>
          <cell r="L958">
            <v>0.76</v>
          </cell>
          <cell r="M958" t="e">
            <v>#N/A</v>
          </cell>
          <cell r="N958">
            <v>1.2</v>
          </cell>
          <cell r="O958" t="e">
            <v>#N/A</v>
          </cell>
          <cell r="P958" t="str">
            <v/>
          </cell>
          <cell r="Q958" t="str">
            <v/>
          </cell>
          <cell r="R958">
            <v>1.19</v>
          </cell>
        </row>
        <row r="959">
          <cell r="A959" t="str">
            <v/>
          </cell>
          <cell r="B959" t="str">
            <v/>
          </cell>
          <cell r="C959" t="str">
            <v>Future</v>
          </cell>
          <cell r="D959" t="e">
            <v>#N/A</v>
          </cell>
          <cell r="E959">
            <v>-0.50570610687023465</v>
          </cell>
          <cell r="F959">
            <v>1.7455152671755807</v>
          </cell>
          <cell r="G959">
            <v>0.605286259541992</v>
          </cell>
          <cell r="H959">
            <v>0.605286259541992</v>
          </cell>
          <cell r="I959" t="e">
            <v>#N/A</v>
          </cell>
          <cell r="J959" t="e">
            <v>#N/A</v>
          </cell>
          <cell r="K959">
            <v>1.54</v>
          </cell>
          <cell r="L959">
            <v>0.76</v>
          </cell>
          <cell r="M959" t="e">
            <v>#N/A</v>
          </cell>
          <cell r="N959">
            <v>1.2</v>
          </cell>
          <cell r="O959" t="e">
            <v>#N/A</v>
          </cell>
          <cell r="P959" t="str">
            <v/>
          </cell>
          <cell r="Q959" t="str">
            <v/>
          </cell>
          <cell r="R959">
            <v>1.19</v>
          </cell>
        </row>
        <row r="960">
          <cell r="A960" t="str">
            <v/>
          </cell>
          <cell r="B960" t="str">
            <v/>
          </cell>
          <cell r="C960" t="str">
            <v>Future</v>
          </cell>
          <cell r="D960" t="e">
            <v>#N/A</v>
          </cell>
          <cell r="E960">
            <v>-0.50988549618321177</v>
          </cell>
          <cell r="F960">
            <v>1.7472137404580235</v>
          </cell>
          <cell r="G960">
            <v>0.60400763358779352</v>
          </cell>
          <cell r="H960">
            <v>0.60400763358779352</v>
          </cell>
          <cell r="I960" t="e">
            <v>#N/A</v>
          </cell>
          <cell r="J960" t="e">
            <v>#N/A</v>
          </cell>
          <cell r="K960">
            <v>1.54</v>
          </cell>
          <cell r="L960">
            <v>0.76</v>
          </cell>
          <cell r="M960" t="e">
            <v>#N/A</v>
          </cell>
          <cell r="N960">
            <v>1.2</v>
          </cell>
          <cell r="O960" t="e">
            <v>#N/A</v>
          </cell>
          <cell r="P960" t="str">
            <v/>
          </cell>
          <cell r="Q960" t="str">
            <v/>
          </cell>
          <cell r="R960">
            <v>1.19</v>
          </cell>
        </row>
        <row r="961">
          <cell r="A961" t="str">
            <v/>
          </cell>
          <cell r="B961" t="str">
            <v/>
          </cell>
          <cell r="C961" t="str">
            <v>Future</v>
          </cell>
          <cell r="D961" t="e">
            <v>#N/A</v>
          </cell>
          <cell r="E961">
            <v>-0.51406488549618889</v>
          </cell>
          <cell r="F961">
            <v>1.7489122137404662</v>
          </cell>
          <cell r="G961">
            <v>0.60272900763359505</v>
          </cell>
          <cell r="H961">
            <v>0.60272900763359505</v>
          </cell>
          <cell r="I961" t="e">
            <v>#N/A</v>
          </cell>
          <cell r="J961" t="e">
            <v>#N/A</v>
          </cell>
          <cell r="K961">
            <v>1.54</v>
          </cell>
          <cell r="L961">
            <v>0.76</v>
          </cell>
          <cell r="M961" t="e">
            <v>#N/A</v>
          </cell>
          <cell r="N961">
            <v>1.2</v>
          </cell>
          <cell r="O961" t="e">
            <v>#N/A</v>
          </cell>
          <cell r="P961" t="str">
            <v/>
          </cell>
          <cell r="Q961" t="str">
            <v/>
          </cell>
          <cell r="R961">
            <v>1.19</v>
          </cell>
        </row>
        <row r="962">
          <cell r="A962" t="str">
            <v/>
          </cell>
          <cell r="B962" t="str">
            <v/>
          </cell>
          <cell r="C962" t="str">
            <v>Future</v>
          </cell>
          <cell r="D962" t="e">
            <v>#N/A</v>
          </cell>
          <cell r="E962">
            <v>-0.51824427480916602</v>
          </cell>
          <cell r="F962">
            <v>1.750610687022909</v>
          </cell>
          <cell r="G962">
            <v>0.60145038167939657</v>
          </cell>
          <cell r="H962">
            <v>0.60145038167939657</v>
          </cell>
          <cell r="I962" t="e">
            <v>#N/A</v>
          </cell>
          <cell r="J962" t="e">
            <v>#N/A</v>
          </cell>
          <cell r="K962">
            <v>1.54</v>
          </cell>
          <cell r="L962">
            <v>0.76</v>
          </cell>
          <cell r="M962" t="e">
            <v>#N/A</v>
          </cell>
          <cell r="N962">
            <v>1.2</v>
          </cell>
          <cell r="O962" t="e">
            <v>#N/A</v>
          </cell>
          <cell r="P962" t="str">
            <v/>
          </cell>
          <cell r="Q962" t="str">
            <v/>
          </cell>
          <cell r="R962">
            <v>1.19</v>
          </cell>
        </row>
        <row r="963">
          <cell r="A963" t="str">
            <v/>
          </cell>
          <cell r="B963" t="str">
            <v/>
          </cell>
          <cell r="C963" t="str">
            <v>Future</v>
          </cell>
          <cell r="D963" t="e">
            <v>#N/A</v>
          </cell>
          <cell r="E963">
            <v>-0.52242366412214314</v>
          </cell>
          <cell r="F963">
            <v>1.7523091603053518</v>
          </cell>
          <cell r="G963">
            <v>0.6001717557251981</v>
          </cell>
          <cell r="H963">
            <v>0.6001717557251981</v>
          </cell>
          <cell r="I963" t="e">
            <v>#N/A</v>
          </cell>
          <cell r="J963" t="e">
            <v>#N/A</v>
          </cell>
          <cell r="K963">
            <v>1.54</v>
          </cell>
          <cell r="L963">
            <v>0.76</v>
          </cell>
          <cell r="M963" t="e">
            <v>#N/A</v>
          </cell>
          <cell r="N963">
            <v>1.2</v>
          </cell>
          <cell r="O963" t="e">
            <v>#N/A</v>
          </cell>
          <cell r="P963" t="str">
            <v/>
          </cell>
          <cell r="Q963" t="str">
            <v/>
          </cell>
          <cell r="R963">
            <v>1.19</v>
          </cell>
        </row>
        <row r="964">
          <cell r="A964" t="str">
            <v/>
          </cell>
          <cell r="B964" t="str">
            <v/>
          </cell>
          <cell r="C964" t="str">
            <v>Future</v>
          </cell>
          <cell r="D964" t="e">
            <v>#N/A</v>
          </cell>
          <cell r="E964">
            <v>-0.52660305343512026</v>
          </cell>
          <cell r="F964">
            <v>1.7540076335877945</v>
          </cell>
          <cell r="G964">
            <v>0.59889312977099962</v>
          </cell>
          <cell r="H964">
            <v>0.59889312977099962</v>
          </cell>
          <cell r="I964" t="e">
            <v>#N/A</v>
          </cell>
          <cell r="J964" t="e">
            <v>#N/A</v>
          </cell>
          <cell r="K964">
            <v>1.54</v>
          </cell>
          <cell r="L964">
            <v>0.76</v>
          </cell>
          <cell r="M964" t="e">
            <v>#N/A</v>
          </cell>
          <cell r="N964">
            <v>1.2</v>
          </cell>
          <cell r="O964" t="e">
            <v>#N/A</v>
          </cell>
          <cell r="P964" t="str">
            <v/>
          </cell>
          <cell r="Q964" t="str">
            <v/>
          </cell>
          <cell r="R964">
            <v>1.19</v>
          </cell>
        </row>
        <row r="965">
          <cell r="A965" t="str">
            <v/>
          </cell>
          <cell r="B965" t="str">
            <v/>
          </cell>
          <cell r="C965" t="str">
            <v>Future</v>
          </cell>
          <cell r="D965" t="e">
            <v>#N/A</v>
          </cell>
          <cell r="E965">
            <v>-0.53078244274809738</v>
          </cell>
          <cell r="F965">
            <v>1.7557061068702373</v>
          </cell>
          <cell r="G965">
            <v>0.59761450381680115</v>
          </cell>
          <cell r="H965">
            <v>0.59761450381680115</v>
          </cell>
          <cell r="I965" t="e">
            <v>#N/A</v>
          </cell>
          <cell r="J965" t="e">
            <v>#N/A</v>
          </cell>
          <cell r="K965">
            <v>1.54</v>
          </cell>
          <cell r="L965">
            <v>0.76</v>
          </cell>
          <cell r="M965" t="e">
            <v>#N/A</v>
          </cell>
          <cell r="N965">
            <v>1.2</v>
          </cell>
          <cell r="O965" t="e">
            <v>#N/A</v>
          </cell>
          <cell r="P965" t="str">
            <v/>
          </cell>
          <cell r="Q965" t="str">
            <v/>
          </cell>
          <cell r="R965">
            <v>1.19</v>
          </cell>
        </row>
        <row r="966">
          <cell r="A966" t="str">
            <v/>
          </cell>
          <cell r="B966" t="str">
            <v/>
          </cell>
          <cell r="C966" t="str">
            <v>Future</v>
          </cell>
          <cell r="D966" t="e">
            <v>#N/A</v>
          </cell>
          <cell r="E966">
            <v>-0.5349618320610745</v>
          </cell>
          <cell r="F966">
            <v>1.7574045801526801</v>
          </cell>
          <cell r="G966">
            <v>0.59633587786260267</v>
          </cell>
          <cell r="H966">
            <v>0.59633587786260267</v>
          </cell>
          <cell r="I966" t="e">
            <v>#N/A</v>
          </cell>
          <cell r="J966" t="e">
            <v>#N/A</v>
          </cell>
          <cell r="K966">
            <v>1.54</v>
          </cell>
          <cell r="L966">
            <v>0.76</v>
          </cell>
          <cell r="M966" t="e">
            <v>#N/A</v>
          </cell>
          <cell r="N966">
            <v>1.2</v>
          </cell>
          <cell r="O966" t="e">
            <v>#N/A</v>
          </cell>
          <cell r="P966" t="str">
            <v/>
          </cell>
          <cell r="Q966" t="str">
            <v/>
          </cell>
          <cell r="R966">
            <v>1.19</v>
          </cell>
        </row>
        <row r="967">
          <cell r="A967" t="str">
            <v/>
          </cell>
          <cell r="B967" t="str">
            <v/>
          </cell>
          <cell r="C967" t="str">
            <v>Future</v>
          </cell>
          <cell r="D967" t="e">
            <v>#N/A</v>
          </cell>
          <cell r="E967">
            <v>-0.53914122137405163</v>
          </cell>
          <cell r="F967">
            <v>1.7591030534351229</v>
          </cell>
          <cell r="G967">
            <v>0.59505725190840419</v>
          </cell>
          <cell r="H967">
            <v>0.59505725190840419</v>
          </cell>
          <cell r="I967" t="e">
            <v>#N/A</v>
          </cell>
          <cell r="J967" t="e">
            <v>#N/A</v>
          </cell>
          <cell r="K967">
            <v>1.54</v>
          </cell>
          <cell r="L967">
            <v>0.76</v>
          </cell>
          <cell r="M967" t="e">
            <v>#N/A</v>
          </cell>
          <cell r="N967">
            <v>1.2</v>
          </cell>
          <cell r="O967" t="e">
            <v>#N/A</v>
          </cell>
          <cell r="P967" t="str">
            <v/>
          </cell>
          <cell r="Q967" t="str">
            <v/>
          </cell>
          <cell r="R967">
            <v>1.19</v>
          </cell>
        </row>
        <row r="968">
          <cell r="A968" t="str">
            <v/>
          </cell>
          <cell r="B968" t="str">
            <v/>
          </cell>
          <cell r="C968" t="str">
            <v>Future</v>
          </cell>
          <cell r="D968" t="e">
            <v>#N/A</v>
          </cell>
          <cell r="E968">
            <v>-0.54332061068702875</v>
          </cell>
          <cell r="F968">
            <v>1.7608015267175656</v>
          </cell>
          <cell r="G968">
            <v>0.59377862595420572</v>
          </cell>
          <cell r="H968">
            <v>0.59377862595420572</v>
          </cell>
          <cell r="I968" t="e">
            <v>#N/A</v>
          </cell>
          <cell r="J968" t="e">
            <v>#N/A</v>
          </cell>
          <cell r="K968">
            <v>1.54</v>
          </cell>
          <cell r="L968">
            <v>0.76</v>
          </cell>
          <cell r="M968" t="e">
            <v>#N/A</v>
          </cell>
          <cell r="N968">
            <v>1.2</v>
          </cell>
          <cell r="O968" t="e">
            <v>#N/A</v>
          </cell>
          <cell r="P968" t="str">
            <v/>
          </cell>
          <cell r="Q968" t="str">
            <v/>
          </cell>
          <cell r="R968">
            <v>1.19</v>
          </cell>
        </row>
        <row r="969">
          <cell r="A969" t="str">
            <v/>
          </cell>
          <cell r="B969" t="str">
            <v/>
          </cell>
          <cell r="C969" t="str">
            <v>Future</v>
          </cell>
          <cell r="D969" t="e">
            <v>#N/A</v>
          </cell>
          <cell r="E969">
            <v>-0.54750000000000587</v>
          </cell>
          <cell r="F969">
            <v>1.7625000000000084</v>
          </cell>
          <cell r="G969">
            <v>0.59250000000000724</v>
          </cell>
          <cell r="H969">
            <v>0.59250000000000724</v>
          </cell>
          <cell r="I969" t="e">
            <v>#N/A</v>
          </cell>
          <cell r="J969" t="e">
            <v>#N/A</v>
          </cell>
          <cell r="K969">
            <v>1.54</v>
          </cell>
          <cell r="L969">
            <v>0.76</v>
          </cell>
          <cell r="M969" t="e">
            <v>#N/A</v>
          </cell>
          <cell r="N969">
            <v>1.2</v>
          </cell>
          <cell r="O969" t="e">
            <v>#N/A</v>
          </cell>
          <cell r="P969" t="str">
            <v/>
          </cell>
          <cell r="Q969" t="str">
            <v/>
          </cell>
          <cell r="R969">
            <v>1.19</v>
          </cell>
        </row>
        <row r="970">
          <cell r="A970" t="str">
            <v/>
          </cell>
          <cell r="B970" t="str">
            <v/>
          </cell>
          <cell r="C970" t="str">
            <v>Future</v>
          </cell>
          <cell r="D970" t="e">
            <v>#N/A</v>
          </cell>
          <cell r="E970">
            <v>-0.55167938931298299</v>
          </cell>
          <cell r="F970">
            <v>1.7641984732824512</v>
          </cell>
          <cell r="G970">
            <v>0.59122137404580877</v>
          </cell>
          <cell r="H970">
            <v>0.59122137404580877</v>
          </cell>
          <cell r="I970" t="e">
            <v>#N/A</v>
          </cell>
          <cell r="J970" t="e">
            <v>#N/A</v>
          </cell>
          <cell r="K970">
            <v>1.54</v>
          </cell>
          <cell r="L970">
            <v>0.76</v>
          </cell>
          <cell r="M970" t="e">
            <v>#N/A</v>
          </cell>
          <cell r="N970">
            <v>1.2</v>
          </cell>
          <cell r="O970" t="e">
            <v>#N/A</v>
          </cell>
          <cell r="P970" t="str">
            <v/>
          </cell>
          <cell r="Q970" t="str">
            <v/>
          </cell>
          <cell r="R970">
            <v>1.19</v>
          </cell>
        </row>
        <row r="971">
          <cell r="A971" t="str">
            <v/>
          </cell>
          <cell r="B971" t="str">
            <v/>
          </cell>
          <cell r="C971" t="str">
            <v>Future</v>
          </cell>
          <cell r="D971" t="e">
            <v>#N/A</v>
          </cell>
          <cell r="E971">
            <v>-0.55585877862596011</v>
          </cell>
          <cell r="F971">
            <v>1.7658969465648939</v>
          </cell>
          <cell r="G971">
            <v>0.58994274809161029</v>
          </cell>
          <cell r="H971">
            <v>0.58994274809161029</v>
          </cell>
          <cell r="I971" t="e">
            <v>#N/A</v>
          </cell>
          <cell r="J971" t="e">
            <v>#N/A</v>
          </cell>
          <cell r="K971">
            <v>1.54</v>
          </cell>
          <cell r="L971">
            <v>0.76</v>
          </cell>
          <cell r="M971" t="e">
            <v>#N/A</v>
          </cell>
          <cell r="N971">
            <v>1.2</v>
          </cell>
          <cell r="O971" t="e">
            <v>#N/A</v>
          </cell>
          <cell r="P971" t="str">
            <v/>
          </cell>
          <cell r="Q971" t="str">
            <v/>
          </cell>
          <cell r="R971">
            <v>1.19</v>
          </cell>
        </row>
        <row r="972">
          <cell r="A972" t="str">
            <v/>
          </cell>
          <cell r="B972" t="str">
            <v/>
          </cell>
          <cell r="C972" t="str">
            <v>Future</v>
          </cell>
          <cell r="D972" t="e">
            <v>#N/A</v>
          </cell>
          <cell r="E972">
            <v>-0.56003816793893724</v>
          </cell>
          <cell r="F972">
            <v>1.7675954198473367</v>
          </cell>
          <cell r="G972">
            <v>0.58866412213741182</v>
          </cell>
          <cell r="H972">
            <v>0.58866412213741182</v>
          </cell>
          <cell r="I972" t="e">
            <v>#N/A</v>
          </cell>
          <cell r="J972" t="e">
            <v>#N/A</v>
          </cell>
          <cell r="K972">
            <v>1.54</v>
          </cell>
          <cell r="L972">
            <v>0.76</v>
          </cell>
          <cell r="M972" t="e">
            <v>#N/A</v>
          </cell>
          <cell r="N972">
            <v>1.2</v>
          </cell>
          <cell r="O972" t="e">
            <v>#N/A</v>
          </cell>
          <cell r="P972" t="str">
            <v/>
          </cell>
          <cell r="Q972" t="str">
            <v/>
          </cell>
          <cell r="R972">
            <v>1.19</v>
          </cell>
        </row>
        <row r="973">
          <cell r="A973" t="str">
            <v/>
          </cell>
          <cell r="B973" t="str">
            <v/>
          </cell>
          <cell r="C973" t="str">
            <v>Future</v>
          </cell>
          <cell r="D973" t="e">
            <v>#N/A</v>
          </cell>
          <cell r="E973">
            <v>-0.56421755725191436</v>
          </cell>
          <cell r="F973">
            <v>1.7692938931297795</v>
          </cell>
          <cell r="G973">
            <v>0.58738549618321334</v>
          </cell>
          <cell r="H973">
            <v>0.58738549618321334</v>
          </cell>
          <cell r="I973" t="e">
            <v>#N/A</v>
          </cell>
          <cell r="J973" t="e">
            <v>#N/A</v>
          </cell>
          <cell r="K973">
            <v>1.54</v>
          </cell>
          <cell r="L973">
            <v>0.76</v>
          </cell>
          <cell r="M973" t="e">
            <v>#N/A</v>
          </cell>
          <cell r="N973">
            <v>1.2</v>
          </cell>
          <cell r="O973" t="e">
            <v>#N/A</v>
          </cell>
          <cell r="P973" t="str">
            <v/>
          </cell>
          <cell r="Q973" t="str">
            <v/>
          </cell>
          <cell r="R973">
            <v>1.19</v>
          </cell>
        </row>
        <row r="974">
          <cell r="A974" t="str">
            <v/>
          </cell>
          <cell r="B974" t="str">
            <v/>
          </cell>
          <cell r="C974" t="str">
            <v>Future</v>
          </cell>
          <cell r="D974" t="e">
            <v>#N/A</v>
          </cell>
          <cell r="E974">
            <v>-0.56839694656489148</v>
          </cell>
          <cell r="F974">
            <v>1.7709923664122222</v>
          </cell>
          <cell r="G974">
            <v>0.58610687022901486</v>
          </cell>
          <cell r="H974">
            <v>0.58610687022901486</v>
          </cell>
          <cell r="I974" t="e">
            <v>#N/A</v>
          </cell>
          <cell r="J974" t="e">
            <v>#N/A</v>
          </cell>
          <cell r="K974">
            <v>1.54</v>
          </cell>
          <cell r="L974">
            <v>0.76</v>
          </cell>
          <cell r="M974" t="e">
            <v>#N/A</v>
          </cell>
          <cell r="N974">
            <v>1.2</v>
          </cell>
          <cell r="O974" t="e">
            <v>#N/A</v>
          </cell>
          <cell r="P974" t="str">
            <v/>
          </cell>
          <cell r="Q974" t="str">
            <v/>
          </cell>
          <cell r="R974">
            <v>1.19</v>
          </cell>
        </row>
        <row r="975">
          <cell r="A975" t="str">
            <v/>
          </cell>
          <cell r="B975" t="str">
            <v/>
          </cell>
          <cell r="C975" t="str">
            <v>Future</v>
          </cell>
          <cell r="D975" t="e">
            <v>#N/A</v>
          </cell>
          <cell r="E975">
            <v>-0.5725763358778686</v>
          </cell>
          <cell r="F975">
            <v>1.772690839694665</v>
          </cell>
          <cell r="G975">
            <v>0.58482824427481639</v>
          </cell>
          <cell r="H975">
            <v>0.58482824427481639</v>
          </cell>
          <cell r="I975" t="e">
            <v>#N/A</v>
          </cell>
          <cell r="J975" t="e">
            <v>#N/A</v>
          </cell>
          <cell r="K975">
            <v>1.54</v>
          </cell>
          <cell r="L975">
            <v>0.76</v>
          </cell>
          <cell r="M975" t="e">
            <v>#N/A</v>
          </cell>
          <cell r="N975">
            <v>1.2</v>
          </cell>
          <cell r="O975" t="e">
            <v>#N/A</v>
          </cell>
          <cell r="P975" t="str">
            <v/>
          </cell>
          <cell r="Q975" t="str">
            <v/>
          </cell>
          <cell r="R975">
            <v>1.19</v>
          </cell>
        </row>
        <row r="976">
          <cell r="A976" t="str">
            <v/>
          </cell>
          <cell r="B976" t="str">
            <v/>
          </cell>
          <cell r="C976" t="str">
            <v>Future</v>
          </cell>
          <cell r="D976" t="e">
            <v>#N/A</v>
          </cell>
          <cell r="E976">
            <v>-0.57675572519084572</v>
          </cell>
          <cell r="F976">
            <v>1.7743893129771078</v>
          </cell>
          <cell r="G976">
            <v>0.58354961832061791</v>
          </cell>
          <cell r="H976">
            <v>0.58354961832061791</v>
          </cell>
          <cell r="I976" t="e">
            <v>#N/A</v>
          </cell>
          <cell r="J976" t="e">
            <v>#N/A</v>
          </cell>
          <cell r="K976">
            <v>1.54</v>
          </cell>
          <cell r="L976">
            <v>0.76</v>
          </cell>
          <cell r="M976" t="e">
            <v>#N/A</v>
          </cell>
          <cell r="N976">
            <v>1.2</v>
          </cell>
          <cell r="O976" t="e">
            <v>#N/A</v>
          </cell>
          <cell r="P976" t="str">
            <v/>
          </cell>
          <cell r="Q976" t="str">
            <v/>
          </cell>
          <cell r="R976">
            <v>1.19</v>
          </cell>
        </row>
        <row r="977">
          <cell r="A977" t="str">
            <v/>
          </cell>
          <cell r="B977" t="str">
            <v/>
          </cell>
          <cell r="C977" t="str">
            <v>Future</v>
          </cell>
          <cell r="D977" t="e">
            <v>#N/A</v>
          </cell>
          <cell r="E977">
            <v>-0.58093511450382285</v>
          </cell>
          <cell r="F977">
            <v>1.7760877862595505</v>
          </cell>
          <cell r="G977">
            <v>0.58227099236641944</v>
          </cell>
          <cell r="H977">
            <v>0.58227099236641944</v>
          </cell>
          <cell r="I977" t="e">
            <v>#N/A</v>
          </cell>
          <cell r="J977" t="e">
            <v>#N/A</v>
          </cell>
          <cell r="K977">
            <v>1.54</v>
          </cell>
          <cell r="L977">
            <v>0.76</v>
          </cell>
          <cell r="M977" t="e">
            <v>#N/A</v>
          </cell>
          <cell r="N977">
            <v>1.2</v>
          </cell>
          <cell r="O977" t="e">
            <v>#N/A</v>
          </cell>
          <cell r="P977" t="str">
            <v/>
          </cell>
          <cell r="Q977" t="str">
            <v/>
          </cell>
          <cell r="R977">
            <v>1.19</v>
          </cell>
        </row>
        <row r="978">
          <cell r="A978" t="str">
            <v/>
          </cell>
          <cell r="B978" t="str">
            <v/>
          </cell>
          <cell r="C978" t="str">
            <v>Future</v>
          </cell>
          <cell r="D978" t="e">
            <v>#N/A</v>
          </cell>
          <cell r="E978">
            <v>-0.58511450381679997</v>
          </cell>
          <cell r="F978">
            <v>1.7777862595419933</v>
          </cell>
          <cell r="G978">
            <v>0.58099236641222096</v>
          </cell>
          <cell r="H978">
            <v>0.58099236641222096</v>
          </cell>
          <cell r="I978" t="e">
            <v>#N/A</v>
          </cell>
          <cell r="J978" t="e">
            <v>#N/A</v>
          </cell>
          <cell r="K978">
            <v>1.54</v>
          </cell>
          <cell r="L978">
            <v>0.76</v>
          </cell>
          <cell r="M978" t="e">
            <v>#N/A</v>
          </cell>
          <cell r="N978">
            <v>1.2</v>
          </cell>
          <cell r="O978" t="e">
            <v>#N/A</v>
          </cell>
          <cell r="P978" t="str">
            <v/>
          </cell>
          <cell r="Q978" t="str">
            <v/>
          </cell>
          <cell r="R978">
            <v>1.19</v>
          </cell>
        </row>
        <row r="979">
          <cell r="A979" t="str">
            <v/>
          </cell>
          <cell r="B979" t="str">
            <v/>
          </cell>
          <cell r="C979" t="str">
            <v>Future</v>
          </cell>
          <cell r="D979" t="e">
            <v>#N/A</v>
          </cell>
          <cell r="E979">
            <v>-0.58929389312977709</v>
          </cell>
          <cell r="F979">
            <v>1.7794847328244361</v>
          </cell>
          <cell r="G979">
            <v>0.57971374045802249</v>
          </cell>
          <cell r="H979">
            <v>0.57971374045802249</v>
          </cell>
          <cell r="I979" t="e">
            <v>#N/A</v>
          </cell>
          <cell r="J979" t="e">
            <v>#N/A</v>
          </cell>
          <cell r="K979">
            <v>1.54</v>
          </cell>
          <cell r="L979">
            <v>0.76</v>
          </cell>
          <cell r="M979" t="e">
            <v>#N/A</v>
          </cell>
          <cell r="N979">
            <v>1.2</v>
          </cell>
          <cell r="O979" t="e">
            <v>#N/A</v>
          </cell>
          <cell r="P979" t="str">
            <v/>
          </cell>
          <cell r="Q979" t="str">
            <v/>
          </cell>
          <cell r="R979">
            <v>1.19</v>
          </cell>
        </row>
        <row r="980">
          <cell r="A980" t="str">
            <v/>
          </cell>
          <cell r="B980" t="str">
            <v/>
          </cell>
          <cell r="C980" t="str">
            <v>Future</v>
          </cell>
          <cell r="D980" t="e">
            <v>#N/A</v>
          </cell>
          <cell r="E980">
            <v>-0.59347328244275421</v>
          </cell>
          <cell r="F980">
            <v>1.7811832061068789</v>
          </cell>
          <cell r="G980">
            <v>0.57843511450382401</v>
          </cell>
          <cell r="H980">
            <v>0.57843511450382401</v>
          </cell>
          <cell r="I980" t="e">
            <v>#N/A</v>
          </cell>
          <cell r="J980" t="e">
            <v>#N/A</v>
          </cell>
          <cell r="K980">
            <v>1.54</v>
          </cell>
          <cell r="L980">
            <v>0.76</v>
          </cell>
          <cell r="M980" t="e">
            <v>#N/A</v>
          </cell>
          <cell r="N980">
            <v>1.2</v>
          </cell>
          <cell r="O980" t="e">
            <v>#N/A</v>
          </cell>
          <cell r="P980" t="str">
            <v/>
          </cell>
          <cell r="Q980" t="str">
            <v/>
          </cell>
          <cell r="R980">
            <v>1.19</v>
          </cell>
        </row>
        <row r="981">
          <cell r="A981" t="str">
            <v/>
          </cell>
          <cell r="B981" t="str">
            <v/>
          </cell>
          <cell r="C981" t="str">
            <v>Future</v>
          </cell>
          <cell r="D981" t="e">
            <v>#N/A</v>
          </cell>
          <cell r="E981">
            <v>-0.59765267175573134</v>
          </cell>
          <cell r="F981">
            <v>1.7828816793893216</v>
          </cell>
          <cell r="G981">
            <v>0.57715648854962553</v>
          </cell>
          <cell r="H981">
            <v>0.57715648854962553</v>
          </cell>
          <cell r="I981" t="e">
            <v>#N/A</v>
          </cell>
          <cell r="J981" t="e">
            <v>#N/A</v>
          </cell>
          <cell r="K981">
            <v>1.54</v>
          </cell>
          <cell r="L981">
            <v>0.76</v>
          </cell>
          <cell r="M981" t="e">
            <v>#N/A</v>
          </cell>
          <cell r="N981">
            <v>1.2</v>
          </cell>
          <cell r="O981" t="e">
            <v>#N/A</v>
          </cell>
          <cell r="P981" t="str">
            <v/>
          </cell>
          <cell r="Q981" t="str">
            <v/>
          </cell>
          <cell r="R981">
            <v>1.19</v>
          </cell>
        </row>
        <row r="982">
          <cell r="A982" t="str">
            <v/>
          </cell>
          <cell r="B982" t="str">
            <v/>
          </cell>
          <cell r="C982" t="str">
            <v>Future</v>
          </cell>
          <cell r="D982" t="e">
            <v>#N/A</v>
          </cell>
          <cell r="E982">
            <v>-0.60183206106870846</v>
          </cell>
          <cell r="F982">
            <v>1.7845801526717644</v>
          </cell>
          <cell r="G982">
            <v>0.57587786259542706</v>
          </cell>
          <cell r="H982">
            <v>0.57587786259542706</v>
          </cell>
          <cell r="I982" t="e">
            <v>#N/A</v>
          </cell>
          <cell r="J982" t="e">
            <v>#N/A</v>
          </cell>
          <cell r="K982">
            <v>1.54</v>
          </cell>
          <cell r="L982">
            <v>0.76</v>
          </cell>
          <cell r="M982" t="e">
            <v>#N/A</v>
          </cell>
          <cell r="N982">
            <v>1.2</v>
          </cell>
          <cell r="O982" t="e">
            <v>#N/A</v>
          </cell>
          <cell r="P982" t="str">
            <v/>
          </cell>
          <cell r="Q982" t="str">
            <v/>
          </cell>
          <cell r="R982">
            <v>1.19</v>
          </cell>
        </row>
        <row r="983">
          <cell r="A983" t="str">
            <v/>
          </cell>
          <cell r="B983" t="str">
            <v/>
          </cell>
          <cell r="C983" t="str">
            <v>Future</v>
          </cell>
          <cell r="D983" t="e">
            <v>#N/A</v>
          </cell>
          <cell r="E983">
            <v>-0.60601145038168558</v>
          </cell>
          <cell r="F983">
            <v>1.7862786259542072</v>
          </cell>
          <cell r="G983">
            <v>0.57459923664122858</v>
          </cell>
          <cell r="H983">
            <v>0.57459923664122858</v>
          </cell>
          <cell r="I983" t="e">
            <v>#N/A</v>
          </cell>
          <cell r="J983" t="e">
            <v>#N/A</v>
          </cell>
          <cell r="K983">
            <v>1.54</v>
          </cell>
          <cell r="L983">
            <v>0.76</v>
          </cell>
          <cell r="M983" t="e">
            <v>#N/A</v>
          </cell>
          <cell r="N983">
            <v>1.2</v>
          </cell>
          <cell r="O983" t="e">
            <v>#N/A</v>
          </cell>
          <cell r="P983" t="str">
            <v/>
          </cell>
          <cell r="Q983" t="str">
            <v/>
          </cell>
          <cell r="R983">
            <v>1.19</v>
          </cell>
        </row>
        <row r="984">
          <cell r="A984" t="str">
            <v/>
          </cell>
          <cell r="B984" t="str">
            <v/>
          </cell>
          <cell r="C984" t="str">
            <v>Future</v>
          </cell>
          <cell r="D984" t="e">
            <v>#N/A</v>
          </cell>
          <cell r="E984">
            <v>-0.6101908396946627</v>
          </cell>
          <cell r="F984">
            <v>1.7879770992366499</v>
          </cell>
          <cell r="G984">
            <v>0.57332061068703011</v>
          </cell>
          <cell r="H984">
            <v>0.57332061068703011</v>
          </cell>
          <cell r="I984" t="e">
            <v>#N/A</v>
          </cell>
          <cell r="J984" t="e">
            <v>#N/A</v>
          </cell>
          <cell r="K984">
            <v>1.54</v>
          </cell>
          <cell r="L984">
            <v>0.76</v>
          </cell>
          <cell r="M984" t="e">
            <v>#N/A</v>
          </cell>
          <cell r="N984">
            <v>1.2</v>
          </cell>
          <cell r="O984" t="e">
            <v>#N/A</v>
          </cell>
          <cell r="P984" t="str">
            <v/>
          </cell>
          <cell r="Q984" t="str">
            <v/>
          </cell>
          <cell r="R984">
            <v>1.19</v>
          </cell>
        </row>
        <row r="985">
          <cell r="A985" t="str">
            <v/>
          </cell>
          <cell r="B985" t="str">
            <v/>
          </cell>
          <cell r="C985" t="str">
            <v>Future</v>
          </cell>
          <cell r="D985" t="e">
            <v>#N/A</v>
          </cell>
          <cell r="E985">
            <v>-0.61437022900763982</v>
          </cell>
          <cell r="F985">
            <v>1.7896755725190927</v>
          </cell>
          <cell r="G985">
            <v>0.57204198473283163</v>
          </cell>
          <cell r="H985">
            <v>0.57204198473283163</v>
          </cell>
          <cell r="I985" t="e">
            <v>#N/A</v>
          </cell>
          <cell r="J985" t="e">
            <v>#N/A</v>
          </cell>
          <cell r="K985">
            <v>1.54</v>
          </cell>
          <cell r="L985">
            <v>0.76</v>
          </cell>
          <cell r="M985" t="e">
            <v>#N/A</v>
          </cell>
          <cell r="N985">
            <v>1.2</v>
          </cell>
          <cell r="O985" t="e">
            <v>#N/A</v>
          </cell>
          <cell r="P985" t="str">
            <v/>
          </cell>
          <cell r="Q985" t="str">
            <v/>
          </cell>
          <cell r="R985">
            <v>1.19</v>
          </cell>
        </row>
        <row r="986">
          <cell r="A986" t="str">
            <v/>
          </cell>
          <cell r="B986" t="str">
            <v/>
          </cell>
          <cell r="C986" t="str">
            <v>Future</v>
          </cell>
          <cell r="D986" t="e">
            <v>#N/A</v>
          </cell>
          <cell r="E986">
            <v>-0.61854961832061695</v>
          </cell>
          <cell r="F986">
            <v>1.7913740458015355</v>
          </cell>
          <cell r="G986">
            <v>0.57076335877863316</v>
          </cell>
          <cell r="H986">
            <v>0.57076335877863316</v>
          </cell>
          <cell r="I986" t="e">
            <v>#N/A</v>
          </cell>
          <cell r="J986" t="e">
            <v>#N/A</v>
          </cell>
          <cell r="K986">
            <v>1.54</v>
          </cell>
          <cell r="L986">
            <v>0.76</v>
          </cell>
          <cell r="M986" t="e">
            <v>#N/A</v>
          </cell>
          <cell r="N986">
            <v>1.2</v>
          </cell>
          <cell r="O986" t="e">
            <v>#N/A</v>
          </cell>
          <cell r="P986" t="str">
            <v/>
          </cell>
          <cell r="Q986" t="str">
            <v/>
          </cell>
          <cell r="R986">
            <v>1.19</v>
          </cell>
        </row>
        <row r="987">
          <cell r="A987" t="str">
            <v/>
          </cell>
          <cell r="B987" t="str">
            <v/>
          </cell>
          <cell r="C987" t="str">
            <v>Future</v>
          </cell>
          <cell r="D987" t="e">
            <v>#N/A</v>
          </cell>
          <cell r="E987">
            <v>-0.62272900763359407</v>
          </cell>
          <cell r="F987">
            <v>1.7930725190839782</v>
          </cell>
          <cell r="G987">
            <v>0.56948473282443468</v>
          </cell>
          <cell r="H987">
            <v>0.56948473282443468</v>
          </cell>
          <cell r="I987" t="e">
            <v>#N/A</v>
          </cell>
          <cell r="J987" t="e">
            <v>#N/A</v>
          </cell>
          <cell r="K987">
            <v>1.54</v>
          </cell>
          <cell r="L987">
            <v>0.76</v>
          </cell>
          <cell r="M987" t="e">
            <v>#N/A</v>
          </cell>
          <cell r="N987">
            <v>1.2</v>
          </cell>
          <cell r="O987" t="e">
            <v>#N/A</v>
          </cell>
          <cell r="P987" t="str">
            <v/>
          </cell>
          <cell r="Q987" t="str">
            <v/>
          </cell>
          <cell r="R987">
            <v>1.19</v>
          </cell>
        </row>
        <row r="988">
          <cell r="A988" t="str">
            <v/>
          </cell>
          <cell r="B988" t="str">
            <v/>
          </cell>
          <cell r="C988" t="str">
            <v>Future</v>
          </cell>
          <cell r="D988" t="e">
            <v>#N/A</v>
          </cell>
          <cell r="E988">
            <v>-0.62690839694657119</v>
          </cell>
          <cell r="F988">
            <v>1.794770992366421</v>
          </cell>
          <cell r="G988">
            <v>0.5682061068702362</v>
          </cell>
          <cell r="H988">
            <v>0.5682061068702362</v>
          </cell>
          <cell r="I988" t="e">
            <v>#N/A</v>
          </cell>
          <cell r="J988" t="e">
            <v>#N/A</v>
          </cell>
          <cell r="K988">
            <v>1.54</v>
          </cell>
          <cell r="L988">
            <v>0.76</v>
          </cell>
          <cell r="M988" t="e">
            <v>#N/A</v>
          </cell>
          <cell r="N988">
            <v>1.2</v>
          </cell>
          <cell r="O988" t="e">
            <v>#N/A</v>
          </cell>
          <cell r="P988" t="str">
            <v/>
          </cell>
          <cell r="Q988" t="str">
            <v/>
          </cell>
          <cell r="R988">
            <v>1.19</v>
          </cell>
        </row>
        <row r="989">
          <cell r="A989" t="str">
            <v/>
          </cell>
          <cell r="B989" t="str">
            <v/>
          </cell>
          <cell r="C989" t="str">
            <v>Future</v>
          </cell>
          <cell r="D989" t="e">
            <v>#N/A</v>
          </cell>
          <cell r="E989">
            <v>-0.63108778625954831</v>
          </cell>
          <cell r="F989">
            <v>1.7964694656488638</v>
          </cell>
          <cell r="G989">
            <v>0.56692748091603773</v>
          </cell>
          <cell r="H989">
            <v>0.56692748091603773</v>
          </cell>
          <cell r="I989" t="e">
            <v>#N/A</v>
          </cell>
          <cell r="J989" t="e">
            <v>#N/A</v>
          </cell>
          <cell r="K989">
            <v>1.54</v>
          </cell>
          <cell r="L989">
            <v>0.76</v>
          </cell>
          <cell r="M989" t="e">
            <v>#N/A</v>
          </cell>
          <cell r="N989">
            <v>1.2</v>
          </cell>
          <cell r="O989" t="e">
            <v>#N/A</v>
          </cell>
          <cell r="P989" t="str">
            <v/>
          </cell>
          <cell r="Q989" t="str">
            <v/>
          </cell>
          <cell r="R989">
            <v>1.19</v>
          </cell>
        </row>
        <row r="990">
          <cell r="A990" t="str">
            <v/>
          </cell>
          <cell r="B990" t="str">
            <v/>
          </cell>
          <cell r="C990" t="str">
            <v>Future</v>
          </cell>
          <cell r="D990" t="e">
            <v>#N/A</v>
          </cell>
          <cell r="E990">
            <v>-0.63526717557252543</v>
          </cell>
          <cell r="F990">
            <v>1.7981679389313066</v>
          </cell>
          <cell r="G990">
            <v>0.56564885496183925</v>
          </cell>
          <cell r="H990">
            <v>0.56564885496183925</v>
          </cell>
          <cell r="I990" t="e">
            <v>#N/A</v>
          </cell>
          <cell r="J990" t="e">
            <v>#N/A</v>
          </cell>
          <cell r="K990">
            <v>1.54</v>
          </cell>
          <cell r="L990">
            <v>0.76</v>
          </cell>
          <cell r="M990" t="e">
            <v>#N/A</v>
          </cell>
          <cell r="N990">
            <v>1.2</v>
          </cell>
          <cell r="O990" t="e">
            <v>#N/A</v>
          </cell>
          <cell r="P990" t="str">
            <v/>
          </cell>
          <cell r="Q990" t="str">
            <v/>
          </cell>
          <cell r="R990">
            <v>1.19</v>
          </cell>
        </row>
        <row r="991">
          <cell r="A991" t="str">
            <v/>
          </cell>
          <cell r="B991" t="str">
            <v/>
          </cell>
          <cell r="C991" t="str">
            <v>Future</v>
          </cell>
          <cell r="D991" t="e">
            <v>#N/A</v>
          </cell>
          <cell r="E991">
            <v>-0.63944656488550256</v>
          </cell>
          <cell r="F991">
            <v>1.7998664122137493</v>
          </cell>
          <cell r="G991">
            <v>0.56437022900764078</v>
          </cell>
          <cell r="H991">
            <v>0.56437022900764078</v>
          </cell>
          <cell r="I991" t="e">
            <v>#N/A</v>
          </cell>
          <cell r="J991" t="e">
            <v>#N/A</v>
          </cell>
          <cell r="K991">
            <v>1.54</v>
          </cell>
          <cell r="L991">
            <v>0.76</v>
          </cell>
          <cell r="M991" t="e">
            <v>#N/A</v>
          </cell>
          <cell r="N991">
            <v>1.2</v>
          </cell>
          <cell r="O991" t="e">
            <v>#N/A</v>
          </cell>
          <cell r="P991" t="str">
            <v/>
          </cell>
          <cell r="Q991" t="str">
            <v/>
          </cell>
          <cell r="R991">
            <v>1.19</v>
          </cell>
        </row>
        <row r="992">
          <cell r="A992" t="str">
            <v/>
          </cell>
          <cell r="B992" t="str">
            <v/>
          </cell>
          <cell r="C992" t="str">
            <v>Future</v>
          </cell>
          <cell r="D992" t="e">
            <v>#N/A</v>
          </cell>
          <cell r="E992">
            <v>-0.64362595419847968</v>
          </cell>
          <cell r="F992">
            <v>1.8015648854961921</v>
          </cell>
          <cell r="G992">
            <v>0.5630916030534423</v>
          </cell>
          <cell r="H992">
            <v>0.5630916030534423</v>
          </cell>
          <cell r="I992" t="e">
            <v>#N/A</v>
          </cell>
          <cell r="J992" t="e">
            <v>#N/A</v>
          </cell>
          <cell r="K992">
            <v>1.54</v>
          </cell>
          <cell r="L992">
            <v>0.76</v>
          </cell>
          <cell r="M992" t="e">
            <v>#N/A</v>
          </cell>
          <cell r="N992">
            <v>1.2</v>
          </cell>
          <cell r="O992" t="e">
            <v>#N/A</v>
          </cell>
          <cell r="P992" t="str">
            <v/>
          </cell>
          <cell r="Q992" t="str">
            <v/>
          </cell>
          <cell r="R992">
            <v>1.19</v>
          </cell>
        </row>
        <row r="993">
          <cell r="A993" t="str">
            <v/>
          </cell>
          <cell r="B993" t="str">
            <v/>
          </cell>
          <cell r="C993" t="str">
            <v>Future</v>
          </cell>
          <cell r="D993" t="e">
            <v>#N/A</v>
          </cell>
          <cell r="E993">
            <v>-0.6478053435114568</v>
          </cell>
          <cell r="F993">
            <v>1.8032633587786349</v>
          </cell>
          <cell r="G993">
            <v>0.56181297709924383</v>
          </cell>
          <cell r="H993">
            <v>0.56181297709924383</v>
          </cell>
          <cell r="I993" t="e">
            <v>#N/A</v>
          </cell>
          <cell r="J993" t="e">
            <v>#N/A</v>
          </cell>
          <cell r="K993">
            <v>1.54</v>
          </cell>
          <cell r="L993">
            <v>0.76</v>
          </cell>
          <cell r="M993" t="e">
            <v>#N/A</v>
          </cell>
          <cell r="N993">
            <v>1.2</v>
          </cell>
          <cell r="O993" t="e">
            <v>#N/A</v>
          </cell>
          <cell r="P993" t="str">
            <v/>
          </cell>
          <cell r="Q993" t="str">
            <v/>
          </cell>
          <cell r="R993">
            <v>1.19</v>
          </cell>
        </row>
        <row r="994">
          <cell r="A994" t="str">
            <v/>
          </cell>
          <cell r="B994" t="str">
            <v/>
          </cell>
          <cell r="C994" t="str">
            <v>Future</v>
          </cell>
          <cell r="D994" t="e">
            <v>#N/A</v>
          </cell>
          <cell r="E994">
            <v>-0.65198473282443392</v>
          </cell>
          <cell r="F994">
            <v>1.8049618320610776</v>
          </cell>
          <cell r="G994">
            <v>0.56053435114504535</v>
          </cell>
          <cell r="H994">
            <v>0.56053435114504535</v>
          </cell>
          <cell r="I994" t="e">
            <v>#N/A</v>
          </cell>
          <cell r="J994" t="e">
            <v>#N/A</v>
          </cell>
          <cell r="K994">
            <v>1.54</v>
          </cell>
          <cell r="L994">
            <v>0.76</v>
          </cell>
          <cell r="M994" t="e">
            <v>#N/A</v>
          </cell>
          <cell r="N994">
            <v>1.2</v>
          </cell>
          <cell r="O994" t="e">
            <v>#N/A</v>
          </cell>
          <cell r="P994" t="str">
            <v/>
          </cell>
          <cell r="Q994" t="str">
            <v/>
          </cell>
          <cell r="R994">
            <v>1.19</v>
          </cell>
        </row>
        <row r="995">
          <cell r="A995" t="str">
            <v/>
          </cell>
          <cell r="B995" t="str">
            <v/>
          </cell>
          <cell r="C995" t="str">
            <v>Future</v>
          </cell>
          <cell r="D995" t="e">
            <v>#N/A</v>
          </cell>
          <cell r="E995">
            <v>-0.65616412213741104</v>
          </cell>
          <cell r="F995">
            <v>1.8066603053435204</v>
          </cell>
          <cell r="G995">
            <v>0.55925572519084688</v>
          </cell>
          <cell r="H995">
            <v>0.55925572519084688</v>
          </cell>
          <cell r="I995" t="e">
            <v>#N/A</v>
          </cell>
          <cell r="J995" t="e">
            <v>#N/A</v>
          </cell>
          <cell r="K995">
            <v>1.54</v>
          </cell>
          <cell r="L995">
            <v>0.76</v>
          </cell>
          <cell r="M995" t="e">
            <v>#N/A</v>
          </cell>
          <cell r="N995">
            <v>1.2</v>
          </cell>
          <cell r="O995" t="e">
            <v>#N/A</v>
          </cell>
          <cell r="P995" t="str">
            <v/>
          </cell>
          <cell r="Q995" t="str">
            <v/>
          </cell>
          <cell r="R995">
            <v>1.19</v>
          </cell>
        </row>
        <row r="996">
          <cell r="A996" t="str">
            <v/>
          </cell>
          <cell r="B996" t="str">
            <v/>
          </cell>
          <cell r="C996" t="str">
            <v>Future</v>
          </cell>
          <cell r="D996" t="e">
            <v>#N/A</v>
          </cell>
          <cell r="E996">
            <v>-0.66034351145038817</v>
          </cell>
          <cell r="F996">
            <v>1.8083587786259632</v>
          </cell>
          <cell r="G996">
            <v>0.5579770992366484</v>
          </cell>
          <cell r="H996">
            <v>0.5579770992366484</v>
          </cell>
          <cell r="I996" t="e">
            <v>#N/A</v>
          </cell>
          <cell r="J996" t="e">
            <v>#N/A</v>
          </cell>
          <cell r="K996">
            <v>1.54</v>
          </cell>
          <cell r="L996">
            <v>0.76</v>
          </cell>
          <cell r="M996" t="e">
            <v>#N/A</v>
          </cell>
          <cell r="N996">
            <v>1.2</v>
          </cell>
          <cell r="O996" t="e">
            <v>#N/A</v>
          </cell>
          <cell r="P996" t="str">
            <v/>
          </cell>
          <cell r="Q996" t="str">
            <v/>
          </cell>
          <cell r="R996">
            <v>1.19</v>
          </cell>
        </row>
        <row r="997">
          <cell r="A997" t="str">
            <v/>
          </cell>
          <cell r="B997" t="str">
            <v/>
          </cell>
          <cell r="C997" t="str">
            <v>Future</v>
          </cell>
          <cell r="D997" t="e">
            <v>#N/A</v>
          </cell>
          <cell r="E997">
            <v>-0.66452290076336529</v>
          </cell>
          <cell r="F997">
            <v>1.8100572519084059</v>
          </cell>
          <cell r="G997">
            <v>0.55669847328244992</v>
          </cell>
          <cell r="H997">
            <v>0.55669847328244992</v>
          </cell>
          <cell r="I997" t="e">
            <v>#N/A</v>
          </cell>
          <cell r="J997" t="e">
            <v>#N/A</v>
          </cell>
          <cell r="K997">
            <v>1.54</v>
          </cell>
          <cell r="L997">
            <v>0.76</v>
          </cell>
          <cell r="M997" t="e">
            <v>#N/A</v>
          </cell>
          <cell r="N997">
            <v>1.2</v>
          </cell>
          <cell r="O997" t="e">
            <v>#N/A</v>
          </cell>
          <cell r="P997" t="str">
            <v/>
          </cell>
          <cell r="Q997" t="str">
            <v/>
          </cell>
          <cell r="R997">
            <v>1.19</v>
          </cell>
        </row>
        <row r="998">
          <cell r="A998" t="str">
            <v/>
          </cell>
          <cell r="B998" t="str">
            <v/>
          </cell>
          <cell r="C998" t="str">
            <v>Future</v>
          </cell>
          <cell r="D998" t="e">
            <v>#N/A</v>
          </cell>
          <cell r="E998">
            <v>-0.66870229007634241</v>
          </cell>
          <cell r="F998">
            <v>1.8117557251908487</v>
          </cell>
          <cell r="G998">
            <v>0.55541984732825145</v>
          </cell>
          <cell r="H998">
            <v>0.55541984732825145</v>
          </cell>
          <cell r="I998" t="e">
            <v>#N/A</v>
          </cell>
          <cell r="J998" t="e">
            <v>#N/A</v>
          </cell>
          <cell r="K998">
            <v>1.54</v>
          </cell>
          <cell r="L998">
            <v>0.76</v>
          </cell>
          <cell r="M998" t="e">
            <v>#N/A</v>
          </cell>
          <cell r="N998">
            <v>1.2</v>
          </cell>
          <cell r="O998" t="e">
            <v>#N/A</v>
          </cell>
          <cell r="P998" t="str">
            <v/>
          </cell>
          <cell r="Q998" t="str">
            <v/>
          </cell>
          <cell r="R998">
            <v>1.19</v>
          </cell>
        </row>
        <row r="999">
          <cell r="A999" t="str">
            <v/>
          </cell>
          <cell r="B999" t="str">
            <v/>
          </cell>
          <cell r="C999" t="str">
            <v>Future</v>
          </cell>
          <cell r="D999" t="e">
            <v>#N/A</v>
          </cell>
          <cell r="E999">
            <v>-0.67288167938931953</v>
          </cell>
          <cell r="F999">
            <v>1.8134541984732915</v>
          </cell>
          <cell r="G999">
            <v>0.55414122137405297</v>
          </cell>
          <cell r="H999">
            <v>0.55414122137405297</v>
          </cell>
          <cell r="I999" t="e">
            <v>#N/A</v>
          </cell>
          <cell r="J999" t="e">
            <v>#N/A</v>
          </cell>
          <cell r="K999">
            <v>1.54</v>
          </cell>
          <cell r="L999">
            <v>0.76</v>
          </cell>
          <cell r="M999" t="e">
            <v>#N/A</v>
          </cell>
          <cell r="N999">
            <v>1.2</v>
          </cell>
          <cell r="O999" t="e">
            <v>#N/A</v>
          </cell>
          <cell r="P999" t="str">
            <v/>
          </cell>
          <cell r="Q999" t="str">
            <v/>
          </cell>
          <cell r="R999">
            <v>1.19</v>
          </cell>
        </row>
        <row r="1000">
          <cell r="A1000" t="str">
            <v/>
          </cell>
          <cell r="B1000" t="str">
            <v/>
          </cell>
          <cell r="C1000" t="str">
            <v>Future</v>
          </cell>
          <cell r="D1000" t="e">
            <v>#N/A</v>
          </cell>
          <cell r="E1000">
            <v>-0.67706106870229665</v>
          </cell>
          <cell r="F1000">
            <v>1.8151526717557342</v>
          </cell>
          <cell r="G1000">
            <v>0.5528625954198545</v>
          </cell>
          <cell r="H1000">
            <v>0.5528625954198545</v>
          </cell>
          <cell r="I1000" t="e">
            <v>#N/A</v>
          </cell>
          <cell r="J1000" t="e">
            <v>#N/A</v>
          </cell>
          <cell r="K1000">
            <v>1.54</v>
          </cell>
          <cell r="L1000">
            <v>0.76</v>
          </cell>
          <cell r="M1000" t="e">
            <v>#N/A</v>
          </cell>
          <cell r="N1000">
            <v>1.2</v>
          </cell>
          <cell r="O1000" t="e">
            <v>#N/A</v>
          </cell>
          <cell r="P1000" t="str">
            <v/>
          </cell>
          <cell r="Q1000" t="str">
            <v/>
          </cell>
          <cell r="R1000">
            <v>1.19</v>
          </cell>
        </row>
        <row r="1001">
          <cell r="A1001" t="str">
            <v/>
          </cell>
          <cell r="B1001" t="str">
            <v/>
          </cell>
          <cell r="C1001" t="str">
            <v>Future</v>
          </cell>
          <cell r="D1001" t="e">
            <v>#N/A</v>
          </cell>
          <cell r="E1001">
            <v>-0.68124045801527378</v>
          </cell>
          <cell r="F1001">
            <v>1.816851145038177</v>
          </cell>
          <cell r="G1001">
            <v>0.55158396946565602</v>
          </cell>
          <cell r="H1001">
            <v>0.55158396946565602</v>
          </cell>
          <cell r="I1001" t="e">
            <v>#N/A</v>
          </cell>
          <cell r="J1001" t="e">
            <v>#N/A</v>
          </cell>
          <cell r="K1001">
            <v>1.54</v>
          </cell>
          <cell r="L1001">
            <v>0.76</v>
          </cell>
          <cell r="M1001" t="e">
            <v>#N/A</v>
          </cell>
          <cell r="N1001">
            <v>1.2</v>
          </cell>
          <cell r="O1001" t="e">
            <v>#N/A</v>
          </cell>
          <cell r="P1001" t="str">
            <v/>
          </cell>
          <cell r="Q1001" t="str">
            <v/>
          </cell>
          <cell r="R1001">
            <v>1.19</v>
          </cell>
        </row>
        <row r="1002">
          <cell r="A1002" t="str">
            <v/>
          </cell>
          <cell r="B1002" t="str">
            <v/>
          </cell>
          <cell r="C1002" t="str">
            <v>Future</v>
          </cell>
          <cell r="D1002" t="e">
            <v>#N/A</v>
          </cell>
          <cell r="E1002">
            <v>-0.6854198473282509</v>
          </cell>
          <cell r="F1002">
            <v>1.8185496183206198</v>
          </cell>
          <cell r="G1002">
            <v>0.55030534351145755</v>
          </cell>
          <cell r="H1002">
            <v>0.55030534351145755</v>
          </cell>
          <cell r="I1002" t="e">
            <v>#N/A</v>
          </cell>
          <cell r="J1002" t="e">
            <v>#N/A</v>
          </cell>
          <cell r="K1002">
            <v>1.54</v>
          </cell>
          <cell r="L1002">
            <v>0.76</v>
          </cell>
          <cell r="M1002" t="e">
            <v>#N/A</v>
          </cell>
          <cell r="N1002">
            <v>1.2</v>
          </cell>
          <cell r="O1002" t="e">
            <v>#N/A</v>
          </cell>
          <cell r="P1002" t="str">
            <v/>
          </cell>
          <cell r="Q1002" t="str">
            <v/>
          </cell>
          <cell r="R1002">
            <v>1.19</v>
          </cell>
        </row>
        <row r="1003">
          <cell r="A1003" t="str">
            <v/>
          </cell>
          <cell r="B1003" t="str">
            <v/>
          </cell>
          <cell r="C1003" t="str">
            <v>Future</v>
          </cell>
          <cell r="D1003" t="e">
            <v>#N/A</v>
          </cell>
          <cell r="E1003">
            <v>-0.68959923664122802</v>
          </cell>
          <cell r="F1003">
            <v>1.8202480916030626</v>
          </cell>
          <cell r="G1003">
            <v>0.54902671755725907</v>
          </cell>
          <cell r="H1003">
            <v>0.54902671755725907</v>
          </cell>
          <cell r="I1003" t="e">
            <v>#N/A</v>
          </cell>
          <cell r="J1003" t="e">
            <v>#N/A</v>
          </cell>
          <cell r="K1003">
            <v>1.54</v>
          </cell>
          <cell r="L1003">
            <v>0.76</v>
          </cell>
          <cell r="M1003" t="e">
            <v>#N/A</v>
          </cell>
          <cell r="N1003">
            <v>1.2</v>
          </cell>
          <cell r="O1003" t="e">
            <v>#N/A</v>
          </cell>
          <cell r="P1003" t="str">
            <v/>
          </cell>
          <cell r="Q1003" t="str">
            <v/>
          </cell>
          <cell r="R1003">
            <v>1.19</v>
          </cell>
        </row>
        <row r="1004">
          <cell r="A1004" t="str">
            <v/>
          </cell>
          <cell r="B1004" t="str">
            <v/>
          </cell>
          <cell r="C1004" t="str">
            <v>Future</v>
          </cell>
          <cell r="D1004" t="e">
            <v>#N/A</v>
          </cell>
          <cell r="E1004">
            <v>-0.69377862595420514</v>
          </cell>
          <cell r="F1004">
            <v>1.8219465648855053</v>
          </cell>
          <cell r="G1004">
            <v>0.54774809160306059</v>
          </cell>
          <cell r="H1004">
            <v>0.54774809160306059</v>
          </cell>
          <cell r="I1004" t="e">
            <v>#N/A</v>
          </cell>
          <cell r="J1004" t="e">
            <v>#N/A</v>
          </cell>
          <cell r="K1004">
            <v>1.54</v>
          </cell>
          <cell r="L1004">
            <v>0.76</v>
          </cell>
          <cell r="M1004" t="e">
            <v>#N/A</v>
          </cell>
          <cell r="N1004">
            <v>1.2</v>
          </cell>
          <cell r="O1004" t="e">
            <v>#N/A</v>
          </cell>
          <cell r="P1004" t="str">
            <v/>
          </cell>
          <cell r="Q1004" t="str">
            <v/>
          </cell>
          <cell r="R1004">
            <v>1.19</v>
          </cell>
        </row>
        <row r="1005">
          <cell r="A1005" t="str">
            <v/>
          </cell>
          <cell r="B1005" t="str">
            <v/>
          </cell>
          <cell r="C1005" t="str">
            <v>Future</v>
          </cell>
          <cell r="D1005" t="e">
            <v>#N/A</v>
          </cell>
          <cell r="E1005">
            <v>-0.69795801526718226</v>
          </cell>
          <cell r="F1005">
            <v>1.8236450381679481</v>
          </cell>
          <cell r="G1005">
            <v>0.54646946564886212</v>
          </cell>
          <cell r="H1005">
            <v>0.54646946564886212</v>
          </cell>
          <cell r="I1005" t="e">
            <v>#N/A</v>
          </cell>
          <cell r="J1005" t="e">
            <v>#N/A</v>
          </cell>
          <cell r="K1005">
            <v>1.54</v>
          </cell>
          <cell r="L1005">
            <v>0.76</v>
          </cell>
          <cell r="M1005" t="e">
            <v>#N/A</v>
          </cell>
          <cell r="N1005">
            <v>1.2</v>
          </cell>
          <cell r="O1005" t="e">
            <v>#N/A</v>
          </cell>
          <cell r="P1005" t="str">
            <v/>
          </cell>
          <cell r="Q1005" t="str">
            <v/>
          </cell>
          <cell r="R1005">
            <v>1.19</v>
          </cell>
        </row>
        <row r="1006">
          <cell r="A1006" t="str">
            <v/>
          </cell>
          <cell r="B1006" t="str">
            <v/>
          </cell>
          <cell r="C1006" t="str">
            <v>Future</v>
          </cell>
          <cell r="D1006" t="e">
            <v>#N/A</v>
          </cell>
          <cell r="E1006">
            <v>-0.70213740458015939</v>
          </cell>
          <cell r="F1006">
            <v>1.8253435114503909</v>
          </cell>
          <cell r="G1006">
            <v>0.54519083969466364</v>
          </cell>
          <cell r="H1006">
            <v>0.54519083969466364</v>
          </cell>
          <cell r="I1006" t="e">
            <v>#N/A</v>
          </cell>
          <cell r="J1006" t="e">
            <v>#N/A</v>
          </cell>
          <cell r="K1006">
            <v>1.54</v>
          </cell>
          <cell r="L1006">
            <v>0.76</v>
          </cell>
          <cell r="M1006" t="e">
            <v>#N/A</v>
          </cell>
          <cell r="N1006">
            <v>1.2</v>
          </cell>
          <cell r="O1006" t="e">
            <v>#N/A</v>
          </cell>
          <cell r="P1006" t="str">
            <v/>
          </cell>
          <cell r="Q1006" t="str">
            <v/>
          </cell>
          <cell r="R1006">
            <v>1.19</v>
          </cell>
        </row>
        <row r="1007">
          <cell r="A1007" t="str">
            <v/>
          </cell>
          <cell r="B1007" t="str">
            <v/>
          </cell>
          <cell r="C1007" t="str">
            <v>Future</v>
          </cell>
          <cell r="D1007" t="e">
            <v>#N/A</v>
          </cell>
          <cell r="E1007">
            <v>-0.70631679389313651</v>
          </cell>
          <cell r="F1007">
            <v>1.8270419847328336</v>
          </cell>
          <cell r="G1007">
            <v>0.54391221374046517</v>
          </cell>
          <cell r="H1007">
            <v>0.54391221374046517</v>
          </cell>
          <cell r="I1007" t="e">
            <v>#N/A</v>
          </cell>
          <cell r="J1007" t="e">
            <v>#N/A</v>
          </cell>
          <cell r="K1007">
            <v>1.54</v>
          </cell>
          <cell r="L1007">
            <v>0.76</v>
          </cell>
          <cell r="M1007" t="e">
            <v>#N/A</v>
          </cell>
          <cell r="N1007">
            <v>1.2</v>
          </cell>
          <cell r="O1007" t="e">
            <v>#N/A</v>
          </cell>
          <cell r="P1007" t="str">
            <v/>
          </cell>
          <cell r="Q1007" t="str">
            <v/>
          </cell>
          <cell r="R1007">
            <v>1.19</v>
          </cell>
        </row>
        <row r="1008">
          <cell r="A1008" t="str">
            <v/>
          </cell>
          <cell r="B1008" t="str">
            <v/>
          </cell>
          <cell r="C1008" t="str">
            <v>Future</v>
          </cell>
          <cell r="D1008" t="e">
            <v>#N/A</v>
          </cell>
          <cell r="E1008">
            <v>-0.71049618320611363</v>
          </cell>
          <cell r="F1008">
            <v>1.8287404580152764</v>
          </cell>
          <cell r="G1008">
            <v>0.54263358778626669</v>
          </cell>
          <cell r="H1008">
            <v>0.54263358778626669</v>
          </cell>
          <cell r="I1008" t="e">
            <v>#N/A</v>
          </cell>
          <cell r="J1008" t="e">
            <v>#N/A</v>
          </cell>
          <cell r="K1008">
            <v>1.54</v>
          </cell>
          <cell r="L1008">
            <v>0.76</v>
          </cell>
          <cell r="M1008" t="e">
            <v>#N/A</v>
          </cell>
          <cell r="N1008">
            <v>1.2</v>
          </cell>
          <cell r="O1008" t="e">
            <v>#N/A</v>
          </cell>
          <cell r="P1008" t="str">
            <v/>
          </cell>
          <cell r="Q1008" t="str">
            <v/>
          </cell>
          <cell r="R1008">
            <v>1.19</v>
          </cell>
        </row>
        <row r="1009">
          <cell r="A1009" t="str">
            <v/>
          </cell>
          <cell r="B1009" t="str">
            <v/>
          </cell>
          <cell r="C1009" t="str">
            <v>Future</v>
          </cell>
          <cell r="D1009" t="e">
            <v>#N/A</v>
          </cell>
          <cell r="E1009">
            <v>-0.71467557251909075</v>
          </cell>
          <cell r="F1009">
            <v>1.8304389312977192</v>
          </cell>
          <cell r="G1009">
            <v>0.54135496183206822</v>
          </cell>
          <cell r="H1009">
            <v>0.54135496183206822</v>
          </cell>
          <cell r="I1009" t="e">
            <v>#N/A</v>
          </cell>
          <cell r="J1009" t="e">
            <v>#N/A</v>
          </cell>
          <cell r="K1009">
            <v>1.54</v>
          </cell>
          <cell r="L1009">
            <v>0.76</v>
          </cell>
          <cell r="M1009" t="e">
            <v>#N/A</v>
          </cell>
          <cell r="N1009">
            <v>1.2</v>
          </cell>
          <cell r="O1009" t="e">
            <v>#N/A</v>
          </cell>
          <cell r="P1009" t="str">
            <v/>
          </cell>
          <cell r="Q1009" t="str">
            <v/>
          </cell>
          <cell r="R1009">
            <v>1.19</v>
          </cell>
        </row>
        <row r="1010">
          <cell r="A1010" t="str">
            <v/>
          </cell>
          <cell r="B1010" t="str">
            <v/>
          </cell>
          <cell r="C1010" t="str">
            <v>Future</v>
          </cell>
          <cell r="D1010" t="e">
            <v>#N/A</v>
          </cell>
          <cell r="E1010">
            <v>-0.71885496183206787</v>
          </cell>
          <cell r="F1010">
            <v>1.8321374045801619</v>
          </cell>
          <cell r="G1010">
            <v>0.54007633587786974</v>
          </cell>
          <cell r="H1010">
            <v>0.54007633587786974</v>
          </cell>
          <cell r="I1010" t="e">
            <v>#N/A</v>
          </cell>
          <cell r="J1010" t="e">
            <v>#N/A</v>
          </cell>
          <cell r="K1010">
            <v>1.54</v>
          </cell>
          <cell r="L1010">
            <v>0.76</v>
          </cell>
          <cell r="M1010" t="e">
            <v>#N/A</v>
          </cell>
          <cell r="N1010">
            <v>1.2</v>
          </cell>
          <cell r="O1010" t="e">
            <v>#N/A</v>
          </cell>
          <cell r="P1010" t="str">
            <v/>
          </cell>
          <cell r="Q1010" t="str">
            <v/>
          </cell>
          <cell r="R1010">
            <v>1.19</v>
          </cell>
        </row>
        <row r="1011">
          <cell r="A1011" t="str">
            <v/>
          </cell>
          <cell r="B1011" t="str">
            <v/>
          </cell>
          <cell r="C1011" t="str">
            <v>Future</v>
          </cell>
          <cell r="D1011" t="e">
            <v>#N/A</v>
          </cell>
          <cell r="E1011">
            <v>-0.723034351145045</v>
          </cell>
          <cell r="F1011">
            <v>1.8338358778626047</v>
          </cell>
          <cell r="G1011">
            <v>0.53879770992367126</v>
          </cell>
          <cell r="H1011">
            <v>0.53879770992367126</v>
          </cell>
          <cell r="I1011" t="e">
            <v>#N/A</v>
          </cell>
          <cell r="J1011" t="e">
            <v>#N/A</v>
          </cell>
          <cell r="K1011">
            <v>1.54</v>
          </cell>
          <cell r="L1011">
            <v>0.76</v>
          </cell>
          <cell r="M1011" t="e">
            <v>#N/A</v>
          </cell>
          <cell r="N1011">
            <v>1.2</v>
          </cell>
          <cell r="O1011" t="e">
            <v>#N/A</v>
          </cell>
          <cell r="P1011" t="str">
            <v/>
          </cell>
          <cell r="Q1011" t="str">
            <v/>
          </cell>
          <cell r="R1011">
            <v>1.19</v>
          </cell>
        </row>
        <row r="1012">
          <cell r="A1012" t="str">
            <v/>
          </cell>
          <cell r="B1012" t="str">
            <v/>
          </cell>
          <cell r="C1012" t="str">
            <v>Future</v>
          </cell>
          <cell r="D1012" t="e">
            <v>#N/A</v>
          </cell>
          <cell r="E1012">
            <v>-0.72721374045802212</v>
          </cell>
          <cell r="F1012">
            <v>1.8355343511450475</v>
          </cell>
          <cell r="G1012">
            <v>0.53751908396947279</v>
          </cell>
          <cell r="H1012">
            <v>0.53751908396947279</v>
          </cell>
          <cell r="I1012" t="e">
            <v>#N/A</v>
          </cell>
          <cell r="J1012" t="e">
            <v>#N/A</v>
          </cell>
          <cell r="K1012">
            <v>1.54</v>
          </cell>
          <cell r="L1012">
            <v>0.76</v>
          </cell>
          <cell r="M1012" t="e">
            <v>#N/A</v>
          </cell>
          <cell r="N1012">
            <v>1.2</v>
          </cell>
          <cell r="O1012" t="e">
            <v>#N/A</v>
          </cell>
          <cell r="P1012" t="str">
            <v/>
          </cell>
          <cell r="Q1012" t="str">
            <v/>
          </cell>
          <cell r="R1012">
            <v>1.19</v>
          </cell>
        </row>
        <row r="1013">
          <cell r="A1013" t="str">
            <v/>
          </cell>
          <cell r="B1013" t="str">
            <v/>
          </cell>
          <cell r="C1013" t="str">
            <v>Future</v>
          </cell>
          <cell r="D1013" t="e">
            <v>#N/A</v>
          </cell>
          <cell r="E1013">
            <v>-0.73139312977099924</v>
          </cell>
          <cell r="F1013">
            <v>1.8372328244274903</v>
          </cell>
          <cell r="G1013">
            <v>0.53624045801527431</v>
          </cell>
          <cell r="H1013">
            <v>0.53624045801527431</v>
          </cell>
          <cell r="I1013" t="e">
            <v>#N/A</v>
          </cell>
          <cell r="J1013" t="e">
            <v>#N/A</v>
          </cell>
          <cell r="K1013">
            <v>1.54</v>
          </cell>
          <cell r="L1013">
            <v>0.76</v>
          </cell>
          <cell r="M1013" t="e">
            <v>#N/A</v>
          </cell>
          <cell r="N1013">
            <v>1.2</v>
          </cell>
          <cell r="O1013" t="e">
            <v>#N/A</v>
          </cell>
          <cell r="P1013" t="str">
            <v/>
          </cell>
          <cell r="Q1013" t="str">
            <v/>
          </cell>
          <cell r="R1013">
            <v>1.19</v>
          </cell>
        </row>
        <row r="1014">
          <cell r="A1014" t="str">
            <v/>
          </cell>
          <cell r="B1014" t="str">
            <v/>
          </cell>
          <cell r="C1014" t="str">
            <v>Future</v>
          </cell>
          <cell r="D1014" t="e">
            <v>#N/A</v>
          </cell>
          <cell r="E1014">
            <v>-0.73557251908397636</v>
          </cell>
          <cell r="F1014">
            <v>1.838931297709933</v>
          </cell>
          <cell r="G1014">
            <v>0.53496183206107584</v>
          </cell>
          <cell r="H1014">
            <v>0.53496183206107584</v>
          </cell>
          <cell r="I1014" t="e">
            <v>#N/A</v>
          </cell>
          <cell r="J1014" t="e">
            <v>#N/A</v>
          </cell>
          <cell r="K1014">
            <v>1.54</v>
          </cell>
          <cell r="L1014">
            <v>0.76</v>
          </cell>
          <cell r="M1014" t="e">
            <v>#N/A</v>
          </cell>
          <cell r="N1014">
            <v>1.2</v>
          </cell>
          <cell r="O1014" t="e">
            <v>#N/A</v>
          </cell>
          <cell r="P1014" t="str">
            <v/>
          </cell>
          <cell r="Q1014" t="str">
            <v/>
          </cell>
          <cell r="R1014">
            <v>1.19</v>
          </cell>
        </row>
        <row r="1015">
          <cell r="A1015" t="str">
            <v/>
          </cell>
          <cell r="B1015" t="str">
            <v/>
          </cell>
          <cell r="C1015" t="str">
            <v>Future</v>
          </cell>
          <cell r="D1015" t="e">
            <v>#N/A</v>
          </cell>
          <cell r="E1015">
            <v>-0.73975190839695348</v>
          </cell>
          <cell r="F1015">
            <v>1.8406297709923758</v>
          </cell>
          <cell r="G1015">
            <v>0.53368320610687736</v>
          </cell>
          <cell r="H1015">
            <v>0.53368320610687736</v>
          </cell>
          <cell r="I1015" t="e">
            <v>#N/A</v>
          </cell>
          <cell r="J1015" t="e">
            <v>#N/A</v>
          </cell>
          <cell r="K1015">
            <v>1.54</v>
          </cell>
          <cell r="L1015">
            <v>0.76</v>
          </cell>
          <cell r="M1015" t="e">
            <v>#N/A</v>
          </cell>
          <cell r="N1015">
            <v>1.2</v>
          </cell>
          <cell r="O1015" t="e">
            <v>#N/A</v>
          </cell>
          <cell r="P1015" t="str">
            <v/>
          </cell>
          <cell r="Q1015" t="str">
            <v/>
          </cell>
          <cell r="R1015">
            <v>1.19</v>
          </cell>
        </row>
        <row r="1016">
          <cell r="A1016" t="str">
            <v/>
          </cell>
          <cell r="B1016" t="str">
            <v/>
          </cell>
          <cell r="C1016" t="str">
            <v>Future</v>
          </cell>
          <cell r="D1016" t="e">
            <v>#N/A</v>
          </cell>
          <cell r="E1016">
            <v>-0.74393129770993061</v>
          </cell>
          <cell r="F1016">
            <v>1.8423282442748186</v>
          </cell>
          <cell r="G1016">
            <v>0.53240458015267889</v>
          </cell>
          <cell r="H1016">
            <v>0.53240458015267889</v>
          </cell>
          <cell r="I1016" t="e">
            <v>#N/A</v>
          </cell>
          <cell r="J1016" t="e">
            <v>#N/A</v>
          </cell>
          <cell r="K1016">
            <v>1.54</v>
          </cell>
          <cell r="L1016">
            <v>0.76</v>
          </cell>
          <cell r="M1016" t="e">
            <v>#N/A</v>
          </cell>
          <cell r="N1016">
            <v>1.2</v>
          </cell>
          <cell r="O1016" t="e">
            <v>#N/A</v>
          </cell>
          <cell r="P1016" t="str">
            <v/>
          </cell>
          <cell r="Q1016" t="str">
            <v/>
          </cell>
          <cell r="R1016">
            <v>1.19</v>
          </cell>
        </row>
        <row r="1017">
          <cell r="A1017" t="str">
            <v/>
          </cell>
          <cell r="B1017" t="str">
            <v/>
          </cell>
          <cell r="C1017" t="str">
            <v>Future</v>
          </cell>
          <cell r="D1017" t="e">
            <v>#N/A</v>
          </cell>
          <cell r="E1017">
            <v>-0.74811068702290773</v>
          </cell>
          <cell r="F1017">
            <v>1.8440267175572613</v>
          </cell>
          <cell r="G1017">
            <v>0.53112595419848041</v>
          </cell>
          <cell r="H1017">
            <v>0.53112595419848041</v>
          </cell>
          <cell r="I1017" t="e">
            <v>#N/A</v>
          </cell>
          <cell r="J1017" t="e">
            <v>#N/A</v>
          </cell>
          <cell r="K1017">
            <v>1.54</v>
          </cell>
          <cell r="L1017">
            <v>0.76</v>
          </cell>
          <cell r="M1017" t="e">
            <v>#N/A</v>
          </cell>
          <cell r="N1017">
            <v>1.2</v>
          </cell>
          <cell r="O1017" t="e">
            <v>#N/A</v>
          </cell>
          <cell r="P1017" t="str">
            <v/>
          </cell>
          <cell r="Q1017" t="str">
            <v/>
          </cell>
          <cell r="R1017">
            <v>1.19</v>
          </cell>
        </row>
        <row r="1018">
          <cell r="A1018" t="str">
            <v/>
          </cell>
          <cell r="B1018" t="str">
            <v/>
          </cell>
          <cell r="C1018" t="str">
            <v>Future</v>
          </cell>
          <cell r="D1018" t="e">
            <v>#N/A</v>
          </cell>
          <cell r="E1018">
            <v>-0.75229007633588485</v>
          </cell>
          <cell r="F1018">
            <v>1.8457251908397041</v>
          </cell>
          <cell r="G1018">
            <v>0.52984732824428193</v>
          </cell>
          <cell r="H1018">
            <v>0.52984732824428193</v>
          </cell>
          <cell r="I1018" t="e">
            <v>#N/A</v>
          </cell>
          <cell r="J1018" t="e">
            <v>#N/A</v>
          </cell>
          <cell r="K1018">
            <v>1.54</v>
          </cell>
          <cell r="L1018">
            <v>0.76</v>
          </cell>
          <cell r="M1018" t="e">
            <v>#N/A</v>
          </cell>
          <cell r="N1018">
            <v>1.2</v>
          </cell>
          <cell r="O1018" t="e">
            <v>#N/A</v>
          </cell>
          <cell r="P1018" t="str">
            <v/>
          </cell>
          <cell r="Q1018" t="str">
            <v/>
          </cell>
          <cell r="R1018">
            <v>1.19</v>
          </cell>
        </row>
        <row r="1019">
          <cell r="A1019" t="str">
            <v/>
          </cell>
          <cell r="B1019" t="str">
            <v/>
          </cell>
          <cell r="C1019" t="str">
            <v>Future</v>
          </cell>
          <cell r="D1019" t="e">
            <v>#N/A</v>
          </cell>
          <cell r="E1019">
            <v>-0.75646946564886197</v>
          </cell>
          <cell r="F1019">
            <v>1.8474236641221469</v>
          </cell>
          <cell r="G1019">
            <v>0.52856870229008346</v>
          </cell>
          <cell r="H1019">
            <v>0.52856870229008346</v>
          </cell>
          <cell r="I1019" t="e">
            <v>#N/A</v>
          </cell>
          <cell r="J1019" t="e">
            <v>#N/A</v>
          </cell>
          <cell r="K1019">
            <v>1.54</v>
          </cell>
          <cell r="L1019">
            <v>0.76</v>
          </cell>
          <cell r="M1019" t="e">
            <v>#N/A</v>
          </cell>
          <cell r="N1019">
            <v>1.2</v>
          </cell>
          <cell r="O1019" t="e">
            <v>#N/A</v>
          </cell>
          <cell r="P1019" t="str">
            <v/>
          </cell>
          <cell r="Q1019" t="str">
            <v/>
          </cell>
          <cell r="R1019">
            <v>1.19</v>
          </cell>
        </row>
        <row r="1020">
          <cell r="A1020" t="str">
            <v/>
          </cell>
          <cell r="B1020" t="str">
            <v/>
          </cell>
          <cell r="C1020" t="str">
            <v>Future</v>
          </cell>
          <cell r="D1020" t="e">
            <v>#N/A</v>
          </cell>
          <cell r="E1020">
            <v>-0.76064885496183909</v>
          </cell>
          <cell r="F1020">
            <v>1.8491221374045896</v>
          </cell>
          <cell r="G1020">
            <v>0.52729007633588498</v>
          </cell>
          <cell r="H1020">
            <v>0.52729007633588498</v>
          </cell>
          <cell r="I1020" t="e">
            <v>#N/A</v>
          </cell>
          <cell r="J1020" t="e">
            <v>#N/A</v>
          </cell>
          <cell r="K1020">
            <v>1.54</v>
          </cell>
          <cell r="L1020">
            <v>0.76</v>
          </cell>
          <cell r="M1020" t="e">
            <v>#N/A</v>
          </cell>
          <cell r="N1020">
            <v>1.2</v>
          </cell>
          <cell r="O1020" t="e">
            <v>#N/A</v>
          </cell>
          <cell r="P1020" t="str">
            <v/>
          </cell>
          <cell r="Q1020" t="str">
            <v/>
          </cell>
          <cell r="R1020">
            <v>1.19</v>
          </cell>
        </row>
        <row r="1021">
          <cell r="A1021" t="str">
            <v/>
          </cell>
          <cell r="B1021" t="str">
            <v/>
          </cell>
          <cell r="C1021" t="str">
            <v>Future</v>
          </cell>
          <cell r="D1021" t="e">
            <v>#N/A</v>
          </cell>
          <cell r="E1021">
            <v>-0.76482824427481622</v>
          </cell>
          <cell r="F1021">
            <v>1.8508206106870324</v>
          </cell>
          <cell r="G1021">
            <v>0.52601145038168651</v>
          </cell>
          <cell r="H1021">
            <v>0.52601145038168651</v>
          </cell>
          <cell r="I1021" t="e">
            <v>#N/A</v>
          </cell>
          <cell r="J1021" t="e">
            <v>#N/A</v>
          </cell>
          <cell r="K1021">
            <v>1.54</v>
          </cell>
          <cell r="L1021">
            <v>0.76</v>
          </cell>
          <cell r="M1021" t="e">
            <v>#N/A</v>
          </cell>
          <cell r="N1021">
            <v>1.2</v>
          </cell>
          <cell r="O1021" t="e">
            <v>#N/A</v>
          </cell>
          <cell r="P1021" t="str">
            <v/>
          </cell>
          <cell r="Q1021" t="str">
            <v/>
          </cell>
          <cell r="R1021">
            <v>1.19</v>
          </cell>
        </row>
        <row r="1022">
          <cell r="A1022" t="str">
            <v/>
          </cell>
          <cell r="B1022" t="str">
            <v/>
          </cell>
          <cell r="C1022" t="str">
            <v>Future</v>
          </cell>
          <cell r="D1022" t="e">
            <v>#N/A</v>
          </cell>
          <cell r="E1022">
            <v>-0.76900763358779334</v>
          </cell>
          <cell r="F1022">
            <v>1.8525190839694752</v>
          </cell>
          <cell r="G1022">
            <v>0.52473282442748803</v>
          </cell>
          <cell r="H1022">
            <v>0.52473282442748803</v>
          </cell>
          <cell r="I1022" t="e">
            <v>#N/A</v>
          </cell>
          <cell r="J1022" t="e">
            <v>#N/A</v>
          </cell>
          <cell r="K1022">
            <v>1.54</v>
          </cell>
          <cell r="L1022">
            <v>0.76</v>
          </cell>
          <cell r="M1022" t="e">
            <v>#N/A</v>
          </cell>
          <cell r="N1022">
            <v>1.2</v>
          </cell>
          <cell r="O1022" t="e">
            <v>#N/A</v>
          </cell>
          <cell r="P1022" t="str">
            <v/>
          </cell>
          <cell r="Q1022" t="str">
            <v/>
          </cell>
          <cell r="R1022">
            <v>1.19</v>
          </cell>
        </row>
        <row r="1023">
          <cell r="A1023" t="str">
            <v/>
          </cell>
          <cell r="B1023" t="str">
            <v/>
          </cell>
          <cell r="C1023" t="str">
            <v>Future</v>
          </cell>
          <cell r="D1023" t="e">
            <v>#N/A</v>
          </cell>
          <cell r="E1023">
            <v>-0.77318702290077046</v>
          </cell>
          <cell r="F1023">
            <v>1.8542175572519179</v>
          </cell>
          <cell r="G1023">
            <v>0.52345419847328956</v>
          </cell>
          <cell r="H1023">
            <v>0.52345419847328956</v>
          </cell>
          <cell r="I1023" t="e">
            <v>#N/A</v>
          </cell>
          <cell r="J1023" t="e">
            <v>#N/A</v>
          </cell>
          <cell r="K1023">
            <v>1.54</v>
          </cell>
          <cell r="L1023">
            <v>0.76</v>
          </cell>
          <cell r="M1023" t="e">
            <v>#N/A</v>
          </cell>
          <cell r="N1023">
            <v>1.2</v>
          </cell>
          <cell r="O1023" t="e">
            <v>#N/A</v>
          </cell>
          <cell r="P1023" t="str">
            <v/>
          </cell>
          <cell r="Q1023" t="str">
            <v/>
          </cell>
          <cell r="R1023">
            <v>1.19</v>
          </cell>
        </row>
        <row r="1024">
          <cell r="A1024" t="str">
            <v/>
          </cell>
          <cell r="B1024" t="str">
            <v/>
          </cell>
          <cell r="C1024" t="str">
            <v>Future</v>
          </cell>
          <cell r="D1024" t="e">
            <v>#N/A</v>
          </cell>
          <cell r="E1024">
            <v>-0.77736641221374758</v>
          </cell>
          <cell r="F1024">
            <v>1.8559160305343607</v>
          </cell>
          <cell r="G1024">
            <v>0.52217557251909108</v>
          </cell>
          <cell r="H1024">
            <v>0.52217557251909108</v>
          </cell>
          <cell r="I1024" t="e">
            <v>#N/A</v>
          </cell>
          <cell r="J1024" t="e">
            <v>#N/A</v>
          </cell>
          <cell r="K1024">
            <v>1.54</v>
          </cell>
          <cell r="L1024">
            <v>0.76</v>
          </cell>
          <cell r="M1024" t="e">
            <v>#N/A</v>
          </cell>
          <cell r="N1024">
            <v>1.2</v>
          </cell>
          <cell r="O1024" t="e">
            <v>#N/A</v>
          </cell>
          <cell r="P1024" t="str">
            <v/>
          </cell>
          <cell r="Q1024" t="str">
            <v/>
          </cell>
          <cell r="R1024">
            <v>1.19</v>
          </cell>
        </row>
        <row r="1025">
          <cell r="A1025" t="str">
            <v/>
          </cell>
          <cell r="B1025" t="str">
            <v/>
          </cell>
          <cell r="C1025" t="str">
            <v>Future</v>
          </cell>
          <cell r="D1025" t="e">
            <v>#N/A</v>
          </cell>
          <cell r="E1025">
            <v>-0.7815458015267247</v>
          </cell>
          <cell r="F1025">
            <v>1.8576145038168035</v>
          </cell>
          <cell r="G1025">
            <v>0.5208969465648926</v>
          </cell>
          <cell r="H1025">
            <v>0.5208969465648926</v>
          </cell>
          <cell r="I1025" t="e">
            <v>#N/A</v>
          </cell>
          <cell r="J1025" t="e">
            <v>#N/A</v>
          </cell>
          <cell r="K1025">
            <v>1.54</v>
          </cell>
          <cell r="L1025">
            <v>0.76</v>
          </cell>
          <cell r="M1025" t="e">
            <v>#N/A</v>
          </cell>
          <cell r="N1025">
            <v>1.2</v>
          </cell>
          <cell r="O1025" t="e">
            <v>#N/A</v>
          </cell>
          <cell r="P1025" t="str">
            <v/>
          </cell>
          <cell r="Q1025" t="str">
            <v/>
          </cell>
          <cell r="R1025">
            <v>1.19</v>
          </cell>
        </row>
        <row r="1026">
          <cell r="A1026" t="str">
            <v/>
          </cell>
          <cell r="B1026" t="str">
            <v/>
          </cell>
          <cell r="C1026" t="str">
            <v>Future</v>
          </cell>
          <cell r="D1026" t="e">
            <v>#N/A</v>
          </cell>
          <cell r="E1026">
            <v>-0.78572519083970183</v>
          </cell>
          <cell r="F1026">
            <v>1.8593129770992463</v>
          </cell>
          <cell r="G1026">
            <v>0.51961832061069413</v>
          </cell>
          <cell r="H1026">
            <v>0.51961832061069413</v>
          </cell>
          <cell r="I1026" t="e">
            <v>#N/A</v>
          </cell>
          <cell r="J1026" t="e">
            <v>#N/A</v>
          </cell>
          <cell r="K1026">
            <v>1.54</v>
          </cell>
          <cell r="L1026">
            <v>0.76</v>
          </cell>
          <cell r="M1026" t="e">
            <v>#N/A</v>
          </cell>
          <cell r="N1026">
            <v>1.2</v>
          </cell>
          <cell r="O1026" t="e">
            <v>#N/A</v>
          </cell>
          <cell r="P1026" t="str">
            <v/>
          </cell>
          <cell r="Q1026" t="str">
            <v/>
          </cell>
          <cell r="R1026">
            <v>1.19</v>
          </cell>
        </row>
        <row r="1027">
          <cell r="A1027" t="str">
            <v/>
          </cell>
          <cell r="B1027" t="str">
            <v/>
          </cell>
          <cell r="C1027" t="str">
            <v>Future</v>
          </cell>
          <cell r="D1027" t="e">
            <v>#N/A</v>
          </cell>
          <cell r="E1027">
            <v>-0.78990458015267895</v>
          </cell>
          <cell r="F1027">
            <v>1.861011450381689</v>
          </cell>
          <cell r="G1027">
            <v>0.51833969465649565</v>
          </cell>
          <cell r="H1027">
            <v>0.51833969465649565</v>
          </cell>
          <cell r="I1027" t="e">
            <v>#N/A</v>
          </cell>
          <cell r="J1027" t="e">
            <v>#N/A</v>
          </cell>
          <cell r="K1027">
            <v>1.54</v>
          </cell>
          <cell r="L1027">
            <v>0.76</v>
          </cell>
          <cell r="M1027" t="e">
            <v>#N/A</v>
          </cell>
          <cell r="N1027">
            <v>1.2</v>
          </cell>
          <cell r="O1027" t="e">
            <v>#N/A</v>
          </cell>
          <cell r="P1027" t="str">
            <v/>
          </cell>
          <cell r="Q1027" t="str">
            <v/>
          </cell>
          <cell r="R1027">
            <v>1.19</v>
          </cell>
        </row>
        <row r="1028">
          <cell r="A1028" t="str">
            <v/>
          </cell>
          <cell r="B1028" t="str">
            <v/>
          </cell>
          <cell r="C1028" t="str">
            <v>Future</v>
          </cell>
          <cell r="D1028" t="e">
            <v>#N/A</v>
          </cell>
          <cell r="E1028">
            <v>-0.79408396946565607</v>
          </cell>
          <cell r="F1028">
            <v>1.8627099236641318</v>
          </cell>
          <cell r="G1028">
            <v>0.51706106870229718</v>
          </cell>
          <cell r="H1028">
            <v>0.51706106870229718</v>
          </cell>
          <cell r="I1028" t="e">
            <v>#N/A</v>
          </cell>
          <cell r="J1028" t="e">
            <v>#N/A</v>
          </cell>
          <cell r="K1028">
            <v>1.54</v>
          </cell>
          <cell r="L1028">
            <v>0.76</v>
          </cell>
          <cell r="M1028" t="e">
            <v>#N/A</v>
          </cell>
          <cell r="N1028">
            <v>1.2</v>
          </cell>
          <cell r="O1028" t="e">
            <v>#N/A</v>
          </cell>
          <cell r="P1028" t="str">
            <v/>
          </cell>
          <cell r="Q1028" t="str">
            <v/>
          </cell>
          <cell r="R1028">
            <v>1.19</v>
          </cell>
        </row>
        <row r="1029">
          <cell r="A1029" t="str">
            <v/>
          </cell>
          <cell r="B1029" t="str">
            <v/>
          </cell>
          <cell r="C1029" t="str">
            <v>Future</v>
          </cell>
          <cell r="D1029" t="e">
            <v>#N/A</v>
          </cell>
          <cell r="E1029">
            <v>-0.79826335877863319</v>
          </cell>
          <cell r="F1029">
            <v>1.8644083969465746</v>
          </cell>
          <cell r="G1029">
            <v>0.5157824427480987</v>
          </cell>
          <cell r="H1029">
            <v>0.5157824427480987</v>
          </cell>
          <cell r="I1029" t="e">
            <v>#N/A</v>
          </cell>
          <cell r="J1029" t="e">
            <v>#N/A</v>
          </cell>
          <cell r="K1029">
            <v>1.54</v>
          </cell>
          <cell r="L1029">
            <v>0.76</v>
          </cell>
          <cell r="M1029" t="e">
            <v>#N/A</v>
          </cell>
          <cell r="N1029">
            <v>1.2</v>
          </cell>
          <cell r="O1029" t="e">
            <v>#N/A</v>
          </cell>
          <cell r="P1029" t="str">
            <v/>
          </cell>
          <cell r="Q1029" t="str">
            <v/>
          </cell>
          <cell r="R1029">
            <v>1.19</v>
          </cell>
        </row>
        <row r="1030">
          <cell r="A1030" t="str">
            <v/>
          </cell>
          <cell r="B1030" t="str">
            <v/>
          </cell>
          <cell r="C1030" t="str">
            <v>Future</v>
          </cell>
          <cell r="D1030" t="e">
            <v>#N/A</v>
          </cell>
          <cell r="E1030">
            <v>-0.80244274809161031</v>
          </cell>
          <cell r="F1030">
            <v>1.8661068702290173</v>
          </cell>
          <cell r="G1030">
            <v>0.51450381679390023</v>
          </cell>
          <cell r="H1030">
            <v>0.51450381679390023</v>
          </cell>
          <cell r="I1030" t="e">
            <v>#N/A</v>
          </cell>
          <cell r="J1030" t="e">
            <v>#N/A</v>
          </cell>
          <cell r="K1030">
            <v>1.54</v>
          </cell>
          <cell r="L1030">
            <v>0.76</v>
          </cell>
          <cell r="M1030" t="e">
            <v>#N/A</v>
          </cell>
          <cell r="N1030">
            <v>1.2</v>
          </cell>
          <cell r="O1030" t="e">
            <v>#N/A</v>
          </cell>
          <cell r="P1030" t="str">
            <v/>
          </cell>
          <cell r="Q1030" t="str">
            <v/>
          </cell>
          <cell r="R1030">
            <v>1.19</v>
          </cell>
        </row>
        <row r="1031">
          <cell r="A1031" t="str">
            <v/>
          </cell>
          <cell r="B1031" t="str">
            <v/>
          </cell>
          <cell r="C1031" t="str">
            <v>Future</v>
          </cell>
          <cell r="D1031" t="e">
            <v>#N/A</v>
          </cell>
          <cell r="E1031">
            <v>-0.80662213740458744</v>
          </cell>
          <cell r="F1031">
            <v>1.8678053435114601</v>
          </cell>
          <cell r="G1031">
            <v>0.51322519083970175</v>
          </cell>
          <cell r="H1031">
            <v>0.51322519083970175</v>
          </cell>
          <cell r="I1031" t="e">
            <v>#N/A</v>
          </cell>
          <cell r="J1031" t="e">
            <v>#N/A</v>
          </cell>
          <cell r="K1031">
            <v>1.54</v>
          </cell>
          <cell r="L1031">
            <v>0.76</v>
          </cell>
          <cell r="M1031" t="e">
            <v>#N/A</v>
          </cell>
          <cell r="N1031">
            <v>1.2</v>
          </cell>
          <cell r="O1031" t="e">
            <v>#N/A</v>
          </cell>
          <cell r="P1031" t="str">
            <v/>
          </cell>
          <cell r="Q1031" t="str">
            <v/>
          </cell>
          <cell r="R1031">
            <v>1.19</v>
          </cell>
        </row>
        <row r="1032">
          <cell r="A1032" t="str">
            <v/>
          </cell>
          <cell r="B1032" t="str">
            <v/>
          </cell>
          <cell r="C1032" t="str">
            <v>Future</v>
          </cell>
          <cell r="D1032" t="e">
            <v>#N/A</v>
          </cell>
          <cell r="E1032">
            <v>-0.81080152671756456</v>
          </cell>
          <cell r="F1032">
            <v>1.8695038167939029</v>
          </cell>
          <cell r="G1032">
            <v>0.51194656488550327</v>
          </cell>
          <cell r="H1032">
            <v>0.51194656488550327</v>
          </cell>
          <cell r="I1032" t="e">
            <v>#N/A</v>
          </cell>
          <cell r="J1032" t="e">
            <v>#N/A</v>
          </cell>
          <cell r="K1032">
            <v>1.54</v>
          </cell>
          <cell r="L1032">
            <v>0.76</v>
          </cell>
          <cell r="M1032" t="e">
            <v>#N/A</v>
          </cell>
          <cell r="N1032">
            <v>1.2</v>
          </cell>
          <cell r="O1032" t="e">
            <v>#N/A</v>
          </cell>
          <cell r="P1032" t="str">
            <v/>
          </cell>
          <cell r="Q1032" t="str">
            <v/>
          </cell>
          <cell r="R1032">
            <v>1.19</v>
          </cell>
        </row>
        <row r="1033">
          <cell r="A1033" t="str">
            <v/>
          </cell>
          <cell r="B1033" t="str">
            <v/>
          </cell>
          <cell r="C1033" t="str">
            <v>Future</v>
          </cell>
          <cell r="D1033" t="e">
            <v>#N/A</v>
          </cell>
          <cell r="E1033">
            <v>-0.81498091603054168</v>
          </cell>
          <cell r="F1033">
            <v>1.8712022900763456</v>
          </cell>
          <cell r="G1033">
            <v>0.5106679389313048</v>
          </cell>
          <cell r="H1033">
            <v>0.5106679389313048</v>
          </cell>
          <cell r="I1033" t="e">
            <v>#N/A</v>
          </cell>
          <cell r="J1033" t="e">
            <v>#N/A</v>
          </cell>
          <cell r="K1033">
            <v>1.54</v>
          </cell>
          <cell r="L1033">
            <v>0.76</v>
          </cell>
          <cell r="M1033" t="e">
            <v>#N/A</v>
          </cell>
          <cell r="N1033">
            <v>1.2</v>
          </cell>
          <cell r="O1033" t="e">
            <v>#N/A</v>
          </cell>
          <cell r="P1033" t="str">
            <v/>
          </cell>
          <cell r="Q1033" t="str">
            <v/>
          </cell>
          <cell r="R1033">
            <v>1.19</v>
          </cell>
        </row>
        <row r="1034">
          <cell r="A1034" t="str">
            <v/>
          </cell>
          <cell r="B1034" t="str">
            <v/>
          </cell>
          <cell r="C1034" t="str">
            <v>Future</v>
          </cell>
          <cell r="D1034" t="e">
            <v>#N/A</v>
          </cell>
          <cell r="E1034">
            <v>-0.8191603053435188</v>
          </cell>
          <cell r="F1034">
            <v>1.8729007633587884</v>
          </cell>
          <cell r="G1034">
            <v>0.50938931297710632</v>
          </cell>
          <cell r="H1034">
            <v>0.50938931297710632</v>
          </cell>
          <cell r="I1034" t="e">
            <v>#N/A</v>
          </cell>
          <cell r="J1034" t="e">
            <v>#N/A</v>
          </cell>
          <cell r="K1034">
            <v>1.54</v>
          </cell>
          <cell r="L1034">
            <v>0.76</v>
          </cell>
          <cell r="M1034" t="e">
            <v>#N/A</v>
          </cell>
          <cell r="N1034">
            <v>1.2</v>
          </cell>
          <cell r="O1034" t="e">
            <v>#N/A</v>
          </cell>
          <cell r="P1034" t="str">
            <v/>
          </cell>
          <cell r="Q1034" t="str">
            <v/>
          </cell>
          <cell r="R1034">
            <v>1.19</v>
          </cell>
        </row>
        <row r="1035">
          <cell r="A1035" t="str">
            <v/>
          </cell>
          <cell r="B1035" t="str">
            <v/>
          </cell>
          <cell r="C1035" t="str">
            <v>Future</v>
          </cell>
          <cell r="D1035" t="e">
            <v>#N/A</v>
          </cell>
          <cell r="E1035">
            <v>-0.82333969465649592</v>
          </cell>
          <cell r="F1035">
            <v>1.8745992366412312</v>
          </cell>
          <cell r="G1035">
            <v>0.50811068702290785</v>
          </cell>
          <cell r="H1035">
            <v>0.50811068702290785</v>
          </cell>
          <cell r="I1035" t="e">
            <v>#N/A</v>
          </cell>
          <cell r="J1035" t="e">
            <v>#N/A</v>
          </cell>
          <cell r="K1035">
            <v>1.54</v>
          </cell>
          <cell r="L1035">
            <v>0.76</v>
          </cell>
          <cell r="M1035" t="e">
            <v>#N/A</v>
          </cell>
          <cell r="N1035">
            <v>1.2</v>
          </cell>
          <cell r="O1035" t="e">
            <v>#N/A</v>
          </cell>
          <cell r="P1035" t="str">
            <v/>
          </cell>
          <cell r="Q1035" t="str">
            <v/>
          </cell>
          <cell r="R1035">
            <v>1.19</v>
          </cell>
        </row>
        <row r="1036">
          <cell r="A1036" t="str">
            <v/>
          </cell>
          <cell r="B1036" t="str">
            <v/>
          </cell>
          <cell r="C1036" t="str">
            <v>Future</v>
          </cell>
          <cell r="D1036" t="e">
            <v>#N/A</v>
          </cell>
          <cell r="E1036">
            <v>-0.82751908396947305</v>
          </cell>
          <cell r="F1036">
            <v>1.876297709923674</v>
          </cell>
          <cell r="G1036">
            <v>0.50683206106870937</v>
          </cell>
          <cell r="H1036">
            <v>0.50683206106870937</v>
          </cell>
          <cell r="I1036" t="e">
            <v>#N/A</v>
          </cell>
          <cell r="J1036" t="e">
            <v>#N/A</v>
          </cell>
          <cell r="K1036">
            <v>1.54</v>
          </cell>
          <cell r="L1036">
            <v>0.76</v>
          </cell>
          <cell r="M1036" t="e">
            <v>#N/A</v>
          </cell>
          <cell r="N1036">
            <v>1.2</v>
          </cell>
          <cell r="O1036" t="e">
            <v>#N/A</v>
          </cell>
          <cell r="P1036" t="str">
            <v/>
          </cell>
          <cell r="Q1036" t="str">
            <v/>
          </cell>
          <cell r="R1036">
            <v>1.19</v>
          </cell>
        </row>
        <row r="1037">
          <cell r="A1037" t="str">
            <v/>
          </cell>
          <cell r="B1037" t="str">
            <v/>
          </cell>
          <cell r="C1037" t="str">
            <v>Future</v>
          </cell>
          <cell r="D1037" t="e">
            <v>#N/A</v>
          </cell>
          <cell r="E1037">
            <v>-0.83169847328245017</v>
          </cell>
          <cell r="F1037">
            <v>1.8779961832061167</v>
          </cell>
          <cell r="G1037">
            <v>0.5055534351145109</v>
          </cell>
          <cell r="H1037">
            <v>0.5055534351145109</v>
          </cell>
          <cell r="I1037" t="e">
            <v>#N/A</v>
          </cell>
          <cell r="J1037" t="e">
            <v>#N/A</v>
          </cell>
          <cell r="K1037">
            <v>1.54</v>
          </cell>
          <cell r="L1037">
            <v>0.76</v>
          </cell>
          <cell r="M1037" t="e">
            <v>#N/A</v>
          </cell>
          <cell r="N1037">
            <v>1.2</v>
          </cell>
          <cell r="O1037" t="e">
            <v>#N/A</v>
          </cell>
          <cell r="P1037" t="str">
            <v/>
          </cell>
          <cell r="Q1037" t="str">
            <v/>
          </cell>
          <cell r="R1037">
            <v>1.19</v>
          </cell>
        </row>
        <row r="1038">
          <cell r="A1038" t="str">
            <v/>
          </cell>
          <cell r="B1038" t="str">
            <v/>
          </cell>
          <cell r="C1038" t="str">
            <v>Future</v>
          </cell>
          <cell r="D1038" t="e">
            <v>#N/A</v>
          </cell>
          <cell r="E1038">
            <v>-0.83587786259542729</v>
          </cell>
          <cell r="F1038">
            <v>1.8796946564885595</v>
          </cell>
          <cell r="G1038">
            <v>0.50427480916031242</v>
          </cell>
          <cell r="H1038">
            <v>0.50427480916031242</v>
          </cell>
          <cell r="I1038" t="e">
            <v>#N/A</v>
          </cell>
          <cell r="J1038" t="e">
            <v>#N/A</v>
          </cell>
          <cell r="K1038">
            <v>1.54</v>
          </cell>
          <cell r="L1038">
            <v>0.76</v>
          </cell>
          <cell r="M1038" t="e">
            <v>#N/A</v>
          </cell>
          <cell r="N1038">
            <v>1.2</v>
          </cell>
          <cell r="O1038" t="e">
            <v>#N/A</v>
          </cell>
          <cell r="P1038" t="str">
            <v/>
          </cell>
          <cell r="Q1038" t="str">
            <v/>
          </cell>
          <cell r="R1038">
            <v>1.19</v>
          </cell>
        </row>
        <row r="1039">
          <cell r="A1039" t="str">
            <v/>
          </cell>
          <cell r="B1039" t="str">
            <v/>
          </cell>
          <cell r="C1039" t="str">
            <v>Future</v>
          </cell>
          <cell r="D1039" t="e">
            <v>#N/A</v>
          </cell>
          <cell r="E1039">
            <v>-0.84005725190840441</v>
          </cell>
          <cell r="F1039">
            <v>1.8813931297710023</v>
          </cell>
          <cell r="G1039">
            <v>0.50299618320611394</v>
          </cell>
          <cell r="H1039">
            <v>0.50299618320611394</v>
          </cell>
          <cell r="I1039" t="e">
            <v>#N/A</v>
          </cell>
          <cell r="J1039" t="e">
            <v>#N/A</v>
          </cell>
          <cell r="K1039">
            <v>1.54</v>
          </cell>
          <cell r="L1039">
            <v>0.76</v>
          </cell>
          <cell r="M1039" t="e">
            <v>#N/A</v>
          </cell>
          <cell r="N1039">
            <v>1.2</v>
          </cell>
          <cell r="O1039" t="e">
            <v>#N/A</v>
          </cell>
          <cell r="P1039" t="str">
            <v/>
          </cell>
          <cell r="Q1039" t="str">
            <v/>
          </cell>
          <cell r="R1039">
            <v>1.19</v>
          </cell>
        </row>
        <row r="1040">
          <cell r="A1040" t="str">
            <v/>
          </cell>
          <cell r="B1040" t="str">
            <v/>
          </cell>
          <cell r="C1040" t="str">
            <v>Future</v>
          </cell>
          <cell r="D1040" t="e">
            <v>#N/A</v>
          </cell>
          <cell r="E1040">
            <v>-0.84423664122138153</v>
          </cell>
          <cell r="F1040">
            <v>1.883091603053445</v>
          </cell>
          <cell r="G1040">
            <v>0.50171755725191547</v>
          </cell>
          <cell r="H1040">
            <v>0.50171755725191547</v>
          </cell>
          <cell r="I1040" t="e">
            <v>#N/A</v>
          </cell>
          <cell r="J1040" t="e">
            <v>#N/A</v>
          </cell>
          <cell r="K1040">
            <v>1.54</v>
          </cell>
          <cell r="L1040">
            <v>0.76</v>
          </cell>
          <cell r="M1040" t="e">
            <v>#N/A</v>
          </cell>
          <cell r="N1040">
            <v>1.2</v>
          </cell>
          <cell r="O1040" t="e">
            <v>#N/A</v>
          </cell>
          <cell r="P1040" t="str">
            <v/>
          </cell>
          <cell r="Q1040" t="str">
            <v/>
          </cell>
          <cell r="R1040">
            <v>1.19</v>
          </cell>
        </row>
        <row r="1041">
          <cell r="A1041" t="str">
            <v/>
          </cell>
          <cell r="B1041" t="str">
            <v/>
          </cell>
          <cell r="C1041" t="str">
            <v>Future</v>
          </cell>
          <cell r="D1041" t="e">
            <v>#N/A</v>
          </cell>
          <cell r="E1041">
            <v>-0.84841603053435866</v>
          </cell>
          <cell r="F1041">
            <v>1.8847900763358878</v>
          </cell>
          <cell r="G1041">
            <v>0.50043893129771699</v>
          </cell>
          <cell r="H1041">
            <v>0.50043893129771699</v>
          </cell>
          <cell r="I1041" t="e">
            <v>#N/A</v>
          </cell>
          <cell r="J1041" t="e">
            <v>#N/A</v>
          </cell>
          <cell r="K1041">
            <v>1.54</v>
          </cell>
          <cell r="L1041">
            <v>0.76</v>
          </cell>
          <cell r="M1041" t="e">
            <v>#N/A</v>
          </cell>
          <cell r="N1041">
            <v>1.2</v>
          </cell>
          <cell r="O1041" t="e">
            <v>#N/A</v>
          </cell>
          <cell r="P1041" t="str">
            <v/>
          </cell>
          <cell r="Q1041" t="str">
            <v/>
          </cell>
          <cell r="R1041">
            <v>1.19</v>
          </cell>
        </row>
        <row r="1042">
          <cell r="A1042" t="str">
            <v/>
          </cell>
          <cell r="B1042" t="str">
            <v/>
          </cell>
          <cell r="C1042" t="str">
            <v>Future</v>
          </cell>
          <cell r="D1042" t="e">
            <v>#N/A</v>
          </cell>
          <cell r="E1042">
            <v>-0.85259541984733578</v>
          </cell>
          <cell r="F1042">
            <v>1.8864885496183306</v>
          </cell>
          <cell r="G1042">
            <v>0.49916030534351852</v>
          </cell>
          <cell r="H1042">
            <v>0.49916030534351852</v>
          </cell>
          <cell r="I1042" t="e">
            <v>#N/A</v>
          </cell>
          <cell r="J1042" t="e">
            <v>#N/A</v>
          </cell>
          <cell r="K1042">
            <v>1.54</v>
          </cell>
          <cell r="L1042">
            <v>0.76</v>
          </cell>
          <cell r="M1042" t="e">
            <v>#N/A</v>
          </cell>
          <cell r="N1042">
            <v>1.2</v>
          </cell>
          <cell r="O1042" t="e">
            <v>#N/A</v>
          </cell>
          <cell r="P1042" t="str">
            <v/>
          </cell>
          <cell r="Q1042" t="str">
            <v/>
          </cell>
          <cell r="R1042">
            <v>1.19</v>
          </cell>
        </row>
        <row r="1043">
          <cell r="A1043" t="str">
            <v/>
          </cell>
          <cell r="B1043" t="str">
            <v/>
          </cell>
          <cell r="C1043" t="str">
            <v>Future</v>
          </cell>
          <cell r="D1043" t="e">
            <v>#N/A</v>
          </cell>
          <cell r="E1043">
            <v>-0.8567748091603129</v>
          </cell>
          <cell r="F1043">
            <v>1.8881870229007733</v>
          </cell>
          <cell r="G1043">
            <v>0.49788167938932004</v>
          </cell>
          <cell r="H1043">
            <v>0.49788167938932004</v>
          </cell>
          <cell r="I1043" t="e">
            <v>#N/A</v>
          </cell>
          <cell r="J1043" t="e">
            <v>#N/A</v>
          </cell>
          <cell r="K1043">
            <v>1.54</v>
          </cell>
          <cell r="L1043">
            <v>0.76</v>
          </cell>
          <cell r="M1043" t="e">
            <v>#N/A</v>
          </cell>
          <cell r="N1043">
            <v>1.2</v>
          </cell>
          <cell r="O1043" t="e">
            <v>#N/A</v>
          </cell>
          <cell r="P1043" t="str">
            <v/>
          </cell>
          <cell r="Q1043" t="str">
            <v/>
          </cell>
          <cell r="R1043">
            <v>1.19</v>
          </cell>
        </row>
        <row r="1044">
          <cell r="A1044" t="str">
            <v/>
          </cell>
          <cell r="B1044" t="str">
            <v/>
          </cell>
          <cell r="C1044" t="str">
            <v>Future</v>
          </cell>
          <cell r="D1044" t="e">
            <v>#N/A</v>
          </cell>
          <cell r="E1044">
            <v>-0.86095419847329002</v>
          </cell>
          <cell r="F1044">
            <v>1.8898854961832161</v>
          </cell>
          <cell r="G1044">
            <v>0.49660305343512157</v>
          </cell>
          <cell r="H1044">
            <v>0.49660305343512157</v>
          </cell>
          <cell r="I1044" t="e">
            <v>#N/A</v>
          </cell>
          <cell r="J1044" t="e">
            <v>#N/A</v>
          </cell>
          <cell r="K1044">
            <v>1.54</v>
          </cell>
          <cell r="L1044">
            <v>0.76</v>
          </cell>
          <cell r="M1044" t="e">
            <v>#N/A</v>
          </cell>
          <cell r="N1044">
            <v>1.2</v>
          </cell>
          <cell r="O1044" t="e">
            <v>#N/A</v>
          </cell>
          <cell r="P1044" t="str">
            <v/>
          </cell>
          <cell r="Q1044" t="str">
            <v/>
          </cell>
          <cell r="R1044">
            <v>1.19</v>
          </cell>
        </row>
        <row r="1045">
          <cell r="A1045" t="str">
            <v/>
          </cell>
          <cell r="B1045" t="str">
            <v/>
          </cell>
          <cell r="C1045" t="str">
            <v>Future</v>
          </cell>
          <cell r="D1045" t="e">
            <v>#N/A</v>
          </cell>
          <cell r="E1045">
            <v>-0.86513358778626714</v>
          </cell>
          <cell r="F1045">
            <v>1.8915839694656589</v>
          </cell>
          <cell r="G1045">
            <v>0.49532442748092309</v>
          </cell>
          <cell r="H1045">
            <v>0.49532442748092309</v>
          </cell>
          <cell r="I1045" t="e">
            <v>#N/A</v>
          </cell>
          <cell r="J1045" t="e">
            <v>#N/A</v>
          </cell>
          <cell r="K1045">
            <v>1.54</v>
          </cell>
          <cell r="L1045">
            <v>0.76</v>
          </cell>
          <cell r="M1045" t="e">
            <v>#N/A</v>
          </cell>
          <cell r="N1045">
            <v>1.2</v>
          </cell>
          <cell r="O1045" t="e">
            <v>#N/A</v>
          </cell>
          <cell r="P1045" t="str">
            <v/>
          </cell>
          <cell r="Q1045" t="str">
            <v/>
          </cell>
          <cell r="R1045">
            <v>1.19</v>
          </cell>
        </row>
        <row r="1046">
          <cell r="A1046" t="str">
            <v/>
          </cell>
          <cell r="B1046" t="str">
            <v/>
          </cell>
          <cell r="C1046" t="str">
            <v>Future</v>
          </cell>
          <cell r="D1046" t="e">
            <v>#N/A</v>
          </cell>
          <cell r="E1046">
            <v>-0.86931297709924427</v>
          </cell>
          <cell r="F1046">
            <v>1.8932824427481016</v>
          </cell>
          <cell r="G1046">
            <v>0.49404580152672462</v>
          </cell>
          <cell r="H1046">
            <v>0.49404580152672462</v>
          </cell>
          <cell r="I1046" t="e">
            <v>#N/A</v>
          </cell>
          <cell r="J1046" t="e">
            <v>#N/A</v>
          </cell>
          <cell r="K1046">
            <v>1.54</v>
          </cell>
          <cell r="L1046">
            <v>0.76</v>
          </cell>
          <cell r="M1046" t="e">
            <v>#N/A</v>
          </cell>
          <cell r="N1046">
            <v>1.2</v>
          </cell>
          <cell r="O1046" t="e">
            <v>#N/A</v>
          </cell>
          <cell r="P1046" t="str">
            <v/>
          </cell>
          <cell r="Q1046" t="str">
            <v/>
          </cell>
          <cell r="R1046">
            <v>1.19</v>
          </cell>
        </row>
        <row r="1047">
          <cell r="A1047" t="str">
            <v/>
          </cell>
          <cell r="B1047" t="str">
            <v/>
          </cell>
          <cell r="C1047" t="str">
            <v>Future</v>
          </cell>
          <cell r="D1047" t="e">
            <v>#N/A</v>
          </cell>
          <cell r="E1047">
            <v>-0.87349236641222139</v>
          </cell>
          <cell r="F1047">
            <v>1.8949809160305444</v>
          </cell>
          <cell r="G1047">
            <v>0.49276717557252614</v>
          </cell>
          <cell r="H1047">
            <v>0.49276717557252614</v>
          </cell>
          <cell r="I1047" t="e">
            <v>#N/A</v>
          </cell>
          <cell r="J1047" t="e">
            <v>#N/A</v>
          </cell>
          <cell r="K1047">
            <v>1.54</v>
          </cell>
          <cell r="L1047">
            <v>0.76</v>
          </cell>
          <cell r="M1047" t="e">
            <v>#N/A</v>
          </cell>
          <cell r="N1047">
            <v>1.2</v>
          </cell>
          <cell r="O1047" t="e">
            <v>#N/A</v>
          </cell>
          <cell r="P1047" t="str">
            <v/>
          </cell>
          <cell r="Q1047" t="str">
            <v/>
          </cell>
          <cell r="R1047">
            <v>1.19</v>
          </cell>
        </row>
        <row r="1048">
          <cell r="A1048" t="str">
            <v/>
          </cell>
          <cell r="B1048" t="str">
            <v/>
          </cell>
          <cell r="C1048" t="str">
            <v>Future</v>
          </cell>
          <cell r="D1048" t="e">
            <v>#N/A</v>
          </cell>
          <cell r="E1048">
            <v>-0.87767175572519851</v>
          </cell>
          <cell r="F1048">
            <v>1.8966793893129872</v>
          </cell>
          <cell r="G1048">
            <v>0.49148854961832766</v>
          </cell>
          <cell r="H1048">
            <v>0.49148854961832766</v>
          </cell>
          <cell r="I1048" t="e">
            <v>#N/A</v>
          </cell>
          <cell r="J1048" t="e">
            <v>#N/A</v>
          </cell>
          <cell r="K1048">
            <v>1.54</v>
          </cell>
          <cell r="L1048">
            <v>0.76</v>
          </cell>
          <cell r="M1048" t="e">
            <v>#N/A</v>
          </cell>
          <cell r="N1048">
            <v>1.2</v>
          </cell>
          <cell r="O1048" t="e">
            <v>#N/A</v>
          </cell>
          <cell r="P1048" t="str">
            <v/>
          </cell>
          <cell r="Q1048" t="str">
            <v/>
          </cell>
          <cell r="R1048">
            <v>1.19</v>
          </cell>
        </row>
        <row r="1049">
          <cell r="A1049" t="str">
            <v/>
          </cell>
          <cell r="B1049" t="str">
            <v/>
          </cell>
          <cell r="C1049" t="str">
            <v>Future</v>
          </cell>
          <cell r="D1049" t="e">
            <v>#N/A</v>
          </cell>
          <cell r="E1049">
            <v>-0.88185114503817563</v>
          </cell>
          <cell r="F1049">
            <v>1.89837786259543</v>
          </cell>
          <cell r="G1049">
            <v>0.49020992366412919</v>
          </cell>
          <cell r="H1049">
            <v>0.49020992366412919</v>
          </cell>
          <cell r="I1049" t="e">
            <v>#N/A</v>
          </cell>
          <cell r="J1049" t="e">
            <v>#N/A</v>
          </cell>
          <cell r="K1049">
            <v>1.54</v>
          </cell>
          <cell r="L1049">
            <v>0.76</v>
          </cell>
          <cell r="M1049" t="e">
            <v>#N/A</v>
          </cell>
          <cell r="N1049">
            <v>1.2</v>
          </cell>
          <cell r="O1049" t="e">
            <v>#N/A</v>
          </cell>
          <cell r="P1049" t="str">
            <v/>
          </cell>
          <cell r="Q1049" t="str">
            <v/>
          </cell>
          <cell r="R1049">
            <v>1.19</v>
          </cell>
        </row>
        <row r="1050">
          <cell r="A1050" t="str">
            <v/>
          </cell>
          <cell r="B1050" t="str">
            <v/>
          </cell>
          <cell r="C1050" t="str">
            <v>Future</v>
          </cell>
          <cell r="D1050" t="e">
            <v>#N/A</v>
          </cell>
          <cell r="E1050">
            <v>-0.88603053435115275</v>
          </cell>
          <cell r="F1050">
            <v>1.9000763358778727</v>
          </cell>
          <cell r="G1050">
            <v>0.48893129770993071</v>
          </cell>
          <cell r="H1050">
            <v>0.48893129770993071</v>
          </cell>
          <cell r="I1050" t="e">
            <v>#N/A</v>
          </cell>
          <cell r="J1050" t="e">
            <v>#N/A</v>
          </cell>
          <cell r="K1050">
            <v>1.54</v>
          </cell>
          <cell r="L1050">
            <v>0.76</v>
          </cell>
          <cell r="M1050" t="e">
            <v>#N/A</v>
          </cell>
          <cell r="N1050">
            <v>1.2</v>
          </cell>
          <cell r="O1050" t="e">
            <v>#N/A</v>
          </cell>
          <cell r="P1050" t="str">
            <v/>
          </cell>
          <cell r="Q1050" t="str">
            <v/>
          </cell>
          <cell r="R1050">
            <v>1.19</v>
          </cell>
        </row>
        <row r="1051">
          <cell r="A1051" t="str">
            <v/>
          </cell>
          <cell r="B1051" t="str">
            <v/>
          </cell>
          <cell r="C1051" t="str">
            <v>Future</v>
          </cell>
          <cell r="D1051" t="e">
            <v>#N/A</v>
          </cell>
          <cell r="E1051">
            <v>-0.89020992366412988</v>
          </cell>
          <cell r="F1051">
            <v>1.9017748091603155</v>
          </cell>
          <cell r="G1051">
            <v>0.48765267175573224</v>
          </cell>
          <cell r="H1051">
            <v>0.48765267175573224</v>
          </cell>
          <cell r="I1051" t="e">
            <v>#N/A</v>
          </cell>
          <cell r="J1051" t="e">
            <v>#N/A</v>
          </cell>
          <cell r="K1051">
            <v>1.54</v>
          </cell>
          <cell r="L1051">
            <v>0.76</v>
          </cell>
          <cell r="M1051" t="e">
            <v>#N/A</v>
          </cell>
          <cell r="N1051">
            <v>1.2</v>
          </cell>
          <cell r="O1051" t="e">
            <v>#N/A</v>
          </cell>
          <cell r="P1051" t="str">
            <v/>
          </cell>
          <cell r="Q1051" t="str">
            <v/>
          </cell>
          <cell r="R1051">
            <v>1.19</v>
          </cell>
        </row>
        <row r="1052">
          <cell r="A1052" t="str">
            <v/>
          </cell>
          <cell r="B1052" t="str">
            <v/>
          </cell>
          <cell r="C1052" t="str">
            <v>Future</v>
          </cell>
          <cell r="D1052" t="e">
            <v>#N/A</v>
          </cell>
          <cell r="E1052">
            <v>-0.894389312977107</v>
          </cell>
          <cell r="F1052">
            <v>1.9034732824427583</v>
          </cell>
          <cell r="G1052">
            <v>0.48637404580153376</v>
          </cell>
          <cell r="H1052">
            <v>0.48637404580153376</v>
          </cell>
          <cell r="I1052" t="e">
            <v>#N/A</v>
          </cell>
          <cell r="J1052" t="e">
            <v>#N/A</v>
          </cell>
          <cell r="K1052">
            <v>1.54</v>
          </cell>
          <cell r="L1052">
            <v>0.76</v>
          </cell>
          <cell r="M1052" t="e">
            <v>#N/A</v>
          </cell>
          <cell r="N1052">
            <v>1.2</v>
          </cell>
          <cell r="O1052" t="e">
            <v>#N/A</v>
          </cell>
          <cell r="P1052" t="str">
            <v/>
          </cell>
          <cell r="Q1052" t="str">
            <v/>
          </cell>
          <cell r="R1052">
            <v>1.19</v>
          </cell>
        </row>
        <row r="1053">
          <cell r="A1053" t="str">
            <v/>
          </cell>
          <cell r="B1053" t="str">
            <v/>
          </cell>
          <cell r="C1053" t="str">
            <v>Future</v>
          </cell>
          <cell r="D1053" t="e">
            <v>#N/A</v>
          </cell>
          <cell r="E1053">
            <v>-0.89856870229008412</v>
          </cell>
          <cell r="F1053">
            <v>1.905171755725201</v>
          </cell>
          <cell r="G1053">
            <v>0.48509541984733529</v>
          </cell>
          <cell r="H1053">
            <v>0.48509541984733529</v>
          </cell>
          <cell r="I1053" t="e">
            <v>#N/A</v>
          </cell>
          <cell r="J1053" t="e">
            <v>#N/A</v>
          </cell>
          <cell r="K1053">
            <v>1.54</v>
          </cell>
          <cell r="L1053">
            <v>0.76</v>
          </cell>
          <cell r="M1053" t="e">
            <v>#N/A</v>
          </cell>
          <cell r="N1053">
            <v>1.2</v>
          </cell>
          <cell r="O1053" t="e">
            <v>#N/A</v>
          </cell>
          <cell r="P1053" t="str">
            <v/>
          </cell>
          <cell r="Q1053" t="str">
            <v/>
          </cell>
          <cell r="R1053">
            <v>1.19</v>
          </cell>
        </row>
        <row r="1054">
          <cell r="A1054" t="str">
            <v/>
          </cell>
          <cell r="B1054" t="str">
            <v/>
          </cell>
          <cell r="C1054" t="str">
            <v>Future</v>
          </cell>
          <cell r="D1054" t="e">
            <v>#N/A</v>
          </cell>
          <cell r="E1054">
            <v>-0.90274809160306124</v>
          </cell>
          <cell r="F1054">
            <v>1.9068702290076438</v>
          </cell>
          <cell r="G1054">
            <v>0.48381679389313681</v>
          </cell>
          <cell r="H1054">
            <v>0.48381679389313681</v>
          </cell>
          <cell r="I1054" t="e">
            <v>#N/A</v>
          </cell>
          <cell r="J1054" t="e">
            <v>#N/A</v>
          </cell>
          <cell r="K1054">
            <v>1.54</v>
          </cell>
          <cell r="L1054">
            <v>0.76</v>
          </cell>
          <cell r="M1054" t="e">
            <v>#N/A</v>
          </cell>
          <cell r="N1054">
            <v>1.2</v>
          </cell>
          <cell r="O1054" t="e">
            <v>#N/A</v>
          </cell>
          <cell r="P1054" t="str">
            <v/>
          </cell>
          <cell r="Q1054" t="str">
            <v/>
          </cell>
          <cell r="R1054">
            <v>1.19</v>
          </cell>
        </row>
        <row r="1055">
          <cell r="A1055" t="str">
            <v/>
          </cell>
          <cell r="B1055" t="str">
            <v/>
          </cell>
          <cell r="C1055" t="str">
            <v>Future</v>
          </cell>
          <cell r="D1055" t="e">
            <v>#N/A</v>
          </cell>
          <cell r="E1055">
            <v>-0.90692748091603836</v>
          </cell>
          <cell r="F1055">
            <v>1.9085687022900866</v>
          </cell>
          <cell r="G1055">
            <v>0.48253816793893833</v>
          </cell>
          <cell r="H1055">
            <v>0.48253816793893833</v>
          </cell>
          <cell r="I1055" t="e">
            <v>#N/A</v>
          </cell>
          <cell r="J1055" t="e">
            <v>#N/A</v>
          </cell>
          <cell r="K1055">
            <v>1.54</v>
          </cell>
          <cell r="L1055">
            <v>0.76</v>
          </cell>
          <cell r="M1055" t="e">
            <v>#N/A</v>
          </cell>
          <cell r="N1055">
            <v>1.2</v>
          </cell>
          <cell r="O1055" t="e">
            <v>#N/A</v>
          </cell>
          <cell r="P1055" t="str">
            <v/>
          </cell>
          <cell r="Q1055" t="str">
            <v/>
          </cell>
          <cell r="R1055">
            <v>1.19</v>
          </cell>
        </row>
        <row r="1056">
          <cell r="A1056" t="str">
            <v/>
          </cell>
          <cell r="B1056" t="str">
            <v/>
          </cell>
          <cell r="C1056" t="str">
            <v>Future</v>
          </cell>
          <cell r="D1056" t="e">
            <v>#N/A</v>
          </cell>
          <cell r="E1056">
            <v>-0.91110687022901549</v>
          </cell>
          <cell r="F1056">
            <v>1.9102671755725293</v>
          </cell>
          <cell r="G1056">
            <v>0.48125954198473986</v>
          </cell>
          <cell r="H1056">
            <v>0.48125954198473986</v>
          </cell>
          <cell r="I1056" t="e">
            <v>#N/A</v>
          </cell>
          <cell r="J1056" t="e">
            <v>#N/A</v>
          </cell>
          <cell r="K1056">
            <v>1.54</v>
          </cell>
          <cell r="L1056">
            <v>0.76</v>
          </cell>
          <cell r="M1056" t="e">
            <v>#N/A</v>
          </cell>
          <cell r="N1056">
            <v>1.2</v>
          </cell>
          <cell r="O1056" t="e">
            <v>#N/A</v>
          </cell>
          <cell r="P1056" t="str">
            <v/>
          </cell>
          <cell r="Q1056" t="str">
            <v/>
          </cell>
          <cell r="R1056">
            <v>1.19</v>
          </cell>
        </row>
        <row r="1057">
          <cell r="A1057" t="str">
            <v/>
          </cell>
          <cell r="B1057" t="str">
            <v/>
          </cell>
          <cell r="C1057" t="str">
            <v>Future</v>
          </cell>
          <cell r="D1057" t="e">
            <v>#N/A</v>
          </cell>
          <cell r="E1057">
            <v>-0.91528625954199261</v>
          </cell>
          <cell r="F1057">
            <v>1.9119656488549721</v>
          </cell>
          <cell r="G1057">
            <v>0.47998091603054138</v>
          </cell>
          <cell r="H1057">
            <v>0.47998091603054138</v>
          </cell>
          <cell r="I1057" t="e">
            <v>#N/A</v>
          </cell>
          <cell r="J1057" t="e">
            <v>#N/A</v>
          </cell>
          <cell r="K1057">
            <v>1.54</v>
          </cell>
          <cell r="L1057">
            <v>0.76</v>
          </cell>
          <cell r="M1057" t="e">
            <v>#N/A</v>
          </cell>
          <cell r="N1057">
            <v>1.2</v>
          </cell>
          <cell r="O1057" t="e">
            <v>#N/A</v>
          </cell>
          <cell r="P1057" t="str">
            <v/>
          </cell>
          <cell r="Q1057" t="str">
            <v/>
          </cell>
          <cell r="R1057">
            <v>1.19</v>
          </cell>
        </row>
        <row r="1058">
          <cell r="A1058" t="str">
            <v/>
          </cell>
          <cell r="B1058" t="str">
            <v/>
          </cell>
          <cell r="C1058" t="str">
            <v>Future</v>
          </cell>
          <cell r="D1058" t="e">
            <v>#N/A</v>
          </cell>
          <cell r="E1058">
            <v>-0.91946564885496973</v>
          </cell>
          <cell r="F1058">
            <v>1.9136641221374149</v>
          </cell>
          <cell r="G1058">
            <v>0.47870229007634291</v>
          </cell>
          <cell r="H1058">
            <v>0.47870229007634291</v>
          </cell>
          <cell r="I1058" t="e">
            <v>#N/A</v>
          </cell>
          <cell r="J1058" t="e">
            <v>#N/A</v>
          </cell>
          <cell r="K1058">
            <v>1.54</v>
          </cell>
          <cell r="L1058">
            <v>0.76</v>
          </cell>
          <cell r="M1058" t="e">
            <v>#N/A</v>
          </cell>
          <cell r="N1058">
            <v>1.2</v>
          </cell>
          <cell r="O1058" t="e">
            <v>#N/A</v>
          </cell>
          <cell r="P1058" t="str">
            <v/>
          </cell>
          <cell r="Q1058" t="str">
            <v/>
          </cell>
          <cell r="R1058">
            <v>1.19</v>
          </cell>
        </row>
        <row r="1059">
          <cell r="A1059" t="str">
            <v/>
          </cell>
          <cell r="B1059" t="str">
            <v/>
          </cell>
          <cell r="C1059" t="str">
            <v>Future</v>
          </cell>
          <cell r="D1059" t="e">
            <v>#N/A</v>
          </cell>
          <cell r="E1059">
            <v>-0.92364503816794685</v>
          </cell>
          <cell r="F1059">
            <v>1.9153625954198576</v>
          </cell>
          <cell r="G1059">
            <v>0.47742366412214443</v>
          </cell>
          <cell r="H1059">
            <v>0.47742366412214443</v>
          </cell>
          <cell r="I1059" t="e">
            <v>#N/A</v>
          </cell>
          <cell r="J1059" t="e">
            <v>#N/A</v>
          </cell>
          <cell r="K1059">
            <v>1.54</v>
          </cell>
          <cell r="L1059">
            <v>0.76</v>
          </cell>
          <cell r="M1059" t="e">
            <v>#N/A</v>
          </cell>
          <cell r="N1059">
            <v>1.2</v>
          </cell>
          <cell r="O1059" t="e">
            <v>#N/A</v>
          </cell>
          <cell r="P1059" t="str">
            <v/>
          </cell>
          <cell r="Q1059" t="str">
            <v/>
          </cell>
          <cell r="R1059">
            <v>1.19</v>
          </cell>
        </row>
        <row r="1060">
          <cell r="A1060" t="str">
            <v/>
          </cell>
          <cell r="B1060" t="str">
            <v/>
          </cell>
          <cell r="C1060" t="str">
            <v>Future</v>
          </cell>
          <cell r="D1060" t="e">
            <v>#N/A</v>
          </cell>
          <cell r="E1060">
            <v>-0.92782442748092397</v>
          </cell>
          <cell r="F1060">
            <v>1.9170610687023004</v>
          </cell>
          <cell r="G1060">
            <v>0.47614503816794596</v>
          </cell>
          <cell r="H1060">
            <v>0.47614503816794596</v>
          </cell>
          <cell r="I1060" t="e">
            <v>#N/A</v>
          </cell>
          <cell r="J1060" t="e">
            <v>#N/A</v>
          </cell>
          <cell r="K1060">
            <v>1.54</v>
          </cell>
          <cell r="L1060">
            <v>0.76</v>
          </cell>
          <cell r="M1060" t="e">
            <v>#N/A</v>
          </cell>
          <cell r="N1060">
            <v>1.2</v>
          </cell>
          <cell r="O1060" t="e">
            <v>#N/A</v>
          </cell>
          <cell r="P1060" t="str">
            <v/>
          </cell>
          <cell r="Q1060" t="str">
            <v/>
          </cell>
          <cell r="R1060">
            <v>1.19</v>
          </cell>
        </row>
        <row r="1061">
          <cell r="A1061" t="str">
            <v/>
          </cell>
          <cell r="B1061" t="str">
            <v/>
          </cell>
          <cell r="C1061" t="str">
            <v>Future</v>
          </cell>
          <cell r="D1061" t="e">
            <v>#N/A</v>
          </cell>
          <cell r="E1061">
            <v>-0.9320038167939011</v>
          </cell>
          <cell r="F1061">
            <v>1.9187595419847432</v>
          </cell>
          <cell r="G1061">
            <v>0.47486641221374748</v>
          </cell>
          <cell r="H1061">
            <v>0.47486641221374748</v>
          </cell>
          <cell r="I1061" t="e">
            <v>#N/A</v>
          </cell>
          <cell r="J1061" t="e">
            <v>#N/A</v>
          </cell>
          <cell r="K1061">
            <v>1.54</v>
          </cell>
          <cell r="L1061">
            <v>0.76</v>
          </cell>
          <cell r="M1061" t="e">
            <v>#N/A</v>
          </cell>
          <cell r="N1061">
            <v>1.2</v>
          </cell>
          <cell r="O1061" t="e">
            <v>#N/A</v>
          </cell>
          <cell r="P1061" t="str">
            <v/>
          </cell>
          <cell r="Q1061" t="str">
            <v/>
          </cell>
          <cell r="R1061">
            <v>1.19</v>
          </cell>
        </row>
        <row r="1062">
          <cell r="A1062" t="str">
            <v/>
          </cell>
          <cell r="B1062" t="str">
            <v/>
          </cell>
          <cell r="C1062" t="str">
            <v>Future</v>
          </cell>
          <cell r="D1062" t="e">
            <v>#N/A</v>
          </cell>
          <cell r="E1062">
            <v>-0.93618320610687822</v>
          </cell>
          <cell r="F1062">
            <v>1.920458015267186</v>
          </cell>
          <cell r="G1062">
            <v>0.473587786259549</v>
          </cell>
          <cell r="H1062">
            <v>0.473587786259549</v>
          </cell>
          <cell r="I1062" t="e">
            <v>#N/A</v>
          </cell>
          <cell r="J1062" t="e">
            <v>#N/A</v>
          </cell>
          <cell r="K1062">
            <v>1.54</v>
          </cell>
          <cell r="L1062">
            <v>0.76</v>
          </cell>
          <cell r="M1062" t="e">
            <v>#N/A</v>
          </cell>
          <cell r="N1062">
            <v>1.2</v>
          </cell>
          <cell r="O1062" t="e">
            <v>#N/A</v>
          </cell>
          <cell r="P1062" t="str">
            <v/>
          </cell>
          <cell r="Q1062" t="str">
            <v/>
          </cell>
          <cell r="R1062">
            <v>1.19</v>
          </cell>
        </row>
        <row r="1063">
          <cell r="A1063" t="str">
            <v/>
          </cell>
          <cell r="B1063" t="str">
            <v/>
          </cell>
          <cell r="C1063" t="str">
            <v>Future</v>
          </cell>
          <cell r="D1063" t="e">
            <v>#N/A</v>
          </cell>
          <cell r="E1063">
            <v>-0.94036259541985534</v>
          </cell>
          <cell r="F1063">
            <v>1.9221564885496287</v>
          </cell>
          <cell r="G1063">
            <v>0.47230916030535053</v>
          </cell>
          <cell r="H1063">
            <v>0.47230916030535053</v>
          </cell>
          <cell r="I1063" t="e">
            <v>#N/A</v>
          </cell>
          <cell r="J1063" t="e">
            <v>#N/A</v>
          </cell>
          <cell r="K1063">
            <v>1.54</v>
          </cell>
          <cell r="L1063">
            <v>0.76</v>
          </cell>
          <cell r="M1063" t="e">
            <v>#N/A</v>
          </cell>
          <cell r="N1063">
            <v>1.2</v>
          </cell>
          <cell r="O1063" t="e">
            <v>#N/A</v>
          </cell>
          <cell r="P1063" t="str">
            <v/>
          </cell>
          <cell r="Q1063" t="str">
            <v/>
          </cell>
          <cell r="R1063">
            <v>1.19</v>
          </cell>
        </row>
        <row r="1064">
          <cell r="A1064" t="str">
            <v/>
          </cell>
          <cell r="B1064" t="str">
            <v/>
          </cell>
          <cell r="C1064" t="str">
            <v>Future</v>
          </cell>
          <cell r="D1064" t="e">
            <v>#N/A</v>
          </cell>
          <cell r="E1064">
            <v>-0.94454198473283246</v>
          </cell>
          <cell r="F1064">
            <v>1.9238549618320715</v>
          </cell>
          <cell r="G1064">
            <v>0.47103053435115205</v>
          </cell>
          <cell r="H1064">
            <v>0.47103053435115205</v>
          </cell>
          <cell r="I1064" t="e">
            <v>#N/A</v>
          </cell>
          <cell r="J1064" t="e">
            <v>#N/A</v>
          </cell>
          <cell r="K1064">
            <v>1.54</v>
          </cell>
          <cell r="L1064">
            <v>0.76</v>
          </cell>
          <cell r="M1064" t="e">
            <v>#N/A</v>
          </cell>
          <cell r="N1064">
            <v>1.2</v>
          </cell>
          <cell r="O1064" t="e">
            <v>#N/A</v>
          </cell>
          <cell r="P1064" t="str">
            <v/>
          </cell>
          <cell r="Q1064" t="str">
            <v/>
          </cell>
          <cell r="R1064">
            <v>1.19</v>
          </cell>
        </row>
        <row r="1065">
          <cell r="A1065" t="str">
            <v/>
          </cell>
          <cell r="B1065" t="str">
            <v/>
          </cell>
          <cell r="C1065" t="str">
            <v>Future</v>
          </cell>
          <cell r="D1065" t="e">
            <v>#N/A</v>
          </cell>
          <cell r="E1065">
            <v>-0.94872137404580958</v>
          </cell>
          <cell r="F1065">
            <v>1.9255534351145143</v>
          </cell>
          <cell r="G1065">
            <v>0.46975190839695358</v>
          </cell>
          <cell r="H1065">
            <v>0.46975190839695358</v>
          </cell>
          <cell r="I1065" t="e">
            <v>#N/A</v>
          </cell>
          <cell r="J1065" t="e">
            <v>#N/A</v>
          </cell>
          <cell r="K1065">
            <v>1.54</v>
          </cell>
          <cell r="L1065">
            <v>0.76</v>
          </cell>
          <cell r="M1065" t="e">
            <v>#N/A</v>
          </cell>
          <cell r="N1065">
            <v>1.2</v>
          </cell>
          <cell r="O1065" t="e">
            <v>#N/A</v>
          </cell>
          <cell r="P1065" t="str">
            <v/>
          </cell>
          <cell r="Q1065" t="str">
            <v/>
          </cell>
          <cell r="R1065">
            <v>1.19</v>
          </cell>
        </row>
        <row r="1066">
          <cell r="A1066" t="str">
            <v/>
          </cell>
          <cell r="B1066" t="str">
            <v/>
          </cell>
          <cell r="C1066" t="str">
            <v>Future</v>
          </cell>
          <cell r="D1066" t="e">
            <v>#N/A</v>
          </cell>
          <cell r="E1066">
            <v>-0.95290076335878671</v>
          </cell>
          <cell r="F1066">
            <v>1.927251908396957</v>
          </cell>
          <cell r="G1066">
            <v>0.4684732824427551</v>
          </cell>
          <cell r="H1066">
            <v>0.4684732824427551</v>
          </cell>
          <cell r="I1066" t="e">
            <v>#N/A</v>
          </cell>
          <cell r="J1066" t="e">
            <v>#N/A</v>
          </cell>
          <cell r="K1066">
            <v>1.54</v>
          </cell>
          <cell r="L1066">
            <v>0.76</v>
          </cell>
          <cell r="M1066" t="e">
            <v>#N/A</v>
          </cell>
          <cell r="N1066">
            <v>1.2</v>
          </cell>
          <cell r="O1066" t="e">
            <v>#N/A</v>
          </cell>
          <cell r="P1066" t="str">
            <v/>
          </cell>
          <cell r="Q1066" t="str">
            <v/>
          </cell>
          <cell r="R1066">
            <v>1.19</v>
          </cell>
        </row>
        <row r="1067">
          <cell r="A1067" t="str">
            <v/>
          </cell>
          <cell r="B1067" t="str">
            <v/>
          </cell>
          <cell r="C1067" t="str">
            <v>Future</v>
          </cell>
          <cell r="D1067" t="e">
            <v>#N/A</v>
          </cell>
          <cell r="E1067">
            <v>-0.95708015267176383</v>
          </cell>
          <cell r="F1067">
            <v>1.9289503816793998</v>
          </cell>
          <cell r="G1067">
            <v>0.46719465648855663</v>
          </cell>
          <cell r="H1067">
            <v>0.46719465648855663</v>
          </cell>
          <cell r="I1067" t="e">
            <v>#N/A</v>
          </cell>
          <cell r="J1067" t="e">
            <v>#N/A</v>
          </cell>
          <cell r="K1067">
            <v>1.54</v>
          </cell>
          <cell r="L1067">
            <v>0.76</v>
          </cell>
          <cell r="M1067" t="e">
            <v>#N/A</v>
          </cell>
          <cell r="N1067">
            <v>1.2</v>
          </cell>
          <cell r="O1067" t="e">
            <v>#N/A</v>
          </cell>
          <cell r="P1067" t="str">
            <v/>
          </cell>
          <cell r="Q1067" t="str">
            <v/>
          </cell>
          <cell r="R1067">
            <v>1.19</v>
          </cell>
        </row>
        <row r="1068">
          <cell r="A1068" t="str">
            <v/>
          </cell>
          <cell r="B1068" t="str">
            <v/>
          </cell>
          <cell r="C1068" t="str">
            <v>Future</v>
          </cell>
          <cell r="D1068" t="e">
            <v>#N/A</v>
          </cell>
          <cell r="E1068">
            <v>-0.96125954198474095</v>
          </cell>
          <cell r="F1068">
            <v>1.9306488549618426</v>
          </cell>
          <cell r="G1068">
            <v>0.46591603053435815</v>
          </cell>
          <cell r="H1068">
            <v>0.46591603053435815</v>
          </cell>
          <cell r="I1068" t="e">
            <v>#N/A</v>
          </cell>
          <cell r="J1068" t="e">
            <v>#N/A</v>
          </cell>
          <cell r="K1068">
            <v>1.54</v>
          </cell>
          <cell r="L1068">
            <v>0.76</v>
          </cell>
          <cell r="M1068" t="e">
            <v>#N/A</v>
          </cell>
          <cell r="N1068">
            <v>1.2</v>
          </cell>
          <cell r="O1068" t="e">
            <v>#N/A</v>
          </cell>
          <cell r="P1068" t="str">
            <v/>
          </cell>
          <cell r="Q1068" t="str">
            <v/>
          </cell>
          <cell r="R1068">
            <v>1.19</v>
          </cell>
        </row>
        <row r="1069">
          <cell r="A1069" t="str">
            <v/>
          </cell>
          <cell r="B1069" t="str">
            <v/>
          </cell>
          <cell r="C1069" t="str">
            <v>Future</v>
          </cell>
          <cell r="D1069" t="e">
            <v>#N/A</v>
          </cell>
          <cell r="E1069">
            <v>-0.96543893129771807</v>
          </cell>
          <cell r="F1069">
            <v>1.9323473282442853</v>
          </cell>
          <cell r="G1069">
            <v>0.46463740458015967</v>
          </cell>
          <cell r="H1069">
            <v>0.46463740458015967</v>
          </cell>
          <cell r="I1069" t="e">
            <v>#N/A</v>
          </cell>
          <cell r="J1069" t="e">
            <v>#N/A</v>
          </cell>
          <cell r="K1069">
            <v>1.54</v>
          </cell>
          <cell r="L1069">
            <v>0.76</v>
          </cell>
          <cell r="M1069" t="e">
            <v>#N/A</v>
          </cell>
          <cell r="N1069">
            <v>1.2</v>
          </cell>
          <cell r="O1069" t="e">
            <v>#N/A</v>
          </cell>
          <cell r="P1069" t="str">
            <v/>
          </cell>
          <cell r="Q1069" t="str">
            <v/>
          </cell>
          <cell r="R1069">
            <v>1.19</v>
          </cell>
        </row>
        <row r="1070">
          <cell r="A1070" t="str">
            <v/>
          </cell>
          <cell r="B1070" t="str">
            <v/>
          </cell>
          <cell r="C1070" t="str">
            <v>Future</v>
          </cell>
          <cell r="D1070" t="e">
            <v>#N/A</v>
          </cell>
          <cell r="E1070">
            <v>-0.96961832061069519</v>
          </cell>
          <cell r="F1070">
            <v>1.9340458015267281</v>
          </cell>
          <cell r="G1070">
            <v>0.4633587786259612</v>
          </cell>
          <cell r="H1070">
            <v>0.4633587786259612</v>
          </cell>
          <cell r="I1070" t="e">
            <v>#N/A</v>
          </cell>
          <cell r="J1070" t="e">
            <v>#N/A</v>
          </cell>
          <cell r="K1070">
            <v>1.54</v>
          </cell>
          <cell r="L1070">
            <v>0.76</v>
          </cell>
          <cell r="M1070" t="e">
            <v>#N/A</v>
          </cell>
          <cell r="N1070">
            <v>1.2</v>
          </cell>
          <cell r="O1070" t="e">
            <v>#N/A</v>
          </cell>
          <cell r="P1070" t="str">
            <v/>
          </cell>
          <cell r="Q1070" t="str">
            <v/>
          </cell>
          <cell r="R1070">
            <v>1.19</v>
          </cell>
        </row>
        <row r="1071">
          <cell r="A1071" t="str">
            <v/>
          </cell>
          <cell r="B1071" t="str">
            <v/>
          </cell>
          <cell r="C1071" t="str">
            <v>Future</v>
          </cell>
          <cell r="D1071" t="e">
            <v>#N/A</v>
          </cell>
          <cell r="E1071">
            <v>-0.97379770992367232</v>
          </cell>
          <cell r="F1071">
            <v>1.9357442748091709</v>
          </cell>
          <cell r="G1071">
            <v>0.46208015267176272</v>
          </cell>
          <cell r="H1071">
            <v>0.46208015267176272</v>
          </cell>
          <cell r="I1071" t="e">
            <v>#N/A</v>
          </cell>
          <cell r="J1071" t="e">
            <v>#N/A</v>
          </cell>
          <cell r="K1071">
            <v>1.54</v>
          </cell>
          <cell r="L1071">
            <v>0.76</v>
          </cell>
          <cell r="M1071" t="e">
            <v>#N/A</v>
          </cell>
          <cell r="N1071">
            <v>1.2</v>
          </cell>
          <cell r="O1071" t="e">
            <v>#N/A</v>
          </cell>
          <cell r="P1071" t="str">
            <v/>
          </cell>
          <cell r="Q1071" t="str">
            <v/>
          </cell>
          <cell r="R1071">
            <v>1.19</v>
          </cell>
        </row>
        <row r="1072">
          <cell r="A1072" t="str">
            <v/>
          </cell>
          <cell r="B1072" t="str">
            <v/>
          </cell>
          <cell r="C1072" t="str">
            <v>Future</v>
          </cell>
          <cell r="D1072" t="e">
            <v>#N/A</v>
          </cell>
          <cell r="E1072">
            <v>-0.97797709923664944</v>
          </cell>
          <cell r="F1072">
            <v>1.9374427480916137</v>
          </cell>
          <cell r="G1072">
            <v>0.46080152671756425</v>
          </cell>
          <cell r="H1072">
            <v>0.46080152671756425</v>
          </cell>
          <cell r="I1072" t="e">
            <v>#N/A</v>
          </cell>
          <cell r="J1072" t="e">
            <v>#N/A</v>
          </cell>
          <cell r="K1072">
            <v>1.54</v>
          </cell>
          <cell r="L1072">
            <v>0.76</v>
          </cell>
          <cell r="M1072" t="e">
            <v>#N/A</v>
          </cell>
          <cell r="N1072">
            <v>1.2</v>
          </cell>
          <cell r="O1072" t="e">
            <v>#N/A</v>
          </cell>
          <cell r="P1072" t="str">
            <v/>
          </cell>
          <cell r="Q1072" t="str">
            <v/>
          </cell>
          <cell r="R1072">
            <v>1.19</v>
          </cell>
        </row>
        <row r="1073">
          <cell r="A1073" t="str">
            <v/>
          </cell>
          <cell r="B1073" t="str">
            <v/>
          </cell>
          <cell r="C1073" t="str">
            <v>Future</v>
          </cell>
          <cell r="D1073" t="e">
            <v>#N/A</v>
          </cell>
          <cell r="E1073">
            <v>-0.98215648854962656</v>
          </cell>
          <cell r="F1073">
            <v>1.9391412213740564</v>
          </cell>
          <cell r="G1073">
            <v>0.45952290076336577</v>
          </cell>
          <cell r="H1073">
            <v>0.45952290076336577</v>
          </cell>
          <cell r="I1073" t="e">
            <v>#N/A</v>
          </cell>
          <cell r="J1073" t="e">
            <v>#N/A</v>
          </cell>
          <cell r="K1073">
            <v>1.54</v>
          </cell>
          <cell r="L1073">
            <v>0.76</v>
          </cell>
          <cell r="M1073" t="e">
            <v>#N/A</v>
          </cell>
          <cell r="N1073">
            <v>1.2</v>
          </cell>
          <cell r="O1073" t="e">
            <v>#N/A</v>
          </cell>
          <cell r="P1073" t="str">
            <v/>
          </cell>
          <cell r="Q1073" t="str">
            <v/>
          </cell>
          <cell r="R1073">
            <v>1.19</v>
          </cell>
        </row>
        <row r="1074">
          <cell r="A1074" t="str">
            <v/>
          </cell>
          <cell r="B1074" t="str">
            <v/>
          </cell>
          <cell r="C1074" t="str">
            <v>Future</v>
          </cell>
          <cell r="D1074" t="e">
            <v>#N/A</v>
          </cell>
          <cell r="E1074">
            <v>-0.98633587786260368</v>
          </cell>
          <cell r="F1074">
            <v>1.9408396946564992</v>
          </cell>
          <cell r="G1074">
            <v>0.4582442748091673</v>
          </cell>
          <cell r="H1074">
            <v>0.4582442748091673</v>
          </cell>
          <cell r="I1074" t="e">
            <v>#N/A</v>
          </cell>
          <cell r="J1074" t="e">
            <v>#N/A</v>
          </cell>
          <cell r="K1074">
            <v>1.54</v>
          </cell>
          <cell r="L1074">
            <v>0.76</v>
          </cell>
          <cell r="M1074" t="e">
            <v>#N/A</v>
          </cell>
          <cell r="N1074">
            <v>1.2</v>
          </cell>
          <cell r="O1074" t="e">
            <v>#N/A</v>
          </cell>
          <cell r="P1074" t="str">
            <v/>
          </cell>
          <cell r="Q1074" t="str">
            <v/>
          </cell>
          <cell r="R1074">
            <v>1.19</v>
          </cell>
        </row>
        <row r="1075">
          <cell r="A1075" t="str">
            <v/>
          </cell>
          <cell r="B1075" t="str">
            <v/>
          </cell>
          <cell r="C1075" t="str">
            <v>Future</v>
          </cell>
          <cell r="D1075" t="e">
            <v>#N/A</v>
          </cell>
          <cell r="E1075">
            <v>-0.9905152671755808</v>
          </cell>
          <cell r="F1075">
            <v>1.942538167938942</v>
          </cell>
          <cell r="G1075">
            <v>0.45696564885496882</v>
          </cell>
          <cell r="H1075">
            <v>0.45696564885496882</v>
          </cell>
          <cell r="I1075" t="e">
            <v>#N/A</v>
          </cell>
          <cell r="J1075" t="e">
            <v>#N/A</v>
          </cell>
          <cell r="K1075">
            <v>1.54</v>
          </cell>
          <cell r="L1075">
            <v>0.76</v>
          </cell>
          <cell r="M1075" t="e">
            <v>#N/A</v>
          </cell>
          <cell r="N1075">
            <v>1.2</v>
          </cell>
          <cell r="O1075" t="e">
            <v>#N/A</v>
          </cell>
          <cell r="P1075" t="str">
            <v/>
          </cell>
          <cell r="Q1075" t="str">
            <v/>
          </cell>
          <cell r="R1075">
            <v>1.19</v>
          </cell>
        </row>
        <row r="1076">
          <cell r="A1076" t="str">
            <v/>
          </cell>
          <cell r="B1076" t="str">
            <v/>
          </cell>
          <cell r="C1076" t="str">
            <v>Future</v>
          </cell>
          <cell r="D1076" t="e">
            <v>#N/A</v>
          </cell>
          <cell r="E1076">
            <v>-0.99469465648855793</v>
          </cell>
          <cell r="F1076">
            <v>1.9442366412213847</v>
          </cell>
          <cell r="G1076">
            <v>0.45568702290077034</v>
          </cell>
          <cell r="H1076">
            <v>0.45568702290077034</v>
          </cell>
          <cell r="I1076" t="e">
            <v>#N/A</v>
          </cell>
          <cell r="J1076" t="e">
            <v>#N/A</v>
          </cell>
          <cell r="K1076">
            <v>1.54</v>
          </cell>
          <cell r="L1076">
            <v>0.76</v>
          </cell>
          <cell r="M1076" t="e">
            <v>#N/A</v>
          </cell>
          <cell r="N1076">
            <v>1.2</v>
          </cell>
          <cell r="O1076" t="e">
            <v>#N/A</v>
          </cell>
          <cell r="P1076" t="str">
            <v/>
          </cell>
          <cell r="Q1076" t="str">
            <v/>
          </cell>
          <cell r="R1076">
            <v>1.19</v>
          </cell>
        </row>
        <row r="1077">
          <cell r="A1077" t="str">
            <v/>
          </cell>
          <cell r="B1077" t="str">
            <v/>
          </cell>
          <cell r="C1077" t="str">
            <v>Future</v>
          </cell>
          <cell r="D1077" t="e">
            <v>#N/A</v>
          </cell>
          <cell r="E1077">
            <v>-0.99887404580153505</v>
          </cell>
          <cell r="F1077">
            <v>1.9459351145038275</v>
          </cell>
          <cell r="G1077">
            <v>0.45440839694657187</v>
          </cell>
          <cell r="H1077">
            <v>0.45440839694657187</v>
          </cell>
          <cell r="I1077" t="e">
            <v>#N/A</v>
          </cell>
          <cell r="J1077" t="e">
            <v>#N/A</v>
          </cell>
          <cell r="K1077">
            <v>1.54</v>
          </cell>
          <cell r="L1077">
            <v>0.76</v>
          </cell>
          <cell r="M1077" t="e">
            <v>#N/A</v>
          </cell>
          <cell r="N1077">
            <v>1.2</v>
          </cell>
          <cell r="O1077" t="e">
            <v>#N/A</v>
          </cell>
          <cell r="P1077" t="str">
            <v/>
          </cell>
          <cell r="Q1077" t="str">
            <v/>
          </cell>
          <cell r="R1077">
            <v>1.19</v>
          </cell>
        </row>
        <row r="1078">
          <cell r="A1078" t="str">
            <v/>
          </cell>
          <cell r="B1078" t="str">
            <v/>
          </cell>
          <cell r="C1078" t="str">
            <v>Future</v>
          </cell>
          <cell r="D1078" t="e">
            <v>#N/A</v>
          </cell>
          <cell r="E1078">
            <v>-1.0030534351145122</v>
          </cell>
          <cell r="F1078">
            <v>1.9476335877862703</v>
          </cell>
          <cell r="G1078">
            <v>0.45312977099237339</v>
          </cell>
          <cell r="H1078">
            <v>0.45312977099237339</v>
          </cell>
          <cell r="I1078" t="e">
            <v>#N/A</v>
          </cell>
          <cell r="J1078" t="e">
            <v>#N/A</v>
          </cell>
          <cell r="K1078">
            <v>1.54</v>
          </cell>
          <cell r="L1078">
            <v>0.76</v>
          </cell>
          <cell r="M1078" t="e">
            <v>#N/A</v>
          </cell>
          <cell r="N1078">
            <v>1.2</v>
          </cell>
          <cell r="O1078" t="e">
            <v>#N/A</v>
          </cell>
          <cell r="P1078" t="str">
            <v/>
          </cell>
          <cell r="Q1078" t="str">
            <v/>
          </cell>
          <cell r="R1078">
            <v>1.19</v>
          </cell>
        </row>
        <row r="1079">
          <cell r="A1079" t="str">
            <v/>
          </cell>
          <cell r="B1079" t="str">
            <v/>
          </cell>
          <cell r="C1079" t="str">
            <v>Future</v>
          </cell>
          <cell r="D1079" t="e">
            <v>#N/A</v>
          </cell>
          <cell r="E1079">
            <v>-1.0072328244274893</v>
          </cell>
          <cell r="F1079">
            <v>1.949332061068713</v>
          </cell>
          <cell r="G1079">
            <v>0.45185114503817492</v>
          </cell>
          <cell r="H1079">
            <v>0.45185114503817492</v>
          </cell>
          <cell r="I1079" t="e">
            <v>#N/A</v>
          </cell>
          <cell r="J1079" t="e">
            <v>#N/A</v>
          </cell>
          <cell r="K1079">
            <v>1.54</v>
          </cell>
          <cell r="L1079">
            <v>0.76</v>
          </cell>
          <cell r="M1079" t="e">
            <v>#N/A</v>
          </cell>
          <cell r="N1079">
            <v>1.2</v>
          </cell>
          <cell r="O1079" t="e">
            <v>#N/A</v>
          </cell>
          <cell r="P1079" t="str">
            <v/>
          </cell>
          <cell r="Q1079" t="str">
            <v/>
          </cell>
          <cell r="R1079">
            <v>1.19</v>
          </cell>
        </row>
        <row r="1080">
          <cell r="A1080" t="str">
            <v/>
          </cell>
          <cell r="B1080" t="str">
            <v/>
          </cell>
          <cell r="C1080" t="str">
            <v>Future</v>
          </cell>
          <cell r="D1080" t="e">
            <v>#N/A</v>
          </cell>
          <cell r="E1080">
            <v>-1.0114122137404664</v>
          </cell>
          <cell r="F1080">
            <v>1.9510305343511558</v>
          </cell>
          <cell r="G1080">
            <v>0.45057251908397644</v>
          </cell>
          <cell r="H1080">
            <v>0.45057251908397644</v>
          </cell>
          <cell r="I1080" t="e">
            <v>#N/A</v>
          </cell>
          <cell r="J1080" t="e">
            <v>#N/A</v>
          </cell>
          <cell r="K1080">
            <v>1.54</v>
          </cell>
          <cell r="L1080">
            <v>0.76</v>
          </cell>
          <cell r="M1080" t="e">
            <v>#N/A</v>
          </cell>
          <cell r="N1080">
            <v>1.2</v>
          </cell>
          <cell r="O1080" t="e">
            <v>#N/A</v>
          </cell>
          <cell r="P1080" t="str">
            <v/>
          </cell>
          <cell r="Q1080" t="str">
            <v/>
          </cell>
          <cell r="R1080">
            <v>1.19</v>
          </cell>
        </row>
        <row r="1081">
          <cell r="A1081" t="str">
            <v/>
          </cell>
          <cell r="B1081" t="str">
            <v/>
          </cell>
          <cell r="C1081" t="str">
            <v>Future</v>
          </cell>
          <cell r="D1081" t="e">
            <v>#N/A</v>
          </cell>
          <cell r="E1081">
            <v>-1.0155916030534435</v>
          </cell>
          <cell r="F1081">
            <v>1.9527290076335986</v>
          </cell>
          <cell r="G1081">
            <v>0.44929389312977797</v>
          </cell>
          <cell r="H1081">
            <v>0.44929389312977797</v>
          </cell>
          <cell r="I1081" t="e">
            <v>#N/A</v>
          </cell>
          <cell r="J1081" t="e">
            <v>#N/A</v>
          </cell>
          <cell r="K1081">
            <v>1.54</v>
          </cell>
          <cell r="L1081">
            <v>0.76</v>
          </cell>
          <cell r="M1081" t="e">
            <v>#N/A</v>
          </cell>
          <cell r="N1081">
            <v>1.2</v>
          </cell>
          <cell r="O1081" t="e">
            <v>#N/A</v>
          </cell>
          <cell r="P1081" t="str">
            <v/>
          </cell>
          <cell r="Q1081" t="str">
            <v/>
          </cell>
          <cell r="R1081">
            <v>1.19</v>
          </cell>
        </row>
        <row r="1082">
          <cell r="A1082" t="str">
            <v/>
          </cell>
          <cell r="B1082" t="str">
            <v/>
          </cell>
          <cell r="C1082" t="str">
            <v>Future</v>
          </cell>
          <cell r="D1082" t="e">
            <v>#N/A</v>
          </cell>
          <cell r="E1082">
            <v>-1.0197709923664207</v>
          </cell>
          <cell r="F1082">
            <v>1.9544274809160413</v>
          </cell>
          <cell r="G1082">
            <v>0.44801526717557949</v>
          </cell>
          <cell r="H1082">
            <v>0.44801526717557949</v>
          </cell>
          <cell r="I1082" t="e">
            <v>#N/A</v>
          </cell>
          <cell r="J1082" t="e">
            <v>#N/A</v>
          </cell>
          <cell r="K1082">
            <v>1.54</v>
          </cell>
          <cell r="L1082">
            <v>0.76</v>
          </cell>
          <cell r="M1082" t="e">
            <v>#N/A</v>
          </cell>
          <cell r="N1082">
            <v>1.2</v>
          </cell>
          <cell r="O1082" t="e">
            <v>#N/A</v>
          </cell>
          <cell r="P1082" t="str">
            <v/>
          </cell>
          <cell r="Q1082" t="str">
            <v/>
          </cell>
          <cell r="R1082">
            <v>1.19</v>
          </cell>
        </row>
        <row r="1083">
          <cell r="A1083" t="str">
            <v/>
          </cell>
          <cell r="B1083" t="str">
            <v/>
          </cell>
          <cell r="C1083" t="str">
            <v>Future</v>
          </cell>
          <cell r="D1083" t="e">
            <v>#N/A</v>
          </cell>
          <cell r="E1083">
            <v>-1.0239503816793978</v>
          </cell>
          <cell r="F1083">
            <v>1.9561259541984841</v>
          </cell>
          <cell r="G1083">
            <v>0.44673664122138101</v>
          </cell>
          <cell r="H1083">
            <v>0.44673664122138101</v>
          </cell>
          <cell r="I1083" t="e">
            <v>#N/A</v>
          </cell>
          <cell r="J1083" t="e">
            <v>#N/A</v>
          </cell>
          <cell r="K1083">
            <v>1.54</v>
          </cell>
          <cell r="L1083">
            <v>0.76</v>
          </cell>
          <cell r="M1083" t="e">
            <v>#N/A</v>
          </cell>
          <cell r="N1083">
            <v>1.2</v>
          </cell>
          <cell r="O1083" t="e">
            <v>#N/A</v>
          </cell>
          <cell r="P1083" t="str">
            <v/>
          </cell>
          <cell r="Q1083" t="str">
            <v/>
          </cell>
          <cell r="R1083">
            <v>1.19</v>
          </cell>
        </row>
        <row r="1084">
          <cell r="A1084" t="str">
            <v/>
          </cell>
          <cell r="B1084" t="str">
            <v/>
          </cell>
          <cell r="C1084" t="str">
            <v>Future</v>
          </cell>
          <cell r="D1084" t="e">
            <v>#N/A</v>
          </cell>
          <cell r="E1084">
            <v>-1.0281297709923749</v>
          </cell>
          <cell r="F1084">
            <v>1.9578244274809269</v>
          </cell>
          <cell r="G1084">
            <v>0.44545801526718254</v>
          </cell>
          <cell r="H1084">
            <v>0.44545801526718254</v>
          </cell>
          <cell r="I1084" t="e">
            <v>#N/A</v>
          </cell>
          <cell r="J1084" t="e">
            <v>#N/A</v>
          </cell>
          <cell r="K1084">
            <v>1.54</v>
          </cell>
          <cell r="L1084">
            <v>0.76</v>
          </cell>
          <cell r="M1084" t="e">
            <v>#N/A</v>
          </cell>
          <cell r="N1084">
            <v>1.2</v>
          </cell>
          <cell r="O1084" t="e">
            <v>#N/A</v>
          </cell>
          <cell r="P1084" t="str">
            <v/>
          </cell>
          <cell r="Q1084" t="str">
            <v/>
          </cell>
          <cell r="R1084">
            <v>1.19</v>
          </cell>
        </row>
        <row r="1085">
          <cell r="A1085" t="str">
            <v/>
          </cell>
          <cell r="B1085" t="str">
            <v/>
          </cell>
          <cell r="C1085" t="str">
            <v>Future</v>
          </cell>
          <cell r="D1085" t="e">
            <v>#N/A</v>
          </cell>
          <cell r="E1085">
            <v>-1.032309160305352</v>
          </cell>
          <cell r="F1085">
            <v>1.9595229007633697</v>
          </cell>
          <cell r="G1085">
            <v>0.44417938931298406</v>
          </cell>
          <cell r="H1085">
            <v>0.44417938931298406</v>
          </cell>
          <cell r="I1085" t="e">
            <v>#N/A</v>
          </cell>
          <cell r="J1085" t="e">
            <v>#N/A</v>
          </cell>
          <cell r="K1085">
            <v>1.54</v>
          </cell>
          <cell r="L1085">
            <v>0.76</v>
          </cell>
          <cell r="M1085" t="e">
            <v>#N/A</v>
          </cell>
          <cell r="N1085">
            <v>1.2</v>
          </cell>
          <cell r="O1085" t="e">
            <v>#N/A</v>
          </cell>
          <cell r="P1085" t="str">
            <v/>
          </cell>
          <cell r="Q1085" t="str">
            <v/>
          </cell>
          <cell r="R1085">
            <v>1.19</v>
          </cell>
        </row>
        <row r="1086">
          <cell r="A1086" t="str">
            <v/>
          </cell>
          <cell r="B1086" t="str">
            <v/>
          </cell>
          <cell r="C1086" t="str">
            <v>Future</v>
          </cell>
          <cell r="D1086" t="e">
            <v>#N/A</v>
          </cell>
          <cell r="E1086">
            <v>-1.0364885496183291</v>
          </cell>
          <cell r="F1086">
            <v>1.9612213740458124</v>
          </cell>
          <cell r="G1086">
            <v>0.44290076335878559</v>
          </cell>
          <cell r="H1086">
            <v>0.44290076335878559</v>
          </cell>
          <cell r="I1086" t="e">
            <v>#N/A</v>
          </cell>
          <cell r="J1086" t="e">
            <v>#N/A</v>
          </cell>
          <cell r="K1086">
            <v>1.54</v>
          </cell>
          <cell r="L1086">
            <v>0.76</v>
          </cell>
          <cell r="M1086" t="e">
            <v>#N/A</v>
          </cell>
          <cell r="N1086">
            <v>1.2</v>
          </cell>
          <cell r="O1086" t="e">
            <v>#N/A</v>
          </cell>
          <cell r="P1086" t="str">
            <v/>
          </cell>
          <cell r="Q1086" t="str">
            <v/>
          </cell>
          <cell r="R1086">
            <v>1.19</v>
          </cell>
        </row>
        <row r="1087">
          <cell r="A1087" t="str">
            <v/>
          </cell>
          <cell r="B1087" t="str">
            <v/>
          </cell>
          <cell r="C1087" t="str">
            <v>Future</v>
          </cell>
          <cell r="D1087" t="e">
            <v>#N/A</v>
          </cell>
          <cell r="E1087">
            <v>-1.0406679389313063</v>
          </cell>
          <cell r="F1087">
            <v>1.9629198473282552</v>
          </cell>
          <cell r="G1087">
            <v>0.44162213740458711</v>
          </cell>
          <cell r="H1087">
            <v>0.44162213740458711</v>
          </cell>
          <cell r="I1087" t="e">
            <v>#N/A</v>
          </cell>
          <cell r="J1087" t="e">
            <v>#N/A</v>
          </cell>
          <cell r="K1087">
            <v>1.54</v>
          </cell>
          <cell r="L1087">
            <v>0.76</v>
          </cell>
          <cell r="M1087" t="e">
            <v>#N/A</v>
          </cell>
          <cell r="N1087">
            <v>1.2</v>
          </cell>
          <cell r="O1087" t="e">
            <v>#N/A</v>
          </cell>
          <cell r="P1087" t="str">
            <v/>
          </cell>
          <cell r="Q1087" t="str">
            <v/>
          </cell>
          <cell r="R1087">
            <v>1.19</v>
          </cell>
        </row>
        <row r="1088">
          <cell r="A1088" t="str">
            <v/>
          </cell>
          <cell r="B1088" t="str">
            <v/>
          </cell>
          <cell r="C1088" t="str">
            <v>Future</v>
          </cell>
          <cell r="D1088" t="e">
            <v>#N/A</v>
          </cell>
          <cell r="E1088">
            <v>-1.0448473282442834</v>
          </cell>
          <cell r="F1088">
            <v>1.964618320610698</v>
          </cell>
          <cell r="G1088">
            <v>0.44034351145038864</v>
          </cell>
          <cell r="H1088">
            <v>0.44034351145038864</v>
          </cell>
          <cell r="I1088" t="e">
            <v>#N/A</v>
          </cell>
          <cell r="J1088" t="e">
            <v>#N/A</v>
          </cell>
          <cell r="K1088">
            <v>1.54</v>
          </cell>
          <cell r="L1088">
            <v>0.76</v>
          </cell>
          <cell r="M1088" t="e">
            <v>#N/A</v>
          </cell>
          <cell r="N1088">
            <v>1.2</v>
          </cell>
          <cell r="O1088" t="e">
            <v>#N/A</v>
          </cell>
          <cell r="P1088" t="str">
            <v/>
          </cell>
          <cell r="Q1088" t="str">
            <v/>
          </cell>
          <cell r="R1088">
            <v>1.19</v>
          </cell>
        </row>
        <row r="1089">
          <cell r="A1089" t="str">
            <v/>
          </cell>
          <cell r="B1089" t="str">
            <v/>
          </cell>
          <cell r="C1089" t="str">
            <v>Future</v>
          </cell>
          <cell r="D1089" t="e">
            <v>#N/A</v>
          </cell>
          <cell r="E1089">
            <v>-1.0490267175572605</v>
          </cell>
          <cell r="F1089">
            <v>1.9663167938931407</v>
          </cell>
          <cell r="G1089">
            <v>0.43906488549619016</v>
          </cell>
          <cell r="H1089">
            <v>0.43906488549619016</v>
          </cell>
          <cell r="I1089" t="e">
            <v>#N/A</v>
          </cell>
          <cell r="J1089" t="e">
            <v>#N/A</v>
          </cell>
          <cell r="K1089">
            <v>1.54</v>
          </cell>
          <cell r="L1089">
            <v>0.76</v>
          </cell>
          <cell r="M1089" t="e">
            <v>#N/A</v>
          </cell>
          <cell r="N1089">
            <v>1.2</v>
          </cell>
          <cell r="O1089" t="e">
            <v>#N/A</v>
          </cell>
          <cell r="P1089" t="str">
            <v/>
          </cell>
          <cell r="Q1089" t="str">
            <v/>
          </cell>
          <cell r="R1089">
            <v>1.19</v>
          </cell>
        </row>
        <row r="1090">
          <cell r="A1090" t="str">
            <v/>
          </cell>
          <cell r="B1090" t="str">
            <v/>
          </cell>
          <cell r="C1090" t="str">
            <v>Future</v>
          </cell>
          <cell r="D1090" t="e">
            <v>#N/A</v>
          </cell>
          <cell r="E1090">
            <v>-1.0532061068702376</v>
          </cell>
          <cell r="F1090">
            <v>1.9680152671755835</v>
          </cell>
          <cell r="G1090">
            <v>0.43778625954199168</v>
          </cell>
          <cell r="H1090">
            <v>0.43778625954199168</v>
          </cell>
          <cell r="I1090" t="e">
            <v>#N/A</v>
          </cell>
          <cell r="J1090" t="e">
            <v>#N/A</v>
          </cell>
          <cell r="K1090">
            <v>1.54</v>
          </cell>
          <cell r="L1090">
            <v>0.76</v>
          </cell>
          <cell r="M1090" t="e">
            <v>#N/A</v>
          </cell>
          <cell r="N1090">
            <v>1.2</v>
          </cell>
          <cell r="O1090" t="e">
            <v>#N/A</v>
          </cell>
          <cell r="P1090" t="str">
            <v/>
          </cell>
          <cell r="Q1090" t="str">
            <v/>
          </cell>
          <cell r="R1090">
            <v>1.19</v>
          </cell>
        </row>
        <row r="1091">
          <cell r="A1091" t="str">
            <v/>
          </cell>
          <cell r="B1091" t="str">
            <v/>
          </cell>
          <cell r="C1091" t="str">
            <v>Future</v>
          </cell>
          <cell r="D1091" t="e">
            <v>#N/A</v>
          </cell>
          <cell r="E1091">
            <v>-1.0573854961832148</v>
          </cell>
          <cell r="F1091">
            <v>1.9697137404580263</v>
          </cell>
          <cell r="G1091">
            <v>0.43650763358779321</v>
          </cell>
          <cell r="H1091">
            <v>0.43650763358779321</v>
          </cell>
          <cell r="I1091" t="e">
            <v>#N/A</v>
          </cell>
          <cell r="J1091" t="e">
            <v>#N/A</v>
          </cell>
          <cell r="K1091">
            <v>1.54</v>
          </cell>
          <cell r="L1091">
            <v>0.76</v>
          </cell>
          <cell r="M1091" t="e">
            <v>#N/A</v>
          </cell>
          <cell r="N1091">
            <v>1.2</v>
          </cell>
          <cell r="O1091" t="e">
            <v>#N/A</v>
          </cell>
          <cell r="P1091" t="str">
            <v/>
          </cell>
          <cell r="Q1091" t="str">
            <v/>
          </cell>
          <cell r="R1091">
            <v>1.19</v>
          </cell>
        </row>
        <row r="1092">
          <cell r="A1092" t="str">
            <v/>
          </cell>
          <cell r="B1092" t="str">
            <v/>
          </cell>
          <cell r="C1092" t="str">
            <v>Future</v>
          </cell>
          <cell r="D1092" t="e">
            <v>#N/A</v>
          </cell>
          <cell r="E1092">
            <v>-1.0615648854961919</v>
          </cell>
          <cell r="F1092">
            <v>1.971412213740469</v>
          </cell>
          <cell r="G1092">
            <v>0.43522900763359473</v>
          </cell>
          <cell r="H1092">
            <v>0.43522900763359473</v>
          </cell>
          <cell r="I1092" t="e">
            <v>#N/A</v>
          </cell>
          <cell r="J1092" t="e">
            <v>#N/A</v>
          </cell>
          <cell r="K1092">
            <v>1.54</v>
          </cell>
          <cell r="L1092">
            <v>0.76</v>
          </cell>
          <cell r="M1092" t="e">
            <v>#N/A</v>
          </cell>
          <cell r="N1092">
            <v>1.2</v>
          </cell>
          <cell r="O1092" t="e">
            <v>#N/A</v>
          </cell>
          <cell r="P1092" t="str">
            <v/>
          </cell>
          <cell r="Q1092" t="str">
            <v/>
          </cell>
          <cell r="R1092">
            <v>1.19</v>
          </cell>
        </row>
        <row r="1093">
          <cell r="A1093" t="str">
            <v/>
          </cell>
          <cell r="B1093" t="str">
            <v/>
          </cell>
          <cell r="C1093" t="str">
            <v>Future</v>
          </cell>
          <cell r="D1093" t="e">
            <v>#N/A</v>
          </cell>
          <cell r="E1093">
            <v>-1.065744274809169</v>
          </cell>
          <cell r="F1093">
            <v>1.9731106870229118</v>
          </cell>
          <cell r="G1093">
            <v>0.43395038167939626</v>
          </cell>
          <cell r="H1093">
            <v>0.43395038167939626</v>
          </cell>
          <cell r="I1093" t="e">
            <v>#N/A</v>
          </cell>
          <cell r="J1093" t="e">
            <v>#N/A</v>
          </cell>
          <cell r="K1093">
            <v>1.54</v>
          </cell>
          <cell r="L1093">
            <v>0.76</v>
          </cell>
          <cell r="M1093" t="e">
            <v>#N/A</v>
          </cell>
          <cell r="N1093">
            <v>1.2</v>
          </cell>
          <cell r="O1093" t="e">
            <v>#N/A</v>
          </cell>
          <cell r="P1093" t="str">
            <v/>
          </cell>
          <cell r="Q1093" t="str">
            <v/>
          </cell>
          <cell r="R1093">
            <v>1.19</v>
          </cell>
        </row>
        <row r="1094">
          <cell r="A1094" t="str">
            <v/>
          </cell>
          <cell r="B1094" t="str">
            <v/>
          </cell>
          <cell r="C1094" t="str">
            <v>Future</v>
          </cell>
          <cell r="D1094" t="e">
            <v>#N/A</v>
          </cell>
          <cell r="E1094">
            <v>-1.0699236641221461</v>
          </cell>
          <cell r="F1094">
            <v>1.9748091603053546</v>
          </cell>
          <cell r="G1094">
            <v>0.43267175572519778</v>
          </cell>
          <cell r="H1094">
            <v>0.43267175572519778</v>
          </cell>
          <cell r="I1094" t="e">
            <v>#N/A</v>
          </cell>
          <cell r="J1094" t="e">
            <v>#N/A</v>
          </cell>
          <cell r="K1094">
            <v>1.54</v>
          </cell>
          <cell r="L1094">
            <v>0.76</v>
          </cell>
          <cell r="M1094" t="e">
            <v>#N/A</v>
          </cell>
          <cell r="N1094">
            <v>1.2</v>
          </cell>
          <cell r="O1094" t="e">
            <v>#N/A</v>
          </cell>
          <cell r="P1094" t="str">
            <v/>
          </cell>
          <cell r="Q1094" t="str">
            <v/>
          </cell>
          <cell r="R1094">
            <v>1.19</v>
          </cell>
        </row>
        <row r="1095">
          <cell r="A1095" t="str">
            <v/>
          </cell>
          <cell r="B1095" t="str">
            <v/>
          </cell>
          <cell r="C1095" t="str">
            <v>Future</v>
          </cell>
          <cell r="D1095" t="e">
            <v>#N/A</v>
          </cell>
          <cell r="E1095">
            <v>-1.0741030534351232</v>
          </cell>
          <cell r="F1095">
            <v>1.9765076335877974</v>
          </cell>
          <cell r="G1095">
            <v>0.43139312977099931</v>
          </cell>
          <cell r="H1095">
            <v>0.43139312977099931</v>
          </cell>
          <cell r="I1095" t="e">
            <v>#N/A</v>
          </cell>
          <cell r="J1095" t="e">
            <v>#N/A</v>
          </cell>
          <cell r="K1095">
            <v>1.54</v>
          </cell>
          <cell r="L1095">
            <v>0.76</v>
          </cell>
          <cell r="M1095" t="e">
            <v>#N/A</v>
          </cell>
          <cell r="N1095">
            <v>1.2</v>
          </cell>
          <cell r="O1095" t="e">
            <v>#N/A</v>
          </cell>
          <cell r="P1095" t="str">
            <v/>
          </cell>
          <cell r="Q1095" t="str">
            <v/>
          </cell>
          <cell r="R1095">
            <v>1.19</v>
          </cell>
        </row>
        <row r="1096">
          <cell r="A1096" t="str">
            <v/>
          </cell>
          <cell r="B1096" t="str">
            <v/>
          </cell>
          <cell r="C1096" t="str">
            <v>Future</v>
          </cell>
          <cell r="D1096" t="e">
            <v>#N/A</v>
          </cell>
          <cell r="E1096">
            <v>-1.0782824427481004</v>
          </cell>
          <cell r="F1096">
            <v>1.9782061068702401</v>
          </cell>
          <cell r="G1096">
            <v>0.43011450381680083</v>
          </cell>
          <cell r="H1096">
            <v>0.43011450381680083</v>
          </cell>
          <cell r="I1096" t="e">
            <v>#N/A</v>
          </cell>
          <cell r="J1096" t="e">
            <v>#N/A</v>
          </cell>
          <cell r="K1096">
            <v>1.54</v>
          </cell>
          <cell r="L1096">
            <v>0.76</v>
          </cell>
          <cell r="M1096" t="e">
            <v>#N/A</v>
          </cell>
          <cell r="N1096">
            <v>1.2</v>
          </cell>
          <cell r="O1096" t="e">
            <v>#N/A</v>
          </cell>
          <cell r="P1096" t="str">
            <v/>
          </cell>
          <cell r="Q1096" t="str">
            <v/>
          </cell>
          <cell r="R1096">
            <v>1.19</v>
          </cell>
        </row>
        <row r="1097">
          <cell r="A1097" t="str">
            <v/>
          </cell>
          <cell r="B1097" t="str">
            <v/>
          </cell>
          <cell r="C1097" t="str">
            <v>Future</v>
          </cell>
          <cell r="D1097" t="e">
            <v>#N/A</v>
          </cell>
          <cell r="E1097">
            <v>-1.0824618320610775</v>
          </cell>
          <cell r="F1097">
            <v>1.9799045801526829</v>
          </cell>
          <cell r="G1097">
            <v>0.42883587786260235</v>
          </cell>
          <cell r="H1097">
            <v>0.42883587786260235</v>
          </cell>
          <cell r="I1097" t="e">
            <v>#N/A</v>
          </cell>
          <cell r="J1097" t="e">
            <v>#N/A</v>
          </cell>
          <cell r="K1097">
            <v>1.54</v>
          </cell>
          <cell r="L1097">
            <v>0.76</v>
          </cell>
          <cell r="M1097" t="e">
            <v>#N/A</v>
          </cell>
          <cell r="N1097">
            <v>1.2</v>
          </cell>
          <cell r="O1097" t="e">
            <v>#N/A</v>
          </cell>
          <cell r="P1097" t="str">
            <v/>
          </cell>
          <cell r="Q1097" t="str">
            <v/>
          </cell>
          <cell r="R1097">
            <v>1.19</v>
          </cell>
        </row>
        <row r="1098">
          <cell r="A1098" t="str">
            <v/>
          </cell>
          <cell r="B1098" t="str">
            <v/>
          </cell>
          <cell r="C1098" t="str">
            <v>Future</v>
          </cell>
          <cell r="D1098" t="e">
            <v>#N/A</v>
          </cell>
          <cell r="E1098">
            <v>-1.0866412213740546</v>
          </cell>
          <cell r="F1098">
            <v>1.9816030534351257</v>
          </cell>
          <cell r="G1098">
            <v>0.42755725190840388</v>
          </cell>
          <cell r="H1098">
            <v>0.42755725190840388</v>
          </cell>
          <cell r="I1098" t="e">
            <v>#N/A</v>
          </cell>
          <cell r="J1098" t="e">
            <v>#N/A</v>
          </cell>
          <cell r="K1098">
            <v>1.54</v>
          </cell>
          <cell r="L1098">
            <v>0.76</v>
          </cell>
          <cell r="M1098" t="e">
            <v>#N/A</v>
          </cell>
          <cell r="N1098">
            <v>1.2</v>
          </cell>
          <cell r="O1098" t="e">
            <v>#N/A</v>
          </cell>
          <cell r="P1098" t="str">
            <v/>
          </cell>
          <cell r="Q1098" t="str">
            <v/>
          </cell>
          <cell r="R1098">
            <v>1.19</v>
          </cell>
        </row>
        <row r="1099">
          <cell r="A1099" t="str">
            <v/>
          </cell>
          <cell r="B1099" t="str">
            <v/>
          </cell>
          <cell r="C1099" t="str">
            <v>Future</v>
          </cell>
          <cell r="D1099" t="e">
            <v>#N/A</v>
          </cell>
          <cell r="E1099">
            <v>-1.0908206106870317</v>
          </cell>
          <cell r="F1099">
            <v>1.9833015267175684</v>
          </cell>
          <cell r="G1099">
            <v>0.4262786259542054</v>
          </cell>
          <cell r="H1099">
            <v>0.4262786259542054</v>
          </cell>
          <cell r="I1099" t="e">
            <v>#N/A</v>
          </cell>
          <cell r="J1099" t="e">
            <v>#N/A</v>
          </cell>
          <cell r="K1099">
            <v>1.54</v>
          </cell>
          <cell r="L1099">
            <v>0.76</v>
          </cell>
          <cell r="M1099" t="e">
            <v>#N/A</v>
          </cell>
          <cell r="N1099">
            <v>1.2</v>
          </cell>
          <cell r="O1099" t="e">
            <v>#N/A</v>
          </cell>
          <cell r="P1099" t="str">
            <v/>
          </cell>
          <cell r="Q1099" t="str">
            <v/>
          </cell>
          <cell r="R1099">
            <v>1.19</v>
          </cell>
        </row>
        <row r="1100">
          <cell r="A1100" t="str">
            <v/>
          </cell>
          <cell r="B1100" t="str">
            <v/>
          </cell>
          <cell r="C1100" t="str">
            <v>Future</v>
          </cell>
          <cell r="D1100" t="e">
            <v>#N/A</v>
          </cell>
          <cell r="E1100">
            <v>-1.0950000000000089</v>
          </cell>
          <cell r="F1100">
            <v>1.9850000000000112</v>
          </cell>
          <cell r="G1100">
            <v>0.42500000000000693</v>
          </cell>
          <cell r="H1100">
            <v>0.42500000000000693</v>
          </cell>
          <cell r="I1100" t="e">
            <v>#N/A</v>
          </cell>
          <cell r="J1100" t="e">
            <v>#N/A</v>
          </cell>
          <cell r="K1100">
            <v>1.54</v>
          </cell>
          <cell r="L1100">
            <v>0.76</v>
          </cell>
          <cell r="M1100" t="e">
            <v>#N/A</v>
          </cell>
          <cell r="N1100">
            <v>1.2</v>
          </cell>
          <cell r="O1100" t="e">
            <v>#N/A</v>
          </cell>
          <cell r="P1100" t="str">
            <v/>
          </cell>
          <cell r="Q1100" t="str">
            <v/>
          </cell>
          <cell r="R1100">
            <v>1.19</v>
          </cell>
        </row>
        <row r="1101">
          <cell r="A1101" t="str">
            <v/>
          </cell>
          <cell r="B1101" t="str">
            <v/>
          </cell>
          <cell r="C1101" t="str">
            <v>Future</v>
          </cell>
          <cell r="D1101" t="e">
            <v>#N/A</v>
          </cell>
          <cell r="E1101">
            <v>-1.099179389312986</v>
          </cell>
          <cell r="F1101">
            <v>1.986698473282454</v>
          </cell>
          <cell r="G1101">
            <v>0.42372137404580845</v>
          </cell>
          <cell r="H1101">
            <v>0.42372137404580845</v>
          </cell>
          <cell r="I1101" t="e">
            <v>#N/A</v>
          </cell>
          <cell r="J1101" t="e">
            <v>#N/A</v>
          </cell>
          <cell r="K1101">
            <v>1.54</v>
          </cell>
          <cell r="L1101">
            <v>0.76</v>
          </cell>
          <cell r="M1101" t="e">
            <v>#N/A</v>
          </cell>
          <cell r="N1101">
            <v>1.2</v>
          </cell>
          <cell r="O1101" t="e">
            <v>#N/A</v>
          </cell>
          <cell r="P1101" t="str">
            <v/>
          </cell>
          <cell r="Q1101" t="str">
            <v/>
          </cell>
          <cell r="R1101">
            <v>1.19</v>
          </cell>
        </row>
        <row r="1102">
          <cell r="A1102" t="str">
            <v/>
          </cell>
          <cell r="B1102" t="str">
            <v/>
          </cell>
          <cell r="C1102" t="str">
            <v>Future</v>
          </cell>
          <cell r="D1102" t="e">
            <v>#N/A</v>
          </cell>
          <cell r="E1102">
            <v>-1.1033587786259631</v>
          </cell>
          <cell r="F1102">
            <v>1.9883969465648967</v>
          </cell>
          <cell r="G1102">
            <v>0.42244274809160998</v>
          </cell>
          <cell r="H1102">
            <v>0.42244274809160998</v>
          </cell>
          <cell r="I1102" t="e">
            <v>#N/A</v>
          </cell>
          <cell r="J1102" t="e">
            <v>#N/A</v>
          </cell>
          <cell r="K1102">
            <v>1.54</v>
          </cell>
          <cell r="L1102">
            <v>0.76</v>
          </cell>
          <cell r="M1102" t="e">
            <v>#N/A</v>
          </cell>
          <cell r="N1102">
            <v>1.2</v>
          </cell>
          <cell r="O1102" t="e">
            <v>#N/A</v>
          </cell>
          <cell r="P1102" t="str">
            <v/>
          </cell>
          <cell r="Q1102" t="str">
            <v/>
          </cell>
          <cell r="R1102">
            <v>1.19</v>
          </cell>
        </row>
        <row r="1103">
          <cell r="A1103" t="str">
            <v/>
          </cell>
          <cell r="B1103" t="str">
            <v/>
          </cell>
          <cell r="C1103" t="str">
            <v>Future</v>
          </cell>
          <cell r="D1103" t="e">
            <v>#N/A</v>
          </cell>
          <cell r="E1103">
            <v>-1.1075381679389402</v>
          </cell>
          <cell r="F1103">
            <v>1.9900954198473395</v>
          </cell>
          <cell r="G1103">
            <v>0.4211641221374115</v>
          </cell>
          <cell r="H1103">
            <v>0.4211641221374115</v>
          </cell>
          <cell r="I1103" t="e">
            <v>#N/A</v>
          </cell>
          <cell r="J1103" t="e">
            <v>#N/A</v>
          </cell>
          <cell r="K1103">
            <v>1.54</v>
          </cell>
          <cell r="L1103">
            <v>0.76</v>
          </cell>
          <cell r="M1103" t="e">
            <v>#N/A</v>
          </cell>
          <cell r="N1103">
            <v>1.2</v>
          </cell>
          <cell r="O1103" t="e">
            <v>#N/A</v>
          </cell>
          <cell r="P1103" t="str">
            <v/>
          </cell>
          <cell r="Q1103" t="str">
            <v/>
          </cell>
          <cell r="R1103">
            <v>1.19</v>
          </cell>
        </row>
        <row r="1104">
          <cell r="A1104" t="str">
            <v/>
          </cell>
          <cell r="B1104" t="str">
            <v/>
          </cell>
          <cell r="C1104" t="str">
            <v>Future</v>
          </cell>
          <cell r="D1104" t="e">
            <v>#N/A</v>
          </cell>
          <cell r="E1104">
            <v>-1.1117175572519173</v>
          </cell>
          <cell r="F1104">
            <v>1.9917938931297823</v>
          </cell>
          <cell r="G1104">
            <v>0.41988549618321303</v>
          </cell>
          <cell r="H1104">
            <v>0.41988549618321303</v>
          </cell>
          <cell r="I1104" t="e">
            <v>#N/A</v>
          </cell>
          <cell r="J1104" t="e">
            <v>#N/A</v>
          </cell>
          <cell r="K1104">
            <v>1.54</v>
          </cell>
          <cell r="L1104">
            <v>0.76</v>
          </cell>
          <cell r="M1104" t="e">
            <v>#N/A</v>
          </cell>
          <cell r="N1104">
            <v>1.2</v>
          </cell>
          <cell r="O1104" t="e">
            <v>#N/A</v>
          </cell>
          <cell r="P1104" t="str">
            <v/>
          </cell>
          <cell r="Q1104" t="str">
            <v/>
          </cell>
          <cell r="R1104">
            <v>1.19</v>
          </cell>
        </row>
        <row r="1105">
          <cell r="A1105" t="str">
            <v/>
          </cell>
          <cell r="B1105" t="str">
            <v/>
          </cell>
          <cell r="C1105" t="str">
            <v>Future</v>
          </cell>
          <cell r="D1105" t="e">
            <v>#N/A</v>
          </cell>
          <cell r="E1105">
            <v>-1.1158969465648945</v>
          </cell>
          <cell r="F1105">
            <v>1.993492366412225</v>
          </cell>
          <cell r="G1105">
            <v>0.41860687022901455</v>
          </cell>
          <cell r="H1105">
            <v>0.41860687022901455</v>
          </cell>
          <cell r="I1105" t="e">
            <v>#N/A</v>
          </cell>
          <cell r="J1105" t="e">
            <v>#N/A</v>
          </cell>
          <cell r="K1105">
            <v>1.54</v>
          </cell>
          <cell r="L1105">
            <v>0.76</v>
          </cell>
          <cell r="M1105" t="e">
            <v>#N/A</v>
          </cell>
          <cell r="N1105">
            <v>1.2</v>
          </cell>
          <cell r="O1105" t="e">
            <v>#N/A</v>
          </cell>
          <cell r="P1105" t="str">
            <v/>
          </cell>
          <cell r="Q1105" t="str">
            <v/>
          </cell>
          <cell r="R1105">
            <v>1.19</v>
          </cell>
        </row>
        <row r="1106">
          <cell r="A1106" t="str">
            <v/>
          </cell>
          <cell r="B1106" t="str">
            <v/>
          </cell>
          <cell r="C1106" t="str">
            <v>Future</v>
          </cell>
          <cell r="D1106" t="e">
            <v>#N/A</v>
          </cell>
          <cell r="E1106">
            <v>-1.1200763358778716</v>
          </cell>
          <cell r="F1106">
            <v>1.9951908396946678</v>
          </cell>
          <cell r="G1106">
            <v>0.41732824427481607</v>
          </cell>
          <cell r="H1106">
            <v>0.41732824427481607</v>
          </cell>
          <cell r="I1106" t="e">
            <v>#N/A</v>
          </cell>
          <cell r="J1106" t="e">
            <v>#N/A</v>
          </cell>
          <cell r="K1106">
            <v>1.54</v>
          </cell>
          <cell r="L1106">
            <v>0.76</v>
          </cell>
          <cell r="M1106" t="e">
            <v>#N/A</v>
          </cell>
          <cell r="N1106">
            <v>1.2</v>
          </cell>
          <cell r="O1106" t="e">
            <v>#N/A</v>
          </cell>
          <cell r="P1106" t="str">
            <v/>
          </cell>
          <cell r="Q1106" t="str">
            <v/>
          </cell>
          <cell r="R1106">
            <v>1.19</v>
          </cell>
        </row>
        <row r="1107">
          <cell r="A1107" t="str">
            <v/>
          </cell>
          <cell r="B1107" t="str">
            <v/>
          </cell>
          <cell r="C1107" t="str">
            <v>Future</v>
          </cell>
          <cell r="D1107" t="e">
            <v>#N/A</v>
          </cell>
          <cell r="E1107">
            <v>-1.1242557251908487</v>
          </cell>
          <cell r="F1107">
            <v>1.9968893129771106</v>
          </cell>
          <cell r="G1107">
            <v>0.4160496183206176</v>
          </cell>
          <cell r="H1107">
            <v>0.4160496183206176</v>
          </cell>
          <cell r="I1107" t="e">
            <v>#N/A</v>
          </cell>
          <cell r="J1107" t="e">
            <v>#N/A</v>
          </cell>
          <cell r="K1107">
            <v>1.54</v>
          </cell>
          <cell r="L1107">
            <v>0.76</v>
          </cell>
          <cell r="M1107" t="e">
            <v>#N/A</v>
          </cell>
          <cell r="N1107">
            <v>1.2</v>
          </cell>
          <cell r="O1107" t="e">
            <v>#N/A</v>
          </cell>
          <cell r="P1107" t="str">
            <v/>
          </cell>
          <cell r="Q1107" t="str">
            <v/>
          </cell>
          <cell r="R1107">
            <v>1.19</v>
          </cell>
        </row>
        <row r="1108">
          <cell r="A1108" t="str">
            <v/>
          </cell>
          <cell r="B1108" t="str">
            <v/>
          </cell>
          <cell r="C1108" t="str">
            <v>Future</v>
          </cell>
          <cell r="D1108" t="e">
            <v>#N/A</v>
          </cell>
          <cell r="E1108">
            <v>-1.1284351145038258</v>
          </cell>
          <cell r="F1108">
            <v>1.9985877862595534</v>
          </cell>
          <cell r="G1108">
            <v>0.41477099236641912</v>
          </cell>
          <cell r="H1108">
            <v>0.41477099236641912</v>
          </cell>
          <cell r="I1108" t="e">
            <v>#N/A</v>
          </cell>
          <cell r="J1108" t="e">
            <v>#N/A</v>
          </cell>
          <cell r="K1108">
            <v>1.54</v>
          </cell>
          <cell r="L1108">
            <v>0.76</v>
          </cell>
          <cell r="M1108" t="e">
            <v>#N/A</v>
          </cell>
          <cell r="N1108">
            <v>1.2</v>
          </cell>
          <cell r="O1108" t="e">
            <v>#N/A</v>
          </cell>
          <cell r="P1108" t="str">
            <v/>
          </cell>
          <cell r="Q1108" t="str">
            <v/>
          </cell>
          <cell r="R1108">
            <v>1.19</v>
          </cell>
        </row>
        <row r="1109">
          <cell r="A1109" t="str">
            <v/>
          </cell>
          <cell r="B1109" t="str">
            <v/>
          </cell>
          <cell r="C1109" t="str">
            <v>Future</v>
          </cell>
          <cell r="D1109" t="e">
            <v>#N/A</v>
          </cell>
          <cell r="E1109">
            <v>-1.132614503816803</v>
          </cell>
          <cell r="F1109">
            <v>2.0002862595419959</v>
          </cell>
          <cell r="G1109">
            <v>0.41349236641222065</v>
          </cell>
          <cell r="H1109">
            <v>0.41349236641222065</v>
          </cell>
          <cell r="I1109" t="e">
            <v>#N/A</v>
          </cell>
          <cell r="J1109" t="e">
            <v>#N/A</v>
          </cell>
          <cell r="K1109">
            <v>1.54</v>
          </cell>
          <cell r="L1109">
            <v>0.76</v>
          </cell>
          <cell r="M1109" t="e">
            <v>#N/A</v>
          </cell>
          <cell r="N1109">
            <v>1.2</v>
          </cell>
          <cell r="O1109" t="e">
            <v>#N/A</v>
          </cell>
          <cell r="P1109" t="str">
            <v/>
          </cell>
          <cell r="Q1109" t="str">
            <v/>
          </cell>
          <cell r="R1109">
            <v>1.19</v>
          </cell>
        </row>
        <row r="1110">
          <cell r="A1110" t="str">
            <v/>
          </cell>
          <cell r="B1110" t="str">
            <v/>
          </cell>
          <cell r="C1110" t="str">
            <v>Future</v>
          </cell>
          <cell r="D1110" t="e">
            <v>#N/A</v>
          </cell>
          <cell r="E1110">
            <v>-1.1367938931297801</v>
          </cell>
          <cell r="F1110">
            <v>2.0019847328244387</v>
          </cell>
          <cell r="G1110">
            <v>0.41221374045802217</v>
          </cell>
          <cell r="H1110">
            <v>0.41221374045802217</v>
          </cell>
          <cell r="I1110" t="e">
            <v>#N/A</v>
          </cell>
          <cell r="J1110" t="e">
            <v>#N/A</v>
          </cell>
          <cell r="K1110">
            <v>1.54</v>
          </cell>
          <cell r="L1110">
            <v>0.76</v>
          </cell>
          <cell r="M1110" t="e">
            <v>#N/A</v>
          </cell>
          <cell r="N1110">
            <v>1.2</v>
          </cell>
          <cell r="O1110" t="e">
            <v>#N/A</v>
          </cell>
          <cell r="P1110" t="str">
            <v/>
          </cell>
          <cell r="Q1110" t="str">
            <v/>
          </cell>
          <cell r="R1110">
            <v>1.19</v>
          </cell>
        </row>
        <row r="1111">
          <cell r="A1111" t="str">
            <v/>
          </cell>
          <cell r="B1111" t="str">
            <v/>
          </cell>
          <cell r="C1111" t="str">
            <v>Future</v>
          </cell>
          <cell r="D1111" t="e">
            <v>#N/A</v>
          </cell>
          <cell r="E1111">
            <v>-1.1409732824427572</v>
          </cell>
          <cell r="F1111">
            <v>2.0036832061068814</v>
          </cell>
          <cell r="G1111">
            <v>0.4109351145038237</v>
          </cell>
          <cell r="H1111">
            <v>0.4109351145038237</v>
          </cell>
          <cell r="I1111" t="e">
            <v>#N/A</v>
          </cell>
          <cell r="J1111" t="e">
            <v>#N/A</v>
          </cell>
          <cell r="K1111">
            <v>1.54</v>
          </cell>
          <cell r="L1111">
            <v>0.76</v>
          </cell>
          <cell r="M1111" t="e">
            <v>#N/A</v>
          </cell>
          <cell r="N1111">
            <v>1.2</v>
          </cell>
          <cell r="O1111" t="e">
            <v>#N/A</v>
          </cell>
          <cell r="P1111" t="str">
            <v/>
          </cell>
          <cell r="Q1111" t="str">
            <v/>
          </cell>
          <cell r="R1111">
            <v>1.19</v>
          </cell>
        </row>
        <row r="1112">
          <cell r="A1112" t="str">
            <v/>
          </cell>
          <cell r="B1112" t="str">
            <v/>
          </cell>
          <cell r="C1112" t="str">
            <v>Future</v>
          </cell>
          <cell r="D1112" t="e">
            <v>#N/A</v>
          </cell>
          <cell r="E1112">
            <v>-1.1451526717557343</v>
          </cell>
          <cell r="F1112">
            <v>2.0053816793893242</v>
          </cell>
          <cell r="G1112">
            <v>0.40965648854962522</v>
          </cell>
          <cell r="H1112">
            <v>0.40965648854962522</v>
          </cell>
          <cell r="I1112" t="e">
            <v>#N/A</v>
          </cell>
          <cell r="J1112" t="e">
            <v>#N/A</v>
          </cell>
          <cell r="K1112">
            <v>1.54</v>
          </cell>
          <cell r="L1112">
            <v>0.76</v>
          </cell>
          <cell r="M1112" t="e">
            <v>#N/A</v>
          </cell>
          <cell r="N1112">
            <v>1.2</v>
          </cell>
          <cell r="O1112" t="e">
            <v>#N/A</v>
          </cell>
          <cell r="P1112" t="str">
            <v/>
          </cell>
          <cell r="Q1112" t="str">
            <v/>
          </cell>
          <cell r="R1112">
            <v>1.19</v>
          </cell>
        </row>
        <row r="1113">
          <cell r="A1113" t="str">
            <v/>
          </cell>
          <cell r="B1113" t="str">
            <v/>
          </cell>
          <cell r="C1113" t="str">
            <v>Future</v>
          </cell>
          <cell r="D1113" t="e">
            <v>#N/A</v>
          </cell>
          <cell r="E1113">
            <v>-1.1493320610687114</v>
          </cell>
          <cell r="F1113">
            <v>2.007080152671767</v>
          </cell>
          <cell r="G1113">
            <v>0.40837786259542674</v>
          </cell>
          <cell r="H1113">
            <v>0.40837786259542674</v>
          </cell>
          <cell r="I1113" t="e">
            <v>#N/A</v>
          </cell>
          <cell r="J1113" t="e">
            <v>#N/A</v>
          </cell>
          <cell r="K1113">
            <v>1.54</v>
          </cell>
          <cell r="L1113">
            <v>0.76</v>
          </cell>
          <cell r="M1113" t="e">
            <v>#N/A</v>
          </cell>
          <cell r="N1113">
            <v>1.2</v>
          </cell>
          <cell r="O1113" t="e">
            <v>#N/A</v>
          </cell>
          <cell r="P1113" t="str">
            <v/>
          </cell>
          <cell r="Q1113" t="str">
            <v/>
          </cell>
          <cell r="R1113">
            <v>1.19</v>
          </cell>
        </row>
        <row r="1114">
          <cell r="A1114" t="str">
            <v/>
          </cell>
          <cell r="B1114" t="str">
            <v/>
          </cell>
          <cell r="C1114" t="str">
            <v>Future</v>
          </cell>
          <cell r="D1114" t="e">
            <v>#N/A</v>
          </cell>
          <cell r="E1114">
            <v>-1.1535114503816886</v>
          </cell>
          <cell r="F1114">
            <v>2.0087786259542098</v>
          </cell>
          <cell r="G1114">
            <v>0.40709923664122827</v>
          </cell>
          <cell r="H1114">
            <v>0.40709923664122827</v>
          </cell>
          <cell r="I1114" t="e">
            <v>#N/A</v>
          </cell>
          <cell r="J1114" t="e">
            <v>#N/A</v>
          </cell>
          <cell r="K1114">
            <v>1.54</v>
          </cell>
          <cell r="L1114">
            <v>0.76</v>
          </cell>
          <cell r="M1114" t="e">
            <v>#N/A</v>
          </cell>
          <cell r="N1114">
            <v>1.2</v>
          </cell>
          <cell r="O1114" t="e">
            <v>#N/A</v>
          </cell>
          <cell r="P1114" t="str">
            <v/>
          </cell>
          <cell r="Q1114" t="str">
            <v/>
          </cell>
          <cell r="R1114">
            <v>1.19</v>
          </cell>
        </row>
        <row r="1115">
          <cell r="A1115" t="str">
            <v/>
          </cell>
          <cell r="B1115" t="str">
            <v/>
          </cell>
          <cell r="C1115" t="str">
            <v>Future</v>
          </cell>
          <cell r="D1115" t="e">
            <v>#N/A</v>
          </cell>
          <cell r="E1115">
            <v>-1.1576908396946657</v>
          </cell>
          <cell r="F1115">
            <v>2.0104770992366525</v>
          </cell>
          <cell r="G1115">
            <v>0.40582061068702979</v>
          </cell>
          <cell r="H1115">
            <v>0.40582061068702979</v>
          </cell>
          <cell r="I1115" t="e">
            <v>#N/A</v>
          </cell>
          <cell r="J1115" t="e">
            <v>#N/A</v>
          </cell>
          <cell r="K1115">
            <v>1.54</v>
          </cell>
          <cell r="L1115">
            <v>0.76</v>
          </cell>
          <cell r="M1115" t="e">
            <v>#N/A</v>
          </cell>
          <cell r="N1115">
            <v>1.2</v>
          </cell>
          <cell r="O1115" t="e">
            <v>#N/A</v>
          </cell>
          <cell r="P1115" t="str">
            <v/>
          </cell>
          <cell r="Q1115" t="str">
            <v/>
          </cell>
          <cell r="R1115">
            <v>1.19</v>
          </cell>
        </row>
        <row r="1116">
          <cell r="A1116" t="str">
            <v/>
          </cell>
          <cell r="B1116" t="str">
            <v/>
          </cell>
          <cell r="C1116" t="str">
            <v>Future</v>
          </cell>
          <cell r="D1116" t="e">
            <v>#N/A</v>
          </cell>
          <cell r="E1116">
            <v>-1.1618702290076428</v>
          </cell>
          <cell r="F1116">
            <v>2.0121755725190953</v>
          </cell>
          <cell r="G1116">
            <v>0.40454198473283132</v>
          </cell>
          <cell r="H1116">
            <v>0.40454198473283132</v>
          </cell>
          <cell r="I1116" t="e">
            <v>#N/A</v>
          </cell>
          <cell r="J1116" t="e">
            <v>#N/A</v>
          </cell>
          <cell r="K1116">
            <v>1.54</v>
          </cell>
          <cell r="L1116">
            <v>0.76</v>
          </cell>
          <cell r="M1116" t="e">
            <v>#N/A</v>
          </cell>
          <cell r="N1116">
            <v>1.2</v>
          </cell>
          <cell r="O1116" t="e">
            <v>#N/A</v>
          </cell>
          <cell r="P1116" t="str">
            <v/>
          </cell>
          <cell r="Q1116" t="str">
            <v/>
          </cell>
          <cell r="R1116">
            <v>1.19</v>
          </cell>
        </row>
        <row r="1117">
          <cell r="A1117" t="str">
            <v/>
          </cell>
          <cell r="B1117" t="str">
            <v/>
          </cell>
          <cell r="C1117" t="str">
            <v>Future</v>
          </cell>
          <cell r="D1117" t="e">
            <v>#N/A</v>
          </cell>
          <cell r="E1117">
            <v>-1.1660496183206199</v>
          </cell>
          <cell r="F1117">
            <v>2.0138740458015381</v>
          </cell>
          <cell r="G1117">
            <v>0.40326335877863284</v>
          </cell>
          <cell r="H1117">
            <v>0.40326335877863284</v>
          </cell>
          <cell r="I1117" t="e">
            <v>#N/A</v>
          </cell>
          <cell r="J1117" t="e">
            <v>#N/A</v>
          </cell>
          <cell r="K1117">
            <v>1.54</v>
          </cell>
          <cell r="L1117">
            <v>0.76</v>
          </cell>
          <cell r="M1117" t="e">
            <v>#N/A</v>
          </cell>
          <cell r="N1117">
            <v>1.2</v>
          </cell>
          <cell r="O1117" t="e">
            <v>#N/A</v>
          </cell>
          <cell r="P1117" t="str">
            <v/>
          </cell>
          <cell r="Q1117" t="str">
            <v/>
          </cell>
          <cell r="R1117">
            <v>1.19</v>
          </cell>
        </row>
        <row r="1118">
          <cell r="A1118" t="str">
            <v/>
          </cell>
          <cell r="B1118" t="str">
            <v/>
          </cell>
          <cell r="C1118" t="str">
            <v>Future</v>
          </cell>
          <cell r="D1118" t="e">
            <v>#N/A</v>
          </cell>
          <cell r="E1118">
            <v>-1.1702290076335971</v>
          </cell>
          <cell r="F1118">
            <v>2.0155725190839808</v>
          </cell>
          <cell r="G1118">
            <v>0.40198473282443437</v>
          </cell>
          <cell r="H1118">
            <v>0.40198473282443437</v>
          </cell>
          <cell r="I1118" t="e">
            <v>#N/A</v>
          </cell>
          <cell r="J1118" t="e">
            <v>#N/A</v>
          </cell>
          <cell r="K1118">
            <v>1.54</v>
          </cell>
          <cell r="L1118">
            <v>0.76</v>
          </cell>
          <cell r="M1118" t="e">
            <v>#N/A</v>
          </cell>
          <cell r="N1118">
            <v>1.2</v>
          </cell>
          <cell r="O1118" t="e">
            <v>#N/A</v>
          </cell>
          <cell r="P1118" t="str">
            <v/>
          </cell>
          <cell r="Q1118" t="str">
            <v/>
          </cell>
          <cell r="R1118">
            <v>1.19</v>
          </cell>
        </row>
        <row r="1119">
          <cell r="A1119" t="str">
            <v/>
          </cell>
          <cell r="B1119" t="str">
            <v/>
          </cell>
          <cell r="C1119" t="str">
            <v>Future</v>
          </cell>
          <cell r="D1119" t="e">
            <v>#N/A</v>
          </cell>
          <cell r="E1119">
            <v>-1.1744083969465742</v>
          </cell>
          <cell r="F1119">
            <v>2.0172709923664236</v>
          </cell>
          <cell r="G1119">
            <v>0.40070610687023589</v>
          </cell>
          <cell r="H1119">
            <v>0.40070610687023589</v>
          </cell>
          <cell r="I1119" t="e">
            <v>#N/A</v>
          </cell>
          <cell r="J1119" t="e">
            <v>#N/A</v>
          </cell>
          <cell r="K1119">
            <v>1.54</v>
          </cell>
          <cell r="L1119">
            <v>0.76</v>
          </cell>
          <cell r="M1119" t="e">
            <v>#N/A</v>
          </cell>
          <cell r="N1119">
            <v>1.2</v>
          </cell>
          <cell r="O1119" t="e">
            <v>#N/A</v>
          </cell>
          <cell r="P1119" t="str">
            <v/>
          </cell>
          <cell r="Q1119" t="str">
            <v/>
          </cell>
          <cell r="R1119">
            <v>1.19</v>
          </cell>
        </row>
        <row r="1120">
          <cell r="A1120" t="str">
            <v/>
          </cell>
          <cell r="B1120" t="str">
            <v/>
          </cell>
          <cell r="C1120" t="str">
            <v>Future</v>
          </cell>
          <cell r="D1120" t="e">
            <v>#N/A</v>
          </cell>
          <cell r="E1120">
            <v>-1.1785877862595513</v>
          </cell>
          <cell r="F1120">
            <v>2.0189694656488664</v>
          </cell>
          <cell r="G1120">
            <v>0.39942748091603741</v>
          </cell>
          <cell r="H1120">
            <v>0.39942748091603741</v>
          </cell>
          <cell r="I1120" t="e">
            <v>#N/A</v>
          </cell>
          <cell r="J1120" t="e">
            <v>#N/A</v>
          </cell>
          <cell r="K1120">
            <v>1.54</v>
          </cell>
          <cell r="L1120">
            <v>0.76</v>
          </cell>
          <cell r="M1120" t="e">
            <v>#N/A</v>
          </cell>
          <cell r="N1120">
            <v>1.2</v>
          </cell>
          <cell r="O1120" t="e">
            <v>#N/A</v>
          </cell>
          <cell r="P1120" t="str">
            <v/>
          </cell>
          <cell r="Q1120" t="str">
            <v/>
          </cell>
          <cell r="R1120">
            <v>1.19</v>
          </cell>
        </row>
        <row r="1121">
          <cell r="A1121" t="str">
            <v/>
          </cell>
          <cell r="B1121" t="str">
            <v/>
          </cell>
          <cell r="C1121" t="str">
            <v>Future</v>
          </cell>
          <cell r="D1121" t="e">
            <v>#N/A</v>
          </cell>
          <cell r="E1121">
            <v>-1.1827671755725284</v>
          </cell>
          <cell r="F1121">
            <v>2.0206679389313091</v>
          </cell>
          <cell r="G1121">
            <v>0.39814885496183894</v>
          </cell>
          <cell r="H1121">
            <v>0.39814885496183894</v>
          </cell>
          <cell r="I1121" t="e">
            <v>#N/A</v>
          </cell>
          <cell r="J1121" t="e">
            <v>#N/A</v>
          </cell>
          <cell r="K1121">
            <v>1.54</v>
          </cell>
          <cell r="L1121">
            <v>0.76</v>
          </cell>
          <cell r="M1121" t="e">
            <v>#N/A</v>
          </cell>
          <cell r="N1121">
            <v>1.2</v>
          </cell>
          <cell r="O1121" t="e">
            <v>#N/A</v>
          </cell>
          <cell r="P1121" t="str">
            <v/>
          </cell>
          <cell r="Q1121" t="str">
            <v/>
          </cell>
          <cell r="R1121">
            <v>1.19</v>
          </cell>
        </row>
        <row r="1122">
          <cell r="A1122" t="str">
            <v/>
          </cell>
          <cell r="B1122" t="str">
            <v/>
          </cell>
          <cell r="C1122" t="str">
            <v>Future</v>
          </cell>
          <cell r="D1122" t="e">
            <v>#N/A</v>
          </cell>
          <cell r="E1122">
            <v>-1.1869465648855055</v>
          </cell>
          <cell r="F1122">
            <v>2.0223664122137519</v>
          </cell>
          <cell r="G1122">
            <v>0.39687022900764046</v>
          </cell>
          <cell r="H1122">
            <v>0.39687022900764046</v>
          </cell>
          <cell r="I1122" t="e">
            <v>#N/A</v>
          </cell>
          <cell r="J1122" t="e">
            <v>#N/A</v>
          </cell>
          <cell r="K1122">
            <v>1.54</v>
          </cell>
          <cell r="L1122">
            <v>0.76</v>
          </cell>
          <cell r="M1122" t="e">
            <v>#N/A</v>
          </cell>
          <cell r="N1122">
            <v>1.2</v>
          </cell>
          <cell r="O1122" t="e">
            <v>#N/A</v>
          </cell>
          <cell r="P1122" t="str">
            <v/>
          </cell>
          <cell r="Q1122" t="str">
            <v/>
          </cell>
          <cell r="R1122">
            <v>1.19</v>
          </cell>
        </row>
        <row r="1123">
          <cell r="A1123" t="str">
            <v/>
          </cell>
          <cell r="B1123" t="str">
            <v/>
          </cell>
          <cell r="C1123" t="str">
            <v>Future</v>
          </cell>
          <cell r="D1123" t="e">
            <v>#N/A</v>
          </cell>
          <cell r="E1123">
            <v>-1.1911259541984827</v>
          </cell>
          <cell r="F1123">
            <v>2.0240648854961947</v>
          </cell>
          <cell r="G1123">
            <v>0.39559160305344199</v>
          </cell>
          <cell r="H1123">
            <v>0.39559160305344199</v>
          </cell>
          <cell r="I1123" t="e">
            <v>#N/A</v>
          </cell>
          <cell r="J1123" t="e">
            <v>#N/A</v>
          </cell>
          <cell r="K1123">
            <v>1.54</v>
          </cell>
          <cell r="L1123">
            <v>0.76</v>
          </cell>
          <cell r="M1123" t="e">
            <v>#N/A</v>
          </cell>
          <cell r="N1123">
            <v>1.2</v>
          </cell>
          <cell r="O1123" t="e">
            <v>#N/A</v>
          </cell>
          <cell r="P1123" t="str">
            <v/>
          </cell>
          <cell r="Q1123" t="str">
            <v/>
          </cell>
          <cell r="R1123">
            <v>1.19</v>
          </cell>
        </row>
        <row r="1124">
          <cell r="A1124" t="str">
            <v/>
          </cell>
          <cell r="B1124" t="str">
            <v/>
          </cell>
          <cell r="C1124" t="str">
            <v>Future</v>
          </cell>
          <cell r="D1124" t="e">
            <v>#N/A</v>
          </cell>
          <cell r="E1124">
            <v>-1.1953053435114598</v>
          </cell>
          <cell r="F1124">
            <v>2.0257633587786374</v>
          </cell>
          <cell r="G1124">
            <v>0.39431297709924351</v>
          </cell>
          <cell r="H1124">
            <v>0.39431297709924351</v>
          </cell>
          <cell r="I1124" t="e">
            <v>#N/A</v>
          </cell>
          <cell r="J1124" t="e">
            <v>#N/A</v>
          </cell>
          <cell r="K1124">
            <v>1.54</v>
          </cell>
          <cell r="L1124">
            <v>0.76</v>
          </cell>
          <cell r="M1124" t="e">
            <v>#N/A</v>
          </cell>
          <cell r="N1124">
            <v>1.2</v>
          </cell>
          <cell r="O1124" t="e">
            <v>#N/A</v>
          </cell>
          <cell r="P1124" t="str">
            <v/>
          </cell>
          <cell r="Q1124" t="str">
            <v/>
          </cell>
          <cell r="R1124">
            <v>1.19</v>
          </cell>
        </row>
        <row r="1125">
          <cell r="A1125" t="str">
            <v/>
          </cell>
          <cell r="B1125" t="str">
            <v/>
          </cell>
          <cell r="C1125" t="str">
            <v>Future</v>
          </cell>
          <cell r="D1125" t="e">
            <v>#N/A</v>
          </cell>
          <cell r="E1125">
            <v>-1.1994847328244369</v>
          </cell>
          <cell r="F1125">
            <v>2.0274618320610802</v>
          </cell>
          <cell r="G1125">
            <v>0.39303435114504504</v>
          </cell>
          <cell r="H1125">
            <v>0.39303435114504504</v>
          </cell>
          <cell r="I1125" t="e">
            <v>#N/A</v>
          </cell>
          <cell r="J1125" t="e">
            <v>#N/A</v>
          </cell>
          <cell r="K1125">
            <v>1.54</v>
          </cell>
          <cell r="L1125">
            <v>0.76</v>
          </cell>
          <cell r="M1125" t="e">
            <v>#N/A</v>
          </cell>
          <cell r="N1125">
            <v>1.2</v>
          </cell>
          <cell r="O1125" t="e">
            <v>#N/A</v>
          </cell>
          <cell r="P1125" t="str">
            <v/>
          </cell>
          <cell r="Q1125" t="str">
            <v/>
          </cell>
          <cell r="R1125">
            <v>1.19</v>
          </cell>
        </row>
        <row r="1126">
          <cell r="A1126" t="str">
            <v/>
          </cell>
          <cell r="B1126" t="str">
            <v/>
          </cell>
          <cell r="C1126" t="str">
            <v>Future</v>
          </cell>
          <cell r="D1126" t="e">
            <v>#N/A</v>
          </cell>
          <cell r="E1126">
            <v>-1.203664122137414</v>
          </cell>
          <cell r="F1126">
            <v>2.029160305343523</v>
          </cell>
          <cell r="G1126">
            <v>0.39175572519084656</v>
          </cell>
          <cell r="H1126">
            <v>0.39175572519084656</v>
          </cell>
          <cell r="I1126" t="e">
            <v>#N/A</v>
          </cell>
          <cell r="J1126" t="e">
            <v>#N/A</v>
          </cell>
          <cell r="K1126">
            <v>1.54</v>
          </cell>
          <cell r="L1126">
            <v>0.76</v>
          </cell>
          <cell r="M1126" t="e">
            <v>#N/A</v>
          </cell>
          <cell r="N1126">
            <v>1.2</v>
          </cell>
          <cell r="O1126" t="e">
            <v>#N/A</v>
          </cell>
          <cell r="P1126" t="str">
            <v/>
          </cell>
          <cell r="Q1126" t="str">
            <v/>
          </cell>
          <cell r="R1126">
            <v>1.19</v>
          </cell>
        </row>
        <row r="1127">
          <cell r="A1127" t="str">
            <v/>
          </cell>
          <cell r="B1127" t="str">
            <v/>
          </cell>
          <cell r="C1127" t="str">
            <v>Future</v>
          </cell>
          <cell r="D1127" t="e">
            <v>#N/A</v>
          </cell>
          <cell r="E1127">
            <v>-1.2078435114503911</v>
          </cell>
          <cell r="F1127">
            <v>2.0308587786259658</v>
          </cell>
          <cell r="G1127">
            <v>0.39047709923664808</v>
          </cell>
          <cell r="H1127">
            <v>0.39047709923664808</v>
          </cell>
          <cell r="I1127" t="e">
            <v>#N/A</v>
          </cell>
          <cell r="J1127" t="e">
            <v>#N/A</v>
          </cell>
          <cell r="K1127">
            <v>1.54</v>
          </cell>
          <cell r="L1127">
            <v>0.76</v>
          </cell>
          <cell r="M1127" t="e">
            <v>#N/A</v>
          </cell>
          <cell r="N1127">
            <v>1.2</v>
          </cell>
          <cell r="O1127" t="e">
            <v>#N/A</v>
          </cell>
          <cell r="P1127" t="str">
            <v/>
          </cell>
          <cell r="Q1127" t="str">
            <v/>
          </cell>
          <cell r="R1127">
            <v>1.19</v>
          </cell>
        </row>
        <row r="1128">
          <cell r="A1128" t="str">
            <v/>
          </cell>
          <cell r="B1128" t="str">
            <v/>
          </cell>
          <cell r="C1128" t="str">
            <v>Future</v>
          </cell>
          <cell r="D1128" t="e">
            <v>#N/A</v>
          </cell>
          <cell r="E1128">
            <v>-1.2120229007633683</v>
          </cell>
          <cell r="F1128">
            <v>2.0325572519084085</v>
          </cell>
          <cell r="G1128">
            <v>0.38919847328244961</v>
          </cell>
          <cell r="H1128">
            <v>0.38919847328244961</v>
          </cell>
          <cell r="I1128" t="e">
            <v>#N/A</v>
          </cell>
          <cell r="J1128" t="e">
            <v>#N/A</v>
          </cell>
          <cell r="K1128">
            <v>1.54</v>
          </cell>
          <cell r="L1128">
            <v>0.76</v>
          </cell>
          <cell r="M1128" t="e">
            <v>#N/A</v>
          </cell>
          <cell r="N1128">
            <v>1.2</v>
          </cell>
          <cell r="O1128" t="e">
            <v>#N/A</v>
          </cell>
          <cell r="P1128" t="str">
            <v/>
          </cell>
          <cell r="Q1128" t="str">
            <v/>
          </cell>
          <cell r="R1128">
            <v>1.19</v>
          </cell>
        </row>
        <row r="1129">
          <cell r="A1129" t="str">
            <v/>
          </cell>
          <cell r="B1129" t="str">
            <v/>
          </cell>
          <cell r="C1129" t="str">
            <v>Future</v>
          </cell>
          <cell r="D1129" t="e">
            <v>#N/A</v>
          </cell>
          <cell r="E1129">
            <v>-1.2162022900763454</v>
          </cell>
          <cell r="F1129">
            <v>2.0342557251908513</v>
          </cell>
          <cell r="G1129">
            <v>0.38791984732825113</v>
          </cell>
          <cell r="H1129">
            <v>0.38791984732825113</v>
          </cell>
          <cell r="I1129" t="e">
            <v>#N/A</v>
          </cell>
          <cell r="J1129" t="e">
            <v>#N/A</v>
          </cell>
          <cell r="K1129">
            <v>1.54</v>
          </cell>
          <cell r="L1129">
            <v>0.76</v>
          </cell>
          <cell r="M1129" t="e">
            <v>#N/A</v>
          </cell>
          <cell r="N1129">
            <v>1.2</v>
          </cell>
          <cell r="O1129" t="e">
            <v>#N/A</v>
          </cell>
          <cell r="P1129" t="str">
            <v/>
          </cell>
          <cell r="Q1129" t="str">
            <v/>
          </cell>
          <cell r="R1129">
            <v>1.19</v>
          </cell>
        </row>
        <row r="1130">
          <cell r="A1130" t="str">
            <v/>
          </cell>
          <cell r="B1130" t="str">
            <v/>
          </cell>
          <cell r="C1130" t="str">
            <v>Future</v>
          </cell>
          <cell r="D1130" t="e">
            <v>#N/A</v>
          </cell>
          <cell r="E1130">
            <v>-1.2203816793893225</v>
          </cell>
          <cell r="F1130">
            <v>2.0359541984732941</v>
          </cell>
          <cell r="G1130">
            <v>0.38664122137405266</v>
          </cell>
          <cell r="H1130">
            <v>0.38664122137405266</v>
          </cell>
          <cell r="I1130" t="e">
            <v>#N/A</v>
          </cell>
          <cell r="J1130" t="e">
            <v>#N/A</v>
          </cell>
          <cell r="K1130">
            <v>1.54</v>
          </cell>
          <cell r="L1130">
            <v>0.76</v>
          </cell>
          <cell r="M1130" t="e">
            <v>#N/A</v>
          </cell>
          <cell r="N1130">
            <v>1.2</v>
          </cell>
          <cell r="O1130" t="e">
            <v>#N/A</v>
          </cell>
          <cell r="P1130" t="str">
            <v/>
          </cell>
          <cell r="Q1130" t="str">
            <v/>
          </cell>
          <cell r="R1130">
            <v>1.19</v>
          </cell>
        </row>
        <row r="1131">
          <cell r="A1131" t="str">
            <v/>
          </cell>
          <cell r="B1131" t="str">
            <v/>
          </cell>
          <cell r="C1131" t="str">
            <v>Future</v>
          </cell>
          <cell r="D1131" t="e">
            <v>#N/A</v>
          </cell>
          <cell r="E1131">
            <v>-1.2245610687022996</v>
          </cell>
          <cell r="F1131">
            <v>2.0376526717557368</v>
          </cell>
          <cell r="G1131">
            <v>0.38536259541985418</v>
          </cell>
          <cell r="H1131">
            <v>0.38536259541985418</v>
          </cell>
          <cell r="I1131" t="e">
            <v>#N/A</v>
          </cell>
          <cell r="J1131" t="e">
            <v>#N/A</v>
          </cell>
          <cell r="K1131">
            <v>1.54</v>
          </cell>
          <cell r="L1131">
            <v>0.76</v>
          </cell>
          <cell r="M1131" t="e">
            <v>#N/A</v>
          </cell>
          <cell r="N1131">
            <v>1.2</v>
          </cell>
          <cell r="O1131" t="e">
            <v>#N/A</v>
          </cell>
          <cell r="P1131" t="str">
            <v/>
          </cell>
          <cell r="Q1131" t="str">
            <v/>
          </cell>
          <cell r="R1131">
            <v>1.19</v>
          </cell>
        </row>
        <row r="1132">
          <cell r="A1132" t="str">
            <v/>
          </cell>
          <cell r="B1132" t="str">
            <v/>
          </cell>
          <cell r="C1132" t="str">
            <v>Future</v>
          </cell>
          <cell r="D1132" t="e">
            <v>#N/A</v>
          </cell>
          <cell r="E1132">
            <v>-1.2287404580152768</v>
          </cell>
          <cell r="F1132">
            <v>2.0393511450381796</v>
          </cell>
          <cell r="G1132">
            <v>0.38408396946565571</v>
          </cell>
          <cell r="H1132">
            <v>0.38408396946565571</v>
          </cell>
          <cell r="I1132" t="e">
            <v>#N/A</v>
          </cell>
          <cell r="J1132" t="e">
            <v>#N/A</v>
          </cell>
          <cell r="K1132">
            <v>1.54</v>
          </cell>
          <cell r="L1132">
            <v>0.76</v>
          </cell>
          <cell r="M1132" t="e">
            <v>#N/A</v>
          </cell>
          <cell r="N1132">
            <v>1.2</v>
          </cell>
          <cell r="O1132" t="e">
            <v>#N/A</v>
          </cell>
          <cell r="P1132" t="str">
            <v/>
          </cell>
          <cell r="Q1132" t="str">
            <v/>
          </cell>
          <cell r="R1132">
            <v>1.19</v>
          </cell>
        </row>
        <row r="1133">
          <cell r="A1133" t="str">
            <v/>
          </cell>
          <cell r="B1133" t="str">
            <v/>
          </cell>
          <cell r="C1133" t="str">
            <v>Future</v>
          </cell>
          <cell r="D1133" t="e">
            <v>#N/A</v>
          </cell>
          <cell r="E1133">
            <v>-1.2329198473282539</v>
          </cell>
          <cell r="F1133">
            <v>2.0410496183206224</v>
          </cell>
          <cell r="G1133">
            <v>0.38280534351145723</v>
          </cell>
          <cell r="H1133">
            <v>0.38280534351145723</v>
          </cell>
          <cell r="I1133" t="e">
            <v>#N/A</v>
          </cell>
          <cell r="J1133" t="e">
            <v>#N/A</v>
          </cell>
          <cell r="K1133">
            <v>1.54</v>
          </cell>
          <cell r="L1133">
            <v>0.76</v>
          </cell>
          <cell r="M1133" t="e">
            <v>#N/A</v>
          </cell>
          <cell r="N1133">
            <v>1.2</v>
          </cell>
          <cell r="O1133" t="e">
            <v>#N/A</v>
          </cell>
          <cell r="P1133" t="str">
            <v/>
          </cell>
          <cell r="Q1133" t="str">
            <v/>
          </cell>
          <cell r="R1133">
            <v>1.19</v>
          </cell>
        </row>
        <row r="1134">
          <cell r="A1134" t="str">
            <v/>
          </cell>
          <cell r="B1134" t="str">
            <v/>
          </cell>
          <cell r="C1134" t="str">
            <v>Future</v>
          </cell>
          <cell r="D1134" t="e">
            <v>#N/A</v>
          </cell>
          <cell r="E1134">
            <v>-1.237099236641231</v>
          </cell>
          <cell r="F1134">
            <v>2.0427480916030651</v>
          </cell>
          <cell r="G1134">
            <v>0.38152671755725875</v>
          </cell>
          <cell r="H1134">
            <v>0.38152671755725875</v>
          </cell>
          <cell r="I1134" t="e">
            <v>#N/A</v>
          </cell>
          <cell r="J1134" t="e">
            <v>#N/A</v>
          </cell>
          <cell r="K1134">
            <v>1.54</v>
          </cell>
          <cell r="L1134">
            <v>0.76</v>
          </cell>
          <cell r="M1134" t="e">
            <v>#N/A</v>
          </cell>
          <cell r="N1134">
            <v>1.2</v>
          </cell>
          <cell r="O1134" t="e">
            <v>#N/A</v>
          </cell>
          <cell r="P1134" t="str">
            <v/>
          </cell>
          <cell r="Q1134" t="str">
            <v/>
          </cell>
          <cell r="R1134">
            <v>1.19</v>
          </cell>
        </row>
        <row r="1135">
          <cell r="A1135" t="str">
            <v/>
          </cell>
          <cell r="B1135" t="str">
            <v/>
          </cell>
          <cell r="C1135" t="str">
            <v>Future</v>
          </cell>
          <cell r="D1135" t="e">
            <v>#N/A</v>
          </cell>
          <cell r="E1135">
            <v>-1.2412786259542081</v>
          </cell>
          <cell r="F1135">
            <v>2.0444465648855079</v>
          </cell>
          <cell r="G1135">
            <v>0.38024809160306028</v>
          </cell>
          <cell r="H1135">
            <v>0.38024809160306028</v>
          </cell>
          <cell r="I1135" t="e">
            <v>#N/A</v>
          </cell>
          <cell r="J1135" t="e">
            <v>#N/A</v>
          </cell>
          <cell r="K1135">
            <v>1.54</v>
          </cell>
          <cell r="L1135">
            <v>0.76</v>
          </cell>
          <cell r="M1135" t="e">
            <v>#N/A</v>
          </cell>
          <cell r="N1135">
            <v>1.2</v>
          </cell>
          <cell r="O1135" t="e">
            <v>#N/A</v>
          </cell>
          <cell r="P1135" t="str">
            <v/>
          </cell>
          <cell r="Q1135" t="str">
            <v/>
          </cell>
          <cell r="R1135">
            <v>1.19</v>
          </cell>
        </row>
        <row r="1136">
          <cell r="A1136" t="str">
            <v/>
          </cell>
          <cell r="B1136" t="str">
            <v/>
          </cell>
          <cell r="C1136" t="str">
            <v>Future</v>
          </cell>
          <cell r="D1136" t="e">
            <v>#N/A</v>
          </cell>
          <cell r="E1136">
            <v>-1.2454580152671852</v>
          </cell>
          <cell r="F1136">
            <v>2.0461450381679507</v>
          </cell>
          <cell r="G1136">
            <v>0.3789694656488618</v>
          </cell>
          <cell r="H1136">
            <v>0.3789694656488618</v>
          </cell>
          <cell r="I1136" t="e">
            <v>#N/A</v>
          </cell>
          <cell r="J1136" t="e">
            <v>#N/A</v>
          </cell>
          <cell r="K1136">
            <v>1.54</v>
          </cell>
          <cell r="L1136">
            <v>0.76</v>
          </cell>
          <cell r="M1136" t="e">
            <v>#N/A</v>
          </cell>
          <cell r="N1136">
            <v>1.2</v>
          </cell>
          <cell r="O1136" t="e">
            <v>#N/A</v>
          </cell>
          <cell r="P1136" t="str">
            <v/>
          </cell>
          <cell r="Q1136" t="str">
            <v/>
          </cell>
          <cell r="R1136">
            <v>1.19</v>
          </cell>
        </row>
        <row r="1137">
          <cell r="A1137" t="str">
            <v/>
          </cell>
          <cell r="B1137" t="str">
            <v/>
          </cell>
          <cell r="C1137" t="str">
            <v>Future</v>
          </cell>
          <cell r="D1137" t="e">
            <v>#N/A</v>
          </cell>
          <cell r="E1137">
            <v>-1.2496374045801624</v>
          </cell>
          <cell r="F1137">
            <v>2.0478435114503934</v>
          </cell>
          <cell r="G1137">
            <v>0.37769083969466333</v>
          </cell>
          <cell r="H1137">
            <v>0.37769083969466333</v>
          </cell>
          <cell r="I1137" t="e">
            <v>#N/A</v>
          </cell>
          <cell r="J1137" t="e">
            <v>#N/A</v>
          </cell>
          <cell r="K1137">
            <v>1.54</v>
          </cell>
          <cell r="L1137">
            <v>0.76</v>
          </cell>
          <cell r="M1137" t="e">
            <v>#N/A</v>
          </cell>
          <cell r="N1137">
            <v>1.2</v>
          </cell>
          <cell r="O1137" t="e">
            <v>#N/A</v>
          </cell>
          <cell r="P1137" t="str">
            <v/>
          </cell>
          <cell r="Q1137" t="str">
            <v/>
          </cell>
          <cell r="R1137">
            <v>1.19</v>
          </cell>
        </row>
        <row r="1138">
          <cell r="A1138" t="str">
            <v/>
          </cell>
          <cell r="B1138" t="str">
            <v/>
          </cell>
          <cell r="C1138" t="str">
            <v>Future</v>
          </cell>
          <cell r="D1138" t="e">
            <v>#N/A</v>
          </cell>
          <cell r="E1138">
            <v>-1.2538167938931395</v>
          </cell>
          <cell r="F1138">
            <v>2.0495419847328362</v>
          </cell>
          <cell r="G1138">
            <v>0.37641221374046485</v>
          </cell>
          <cell r="H1138">
            <v>0.37641221374046485</v>
          </cell>
          <cell r="I1138" t="e">
            <v>#N/A</v>
          </cell>
          <cell r="J1138" t="e">
            <v>#N/A</v>
          </cell>
          <cell r="K1138">
            <v>1.54</v>
          </cell>
          <cell r="L1138">
            <v>0.76</v>
          </cell>
          <cell r="M1138" t="e">
            <v>#N/A</v>
          </cell>
          <cell r="N1138">
            <v>1.2</v>
          </cell>
          <cell r="O1138" t="e">
            <v>#N/A</v>
          </cell>
          <cell r="P1138" t="str">
            <v/>
          </cell>
          <cell r="Q1138" t="str">
            <v/>
          </cell>
          <cell r="R1138">
            <v>1.19</v>
          </cell>
        </row>
        <row r="1139">
          <cell r="A1139" t="str">
            <v/>
          </cell>
          <cell r="B1139" t="str">
            <v/>
          </cell>
          <cell r="C1139" t="str">
            <v>Future</v>
          </cell>
          <cell r="D1139" t="e">
            <v>#N/A</v>
          </cell>
          <cell r="E1139">
            <v>-1.2579961832061166</v>
          </cell>
          <cell r="F1139">
            <v>2.051240458015279</v>
          </cell>
          <cell r="G1139">
            <v>0.37513358778626638</v>
          </cell>
          <cell r="H1139">
            <v>0.37513358778626638</v>
          </cell>
          <cell r="I1139" t="e">
            <v>#N/A</v>
          </cell>
          <cell r="J1139" t="e">
            <v>#N/A</v>
          </cell>
          <cell r="K1139">
            <v>1.54</v>
          </cell>
          <cell r="L1139">
            <v>0.76</v>
          </cell>
          <cell r="M1139" t="e">
            <v>#N/A</v>
          </cell>
          <cell r="N1139">
            <v>1.2</v>
          </cell>
          <cell r="O1139" t="e">
            <v>#N/A</v>
          </cell>
          <cell r="P1139" t="str">
            <v/>
          </cell>
          <cell r="Q1139" t="str">
            <v/>
          </cell>
          <cell r="R1139">
            <v>1.19</v>
          </cell>
        </row>
        <row r="1140">
          <cell r="A1140" t="str">
            <v/>
          </cell>
          <cell r="B1140" t="str">
            <v/>
          </cell>
          <cell r="C1140" t="str">
            <v>Future</v>
          </cell>
          <cell r="D1140" t="e">
            <v>#N/A</v>
          </cell>
          <cell r="E1140">
            <v>-1.2621755725190937</v>
          </cell>
          <cell r="F1140">
            <v>2.0529389312977218</v>
          </cell>
          <cell r="G1140">
            <v>0.3738549618320679</v>
          </cell>
          <cell r="H1140">
            <v>0.3738549618320679</v>
          </cell>
          <cell r="I1140" t="e">
            <v>#N/A</v>
          </cell>
          <cell r="J1140" t="e">
            <v>#N/A</v>
          </cell>
          <cell r="K1140">
            <v>1.54</v>
          </cell>
          <cell r="L1140">
            <v>0.76</v>
          </cell>
          <cell r="M1140" t="e">
            <v>#N/A</v>
          </cell>
          <cell r="N1140">
            <v>1.2</v>
          </cell>
          <cell r="O1140" t="e">
            <v>#N/A</v>
          </cell>
          <cell r="P1140" t="str">
            <v/>
          </cell>
          <cell r="Q1140" t="str">
            <v/>
          </cell>
          <cell r="R1140">
            <v>1.19</v>
          </cell>
        </row>
        <row r="1141">
          <cell r="A1141" t="str">
            <v/>
          </cell>
          <cell r="B1141" t="str">
            <v/>
          </cell>
          <cell r="C1141" t="str">
            <v>Future</v>
          </cell>
          <cell r="D1141" t="e">
            <v>#N/A</v>
          </cell>
          <cell r="E1141">
            <v>-1.2663549618320709</v>
          </cell>
          <cell r="F1141">
            <v>2.0546374045801645</v>
          </cell>
          <cell r="G1141">
            <v>0.37257633587786942</v>
          </cell>
          <cell r="H1141">
            <v>0.37257633587786942</v>
          </cell>
          <cell r="I1141" t="e">
            <v>#N/A</v>
          </cell>
          <cell r="J1141" t="e">
            <v>#N/A</v>
          </cell>
          <cell r="K1141">
            <v>1.54</v>
          </cell>
          <cell r="L1141">
            <v>0.76</v>
          </cell>
          <cell r="M1141" t="e">
            <v>#N/A</v>
          </cell>
          <cell r="N1141">
            <v>1.2</v>
          </cell>
          <cell r="O1141" t="e">
            <v>#N/A</v>
          </cell>
          <cell r="P1141" t="str">
            <v/>
          </cell>
          <cell r="Q1141" t="str">
            <v/>
          </cell>
          <cell r="R1141">
            <v>1.19</v>
          </cell>
        </row>
        <row r="1142">
          <cell r="A1142" t="str">
            <v/>
          </cell>
          <cell r="B1142" t="str">
            <v/>
          </cell>
          <cell r="C1142" t="str">
            <v>Future</v>
          </cell>
          <cell r="D1142" t="e">
            <v>#N/A</v>
          </cell>
          <cell r="E1142">
            <v>-1.270534351145048</v>
          </cell>
          <cell r="F1142">
            <v>2.0563358778626073</v>
          </cell>
          <cell r="G1142">
            <v>0.37129770992367095</v>
          </cell>
          <cell r="H1142">
            <v>0.37129770992367095</v>
          </cell>
          <cell r="I1142" t="e">
            <v>#N/A</v>
          </cell>
          <cell r="J1142" t="e">
            <v>#N/A</v>
          </cell>
          <cell r="K1142">
            <v>1.54</v>
          </cell>
          <cell r="L1142">
            <v>0.76</v>
          </cell>
          <cell r="M1142" t="e">
            <v>#N/A</v>
          </cell>
          <cell r="N1142">
            <v>1.2</v>
          </cell>
          <cell r="O1142" t="e">
            <v>#N/A</v>
          </cell>
          <cell r="P1142" t="str">
            <v/>
          </cell>
          <cell r="Q1142" t="str">
            <v/>
          </cell>
          <cell r="R1142">
            <v>1.19</v>
          </cell>
        </row>
        <row r="1143">
          <cell r="A1143" t="str">
            <v/>
          </cell>
          <cell r="B1143" t="str">
            <v/>
          </cell>
          <cell r="C1143" t="str">
            <v>Future</v>
          </cell>
          <cell r="D1143" t="e">
            <v>#N/A</v>
          </cell>
          <cell r="E1143">
            <v>-1.2747137404580251</v>
          </cell>
          <cell r="F1143">
            <v>2.0580343511450501</v>
          </cell>
          <cell r="G1143">
            <v>0.37001908396947247</v>
          </cell>
          <cell r="H1143">
            <v>0.37001908396947247</v>
          </cell>
          <cell r="I1143" t="e">
            <v>#N/A</v>
          </cell>
          <cell r="J1143" t="e">
            <v>#N/A</v>
          </cell>
          <cell r="K1143">
            <v>1.54</v>
          </cell>
          <cell r="L1143">
            <v>0.76</v>
          </cell>
          <cell r="M1143" t="e">
            <v>#N/A</v>
          </cell>
          <cell r="N1143">
            <v>1.2</v>
          </cell>
          <cell r="O1143" t="e">
            <v>#N/A</v>
          </cell>
          <cell r="P1143" t="str">
            <v/>
          </cell>
          <cell r="Q1143" t="str">
            <v/>
          </cell>
          <cell r="R1143">
            <v>1.19</v>
          </cell>
        </row>
        <row r="1144">
          <cell r="A1144" t="str">
            <v/>
          </cell>
          <cell r="B1144" t="str">
            <v/>
          </cell>
          <cell r="C1144" t="str">
            <v>Future</v>
          </cell>
          <cell r="D1144" t="e">
            <v>#N/A</v>
          </cell>
          <cell r="E1144">
            <v>-1.2788931297710022</v>
          </cell>
          <cell r="F1144">
            <v>2.0597328244274928</v>
          </cell>
          <cell r="G1144">
            <v>0.368740458015274</v>
          </cell>
          <cell r="H1144">
            <v>0.368740458015274</v>
          </cell>
          <cell r="I1144" t="e">
            <v>#N/A</v>
          </cell>
          <cell r="J1144" t="e">
            <v>#N/A</v>
          </cell>
          <cell r="K1144">
            <v>1.54</v>
          </cell>
          <cell r="L1144">
            <v>0.76</v>
          </cell>
          <cell r="M1144" t="e">
            <v>#N/A</v>
          </cell>
          <cell r="N1144">
            <v>1.2</v>
          </cell>
          <cell r="O1144" t="e">
            <v>#N/A</v>
          </cell>
          <cell r="P1144" t="str">
            <v/>
          </cell>
          <cell r="Q1144" t="str">
            <v/>
          </cell>
          <cell r="R1144">
            <v>1.19</v>
          </cell>
        </row>
        <row r="1145">
          <cell r="A1145" t="str">
            <v/>
          </cell>
          <cell r="B1145" t="str">
            <v/>
          </cell>
          <cell r="C1145" t="str">
            <v>Future</v>
          </cell>
          <cell r="D1145" t="e">
            <v>#N/A</v>
          </cell>
          <cell r="E1145">
            <v>-1.2830725190839793</v>
          </cell>
          <cell r="F1145">
            <v>2.0614312977099356</v>
          </cell>
          <cell r="G1145">
            <v>0.36746183206107552</v>
          </cell>
          <cell r="H1145">
            <v>0.36746183206107552</v>
          </cell>
          <cell r="I1145" t="e">
            <v>#N/A</v>
          </cell>
          <cell r="J1145" t="e">
            <v>#N/A</v>
          </cell>
          <cell r="K1145">
            <v>1.54</v>
          </cell>
          <cell r="L1145">
            <v>0.76</v>
          </cell>
          <cell r="M1145" t="e">
            <v>#N/A</v>
          </cell>
          <cell r="N1145">
            <v>1.2</v>
          </cell>
          <cell r="O1145" t="e">
            <v>#N/A</v>
          </cell>
          <cell r="P1145" t="str">
            <v/>
          </cell>
          <cell r="Q1145" t="str">
            <v/>
          </cell>
          <cell r="R1145">
            <v>1.19</v>
          </cell>
        </row>
        <row r="1146">
          <cell r="A1146" t="str">
            <v/>
          </cell>
          <cell r="B1146" t="str">
            <v/>
          </cell>
          <cell r="C1146" t="str">
            <v>Future</v>
          </cell>
          <cell r="D1146" t="e">
            <v>#N/A</v>
          </cell>
          <cell r="E1146">
            <v>-1.2872519083969565</v>
          </cell>
          <cell r="F1146">
            <v>2.0631297709923784</v>
          </cell>
          <cell r="G1146">
            <v>0.36618320610687705</v>
          </cell>
          <cell r="H1146">
            <v>0.36618320610687705</v>
          </cell>
          <cell r="I1146" t="e">
            <v>#N/A</v>
          </cell>
          <cell r="J1146" t="e">
            <v>#N/A</v>
          </cell>
          <cell r="K1146">
            <v>1.54</v>
          </cell>
          <cell r="L1146">
            <v>0.76</v>
          </cell>
          <cell r="M1146" t="e">
            <v>#N/A</v>
          </cell>
          <cell r="N1146">
            <v>1.2</v>
          </cell>
          <cell r="O1146" t="e">
            <v>#N/A</v>
          </cell>
          <cell r="P1146" t="str">
            <v/>
          </cell>
          <cell r="Q1146" t="str">
            <v/>
          </cell>
          <cell r="R1146">
            <v>1.19</v>
          </cell>
        </row>
        <row r="1147">
          <cell r="A1147" t="str">
            <v/>
          </cell>
          <cell r="B1147" t="str">
            <v/>
          </cell>
          <cell r="C1147" t="str">
            <v>Future</v>
          </cell>
          <cell r="D1147" t="e">
            <v>#N/A</v>
          </cell>
          <cell r="E1147">
            <v>-1.2914312977099336</v>
          </cell>
          <cell r="F1147">
            <v>2.0648282442748211</v>
          </cell>
          <cell r="G1147">
            <v>0.36490458015267857</v>
          </cell>
          <cell r="H1147">
            <v>0.36490458015267857</v>
          </cell>
          <cell r="I1147" t="e">
            <v>#N/A</v>
          </cell>
          <cell r="J1147" t="e">
            <v>#N/A</v>
          </cell>
          <cell r="K1147">
            <v>1.54</v>
          </cell>
          <cell r="L1147">
            <v>0.76</v>
          </cell>
          <cell r="M1147" t="e">
            <v>#N/A</v>
          </cell>
          <cell r="N1147">
            <v>1.2</v>
          </cell>
          <cell r="O1147" t="e">
            <v>#N/A</v>
          </cell>
          <cell r="P1147" t="str">
            <v/>
          </cell>
          <cell r="Q1147" t="str">
            <v/>
          </cell>
          <cell r="R1147">
            <v>1.19</v>
          </cell>
        </row>
        <row r="1148">
          <cell r="A1148" t="str">
            <v/>
          </cell>
          <cell r="B1148" t="str">
            <v/>
          </cell>
          <cell r="C1148" t="str">
            <v>Future</v>
          </cell>
          <cell r="D1148" t="e">
            <v>#N/A</v>
          </cell>
          <cell r="E1148">
            <v>-1.2956106870229107</v>
          </cell>
          <cell r="F1148">
            <v>2.0665267175572639</v>
          </cell>
          <cell r="G1148">
            <v>0.36362595419848009</v>
          </cell>
          <cell r="H1148">
            <v>0.36362595419848009</v>
          </cell>
          <cell r="I1148" t="e">
            <v>#N/A</v>
          </cell>
          <cell r="J1148" t="e">
            <v>#N/A</v>
          </cell>
          <cell r="K1148">
            <v>1.54</v>
          </cell>
          <cell r="L1148">
            <v>0.76</v>
          </cell>
          <cell r="M1148" t="e">
            <v>#N/A</v>
          </cell>
          <cell r="N1148">
            <v>1.2</v>
          </cell>
          <cell r="O1148" t="e">
            <v>#N/A</v>
          </cell>
          <cell r="P1148" t="str">
            <v/>
          </cell>
          <cell r="Q1148" t="str">
            <v/>
          </cell>
          <cell r="R1148">
            <v>1.19</v>
          </cell>
        </row>
        <row r="1149">
          <cell r="A1149" t="str">
            <v/>
          </cell>
          <cell r="B1149" t="str">
            <v/>
          </cell>
          <cell r="C1149" t="str">
            <v>Future</v>
          </cell>
          <cell r="D1149" t="e">
            <v>#N/A</v>
          </cell>
          <cell r="E1149">
            <v>-1.2997900763358878</v>
          </cell>
          <cell r="F1149">
            <v>2.0682251908397067</v>
          </cell>
          <cell r="G1149">
            <v>0.36234732824428162</v>
          </cell>
          <cell r="H1149">
            <v>0.36234732824428162</v>
          </cell>
          <cell r="I1149" t="e">
            <v>#N/A</v>
          </cell>
          <cell r="J1149" t="e">
            <v>#N/A</v>
          </cell>
          <cell r="K1149">
            <v>1.54</v>
          </cell>
          <cell r="L1149">
            <v>0.76</v>
          </cell>
          <cell r="M1149" t="e">
            <v>#N/A</v>
          </cell>
          <cell r="N1149">
            <v>1.2</v>
          </cell>
          <cell r="O1149" t="e">
            <v>#N/A</v>
          </cell>
          <cell r="P1149" t="str">
            <v/>
          </cell>
          <cell r="Q1149" t="str">
            <v/>
          </cell>
          <cell r="R1149">
            <v>1.19</v>
          </cell>
        </row>
        <row r="1150">
          <cell r="A1150" t="str">
            <v/>
          </cell>
          <cell r="B1150" t="str">
            <v/>
          </cell>
          <cell r="C1150" t="str">
            <v>Future</v>
          </cell>
          <cell r="D1150" t="e">
            <v>#N/A</v>
          </cell>
          <cell r="E1150">
            <v>-1.303969465648865</v>
          </cell>
          <cell r="F1150">
            <v>2.0699236641221495</v>
          </cell>
          <cell r="G1150">
            <v>0.36106870229008314</v>
          </cell>
          <cell r="H1150">
            <v>0.36106870229008314</v>
          </cell>
          <cell r="I1150" t="e">
            <v>#N/A</v>
          </cell>
          <cell r="J1150" t="e">
            <v>#N/A</v>
          </cell>
          <cell r="K1150">
            <v>1.54</v>
          </cell>
          <cell r="L1150">
            <v>0.76</v>
          </cell>
          <cell r="M1150" t="e">
            <v>#N/A</v>
          </cell>
          <cell r="N1150">
            <v>1.2</v>
          </cell>
          <cell r="O1150" t="e">
            <v>#N/A</v>
          </cell>
          <cell r="P1150" t="str">
            <v/>
          </cell>
          <cell r="Q1150" t="str">
            <v/>
          </cell>
          <cell r="R1150">
            <v>1.19</v>
          </cell>
        </row>
        <row r="1151">
          <cell r="A1151" t="str">
            <v/>
          </cell>
          <cell r="B1151" t="str">
            <v/>
          </cell>
          <cell r="C1151" t="str">
            <v>Future</v>
          </cell>
          <cell r="D1151" t="e">
            <v>#N/A</v>
          </cell>
          <cell r="E1151">
            <v>-1.3081488549618421</v>
          </cell>
          <cell r="F1151">
            <v>2.0716221374045922</v>
          </cell>
          <cell r="G1151">
            <v>0.35979007633588467</v>
          </cell>
          <cell r="H1151">
            <v>0.35979007633588467</v>
          </cell>
          <cell r="I1151" t="e">
            <v>#N/A</v>
          </cell>
          <cell r="J1151" t="e">
            <v>#N/A</v>
          </cell>
          <cell r="K1151">
            <v>1.54</v>
          </cell>
          <cell r="L1151">
            <v>0.76</v>
          </cell>
          <cell r="M1151" t="e">
            <v>#N/A</v>
          </cell>
          <cell r="N1151">
            <v>1.2</v>
          </cell>
          <cell r="O1151" t="e">
            <v>#N/A</v>
          </cell>
          <cell r="P1151" t="str">
            <v/>
          </cell>
          <cell r="Q1151" t="str">
            <v/>
          </cell>
          <cell r="R1151">
            <v>1.19</v>
          </cell>
        </row>
        <row r="1152">
          <cell r="A1152" t="str">
            <v/>
          </cell>
          <cell r="B1152" t="str">
            <v/>
          </cell>
          <cell r="C1152" t="str">
            <v>Future</v>
          </cell>
          <cell r="D1152" t="e">
            <v>#N/A</v>
          </cell>
          <cell r="E1152">
            <v>-1.3123282442748192</v>
          </cell>
          <cell r="F1152">
            <v>2.073320610687035</v>
          </cell>
          <cell r="G1152">
            <v>0.35851145038168619</v>
          </cell>
          <cell r="H1152">
            <v>0.35851145038168619</v>
          </cell>
          <cell r="I1152" t="e">
            <v>#N/A</v>
          </cell>
          <cell r="J1152" t="e">
            <v>#N/A</v>
          </cell>
          <cell r="K1152">
            <v>1.54</v>
          </cell>
          <cell r="L1152">
            <v>0.76</v>
          </cell>
          <cell r="M1152" t="e">
            <v>#N/A</v>
          </cell>
          <cell r="N1152">
            <v>1.2</v>
          </cell>
          <cell r="O1152" t="e">
            <v>#N/A</v>
          </cell>
          <cell r="P1152" t="str">
            <v/>
          </cell>
          <cell r="Q1152" t="str">
            <v/>
          </cell>
          <cell r="R1152">
            <v>1.19</v>
          </cell>
        </row>
        <row r="1153">
          <cell r="A1153" t="str">
            <v/>
          </cell>
          <cell r="B1153" t="str">
            <v/>
          </cell>
          <cell r="C1153" t="str">
            <v>Future</v>
          </cell>
          <cell r="D1153" t="e">
            <v>#N/A</v>
          </cell>
          <cell r="E1153">
            <v>-1.3165076335877963</v>
          </cell>
          <cell r="F1153">
            <v>2.0750190839694778</v>
          </cell>
          <cell r="G1153">
            <v>0.35723282442748772</v>
          </cell>
          <cell r="H1153">
            <v>0.35723282442748772</v>
          </cell>
          <cell r="I1153" t="e">
            <v>#N/A</v>
          </cell>
          <cell r="J1153" t="e">
            <v>#N/A</v>
          </cell>
          <cell r="K1153">
            <v>1.54</v>
          </cell>
          <cell r="L1153">
            <v>0.76</v>
          </cell>
          <cell r="M1153" t="e">
            <v>#N/A</v>
          </cell>
          <cell r="N1153">
            <v>1.2</v>
          </cell>
          <cell r="O1153" t="e">
            <v>#N/A</v>
          </cell>
          <cell r="P1153" t="str">
            <v/>
          </cell>
          <cell r="Q1153" t="str">
            <v/>
          </cell>
          <cell r="R1153">
            <v>1.19</v>
          </cell>
        </row>
        <row r="1154">
          <cell r="A1154" t="str">
            <v/>
          </cell>
          <cell r="B1154" t="str">
            <v/>
          </cell>
          <cell r="C1154" t="str">
            <v>Future</v>
          </cell>
          <cell r="D1154" t="e">
            <v>#N/A</v>
          </cell>
          <cell r="E1154">
            <v>-1.3206870229007734</v>
          </cell>
          <cell r="F1154">
            <v>2.0767175572519205</v>
          </cell>
          <cell r="G1154">
            <v>0.35595419847328924</v>
          </cell>
          <cell r="H1154">
            <v>0.35595419847328924</v>
          </cell>
          <cell r="I1154" t="e">
            <v>#N/A</v>
          </cell>
          <cell r="J1154" t="e">
            <v>#N/A</v>
          </cell>
          <cell r="K1154">
            <v>1.54</v>
          </cell>
          <cell r="L1154">
            <v>0.76</v>
          </cell>
          <cell r="M1154" t="e">
            <v>#N/A</v>
          </cell>
          <cell r="N1154">
            <v>1.2</v>
          </cell>
          <cell r="O1154" t="e">
            <v>#N/A</v>
          </cell>
          <cell r="P1154" t="str">
            <v/>
          </cell>
          <cell r="Q1154" t="str">
            <v/>
          </cell>
          <cell r="R1154">
            <v>1.19</v>
          </cell>
        </row>
        <row r="1155">
          <cell r="A1155" t="str">
            <v/>
          </cell>
          <cell r="B1155" t="str">
            <v/>
          </cell>
          <cell r="C1155" t="str">
            <v>Future</v>
          </cell>
          <cell r="D1155" t="e">
            <v>#N/A</v>
          </cell>
          <cell r="E1155">
            <v>-1.3248664122137506</v>
          </cell>
          <cell r="F1155">
            <v>2.0784160305343633</v>
          </cell>
          <cell r="G1155">
            <v>0.35467557251909076</v>
          </cell>
          <cell r="H1155">
            <v>0.35467557251909076</v>
          </cell>
          <cell r="I1155" t="e">
            <v>#N/A</v>
          </cell>
          <cell r="J1155" t="e">
            <v>#N/A</v>
          </cell>
          <cell r="K1155">
            <v>1.54</v>
          </cell>
          <cell r="L1155">
            <v>0.76</v>
          </cell>
          <cell r="M1155" t="e">
            <v>#N/A</v>
          </cell>
          <cell r="N1155">
            <v>1.2</v>
          </cell>
          <cell r="O1155" t="e">
            <v>#N/A</v>
          </cell>
          <cell r="P1155" t="str">
            <v/>
          </cell>
          <cell r="Q1155" t="str">
            <v/>
          </cell>
          <cell r="R1155">
            <v>1.19</v>
          </cell>
        </row>
        <row r="1156">
          <cell r="A1156" t="str">
            <v/>
          </cell>
          <cell r="B1156" t="str">
            <v/>
          </cell>
          <cell r="C1156" t="str">
            <v>Future</v>
          </cell>
          <cell r="D1156" t="e">
            <v>#N/A</v>
          </cell>
          <cell r="E1156">
            <v>-1.3290458015267277</v>
          </cell>
          <cell r="F1156">
            <v>2.0801145038168061</v>
          </cell>
          <cell r="G1156">
            <v>0.35339694656489229</v>
          </cell>
          <cell r="H1156">
            <v>0.35339694656489229</v>
          </cell>
          <cell r="I1156" t="e">
            <v>#N/A</v>
          </cell>
          <cell r="J1156" t="e">
            <v>#N/A</v>
          </cell>
          <cell r="K1156">
            <v>1.54</v>
          </cell>
          <cell r="L1156">
            <v>0.76</v>
          </cell>
          <cell r="M1156" t="e">
            <v>#N/A</v>
          </cell>
          <cell r="N1156">
            <v>1.2</v>
          </cell>
          <cell r="O1156" t="e">
            <v>#N/A</v>
          </cell>
          <cell r="P1156" t="str">
            <v/>
          </cell>
          <cell r="Q1156" t="str">
            <v/>
          </cell>
          <cell r="R1156">
            <v>1.19</v>
          </cell>
        </row>
        <row r="1157">
          <cell r="A1157" t="str">
            <v/>
          </cell>
          <cell r="B1157" t="str">
            <v/>
          </cell>
          <cell r="C1157" t="str">
            <v>Future</v>
          </cell>
          <cell r="D1157" t="e">
            <v>#N/A</v>
          </cell>
          <cell r="E1157">
            <v>-1.3332251908397048</v>
          </cell>
          <cell r="F1157">
            <v>2.0818129770992488</v>
          </cell>
          <cell r="G1157">
            <v>0.35211832061069381</v>
          </cell>
          <cell r="H1157">
            <v>0.35211832061069381</v>
          </cell>
          <cell r="I1157" t="e">
            <v>#N/A</v>
          </cell>
          <cell r="J1157" t="e">
            <v>#N/A</v>
          </cell>
          <cell r="K1157">
            <v>1.54</v>
          </cell>
          <cell r="L1157">
            <v>0.76</v>
          </cell>
          <cell r="M1157" t="e">
            <v>#N/A</v>
          </cell>
          <cell r="N1157">
            <v>1.2</v>
          </cell>
          <cell r="O1157" t="e">
            <v>#N/A</v>
          </cell>
          <cell r="P1157" t="str">
            <v/>
          </cell>
          <cell r="Q1157" t="str">
            <v/>
          </cell>
          <cell r="R1157">
            <v>1.19</v>
          </cell>
        </row>
        <row r="1158">
          <cell r="A1158" t="str">
            <v/>
          </cell>
          <cell r="B1158" t="str">
            <v/>
          </cell>
          <cell r="C1158" t="str">
            <v>Future</v>
          </cell>
          <cell r="D1158" t="e">
            <v>#N/A</v>
          </cell>
          <cell r="E1158">
            <v>-1.3374045801526819</v>
          </cell>
          <cell r="F1158">
            <v>2.0835114503816916</v>
          </cell>
          <cell r="G1158">
            <v>0.35083969465649534</v>
          </cell>
          <cell r="H1158">
            <v>0.35083969465649534</v>
          </cell>
          <cell r="I1158" t="e">
            <v>#N/A</v>
          </cell>
          <cell r="J1158" t="e">
            <v>#N/A</v>
          </cell>
          <cell r="K1158">
            <v>1.54</v>
          </cell>
          <cell r="L1158">
            <v>0.76</v>
          </cell>
          <cell r="M1158" t="e">
            <v>#N/A</v>
          </cell>
          <cell r="N1158">
            <v>1.2</v>
          </cell>
          <cell r="O1158" t="e">
            <v>#N/A</v>
          </cell>
          <cell r="P1158" t="str">
            <v/>
          </cell>
          <cell r="Q1158" t="str">
            <v/>
          </cell>
          <cell r="R1158">
            <v>1.19</v>
          </cell>
        </row>
        <row r="1159">
          <cell r="A1159" t="str">
            <v/>
          </cell>
          <cell r="B1159" t="str">
            <v/>
          </cell>
          <cell r="C1159" t="str">
            <v>Future</v>
          </cell>
          <cell r="D1159" t="e">
            <v>#N/A</v>
          </cell>
          <cell r="E1159">
            <v>-1.3415839694656591</v>
          </cell>
          <cell r="F1159">
            <v>2.0852099236641344</v>
          </cell>
          <cell r="G1159">
            <v>0.34956106870229686</v>
          </cell>
          <cell r="H1159">
            <v>0.34956106870229686</v>
          </cell>
          <cell r="I1159" t="e">
            <v>#N/A</v>
          </cell>
          <cell r="J1159" t="e">
            <v>#N/A</v>
          </cell>
          <cell r="K1159">
            <v>1.54</v>
          </cell>
          <cell r="L1159">
            <v>0.76</v>
          </cell>
          <cell r="M1159" t="e">
            <v>#N/A</v>
          </cell>
          <cell r="N1159">
            <v>1.2</v>
          </cell>
          <cell r="O1159" t="e">
            <v>#N/A</v>
          </cell>
          <cell r="P1159" t="str">
            <v/>
          </cell>
          <cell r="Q1159" t="str">
            <v/>
          </cell>
          <cell r="R1159">
            <v>1.19</v>
          </cell>
        </row>
        <row r="1160">
          <cell r="A1160" t="str">
            <v/>
          </cell>
          <cell r="B1160" t="str">
            <v/>
          </cell>
          <cell r="C1160" t="str">
            <v>Future</v>
          </cell>
          <cell r="D1160" t="e">
            <v>#N/A</v>
          </cell>
          <cell r="E1160">
            <v>-1.3457633587786362</v>
          </cell>
          <cell r="F1160">
            <v>2.0869083969465771</v>
          </cell>
          <cell r="G1160">
            <v>0.34828244274809839</v>
          </cell>
          <cell r="H1160">
            <v>0.34828244274809839</v>
          </cell>
          <cell r="I1160" t="e">
            <v>#N/A</v>
          </cell>
          <cell r="J1160" t="e">
            <v>#N/A</v>
          </cell>
          <cell r="K1160">
            <v>1.54</v>
          </cell>
          <cell r="L1160">
            <v>0.76</v>
          </cell>
          <cell r="M1160" t="e">
            <v>#N/A</v>
          </cell>
          <cell r="N1160">
            <v>1.2</v>
          </cell>
          <cell r="O1160" t="e">
            <v>#N/A</v>
          </cell>
          <cell r="P1160" t="str">
            <v/>
          </cell>
          <cell r="Q1160" t="str">
            <v/>
          </cell>
          <cell r="R1160">
            <v>1.19</v>
          </cell>
        </row>
        <row r="1161">
          <cell r="A1161" t="str">
            <v/>
          </cell>
          <cell r="B1161" t="str">
            <v/>
          </cell>
          <cell r="C1161" t="str">
            <v>Future</v>
          </cell>
          <cell r="D1161" t="e">
            <v>#N/A</v>
          </cell>
          <cell r="E1161">
            <v>-1.3499427480916133</v>
          </cell>
          <cell r="F1161">
            <v>2.0886068702290199</v>
          </cell>
          <cell r="G1161">
            <v>0.34700381679389991</v>
          </cell>
          <cell r="H1161">
            <v>0.34700381679389991</v>
          </cell>
          <cell r="I1161" t="e">
            <v>#N/A</v>
          </cell>
          <cell r="J1161" t="e">
            <v>#N/A</v>
          </cell>
          <cell r="K1161">
            <v>1.54</v>
          </cell>
          <cell r="L1161">
            <v>0.76</v>
          </cell>
          <cell r="M1161" t="e">
            <v>#N/A</v>
          </cell>
          <cell r="N1161">
            <v>1.2</v>
          </cell>
          <cell r="O1161" t="e">
            <v>#N/A</v>
          </cell>
          <cell r="P1161" t="str">
            <v/>
          </cell>
          <cell r="Q1161" t="str">
            <v/>
          </cell>
          <cell r="R1161">
            <v>1.19</v>
          </cell>
        </row>
        <row r="1162">
          <cell r="A1162" t="str">
            <v/>
          </cell>
          <cell r="B1162" t="str">
            <v/>
          </cell>
          <cell r="C1162" t="str">
            <v>Future</v>
          </cell>
          <cell r="D1162" t="e">
            <v>#N/A</v>
          </cell>
          <cell r="E1162">
            <v>-1.3541221374045904</v>
          </cell>
          <cell r="F1162">
            <v>2.0903053435114627</v>
          </cell>
          <cell r="G1162">
            <v>0.34572519083970144</v>
          </cell>
          <cell r="H1162">
            <v>0.34572519083970144</v>
          </cell>
          <cell r="I1162" t="e">
            <v>#N/A</v>
          </cell>
          <cell r="J1162" t="e">
            <v>#N/A</v>
          </cell>
          <cell r="K1162">
            <v>1.54</v>
          </cell>
          <cell r="L1162">
            <v>0.76</v>
          </cell>
          <cell r="M1162" t="e">
            <v>#N/A</v>
          </cell>
          <cell r="N1162">
            <v>1.2</v>
          </cell>
          <cell r="O1162" t="e">
            <v>#N/A</v>
          </cell>
          <cell r="P1162" t="str">
            <v/>
          </cell>
          <cell r="Q1162" t="str">
            <v/>
          </cell>
          <cell r="R1162">
            <v>1.19</v>
          </cell>
        </row>
        <row r="1163">
          <cell r="A1163" t="str">
            <v/>
          </cell>
          <cell r="B1163" t="str">
            <v/>
          </cell>
          <cell r="C1163" t="str">
            <v>Future</v>
          </cell>
          <cell r="D1163" t="e">
            <v>#N/A</v>
          </cell>
          <cell r="E1163">
            <v>-1.3583015267175675</v>
          </cell>
          <cell r="F1163">
            <v>2.0920038167939055</v>
          </cell>
          <cell r="G1163">
            <v>0.34444656488550296</v>
          </cell>
          <cell r="H1163">
            <v>0.34444656488550296</v>
          </cell>
          <cell r="I1163" t="e">
            <v>#N/A</v>
          </cell>
          <cell r="J1163" t="e">
            <v>#N/A</v>
          </cell>
          <cell r="K1163">
            <v>1.54</v>
          </cell>
          <cell r="L1163">
            <v>0.76</v>
          </cell>
          <cell r="M1163" t="e">
            <v>#N/A</v>
          </cell>
          <cell r="N1163">
            <v>1.2</v>
          </cell>
          <cell r="O1163" t="e">
            <v>#N/A</v>
          </cell>
          <cell r="P1163" t="str">
            <v/>
          </cell>
          <cell r="Q1163" t="str">
            <v/>
          </cell>
          <cell r="R1163">
            <v>1.19</v>
          </cell>
        </row>
        <row r="1164">
          <cell r="A1164" t="str">
            <v/>
          </cell>
          <cell r="B1164" t="str">
            <v/>
          </cell>
          <cell r="C1164" t="str">
            <v>Future</v>
          </cell>
          <cell r="D1164" t="e">
            <v>#N/A</v>
          </cell>
          <cell r="E1164">
            <v>-1.3624809160305447</v>
          </cell>
          <cell r="F1164">
            <v>2.0937022900763482</v>
          </cell>
          <cell r="G1164">
            <v>0.34316793893130448</v>
          </cell>
          <cell r="H1164">
            <v>0.34316793893130448</v>
          </cell>
          <cell r="I1164" t="e">
            <v>#N/A</v>
          </cell>
          <cell r="J1164" t="e">
            <v>#N/A</v>
          </cell>
          <cell r="K1164">
            <v>1.54</v>
          </cell>
          <cell r="L1164">
            <v>0.76</v>
          </cell>
          <cell r="M1164" t="e">
            <v>#N/A</v>
          </cell>
          <cell r="N1164">
            <v>1.2</v>
          </cell>
          <cell r="O1164" t="e">
            <v>#N/A</v>
          </cell>
          <cell r="P1164" t="str">
            <v/>
          </cell>
          <cell r="Q1164" t="str">
            <v/>
          </cell>
          <cell r="R1164">
            <v>1.19</v>
          </cell>
        </row>
        <row r="1165">
          <cell r="A1165" t="str">
            <v/>
          </cell>
          <cell r="B1165" t="str">
            <v/>
          </cell>
          <cell r="C1165" t="str">
            <v>Future</v>
          </cell>
          <cell r="D1165" t="e">
            <v>#N/A</v>
          </cell>
          <cell r="E1165">
            <v>-1.3666603053435218</v>
          </cell>
          <cell r="F1165">
            <v>2.095400763358791</v>
          </cell>
          <cell r="G1165">
            <v>0.34188931297710601</v>
          </cell>
          <cell r="H1165">
            <v>0.34188931297710601</v>
          </cell>
          <cell r="I1165" t="e">
            <v>#N/A</v>
          </cell>
          <cell r="J1165" t="e">
            <v>#N/A</v>
          </cell>
          <cell r="K1165">
            <v>1.54</v>
          </cell>
          <cell r="L1165">
            <v>0.76</v>
          </cell>
          <cell r="M1165" t="e">
            <v>#N/A</v>
          </cell>
          <cell r="N1165">
            <v>1.2</v>
          </cell>
          <cell r="O1165" t="e">
            <v>#N/A</v>
          </cell>
          <cell r="P1165" t="str">
            <v/>
          </cell>
          <cell r="Q1165" t="str">
            <v/>
          </cell>
          <cell r="R1165">
            <v>1.19</v>
          </cell>
        </row>
        <row r="1166">
          <cell r="A1166" t="str">
            <v/>
          </cell>
          <cell r="B1166" t="str">
            <v/>
          </cell>
          <cell r="C1166" t="str">
            <v>Future</v>
          </cell>
          <cell r="D1166" t="e">
            <v>#N/A</v>
          </cell>
          <cell r="E1166">
            <v>-1.3708396946564989</v>
          </cell>
          <cell r="F1166">
            <v>2.0970992366412338</v>
          </cell>
          <cell r="G1166">
            <v>0.34061068702290753</v>
          </cell>
          <cell r="H1166">
            <v>0.34061068702290753</v>
          </cell>
          <cell r="I1166" t="e">
            <v>#N/A</v>
          </cell>
          <cell r="J1166" t="e">
            <v>#N/A</v>
          </cell>
          <cell r="K1166">
            <v>1.54</v>
          </cell>
          <cell r="L1166">
            <v>0.76</v>
          </cell>
          <cell r="M1166" t="e">
            <v>#N/A</v>
          </cell>
          <cell r="N1166">
            <v>1.2</v>
          </cell>
          <cell r="O1166" t="e">
            <v>#N/A</v>
          </cell>
          <cell r="P1166" t="str">
            <v/>
          </cell>
          <cell r="Q1166" t="str">
            <v/>
          </cell>
          <cell r="R1166">
            <v>1.19</v>
          </cell>
        </row>
        <row r="1167">
          <cell r="A1167" t="str">
            <v/>
          </cell>
          <cell r="B1167" t="str">
            <v/>
          </cell>
          <cell r="C1167" t="str">
            <v>Future</v>
          </cell>
          <cell r="D1167" t="e">
            <v>#N/A</v>
          </cell>
          <cell r="E1167">
            <v>-1.375019083969476</v>
          </cell>
          <cell r="F1167">
            <v>2.0987977099236765</v>
          </cell>
          <cell r="G1167">
            <v>0.33933206106870906</v>
          </cell>
          <cell r="H1167">
            <v>0.33933206106870906</v>
          </cell>
          <cell r="I1167" t="e">
            <v>#N/A</v>
          </cell>
          <cell r="J1167" t="e">
            <v>#N/A</v>
          </cell>
          <cell r="K1167">
            <v>1.54</v>
          </cell>
          <cell r="L1167">
            <v>0.76</v>
          </cell>
          <cell r="M1167" t="e">
            <v>#N/A</v>
          </cell>
          <cell r="N1167">
            <v>1.2</v>
          </cell>
          <cell r="O1167" t="e">
            <v>#N/A</v>
          </cell>
          <cell r="P1167" t="str">
            <v/>
          </cell>
          <cell r="Q1167" t="str">
            <v/>
          </cell>
          <cell r="R1167">
            <v>1.19</v>
          </cell>
        </row>
        <row r="1168">
          <cell r="A1168" t="str">
            <v/>
          </cell>
          <cell r="B1168" t="str">
            <v/>
          </cell>
          <cell r="C1168" t="str">
            <v>Future</v>
          </cell>
          <cell r="D1168" t="e">
            <v>#N/A</v>
          </cell>
          <cell r="E1168">
            <v>-1.3791984732824532</v>
          </cell>
          <cell r="F1168">
            <v>2.1004961832061193</v>
          </cell>
          <cell r="G1168">
            <v>0.33805343511451058</v>
          </cell>
          <cell r="H1168">
            <v>0.33805343511451058</v>
          </cell>
          <cell r="I1168" t="e">
            <v>#N/A</v>
          </cell>
          <cell r="J1168" t="e">
            <v>#N/A</v>
          </cell>
          <cell r="K1168">
            <v>1.54</v>
          </cell>
          <cell r="L1168">
            <v>0.76</v>
          </cell>
          <cell r="M1168" t="e">
            <v>#N/A</v>
          </cell>
          <cell r="N1168">
            <v>1.2</v>
          </cell>
          <cell r="O1168" t="e">
            <v>#N/A</v>
          </cell>
          <cell r="P1168" t="str">
            <v/>
          </cell>
          <cell r="Q1168" t="str">
            <v/>
          </cell>
          <cell r="R1168">
            <v>1.19</v>
          </cell>
        </row>
        <row r="1169">
          <cell r="A1169" t="str">
            <v/>
          </cell>
          <cell r="B1169" t="str">
            <v/>
          </cell>
          <cell r="C1169" t="str">
            <v>Future</v>
          </cell>
          <cell r="D1169" t="e">
            <v>#N/A</v>
          </cell>
          <cell r="E1169">
            <v>-1.3833778625954303</v>
          </cell>
          <cell r="F1169">
            <v>2.1021946564885621</v>
          </cell>
          <cell r="G1169">
            <v>0.33677480916031211</v>
          </cell>
          <cell r="H1169">
            <v>0.33677480916031211</v>
          </cell>
          <cell r="I1169" t="e">
            <v>#N/A</v>
          </cell>
          <cell r="J1169" t="e">
            <v>#N/A</v>
          </cell>
          <cell r="K1169">
            <v>1.54</v>
          </cell>
          <cell r="L1169">
            <v>0.76</v>
          </cell>
          <cell r="M1169" t="e">
            <v>#N/A</v>
          </cell>
          <cell r="N1169">
            <v>1.2</v>
          </cell>
          <cell r="O1169" t="e">
            <v>#N/A</v>
          </cell>
          <cell r="P1169" t="str">
            <v/>
          </cell>
          <cell r="Q1169" t="str">
            <v/>
          </cell>
          <cell r="R1169">
            <v>1.19</v>
          </cell>
        </row>
        <row r="1170">
          <cell r="A1170" t="str">
            <v/>
          </cell>
          <cell r="B1170" t="str">
            <v/>
          </cell>
          <cell r="C1170" t="str">
            <v>Future</v>
          </cell>
          <cell r="D1170" t="e">
            <v>#N/A</v>
          </cell>
          <cell r="E1170">
            <v>-1.3875572519084074</v>
          </cell>
          <cell r="F1170">
            <v>2.1038931297710048</v>
          </cell>
          <cell r="G1170">
            <v>0.33549618320611363</v>
          </cell>
          <cell r="H1170">
            <v>0.33549618320611363</v>
          </cell>
          <cell r="I1170" t="e">
            <v>#N/A</v>
          </cell>
          <cell r="J1170" t="e">
            <v>#N/A</v>
          </cell>
          <cell r="K1170">
            <v>1.54</v>
          </cell>
          <cell r="L1170">
            <v>0.76</v>
          </cell>
          <cell r="M1170" t="e">
            <v>#N/A</v>
          </cell>
          <cell r="N1170">
            <v>1.2</v>
          </cell>
          <cell r="O1170" t="e">
            <v>#N/A</v>
          </cell>
          <cell r="P1170" t="str">
            <v/>
          </cell>
          <cell r="Q1170" t="str">
            <v/>
          </cell>
          <cell r="R1170">
            <v>1.19</v>
          </cell>
        </row>
        <row r="1171">
          <cell r="A1171" t="str">
            <v/>
          </cell>
          <cell r="B1171" t="str">
            <v/>
          </cell>
          <cell r="C1171" t="str">
            <v>Future</v>
          </cell>
          <cell r="D1171" t="e">
            <v>#N/A</v>
          </cell>
          <cell r="E1171">
            <v>-1.3917366412213845</v>
          </cell>
          <cell r="F1171">
            <v>2.1055916030534476</v>
          </cell>
          <cell r="G1171">
            <v>0.33421755725191515</v>
          </cell>
          <cell r="H1171">
            <v>0.33421755725191515</v>
          </cell>
          <cell r="I1171" t="e">
            <v>#N/A</v>
          </cell>
          <cell r="J1171" t="e">
            <v>#N/A</v>
          </cell>
          <cell r="K1171">
            <v>1.54</v>
          </cell>
          <cell r="L1171">
            <v>0.76</v>
          </cell>
          <cell r="M1171" t="e">
            <v>#N/A</v>
          </cell>
          <cell r="N1171">
            <v>1.2</v>
          </cell>
          <cell r="O1171" t="e">
            <v>#N/A</v>
          </cell>
          <cell r="P1171" t="str">
            <v/>
          </cell>
          <cell r="Q1171" t="str">
            <v/>
          </cell>
          <cell r="R1171">
            <v>1.19</v>
          </cell>
        </row>
        <row r="1172">
          <cell r="A1172" t="str">
            <v/>
          </cell>
          <cell r="B1172" t="str">
            <v/>
          </cell>
          <cell r="C1172" t="str">
            <v>Future</v>
          </cell>
          <cell r="D1172" t="e">
            <v>#N/A</v>
          </cell>
          <cell r="E1172">
            <v>-1.3959160305343616</v>
          </cell>
          <cell r="F1172">
            <v>2.1072900763358904</v>
          </cell>
          <cell r="G1172">
            <v>0.33293893129771668</v>
          </cell>
          <cell r="H1172">
            <v>0.33293893129771668</v>
          </cell>
          <cell r="I1172" t="e">
            <v>#N/A</v>
          </cell>
          <cell r="J1172" t="e">
            <v>#N/A</v>
          </cell>
          <cell r="K1172">
            <v>1.54</v>
          </cell>
          <cell r="L1172">
            <v>0.76</v>
          </cell>
          <cell r="M1172" t="e">
            <v>#N/A</v>
          </cell>
          <cell r="N1172">
            <v>1.2</v>
          </cell>
          <cell r="O1172" t="e">
            <v>#N/A</v>
          </cell>
          <cell r="P1172" t="str">
            <v/>
          </cell>
          <cell r="Q1172" t="str">
            <v/>
          </cell>
          <cell r="R1172">
            <v>1.19</v>
          </cell>
        </row>
        <row r="1173">
          <cell r="A1173" t="str">
            <v/>
          </cell>
          <cell r="B1173" t="str">
            <v/>
          </cell>
          <cell r="C1173" t="str">
            <v>Future</v>
          </cell>
          <cell r="D1173" t="e">
            <v>#N/A</v>
          </cell>
          <cell r="E1173">
            <v>-1.4000954198473388</v>
          </cell>
          <cell r="F1173">
            <v>2.1089885496183332</v>
          </cell>
          <cell r="G1173">
            <v>0.3316603053435182</v>
          </cell>
          <cell r="H1173">
            <v>0.3316603053435182</v>
          </cell>
          <cell r="I1173" t="e">
            <v>#N/A</v>
          </cell>
          <cell r="J1173" t="e">
            <v>#N/A</v>
          </cell>
          <cell r="K1173">
            <v>1.54</v>
          </cell>
          <cell r="L1173">
            <v>0.76</v>
          </cell>
          <cell r="M1173" t="e">
            <v>#N/A</v>
          </cell>
          <cell r="N1173">
            <v>1.2</v>
          </cell>
          <cell r="O1173" t="e">
            <v>#N/A</v>
          </cell>
          <cell r="P1173" t="str">
            <v/>
          </cell>
          <cell r="Q1173" t="str">
            <v/>
          </cell>
          <cell r="R1173">
            <v>1.19</v>
          </cell>
        </row>
        <row r="1174">
          <cell r="A1174" t="str">
            <v/>
          </cell>
          <cell r="B1174" t="str">
            <v/>
          </cell>
          <cell r="C1174" t="str">
            <v>Future</v>
          </cell>
          <cell r="D1174" t="e">
            <v>#N/A</v>
          </cell>
          <cell r="E1174">
            <v>-1.4042748091603159</v>
          </cell>
          <cell r="F1174">
            <v>2.1106870229007759</v>
          </cell>
          <cell r="G1174">
            <v>0.33038167938931973</v>
          </cell>
          <cell r="H1174">
            <v>0.33038167938931973</v>
          </cell>
          <cell r="I1174" t="e">
            <v>#N/A</v>
          </cell>
          <cell r="J1174" t="e">
            <v>#N/A</v>
          </cell>
          <cell r="K1174">
            <v>1.54</v>
          </cell>
          <cell r="L1174">
            <v>0.76</v>
          </cell>
          <cell r="M1174" t="e">
            <v>#N/A</v>
          </cell>
          <cell r="N1174">
            <v>1.2</v>
          </cell>
          <cell r="O1174" t="e">
            <v>#N/A</v>
          </cell>
          <cell r="P1174" t="str">
            <v/>
          </cell>
          <cell r="Q1174" t="str">
            <v/>
          </cell>
          <cell r="R1174">
            <v>1.19</v>
          </cell>
        </row>
        <row r="1175">
          <cell r="A1175" t="str">
            <v/>
          </cell>
          <cell r="B1175" t="str">
            <v/>
          </cell>
          <cell r="C1175" t="str">
            <v>Future</v>
          </cell>
          <cell r="D1175" t="e">
            <v>#N/A</v>
          </cell>
          <cell r="E1175">
            <v>-1.408454198473293</v>
          </cell>
          <cell r="F1175">
            <v>2.1123854961832187</v>
          </cell>
          <cell r="G1175">
            <v>0.32910305343512125</v>
          </cell>
          <cell r="H1175">
            <v>0.32910305343512125</v>
          </cell>
          <cell r="I1175" t="e">
            <v>#N/A</v>
          </cell>
          <cell r="J1175" t="e">
            <v>#N/A</v>
          </cell>
          <cell r="K1175">
            <v>1.54</v>
          </cell>
          <cell r="L1175">
            <v>0.76</v>
          </cell>
          <cell r="M1175" t="e">
            <v>#N/A</v>
          </cell>
          <cell r="N1175">
            <v>1.2</v>
          </cell>
          <cell r="O1175" t="e">
            <v>#N/A</v>
          </cell>
          <cell r="P1175" t="str">
            <v/>
          </cell>
          <cell r="Q1175" t="str">
            <v/>
          </cell>
          <cell r="R1175">
            <v>1.19</v>
          </cell>
        </row>
        <row r="1176">
          <cell r="A1176" t="str">
            <v/>
          </cell>
          <cell r="B1176" t="str">
            <v/>
          </cell>
          <cell r="C1176" t="str">
            <v>Future</v>
          </cell>
          <cell r="D1176" t="e">
            <v>#N/A</v>
          </cell>
          <cell r="E1176">
            <v>-1.4126335877862701</v>
          </cell>
          <cell r="F1176">
            <v>2.1140839694656615</v>
          </cell>
          <cell r="G1176">
            <v>0.32782442748092278</v>
          </cell>
          <cell r="H1176">
            <v>0.32782442748092278</v>
          </cell>
          <cell r="I1176" t="e">
            <v>#N/A</v>
          </cell>
          <cell r="J1176" t="e">
            <v>#N/A</v>
          </cell>
          <cell r="K1176">
            <v>1.54</v>
          </cell>
          <cell r="L1176">
            <v>0.76</v>
          </cell>
          <cell r="M1176" t="e">
            <v>#N/A</v>
          </cell>
          <cell r="N1176">
            <v>1.2</v>
          </cell>
          <cell r="O1176" t="e">
            <v>#N/A</v>
          </cell>
          <cell r="P1176" t="str">
            <v/>
          </cell>
          <cell r="Q1176" t="str">
            <v/>
          </cell>
          <cell r="R1176">
            <v>1.19</v>
          </cell>
        </row>
        <row r="1177">
          <cell r="A1177" t="str">
            <v/>
          </cell>
          <cell r="B1177" t="str">
            <v/>
          </cell>
          <cell r="C1177" t="str">
            <v>Future</v>
          </cell>
          <cell r="D1177" t="e">
            <v>#N/A</v>
          </cell>
          <cell r="E1177">
            <v>-1.4168129770992473</v>
          </cell>
          <cell r="F1177">
            <v>2.1157824427481042</v>
          </cell>
          <cell r="G1177">
            <v>0.3265458015267243</v>
          </cell>
          <cell r="H1177">
            <v>0.3265458015267243</v>
          </cell>
          <cell r="I1177" t="e">
            <v>#N/A</v>
          </cell>
          <cell r="J1177" t="e">
            <v>#N/A</v>
          </cell>
          <cell r="K1177">
            <v>1.54</v>
          </cell>
          <cell r="L1177">
            <v>0.76</v>
          </cell>
          <cell r="M1177" t="e">
            <v>#N/A</v>
          </cell>
          <cell r="N1177">
            <v>1.2</v>
          </cell>
          <cell r="O1177" t="e">
            <v>#N/A</v>
          </cell>
          <cell r="P1177" t="str">
            <v/>
          </cell>
          <cell r="Q1177" t="str">
            <v/>
          </cell>
          <cell r="R1177">
            <v>1.19</v>
          </cell>
        </row>
        <row r="1178">
          <cell r="A1178" t="str">
            <v/>
          </cell>
          <cell r="B1178" t="str">
            <v/>
          </cell>
          <cell r="C1178" t="str">
            <v>Future</v>
          </cell>
          <cell r="D1178" t="e">
            <v>#N/A</v>
          </cell>
          <cell r="E1178">
            <v>-1.4209923664122244</v>
          </cell>
          <cell r="F1178">
            <v>2.117480916030547</v>
          </cell>
          <cell r="G1178">
            <v>0.32526717557252582</v>
          </cell>
          <cell r="H1178">
            <v>0.32526717557252582</v>
          </cell>
          <cell r="I1178" t="e">
            <v>#N/A</v>
          </cell>
          <cell r="J1178" t="e">
            <v>#N/A</v>
          </cell>
          <cell r="K1178">
            <v>1.54</v>
          </cell>
          <cell r="L1178">
            <v>0.76</v>
          </cell>
          <cell r="M1178" t="e">
            <v>#N/A</v>
          </cell>
          <cell r="N1178">
            <v>1.2</v>
          </cell>
          <cell r="O1178" t="e">
            <v>#N/A</v>
          </cell>
          <cell r="P1178" t="str">
            <v/>
          </cell>
          <cell r="Q1178" t="str">
            <v/>
          </cell>
          <cell r="R1178">
            <v>1.19</v>
          </cell>
        </row>
        <row r="1179">
          <cell r="A1179" t="str">
            <v/>
          </cell>
          <cell r="B1179" t="str">
            <v/>
          </cell>
          <cell r="C1179" t="str">
            <v>Future</v>
          </cell>
          <cell r="D1179" t="e">
            <v>#N/A</v>
          </cell>
          <cell r="E1179">
            <v>-1.4251717557252015</v>
          </cell>
          <cell r="F1179">
            <v>2.1191793893129898</v>
          </cell>
          <cell r="G1179">
            <v>0.32398854961832735</v>
          </cell>
          <cell r="H1179">
            <v>0.32398854961832735</v>
          </cell>
          <cell r="I1179" t="e">
            <v>#N/A</v>
          </cell>
          <cell r="J1179" t="e">
            <v>#N/A</v>
          </cell>
          <cell r="K1179">
            <v>1.54</v>
          </cell>
          <cell r="L1179">
            <v>0.76</v>
          </cell>
          <cell r="M1179" t="e">
            <v>#N/A</v>
          </cell>
          <cell r="N1179">
            <v>1.2</v>
          </cell>
          <cell r="O1179" t="e">
            <v>#N/A</v>
          </cell>
          <cell r="P1179" t="str">
            <v/>
          </cell>
          <cell r="Q1179" t="str">
            <v/>
          </cell>
          <cell r="R1179">
            <v>1.19</v>
          </cell>
        </row>
        <row r="1180">
          <cell r="A1180" t="str">
            <v/>
          </cell>
          <cell r="B1180" t="str">
            <v/>
          </cell>
          <cell r="C1180" t="str">
            <v>Future</v>
          </cell>
          <cell r="D1180" t="e">
            <v>#N/A</v>
          </cell>
          <cell r="E1180">
            <v>-1.4293511450381786</v>
          </cell>
          <cell r="F1180">
            <v>2.1208778625954325</v>
          </cell>
          <cell r="G1180">
            <v>0.32270992366412887</v>
          </cell>
          <cell r="H1180">
            <v>0.32270992366412887</v>
          </cell>
          <cell r="I1180" t="e">
            <v>#N/A</v>
          </cell>
          <cell r="J1180" t="e">
            <v>#N/A</v>
          </cell>
          <cell r="K1180">
            <v>1.54</v>
          </cell>
          <cell r="L1180">
            <v>0.76</v>
          </cell>
          <cell r="M1180" t="e">
            <v>#N/A</v>
          </cell>
          <cell r="N1180">
            <v>1.2</v>
          </cell>
          <cell r="O1180" t="e">
            <v>#N/A</v>
          </cell>
          <cell r="P1180" t="str">
            <v/>
          </cell>
          <cell r="Q1180" t="str">
            <v/>
          </cell>
          <cell r="R1180">
            <v>1.19</v>
          </cell>
        </row>
        <row r="1181">
          <cell r="A1181" t="str">
            <v/>
          </cell>
          <cell r="B1181" t="str">
            <v/>
          </cell>
          <cell r="C1181" t="str">
            <v>Future</v>
          </cell>
          <cell r="D1181" t="e">
            <v>#N/A</v>
          </cell>
          <cell r="E1181">
            <v>-1.4335305343511557</v>
          </cell>
          <cell r="F1181">
            <v>2.1225763358778753</v>
          </cell>
          <cell r="G1181">
            <v>0.3214312977099304</v>
          </cell>
          <cell r="H1181">
            <v>0.3214312977099304</v>
          </cell>
          <cell r="I1181" t="e">
            <v>#N/A</v>
          </cell>
          <cell r="J1181" t="e">
            <v>#N/A</v>
          </cell>
          <cell r="K1181">
            <v>1.54</v>
          </cell>
          <cell r="L1181">
            <v>0.76</v>
          </cell>
          <cell r="M1181" t="e">
            <v>#N/A</v>
          </cell>
          <cell r="N1181">
            <v>1.2</v>
          </cell>
          <cell r="O1181" t="e">
            <v>#N/A</v>
          </cell>
          <cell r="P1181" t="str">
            <v/>
          </cell>
          <cell r="Q1181" t="str">
            <v/>
          </cell>
          <cell r="R1181">
            <v>1.19</v>
          </cell>
        </row>
        <row r="1182">
          <cell r="A1182" t="str">
            <v/>
          </cell>
          <cell r="B1182" t="str">
            <v/>
          </cell>
          <cell r="C1182" t="str">
            <v>Future</v>
          </cell>
          <cell r="D1182" t="e">
            <v>#N/A</v>
          </cell>
          <cell r="E1182">
            <v>-1.4377099236641329</v>
          </cell>
          <cell r="F1182">
            <v>2.1242748091603181</v>
          </cell>
          <cell r="G1182">
            <v>0.32015267175573192</v>
          </cell>
          <cell r="H1182">
            <v>0.32015267175573192</v>
          </cell>
          <cell r="I1182" t="e">
            <v>#N/A</v>
          </cell>
          <cell r="J1182" t="e">
            <v>#N/A</v>
          </cell>
          <cell r="K1182">
            <v>1.54</v>
          </cell>
          <cell r="L1182">
            <v>0.76</v>
          </cell>
          <cell r="M1182" t="e">
            <v>#N/A</v>
          </cell>
          <cell r="N1182">
            <v>1.2</v>
          </cell>
          <cell r="O1182" t="e">
            <v>#N/A</v>
          </cell>
          <cell r="P1182" t="str">
            <v/>
          </cell>
          <cell r="Q1182" t="str">
            <v/>
          </cell>
          <cell r="R1182">
            <v>1.19</v>
          </cell>
        </row>
        <row r="1183">
          <cell r="A1183" t="str">
            <v/>
          </cell>
          <cell r="B1183" t="str">
            <v/>
          </cell>
          <cell r="C1183" t="str">
            <v>Future</v>
          </cell>
          <cell r="D1183" t="e">
            <v>#N/A</v>
          </cell>
          <cell r="E1183">
            <v>-1.44188931297711</v>
          </cell>
          <cell r="F1183">
            <v>2.1259732824427608</v>
          </cell>
          <cell r="G1183">
            <v>0.31887404580153345</v>
          </cell>
          <cell r="H1183">
            <v>0.31887404580153345</v>
          </cell>
          <cell r="I1183" t="e">
            <v>#N/A</v>
          </cell>
          <cell r="J1183" t="e">
            <v>#N/A</v>
          </cell>
          <cell r="K1183">
            <v>1.54</v>
          </cell>
          <cell r="L1183">
            <v>0.76</v>
          </cell>
          <cell r="M1183" t="e">
            <v>#N/A</v>
          </cell>
          <cell r="N1183">
            <v>1.2</v>
          </cell>
          <cell r="O1183" t="e">
            <v>#N/A</v>
          </cell>
          <cell r="P1183" t="str">
            <v/>
          </cell>
          <cell r="Q1183" t="str">
            <v/>
          </cell>
          <cell r="R1183">
            <v>1.19</v>
          </cell>
        </row>
        <row r="1184">
          <cell r="A1184" t="str">
            <v/>
          </cell>
          <cell r="B1184" t="str">
            <v/>
          </cell>
          <cell r="C1184" t="str">
            <v>Future</v>
          </cell>
          <cell r="D1184" t="e">
            <v>#N/A</v>
          </cell>
          <cell r="E1184">
            <v>-1.4460687022900871</v>
          </cell>
          <cell r="F1184">
            <v>2.1276717557252036</v>
          </cell>
          <cell r="G1184">
            <v>0.31759541984733497</v>
          </cell>
          <cell r="H1184">
            <v>0.31759541984733497</v>
          </cell>
          <cell r="I1184" t="e">
            <v>#N/A</v>
          </cell>
          <cell r="J1184" t="e">
            <v>#N/A</v>
          </cell>
          <cell r="K1184">
            <v>1.54</v>
          </cell>
          <cell r="L1184">
            <v>0.76</v>
          </cell>
          <cell r="M1184" t="e">
            <v>#N/A</v>
          </cell>
          <cell r="N1184">
            <v>1.2</v>
          </cell>
          <cell r="O1184" t="e">
            <v>#N/A</v>
          </cell>
          <cell r="P1184" t="str">
            <v/>
          </cell>
          <cell r="Q1184" t="str">
            <v/>
          </cell>
          <cell r="R1184">
            <v>1.19</v>
          </cell>
        </row>
        <row r="1185">
          <cell r="A1185" t="str">
            <v/>
          </cell>
          <cell r="B1185" t="str">
            <v/>
          </cell>
          <cell r="C1185" t="str">
            <v>Future</v>
          </cell>
          <cell r="D1185" t="e">
            <v>#N/A</v>
          </cell>
          <cell r="E1185">
            <v>-1.4502480916030642</v>
          </cell>
          <cell r="F1185">
            <v>2.1293702290076464</v>
          </cell>
          <cell r="G1185">
            <v>0.31631679389313649</v>
          </cell>
          <cell r="H1185">
            <v>0.31631679389313649</v>
          </cell>
          <cell r="I1185" t="e">
            <v>#N/A</v>
          </cell>
          <cell r="J1185" t="e">
            <v>#N/A</v>
          </cell>
          <cell r="K1185">
            <v>1.54</v>
          </cell>
          <cell r="L1185">
            <v>0.76</v>
          </cell>
          <cell r="M1185" t="e">
            <v>#N/A</v>
          </cell>
          <cell r="N1185">
            <v>1.2</v>
          </cell>
          <cell r="O1185" t="e">
            <v>#N/A</v>
          </cell>
          <cell r="P1185" t="str">
            <v/>
          </cell>
          <cell r="Q1185" t="str">
            <v/>
          </cell>
          <cell r="R1185">
            <v>1.19</v>
          </cell>
        </row>
        <row r="1186">
          <cell r="A1186" t="str">
            <v/>
          </cell>
          <cell r="B1186" t="str">
            <v/>
          </cell>
          <cell r="C1186" t="str">
            <v>Future</v>
          </cell>
          <cell r="D1186" t="e">
            <v>#N/A</v>
          </cell>
          <cell r="E1186">
            <v>-1.4544274809160413</v>
          </cell>
          <cell r="F1186">
            <v>2.1310687022900892</v>
          </cell>
          <cell r="G1186">
            <v>0.31503816793893802</v>
          </cell>
          <cell r="H1186">
            <v>0.31503816793893802</v>
          </cell>
          <cell r="I1186" t="e">
            <v>#N/A</v>
          </cell>
          <cell r="J1186" t="e">
            <v>#N/A</v>
          </cell>
          <cell r="K1186">
            <v>1.54</v>
          </cell>
          <cell r="L1186">
            <v>0.76</v>
          </cell>
          <cell r="M1186" t="e">
            <v>#N/A</v>
          </cell>
          <cell r="N1186">
            <v>1.2</v>
          </cell>
          <cell r="O1186" t="e">
            <v>#N/A</v>
          </cell>
          <cell r="P1186" t="str">
            <v/>
          </cell>
          <cell r="Q1186" t="str">
            <v/>
          </cell>
          <cell r="R1186">
            <v>1.19</v>
          </cell>
        </row>
        <row r="1187">
          <cell r="A1187" t="str">
            <v/>
          </cell>
          <cell r="B1187" t="str">
            <v/>
          </cell>
          <cell r="C1187" t="str">
            <v>Future</v>
          </cell>
          <cell r="D1187" t="e">
            <v>#N/A</v>
          </cell>
          <cell r="E1187">
            <v>-1.4586068702290185</v>
          </cell>
          <cell r="F1187">
            <v>2.1327671755725319</v>
          </cell>
          <cell r="G1187">
            <v>0.31375954198473954</v>
          </cell>
          <cell r="H1187">
            <v>0.31375954198473954</v>
          </cell>
          <cell r="I1187" t="e">
            <v>#N/A</v>
          </cell>
          <cell r="J1187" t="e">
            <v>#N/A</v>
          </cell>
          <cell r="K1187">
            <v>1.54</v>
          </cell>
          <cell r="L1187">
            <v>0.76</v>
          </cell>
          <cell r="M1187" t="e">
            <v>#N/A</v>
          </cell>
          <cell r="N1187">
            <v>1.2</v>
          </cell>
          <cell r="O1187" t="e">
            <v>#N/A</v>
          </cell>
          <cell r="P1187" t="str">
            <v/>
          </cell>
          <cell r="Q1187" t="str">
            <v/>
          </cell>
          <cell r="R1187">
            <v>1.19</v>
          </cell>
        </row>
        <row r="1188">
          <cell r="A1188" t="str">
            <v/>
          </cell>
          <cell r="B1188" t="str">
            <v/>
          </cell>
          <cell r="C1188" t="str">
            <v>Future</v>
          </cell>
          <cell r="D1188" t="e">
            <v>#N/A</v>
          </cell>
          <cell r="E1188">
            <v>-1.4627862595419956</v>
          </cell>
          <cell r="F1188">
            <v>2.1344656488549747</v>
          </cell>
          <cell r="G1188">
            <v>0.31248091603054107</v>
          </cell>
          <cell r="H1188">
            <v>0.31248091603054107</v>
          </cell>
          <cell r="I1188" t="e">
            <v>#N/A</v>
          </cell>
          <cell r="J1188" t="e">
            <v>#N/A</v>
          </cell>
          <cell r="K1188">
            <v>1.54</v>
          </cell>
          <cell r="L1188">
            <v>0.76</v>
          </cell>
          <cell r="M1188" t="e">
            <v>#N/A</v>
          </cell>
          <cell r="N1188">
            <v>1.2</v>
          </cell>
          <cell r="O1188" t="e">
            <v>#N/A</v>
          </cell>
          <cell r="P1188" t="str">
            <v/>
          </cell>
          <cell r="Q1188" t="str">
            <v/>
          </cell>
          <cell r="R1188">
            <v>1.19</v>
          </cell>
        </row>
        <row r="1189">
          <cell r="A1189" t="str">
            <v/>
          </cell>
          <cell r="B1189" t="str">
            <v/>
          </cell>
          <cell r="C1189" t="str">
            <v>Future</v>
          </cell>
          <cell r="D1189" t="e">
            <v>#N/A</v>
          </cell>
          <cell r="E1189">
            <v>-1.4669656488549727</v>
          </cell>
          <cell r="F1189">
            <v>2.1361641221374175</v>
          </cell>
          <cell r="G1189">
            <v>0.31120229007634259</v>
          </cell>
          <cell r="H1189">
            <v>0.31120229007634259</v>
          </cell>
          <cell r="I1189" t="e">
            <v>#N/A</v>
          </cell>
          <cell r="J1189" t="e">
            <v>#N/A</v>
          </cell>
          <cell r="K1189">
            <v>1.54</v>
          </cell>
          <cell r="L1189">
            <v>0.76</v>
          </cell>
          <cell r="M1189" t="e">
            <v>#N/A</v>
          </cell>
          <cell r="N1189">
            <v>1.2</v>
          </cell>
          <cell r="O1189" t="e">
            <v>#N/A</v>
          </cell>
          <cell r="P1189" t="str">
            <v/>
          </cell>
          <cell r="Q1189" t="str">
            <v/>
          </cell>
          <cell r="R1189">
            <v>1.19</v>
          </cell>
        </row>
        <row r="1190">
          <cell r="A1190" t="str">
            <v/>
          </cell>
          <cell r="B1190" t="str">
            <v/>
          </cell>
          <cell r="C1190" t="str">
            <v>Future</v>
          </cell>
          <cell r="D1190" t="e">
            <v>#N/A</v>
          </cell>
          <cell r="E1190">
            <v>-1.4711450381679498</v>
          </cell>
          <cell r="F1190">
            <v>2.1378625954198602</v>
          </cell>
          <cell r="G1190">
            <v>0.30992366412214412</v>
          </cell>
          <cell r="H1190">
            <v>0.30992366412214412</v>
          </cell>
          <cell r="I1190" t="e">
            <v>#N/A</v>
          </cell>
          <cell r="J1190" t="e">
            <v>#N/A</v>
          </cell>
          <cell r="K1190">
            <v>1.54</v>
          </cell>
          <cell r="L1190">
            <v>0.76</v>
          </cell>
          <cell r="M1190" t="e">
            <v>#N/A</v>
          </cell>
          <cell r="N1190">
            <v>1.2</v>
          </cell>
          <cell r="O1190" t="e">
            <v>#N/A</v>
          </cell>
          <cell r="P1190" t="str">
            <v/>
          </cell>
          <cell r="Q1190" t="str">
            <v/>
          </cell>
          <cell r="R1190">
            <v>1.19</v>
          </cell>
        </row>
        <row r="1191">
          <cell r="A1191" t="str">
            <v/>
          </cell>
          <cell r="B1191" t="str">
            <v/>
          </cell>
          <cell r="C1191" t="str">
            <v>Future</v>
          </cell>
          <cell r="D1191" t="e">
            <v>#N/A</v>
          </cell>
          <cell r="E1191">
            <v>-1.475324427480927</v>
          </cell>
          <cell r="F1191">
            <v>2.139561068702303</v>
          </cell>
          <cell r="G1191">
            <v>0.30864503816794564</v>
          </cell>
          <cell r="H1191">
            <v>0.30864503816794564</v>
          </cell>
          <cell r="I1191" t="e">
            <v>#N/A</v>
          </cell>
          <cell r="J1191" t="e">
            <v>#N/A</v>
          </cell>
          <cell r="K1191">
            <v>1.54</v>
          </cell>
          <cell r="L1191">
            <v>0.76</v>
          </cell>
          <cell r="M1191" t="e">
            <v>#N/A</v>
          </cell>
          <cell r="N1191">
            <v>1.2</v>
          </cell>
          <cell r="O1191" t="e">
            <v>#N/A</v>
          </cell>
          <cell r="P1191" t="str">
            <v/>
          </cell>
          <cell r="Q1191" t="str">
            <v/>
          </cell>
          <cell r="R1191">
            <v>1.19</v>
          </cell>
        </row>
        <row r="1192">
          <cell r="A1192" t="str">
            <v/>
          </cell>
          <cell r="B1192" t="str">
            <v/>
          </cell>
          <cell r="C1192" t="str">
            <v>Future</v>
          </cell>
          <cell r="D1192" t="e">
            <v>#N/A</v>
          </cell>
          <cell r="E1192">
            <v>-1.4795038167939041</v>
          </cell>
          <cell r="F1192">
            <v>2.1412595419847458</v>
          </cell>
          <cell r="G1192">
            <v>0.30736641221374716</v>
          </cell>
          <cell r="H1192">
            <v>0.30736641221374716</v>
          </cell>
          <cell r="I1192" t="e">
            <v>#N/A</v>
          </cell>
          <cell r="J1192" t="e">
            <v>#N/A</v>
          </cell>
          <cell r="K1192">
            <v>1.54</v>
          </cell>
          <cell r="L1192">
            <v>0.76</v>
          </cell>
          <cell r="M1192" t="e">
            <v>#N/A</v>
          </cell>
          <cell r="N1192">
            <v>1.2</v>
          </cell>
          <cell r="O1192" t="e">
            <v>#N/A</v>
          </cell>
          <cell r="P1192" t="str">
            <v/>
          </cell>
          <cell r="Q1192" t="str">
            <v/>
          </cell>
          <cell r="R1192">
            <v>1.19</v>
          </cell>
        </row>
        <row r="1193">
          <cell r="A1193" t="str">
            <v/>
          </cell>
          <cell r="B1193" t="str">
            <v/>
          </cell>
          <cell r="C1193" t="str">
            <v>Future</v>
          </cell>
          <cell r="D1193" t="e">
            <v>#N/A</v>
          </cell>
          <cell r="E1193">
            <v>-1.4836832061068812</v>
          </cell>
          <cell r="F1193">
            <v>2.1429580152671885</v>
          </cell>
          <cell r="G1193">
            <v>0.30608778625954869</v>
          </cell>
          <cell r="H1193">
            <v>0.30608778625954869</v>
          </cell>
          <cell r="I1193" t="e">
            <v>#N/A</v>
          </cell>
          <cell r="J1193" t="e">
            <v>#N/A</v>
          </cell>
          <cell r="K1193">
            <v>1.54</v>
          </cell>
          <cell r="L1193">
            <v>0.76</v>
          </cell>
          <cell r="M1193" t="e">
            <v>#N/A</v>
          </cell>
          <cell r="N1193">
            <v>1.2</v>
          </cell>
          <cell r="O1193" t="e">
            <v>#N/A</v>
          </cell>
          <cell r="P1193" t="str">
            <v/>
          </cell>
          <cell r="Q1193" t="str">
            <v/>
          </cell>
          <cell r="R1193">
            <v>1.19</v>
          </cell>
        </row>
        <row r="1194">
          <cell r="A1194" t="str">
            <v/>
          </cell>
          <cell r="B1194" t="str">
            <v/>
          </cell>
          <cell r="C1194" t="str">
            <v>Future</v>
          </cell>
          <cell r="D1194" t="e">
            <v>#N/A</v>
          </cell>
          <cell r="E1194">
            <v>-1.4878625954198583</v>
          </cell>
          <cell r="F1194">
            <v>2.1446564885496313</v>
          </cell>
          <cell r="G1194">
            <v>0.30480916030535021</v>
          </cell>
          <cell r="H1194">
            <v>0.30480916030535021</v>
          </cell>
          <cell r="I1194" t="e">
            <v>#N/A</v>
          </cell>
          <cell r="J1194" t="e">
            <v>#N/A</v>
          </cell>
          <cell r="K1194">
            <v>1.54</v>
          </cell>
          <cell r="L1194">
            <v>0.76</v>
          </cell>
          <cell r="M1194" t="e">
            <v>#N/A</v>
          </cell>
          <cell r="N1194">
            <v>1.2</v>
          </cell>
          <cell r="O1194" t="e">
            <v>#N/A</v>
          </cell>
          <cell r="P1194" t="str">
            <v/>
          </cell>
          <cell r="Q1194" t="str">
            <v/>
          </cell>
          <cell r="R1194">
            <v>1.19</v>
          </cell>
        </row>
        <row r="1195">
          <cell r="A1195" t="str">
            <v/>
          </cell>
          <cell r="B1195" t="str">
            <v/>
          </cell>
          <cell r="C1195" t="str">
            <v>Future</v>
          </cell>
          <cell r="D1195" t="e">
            <v>#N/A</v>
          </cell>
          <cell r="E1195">
            <v>-1.4920419847328354</v>
          </cell>
          <cell r="F1195">
            <v>2.1463549618320741</v>
          </cell>
          <cell r="G1195">
            <v>0.30353053435115174</v>
          </cell>
          <cell r="H1195">
            <v>0.30353053435115174</v>
          </cell>
          <cell r="I1195" t="e">
            <v>#N/A</v>
          </cell>
          <cell r="J1195" t="e">
            <v>#N/A</v>
          </cell>
          <cell r="K1195">
            <v>1.54</v>
          </cell>
          <cell r="L1195">
            <v>0.76</v>
          </cell>
          <cell r="M1195" t="e">
            <v>#N/A</v>
          </cell>
          <cell r="N1195">
            <v>1.2</v>
          </cell>
          <cell r="O1195" t="e">
            <v>#N/A</v>
          </cell>
          <cell r="P1195" t="str">
            <v/>
          </cell>
          <cell r="Q1195" t="str">
            <v/>
          </cell>
          <cell r="R1195">
            <v>1.19</v>
          </cell>
        </row>
        <row r="1196">
          <cell r="A1196" t="str">
            <v/>
          </cell>
          <cell r="B1196" t="str">
            <v/>
          </cell>
          <cell r="C1196" t="str">
            <v>Future</v>
          </cell>
          <cell r="D1196" t="e">
            <v>#N/A</v>
          </cell>
          <cell r="E1196">
            <v>-1.4962213740458126</v>
          </cell>
          <cell r="F1196">
            <v>2.1480534351145169</v>
          </cell>
          <cell r="G1196">
            <v>0.30225190839695326</v>
          </cell>
          <cell r="H1196">
            <v>0.30225190839695326</v>
          </cell>
          <cell r="I1196" t="e">
            <v>#N/A</v>
          </cell>
          <cell r="J1196" t="e">
            <v>#N/A</v>
          </cell>
          <cell r="K1196">
            <v>1.54</v>
          </cell>
          <cell r="L1196">
            <v>0.76</v>
          </cell>
          <cell r="M1196" t="e">
            <v>#N/A</v>
          </cell>
          <cell r="N1196">
            <v>1.2</v>
          </cell>
          <cell r="O1196" t="e">
            <v>#N/A</v>
          </cell>
          <cell r="P1196" t="str">
            <v/>
          </cell>
          <cell r="Q1196" t="str">
            <v/>
          </cell>
          <cell r="R1196">
            <v>1.19</v>
          </cell>
        </row>
        <row r="1197">
          <cell r="A1197" t="str">
            <v/>
          </cell>
          <cell r="B1197" t="str">
            <v/>
          </cell>
          <cell r="C1197" t="str">
            <v>Future</v>
          </cell>
          <cell r="D1197" t="e">
            <v>#N/A</v>
          </cell>
          <cell r="E1197">
            <v>-1.5004007633587897</v>
          </cell>
          <cell r="F1197">
            <v>2.1497519083969596</v>
          </cell>
          <cell r="G1197">
            <v>0.30097328244275479</v>
          </cell>
          <cell r="H1197">
            <v>0.30097328244275479</v>
          </cell>
          <cell r="I1197" t="e">
            <v>#N/A</v>
          </cell>
          <cell r="J1197" t="e">
            <v>#N/A</v>
          </cell>
          <cell r="K1197">
            <v>1.54</v>
          </cell>
          <cell r="L1197">
            <v>0.76</v>
          </cell>
          <cell r="M1197" t="e">
            <v>#N/A</v>
          </cell>
          <cell r="N1197">
            <v>1.2</v>
          </cell>
          <cell r="O1197" t="e">
            <v>#N/A</v>
          </cell>
          <cell r="P1197" t="str">
            <v/>
          </cell>
          <cell r="Q1197" t="str">
            <v/>
          </cell>
          <cell r="R1197">
            <v>1.19</v>
          </cell>
        </row>
        <row r="1198">
          <cell r="A1198" t="str">
            <v/>
          </cell>
          <cell r="B1198" t="str">
            <v/>
          </cell>
          <cell r="C1198" t="str">
            <v>Future</v>
          </cell>
          <cell r="D1198" t="e">
            <v>#N/A</v>
          </cell>
          <cell r="E1198">
            <v>-1.5045801526717668</v>
          </cell>
          <cell r="F1198">
            <v>2.1514503816794024</v>
          </cell>
          <cell r="G1198">
            <v>0.29969465648855631</v>
          </cell>
          <cell r="H1198">
            <v>0.29969465648855631</v>
          </cell>
          <cell r="I1198" t="e">
            <v>#N/A</v>
          </cell>
          <cell r="J1198" t="e">
            <v>#N/A</v>
          </cell>
          <cell r="K1198">
            <v>1.54</v>
          </cell>
          <cell r="L1198">
            <v>0.76</v>
          </cell>
          <cell r="M1198" t="e">
            <v>#N/A</v>
          </cell>
          <cell r="N1198">
            <v>1.2</v>
          </cell>
          <cell r="O1198" t="e">
            <v>#N/A</v>
          </cell>
          <cell r="P1198" t="str">
            <v/>
          </cell>
          <cell r="Q1198" t="str">
            <v/>
          </cell>
          <cell r="R1198">
            <v>1.19</v>
          </cell>
        </row>
        <row r="1199">
          <cell r="A1199" t="str">
            <v/>
          </cell>
          <cell r="B1199" t="str">
            <v/>
          </cell>
          <cell r="C1199" t="str">
            <v>Future</v>
          </cell>
          <cell r="D1199" t="e">
            <v>#N/A</v>
          </cell>
          <cell r="E1199">
            <v>-1.5087595419847439</v>
          </cell>
          <cell r="F1199">
            <v>2.1531488549618452</v>
          </cell>
          <cell r="G1199">
            <v>0.29841603053435783</v>
          </cell>
          <cell r="H1199">
            <v>0.29841603053435783</v>
          </cell>
          <cell r="I1199" t="e">
            <v>#N/A</v>
          </cell>
          <cell r="J1199" t="e">
            <v>#N/A</v>
          </cell>
          <cell r="K1199">
            <v>1.54</v>
          </cell>
          <cell r="L1199">
            <v>0.76</v>
          </cell>
          <cell r="M1199" t="e">
            <v>#N/A</v>
          </cell>
          <cell r="N1199">
            <v>1.2</v>
          </cell>
          <cell r="O1199" t="e">
            <v>#N/A</v>
          </cell>
          <cell r="P1199" t="str">
            <v/>
          </cell>
          <cell r="Q1199" t="str">
            <v/>
          </cell>
          <cell r="R1199">
            <v>1.19</v>
          </cell>
        </row>
        <row r="1200">
          <cell r="A1200" t="str">
            <v/>
          </cell>
          <cell r="B1200" t="str">
            <v/>
          </cell>
          <cell r="C1200" t="str">
            <v>Future</v>
          </cell>
          <cell r="D1200" t="e">
            <v>#N/A</v>
          </cell>
          <cell r="E1200">
            <v>-1.5129389312977211</v>
          </cell>
          <cell r="F1200">
            <v>2.1548473282442879</v>
          </cell>
          <cell r="G1200">
            <v>0.29713740458015936</v>
          </cell>
          <cell r="H1200">
            <v>0.29713740458015936</v>
          </cell>
          <cell r="I1200" t="e">
            <v>#N/A</v>
          </cell>
          <cell r="J1200" t="e">
            <v>#N/A</v>
          </cell>
          <cell r="K1200">
            <v>1.54</v>
          </cell>
          <cell r="L1200">
            <v>0.76</v>
          </cell>
          <cell r="M1200" t="e">
            <v>#N/A</v>
          </cell>
          <cell r="N1200">
            <v>1.2</v>
          </cell>
          <cell r="O1200" t="e">
            <v>#N/A</v>
          </cell>
          <cell r="P1200" t="str">
            <v/>
          </cell>
          <cell r="Q1200" t="str">
            <v/>
          </cell>
          <cell r="R1200">
            <v>1.19</v>
          </cell>
        </row>
        <row r="1201">
          <cell r="A1201" t="str">
            <v/>
          </cell>
          <cell r="B1201" t="str">
            <v/>
          </cell>
          <cell r="C1201" t="str">
            <v>Future</v>
          </cell>
          <cell r="D1201" t="e">
            <v>#N/A</v>
          </cell>
          <cell r="E1201">
            <v>-1.5171183206106982</v>
          </cell>
          <cell r="F1201">
            <v>2.1565458015267307</v>
          </cell>
          <cell r="G1201">
            <v>0.29585877862596088</v>
          </cell>
          <cell r="H1201">
            <v>0.29585877862596088</v>
          </cell>
          <cell r="I1201" t="e">
            <v>#N/A</v>
          </cell>
          <cell r="J1201" t="e">
            <v>#N/A</v>
          </cell>
          <cell r="K1201">
            <v>1.54</v>
          </cell>
          <cell r="L1201">
            <v>0.76</v>
          </cell>
          <cell r="M1201" t="e">
            <v>#N/A</v>
          </cell>
          <cell r="N1201">
            <v>1.2</v>
          </cell>
          <cell r="O1201" t="e">
            <v>#N/A</v>
          </cell>
          <cell r="P1201" t="str">
            <v/>
          </cell>
          <cell r="Q1201" t="str">
            <v/>
          </cell>
          <cell r="R1201">
            <v>1.19</v>
          </cell>
        </row>
        <row r="1202">
          <cell r="A1202" t="str">
            <v/>
          </cell>
          <cell r="B1202" t="str">
            <v/>
          </cell>
          <cell r="C1202" t="str">
            <v>Future</v>
          </cell>
          <cell r="D1202" t="e">
            <v>#N/A</v>
          </cell>
          <cell r="E1202">
            <v>-1.5212977099236753</v>
          </cell>
          <cell r="F1202">
            <v>2.1582442748091735</v>
          </cell>
          <cell r="G1202">
            <v>0.29458015267176241</v>
          </cell>
          <cell r="H1202">
            <v>0.29458015267176241</v>
          </cell>
          <cell r="I1202" t="e">
            <v>#N/A</v>
          </cell>
          <cell r="J1202" t="e">
            <v>#N/A</v>
          </cell>
          <cell r="K1202">
            <v>1.54</v>
          </cell>
          <cell r="L1202">
            <v>0.76</v>
          </cell>
          <cell r="M1202" t="e">
            <v>#N/A</v>
          </cell>
          <cell r="N1202">
            <v>1.2</v>
          </cell>
          <cell r="O1202" t="e">
            <v>#N/A</v>
          </cell>
          <cell r="P1202" t="str">
            <v/>
          </cell>
          <cell r="Q1202" t="str">
            <v/>
          </cell>
          <cell r="R1202">
            <v>1.19</v>
          </cell>
        </row>
        <row r="1203">
          <cell r="A1203" t="str">
            <v/>
          </cell>
          <cell r="B1203" t="str">
            <v/>
          </cell>
          <cell r="C1203" t="str">
            <v>Future</v>
          </cell>
          <cell r="D1203" t="e">
            <v>#N/A</v>
          </cell>
          <cell r="E1203">
            <v>-1.5254770992366524</v>
          </cell>
          <cell r="F1203">
            <v>2.1599427480916162</v>
          </cell>
          <cell r="G1203">
            <v>0.29330152671756393</v>
          </cell>
          <cell r="H1203">
            <v>0.29330152671756393</v>
          </cell>
          <cell r="I1203" t="e">
            <v>#N/A</v>
          </cell>
          <cell r="J1203" t="e">
            <v>#N/A</v>
          </cell>
          <cell r="K1203">
            <v>1.54</v>
          </cell>
          <cell r="L1203">
            <v>0.76</v>
          </cell>
          <cell r="M1203" t="e">
            <v>#N/A</v>
          </cell>
          <cell r="N1203">
            <v>1.2</v>
          </cell>
          <cell r="O1203" t="e">
            <v>#N/A</v>
          </cell>
          <cell r="P1203" t="str">
            <v/>
          </cell>
          <cell r="Q1203" t="str">
            <v/>
          </cell>
          <cell r="R1203">
            <v>1.19</v>
          </cell>
        </row>
        <row r="1204">
          <cell r="A1204" t="str">
            <v/>
          </cell>
          <cell r="B1204" t="str">
            <v/>
          </cell>
          <cell r="C1204" t="str">
            <v>Future</v>
          </cell>
          <cell r="D1204" t="e">
            <v>#N/A</v>
          </cell>
          <cell r="E1204">
            <v>-1.5296564885496295</v>
          </cell>
          <cell r="F1204">
            <v>2.161641221374059</v>
          </cell>
          <cell r="G1204">
            <v>0.29202290076336546</v>
          </cell>
          <cell r="H1204">
            <v>0.29202290076336546</v>
          </cell>
          <cell r="I1204" t="e">
            <v>#N/A</v>
          </cell>
          <cell r="J1204" t="e">
            <v>#N/A</v>
          </cell>
          <cell r="K1204">
            <v>1.54</v>
          </cell>
          <cell r="L1204">
            <v>0.76</v>
          </cell>
          <cell r="M1204" t="e">
            <v>#N/A</v>
          </cell>
          <cell r="N1204">
            <v>1.2</v>
          </cell>
          <cell r="O1204" t="e">
            <v>#N/A</v>
          </cell>
          <cell r="P1204" t="str">
            <v/>
          </cell>
          <cell r="Q1204" t="str">
            <v/>
          </cell>
          <cell r="R1204">
            <v>1.19</v>
          </cell>
        </row>
        <row r="1205">
          <cell r="A1205" t="str">
            <v/>
          </cell>
          <cell r="B1205" t="str">
            <v/>
          </cell>
          <cell r="C1205" t="str">
            <v>Future</v>
          </cell>
          <cell r="D1205" t="e">
            <v>#N/A</v>
          </cell>
          <cell r="E1205">
            <v>-1.5338358778626067</v>
          </cell>
          <cell r="F1205">
            <v>2.1633396946565018</v>
          </cell>
          <cell r="G1205">
            <v>0.29074427480916698</v>
          </cell>
          <cell r="H1205">
            <v>0.29074427480916698</v>
          </cell>
          <cell r="I1205" t="e">
            <v>#N/A</v>
          </cell>
          <cell r="J1205" t="e">
            <v>#N/A</v>
          </cell>
          <cell r="K1205">
            <v>1.54</v>
          </cell>
          <cell r="L1205">
            <v>0.76</v>
          </cell>
          <cell r="M1205" t="e">
            <v>#N/A</v>
          </cell>
          <cell r="N1205">
            <v>1.2</v>
          </cell>
          <cell r="O1205" t="e">
            <v>#N/A</v>
          </cell>
          <cell r="P1205" t="str">
            <v/>
          </cell>
          <cell r="Q1205" t="str">
            <v/>
          </cell>
          <cell r="R1205">
            <v>1.19</v>
          </cell>
        </row>
        <row r="1206">
          <cell r="A1206" t="str">
            <v/>
          </cell>
          <cell r="B1206" t="str">
            <v/>
          </cell>
          <cell r="C1206" t="str">
            <v>Future</v>
          </cell>
          <cell r="D1206" t="e">
            <v>#N/A</v>
          </cell>
          <cell r="E1206">
            <v>-1.5380152671755838</v>
          </cell>
          <cell r="F1206">
            <v>2.1650381679389445</v>
          </cell>
          <cell r="G1206">
            <v>0.2894656488549685</v>
          </cell>
          <cell r="H1206">
            <v>0.2894656488549685</v>
          </cell>
          <cell r="I1206" t="e">
            <v>#N/A</v>
          </cell>
          <cell r="J1206" t="e">
            <v>#N/A</v>
          </cell>
          <cell r="K1206">
            <v>1.54</v>
          </cell>
          <cell r="L1206">
            <v>0.76</v>
          </cell>
          <cell r="M1206" t="e">
            <v>#N/A</v>
          </cell>
          <cell r="N1206">
            <v>1.2</v>
          </cell>
          <cell r="O1206" t="e">
            <v>#N/A</v>
          </cell>
          <cell r="P1206" t="str">
            <v/>
          </cell>
          <cell r="Q1206" t="str">
            <v/>
          </cell>
          <cell r="R1206">
            <v>1.19</v>
          </cell>
        </row>
        <row r="1207">
          <cell r="A1207" t="str">
            <v/>
          </cell>
          <cell r="B1207" t="str">
            <v/>
          </cell>
          <cell r="C1207" t="str">
            <v>Future</v>
          </cell>
          <cell r="D1207" t="e">
            <v>#N/A</v>
          </cell>
          <cell r="E1207">
            <v>-1.5421946564885609</v>
          </cell>
          <cell r="F1207">
            <v>2.1667366412213873</v>
          </cell>
          <cell r="G1207">
            <v>0.28818702290077003</v>
          </cell>
          <cell r="H1207">
            <v>0.28818702290077003</v>
          </cell>
          <cell r="I1207" t="e">
            <v>#N/A</v>
          </cell>
          <cell r="J1207" t="e">
            <v>#N/A</v>
          </cell>
          <cell r="K1207">
            <v>1.54</v>
          </cell>
          <cell r="L1207">
            <v>0.76</v>
          </cell>
          <cell r="M1207" t="e">
            <v>#N/A</v>
          </cell>
          <cell r="N1207">
            <v>1.2</v>
          </cell>
          <cell r="O1207" t="e">
            <v>#N/A</v>
          </cell>
          <cell r="P1207" t="str">
            <v/>
          </cell>
          <cell r="Q1207" t="str">
            <v/>
          </cell>
          <cell r="R1207">
            <v>1.19</v>
          </cell>
        </row>
        <row r="1208">
          <cell r="A1208" t="str">
            <v/>
          </cell>
          <cell r="B1208" t="str">
            <v/>
          </cell>
          <cell r="C1208" t="str">
            <v>Future</v>
          </cell>
          <cell r="D1208" t="e">
            <v>#N/A</v>
          </cell>
          <cell r="E1208">
            <v>-1.546374045801538</v>
          </cell>
          <cell r="F1208">
            <v>2.1684351145038301</v>
          </cell>
          <cell r="G1208">
            <v>0.28690839694657155</v>
          </cell>
          <cell r="H1208">
            <v>0.28690839694657155</v>
          </cell>
          <cell r="I1208" t="e">
            <v>#N/A</v>
          </cell>
          <cell r="J1208" t="e">
            <v>#N/A</v>
          </cell>
          <cell r="K1208">
            <v>1.54</v>
          </cell>
          <cell r="L1208">
            <v>0.76</v>
          </cell>
          <cell r="M1208" t="e">
            <v>#N/A</v>
          </cell>
          <cell r="N1208">
            <v>1.2</v>
          </cell>
          <cell r="O1208" t="e">
            <v>#N/A</v>
          </cell>
          <cell r="P1208" t="str">
            <v/>
          </cell>
          <cell r="Q1208" t="str">
            <v/>
          </cell>
          <cell r="R1208">
            <v>1.19</v>
          </cell>
        </row>
        <row r="1209">
          <cell r="A1209" t="str">
            <v/>
          </cell>
          <cell r="B1209" t="str">
            <v/>
          </cell>
          <cell r="C1209" t="str">
            <v>Future</v>
          </cell>
          <cell r="D1209" t="e">
            <v>#N/A</v>
          </cell>
          <cell r="E1209">
            <v>-1.5505534351145152</v>
          </cell>
          <cell r="F1209">
            <v>2.1701335877862729</v>
          </cell>
          <cell r="G1209">
            <v>0.28562977099237308</v>
          </cell>
          <cell r="H1209">
            <v>0.28562977099237308</v>
          </cell>
          <cell r="I1209" t="e">
            <v>#N/A</v>
          </cell>
          <cell r="J1209" t="e">
            <v>#N/A</v>
          </cell>
          <cell r="K1209">
            <v>1.54</v>
          </cell>
          <cell r="L1209">
            <v>0.76</v>
          </cell>
          <cell r="M1209" t="e">
            <v>#N/A</v>
          </cell>
          <cell r="N1209">
            <v>1.2</v>
          </cell>
          <cell r="O1209" t="e">
            <v>#N/A</v>
          </cell>
          <cell r="P1209" t="str">
            <v/>
          </cell>
          <cell r="Q1209" t="str">
            <v/>
          </cell>
          <cell r="R1209">
            <v>1.19</v>
          </cell>
        </row>
        <row r="1210">
          <cell r="A1210" t="str">
            <v/>
          </cell>
          <cell r="B1210" t="str">
            <v/>
          </cell>
          <cell r="C1210" t="str">
            <v>Future</v>
          </cell>
          <cell r="D1210" t="e">
            <v>#N/A</v>
          </cell>
          <cell r="E1210">
            <v>-1.5547328244274923</v>
          </cell>
          <cell r="F1210">
            <v>2.1718320610687156</v>
          </cell>
          <cell r="G1210">
            <v>0.2843511450381746</v>
          </cell>
          <cell r="H1210">
            <v>0.2843511450381746</v>
          </cell>
          <cell r="I1210" t="e">
            <v>#N/A</v>
          </cell>
          <cell r="J1210" t="e">
            <v>#N/A</v>
          </cell>
          <cell r="K1210">
            <v>1.54</v>
          </cell>
          <cell r="L1210">
            <v>0.76</v>
          </cell>
          <cell r="M1210" t="e">
            <v>#N/A</v>
          </cell>
          <cell r="N1210">
            <v>1.2</v>
          </cell>
          <cell r="O1210" t="e">
            <v>#N/A</v>
          </cell>
          <cell r="P1210" t="str">
            <v/>
          </cell>
          <cell r="Q1210" t="str">
            <v/>
          </cell>
          <cell r="R1210">
            <v>1.19</v>
          </cell>
        </row>
        <row r="1211">
          <cell r="A1211" t="str">
            <v/>
          </cell>
          <cell r="B1211" t="str">
            <v/>
          </cell>
          <cell r="C1211" t="str">
            <v>Future</v>
          </cell>
          <cell r="D1211" t="e">
            <v>#N/A</v>
          </cell>
          <cell r="E1211">
            <v>-1.5589122137404694</v>
          </cell>
          <cell r="F1211">
            <v>2.1735305343511584</v>
          </cell>
          <cell r="G1211">
            <v>0.28307251908397613</v>
          </cell>
          <cell r="H1211">
            <v>0.28307251908397613</v>
          </cell>
          <cell r="I1211" t="e">
            <v>#N/A</v>
          </cell>
          <cell r="J1211" t="e">
            <v>#N/A</v>
          </cell>
          <cell r="K1211">
            <v>1.54</v>
          </cell>
          <cell r="L1211">
            <v>0.76</v>
          </cell>
          <cell r="M1211" t="e">
            <v>#N/A</v>
          </cell>
          <cell r="N1211">
            <v>1.2</v>
          </cell>
          <cell r="O1211" t="e">
            <v>#N/A</v>
          </cell>
          <cell r="P1211" t="str">
            <v/>
          </cell>
          <cell r="Q1211" t="str">
            <v/>
          </cell>
          <cell r="R1211">
            <v>1.19</v>
          </cell>
        </row>
        <row r="1212">
          <cell r="A1212" t="str">
            <v/>
          </cell>
          <cell r="B1212" t="str">
            <v/>
          </cell>
          <cell r="C1212" t="str">
            <v>Future</v>
          </cell>
          <cell r="D1212" t="e">
            <v>#N/A</v>
          </cell>
          <cell r="E1212">
            <v>-1.5630916030534465</v>
          </cell>
          <cell r="F1212">
            <v>2.1752290076336012</v>
          </cell>
          <cell r="G1212">
            <v>0.28179389312977765</v>
          </cell>
          <cell r="H1212">
            <v>0.28179389312977765</v>
          </cell>
          <cell r="I1212" t="e">
            <v>#N/A</v>
          </cell>
          <cell r="J1212" t="e">
            <v>#N/A</v>
          </cell>
          <cell r="K1212">
            <v>1.54</v>
          </cell>
          <cell r="L1212">
            <v>0.76</v>
          </cell>
          <cell r="M1212" t="e">
            <v>#N/A</v>
          </cell>
          <cell r="N1212">
            <v>1.2</v>
          </cell>
          <cell r="O1212" t="e">
            <v>#N/A</v>
          </cell>
          <cell r="P1212" t="str">
            <v/>
          </cell>
          <cell r="Q1212" t="str">
            <v/>
          </cell>
          <cell r="R1212">
            <v>1.19</v>
          </cell>
        </row>
        <row r="1213">
          <cell r="A1213" t="str">
            <v/>
          </cell>
          <cell r="B1213" t="str">
            <v/>
          </cell>
          <cell r="C1213" t="str">
            <v>Future</v>
          </cell>
          <cell r="D1213" t="e">
            <v>#N/A</v>
          </cell>
          <cell r="E1213">
            <v>-1.5672709923664236</v>
          </cell>
          <cell r="F1213">
            <v>2.1769274809160439</v>
          </cell>
          <cell r="G1213">
            <v>0.28051526717557917</v>
          </cell>
          <cell r="H1213">
            <v>0.28051526717557917</v>
          </cell>
          <cell r="I1213" t="e">
            <v>#N/A</v>
          </cell>
          <cell r="J1213" t="e">
            <v>#N/A</v>
          </cell>
          <cell r="K1213">
            <v>1.54</v>
          </cell>
          <cell r="L1213">
            <v>0.76</v>
          </cell>
          <cell r="M1213" t="e">
            <v>#N/A</v>
          </cell>
          <cell r="N1213">
            <v>1.2</v>
          </cell>
          <cell r="O1213" t="e">
            <v>#N/A</v>
          </cell>
          <cell r="P1213" t="str">
            <v/>
          </cell>
          <cell r="Q1213" t="str">
            <v/>
          </cell>
          <cell r="R1213">
            <v>1.19</v>
          </cell>
        </row>
        <row r="1214">
          <cell r="A1214" t="str">
            <v/>
          </cell>
          <cell r="B1214" t="str">
            <v/>
          </cell>
          <cell r="C1214" t="str">
            <v>Future</v>
          </cell>
          <cell r="D1214" t="e">
            <v>#N/A</v>
          </cell>
          <cell r="E1214">
            <v>-1.5714503816794008</v>
          </cell>
          <cell r="F1214">
            <v>2.1786259541984867</v>
          </cell>
          <cell r="G1214">
            <v>0.2792366412213807</v>
          </cell>
          <cell r="H1214">
            <v>0.2792366412213807</v>
          </cell>
          <cell r="I1214" t="e">
            <v>#N/A</v>
          </cell>
          <cell r="J1214" t="e">
            <v>#N/A</v>
          </cell>
          <cell r="K1214">
            <v>1.54</v>
          </cell>
          <cell r="L1214">
            <v>0.76</v>
          </cell>
          <cell r="M1214" t="e">
            <v>#N/A</v>
          </cell>
          <cell r="N1214">
            <v>1.2</v>
          </cell>
          <cell r="O1214" t="e">
            <v>#N/A</v>
          </cell>
          <cell r="P1214" t="str">
            <v/>
          </cell>
          <cell r="Q1214" t="str">
            <v/>
          </cell>
          <cell r="R1214">
            <v>1.19</v>
          </cell>
        </row>
        <row r="1215">
          <cell r="A1215" t="str">
            <v/>
          </cell>
          <cell r="B1215" t="str">
            <v/>
          </cell>
          <cell r="C1215" t="str">
            <v>Future</v>
          </cell>
          <cell r="D1215" t="e">
            <v>#N/A</v>
          </cell>
          <cell r="E1215">
            <v>-1.5756297709923779</v>
          </cell>
          <cell r="F1215">
            <v>2.1803244274809295</v>
          </cell>
          <cell r="G1215">
            <v>0.27795801526718222</v>
          </cell>
          <cell r="H1215">
            <v>0.27795801526718222</v>
          </cell>
          <cell r="I1215" t="e">
            <v>#N/A</v>
          </cell>
          <cell r="J1215" t="e">
            <v>#N/A</v>
          </cell>
          <cell r="K1215">
            <v>1.54</v>
          </cell>
          <cell r="L1215">
            <v>0.76</v>
          </cell>
          <cell r="M1215" t="e">
            <v>#N/A</v>
          </cell>
          <cell r="N1215">
            <v>1.2</v>
          </cell>
          <cell r="O1215" t="e">
            <v>#N/A</v>
          </cell>
          <cell r="P1215" t="str">
            <v/>
          </cell>
          <cell r="Q1215" t="str">
            <v/>
          </cell>
          <cell r="R1215">
            <v>1.19</v>
          </cell>
        </row>
        <row r="1216">
          <cell r="A1216" t="str">
            <v/>
          </cell>
          <cell r="B1216" t="str">
            <v/>
          </cell>
          <cell r="C1216" t="str">
            <v>Future</v>
          </cell>
          <cell r="D1216" t="e">
            <v>#N/A</v>
          </cell>
          <cell r="E1216">
            <v>-1.579809160305355</v>
          </cell>
          <cell r="F1216">
            <v>2.1820229007633722</v>
          </cell>
          <cell r="G1216">
            <v>0.27667938931298375</v>
          </cell>
          <cell r="H1216">
            <v>0.27667938931298375</v>
          </cell>
          <cell r="I1216" t="e">
            <v>#N/A</v>
          </cell>
          <cell r="J1216" t="e">
            <v>#N/A</v>
          </cell>
          <cell r="K1216">
            <v>1.54</v>
          </cell>
          <cell r="L1216">
            <v>0.76</v>
          </cell>
          <cell r="M1216" t="e">
            <v>#N/A</v>
          </cell>
          <cell r="N1216">
            <v>1.2</v>
          </cell>
          <cell r="O1216" t="e">
            <v>#N/A</v>
          </cell>
          <cell r="P1216" t="str">
            <v/>
          </cell>
          <cell r="Q1216" t="str">
            <v/>
          </cell>
          <cell r="R1216">
            <v>1.19</v>
          </cell>
        </row>
        <row r="1217">
          <cell r="A1217" t="str">
            <v/>
          </cell>
          <cell r="B1217" t="str">
            <v/>
          </cell>
          <cell r="C1217" t="str">
            <v>Future</v>
          </cell>
          <cell r="D1217" t="e">
            <v>#N/A</v>
          </cell>
          <cell r="E1217">
            <v>-1.5839885496183321</v>
          </cell>
          <cell r="F1217">
            <v>2.183721374045815</v>
          </cell>
          <cell r="G1217">
            <v>0.27540076335878527</v>
          </cell>
          <cell r="H1217">
            <v>0.27540076335878527</v>
          </cell>
          <cell r="I1217" t="e">
            <v>#N/A</v>
          </cell>
          <cell r="J1217" t="e">
            <v>#N/A</v>
          </cell>
          <cell r="K1217">
            <v>1.54</v>
          </cell>
          <cell r="L1217">
            <v>0.76</v>
          </cell>
          <cell r="M1217" t="e">
            <v>#N/A</v>
          </cell>
          <cell r="N1217">
            <v>1.2</v>
          </cell>
          <cell r="O1217" t="e">
            <v>#N/A</v>
          </cell>
          <cell r="P1217" t="str">
            <v/>
          </cell>
          <cell r="Q1217" t="str">
            <v/>
          </cell>
          <cell r="R1217">
            <v>1.19</v>
          </cell>
        </row>
        <row r="1218">
          <cell r="A1218" t="str">
            <v/>
          </cell>
          <cell r="B1218" t="str">
            <v/>
          </cell>
          <cell r="C1218" t="str">
            <v>Future</v>
          </cell>
          <cell r="D1218" t="e">
            <v>#N/A</v>
          </cell>
          <cell r="E1218">
            <v>-1.5881679389313093</v>
          </cell>
          <cell r="F1218">
            <v>2.1854198473282578</v>
          </cell>
          <cell r="G1218">
            <v>0.2741221374045868</v>
          </cell>
          <cell r="H1218">
            <v>0.2741221374045868</v>
          </cell>
          <cell r="I1218" t="e">
            <v>#N/A</v>
          </cell>
          <cell r="J1218" t="e">
            <v>#N/A</v>
          </cell>
          <cell r="K1218">
            <v>1.54</v>
          </cell>
          <cell r="L1218">
            <v>0.76</v>
          </cell>
          <cell r="M1218" t="e">
            <v>#N/A</v>
          </cell>
          <cell r="N1218">
            <v>1.2</v>
          </cell>
          <cell r="O1218" t="e">
            <v>#N/A</v>
          </cell>
          <cell r="P1218" t="str">
            <v/>
          </cell>
          <cell r="Q1218" t="str">
            <v/>
          </cell>
          <cell r="R1218">
            <v>1.19</v>
          </cell>
        </row>
        <row r="1219">
          <cell r="A1219" t="str">
            <v/>
          </cell>
          <cell r="B1219" t="str">
            <v/>
          </cell>
          <cell r="C1219" t="str">
            <v>Future</v>
          </cell>
          <cell r="D1219" t="e">
            <v>#N/A</v>
          </cell>
          <cell r="E1219">
            <v>-1.5923473282442864</v>
          </cell>
          <cell r="F1219">
            <v>2.1871183206107006</v>
          </cell>
          <cell r="G1219">
            <v>0.27284351145038832</v>
          </cell>
          <cell r="H1219">
            <v>0.27284351145038832</v>
          </cell>
          <cell r="I1219" t="e">
            <v>#N/A</v>
          </cell>
          <cell r="J1219" t="e">
            <v>#N/A</v>
          </cell>
          <cell r="K1219">
            <v>1.54</v>
          </cell>
          <cell r="L1219">
            <v>0.76</v>
          </cell>
          <cell r="M1219" t="e">
            <v>#N/A</v>
          </cell>
          <cell r="N1219">
            <v>1.2</v>
          </cell>
          <cell r="O1219" t="e">
            <v>#N/A</v>
          </cell>
          <cell r="P1219" t="str">
            <v/>
          </cell>
          <cell r="Q1219" t="str">
            <v/>
          </cell>
          <cell r="R1219">
            <v>1.19</v>
          </cell>
        </row>
        <row r="1220">
          <cell r="A1220" t="str">
            <v/>
          </cell>
          <cell r="B1220" t="str">
            <v/>
          </cell>
          <cell r="C1220" t="str">
            <v>Future</v>
          </cell>
          <cell r="D1220" t="e">
            <v>#N/A</v>
          </cell>
          <cell r="E1220">
            <v>-1.5965267175572635</v>
          </cell>
          <cell r="F1220">
            <v>2.1888167938931433</v>
          </cell>
          <cell r="G1220">
            <v>0.27156488549618985</v>
          </cell>
          <cell r="H1220">
            <v>0.27156488549618985</v>
          </cell>
          <cell r="I1220" t="e">
            <v>#N/A</v>
          </cell>
          <cell r="J1220" t="e">
            <v>#N/A</v>
          </cell>
          <cell r="K1220">
            <v>1.54</v>
          </cell>
          <cell r="L1220">
            <v>0.76</v>
          </cell>
          <cell r="M1220" t="e">
            <v>#N/A</v>
          </cell>
          <cell r="N1220">
            <v>1.2</v>
          </cell>
          <cell r="O1220" t="e">
            <v>#N/A</v>
          </cell>
          <cell r="P1220" t="str">
            <v/>
          </cell>
          <cell r="Q1220" t="str">
            <v/>
          </cell>
          <cell r="R1220">
            <v>1.19</v>
          </cell>
        </row>
        <row r="1221">
          <cell r="A1221" t="str">
            <v/>
          </cell>
          <cell r="B1221" t="str">
            <v/>
          </cell>
          <cell r="C1221" t="str">
            <v>Future</v>
          </cell>
          <cell r="D1221" t="e">
            <v>#N/A</v>
          </cell>
          <cell r="E1221">
            <v>-1.6007061068702406</v>
          </cell>
          <cell r="F1221">
            <v>2.1905152671755861</v>
          </cell>
          <cell r="G1221">
            <v>0.27028625954199137</v>
          </cell>
          <cell r="H1221">
            <v>0.27028625954199137</v>
          </cell>
          <cell r="I1221" t="e">
            <v>#N/A</v>
          </cell>
          <cell r="J1221" t="e">
            <v>#N/A</v>
          </cell>
          <cell r="K1221">
            <v>1.54</v>
          </cell>
          <cell r="L1221">
            <v>0.76</v>
          </cell>
          <cell r="M1221" t="e">
            <v>#N/A</v>
          </cell>
          <cell r="N1221">
            <v>1.2</v>
          </cell>
          <cell r="O1221" t="e">
            <v>#N/A</v>
          </cell>
          <cell r="P1221" t="str">
            <v/>
          </cell>
          <cell r="Q1221" t="str">
            <v/>
          </cell>
          <cell r="R1221">
            <v>1.19</v>
          </cell>
        </row>
        <row r="1222">
          <cell r="A1222" t="str">
            <v/>
          </cell>
          <cell r="B1222" t="str">
            <v/>
          </cell>
          <cell r="C1222" t="str">
            <v>Future</v>
          </cell>
          <cell r="D1222" t="e">
            <v>#N/A</v>
          </cell>
          <cell r="E1222">
            <v>-1.6048854961832177</v>
          </cell>
          <cell r="F1222">
            <v>2.1922137404580289</v>
          </cell>
          <cell r="G1222">
            <v>0.26900763358779289</v>
          </cell>
          <cell r="H1222">
            <v>0.26900763358779289</v>
          </cell>
          <cell r="I1222" t="e">
            <v>#N/A</v>
          </cell>
          <cell r="J1222" t="e">
            <v>#N/A</v>
          </cell>
          <cell r="K1222">
            <v>1.54</v>
          </cell>
          <cell r="L1222">
            <v>0.76</v>
          </cell>
          <cell r="M1222" t="e">
            <v>#N/A</v>
          </cell>
          <cell r="N1222">
            <v>1.2</v>
          </cell>
          <cell r="O1222" t="e">
            <v>#N/A</v>
          </cell>
          <cell r="P1222" t="str">
            <v/>
          </cell>
          <cell r="Q1222" t="str">
            <v/>
          </cell>
          <cell r="R1222">
            <v>1.19</v>
          </cell>
        </row>
        <row r="1223">
          <cell r="A1223" t="str">
            <v/>
          </cell>
          <cell r="B1223" t="str">
            <v/>
          </cell>
          <cell r="C1223" t="str">
            <v>Future</v>
          </cell>
          <cell r="D1223" t="e">
            <v>#N/A</v>
          </cell>
          <cell r="E1223">
            <v>-1.6090648854961949</v>
          </cell>
          <cell r="F1223">
            <v>2.1939122137404716</v>
          </cell>
          <cell r="G1223">
            <v>0.26772900763359442</v>
          </cell>
          <cell r="H1223">
            <v>0.26772900763359442</v>
          </cell>
          <cell r="I1223" t="e">
            <v>#N/A</v>
          </cell>
          <cell r="J1223" t="e">
            <v>#N/A</v>
          </cell>
          <cell r="K1223">
            <v>1.54</v>
          </cell>
          <cell r="L1223">
            <v>0.76</v>
          </cell>
          <cell r="M1223" t="e">
            <v>#N/A</v>
          </cell>
          <cell r="N1223">
            <v>1.2</v>
          </cell>
          <cell r="O1223" t="e">
            <v>#N/A</v>
          </cell>
          <cell r="P1223" t="str">
            <v/>
          </cell>
          <cell r="Q1223" t="str">
            <v/>
          </cell>
          <cell r="R1223">
            <v>1.19</v>
          </cell>
        </row>
        <row r="1224">
          <cell r="A1224" t="str">
            <v/>
          </cell>
          <cell r="B1224" t="str">
            <v/>
          </cell>
          <cell r="C1224" t="str">
            <v>Future</v>
          </cell>
          <cell r="D1224" t="e">
            <v>#N/A</v>
          </cell>
          <cell r="E1224">
            <v>-1.613244274809172</v>
          </cell>
          <cell r="F1224">
            <v>2.1956106870229144</v>
          </cell>
          <cell r="G1224">
            <v>0.26645038167939594</v>
          </cell>
          <cell r="H1224">
            <v>0.26645038167939594</v>
          </cell>
          <cell r="I1224" t="e">
            <v>#N/A</v>
          </cell>
          <cell r="J1224" t="e">
            <v>#N/A</v>
          </cell>
          <cell r="K1224">
            <v>1.54</v>
          </cell>
          <cell r="L1224">
            <v>0.76</v>
          </cell>
          <cell r="M1224" t="e">
            <v>#N/A</v>
          </cell>
          <cell r="N1224">
            <v>1.2</v>
          </cell>
          <cell r="O1224" t="e">
            <v>#N/A</v>
          </cell>
          <cell r="P1224" t="str">
            <v/>
          </cell>
          <cell r="Q1224" t="str">
            <v/>
          </cell>
          <cell r="R1224">
            <v>1.19</v>
          </cell>
        </row>
        <row r="1225">
          <cell r="A1225" t="str">
            <v/>
          </cell>
          <cell r="B1225" t="str">
            <v/>
          </cell>
          <cell r="C1225" t="str">
            <v>Future</v>
          </cell>
          <cell r="D1225" t="e">
            <v>#N/A</v>
          </cell>
          <cell r="E1225">
            <v>-1.6174236641221491</v>
          </cell>
          <cell r="F1225">
            <v>2.1973091603053572</v>
          </cell>
          <cell r="G1225">
            <v>0.26517175572519747</v>
          </cell>
          <cell r="H1225">
            <v>0.26517175572519747</v>
          </cell>
          <cell r="I1225" t="e">
            <v>#N/A</v>
          </cell>
          <cell r="J1225" t="e">
            <v>#N/A</v>
          </cell>
          <cell r="K1225">
            <v>1.54</v>
          </cell>
          <cell r="L1225">
            <v>0.76</v>
          </cell>
          <cell r="M1225" t="e">
            <v>#N/A</v>
          </cell>
          <cell r="N1225">
            <v>1.2</v>
          </cell>
          <cell r="O1225" t="e">
            <v>#N/A</v>
          </cell>
          <cell r="P1225" t="str">
            <v/>
          </cell>
          <cell r="Q1225" t="str">
            <v/>
          </cell>
          <cell r="R1225">
            <v>1.19</v>
          </cell>
        </row>
        <row r="1226">
          <cell r="A1226" t="str">
            <v/>
          </cell>
          <cell r="B1226" t="str">
            <v/>
          </cell>
          <cell r="C1226" t="str">
            <v>Future</v>
          </cell>
          <cell r="D1226" t="e">
            <v>#N/A</v>
          </cell>
          <cell r="E1226">
            <v>-1.6216030534351262</v>
          </cell>
          <cell r="F1226">
            <v>2.1990076335877999</v>
          </cell>
          <cell r="G1226">
            <v>0.26389312977099899</v>
          </cell>
          <cell r="H1226">
            <v>0.26389312977099899</v>
          </cell>
          <cell r="I1226" t="e">
            <v>#N/A</v>
          </cell>
          <cell r="J1226" t="e">
            <v>#N/A</v>
          </cell>
          <cell r="K1226">
            <v>1.54</v>
          </cell>
          <cell r="L1226">
            <v>0.76</v>
          </cell>
          <cell r="M1226" t="e">
            <v>#N/A</v>
          </cell>
          <cell r="N1226">
            <v>1.2</v>
          </cell>
          <cell r="O1226" t="e">
            <v>#N/A</v>
          </cell>
          <cell r="P1226" t="str">
            <v/>
          </cell>
          <cell r="Q1226" t="str">
            <v/>
          </cell>
          <cell r="R1226">
            <v>1.19</v>
          </cell>
        </row>
        <row r="1227">
          <cell r="A1227" t="str">
            <v/>
          </cell>
          <cell r="B1227" t="str">
            <v/>
          </cell>
          <cell r="C1227" t="str">
            <v>Future</v>
          </cell>
          <cell r="D1227" t="e">
            <v>#N/A</v>
          </cell>
          <cell r="E1227">
            <v>-1.6257824427481034</v>
          </cell>
          <cell r="F1227">
            <v>2.2007061068702427</v>
          </cell>
          <cell r="G1227">
            <v>0.26261450381680052</v>
          </cell>
          <cell r="H1227">
            <v>0.26261450381680052</v>
          </cell>
          <cell r="I1227" t="e">
            <v>#N/A</v>
          </cell>
          <cell r="J1227" t="e">
            <v>#N/A</v>
          </cell>
          <cell r="K1227">
            <v>1.54</v>
          </cell>
          <cell r="L1227">
            <v>0.76</v>
          </cell>
          <cell r="M1227" t="e">
            <v>#N/A</v>
          </cell>
          <cell r="N1227">
            <v>1.2</v>
          </cell>
          <cell r="O1227" t="e">
            <v>#N/A</v>
          </cell>
          <cell r="P1227" t="str">
            <v/>
          </cell>
          <cell r="Q1227" t="str">
            <v/>
          </cell>
          <cell r="R1227">
            <v>1.19</v>
          </cell>
        </row>
        <row r="1228">
          <cell r="A1228" t="str">
            <v/>
          </cell>
          <cell r="B1228" t="str">
            <v/>
          </cell>
          <cell r="C1228" t="str">
            <v>Future</v>
          </cell>
          <cell r="D1228" t="e">
            <v>#N/A</v>
          </cell>
          <cell r="E1228">
            <v>-1.6299618320610805</v>
          </cell>
          <cell r="F1228">
            <v>2.2024045801526855</v>
          </cell>
          <cell r="G1228">
            <v>0.26133587786260204</v>
          </cell>
          <cell r="H1228">
            <v>0.26133587786260204</v>
          </cell>
          <cell r="I1228" t="e">
            <v>#N/A</v>
          </cell>
          <cell r="J1228" t="e">
            <v>#N/A</v>
          </cell>
          <cell r="K1228">
            <v>1.54</v>
          </cell>
          <cell r="L1228">
            <v>0.76</v>
          </cell>
          <cell r="M1228" t="e">
            <v>#N/A</v>
          </cell>
          <cell r="N1228">
            <v>1.2</v>
          </cell>
          <cell r="O1228" t="e">
            <v>#N/A</v>
          </cell>
          <cell r="P1228" t="str">
            <v/>
          </cell>
          <cell r="Q1228" t="str">
            <v/>
          </cell>
          <cell r="R1228">
            <v>1.19</v>
          </cell>
        </row>
        <row r="1229">
          <cell r="A1229" t="str">
            <v/>
          </cell>
          <cell r="B1229" t="str">
            <v/>
          </cell>
          <cell r="C1229" t="str">
            <v>Future</v>
          </cell>
          <cell r="D1229" t="e">
            <v>#N/A</v>
          </cell>
          <cell r="E1229">
            <v>-1.6341412213740576</v>
          </cell>
          <cell r="F1229">
            <v>2.2041030534351282</v>
          </cell>
          <cell r="G1229">
            <v>0.26005725190840356</v>
          </cell>
          <cell r="H1229">
            <v>0.26005725190840356</v>
          </cell>
          <cell r="I1229" t="e">
            <v>#N/A</v>
          </cell>
          <cell r="J1229" t="e">
            <v>#N/A</v>
          </cell>
          <cell r="K1229">
            <v>1.54</v>
          </cell>
          <cell r="L1229">
            <v>0.76</v>
          </cell>
          <cell r="M1229" t="e">
            <v>#N/A</v>
          </cell>
          <cell r="N1229">
            <v>1.2</v>
          </cell>
          <cell r="O1229" t="e">
            <v>#N/A</v>
          </cell>
          <cell r="P1229" t="str">
            <v/>
          </cell>
          <cell r="Q1229" t="str">
            <v/>
          </cell>
          <cell r="R1229">
            <v>1.19</v>
          </cell>
        </row>
        <row r="1230">
          <cell r="A1230" t="str">
            <v/>
          </cell>
          <cell r="B1230" t="str">
            <v/>
          </cell>
          <cell r="C1230" t="str">
            <v>Future</v>
          </cell>
          <cell r="D1230" t="e">
            <v>#N/A</v>
          </cell>
          <cell r="E1230">
            <v>-1.6383206106870347</v>
          </cell>
          <cell r="F1230">
            <v>2.205801526717571</v>
          </cell>
          <cell r="G1230">
            <v>0.25877862595420509</v>
          </cell>
          <cell r="H1230">
            <v>0.25877862595420509</v>
          </cell>
          <cell r="I1230" t="e">
            <v>#N/A</v>
          </cell>
          <cell r="J1230" t="e">
            <v>#N/A</v>
          </cell>
          <cell r="K1230">
            <v>1.54</v>
          </cell>
          <cell r="L1230">
            <v>0.76</v>
          </cell>
          <cell r="M1230" t="e">
            <v>#N/A</v>
          </cell>
          <cell r="N1230">
            <v>1.2</v>
          </cell>
          <cell r="O1230" t="e">
            <v>#N/A</v>
          </cell>
          <cell r="P1230" t="str">
            <v/>
          </cell>
          <cell r="Q1230" t="str">
            <v/>
          </cell>
          <cell r="R1230">
            <v>1.19</v>
          </cell>
        </row>
        <row r="1231">
          <cell r="A1231" t="str">
            <v/>
          </cell>
          <cell r="B1231" t="str">
            <v/>
          </cell>
          <cell r="C1231" t="str">
            <v>Future</v>
          </cell>
          <cell r="D1231" t="e">
            <v>#N/A</v>
          </cell>
          <cell r="E1231">
            <v>-1.6425000000000118</v>
          </cell>
          <cell r="F1231">
            <v>2.2075000000000138</v>
          </cell>
          <cell r="G1231">
            <v>0.25750000000000661</v>
          </cell>
          <cell r="H1231">
            <v>0.25750000000000661</v>
          </cell>
          <cell r="I1231" t="e">
            <v>#N/A</v>
          </cell>
          <cell r="J1231" t="e">
            <v>#N/A</v>
          </cell>
          <cell r="K1231">
            <v>1.54</v>
          </cell>
          <cell r="L1231">
            <v>0.76</v>
          </cell>
          <cell r="M1231" t="e">
            <v>#N/A</v>
          </cell>
          <cell r="N1231">
            <v>1.2</v>
          </cell>
          <cell r="O1231" t="e">
            <v>#N/A</v>
          </cell>
          <cell r="P1231" t="str">
            <v/>
          </cell>
          <cell r="Q1231" t="str">
            <v/>
          </cell>
          <cell r="R1231">
            <v>1.19</v>
          </cell>
        </row>
        <row r="1232">
          <cell r="A1232" t="str">
            <v/>
          </cell>
          <cell r="B1232" t="str">
            <v/>
          </cell>
          <cell r="C1232" t="str">
            <v>Future</v>
          </cell>
          <cell r="D1232" t="e">
            <v>#N/A</v>
          </cell>
          <cell r="E1232">
            <v>-1.646679389312989</v>
          </cell>
          <cell r="F1232">
            <v>2.2091984732824566</v>
          </cell>
          <cell r="G1232">
            <v>0.25622137404580814</v>
          </cell>
          <cell r="H1232">
            <v>0.25622137404580814</v>
          </cell>
          <cell r="I1232" t="e">
            <v>#N/A</v>
          </cell>
          <cell r="J1232" t="e">
            <v>#N/A</v>
          </cell>
          <cell r="K1232">
            <v>1.54</v>
          </cell>
          <cell r="L1232">
            <v>0.76</v>
          </cell>
          <cell r="M1232" t="e">
            <v>#N/A</v>
          </cell>
          <cell r="N1232">
            <v>1.2</v>
          </cell>
          <cell r="O1232" t="e">
            <v>#N/A</v>
          </cell>
          <cell r="P1232" t="str">
            <v/>
          </cell>
          <cell r="Q1232" t="str">
            <v/>
          </cell>
          <cell r="R1232">
            <v>1.19</v>
          </cell>
        </row>
        <row r="1233">
          <cell r="A1233" t="str">
            <v/>
          </cell>
          <cell r="B1233" t="str">
            <v/>
          </cell>
          <cell r="C1233" t="str">
            <v>Future</v>
          </cell>
          <cell r="D1233" t="e">
            <v>#N/A</v>
          </cell>
          <cell r="E1233">
            <v>-1.6508587786259661</v>
          </cell>
          <cell r="F1233">
            <v>2.2108969465648993</v>
          </cell>
          <cell r="G1233">
            <v>0.25494274809160966</v>
          </cell>
          <cell r="H1233">
            <v>0.25494274809160966</v>
          </cell>
          <cell r="I1233" t="e">
            <v>#N/A</v>
          </cell>
          <cell r="J1233" t="e">
            <v>#N/A</v>
          </cell>
          <cell r="K1233">
            <v>1.54</v>
          </cell>
          <cell r="L1233">
            <v>0.76</v>
          </cell>
          <cell r="M1233" t="e">
            <v>#N/A</v>
          </cell>
          <cell r="N1233">
            <v>1.2</v>
          </cell>
          <cell r="O1233" t="e">
            <v>#N/A</v>
          </cell>
          <cell r="P1233" t="str">
            <v/>
          </cell>
          <cell r="Q1233" t="str">
            <v/>
          </cell>
          <cell r="R1233">
            <v>1.19</v>
          </cell>
        </row>
        <row r="1234">
          <cell r="A1234" t="str">
            <v/>
          </cell>
          <cell r="B1234" t="str">
            <v/>
          </cell>
          <cell r="C1234" t="str">
            <v>Future</v>
          </cell>
          <cell r="D1234" t="e">
            <v>#N/A</v>
          </cell>
          <cell r="E1234">
            <v>-1.6550381679389432</v>
          </cell>
          <cell r="F1234">
            <v>2.2125954198473421</v>
          </cell>
          <cell r="G1234">
            <v>0.25366412213741119</v>
          </cell>
          <cell r="H1234">
            <v>0.25366412213741119</v>
          </cell>
          <cell r="I1234" t="e">
            <v>#N/A</v>
          </cell>
          <cell r="J1234" t="e">
            <v>#N/A</v>
          </cell>
          <cell r="K1234">
            <v>1.54</v>
          </cell>
          <cell r="L1234">
            <v>0.76</v>
          </cell>
          <cell r="M1234" t="e">
            <v>#N/A</v>
          </cell>
          <cell r="N1234">
            <v>1.2</v>
          </cell>
          <cell r="O1234" t="e">
            <v>#N/A</v>
          </cell>
          <cell r="P1234" t="str">
            <v/>
          </cell>
          <cell r="Q1234" t="str">
            <v/>
          </cell>
          <cell r="R1234">
            <v>1.19</v>
          </cell>
        </row>
        <row r="1235">
          <cell r="A1235" t="str">
            <v/>
          </cell>
          <cell r="B1235" t="str">
            <v/>
          </cell>
          <cell r="C1235" t="str">
            <v>Future</v>
          </cell>
          <cell r="D1235" t="e">
            <v>#N/A</v>
          </cell>
          <cell r="E1235">
            <v>-1.6592175572519203</v>
          </cell>
          <cell r="F1235">
            <v>2.2142938931297849</v>
          </cell>
          <cell r="G1235">
            <v>0.25238549618321271</v>
          </cell>
          <cell r="H1235">
            <v>0.25238549618321271</v>
          </cell>
          <cell r="I1235" t="e">
            <v>#N/A</v>
          </cell>
          <cell r="J1235" t="e">
            <v>#N/A</v>
          </cell>
          <cell r="K1235">
            <v>1.54</v>
          </cell>
          <cell r="L1235">
            <v>0.76</v>
          </cell>
          <cell r="M1235" t="e">
            <v>#N/A</v>
          </cell>
          <cell r="N1235">
            <v>1.2</v>
          </cell>
          <cell r="O1235" t="e">
            <v>#N/A</v>
          </cell>
          <cell r="P1235" t="str">
            <v/>
          </cell>
          <cell r="Q1235" t="str">
            <v/>
          </cell>
          <cell r="R1235">
            <v>1.19</v>
          </cell>
        </row>
        <row r="1236">
          <cell r="A1236" t="str">
            <v/>
          </cell>
          <cell r="B1236" t="str">
            <v/>
          </cell>
          <cell r="C1236" t="str">
            <v>Future</v>
          </cell>
          <cell r="D1236" t="e">
            <v>#N/A</v>
          </cell>
          <cell r="E1236">
            <v>-1.6633969465648974</v>
          </cell>
          <cell r="F1236">
            <v>2.2159923664122276</v>
          </cell>
          <cell r="G1236">
            <v>0.25110687022901423</v>
          </cell>
          <cell r="H1236">
            <v>0.25110687022901423</v>
          </cell>
          <cell r="I1236" t="e">
            <v>#N/A</v>
          </cell>
          <cell r="J1236" t="e">
            <v>#N/A</v>
          </cell>
          <cell r="K1236">
            <v>1.54</v>
          </cell>
          <cell r="L1236">
            <v>0.76</v>
          </cell>
          <cell r="M1236" t="e">
            <v>#N/A</v>
          </cell>
          <cell r="N1236">
            <v>1.2</v>
          </cell>
          <cell r="O1236" t="e">
            <v>#N/A</v>
          </cell>
          <cell r="P1236" t="str">
            <v/>
          </cell>
          <cell r="Q1236" t="str">
            <v/>
          </cell>
          <cell r="R1236">
            <v>1.19</v>
          </cell>
        </row>
        <row r="1237">
          <cell r="A1237" t="str">
            <v/>
          </cell>
          <cell r="B1237" t="str">
            <v/>
          </cell>
          <cell r="C1237" t="str">
            <v>Future</v>
          </cell>
          <cell r="D1237" t="e">
            <v>#N/A</v>
          </cell>
          <cell r="E1237">
            <v>-1.6675763358778746</v>
          </cell>
          <cell r="F1237">
            <v>2.2176908396946704</v>
          </cell>
          <cell r="G1237">
            <v>0.24982824427481576</v>
          </cell>
          <cell r="H1237">
            <v>0.24982824427481576</v>
          </cell>
          <cell r="I1237" t="e">
            <v>#N/A</v>
          </cell>
          <cell r="J1237" t="e">
            <v>#N/A</v>
          </cell>
          <cell r="K1237">
            <v>1.54</v>
          </cell>
          <cell r="L1237">
            <v>0.76</v>
          </cell>
          <cell r="M1237" t="e">
            <v>#N/A</v>
          </cell>
          <cell r="N1237">
            <v>1.2</v>
          </cell>
          <cell r="O1237" t="e">
            <v>#N/A</v>
          </cell>
          <cell r="P1237" t="str">
            <v/>
          </cell>
          <cell r="Q1237" t="str">
            <v/>
          </cell>
          <cell r="R1237">
            <v>1.19</v>
          </cell>
        </row>
        <row r="1238">
          <cell r="A1238" t="str">
            <v/>
          </cell>
          <cell r="B1238" t="str">
            <v/>
          </cell>
          <cell r="C1238" t="str">
            <v>Future</v>
          </cell>
          <cell r="D1238" t="e">
            <v>#N/A</v>
          </cell>
          <cell r="E1238">
            <v>-1.6717557251908517</v>
          </cell>
          <cell r="F1238">
            <v>2.2193893129771132</v>
          </cell>
          <cell r="G1238">
            <v>0.24854961832061728</v>
          </cell>
          <cell r="H1238">
            <v>0.24854961832061728</v>
          </cell>
          <cell r="I1238" t="e">
            <v>#N/A</v>
          </cell>
          <cell r="J1238" t="e">
            <v>#N/A</v>
          </cell>
          <cell r="K1238">
            <v>1.54</v>
          </cell>
          <cell r="L1238">
            <v>0.76</v>
          </cell>
          <cell r="M1238" t="e">
            <v>#N/A</v>
          </cell>
          <cell r="N1238">
            <v>1.2</v>
          </cell>
          <cell r="O1238" t="e">
            <v>#N/A</v>
          </cell>
          <cell r="P1238" t="str">
            <v/>
          </cell>
          <cell r="Q1238" t="str">
            <v/>
          </cell>
          <cell r="R1238">
            <v>1.19</v>
          </cell>
        </row>
        <row r="1239">
          <cell r="A1239" t="str">
            <v/>
          </cell>
          <cell r="B1239" t="str">
            <v/>
          </cell>
          <cell r="C1239" t="str">
            <v>Future</v>
          </cell>
          <cell r="D1239" t="e">
            <v>#N/A</v>
          </cell>
          <cell r="E1239">
            <v>-1.6759351145038288</v>
          </cell>
          <cell r="F1239">
            <v>2.2210877862595559</v>
          </cell>
          <cell r="G1239">
            <v>0.24727099236641881</v>
          </cell>
          <cell r="H1239">
            <v>0.24727099236641881</v>
          </cell>
          <cell r="I1239" t="e">
            <v>#N/A</v>
          </cell>
          <cell r="J1239" t="e">
            <v>#N/A</v>
          </cell>
          <cell r="K1239">
            <v>1.54</v>
          </cell>
          <cell r="L1239">
            <v>0.76</v>
          </cell>
          <cell r="M1239" t="e">
            <v>#N/A</v>
          </cell>
          <cell r="N1239">
            <v>1.2</v>
          </cell>
          <cell r="O1239" t="e">
            <v>#N/A</v>
          </cell>
          <cell r="P1239" t="str">
            <v/>
          </cell>
          <cell r="Q1239" t="str">
            <v/>
          </cell>
          <cell r="R1239">
            <v>1.19</v>
          </cell>
        </row>
        <row r="1240">
          <cell r="A1240" t="str">
            <v/>
          </cell>
          <cell r="B1240" t="str">
            <v/>
          </cell>
          <cell r="C1240" t="str">
            <v>Future</v>
          </cell>
          <cell r="D1240" t="e">
            <v>#N/A</v>
          </cell>
          <cell r="E1240">
            <v>-1.6801145038168059</v>
          </cell>
          <cell r="F1240">
            <v>2.2227862595419987</v>
          </cell>
          <cell r="G1240">
            <v>0.24599236641222033</v>
          </cell>
          <cell r="H1240">
            <v>0.24599236641222033</v>
          </cell>
          <cell r="I1240" t="e">
            <v>#N/A</v>
          </cell>
          <cell r="J1240" t="e">
            <v>#N/A</v>
          </cell>
          <cell r="K1240">
            <v>1.54</v>
          </cell>
          <cell r="L1240">
            <v>0.76</v>
          </cell>
          <cell r="M1240" t="e">
            <v>#N/A</v>
          </cell>
          <cell r="N1240">
            <v>1.2</v>
          </cell>
          <cell r="O1240" t="e">
            <v>#N/A</v>
          </cell>
          <cell r="P1240" t="str">
            <v/>
          </cell>
          <cell r="Q1240" t="str">
            <v/>
          </cell>
          <cell r="R1240">
            <v>1.19</v>
          </cell>
        </row>
        <row r="1241">
          <cell r="A1241" t="str">
            <v/>
          </cell>
          <cell r="B1241" t="str">
            <v/>
          </cell>
          <cell r="C1241" t="str">
            <v>Future</v>
          </cell>
          <cell r="D1241" t="e">
            <v>#N/A</v>
          </cell>
          <cell r="E1241">
            <v>-1.6842938931297831</v>
          </cell>
          <cell r="F1241">
            <v>2.2244847328244415</v>
          </cell>
          <cell r="G1241">
            <v>0.24471374045802186</v>
          </cell>
          <cell r="H1241">
            <v>0.24471374045802186</v>
          </cell>
          <cell r="I1241" t="e">
            <v>#N/A</v>
          </cell>
          <cell r="J1241" t="e">
            <v>#N/A</v>
          </cell>
          <cell r="K1241">
            <v>1.54</v>
          </cell>
          <cell r="L1241">
            <v>0.76</v>
          </cell>
          <cell r="M1241" t="e">
            <v>#N/A</v>
          </cell>
          <cell r="N1241">
            <v>1.2</v>
          </cell>
          <cell r="O1241" t="e">
            <v>#N/A</v>
          </cell>
          <cell r="P1241" t="str">
            <v/>
          </cell>
          <cell r="Q1241" t="str">
            <v/>
          </cell>
          <cell r="R1241">
            <v>1.19</v>
          </cell>
        </row>
        <row r="1242">
          <cell r="A1242" t="str">
            <v/>
          </cell>
          <cell r="B1242" t="str">
            <v/>
          </cell>
          <cell r="C1242" t="str">
            <v>Future</v>
          </cell>
          <cell r="D1242" t="e">
            <v>#N/A</v>
          </cell>
          <cell r="E1242">
            <v>-1.6884732824427602</v>
          </cell>
          <cell r="F1242">
            <v>2.2261832061068842</v>
          </cell>
          <cell r="G1242">
            <v>0.24343511450382338</v>
          </cell>
          <cell r="H1242">
            <v>0.24343511450382338</v>
          </cell>
          <cell r="I1242" t="e">
            <v>#N/A</v>
          </cell>
          <cell r="J1242" t="e">
            <v>#N/A</v>
          </cell>
          <cell r="K1242">
            <v>1.54</v>
          </cell>
          <cell r="L1242">
            <v>0.76</v>
          </cell>
          <cell r="M1242" t="e">
            <v>#N/A</v>
          </cell>
          <cell r="N1242">
            <v>1.2</v>
          </cell>
          <cell r="O1242" t="e">
            <v>#N/A</v>
          </cell>
          <cell r="P1242" t="str">
            <v/>
          </cell>
          <cell r="Q1242" t="str">
            <v/>
          </cell>
          <cell r="R1242">
            <v>1.19</v>
          </cell>
        </row>
        <row r="1243">
          <cell r="A1243" t="str">
            <v/>
          </cell>
          <cell r="B1243" t="str">
            <v/>
          </cell>
          <cell r="C1243" t="str">
            <v>Future</v>
          </cell>
          <cell r="D1243" t="e">
            <v>#N/A</v>
          </cell>
          <cell r="E1243">
            <v>-1.6926526717557373</v>
          </cell>
          <cell r="F1243">
            <v>2.227881679389327</v>
          </cell>
          <cell r="G1243">
            <v>0.2421564885496249</v>
          </cell>
          <cell r="H1243">
            <v>0.2421564885496249</v>
          </cell>
          <cell r="I1243" t="e">
            <v>#N/A</v>
          </cell>
          <cell r="J1243" t="e">
            <v>#N/A</v>
          </cell>
          <cell r="K1243">
            <v>1.54</v>
          </cell>
          <cell r="L1243">
            <v>0.76</v>
          </cell>
          <cell r="M1243" t="e">
            <v>#N/A</v>
          </cell>
          <cell r="N1243">
            <v>1.2</v>
          </cell>
          <cell r="O1243" t="e">
            <v>#N/A</v>
          </cell>
          <cell r="P1243" t="str">
            <v/>
          </cell>
          <cell r="Q1243" t="str">
            <v/>
          </cell>
          <cell r="R1243">
            <v>1.19</v>
          </cell>
        </row>
        <row r="1244">
          <cell r="A1244" t="str">
            <v/>
          </cell>
          <cell r="B1244" t="str">
            <v/>
          </cell>
          <cell r="C1244" t="str">
            <v>Future</v>
          </cell>
          <cell r="D1244" t="e">
            <v>#N/A</v>
          </cell>
          <cell r="E1244">
            <v>-1.6968320610687144</v>
          </cell>
          <cell r="F1244">
            <v>2.2295801526717698</v>
          </cell>
          <cell r="G1244">
            <v>0.24087786259542643</v>
          </cell>
          <cell r="H1244">
            <v>0.24087786259542643</v>
          </cell>
          <cell r="I1244" t="e">
            <v>#N/A</v>
          </cell>
          <cell r="J1244" t="e">
            <v>#N/A</v>
          </cell>
          <cell r="K1244">
            <v>1.54</v>
          </cell>
          <cell r="L1244">
            <v>0.76</v>
          </cell>
          <cell r="M1244" t="e">
            <v>#N/A</v>
          </cell>
          <cell r="N1244">
            <v>1.2</v>
          </cell>
          <cell r="O1244" t="e">
            <v>#N/A</v>
          </cell>
          <cell r="P1244" t="str">
            <v/>
          </cell>
          <cell r="Q1244" t="str">
            <v/>
          </cell>
          <cell r="R1244">
            <v>1.19</v>
          </cell>
        </row>
        <row r="1245">
          <cell r="A1245" t="str">
            <v/>
          </cell>
          <cell r="B1245" t="str">
            <v/>
          </cell>
          <cell r="C1245" t="str">
            <v>Future</v>
          </cell>
          <cell r="D1245" t="e">
            <v>#N/A</v>
          </cell>
          <cell r="E1245">
            <v>-1.7010114503816915</v>
          </cell>
          <cell r="F1245">
            <v>2.2312786259542126</v>
          </cell>
          <cell r="G1245">
            <v>0.23959923664122795</v>
          </cell>
          <cell r="H1245">
            <v>0.23959923664122795</v>
          </cell>
          <cell r="I1245" t="e">
            <v>#N/A</v>
          </cell>
          <cell r="J1245" t="e">
            <v>#N/A</v>
          </cell>
          <cell r="K1245">
            <v>1.54</v>
          </cell>
          <cell r="L1245">
            <v>0.76</v>
          </cell>
          <cell r="M1245" t="e">
            <v>#N/A</v>
          </cell>
          <cell r="N1245">
            <v>1.2</v>
          </cell>
          <cell r="O1245" t="e">
            <v>#N/A</v>
          </cell>
          <cell r="P1245" t="str">
            <v/>
          </cell>
          <cell r="Q1245" t="str">
            <v/>
          </cell>
          <cell r="R1245">
            <v>1.19</v>
          </cell>
        </row>
        <row r="1246">
          <cell r="A1246" t="str">
            <v/>
          </cell>
          <cell r="B1246" t="str">
            <v/>
          </cell>
          <cell r="C1246" t="str">
            <v>Future</v>
          </cell>
          <cell r="D1246" t="e">
            <v>#N/A</v>
          </cell>
          <cell r="E1246">
            <v>-1.7051908396946687</v>
          </cell>
          <cell r="F1246">
            <v>2.2329770992366553</v>
          </cell>
          <cell r="G1246">
            <v>0.23832061068702948</v>
          </cell>
          <cell r="H1246">
            <v>0.23832061068702948</v>
          </cell>
          <cell r="I1246" t="e">
            <v>#N/A</v>
          </cell>
          <cell r="J1246" t="e">
            <v>#N/A</v>
          </cell>
          <cell r="K1246">
            <v>1.54</v>
          </cell>
          <cell r="L1246">
            <v>0.76</v>
          </cell>
          <cell r="M1246" t="e">
            <v>#N/A</v>
          </cell>
          <cell r="N1246">
            <v>1.2</v>
          </cell>
          <cell r="O1246" t="e">
            <v>#N/A</v>
          </cell>
          <cell r="P1246" t="str">
            <v/>
          </cell>
          <cell r="Q1246" t="str">
            <v/>
          </cell>
          <cell r="R1246">
            <v>1.19</v>
          </cell>
        </row>
        <row r="1247">
          <cell r="A1247" t="str">
            <v/>
          </cell>
          <cell r="B1247" t="str">
            <v/>
          </cell>
          <cell r="C1247" t="str">
            <v>Future</v>
          </cell>
          <cell r="D1247" t="e">
            <v>#N/A</v>
          </cell>
          <cell r="E1247">
            <v>-1.7093702290076458</v>
          </cell>
          <cell r="F1247">
            <v>2.2346755725190981</v>
          </cell>
          <cell r="G1247">
            <v>0.237041984732831</v>
          </cell>
          <cell r="H1247">
            <v>0.237041984732831</v>
          </cell>
          <cell r="I1247" t="e">
            <v>#N/A</v>
          </cell>
          <cell r="J1247" t="e">
            <v>#N/A</v>
          </cell>
          <cell r="K1247">
            <v>1.54</v>
          </cell>
          <cell r="L1247">
            <v>0.76</v>
          </cell>
          <cell r="M1247" t="e">
            <v>#N/A</v>
          </cell>
          <cell r="N1247">
            <v>1.2</v>
          </cell>
          <cell r="O1247" t="e">
            <v>#N/A</v>
          </cell>
          <cell r="P1247" t="str">
            <v/>
          </cell>
          <cell r="Q1247" t="str">
            <v/>
          </cell>
          <cell r="R1247">
            <v>1.19</v>
          </cell>
        </row>
        <row r="1248">
          <cell r="A1248" t="str">
            <v/>
          </cell>
          <cell r="B1248" t="str">
            <v/>
          </cell>
          <cell r="C1248" t="str">
            <v>Future</v>
          </cell>
          <cell r="D1248" t="e">
            <v>#N/A</v>
          </cell>
          <cell r="E1248">
            <v>-1.7135496183206229</v>
          </cell>
          <cell r="F1248">
            <v>2.2363740458015409</v>
          </cell>
          <cell r="G1248">
            <v>0.23576335877863253</v>
          </cell>
          <cell r="H1248">
            <v>0.23576335877863253</v>
          </cell>
          <cell r="I1248" t="e">
            <v>#N/A</v>
          </cell>
          <cell r="J1248" t="e">
            <v>#N/A</v>
          </cell>
          <cell r="K1248">
            <v>1.54</v>
          </cell>
          <cell r="L1248">
            <v>0.76</v>
          </cell>
          <cell r="M1248" t="e">
            <v>#N/A</v>
          </cell>
          <cell r="N1248">
            <v>1.2</v>
          </cell>
          <cell r="O1248" t="e">
            <v>#N/A</v>
          </cell>
          <cell r="P1248" t="str">
            <v/>
          </cell>
          <cell r="Q1248" t="str">
            <v/>
          </cell>
          <cell r="R1248">
            <v>1.19</v>
          </cell>
        </row>
        <row r="1249">
          <cell r="A1249" t="str">
            <v/>
          </cell>
          <cell r="B1249" t="str">
            <v/>
          </cell>
          <cell r="C1249" t="str">
            <v>Future</v>
          </cell>
          <cell r="D1249" t="e">
            <v>#N/A</v>
          </cell>
          <cell r="E1249">
            <v>-1.7177290076336</v>
          </cell>
          <cell r="F1249">
            <v>2.2380725190839836</v>
          </cell>
          <cell r="G1249">
            <v>0.23448473282443405</v>
          </cell>
          <cell r="H1249">
            <v>0.23448473282443405</v>
          </cell>
          <cell r="I1249" t="e">
            <v>#N/A</v>
          </cell>
          <cell r="J1249" t="e">
            <v>#N/A</v>
          </cell>
          <cell r="K1249">
            <v>1.54</v>
          </cell>
          <cell r="L1249">
            <v>0.76</v>
          </cell>
          <cell r="M1249" t="e">
            <v>#N/A</v>
          </cell>
          <cell r="N1249">
            <v>1.2</v>
          </cell>
          <cell r="O1249" t="e">
            <v>#N/A</v>
          </cell>
          <cell r="P1249" t="str">
            <v/>
          </cell>
          <cell r="Q1249" t="str">
            <v/>
          </cell>
          <cell r="R1249">
            <v>1.19</v>
          </cell>
        </row>
        <row r="1250">
          <cell r="A1250" t="str">
            <v/>
          </cell>
          <cell r="B1250" t="str">
            <v/>
          </cell>
          <cell r="C1250" t="str">
            <v>Future</v>
          </cell>
          <cell r="D1250" t="e">
            <v>#N/A</v>
          </cell>
          <cell r="E1250">
            <v>-1.7219083969465772</v>
          </cell>
          <cell r="F1250">
            <v>2.2397709923664264</v>
          </cell>
          <cell r="G1250">
            <v>0.23320610687023557</v>
          </cell>
          <cell r="H1250">
            <v>0.23320610687023557</v>
          </cell>
          <cell r="I1250" t="e">
            <v>#N/A</v>
          </cell>
          <cell r="J1250" t="e">
            <v>#N/A</v>
          </cell>
          <cell r="K1250">
            <v>1.54</v>
          </cell>
          <cell r="L1250">
            <v>0.76</v>
          </cell>
          <cell r="M1250" t="e">
            <v>#N/A</v>
          </cell>
          <cell r="N1250">
            <v>1.2</v>
          </cell>
          <cell r="O1250" t="e">
            <v>#N/A</v>
          </cell>
          <cell r="P1250" t="str">
            <v/>
          </cell>
          <cell r="Q1250" t="str">
            <v/>
          </cell>
          <cell r="R1250">
            <v>1.19</v>
          </cell>
        </row>
        <row r="1251">
          <cell r="A1251" t="str">
            <v/>
          </cell>
          <cell r="B1251" t="str">
            <v/>
          </cell>
          <cell r="C1251" t="str">
            <v>Future</v>
          </cell>
          <cell r="D1251" t="e">
            <v>#N/A</v>
          </cell>
          <cell r="E1251">
            <v>-1.7260877862595543</v>
          </cell>
          <cell r="F1251">
            <v>2.2414694656488692</v>
          </cell>
          <cell r="G1251">
            <v>0.2319274809160371</v>
          </cell>
          <cell r="H1251">
            <v>0.2319274809160371</v>
          </cell>
          <cell r="I1251" t="e">
            <v>#N/A</v>
          </cell>
          <cell r="J1251" t="e">
            <v>#N/A</v>
          </cell>
          <cell r="K1251">
            <v>1.54</v>
          </cell>
          <cell r="L1251">
            <v>0.76</v>
          </cell>
          <cell r="M1251" t="e">
            <v>#N/A</v>
          </cell>
          <cell r="N1251">
            <v>1.2</v>
          </cell>
          <cell r="O1251" t="e">
            <v>#N/A</v>
          </cell>
          <cell r="P1251" t="str">
            <v/>
          </cell>
          <cell r="Q1251" t="str">
            <v/>
          </cell>
          <cell r="R1251">
            <v>1.19</v>
          </cell>
        </row>
        <row r="1252">
          <cell r="A1252" t="str">
            <v/>
          </cell>
          <cell r="B1252" t="str">
            <v/>
          </cell>
          <cell r="C1252" t="str">
            <v>Future</v>
          </cell>
          <cell r="D1252" t="e">
            <v>#N/A</v>
          </cell>
          <cell r="E1252">
            <v>-1.7302671755725314</v>
          </cell>
          <cell r="F1252">
            <v>2.2431679389313119</v>
          </cell>
          <cell r="G1252">
            <v>0.23064885496183862</v>
          </cell>
          <cell r="H1252">
            <v>0.23064885496183862</v>
          </cell>
          <cell r="I1252" t="e">
            <v>#N/A</v>
          </cell>
          <cell r="J1252" t="e">
            <v>#N/A</v>
          </cell>
          <cell r="K1252">
            <v>1.54</v>
          </cell>
          <cell r="L1252">
            <v>0.76</v>
          </cell>
          <cell r="M1252" t="e">
            <v>#N/A</v>
          </cell>
          <cell r="N1252">
            <v>1.2</v>
          </cell>
          <cell r="O1252" t="e">
            <v>#N/A</v>
          </cell>
          <cell r="P1252" t="str">
            <v/>
          </cell>
          <cell r="Q1252" t="str">
            <v/>
          </cell>
          <cell r="R1252">
            <v>1.19</v>
          </cell>
        </row>
        <row r="1253">
          <cell r="A1253" t="str">
            <v/>
          </cell>
          <cell r="P1253" t="str">
            <v/>
          </cell>
          <cell r="Q1253" t="str">
            <v/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_TABLE"/>
      <sheetName val="The Steel Index"/>
      <sheetName val="Iron Ore Data"/>
      <sheetName val="Spot Coke and Coking Data"/>
      <sheetName val="Spot Thermal Data"/>
      <sheetName val="China Spot HRC - CC Analysis"/>
      <sheetName val="Spot Coke Data"/>
      <sheetName val="Coke &amp; Coking Coal Chart"/>
      <sheetName val="Thermal Coal Chart"/>
      <sheetName val="Iron Ore Chart"/>
    </sheetNames>
    <sheetDataSet>
      <sheetData sheetId="0" refreshError="1">
        <row r="4">
          <cell r="M4">
            <v>40274</v>
          </cell>
        </row>
        <row r="1500">
          <cell r="Z1500" t="str">
            <v>Spot Thermal Data</v>
          </cell>
        </row>
      </sheetData>
      <sheetData sheetId="1"/>
      <sheetData sheetId="2"/>
      <sheetData sheetId="3"/>
      <sheetData sheetId="4"/>
      <sheetData sheetId="5" refreshError="1">
        <row r="1">
          <cell r="A1" t="str">
            <v>China Spot 2009e:</v>
          </cell>
        </row>
        <row r="2">
          <cell r="A2" t="str">
            <v>Integrated steelmaking - HRC steel - cost model for 'Average Spot Iron Ore' mill</v>
          </cell>
        </row>
        <row r="3">
          <cell r="A3" t="str">
            <v>Item $/unit</v>
          </cell>
          <cell r="B3" t="str">
            <v>Factor</v>
          </cell>
          <cell r="C3" t="str">
            <v>Unit</v>
          </cell>
          <cell r="D3" t="str">
            <v>Unit cost</v>
          </cell>
          <cell r="E3" t="str">
            <v>Fixed</v>
          </cell>
          <cell r="F3" t="str">
            <v>Variable</v>
          </cell>
          <cell r="G3" t="str">
            <v>Total</v>
          </cell>
        </row>
        <row r="4">
          <cell r="A4" t="str">
            <v>Iron ore</v>
          </cell>
          <cell r="B4">
            <v>1.7</v>
          </cell>
          <cell r="C4" t="str">
            <v>t</v>
          </cell>
          <cell r="D4">
            <v>85</v>
          </cell>
          <cell r="F4">
            <v>144.5</v>
          </cell>
          <cell r="G4">
            <v>144.5</v>
          </cell>
        </row>
        <row r="5">
          <cell r="A5" t="str">
            <v>Iron ore transport</v>
          </cell>
          <cell r="B5">
            <v>1.7</v>
          </cell>
          <cell r="C5" t="str">
            <v>t</v>
          </cell>
          <cell r="D5">
            <v>10</v>
          </cell>
          <cell r="F5">
            <v>17</v>
          </cell>
          <cell r="G5">
            <v>17</v>
          </cell>
        </row>
        <row r="6">
          <cell r="A6" t="str">
            <v>Coking coal</v>
          </cell>
          <cell r="B6">
            <v>0.7</v>
          </cell>
          <cell r="C6" t="str">
            <v>t</v>
          </cell>
          <cell r="D6">
            <v>130</v>
          </cell>
          <cell r="F6">
            <v>91</v>
          </cell>
          <cell r="G6">
            <v>91</v>
          </cell>
        </row>
        <row r="7">
          <cell r="A7" t="str">
            <v>Coking coal transport</v>
          </cell>
          <cell r="B7">
            <v>0.7</v>
          </cell>
          <cell r="C7" t="str">
            <v>t</v>
          </cell>
          <cell r="D7">
            <v>10</v>
          </cell>
          <cell r="F7">
            <v>7</v>
          </cell>
          <cell r="G7">
            <v>7</v>
          </cell>
        </row>
        <row r="8">
          <cell r="A8" t="str">
            <v>Steel scrap</v>
          </cell>
          <cell r="B8">
            <v>0.18</v>
          </cell>
          <cell r="C8" t="str">
            <v>t</v>
          </cell>
          <cell r="D8">
            <v>250</v>
          </cell>
          <cell r="F8">
            <v>45</v>
          </cell>
          <cell r="G8">
            <v>45</v>
          </cell>
        </row>
        <row r="9">
          <cell r="A9" t="str">
            <v>Scrap delivery</v>
          </cell>
          <cell r="B9">
            <v>0.18</v>
          </cell>
          <cell r="C9" t="str">
            <v>t</v>
          </cell>
          <cell r="D9">
            <v>10</v>
          </cell>
          <cell r="F9">
            <v>1.7999999999999998</v>
          </cell>
          <cell r="G9">
            <v>1.7999999999999998</v>
          </cell>
        </row>
        <row r="10">
          <cell r="A10" t="str">
            <v>Oxygen</v>
          </cell>
          <cell r="B10">
            <v>210</v>
          </cell>
          <cell r="C10" t="str">
            <v>m 3</v>
          </cell>
          <cell r="D10">
            <v>0.1</v>
          </cell>
          <cell r="F10">
            <v>21</v>
          </cell>
          <cell r="G10">
            <v>21</v>
          </cell>
        </row>
        <row r="11">
          <cell r="A11" t="str">
            <v>Ferroalloys</v>
          </cell>
          <cell r="B11">
            <v>1.0999999999999999E-2</v>
          </cell>
          <cell r="C11" t="str">
            <v>t</v>
          </cell>
          <cell r="D11">
            <v>2500</v>
          </cell>
          <cell r="F11">
            <v>27.5</v>
          </cell>
          <cell r="G11">
            <v>27.5</v>
          </cell>
        </row>
        <row r="12">
          <cell r="A12" t="str">
            <v>Fluxes</v>
          </cell>
          <cell r="B12">
            <v>0.56000000000000005</v>
          </cell>
          <cell r="C12" t="str">
            <v>t</v>
          </cell>
          <cell r="D12">
            <v>40</v>
          </cell>
          <cell r="F12">
            <v>22.400000000000002</v>
          </cell>
          <cell r="G12">
            <v>22.400000000000002</v>
          </cell>
        </row>
        <row r="13">
          <cell r="A13" t="str">
            <v>Refractories</v>
          </cell>
          <cell r="B13">
            <v>1.0999999999999999E-2</v>
          </cell>
          <cell r="C13" t="str">
            <v>t</v>
          </cell>
          <cell r="D13">
            <v>700</v>
          </cell>
          <cell r="F13">
            <v>7.6999999999999993</v>
          </cell>
          <cell r="G13">
            <v>7.6999999999999993</v>
          </cell>
        </row>
        <row r="14">
          <cell r="A14" t="str">
            <v>Other costs</v>
          </cell>
          <cell r="E14">
            <v>5</v>
          </cell>
          <cell r="F14">
            <v>10</v>
          </cell>
          <cell r="G14">
            <v>15</v>
          </cell>
        </row>
        <row r="15">
          <cell r="A15" t="str">
            <v>By-product credits</v>
          </cell>
          <cell r="F15">
            <v>-25</v>
          </cell>
          <cell r="G15">
            <v>-25</v>
          </cell>
        </row>
        <row r="16">
          <cell r="A16" t="str">
            <v>Electricity</v>
          </cell>
          <cell r="B16">
            <v>0.129</v>
          </cell>
          <cell r="C16" t="str">
            <v>MWh</v>
          </cell>
          <cell r="D16">
            <v>70</v>
          </cell>
          <cell r="E16">
            <v>1.35</v>
          </cell>
          <cell r="F16">
            <v>7.68</v>
          </cell>
          <cell r="G16">
            <v>9.0299999999999994</v>
          </cell>
        </row>
        <row r="17">
          <cell r="A17" t="str">
            <v>Labour</v>
          </cell>
          <cell r="B17">
            <v>0.5</v>
          </cell>
          <cell r="C17" t="str">
            <v>Man hr</v>
          </cell>
          <cell r="D17">
            <v>30</v>
          </cell>
          <cell r="E17">
            <v>3.75</v>
          </cell>
          <cell r="F17">
            <v>11.25</v>
          </cell>
          <cell r="G17">
            <v>15</v>
          </cell>
        </row>
        <row r="18">
          <cell r="A18" t="str">
            <v>Rolling to HRC</v>
          </cell>
          <cell r="E18">
            <v>10</v>
          </cell>
          <cell r="F18">
            <v>40</v>
          </cell>
          <cell r="G18">
            <v>50</v>
          </cell>
        </row>
        <row r="19">
          <cell r="A19" t="str">
            <v>Depreciation</v>
          </cell>
          <cell r="E19">
            <v>18</v>
          </cell>
          <cell r="G19">
            <v>18</v>
          </cell>
        </row>
        <row r="20">
          <cell r="A20" t="str">
            <v>Interest</v>
          </cell>
          <cell r="E20">
            <v>16</v>
          </cell>
          <cell r="G20">
            <v>16</v>
          </cell>
        </row>
        <row r="21">
          <cell r="A21" t="str">
            <v>Total Before VAT</v>
          </cell>
          <cell r="E21">
            <v>54.1</v>
          </cell>
          <cell r="F21">
            <v>428.83</v>
          </cell>
          <cell r="G21">
            <v>482.92999999999995</v>
          </cell>
        </row>
        <row r="23">
          <cell r="A23" t="str">
            <v>17% VAT in China</v>
          </cell>
          <cell r="F23">
            <v>102.00000000000001</v>
          </cell>
          <cell r="G23">
            <v>102.00000000000001</v>
          </cell>
        </row>
        <row r="24">
          <cell r="A24" t="str">
            <v>Total After VAT</v>
          </cell>
          <cell r="E24">
            <v>54.1</v>
          </cell>
          <cell r="F24">
            <v>530.83000000000004</v>
          </cell>
          <cell r="G24">
            <v>584.92999999999995</v>
          </cell>
        </row>
        <row r="26">
          <cell r="I26" t="str">
            <v>Chinese Estimated Cash Cost Using Spot Iron Ore &amp; Coking Coal</v>
          </cell>
        </row>
        <row r="27">
          <cell r="I27" t="str">
            <v>Monthly Time Series from 2007</v>
          </cell>
        </row>
        <row r="28">
          <cell r="J28" t="str">
            <v>Inputs - Not Printed</v>
          </cell>
        </row>
        <row r="29">
          <cell r="J29" t="str">
            <v>Spot HRC Rmb/t - incl'd 17% VAT</v>
          </cell>
          <cell r="K29" t="str">
            <v>Spot Imported Iron Ore - incl'd 17% VAT $/t</v>
          </cell>
          <cell r="L29" t="str">
            <v>Spot Coking Coal - incl'd 17% VAT Rmb/t</v>
          </cell>
          <cell r="M29" t="str">
            <v>Steel Scrap - incl'd 17% VAT RMB/t</v>
          </cell>
          <cell r="N29" t="str">
            <v>FX Rmb/$</v>
          </cell>
          <cell r="O29" t="str">
            <v>HRC $/t - incl'd 17% VAT</v>
          </cell>
          <cell r="P29" t="str">
            <v xml:space="preserve">less: Iron Ore $/t per ton of steel </v>
          </cell>
          <cell r="Q29" t="str">
            <v>less: Coking Coal $/ton of steel</v>
          </cell>
          <cell r="R29" t="str">
            <v>less: Scrap Steel $/ton of steel</v>
          </cell>
          <cell r="S29" t="str">
            <v>Other Costs $/t of steel</v>
          </cell>
          <cell r="T29" t="str">
            <v>Total Cash Costs to HRC</v>
          </cell>
          <cell r="U29" t="str">
            <v>Est. Cash Margin</v>
          </cell>
        </row>
        <row r="31">
          <cell r="I31">
            <v>39083</v>
          </cell>
          <cell r="J31">
            <v>3890</v>
          </cell>
          <cell r="K31">
            <v>73.5</v>
          </cell>
          <cell r="L31">
            <v>783</v>
          </cell>
          <cell r="M31">
            <v>2050</v>
          </cell>
          <cell r="N31">
            <v>7.8159999999999998</v>
          </cell>
          <cell r="O31">
            <v>497.69703172978507</v>
          </cell>
          <cell r="P31">
            <v>124.95</v>
          </cell>
          <cell r="Q31">
            <v>70.125383828045031</v>
          </cell>
          <cell r="R31">
            <v>47.21084953940634</v>
          </cell>
          <cell r="S31">
            <v>205.5409707022194</v>
          </cell>
          <cell r="T31">
            <v>447.82720406967076</v>
          </cell>
          <cell r="U31">
            <v>49.869827660114311</v>
          </cell>
        </row>
        <row r="32">
          <cell r="I32">
            <v>39084</v>
          </cell>
          <cell r="J32">
            <v>3890</v>
          </cell>
          <cell r="K32">
            <v>73.5</v>
          </cell>
          <cell r="L32">
            <v>783</v>
          </cell>
          <cell r="M32">
            <v>2075</v>
          </cell>
          <cell r="N32">
            <v>7.8051000000000004</v>
          </cell>
          <cell r="O32">
            <v>498.392076975311</v>
          </cell>
          <cell r="P32">
            <v>124.95</v>
          </cell>
          <cell r="Q32">
            <v>70.223315524464766</v>
          </cell>
          <cell r="R32">
            <v>47.853326671022792</v>
          </cell>
          <cell r="S32">
            <v>205.53437941245295</v>
          </cell>
          <cell r="T32">
            <v>448.56102160794052</v>
          </cell>
          <cell r="U32">
            <v>49.850441513742453</v>
          </cell>
        </row>
        <row r="33">
          <cell r="I33">
            <v>39085</v>
          </cell>
          <cell r="J33">
            <v>3890</v>
          </cell>
          <cell r="K33">
            <v>73.5</v>
          </cell>
          <cell r="L33">
            <v>783</v>
          </cell>
          <cell r="M33">
            <v>2075</v>
          </cell>
          <cell r="N33">
            <v>7.8051000000000004</v>
          </cell>
          <cell r="O33">
            <v>498.392076975311</v>
          </cell>
          <cell r="P33">
            <v>124.95</v>
          </cell>
          <cell r="Q33">
            <v>70.223315524464766</v>
          </cell>
          <cell r="R33">
            <v>47.853326671022792</v>
          </cell>
          <cell r="S33">
            <v>205.53437941245295</v>
          </cell>
          <cell r="T33">
            <v>448.56102160794052</v>
          </cell>
          <cell r="U33">
            <v>49.843979464951815</v>
          </cell>
        </row>
        <row r="34">
          <cell r="I34">
            <v>39086</v>
          </cell>
          <cell r="J34">
            <v>3990</v>
          </cell>
          <cell r="K34">
            <v>73.5</v>
          </cell>
          <cell r="L34">
            <v>783</v>
          </cell>
          <cell r="M34">
            <v>2075</v>
          </cell>
          <cell r="N34">
            <v>7.8055000000000003</v>
          </cell>
          <cell r="O34">
            <v>511.17801550188966</v>
          </cell>
          <cell r="P34">
            <v>124.95</v>
          </cell>
          <cell r="Q34">
            <v>70.219716866312211</v>
          </cell>
          <cell r="R34">
            <v>47.850874383447568</v>
          </cell>
          <cell r="S34">
            <v>207.39304454945474</v>
          </cell>
          <cell r="T34">
            <v>450.41363579921455</v>
          </cell>
          <cell r="U34">
            <v>52.574079524382626</v>
          </cell>
        </row>
        <row r="35">
          <cell r="I35">
            <v>39087</v>
          </cell>
          <cell r="J35">
            <v>3990</v>
          </cell>
          <cell r="K35">
            <v>73.5</v>
          </cell>
          <cell r="L35">
            <v>783</v>
          </cell>
          <cell r="M35">
            <v>2075</v>
          </cell>
          <cell r="N35">
            <v>7.8047000000000004</v>
          </cell>
          <cell r="O35">
            <v>511.23041244378385</v>
          </cell>
          <cell r="P35">
            <v>124.95</v>
          </cell>
          <cell r="Q35">
            <v>70.226914551488193</v>
          </cell>
          <cell r="R35">
            <v>47.855779209963224</v>
          </cell>
          <cell r="S35">
            <v>207.39889929572351</v>
          </cell>
          <cell r="T35">
            <v>450.43159305717495</v>
          </cell>
          <cell r="U35">
            <v>54.219027496827835</v>
          </cell>
        </row>
        <row r="36">
          <cell r="I36">
            <v>39088</v>
          </cell>
          <cell r="J36">
            <v>3990</v>
          </cell>
          <cell r="K36">
            <v>73.5</v>
          </cell>
          <cell r="L36">
            <v>783</v>
          </cell>
          <cell r="M36">
            <v>2075</v>
          </cell>
          <cell r="N36">
            <v>7.8047000000000004</v>
          </cell>
          <cell r="O36">
            <v>511.23041244378385</v>
          </cell>
          <cell r="P36">
            <v>124.95</v>
          </cell>
          <cell r="Q36">
            <v>70.226914551488193</v>
          </cell>
          <cell r="R36">
            <v>47.855779209963224</v>
          </cell>
          <cell r="S36">
            <v>207.39889929572351</v>
          </cell>
          <cell r="T36">
            <v>450.43159305717495</v>
          </cell>
          <cell r="U36">
            <v>55.315659478458031</v>
          </cell>
        </row>
        <row r="37">
          <cell r="I37">
            <v>39089</v>
          </cell>
          <cell r="J37">
            <v>3990</v>
          </cell>
          <cell r="K37">
            <v>73.5</v>
          </cell>
          <cell r="L37">
            <v>783</v>
          </cell>
          <cell r="M37">
            <v>2075</v>
          </cell>
          <cell r="N37">
            <v>7.8047000000000004</v>
          </cell>
          <cell r="O37">
            <v>511.23041244378385</v>
          </cell>
          <cell r="P37">
            <v>124.95</v>
          </cell>
          <cell r="Q37">
            <v>70.226914551488193</v>
          </cell>
          <cell r="R37">
            <v>47.855779209963224</v>
          </cell>
          <cell r="S37">
            <v>207.39889929572351</v>
          </cell>
          <cell r="T37">
            <v>450.43159305717495</v>
          </cell>
          <cell r="U37">
            <v>56.098968036765314</v>
          </cell>
        </row>
        <row r="38">
          <cell r="I38">
            <v>39090</v>
          </cell>
          <cell r="J38">
            <v>4060</v>
          </cell>
          <cell r="K38">
            <v>73.5</v>
          </cell>
          <cell r="L38">
            <v>783</v>
          </cell>
          <cell r="M38">
            <v>2075</v>
          </cell>
          <cell r="N38">
            <v>7.8143000000000002</v>
          </cell>
          <cell r="O38">
            <v>519.56029330842171</v>
          </cell>
          <cell r="P38">
            <v>124.95</v>
          </cell>
          <cell r="Q38">
            <v>70.14063959663693</v>
          </cell>
          <cell r="R38">
            <v>47.796987574062939</v>
          </cell>
          <cell r="S38">
            <v>208.63030191744679</v>
          </cell>
          <cell r="T38">
            <v>451.51792908814667</v>
          </cell>
          <cell r="U38">
            <v>58.695044688216854</v>
          </cell>
        </row>
        <row r="39">
          <cell r="I39">
            <v>39091</v>
          </cell>
          <cell r="J39">
            <v>4060</v>
          </cell>
          <cell r="K39">
            <v>73.5</v>
          </cell>
          <cell r="L39">
            <v>783</v>
          </cell>
          <cell r="M39">
            <v>2100</v>
          </cell>
          <cell r="N39">
            <v>7.8056999999999999</v>
          </cell>
          <cell r="O39">
            <v>520.13272352255399</v>
          </cell>
          <cell r="P39">
            <v>124.95</v>
          </cell>
          <cell r="Q39">
            <v>70.217917675544797</v>
          </cell>
          <cell r="R39">
            <v>48.426150121065369</v>
          </cell>
          <cell r="S39">
            <v>208.61083031915425</v>
          </cell>
          <cell r="T39">
            <v>452.20489811576442</v>
          </cell>
          <cell r="U39">
            <v>61.280297550990895</v>
          </cell>
        </row>
        <row r="40">
          <cell r="I40">
            <v>39092</v>
          </cell>
          <cell r="J40">
            <v>4060</v>
          </cell>
          <cell r="K40">
            <v>73.5</v>
          </cell>
          <cell r="L40">
            <v>783</v>
          </cell>
          <cell r="M40">
            <v>2100</v>
          </cell>
          <cell r="N40">
            <v>7.8068999999999997</v>
          </cell>
          <cell r="O40">
            <v>520.05277382828012</v>
          </cell>
          <cell r="P40">
            <v>124.95</v>
          </cell>
          <cell r="Q40">
            <v>70.207124466817817</v>
          </cell>
          <cell r="R40">
            <v>48.41870652883987</v>
          </cell>
          <cell r="S40">
            <v>208.60186348850067</v>
          </cell>
          <cell r="T40">
            <v>452.17769448415834</v>
          </cell>
          <cell r="U40">
            <v>63.858015261955529</v>
          </cell>
        </row>
        <row r="41">
          <cell r="I41">
            <v>39093</v>
          </cell>
          <cell r="J41">
            <v>4100</v>
          </cell>
          <cell r="K41">
            <v>73.5</v>
          </cell>
          <cell r="L41">
            <v>783</v>
          </cell>
          <cell r="M41">
            <v>2100</v>
          </cell>
          <cell r="N41">
            <v>7.7946</v>
          </cell>
          <cell r="O41">
            <v>526.00518307546247</v>
          </cell>
          <cell r="P41">
            <v>124.95</v>
          </cell>
          <cell r="Q41">
            <v>70.317912400892922</v>
          </cell>
          <cell r="R41">
            <v>48.495112000615812</v>
          </cell>
          <cell r="S41">
            <v>209.43954442271124</v>
          </cell>
          <cell r="T41">
            <v>453.20256882421995</v>
          </cell>
          <cell r="U41">
            <v>65.577763054607942</v>
          </cell>
        </row>
        <row r="42">
          <cell r="I42">
            <v>39094</v>
          </cell>
          <cell r="J42">
            <v>4100</v>
          </cell>
          <cell r="K42">
            <v>80.5</v>
          </cell>
          <cell r="L42">
            <v>783</v>
          </cell>
          <cell r="M42">
            <v>2100</v>
          </cell>
          <cell r="N42">
            <v>7.7972000000000001</v>
          </cell>
          <cell r="O42">
            <v>525.82978505104393</v>
          </cell>
          <cell r="P42">
            <v>136.85</v>
          </cell>
          <cell r="Q42">
            <v>70.294464679628575</v>
          </cell>
          <cell r="R42">
            <v>48.478941158364535</v>
          </cell>
          <cell r="S42">
            <v>207.69075595403302</v>
          </cell>
          <cell r="T42">
            <v>463.31416179202614</v>
          </cell>
          <cell r="U42">
            <v>65.823020750666444</v>
          </cell>
        </row>
        <row r="43">
          <cell r="I43">
            <v>39095</v>
          </cell>
          <cell r="J43">
            <v>4100</v>
          </cell>
          <cell r="K43">
            <v>80.5</v>
          </cell>
          <cell r="L43">
            <v>783</v>
          </cell>
          <cell r="M43">
            <v>2100</v>
          </cell>
          <cell r="N43">
            <v>7.7972000000000001</v>
          </cell>
          <cell r="O43">
            <v>525.82978505104393</v>
          </cell>
          <cell r="P43">
            <v>136.85</v>
          </cell>
          <cell r="Q43">
            <v>70.294464679628575</v>
          </cell>
          <cell r="R43">
            <v>48.478941158364535</v>
          </cell>
          <cell r="S43">
            <v>207.69075595403302</v>
          </cell>
          <cell r="T43">
            <v>463.31416179202614</v>
          </cell>
          <cell r="U43">
            <v>66.068278446724719</v>
          </cell>
        </row>
        <row r="44">
          <cell r="I44">
            <v>39096</v>
          </cell>
          <cell r="J44">
            <v>4100</v>
          </cell>
          <cell r="K44">
            <v>80.5</v>
          </cell>
          <cell r="L44">
            <v>783</v>
          </cell>
          <cell r="M44">
            <v>2100</v>
          </cell>
          <cell r="N44">
            <v>7.7972000000000001</v>
          </cell>
          <cell r="O44">
            <v>525.82978505104393</v>
          </cell>
          <cell r="P44">
            <v>136.85</v>
          </cell>
          <cell r="Q44">
            <v>70.294464679628575</v>
          </cell>
          <cell r="R44">
            <v>48.478941158364535</v>
          </cell>
          <cell r="S44">
            <v>207.69075595403302</v>
          </cell>
          <cell r="T44">
            <v>463.31416179202614</v>
          </cell>
          <cell r="U44">
            <v>66.313536142783278</v>
          </cell>
        </row>
        <row r="45">
          <cell r="I45">
            <v>39097</v>
          </cell>
          <cell r="J45">
            <v>4100</v>
          </cell>
          <cell r="K45">
            <v>80.5</v>
          </cell>
          <cell r="L45">
            <v>783</v>
          </cell>
          <cell r="M45">
            <v>2100</v>
          </cell>
          <cell r="N45">
            <v>7.7930000000000001</v>
          </cell>
          <cell r="O45">
            <v>526.11317849351985</v>
          </cell>
          <cell r="P45">
            <v>136.85</v>
          </cell>
          <cell r="Q45">
            <v>70.332349544462971</v>
          </cell>
          <cell r="R45">
            <v>48.505068651353774</v>
          </cell>
          <cell r="S45">
            <v>207.7226318381278</v>
          </cell>
          <cell r="T45">
            <v>463.41005003394457</v>
          </cell>
          <cell r="U45">
            <v>65.550788176968922</v>
          </cell>
        </row>
        <row r="46">
          <cell r="I46">
            <v>39098</v>
          </cell>
          <cell r="J46">
            <v>4100</v>
          </cell>
          <cell r="K46">
            <v>80.5</v>
          </cell>
          <cell r="L46">
            <v>783</v>
          </cell>
          <cell r="M46">
            <v>2100</v>
          </cell>
          <cell r="N46">
            <v>7.7895000000000003</v>
          </cell>
          <cell r="O46">
            <v>526.34957314333394</v>
          </cell>
          <cell r="P46">
            <v>136.85</v>
          </cell>
          <cell r="Q46">
            <v>70.363951473136908</v>
          </cell>
          <cell r="R46">
            <v>48.526863084922006</v>
          </cell>
          <cell r="S46">
            <v>207.74922133290318</v>
          </cell>
          <cell r="T46">
            <v>463.49003589096208</v>
          </cell>
          <cell r="U46">
            <v>64.826747012052181</v>
          </cell>
        </row>
        <row r="47">
          <cell r="I47">
            <v>39099</v>
          </cell>
          <cell r="J47">
            <v>4100</v>
          </cell>
          <cell r="K47">
            <v>80.5</v>
          </cell>
          <cell r="L47">
            <v>783</v>
          </cell>
          <cell r="M47">
            <v>2100</v>
          </cell>
          <cell r="N47">
            <v>7.7778999999999998</v>
          </cell>
          <cell r="O47">
            <v>527.13457359955771</v>
          </cell>
          <cell r="P47">
            <v>136.85</v>
          </cell>
          <cell r="Q47">
            <v>70.468892631687211</v>
          </cell>
          <cell r="R47">
            <v>48.599236297715322</v>
          </cell>
          <cell r="S47">
            <v>207.83751760164645</v>
          </cell>
          <cell r="T47">
            <v>463.75564653104902</v>
          </cell>
          <cell r="U47">
            <v>64.184439544107306</v>
          </cell>
        </row>
        <row r="48">
          <cell r="I48">
            <v>39100</v>
          </cell>
          <cell r="J48">
            <v>4100</v>
          </cell>
          <cell r="K48">
            <v>80.5</v>
          </cell>
          <cell r="L48">
            <v>783</v>
          </cell>
          <cell r="M48">
            <v>2100</v>
          </cell>
          <cell r="N48">
            <v>7.7706999999999997</v>
          </cell>
          <cell r="O48">
            <v>527.62299406745854</v>
          </cell>
          <cell r="P48">
            <v>136.85</v>
          </cell>
          <cell r="Q48">
            <v>70.53418610935951</v>
          </cell>
          <cell r="R48">
            <v>48.644266282316906</v>
          </cell>
          <cell r="S48">
            <v>207.89245477340421</v>
          </cell>
          <cell r="T48">
            <v>463.92090716508062</v>
          </cell>
          <cell r="U48">
            <v>62.884364208555326</v>
          </cell>
        </row>
        <row r="49">
          <cell r="I49">
            <v>39101</v>
          </cell>
          <cell r="J49">
            <v>4100</v>
          </cell>
          <cell r="K49">
            <v>81.5</v>
          </cell>
          <cell r="L49">
            <v>783</v>
          </cell>
          <cell r="M49">
            <v>2100</v>
          </cell>
          <cell r="N49">
            <v>7.7727000000000004</v>
          </cell>
          <cell r="O49">
            <v>527.48723094934837</v>
          </cell>
          <cell r="P49">
            <v>138.54999999999998</v>
          </cell>
          <cell r="Q49">
            <v>70.516036898375077</v>
          </cell>
          <cell r="R49">
            <v>48.631749585086261</v>
          </cell>
          <cell r="S49">
            <v>207.63017569162463</v>
          </cell>
          <cell r="T49">
            <v>465.32796217508593</v>
          </cell>
          <cell r="U49">
            <v>62.833456425018824</v>
          </cell>
        </row>
        <row r="50">
          <cell r="I50">
            <v>39102</v>
          </cell>
          <cell r="J50">
            <v>4100</v>
          </cell>
          <cell r="K50">
            <v>81.5</v>
          </cell>
          <cell r="L50">
            <v>783</v>
          </cell>
          <cell r="M50">
            <v>2100</v>
          </cell>
          <cell r="N50">
            <v>7.7727000000000004</v>
          </cell>
          <cell r="O50">
            <v>527.48723094934837</v>
          </cell>
          <cell r="P50">
            <v>138.54999999999998</v>
          </cell>
          <cell r="Q50">
            <v>70.516036898375077</v>
          </cell>
          <cell r="R50">
            <v>48.631749585086261</v>
          </cell>
          <cell r="S50">
            <v>207.63017569162463</v>
          </cell>
          <cell r="T50">
            <v>465.32796217508593</v>
          </cell>
          <cell r="U50">
            <v>62.782548641482379</v>
          </cell>
        </row>
        <row r="51">
          <cell r="I51">
            <v>39103</v>
          </cell>
          <cell r="J51">
            <v>4100</v>
          </cell>
          <cell r="K51">
            <v>81.5</v>
          </cell>
          <cell r="L51">
            <v>783</v>
          </cell>
          <cell r="M51">
            <v>2100</v>
          </cell>
          <cell r="N51">
            <v>7.7727000000000004</v>
          </cell>
          <cell r="O51">
            <v>527.48723094934837</v>
          </cell>
          <cell r="P51">
            <v>138.54999999999998</v>
          </cell>
          <cell r="Q51">
            <v>70.516036898375077</v>
          </cell>
          <cell r="R51">
            <v>48.631749585086261</v>
          </cell>
          <cell r="S51">
            <v>207.63017569162463</v>
          </cell>
          <cell r="T51">
            <v>465.32796217508593</v>
          </cell>
          <cell r="U51">
            <v>62.73164085794599</v>
          </cell>
        </row>
        <row r="52">
          <cell r="I52">
            <v>39104</v>
          </cell>
          <cell r="J52">
            <v>4100</v>
          </cell>
          <cell r="K52">
            <v>81.5</v>
          </cell>
          <cell r="L52">
            <v>783</v>
          </cell>
          <cell r="M52">
            <v>2100</v>
          </cell>
          <cell r="N52">
            <v>7.7722999999999995</v>
          </cell>
          <cell r="O52">
            <v>527.51437798335121</v>
          </cell>
          <cell r="P52">
            <v>138.54999999999998</v>
          </cell>
          <cell r="Q52">
            <v>70.519665993335295</v>
          </cell>
          <cell r="R52">
            <v>48.634252409196762</v>
          </cell>
          <cell r="S52">
            <v>207.63322916986257</v>
          </cell>
          <cell r="T52">
            <v>465.33714757239466</v>
          </cell>
          <cell r="U52">
            <v>62.656512565286107</v>
          </cell>
        </row>
        <row r="53">
          <cell r="I53">
            <v>39105</v>
          </cell>
          <cell r="J53">
            <v>4100</v>
          </cell>
          <cell r="K53">
            <v>81.5</v>
          </cell>
          <cell r="L53">
            <v>783</v>
          </cell>
          <cell r="M53">
            <v>2100</v>
          </cell>
          <cell r="N53">
            <v>7.7767999999999997</v>
          </cell>
          <cell r="O53">
            <v>527.20913486266852</v>
          </cell>
          <cell r="P53">
            <v>138.54999999999998</v>
          </cell>
          <cell r="Q53">
            <v>70.478860199567947</v>
          </cell>
          <cell r="R53">
            <v>48.606110482460657</v>
          </cell>
          <cell r="S53">
            <v>207.59889565017846</v>
          </cell>
          <cell r="T53">
            <v>465.23386633220707</v>
          </cell>
          <cell r="U53">
            <v>62.530188462155991</v>
          </cell>
        </row>
        <row r="54">
          <cell r="I54">
            <v>39106</v>
          </cell>
          <cell r="J54">
            <v>4240</v>
          </cell>
          <cell r="K54">
            <v>81.5</v>
          </cell>
          <cell r="L54">
            <v>783</v>
          </cell>
          <cell r="M54">
            <v>2100</v>
          </cell>
          <cell r="N54">
            <v>7.7724000000000002</v>
          </cell>
          <cell r="O54">
            <v>545.52004528845657</v>
          </cell>
          <cell r="P54">
            <v>138.54999999999998</v>
          </cell>
          <cell r="Q54">
            <v>70.518758684576184</v>
          </cell>
          <cell r="R54">
            <v>48.633626679018057</v>
          </cell>
          <cell r="S54">
            <v>210.24965998908255</v>
          </cell>
          <cell r="T54">
            <v>467.95204535267675</v>
          </cell>
          <cell r="U54">
            <v>64.557198871766161</v>
          </cell>
        </row>
        <row r="55">
          <cell r="I55">
            <v>39107</v>
          </cell>
          <cell r="J55">
            <v>4240</v>
          </cell>
          <cell r="K55">
            <v>81.5</v>
          </cell>
          <cell r="L55">
            <v>783</v>
          </cell>
          <cell r="M55">
            <v>2100</v>
          </cell>
          <cell r="N55">
            <v>7.7698</v>
          </cell>
          <cell r="O55">
            <v>545.70259208731238</v>
          </cell>
          <cell r="P55">
            <v>138.54999999999998</v>
          </cell>
          <cell r="Q55">
            <v>70.542356302607516</v>
          </cell>
          <cell r="R55">
            <v>48.649900898350019</v>
          </cell>
          <cell r="S55">
            <v>210.27039053904301</v>
          </cell>
          <cell r="T55">
            <v>468.01264774000049</v>
          </cell>
          <cell r="U55">
            <v>66.555464221042428</v>
          </cell>
        </row>
        <row r="56">
          <cell r="I56">
            <v>39108</v>
          </cell>
          <cell r="J56">
            <v>4250</v>
          </cell>
          <cell r="K56">
            <v>81.5</v>
          </cell>
          <cell r="L56">
            <v>783</v>
          </cell>
          <cell r="M56">
            <v>2100</v>
          </cell>
          <cell r="N56">
            <v>7.7736999999999998</v>
          </cell>
          <cell r="O56">
            <v>546.7152064010703</v>
          </cell>
          <cell r="P56">
            <v>138.54999999999998</v>
          </cell>
          <cell r="Q56">
            <v>70.5069657949239</v>
          </cell>
          <cell r="R56">
            <v>48.625493651671661</v>
          </cell>
          <cell r="S56">
            <v>210.4262110959493</v>
          </cell>
          <cell r="T56">
            <v>468.10867054254481</v>
          </cell>
          <cell r="U56">
            <v>68.905073804508675</v>
          </cell>
        </row>
        <row r="57">
          <cell r="I57">
            <v>39109</v>
          </cell>
          <cell r="J57">
            <v>4250</v>
          </cell>
          <cell r="K57">
            <v>81.5</v>
          </cell>
          <cell r="L57">
            <v>783</v>
          </cell>
          <cell r="M57">
            <v>2100</v>
          </cell>
          <cell r="N57">
            <v>7.7736999999999998</v>
          </cell>
          <cell r="O57">
            <v>546.7152064010703</v>
          </cell>
          <cell r="P57">
            <v>138.54999999999998</v>
          </cell>
          <cell r="Q57">
            <v>70.5069657949239</v>
          </cell>
          <cell r="R57">
            <v>48.625493651671661</v>
          </cell>
          <cell r="S57">
            <v>210.4262110959493</v>
          </cell>
          <cell r="T57">
            <v>468.10867054254481</v>
          </cell>
          <cell r="U57">
            <v>71.254683387974637</v>
          </cell>
        </row>
        <row r="58">
          <cell r="I58">
            <v>39110</v>
          </cell>
          <cell r="J58">
            <v>4250</v>
          </cell>
          <cell r="K58">
            <v>81.5</v>
          </cell>
          <cell r="L58">
            <v>783</v>
          </cell>
          <cell r="M58">
            <v>2100</v>
          </cell>
          <cell r="N58">
            <v>7.7736999999999998</v>
          </cell>
          <cell r="O58">
            <v>546.7152064010703</v>
          </cell>
          <cell r="P58">
            <v>138.54999999999998</v>
          </cell>
          <cell r="Q58">
            <v>70.5069657949239</v>
          </cell>
          <cell r="R58">
            <v>48.625493651671661</v>
          </cell>
          <cell r="S58">
            <v>210.4262110959493</v>
          </cell>
          <cell r="T58">
            <v>468.10867054254481</v>
          </cell>
          <cell r="U58">
            <v>73.604292971440771</v>
          </cell>
        </row>
        <row r="59">
          <cell r="I59">
            <v>39111</v>
          </cell>
          <cell r="J59">
            <v>4250</v>
          </cell>
          <cell r="K59">
            <v>81.5</v>
          </cell>
          <cell r="L59">
            <v>783</v>
          </cell>
          <cell r="M59">
            <v>2100</v>
          </cell>
          <cell r="N59">
            <v>7.7774999999999999</v>
          </cell>
          <cell r="O59">
            <v>546.44808743169403</v>
          </cell>
          <cell r="P59">
            <v>138.54999999999998</v>
          </cell>
          <cell r="Q59">
            <v>70.472516875602693</v>
          </cell>
          <cell r="R59">
            <v>48.601735776277728</v>
          </cell>
          <cell r="S59">
            <v>210.39585633552846</v>
          </cell>
          <cell r="T59">
            <v>468.02010898740889</v>
          </cell>
          <cell r="U59">
            <v>75.925828404773483</v>
          </cell>
        </row>
        <row r="60">
          <cell r="I60">
            <v>39112</v>
          </cell>
          <cell r="J60">
            <v>4250</v>
          </cell>
          <cell r="K60">
            <v>81.5</v>
          </cell>
          <cell r="L60">
            <v>783</v>
          </cell>
          <cell r="M60">
            <v>2100</v>
          </cell>
          <cell r="N60">
            <v>7.7747000000000002</v>
          </cell>
          <cell r="O60">
            <v>546.64488661941937</v>
          </cell>
          <cell r="P60">
            <v>138.54999999999998</v>
          </cell>
          <cell r="Q60">
            <v>70.497897024965596</v>
          </cell>
          <cell r="R60">
            <v>48.619239327562482</v>
          </cell>
          <cell r="S60">
            <v>210.41822012424913</v>
          </cell>
          <cell r="T60">
            <v>468.08535647677718</v>
          </cell>
          <cell r="U60">
            <v>78.295008635085026</v>
          </cell>
        </row>
        <row r="61">
          <cell r="I61">
            <v>39113</v>
          </cell>
          <cell r="J61">
            <v>4250</v>
          </cell>
          <cell r="K61">
            <v>81.5</v>
          </cell>
          <cell r="L61">
            <v>789</v>
          </cell>
          <cell r="M61">
            <v>2100</v>
          </cell>
          <cell r="N61">
            <v>7.7736999999999998</v>
          </cell>
          <cell r="O61">
            <v>546.7152064010703</v>
          </cell>
          <cell r="P61">
            <v>138.54999999999998</v>
          </cell>
          <cell r="Q61">
            <v>71.047249057720265</v>
          </cell>
          <cell r="R61">
            <v>48.625493651671661</v>
          </cell>
          <cell r="S61">
            <v>210.34770839964554</v>
          </cell>
          <cell r="T61">
            <v>468.57045110903744</v>
          </cell>
          <cell r="U61">
            <v>78.377402257406914</v>
          </cell>
        </row>
        <row r="62">
          <cell r="I62">
            <v>39114</v>
          </cell>
          <cell r="J62">
            <v>4250</v>
          </cell>
          <cell r="K62">
            <v>81.5</v>
          </cell>
          <cell r="L62">
            <v>789</v>
          </cell>
          <cell r="M62">
            <v>2100</v>
          </cell>
          <cell r="N62">
            <v>7.7573999999999996</v>
          </cell>
          <cell r="O62">
            <v>547.86397504318461</v>
          </cell>
          <cell r="P62">
            <v>138.54999999999998</v>
          </cell>
          <cell r="Q62">
            <v>71.196534921494319</v>
          </cell>
          <cell r="R62">
            <v>48.727666486193826</v>
          </cell>
          <cell r="S62">
            <v>210.47808676755076</v>
          </cell>
          <cell r="T62">
            <v>468.95228817523889</v>
          </cell>
          <cell r="U62">
            <v>78.551936903211697</v>
          </cell>
        </row>
        <row r="63">
          <cell r="I63">
            <v>39115</v>
          </cell>
          <cell r="J63">
            <v>4250</v>
          </cell>
          <cell r="K63">
            <v>81.5</v>
          </cell>
          <cell r="L63">
            <v>789</v>
          </cell>
          <cell r="M63">
            <v>2100</v>
          </cell>
          <cell r="N63">
            <v>7.7537000000000003</v>
          </cell>
          <cell r="O63">
            <v>548.12541109405834</v>
          </cell>
          <cell r="P63">
            <v>138.54999999999998</v>
          </cell>
          <cell r="Q63">
            <v>71.230509305234918</v>
          </cell>
          <cell r="R63">
            <v>48.75091891613036</v>
          </cell>
          <cell r="S63">
            <v>210.50775819517762</v>
          </cell>
          <cell r="T63">
            <v>469.03918641654286</v>
          </cell>
          <cell r="U63">
            <v>78.620463877353075</v>
          </cell>
        </row>
        <row r="64">
          <cell r="I64">
            <v>39116</v>
          </cell>
          <cell r="J64">
            <v>4250</v>
          </cell>
          <cell r="K64">
            <v>81.5</v>
          </cell>
          <cell r="L64">
            <v>789</v>
          </cell>
          <cell r="M64">
            <v>2100</v>
          </cell>
          <cell r="N64">
            <v>7.7537000000000003</v>
          </cell>
          <cell r="O64">
            <v>548.12541109405834</v>
          </cell>
          <cell r="P64">
            <v>138.54999999999998</v>
          </cell>
          <cell r="Q64">
            <v>71.230509305234918</v>
          </cell>
          <cell r="R64">
            <v>48.75091891613036</v>
          </cell>
          <cell r="S64">
            <v>210.50775819517762</v>
          </cell>
          <cell r="T64">
            <v>469.03918641654286</v>
          </cell>
          <cell r="U64">
            <v>78.688990851494509</v>
          </cell>
        </row>
        <row r="65">
          <cell r="I65">
            <v>39117</v>
          </cell>
          <cell r="J65">
            <v>4250</v>
          </cell>
          <cell r="K65">
            <v>81.5</v>
          </cell>
          <cell r="L65">
            <v>789</v>
          </cell>
          <cell r="M65">
            <v>2100</v>
          </cell>
          <cell r="N65">
            <v>7.7537000000000003</v>
          </cell>
          <cell r="O65">
            <v>548.12541109405834</v>
          </cell>
          <cell r="P65">
            <v>138.54999999999998</v>
          </cell>
          <cell r="Q65">
            <v>71.230509305234918</v>
          </cell>
          <cell r="R65">
            <v>48.75091891613036</v>
          </cell>
          <cell r="S65">
            <v>210.50775819517762</v>
          </cell>
          <cell r="T65">
            <v>469.03918641654286</v>
          </cell>
          <cell r="U65">
            <v>78.757517825635887</v>
          </cell>
        </row>
        <row r="66">
          <cell r="I66">
            <v>39118</v>
          </cell>
          <cell r="J66">
            <v>4300</v>
          </cell>
          <cell r="K66">
            <v>81.5</v>
          </cell>
          <cell r="L66">
            <v>789</v>
          </cell>
          <cell r="M66">
            <v>2100</v>
          </cell>
          <cell r="N66">
            <v>7.7592999999999996</v>
          </cell>
          <cell r="O66">
            <v>554.17370123593628</v>
          </cell>
          <cell r="P66">
            <v>138.54999999999998</v>
          </cell>
          <cell r="Q66">
            <v>71.179101207583159</v>
          </cell>
          <cell r="R66">
            <v>48.715734666786958</v>
          </cell>
          <cell r="S66">
            <v>211.39915137732157</v>
          </cell>
          <cell r="T66">
            <v>469.84398725169166</v>
          </cell>
          <cell r="U66">
            <v>79.600622902773125</v>
          </cell>
        </row>
        <row r="67">
          <cell r="I67">
            <v>39119</v>
          </cell>
          <cell r="J67">
            <v>4300</v>
          </cell>
          <cell r="K67">
            <v>81.5</v>
          </cell>
          <cell r="L67">
            <v>789</v>
          </cell>
          <cell r="M67">
            <v>2105</v>
          </cell>
          <cell r="N67">
            <v>7.7560000000000002</v>
          </cell>
          <cell r="O67">
            <v>554.40948942753994</v>
          </cell>
          <cell r="P67">
            <v>138.54999999999998</v>
          </cell>
          <cell r="Q67">
            <v>71.209386281588436</v>
          </cell>
          <cell r="R67">
            <v>48.852501289324387</v>
          </cell>
          <cell r="S67">
            <v>211.40913873130478</v>
          </cell>
          <cell r="T67">
            <v>470.02102630221759</v>
          </cell>
          <cell r="U67">
            <v>80.433327614584584</v>
          </cell>
        </row>
        <row r="68">
          <cell r="I68">
            <v>39120</v>
          </cell>
          <cell r="J68">
            <v>4300</v>
          </cell>
          <cell r="K68">
            <v>81.5</v>
          </cell>
          <cell r="L68">
            <v>789</v>
          </cell>
          <cell r="M68">
            <v>2105</v>
          </cell>
          <cell r="N68">
            <v>7.7476000000000003</v>
          </cell>
          <cell r="O68">
            <v>555.0105839227632</v>
          </cell>
          <cell r="P68">
            <v>138.54999999999998</v>
          </cell>
          <cell r="Q68">
            <v>71.286591976870241</v>
          </cell>
          <cell r="R68">
            <v>48.905467499612776</v>
          </cell>
          <cell r="S68">
            <v>211.4775633810834</v>
          </cell>
          <cell r="T68">
            <v>470.21962285756638</v>
          </cell>
          <cell r="U68">
            <v>81.382785582179451</v>
          </cell>
        </row>
        <row r="69">
          <cell r="I69">
            <v>39121</v>
          </cell>
          <cell r="J69">
            <v>4360</v>
          </cell>
          <cell r="K69">
            <v>81.5</v>
          </cell>
          <cell r="L69">
            <v>789</v>
          </cell>
          <cell r="M69">
            <v>2105</v>
          </cell>
          <cell r="N69">
            <v>7.7477</v>
          </cell>
          <cell r="O69">
            <v>562.74765414251976</v>
          </cell>
          <cell r="P69">
            <v>138.54999999999998</v>
          </cell>
          <cell r="Q69">
            <v>71.285671876815059</v>
          </cell>
          <cell r="R69">
            <v>48.904836273990988</v>
          </cell>
          <cell r="S69">
            <v>212.60197847742847</v>
          </cell>
          <cell r="T69">
            <v>471.3424866282345</v>
          </cell>
          <cell r="U69">
            <v>83.167568531656514</v>
          </cell>
        </row>
        <row r="70">
          <cell r="I70">
            <v>39122</v>
          </cell>
          <cell r="J70">
            <v>4360</v>
          </cell>
          <cell r="K70">
            <v>81.5</v>
          </cell>
          <cell r="L70">
            <v>789</v>
          </cell>
          <cell r="M70">
            <v>2105</v>
          </cell>
          <cell r="N70">
            <v>7.7499000000000002</v>
          </cell>
          <cell r="O70">
            <v>562.5879043600562</v>
          </cell>
          <cell r="P70">
            <v>138.54999999999998</v>
          </cell>
          <cell r="Q70">
            <v>71.265435683041062</v>
          </cell>
          <cell r="R70">
            <v>48.890953431657174</v>
          </cell>
          <cell r="S70">
            <v>212.58372443735971</v>
          </cell>
          <cell r="T70">
            <v>471.2901135520579</v>
          </cell>
          <cell r="U70">
            <v>84.912077978868354</v>
          </cell>
        </row>
        <row r="71">
          <cell r="I71">
            <v>39123</v>
          </cell>
          <cell r="J71">
            <v>4360</v>
          </cell>
          <cell r="K71">
            <v>81.5</v>
          </cell>
          <cell r="L71">
            <v>789</v>
          </cell>
          <cell r="M71">
            <v>2105</v>
          </cell>
          <cell r="N71">
            <v>7.7499000000000002</v>
          </cell>
          <cell r="O71">
            <v>562.5879043600562</v>
          </cell>
          <cell r="P71">
            <v>138.54999999999998</v>
          </cell>
          <cell r="Q71">
            <v>71.265435683041062</v>
          </cell>
          <cell r="R71">
            <v>48.890953431657174</v>
          </cell>
          <cell r="S71">
            <v>212.58372443735971</v>
          </cell>
          <cell r="T71">
            <v>471.2901135520579</v>
          </cell>
          <cell r="U71">
            <v>86.65658742608025</v>
          </cell>
        </row>
        <row r="72">
          <cell r="I72">
            <v>39124</v>
          </cell>
          <cell r="J72">
            <v>4360</v>
          </cell>
          <cell r="K72">
            <v>81.5</v>
          </cell>
          <cell r="L72">
            <v>789</v>
          </cell>
          <cell r="M72">
            <v>2105</v>
          </cell>
          <cell r="N72">
            <v>7.7499000000000002</v>
          </cell>
          <cell r="O72">
            <v>562.5879043600562</v>
          </cell>
          <cell r="P72">
            <v>138.54999999999998</v>
          </cell>
          <cell r="Q72">
            <v>71.265435683041062</v>
          </cell>
          <cell r="R72">
            <v>48.890953431657174</v>
          </cell>
          <cell r="S72">
            <v>212.58372443735971</v>
          </cell>
          <cell r="T72">
            <v>471.2901135520579</v>
          </cell>
          <cell r="U72">
            <v>88.40109687329209</v>
          </cell>
        </row>
        <row r="73">
          <cell r="I73">
            <v>39125</v>
          </cell>
          <cell r="J73">
            <v>4360</v>
          </cell>
          <cell r="K73">
            <v>81.5</v>
          </cell>
          <cell r="L73">
            <v>789</v>
          </cell>
          <cell r="M73">
            <v>2105</v>
          </cell>
          <cell r="N73">
            <v>7.7564000000000002</v>
          </cell>
          <cell r="O73">
            <v>562.11644577381253</v>
          </cell>
          <cell r="P73">
            <v>138.54999999999998</v>
          </cell>
          <cell r="Q73">
            <v>71.205713991026755</v>
          </cell>
          <cell r="R73">
            <v>48.849981950389349</v>
          </cell>
          <cell r="S73">
            <v>212.5298525397499</v>
          </cell>
          <cell r="T73">
            <v>471.13554848116598</v>
          </cell>
          <cell r="U73">
            <v>89.351265917349508</v>
          </cell>
        </row>
        <row r="74">
          <cell r="I74">
            <v>39126</v>
          </cell>
          <cell r="J74">
            <v>4360</v>
          </cell>
          <cell r="K74">
            <v>81.5</v>
          </cell>
          <cell r="L74">
            <v>789</v>
          </cell>
          <cell r="M74">
            <v>2110</v>
          </cell>
          <cell r="N74">
            <v>7.7590000000000003</v>
          </cell>
          <cell r="O74">
            <v>561.92808351591702</v>
          </cell>
          <cell r="P74">
            <v>138.54999999999998</v>
          </cell>
          <cell r="Q74">
            <v>71.181853331614889</v>
          </cell>
          <cell r="R74">
            <v>48.949606908106716</v>
          </cell>
          <cell r="S74">
            <v>212.49147517688309</v>
          </cell>
          <cell r="T74">
            <v>471.17293541660467</v>
          </cell>
          <cell r="U74">
            <v>90.260792342205093</v>
          </cell>
        </row>
        <row r="75">
          <cell r="I75">
            <v>39127</v>
          </cell>
          <cell r="J75">
            <v>4360</v>
          </cell>
          <cell r="K75">
            <v>81.5</v>
          </cell>
          <cell r="L75">
            <v>789</v>
          </cell>
          <cell r="M75">
            <v>2110</v>
          </cell>
          <cell r="N75">
            <v>7.7617000000000003</v>
          </cell>
          <cell r="O75">
            <v>561.73261012407079</v>
          </cell>
          <cell r="P75">
            <v>138.54999999999998</v>
          </cell>
          <cell r="Q75">
            <v>71.157091874202806</v>
          </cell>
          <cell r="R75">
            <v>48.932579203009652</v>
          </cell>
          <cell r="S75">
            <v>212.46914498971447</v>
          </cell>
          <cell r="T75">
            <v>471.10881606692692</v>
          </cell>
          <cell r="U75">
            <v>91.094054198197625</v>
          </cell>
        </row>
        <row r="76">
          <cell r="I76">
            <v>39128</v>
          </cell>
          <cell r="J76">
            <v>4360</v>
          </cell>
          <cell r="K76">
            <v>81.5</v>
          </cell>
          <cell r="L76">
            <v>789</v>
          </cell>
          <cell r="M76">
            <v>2110</v>
          </cell>
          <cell r="N76">
            <v>7.7530999999999999</v>
          </cell>
          <cell r="O76">
            <v>562.35570288013832</v>
          </cell>
          <cell r="P76">
            <v>138.54999999999998</v>
          </cell>
          <cell r="Q76">
            <v>71.236021720344112</v>
          </cell>
          <cell r="R76">
            <v>48.986856870155165</v>
          </cell>
          <cell r="S76">
            <v>212.54032489678514</v>
          </cell>
          <cell r="T76">
            <v>471.3132034872844</v>
          </cell>
          <cell r="U76">
            <v>91.042244466564512</v>
          </cell>
        </row>
        <row r="77">
          <cell r="I77">
            <v>39129</v>
          </cell>
          <cell r="J77">
            <v>4360</v>
          </cell>
          <cell r="K77">
            <v>84</v>
          </cell>
          <cell r="L77">
            <v>789</v>
          </cell>
          <cell r="M77">
            <v>2110</v>
          </cell>
          <cell r="N77">
            <v>7.7530999999999999</v>
          </cell>
          <cell r="O77">
            <v>562.35570288013832</v>
          </cell>
          <cell r="P77">
            <v>142.79999999999998</v>
          </cell>
          <cell r="Q77">
            <v>71.236021720344112</v>
          </cell>
          <cell r="R77">
            <v>48.986856870155165</v>
          </cell>
          <cell r="S77">
            <v>211.92280352926377</v>
          </cell>
          <cell r="T77">
            <v>474.94568211976303</v>
          </cell>
          <cell r="U77">
            <v>90.48684874547547</v>
          </cell>
        </row>
        <row r="78">
          <cell r="I78">
            <v>39130</v>
          </cell>
          <cell r="J78">
            <v>4360</v>
          </cell>
          <cell r="K78">
            <v>84</v>
          </cell>
          <cell r="L78">
            <v>789</v>
          </cell>
          <cell r="M78">
            <v>2110</v>
          </cell>
          <cell r="N78">
            <v>7.7530999999999999</v>
          </cell>
          <cell r="O78">
            <v>562.35570288013832</v>
          </cell>
          <cell r="P78">
            <v>142.79999999999998</v>
          </cell>
          <cell r="Q78">
            <v>71.236021720344112</v>
          </cell>
          <cell r="R78">
            <v>48.986856870155165</v>
          </cell>
          <cell r="S78">
            <v>211.92280352926377</v>
          </cell>
          <cell r="T78">
            <v>474.94568211976303</v>
          </cell>
          <cell r="U78">
            <v>89.931453024386542</v>
          </cell>
        </row>
        <row r="79">
          <cell r="I79">
            <v>39131</v>
          </cell>
          <cell r="J79">
            <v>4360</v>
          </cell>
          <cell r="K79">
            <v>84</v>
          </cell>
          <cell r="L79">
            <v>789</v>
          </cell>
          <cell r="M79">
            <v>2110</v>
          </cell>
          <cell r="N79">
            <v>7.7530999999999999</v>
          </cell>
          <cell r="O79">
            <v>562.35570288013832</v>
          </cell>
          <cell r="P79">
            <v>142.79999999999998</v>
          </cell>
          <cell r="Q79">
            <v>71.236021720344112</v>
          </cell>
          <cell r="R79">
            <v>48.986856870155165</v>
          </cell>
          <cell r="S79">
            <v>211.92280352926377</v>
          </cell>
          <cell r="T79">
            <v>474.94568211976303</v>
          </cell>
          <cell r="U79">
            <v>89.3760573032975</v>
          </cell>
        </row>
        <row r="80">
          <cell r="I80">
            <v>39132</v>
          </cell>
          <cell r="J80">
            <v>4360</v>
          </cell>
          <cell r="K80">
            <v>84</v>
          </cell>
          <cell r="L80">
            <v>789</v>
          </cell>
          <cell r="M80">
            <v>2110</v>
          </cell>
          <cell r="N80">
            <v>7.7427000000000001</v>
          </cell>
          <cell r="O80">
            <v>563.11105944954602</v>
          </cell>
          <cell r="P80">
            <v>142.79999999999998</v>
          </cell>
          <cell r="Q80">
            <v>71.331705994033086</v>
          </cell>
          <cell r="R80">
            <v>49.052656050215035</v>
          </cell>
          <cell r="S80">
            <v>212.00909278538515</v>
          </cell>
          <cell r="T80">
            <v>475.19345482963331</v>
          </cell>
          <cell r="U80">
            <v>88.938444064335442</v>
          </cell>
        </row>
        <row r="81">
          <cell r="I81">
            <v>39133</v>
          </cell>
          <cell r="J81">
            <v>4360</v>
          </cell>
          <cell r="K81">
            <v>84</v>
          </cell>
          <cell r="L81">
            <v>789</v>
          </cell>
          <cell r="M81">
            <v>2110</v>
          </cell>
          <cell r="N81">
            <v>7.7455999999999996</v>
          </cell>
          <cell r="O81">
            <v>562.90022722577987</v>
          </cell>
          <cell r="P81">
            <v>142.79999999999998</v>
          </cell>
          <cell r="Q81">
            <v>71.304998967155541</v>
          </cell>
          <cell r="R81">
            <v>49.034290435860363</v>
          </cell>
          <cell r="S81">
            <v>211.98500805971781</v>
          </cell>
          <cell r="T81">
            <v>475.12429746273369</v>
          </cell>
          <cell r="U81">
            <v>88.512841444869025</v>
          </cell>
        </row>
        <row r="82">
          <cell r="I82">
            <v>39134</v>
          </cell>
          <cell r="J82">
            <v>4360</v>
          </cell>
          <cell r="K82">
            <v>84</v>
          </cell>
          <cell r="L82">
            <v>789</v>
          </cell>
          <cell r="M82">
            <v>2110</v>
          </cell>
          <cell r="N82">
            <v>7.7446000000000002</v>
          </cell>
          <cell r="O82">
            <v>562.97291015675432</v>
          </cell>
          <cell r="P82">
            <v>142.79999999999998</v>
          </cell>
          <cell r="Q82">
            <v>71.314206027425556</v>
          </cell>
          <cell r="R82">
            <v>49.040621852645714</v>
          </cell>
          <cell r="S82">
            <v>211.99331110003089</v>
          </cell>
          <cell r="T82">
            <v>475.14813898010215</v>
          </cell>
          <cell r="U82">
            <v>88.112981033370147</v>
          </cell>
        </row>
        <row r="83">
          <cell r="I83">
            <v>39135</v>
          </cell>
          <cell r="J83">
            <v>4360</v>
          </cell>
          <cell r="K83">
            <v>84</v>
          </cell>
          <cell r="L83">
            <v>789</v>
          </cell>
          <cell r="M83">
            <v>2110</v>
          </cell>
          <cell r="N83">
            <v>7.7446000000000002</v>
          </cell>
          <cell r="O83">
            <v>562.97291015675432</v>
          </cell>
          <cell r="P83">
            <v>142.79999999999998</v>
          </cell>
          <cell r="Q83">
            <v>71.314206027425556</v>
          </cell>
          <cell r="R83">
            <v>49.040621852645714</v>
          </cell>
          <cell r="S83">
            <v>211.99331110003089</v>
          </cell>
          <cell r="T83">
            <v>475.14813898010215</v>
          </cell>
          <cell r="U83">
            <v>87.653305573912746</v>
          </cell>
        </row>
        <row r="84">
          <cell r="I84">
            <v>39136</v>
          </cell>
          <cell r="J84">
            <v>4360</v>
          </cell>
          <cell r="K84">
            <v>84</v>
          </cell>
          <cell r="L84">
            <v>789</v>
          </cell>
          <cell r="M84">
            <v>2110</v>
          </cell>
          <cell r="N84">
            <v>7.7426000000000004</v>
          </cell>
          <cell r="O84">
            <v>563.11833234314054</v>
          </cell>
          <cell r="P84">
            <v>142.79999999999998</v>
          </cell>
          <cell r="Q84">
            <v>71.332627282824888</v>
          </cell>
          <cell r="R84">
            <v>49.053289592643296</v>
          </cell>
          <cell r="S84">
            <v>212.00992361496094</v>
          </cell>
          <cell r="T84">
            <v>475.19584049042908</v>
          </cell>
          <cell r="U84">
            <v>87.726515729960909</v>
          </cell>
        </row>
        <row r="85">
          <cell r="I85">
            <v>39137</v>
          </cell>
          <cell r="J85">
            <v>4360</v>
          </cell>
          <cell r="K85">
            <v>84</v>
          </cell>
          <cell r="L85">
            <v>789</v>
          </cell>
          <cell r="M85">
            <v>2110</v>
          </cell>
          <cell r="N85">
            <v>7.7426000000000004</v>
          </cell>
          <cell r="O85">
            <v>563.11833234314054</v>
          </cell>
          <cell r="P85">
            <v>142.79999999999998</v>
          </cell>
          <cell r="Q85">
            <v>71.332627282824888</v>
          </cell>
          <cell r="R85">
            <v>49.053289592643296</v>
          </cell>
          <cell r="S85">
            <v>212.00992361496094</v>
          </cell>
          <cell r="T85">
            <v>475.19584049042908</v>
          </cell>
          <cell r="U85">
            <v>87.799725886008844</v>
          </cell>
        </row>
        <row r="86">
          <cell r="I86">
            <v>39138</v>
          </cell>
          <cell r="J86">
            <v>4360</v>
          </cell>
          <cell r="K86">
            <v>84</v>
          </cell>
          <cell r="L86">
            <v>789</v>
          </cell>
          <cell r="M86">
            <v>2110</v>
          </cell>
          <cell r="N86">
            <v>7.7426000000000004</v>
          </cell>
          <cell r="O86">
            <v>563.11833234314054</v>
          </cell>
          <cell r="P86">
            <v>142.79999999999998</v>
          </cell>
          <cell r="Q86">
            <v>71.332627282824888</v>
          </cell>
          <cell r="R86">
            <v>49.053289592643296</v>
          </cell>
          <cell r="S86">
            <v>212.00992361496094</v>
          </cell>
          <cell r="T86">
            <v>475.19584049042908</v>
          </cell>
          <cell r="U86">
            <v>87.872936042056836</v>
          </cell>
        </row>
        <row r="87">
          <cell r="I87">
            <v>39139</v>
          </cell>
          <cell r="J87">
            <v>4360</v>
          </cell>
          <cell r="K87">
            <v>84</v>
          </cell>
          <cell r="L87">
            <v>789</v>
          </cell>
          <cell r="M87">
            <v>2110</v>
          </cell>
          <cell r="N87">
            <v>7.7495000000000003</v>
          </cell>
          <cell r="O87">
            <v>562.61694302858245</v>
          </cell>
          <cell r="P87">
            <v>142.79999999999998</v>
          </cell>
          <cell r="Q87">
            <v>71.269114136395885</v>
          </cell>
          <cell r="R87">
            <v>49.009613523453119</v>
          </cell>
          <cell r="S87">
            <v>211.95264667750826</v>
          </cell>
          <cell r="T87">
            <v>475.03137433735725</v>
          </cell>
          <cell r="U87">
            <v>87.825502337958596</v>
          </cell>
        </row>
        <row r="88">
          <cell r="I88">
            <v>39140</v>
          </cell>
          <cell r="J88">
            <v>4410</v>
          </cell>
          <cell r="K88">
            <v>84</v>
          </cell>
          <cell r="L88">
            <v>789</v>
          </cell>
          <cell r="M88">
            <v>2110</v>
          </cell>
          <cell r="N88">
            <v>7.7435</v>
          </cell>
          <cell r="O88">
            <v>569.50991153870984</v>
          </cell>
          <cell r="P88">
            <v>142.79999999999998</v>
          </cell>
          <cell r="Q88">
            <v>71.32433654032414</v>
          </cell>
          <cell r="R88">
            <v>49.047588299864394</v>
          </cell>
          <cell r="S88">
            <v>212.94064763995607</v>
          </cell>
          <cell r="T88">
            <v>476.11257248014459</v>
          </cell>
          <cell r="U88">
            <v>88.628560808747011</v>
          </cell>
        </row>
        <row r="89">
          <cell r="I89">
            <v>39141</v>
          </cell>
          <cell r="J89">
            <v>4410</v>
          </cell>
          <cell r="K89">
            <v>84</v>
          </cell>
          <cell r="L89">
            <v>792</v>
          </cell>
          <cell r="M89">
            <v>2110</v>
          </cell>
          <cell r="N89">
            <v>7.7416999999999998</v>
          </cell>
          <cell r="O89">
            <v>569.64232662076802</v>
          </cell>
          <cell r="P89">
            <v>142.79999999999998</v>
          </cell>
          <cell r="Q89">
            <v>71.6121782037537</v>
          </cell>
          <cell r="R89">
            <v>49.058992211013084</v>
          </cell>
          <cell r="S89">
            <v>212.91640731198308</v>
          </cell>
          <cell r="T89">
            <v>476.3875777267499</v>
          </cell>
          <cell r="U89">
            <v>89.404271911227909</v>
          </cell>
        </row>
        <row r="90">
          <cell r="I90">
            <v>39142</v>
          </cell>
          <cell r="J90">
            <v>4410</v>
          </cell>
          <cell r="K90">
            <v>84</v>
          </cell>
          <cell r="L90">
            <v>792</v>
          </cell>
          <cell r="M90">
            <v>2110</v>
          </cell>
          <cell r="N90">
            <v>7.7439</v>
          </cell>
          <cell r="O90">
            <v>569.48049432456514</v>
          </cell>
          <cell r="P90">
            <v>142.79999999999998</v>
          </cell>
          <cell r="Q90">
            <v>71.591833572231039</v>
          </cell>
          <cell r="R90">
            <v>49.045054817340095</v>
          </cell>
          <cell r="S90">
            <v>212.89787436662306</v>
          </cell>
          <cell r="T90">
            <v>476.33476275619415</v>
          </cell>
          <cell r="U90">
            <v>90.164409110044915</v>
          </cell>
        </row>
        <row r="91">
          <cell r="I91">
            <v>39143</v>
          </cell>
          <cell r="J91">
            <v>4410</v>
          </cell>
          <cell r="K91">
            <v>84</v>
          </cell>
          <cell r="L91">
            <v>792</v>
          </cell>
          <cell r="M91">
            <v>2110</v>
          </cell>
          <cell r="N91">
            <v>7.7476000000000003</v>
          </cell>
          <cell r="O91">
            <v>569.20852909288033</v>
          </cell>
          <cell r="P91">
            <v>142.79999999999998</v>
          </cell>
          <cell r="Q91">
            <v>71.55764365739067</v>
          </cell>
          <cell r="R91">
            <v>49.021632505550102</v>
          </cell>
          <cell r="S91">
            <v>212.86672905819634</v>
          </cell>
          <cell r="T91">
            <v>476.24600522113712</v>
          </cell>
          <cell r="U91">
            <v>90.884413684192282</v>
          </cell>
        </row>
        <row r="92">
          <cell r="I92">
            <v>39144</v>
          </cell>
          <cell r="J92">
            <v>4410</v>
          </cell>
          <cell r="K92">
            <v>84</v>
          </cell>
          <cell r="L92">
            <v>792</v>
          </cell>
          <cell r="M92">
            <v>2110</v>
          </cell>
          <cell r="N92">
            <v>7.7476000000000003</v>
          </cell>
          <cell r="O92">
            <v>569.20852909288033</v>
          </cell>
          <cell r="P92">
            <v>142.79999999999998</v>
          </cell>
          <cell r="Q92">
            <v>71.55764365739067</v>
          </cell>
          <cell r="R92">
            <v>49.021632505550102</v>
          </cell>
          <cell r="S92">
            <v>212.86672905819634</v>
          </cell>
          <cell r="T92">
            <v>476.24600522113712</v>
          </cell>
          <cell r="U92">
            <v>91.604418258339649</v>
          </cell>
        </row>
        <row r="93">
          <cell r="I93">
            <v>39145</v>
          </cell>
          <cell r="J93">
            <v>4410</v>
          </cell>
          <cell r="K93">
            <v>84</v>
          </cell>
          <cell r="L93">
            <v>792</v>
          </cell>
          <cell r="M93">
            <v>2110</v>
          </cell>
          <cell r="N93">
            <v>7.7476000000000003</v>
          </cell>
          <cell r="O93">
            <v>569.20852909288033</v>
          </cell>
          <cell r="P93">
            <v>142.79999999999998</v>
          </cell>
          <cell r="Q93">
            <v>71.55764365739067</v>
          </cell>
          <cell r="R93">
            <v>49.021632505550102</v>
          </cell>
          <cell r="S93">
            <v>212.86672905819634</v>
          </cell>
          <cell r="T93">
            <v>476.24600522113712</v>
          </cell>
          <cell r="U93">
            <v>92.324422832487073</v>
          </cell>
        </row>
        <row r="94">
          <cell r="I94">
            <v>39146</v>
          </cell>
          <cell r="J94">
            <v>4410</v>
          </cell>
          <cell r="K94">
            <v>84</v>
          </cell>
          <cell r="L94">
            <v>792</v>
          </cell>
          <cell r="M94">
            <v>2110</v>
          </cell>
          <cell r="N94">
            <v>7.7454999999999998</v>
          </cell>
          <cell r="O94">
            <v>569.36285585178496</v>
          </cell>
          <cell r="P94">
            <v>142.79999999999998</v>
          </cell>
          <cell r="Q94">
            <v>71.577044735652947</v>
          </cell>
          <cell r="R94">
            <v>49.034923503970049</v>
          </cell>
          <cell r="S94">
            <v>212.88440247356198</v>
          </cell>
          <cell r="T94">
            <v>476.29637071318496</v>
          </cell>
          <cell r="U94">
            <v>93.107410896397596</v>
          </cell>
        </row>
        <row r="95">
          <cell r="I95">
            <v>39147</v>
          </cell>
          <cell r="J95">
            <v>4410</v>
          </cell>
          <cell r="K95">
            <v>84</v>
          </cell>
          <cell r="L95">
            <v>792</v>
          </cell>
          <cell r="M95">
            <v>2167.5</v>
          </cell>
          <cell r="N95">
            <v>7.7440999999999995</v>
          </cell>
          <cell r="O95">
            <v>569.46578685709119</v>
          </cell>
          <cell r="P95">
            <v>142.79999999999998</v>
          </cell>
          <cell r="Q95">
            <v>71.58998463346289</v>
          </cell>
          <cell r="R95">
            <v>50.380289510724289</v>
          </cell>
          <cell r="S95">
            <v>212.70199757366981</v>
          </cell>
          <cell r="T95">
            <v>477.47227171785698</v>
          </cell>
          <cell r="U95">
            <v>92.906864622207536</v>
          </cell>
        </row>
        <row r="96">
          <cell r="I96">
            <v>39148</v>
          </cell>
          <cell r="J96">
            <v>4410</v>
          </cell>
          <cell r="K96">
            <v>84</v>
          </cell>
          <cell r="L96">
            <v>792</v>
          </cell>
          <cell r="M96">
            <v>2167.5</v>
          </cell>
          <cell r="N96">
            <v>7.7397</v>
          </cell>
          <cell r="O96">
            <v>569.78952672584205</v>
          </cell>
          <cell r="P96">
            <v>142.79999999999998</v>
          </cell>
          <cell r="Q96">
            <v>71.630683359820139</v>
          </cell>
          <cell r="R96">
            <v>50.408930578704606</v>
          </cell>
          <cell r="S96">
            <v>212.7389616870461</v>
          </cell>
          <cell r="T96">
            <v>477.57857562557081</v>
          </cell>
          <cell r="U96">
            <v>92.757750651672211</v>
          </cell>
        </row>
        <row r="97">
          <cell r="I97">
            <v>39149</v>
          </cell>
          <cell r="J97">
            <v>4410</v>
          </cell>
          <cell r="K97">
            <v>84</v>
          </cell>
          <cell r="L97">
            <v>792</v>
          </cell>
          <cell r="M97">
            <v>2167.5</v>
          </cell>
          <cell r="N97">
            <v>7.74</v>
          </cell>
          <cell r="O97">
            <v>569.76744186046506</v>
          </cell>
          <cell r="P97">
            <v>142.79999999999998</v>
          </cell>
          <cell r="Q97">
            <v>71.627906976744185</v>
          </cell>
          <cell r="R97">
            <v>50.406976744186046</v>
          </cell>
          <cell r="S97">
            <v>212.73644007155636</v>
          </cell>
          <cell r="T97">
            <v>477.57132379248662</v>
          </cell>
          <cell r="U97">
            <v>92.622091580187714</v>
          </cell>
        </row>
        <row r="98">
          <cell r="I98">
            <v>39150</v>
          </cell>
          <cell r="J98">
            <v>4410</v>
          </cell>
          <cell r="K98">
            <v>84</v>
          </cell>
          <cell r="L98">
            <v>792</v>
          </cell>
          <cell r="M98">
            <v>2167.5</v>
          </cell>
          <cell r="N98">
            <v>7.7460000000000004</v>
          </cell>
          <cell r="O98">
            <v>569.32610379550738</v>
          </cell>
          <cell r="P98">
            <v>142.79999999999998</v>
          </cell>
          <cell r="Q98">
            <v>71.572424477149482</v>
          </cell>
          <cell r="R98">
            <v>50.367931835786216</v>
          </cell>
          <cell r="S98">
            <v>212.68604877951896</v>
          </cell>
          <cell r="T98">
            <v>477.42640509245467</v>
          </cell>
          <cell r="U98">
            <v>92.470259413231872</v>
          </cell>
        </row>
        <row r="99">
          <cell r="I99">
            <v>39151</v>
          </cell>
          <cell r="J99">
            <v>4410</v>
          </cell>
          <cell r="K99">
            <v>84</v>
          </cell>
          <cell r="L99">
            <v>792</v>
          </cell>
          <cell r="M99">
            <v>2167.5</v>
          </cell>
          <cell r="N99">
            <v>7.7460000000000004</v>
          </cell>
          <cell r="O99">
            <v>569.32610379550738</v>
          </cell>
          <cell r="P99">
            <v>142.79999999999998</v>
          </cell>
          <cell r="Q99">
            <v>71.572424477149482</v>
          </cell>
          <cell r="R99">
            <v>50.367931835786216</v>
          </cell>
          <cell r="S99">
            <v>212.68604877951896</v>
          </cell>
          <cell r="T99">
            <v>477.42640509245467</v>
          </cell>
          <cell r="U99">
            <v>92.318427246276087</v>
          </cell>
        </row>
        <row r="100">
          <cell r="I100">
            <v>39152</v>
          </cell>
          <cell r="J100">
            <v>4410</v>
          </cell>
          <cell r="K100">
            <v>84</v>
          </cell>
          <cell r="L100">
            <v>792</v>
          </cell>
          <cell r="M100">
            <v>2167.5</v>
          </cell>
          <cell r="N100">
            <v>7.7460000000000004</v>
          </cell>
          <cell r="O100">
            <v>569.32610379550738</v>
          </cell>
          <cell r="P100">
            <v>142.79999999999998</v>
          </cell>
          <cell r="Q100">
            <v>71.572424477149482</v>
          </cell>
          <cell r="R100">
            <v>50.367931835786216</v>
          </cell>
          <cell r="S100">
            <v>212.68604877951896</v>
          </cell>
          <cell r="T100">
            <v>477.42640509245467</v>
          </cell>
          <cell r="U100">
            <v>92.166595079320189</v>
          </cell>
        </row>
        <row r="101">
          <cell r="I101">
            <v>39153</v>
          </cell>
          <cell r="J101">
            <v>4410</v>
          </cell>
          <cell r="K101">
            <v>84</v>
          </cell>
          <cell r="L101">
            <v>792</v>
          </cell>
          <cell r="M101">
            <v>2167.5</v>
          </cell>
          <cell r="N101">
            <v>7.7500999999999998</v>
          </cell>
          <cell r="O101">
            <v>569.02491580753804</v>
          </cell>
          <cell r="P101">
            <v>142.79999999999998</v>
          </cell>
          <cell r="Q101">
            <v>71.534560844376202</v>
          </cell>
          <cell r="R101">
            <v>50.341285918891373</v>
          </cell>
          <cell r="S101">
            <v>212.65165960472302</v>
          </cell>
          <cell r="T101">
            <v>477.32750636799062</v>
          </cell>
          <cell r="U101">
            <v>91.971012836598391</v>
          </cell>
        </row>
        <row r="102">
          <cell r="I102">
            <v>39154</v>
          </cell>
          <cell r="J102">
            <v>4410</v>
          </cell>
          <cell r="K102">
            <v>84</v>
          </cell>
          <cell r="L102">
            <v>792</v>
          </cell>
          <cell r="M102">
            <v>2225</v>
          </cell>
          <cell r="N102">
            <v>7.7442000000000002</v>
          </cell>
          <cell r="O102">
            <v>569.45843340822807</v>
          </cell>
          <cell r="P102">
            <v>142.79999999999998</v>
          </cell>
          <cell r="Q102">
            <v>71.58906019989152</v>
          </cell>
          <cell r="R102">
            <v>51.716123034012547</v>
          </cell>
          <cell r="S102">
            <v>212.50696797404709</v>
          </cell>
          <cell r="T102">
            <v>478.61215120795111</v>
          </cell>
          <cell r="U102">
            <v>91.807122416747347</v>
          </cell>
        </row>
        <row r="103">
          <cell r="I103">
            <v>39155</v>
          </cell>
          <cell r="J103">
            <v>4410</v>
          </cell>
          <cell r="K103">
            <v>84</v>
          </cell>
          <cell r="L103">
            <v>792</v>
          </cell>
          <cell r="M103">
            <v>2225</v>
          </cell>
          <cell r="N103">
            <v>7.7396000000000003</v>
          </cell>
          <cell r="O103">
            <v>569.79688872809959</v>
          </cell>
          <cell r="P103">
            <v>142.79999999999998</v>
          </cell>
          <cell r="Q103">
            <v>71.631608868675372</v>
          </cell>
          <cell r="R103">
            <v>51.746860302858018</v>
          </cell>
          <cell r="S103">
            <v>212.54549685864637</v>
          </cell>
          <cell r="T103">
            <v>478.72396603017978</v>
          </cell>
          <cell r="U103">
            <v>91.644546930697231</v>
          </cell>
        </row>
        <row r="104">
          <cell r="I104">
            <v>39156</v>
          </cell>
          <cell r="J104">
            <v>4350</v>
          </cell>
          <cell r="K104">
            <v>84</v>
          </cell>
          <cell r="L104">
            <v>792</v>
          </cell>
          <cell r="M104">
            <v>2225</v>
          </cell>
          <cell r="N104">
            <v>7.7435</v>
          </cell>
          <cell r="O104">
            <v>561.76147736811515</v>
          </cell>
          <cell r="P104">
            <v>142.79999999999998</v>
          </cell>
          <cell r="Q104">
            <v>71.595531736294944</v>
          </cell>
          <cell r="R104">
            <v>51.720798088719569</v>
          </cell>
          <cell r="S104">
            <v>211.38698724985221</v>
          </cell>
          <cell r="T104">
            <v>477.50331707486669</v>
          </cell>
          <cell r="U104">
            <v>90.510552962878705</v>
          </cell>
        </row>
        <row r="105">
          <cell r="I105">
            <v>39157</v>
          </cell>
          <cell r="J105">
            <v>4350</v>
          </cell>
          <cell r="K105">
            <v>84</v>
          </cell>
          <cell r="L105">
            <v>792</v>
          </cell>
          <cell r="M105">
            <v>2225</v>
          </cell>
          <cell r="N105">
            <v>7.7435</v>
          </cell>
          <cell r="O105">
            <v>561.76147736811515</v>
          </cell>
          <cell r="P105">
            <v>142.79999999999998</v>
          </cell>
          <cell r="Q105">
            <v>71.595531736294944</v>
          </cell>
          <cell r="R105">
            <v>51.720798088719569</v>
          </cell>
          <cell r="S105">
            <v>211.38698724985221</v>
          </cell>
          <cell r="T105">
            <v>477.50331707486669</v>
          </cell>
          <cell r="U105">
            <v>89.418904618621013</v>
          </cell>
        </row>
        <row r="106">
          <cell r="I106">
            <v>39158</v>
          </cell>
          <cell r="J106">
            <v>4350</v>
          </cell>
          <cell r="K106">
            <v>84</v>
          </cell>
          <cell r="L106">
            <v>792</v>
          </cell>
          <cell r="M106">
            <v>2225</v>
          </cell>
          <cell r="N106">
            <v>7.7435</v>
          </cell>
          <cell r="O106">
            <v>561.76147736811515</v>
          </cell>
          <cell r="P106">
            <v>142.79999999999998</v>
          </cell>
          <cell r="Q106">
            <v>71.595531736294944</v>
          </cell>
          <cell r="R106">
            <v>51.720798088719569</v>
          </cell>
          <cell r="S106">
            <v>211.38698724985221</v>
          </cell>
          <cell r="T106">
            <v>477.50331707486669</v>
          </cell>
          <cell r="U106">
            <v>88.327256274363322</v>
          </cell>
        </row>
        <row r="107">
          <cell r="I107">
            <v>39159</v>
          </cell>
          <cell r="J107">
            <v>4350</v>
          </cell>
          <cell r="K107">
            <v>84</v>
          </cell>
          <cell r="L107">
            <v>792</v>
          </cell>
          <cell r="M107">
            <v>2225</v>
          </cell>
          <cell r="N107">
            <v>7.7435</v>
          </cell>
          <cell r="O107">
            <v>561.76147736811515</v>
          </cell>
          <cell r="P107">
            <v>142.79999999999998</v>
          </cell>
          <cell r="Q107">
            <v>71.595531736294944</v>
          </cell>
          <cell r="R107">
            <v>51.720798088719569</v>
          </cell>
          <cell r="S107">
            <v>211.38698724985221</v>
          </cell>
          <cell r="T107">
            <v>477.50331707486669</v>
          </cell>
          <cell r="U107">
            <v>87.235607930105573</v>
          </cell>
        </row>
        <row r="108">
          <cell r="I108">
            <v>39160</v>
          </cell>
          <cell r="J108">
            <v>4300</v>
          </cell>
          <cell r="K108">
            <v>84</v>
          </cell>
          <cell r="L108">
            <v>792</v>
          </cell>
          <cell r="M108">
            <v>2225</v>
          </cell>
          <cell r="N108">
            <v>7.7369000000000003</v>
          </cell>
          <cell r="O108">
            <v>555.77815404102421</v>
          </cell>
          <cell r="P108">
            <v>142.79999999999998</v>
          </cell>
          <cell r="Q108">
            <v>71.65660665124274</v>
          </cell>
          <cell r="R108">
            <v>51.764918765913997</v>
          </cell>
          <cell r="S108">
            <v>210.50233065474995</v>
          </cell>
          <cell r="T108">
            <v>476.72385607190665</v>
          </cell>
          <cell r="U108">
            <v>85.429449148615618</v>
          </cell>
        </row>
        <row r="109">
          <cell r="I109">
            <v>39161</v>
          </cell>
          <cell r="J109">
            <v>4280</v>
          </cell>
          <cell r="K109">
            <v>84</v>
          </cell>
          <cell r="L109">
            <v>792</v>
          </cell>
          <cell r="M109">
            <v>2225</v>
          </cell>
          <cell r="N109">
            <v>7.7399000000000004</v>
          </cell>
          <cell r="O109">
            <v>552.97872065530555</v>
          </cell>
          <cell r="P109">
            <v>142.79999999999998</v>
          </cell>
          <cell r="Q109">
            <v>71.628832413855463</v>
          </cell>
          <cell r="R109">
            <v>51.744854584684546</v>
          </cell>
          <cell r="S109">
            <v>210.10252625782061</v>
          </cell>
          <cell r="T109">
            <v>476.27621325636062</v>
          </cell>
          <cell r="U109">
            <v>83.408909891282406</v>
          </cell>
        </row>
        <row r="110">
          <cell r="I110">
            <v>39162</v>
          </cell>
          <cell r="J110">
            <v>4280</v>
          </cell>
          <cell r="K110">
            <v>84</v>
          </cell>
          <cell r="L110">
            <v>792</v>
          </cell>
          <cell r="M110">
            <v>2225</v>
          </cell>
          <cell r="N110">
            <v>7.7343999999999999</v>
          </cell>
          <cell r="O110">
            <v>553.37194869673147</v>
          </cell>
          <cell r="P110">
            <v>142.79999999999998</v>
          </cell>
          <cell r="Q110">
            <v>71.6797683078196</v>
          </cell>
          <cell r="R110">
            <v>51.781650806785272</v>
          </cell>
          <cell r="S110">
            <v>210.14691455466794</v>
          </cell>
          <cell r="T110">
            <v>476.40833366927279</v>
          </cell>
          <cell r="U110">
            <v>81.393294509787836</v>
          </cell>
        </row>
        <row r="111">
          <cell r="I111">
            <v>39163</v>
          </cell>
          <cell r="J111">
            <v>4280</v>
          </cell>
          <cell r="K111">
            <v>84</v>
          </cell>
          <cell r="L111">
            <v>792</v>
          </cell>
          <cell r="M111">
            <v>2225</v>
          </cell>
          <cell r="N111">
            <v>7.7268999999999997</v>
          </cell>
          <cell r="O111">
            <v>553.90907090812618</v>
          </cell>
          <cell r="P111">
            <v>142.79999999999998</v>
          </cell>
          <cell r="Q111">
            <v>71.74934320361335</v>
          </cell>
          <cell r="R111">
            <v>51.831911892220681</v>
          </cell>
          <cell r="S111">
            <v>210.20754588725609</v>
          </cell>
          <cell r="T111">
            <v>476.5888009830901</v>
          </cell>
          <cell r="U111">
            <v>80.402167314328892</v>
          </cell>
        </row>
        <row r="112">
          <cell r="I112">
            <v>39164</v>
          </cell>
          <cell r="J112">
            <v>4280</v>
          </cell>
          <cell r="K112">
            <v>84</v>
          </cell>
          <cell r="L112">
            <v>792</v>
          </cell>
          <cell r="M112">
            <v>2225</v>
          </cell>
          <cell r="N112">
            <v>7.7290000000000001</v>
          </cell>
          <cell r="O112">
            <v>553.758571613404</v>
          </cell>
          <cell r="P112">
            <v>142.79999999999998</v>
          </cell>
          <cell r="Q112">
            <v>71.729848622072709</v>
          </cell>
          <cell r="R112">
            <v>51.817828955880444</v>
          </cell>
          <cell r="S112">
            <v>210.19055725301422</v>
          </cell>
          <cell r="T112">
            <v>476.53823483096733</v>
          </cell>
          <cell r="U112">
            <v>79.396763955641575</v>
          </cell>
        </row>
        <row r="113">
          <cell r="I113">
            <v>39165</v>
          </cell>
          <cell r="J113">
            <v>4280</v>
          </cell>
          <cell r="K113">
            <v>84</v>
          </cell>
          <cell r="L113">
            <v>792</v>
          </cell>
          <cell r="M113">
            <v>2225</v>
          </cell>
          <cell r="N113">
            <v>7.7290000000000001</v>
          </cell>
          <cell r="O113">
            <v>553.758571613404</v>
          </cell>
          <cell r="P113">
            <v>142.79999999999998</v>
          </cell>
          <cell r="Q113">
            <v>71.729848622072709</v>
          </cell>
          <cell r="R113">
            <v>51.817828955880444</v>
          </cell>
          <cell r="S113">
            <v>210.19055725301422</v>
          </cell>
          <cell r="T113">
            <v>476.53823483096733</v>
          </cell>
          <cell r="U113">
            <v>78.391360596954257</v>
          </cell>
        </row>
        <row r="114">
          <cell r="I114">
            <v>39166</v>
          </cell>
          <cell r="J114">
            <v>4280</v>
          </cell>
          <cell r="K114">
            <v>84</v>
          </cell>
          <cell r="L114">
            <v>792</v>
          </cell>
          <cell r="M114">
            <v>2225</v>
          </cell>
          <cell r="N114">
            <v>7.7290000000000001</v>
          </cell>
          <cell r="O114">
            <v>553.758571613404</v>
          </cell>
          <cell r="P114">
            <v>142.79999999999998</v>
          </cell>
          <cell r="Q114">
            <v>71.729848622072709</v>
          </cell>
          <cell r="R114">
            <v>51.817828955880444</v>
          </cell>
          <cell r="S114">
            <v>210.19055725301422</v>
          </cell>
          <cell r="T114">
            <v>476.53823483096733</v>
          </cell>
          <cell r="U114">
            <v>77.385957238266712</v>
          </cell>
        </row>
        <row r="115">
          <cell r="I115">
            <v>39167</v>
          </cell>
          <cell r="J115">
            <v>4280</v>
          </cell>
          <cell r="K115">
            <v>84</v>
          </cell>
          <cell r="L115">
            <v>792</v>
          </cell>
          <cell r="M115">
            <v>2225</v>
          </cell>
          <cell r="N115">
            <v>7.7386999999999997</v>
          </cell>
          <cell r="O115">
            <v>553.06446819233201</v>
          </cell>
          <cell r="P115">
            <v>142.79999999999998</v>
          </cell>
          <cell r="Q115">
            <v>71.639939524726373</v>
          </cell>
          <cell r="R115">
            <v>51.752878390427334</v>
          </cell>
          <cell r="S115">
            <v>210.11220559582929</v>
          </cell>
          <cell r="T115">
            <v>476.30502351098301</v>
          </cell>
          <cell r="U115">
            <v>77.058121054299818</v>
          </cell>
        </row>
        <row r="116">
          <cell r="I116">
            <v>39168</v>
          </cell>
          <cell r="J116">
            <v>4280</v>
          </cell>
          <cell r="K116">
            <v>84</v>
          </cell>
          <cell r="L116">
            <v>792</v>
          </cell>
          <cell r="M116">
            <v>2225</v>
          </cell>
          <cell r="N116">
            <v>7.7332000000000001</v>
          </cell>
          <cell r="O116">
            <v>553.45781823824552</v>
          </cell>
          <cell r="P116">
            <v>142.79999999999998</v>
          </cell>
          <cell r="Q116">
            <v>71.690891222262451</v>
          </cell>
          <cell r="R116">
            <v>51.789686029069465</v>
          </cell>
          <cell r="S116">
            <v>210.1566076647652</v>
          </cell>
          <cell r="T116">
            <v>476.43718491609712</v>
          </cell>
          <cell r="U116">
            <v>77.103567614757424</v>
          </cell>
        </row>
        <row r="117">
          <cell r="I117">
            <v>39169</v>
          </cell>
          <cell r="J117">
            <v>4280</v>
          </cell>
          <cell r="K117">
            <v>84</v>
          </cell>
          <cell r="L117">
            <v>792</v>
          </cell>
          <cell r="M117">
            <v>2225</v>
          </cell>
          <cell r="N117">
            <v>7.7290000000000001</v>
          </cell>
          <cell r="O117">
            <v>553.758571613404</v>
          </cell>
          <cell r="P117">
            <v>142.79999999999998</v>
          </cell>
          <cell r="Q117">
            <v>71.729848622072709</v>
          </cell>
          <cell r="R117">
            <v>51.817828955880444</v>
          </cell>
          <cell r="S117">
            <v>210.19055725301422</v>
          </cell>
          <cell r="T117">
            <v>476.53823483096733</v>
          </cell>
          <cell r="U117">
            <v>77.140242151182917</v>
          </cell>
        </row>
        <row r="118">
          <cell r="I118">
            <v>39170</v>
          </cell>
          <cell r="J118">
            <v>4200</v>
          </cell>
          <cell r="K118">
            <v>84</v>
          </cell>
          <cell r="L118">
            <v>792</v>
          </cell>
          <cell r="M118">
            <v>2225</v>
          </cell>
          <cell r="N118">
            <v>7.7274000000000003</v>
          </cell>
          <cell r="O118">
            <v>543.52045966301728</v>
          </cell>
          <cell r="P118">
            <v>142.79999999999998</v>
          </cell>
          <cell r="Q118">
            <v>71.744700675518274</v>
          </cell>
          <cell r="R118">
            <v>51.828558117866287</v>
          </cell>
          <cell r="S118">
            <v>208.6992514084082</v>
          </cell>
          <cell r="T118">
            <v>475.07251020179274</v>
          </cell>
          <cell r="U118">
            <v>75.872767799209782</v>
          </cell>
        </row>
        <row r="119">
          <cell r="I119">
            <v>39171</v>
          </cell>
          <cell r="J119">
            <v>4200</v>
          </cell>
          <cell r="K119">
            <v>94</v>
          </cell>
          <cell r="L119">
            <v>792</v>
          </cell>
          <cell r="M119">
            <v>2225</v>
          </cell>
          <cell r="N119">
            <v>7.7315000000000005</v>
          </cell>
          <cell r="O119">
            <v>543.23223177908551</v>
          </cell>
          <cell r="P119">
            <v>159.79999999999998</v>
          </cell>
          <cell r="Q119">
            <v>71.706654594839279</v>
          </cell>
          <cell r="R119">
            <v>51.8010735303628</v>
          </cell>
          <cell r="S119">
            <v>206.19680822321382</v>
          </cell>
          <cell r="T119">
            <v>489.50453634841585</v>
          </cell>
          <cell r="U119">
            <v>72.51667617752878</v>
          </cell>
        </row>
        <row r="120">
          <cell r="I120">
            <v>39172</v>
          </cell>
          <cell r="J120">
            <v>4200</v>
          </cell>
          <cell r="K120">
            <v>94</v>
          </cell>
          <cell r="L120">
            <v>788</v>
          </cell>
          <cell r="M120">
            <v>2225</v>
          </cell>
          <cell r="N120">
            <v>7.7315000000000005</v>
          </cell>
          <cell r="O120">
            <v>543.23223177908551</v>
          </cell>
          <cell r="P120">
            <v>159.79999999999998</v>
          </cell>
          <cell r="Q120">
            <v>71.344499773653226</v>
          </cell>
          <cell r="R120">
            <v>51.8010735303628</v>
          </cell>
          <cell r="S120">
            <v>206.24942900919811</v>
          </cell>
          <cell r="T120">
            <v>489.1950023132141</v>
          </cell>
          <cell r="U120">
            <v>69.204803703733774</v>
          </cell>
        </row>
        <row r="121">
          <cell r="I121">
            <v>39173</v>
          </cell>
          <cell r="J121">
            <v>4200</v>
          </cell>
          <cell r="K121">
            <v>94</v>
          </cell>
          <cell r="L121">
            <v>788</v>
          </cell>
          <cell r="M121">
            <v>2225</v>
          </cell>
          <cell r="N121">
            <v>7.7315000000000005</v>
          </cell>
          <cell r="O121">
            <v>543.23223177908551</v>
          </cell>
          <cell r="P121">
            <v>159.79999999999998</v>
          </cell>
          <cell r="Q121">
            <v>71.344499773653226</v>
          </cell>
          <cell r="R121">
            <v>51.8010735303628</v>
          </cell>
          <cell r="S121">
            <v>206.24942900919811</v>
          </cell>
          <cell r="T121">
            <v>489.1950023132141</v>
          </cell>
          <cell r="U121">
            <v>65.892931229938711</v>
          </cell>
        </row>
        <row r="122">
          <cell r="I122">
            <v>39174</v>
          </cell>
          <cell r="J122">
            <v>4200</v>
          </cell>
          <cell r="K122">
            <v>94</v>
          </cell>
          <cell r="L122">
            <v>788</v>
          </cell>
          <cell r="M122">
            <v>2225</v>
          </cell>
          <cell r="N122">
            <v>7.7323000000000004</v>
          </cell>
          <cell r="O122">
            <v>543.17602783130496</v>
          </cell>
          <cell r="P122">
            <v>159.79999999999998</v>
          </cell>
          <cell r="Q122">
            <v>71.337118321844713</v>
          </cell>
          <cell r="R122">
            <v>51.795714082485155</v>
          </cell>
          <cell r="S122">
            <v>206.2431138654579</v>
          </cell>
          <cell r="T122">
            <v>489.1759462697878</v>
          </cell>
          <cell r="U122">
            <v>62.641593641391353</v>
          </cell>
        </row>
        <row r="123">
          <cell r="I123">
            <v>39175</v>
          </cell>
          <cell r="J123">
            <v>4200</v>
          </cell>
          <cell r="K123">
            <v>94</v>
          </cell>
          <cell r="L123">
            <v>788</v>
          </cell>
          <cell r="M123">
            <v>2250</v>
          </cell>
          <cell r="N123">
            <v>7.7336</v>
          </cell>
          <cell r="O123">
            <v>543.08472121650982</v>
          </cell>
          <cell r="P123">
            <v>159.79999999999998</v>
          </cell>
          <cell r="Q123">
            <v>71.325126719768278</v>
          </cell>
          <cell r="R123">
            <v>52.368883831592008</v>
          </cell>
          <cell r="S123">
            <v>206.14830838724396</v>
          </cell>
          <cell r="T123">
            <v>489.64231893860426</v>
          </cell>
          <cell r="U123">
            <v>59.273274920785241</v>
          </cell>
        </row>
        <row r="124">
          <cell r="I124">
            <v>39176</v>
          </cell>
          <cell r="J124">
            <v>4200</v>
          </cell>
          <cell r="K124">
            <v>94</v>
          </cell>
          <cell r="L124">
            <v>788</v>
          </cell>
          <cell r="M124">
            <v>2250</v>
          </cell>
          <cell r="N124">
            <v>7.734</v>
          </cell>
          <cell r="O124">
            <v>543.05663304887514</v>
          </cell>
          <cell r="P124">
            <v>159.79999999999998</v>
          </cell>
          <cell r="Q124">
            <v>71.321437807085587</v>
          </cell>
          <cell r="R124">
            <v>52.366175329712952</v>
          </cell>
          <cell r="S124">
            <v>206.14515673936157</v>
          </cell>
          <cell r="T124">
            <v>489.63276987616007</v>
          </cell>
          <cell r="U124">
            <v>55.873778690824963</v>
          </cell>
        </row>
        <row r="125">
          <cell r="I125">
            <v>39177</v>
          </cell>
          <cell r="J125">
            <v>4200</v>
          </cell>
          <cell r="K125">
            <v>94</v>
          </cell>
          <cell r="L125">
            <v>788</v>
          </cell>
          <cell r="M125">
            <v>2250</v>
          </cell>
          <cell r="N125">
            <v>7.7280999999999995</v>
          </cell>
          <cell r="O125">
            <v>543.47122837437405</v>
          </cell>
          <cell r="P125">
            <v>159.79999999999998</v>
          </cell>
          <cell r="Q125">
            <v>71.375887993167794</v>
          </cell>
          <cell r="R125">
            <v>52.406154164671783</v>
          </cell>
          <cell r="S125">
            <v>206.19167662975289</v>
          </cell>
          <cell r="T125">
            <v>489.77371878759243</v>
          </cell>
          <cell r="U125">
            <v>53.766572994476064</v>
          </cell>
        </row>
        <row r="126">
          <cell r="I126">
            <v>39178</v>
          </cell>
          <cell r="J126">
            <v>4200</v>
          </cell>
          <cell r="K126">
            <v>94</v>
          </cell>
          <cell r="L126">
            <v>788</v>
          </cell>
          <cell r="M126">
            <v>2250</v>
          </cell>
          <cell r="N126">
            <v>7.7248000000000001</v>
          </cell>
          <cell r="O126">
            <v>543.70339685169847</v>
          </cell>
          <cell r="P126">
            <v>159.79999999999998</v>
          </cell>
          <cell r="Q126">
            <v>71.406379453189714</v>
          </cell>
          <cell r="R126">
            <v>52.428541839270913</v>
          </cell>
          <cell r="S126">
            <v>206.21772721800895</v>
          </cell>
          <cell r="T126">
            <v>489.85264851046952</v>
          </cell>
          <cell r="U126">
            <v>53.784151981698699</v>
          </cell>
        </row>
        <row r="127">
          <cell r="I127">
            <v>39179</v>
          </cell>
          <cell r="J127">
            <v>4200</v>
          </cell>
          <cell r="K127">
            <v>94</v>
          </cell>
          <cell r="L127">
            <v>788</v>
          </cell>
          <cell r="M127">
            <v>2250</v>
          </cell>
          <cell r="N127">
            <v>7.7248000000000001</v>
          </cell>
          <cell r="O127">
            <v>543.70339685169847</v>
          </cell>
          <cell r="P127">
            <v>159.79999999999998</v>
          </cell>
          <cell r="Q127">
            <v>71.406379453189714</v>
          </cell>
          <cell r="R127">
            <v>52.428541839270913</v>
          </cell>
          <cell r="S127">
            <v>206.21772721800895</v>
          </cell>
          <cell r="T127">
            <v>489.85264851046952</v>
          </cell>
          <cell r="U127">
            <v>53.757511821035507</v>
          </cell>
        </row>
        <row r="128">
          <cell r="I128">
            <v>39180</v>
          </cell>
          <cell r="J128">
            <v>4200</v>
          </cell>
          <cell r="K128">
            <v>94</v>
          </cell>
          <cell r="L128">
            <v>788</v>
          </cell>
          <cell r="M128">
            <v>2250</v>
          </cell>
          <cell r="N128">
            <v>7.7248000000000001</v>
          </cell>
          <cell r="O128">
            <v>543.70339685169847</v>
          </cell>
          <cell r="P128">
            <v>159.79999999999998</v>
          </cell>
          <cell r="Q128">
            <v>71.406379453189714</v>
          </cell>
          <cell r="R128">
            <v>52.428541839270913</v>
          </cell>
          <cell r="S128">
            <v>206.21772721800895</v>
          </cell>
          <cell r="T128">
            <v>489.85264851046952</v>
          </cell>
          <cell r="U128">
            <v>53.730871660372486</v>
          </cell>
        </row>
        <row r="129">
          <cell r="I129">
            <v>39181</v>
          </cell>
          <cell r="J129">
            <v>4200</v>
          </cell>
          <cell r="K129">
            <v>94</v>
          </cell>
          <cell r="L129">
            <v>788</v>
          </cell>
          <cell r="M129">
            <v>2250</v>
          </cell>
          <cell r="N129">
            <v>7.734</v>
          </cell>
          <cell r="O129">
            <v>543.05663304887514</v>
          </cell>
          <cell r="P129">
            <v>159.79999999999998</v>
          </cell>
          <cell r="Q129">
            <v>71.321437807085587</v>
          </cell>
          <cell r="R129">
            <v>52.366175329712952</v>
          </cell>
          <cell r="S129">
            <v>206.14515673936157</v>
          </cell>
          <cell r="T129">
            <v>489.63276987616007</v>
          </cell>
          <cell r="U129">
            <v>53.648554747686262</v>
          </cell>
        </row>
        <row r="130">
          <cell r="I130">
            <v>39182</v>
          </cell>
          <cell r="J130">
            <v>4300</v>
          </cell>
          <cell r="K130">
            <v>94</v>
          </cell>
          <cell r="L130">
            <v>788</v>
          </cell>
          <cell r="M130">
            <v>2275</v>
          </cell>
          <cell r="N130">
            <v>7.7350000000000003</v>
          </cell>
          <cell r="O130">
            <v>555.91467356173234</v>
          </cell>
          <cell r="P130">
            <v>159.79999999999998</v>
          </cell>
          <cell r="Q130">
            <v>71.312217194570124</v>
          </cell>
          <cell r="R130">
            <v>52.941176470588232</v>
          </cell>
          <cell r="S130">
            <v>207.93121160890391</v>
          </cell>
          <cell r="T130">
            <v>491.98460527406223</v>
          </cell>
          <cell r="U130">
            <v>55.146792749081214</v>
          </cell>
        </row>
        <row r="131">
          <cell r="I131">
            <v>39183</v>
          </cell>
          <cell r="J131">
            <v>4300</v>
          </cell>
          <cell r="K131">
            <v>94</v>
          </cell>
          <cell r="L131">
            <v>788</v>
          </cell>
          <cell r="M131">
            <v>2275</v>
          </cell>
          <cell r="N131">
            <v>7.726</v>
          </cell>
          <cell r="O131">
            <v>556.56225731296922</v>
          </cell>
          <cell r="P131">
            <v>159.79999999999998</v>
          </cell>
          <cell r="Q131">
            <v>71.395288635775302</v>
          </cell>
          <cell r="R131">
            <v>53.002847527828116</v>
          </cell>
          <cell r="S131">
            <v>208.00427401315574</v>
          </cell>
          <cell r="T131">
            <v>492.20241017675914</v>
          </cell>
          <cell r="U131">
            <v>56.709076172437676</v>
          </cell>
        </row>
        <row r="132">
          <cell r="I132">
            <v>39184</v>
          </cell>
          <cell r="J132">
            <v>4300</v>
          </cell>
          <cell r="K132">
            <v>94</v>
          </cell>
          <cell r="L132">
            <v>788</v>
          </cell>
          <cell r="M132">
            <v>2275</v>
          </cell>
          <cell r="N132">
            <v>7.7249999999999996</v>
          </cell>
          <cell r="O132">
            <v>556.63430420711973</v>
          </cell>
          <cell r="P132">
            <v>159.79999999999998</v>
          </cell>
          <cell r="Q132">
            <v>71.404530744336569</v>
          </cell>
          <cell r="R132">
            <v>53.009708737864081</v>
          </cell>
          <cell r="S132">
            <v>208.01240256686859</v>
          </cell>
          <cell r="T132">
            <v>492.22664204906926</v>
          </cell>
          <cell r="U132">
            <v>58.239097968333226</v>
          </cell>
        </row>
        <row r="133">
          <cell r="I133">
            <v>39185</v>
          </cell>
          <cell r="J133">
            <v>4300</v>
          </cell>
          <cell r="K133">
            <v>93.5</v>
          </cell>
          <cell r="L133">
            <v>788</v>
          </cell>
          <cell r="M133">
            <v>2275</v>
          </cell>
          <cell r="N133">
            <v>7.7249999999999996</v>
          </cell>
          <cell r="O133">
            <v>556.63430420711973</v>
          </cell>
          <cell r="P133">
            <v>158.94999999999999</v>
          </cell>
          <cell r="Q133">
            <v>71.404530744336569</v>
          </cell>
          <cell r="R133">
            <v>53.009708737864081</v>
          </cell>
          <cell r="S133">
            <v>208.13590684037285</v>
          </cell>
          <cell r="T133">
            <v>491.50014632257347</v>
          </cell>
          <cell r="U133">
            <v>59.851013617378555</v>
          </cell>
        </row>
        <row r="134">
          <cell r="I134">
            <v>39186</v>
          </cell>
          <cell r="J134">
            <v>4300</v>
          </cell>
          <cell r="K134">
            <v>93.5</v>
          </cell>
          <cell r="L134">
            <v>788</v>
          </cell>
          <cell r="M134">
            <v>2275</v>
          </cell>
          <cell r="N134">
            <v>7.7249999999999996</v>
          </cell>
          <cell r="O134">
            <v>556.63430420711973</v>
          </cell>
          <cell r="P134">
            <v>158.94999999999999</v>
          </cell>
          <cell r="Q134">
            <v>71.404530744336569</v>
          </cell>
          <cell r="R134">
            <v>53.009708737864081</v>
          </cell>
          <cell r="S134">
            <v>208.13590684037285</v>
          </cell>
          <cell r="T134">
            <v>491.50014632257347</v>
          </cell>
          <cell r="U134">
            <v>61.462929266423941</v>
          </cell>
        </row>
        <row r="135">
          <cell r="I135">
            <v>39187</v>
          </cell>
          <cell r="J135">
            <v>4300</v>
          </cell>
          <cell r="K135">
            <v>93.5</v>
          </cell>
          <cell r="L135">
            <v>788</v>
          </cell>
          <cell r="M135">
            <v>2275</v>
          </cell>
          <cell r="N135">
            <v>7.7249999999999996</v>
          </cell>
          <cell r="O135">
            <v>556.63430420711973</v>
          </cell>
          <cell r="P135">
            <v>158.94999999999999</v>
          </cell>
          <cell r="Q135">
            <v>71.404530744336569</v>
          </cell>
          <cell r="R135">
            <v>53.009708737864081</v>
          </cell>
          <cell r="S135">
            <v>208.13590684037285</v>
          </cell>
          <cell r="T135">
            <v>491.50014632257347</v>
          </cell>
          <cell r="U135">
            <v>63.074844915469214</v>
          </cell>
        </row>
        <row r="136">
          <cell r="I136">
            <v>39188</v>
          </cell>
          <cell r="J136">
            <v>4300</v>
          </cell>
          <cell r="K136">
            <v>93.5</v>
          </cell>
          <cell r="L136">
            <v>788</v>
          </cell>
          <cell r="M136">
            <v>2275</v>
          </cell>
          <cell r="N136">
            <v>7.7283999999999997</v>
          </cell>
          <cell r="O136">
            <v>556.38942083743075</v>
          </cell>
          <cell r="P136">
            <v>158.94999999999999</v>
          </cell>
          <cell r="Q136">
            <v>71.373117333471342</v>
          </cell>
          <cell r="R136">
            <v>52.986387868122769</v>
          </cell>
          <cell r="S136">
            <v>208.10827834024974</v>
          </cell>
          <cell r="T136">
            <v>491.41778354184385</v>
          </cell>
          <cell r="U136">
            <v>64.724526933022332</v>
          </cell>
        </row>
        <row r="137">
          <cell r="I137">
            <v>39189</v>
          </cell>
          <cell r="J137">
            <v>4300</v>
          </cell>
          <cell r="K137">
            <v>93.5</v>
          </cell>
          <cell r="L137">
            <v>788</v>
          </cell>
          <cell r="M137">
            <v>2275</v>
          </cell>
          <cell r="N137">
            <v>7.7312000000000003</v>
          </cell>
          <cell r="O137">
            <v>556.18791390728472</v>
          </cell>
          <cell r="P137">
            <v>158.94999999999999</v>
          </cell>
          <cell r="Q137">
            <v>71.347268211920522</v>
          </cell>
          <cell r="R137">
            <v>52.967197847682115</v>
          </cell>
          <cell r="S137">
            <v>208.08554370436403</v>
          </cell>
          <cell r="T137">
            <v>491.35000976396668</v>
          </cell>
          <cell r="U137">
            <v>64.854217769543595</v>
          </cell>
        </row>
        <row r="138">
          <cell r="I138">
            <v>39190</v>
          </cell>
          <cell r="J138">
            <v>4300</v>
          </cell>
          <cell r="K138">
            <v>93.5</v>
          </cell>
          <cell r="L138">
            <v>788</v>
          </cell>
          <cell r="M138">
            <v>2275</v>
          </cell>
          <cell r="N138">
            <v>7.7210000000000001</v>
          </cell>
          <cell r="O138">
            <v>556.92267840953241</v>
          </cell>
          <cell r="P138">
            <v>158.94999999999999</v>
          </cell>
          <cell r="Q138">
            <v>71.441523118766995</v>
          </cell>
          <cell r="R138">
            <v>53.037171350861279</v>
          </cell>
          <cell r="S138">
            <v>208.16844211092624</v>
          </cell>
          <cell r="T138">
            <v>491.59713658055455</v>
          </cell>
          <cell r="U138">
            <v>64.992174154224642</v>
          </cell>
        </row>
        <row r="139">
          <cell r="I139">
            <v>39191</v>
          </cell>
          <cell r="J139">
            <v>4300</v>
          </cell>
          <cell r="K139">
            <v>93.5</v>
          </cell>
          <cell r="L139">
            <v>788</v>
          </cell>
          <cell r="M139">
            <v>2275</v>
          </cell>
          <cell r="N139">
            <v>7.7175000000000002</v>
          </cell>
          <cell r="O139">
            <v>557.17525105280208</v>
          </cell>
          <cell r="P139">
            <v>158.94999999999999</v>
          </cell>
          <cell r="Q139">
            <v>71.473922902494323</v>
          </cell>
          <cell r="R139">
            <v>53.061224489795912</v>
          </cell>
          <cell r="S139">
            <v>208.19693813870683</v>
          </cell>
          <cell r="T139">
            <v>491.68208553099703</v>
          </cell>
          <cell r="U139">
            <v>65.147246063332432</v>
          </cell>
        </row>
        <row r="140">
          <cell r="I140">
            <v>39192</v>
          </cell>
          <cell r="J140">
            <v>4300</v>
          </cell>
          <cell r="K140">
            <v>95.5</v>
          </cell>
          <cell r="L140">
            <v>788</v>
          </cell>
          <cell r="M140">
            <v>2275</v>
          </cell>
          <cell r="N140">
            <v>7.7180999999999997</v>
          </cell>
          <cell r="O140">
            <v>557.13193661652485</v>
          </cell>
          <cell r="P140">
            <v>162.35</v>
          </cell>
          <cell r="Q140">
            <v>71.468366566901182</v>
          </cell>
          <cell r="R140">
            <v>53.057099545224858</v>
          </cell>
          <cell r="S140">
            <v>207.6980341758528</v>
          </cell>
          <cell r="T140">
            <v>494.57350028797885</v>
          </cell>
          <cell r="U140">
            <v>64.779285841046658</v>
          </cell>
        </row>
        <row r="141">
          <cell r="I141">
            <v>39193</v>
          </cell>
          <cell r="J141">
            <v>4300</v>
          </cell>
          <cell r="K141">
            <v>95.5</v>
          </cell>
          <cell r="L141">
            <v>788</v>
          </cell>
          <cell r="M141">
            <v>2275</v>
          </cell>
          <cell r="N141">
            <v>7.7180999999999997</v>
          </cell>
          <cell r="O141">
            <v>557.13193661652485</v>
          </cell>
          <cell r="P141">
            <v>162.35</v>
          </cell>
          <cell r="Q141">
            <v>71.468366566901182</v>
          </cell>
          <cell r="R141">
            <v>53.057099545224858</v>
          </cell>
          <cell r="S141">
            <v>207.6980341758528</v>
          </cell>
          <cell r="T141">
            <v>494.57350028797885</v>
          </cell>
          <cell r="U141">
            <v>64.411325618760941</v>
          </cell>
        </row>
        <row r="142">
          <cell r="I142">
            <v>39194</v>
          </cell>
          <cell r="J142">
            <v>4300</v>
          </cell>
          <cell r="K142">
            <v>95.5</v>
          </cell>
          <cell r="L142">
            <v>788</v>
          </cell>
          <cell r="M142">
            <v>2275</v>
          </cell>
          <cell r="N142">
            <v>7.7180999999999997</v>
          </cell>
          <cell r="O142">
            <v>557.13193661652485</v>
          </cell>
          <cell r="P142">
            <v>162.35</v>
          </cell>
          <cell r="Q142">
            <v>71.468366566901182</v>
          </cell>
          <cell r="R142">
            <v>53.057099545224858</v>
          </cell>
          <cell r="S142">
            <v>207.6980341758528</v>
          </cell>
          <cell r="T142">
            <v>494.57350028797885</v>
          </cell>
          <cell r="U142">
            <v>64.043365396475167</v>
          </cell>
        </row>
        <row r="143">
          <cell r="I143">
            <v>39195</v>
          </cell>
          <cell r="J143">
            <v>4300</v>
          </cell>
          <cell r="K143">
            <v>95.5</v>
          </cell>
          <cell r="L143">
            <v>788</v>
          </cell>
          <cell r="M143">
            <v>2275</v>
          </cell>
          <cell r="N143">
            <v>7.7232000000000003</v>
          </cell>
          <cell r="O143">
            <v>556.7640356328983</v>
          </cell>
          <cell r="P143">
            <v>162.35</v>
          </cell>
          <cell r="Q143">
            <v>71.421172570955036</v>
          </cell>
          <cell r="R143">
            <v>53.022063393412054</v>
          </cell>
          <cell r="S143">
            <v>207.65652644756432</v>
          </cell>
          <cell r="T143">
            <v>494.44976241193143</v>
          </cell>
          <cell r="U143">
            <v>63.663741957243758</v>
          </cell>
        </row>
        <row r="144">
          <cell r="I144">
            <v>39196</v>
          </cell>
          <cell r="J144">
            <v>4300</v>
          </cell>
          <cell r="K144">
            <v>95.5</v>
          </cell>
          <cell r="L144">
            <v>788</v>
          </cell>
          <cell r="M144">
            <v>2275</v>
          </cell>
          <cell r="N144">
            <v>7.7256999999999998</v>
          </cell>
          <cell r="O144">
            <v>556.58386942283551</v>
          </cell>
          <cell r="P144">
            <v>162.35</v>
          </cell>
          <cell r="Q144">
            <v>71.398061017124661</v>
          </cell>
          <cell r="R144">
            <v>53.004905704337467</v>
          </cell>
          <cell r="S144">
            <v>207.63619953780636</v>
          </cell>
          <cell r="T144">
            <v>494.38916625926851</v>
          </cell>
          <cell r="U144">
            <v>63.286141817279315</v>
          </cell>
        </row>
        <row r="145">
          <cell r="I145">
            <v>39197</v>
          </cell>
          <cell r="J145">
            <v>4300</v>
          </cell>
          <cell r="K145">
            <v>95.5</v>
          </cell>
          <cell r="L145">
            <v>788</v>
          </cell>
          <cell r="M145">
            <v>2275</v>
          </cell>
          <cell r="N145">
            <v>7.7168000000000001</v>
          </cell>
          <cell r="O145">
            <v>557.22579307484966</v>
          </cell>
          <cell r="P145">
            <v>162.35</v>
          </cell>
          <cell r="Q145">
            <v>71.480406386066761</v>
          </cell>
          <cell r="R145">
            <v>53.066037735849051</v>
          </cell>
          <cell r="S145">
            <v>207.7086233521357</v>
          </cell>
          <cell r="T145">
            <v>494.60506747405151</v>
          </cell>
          <cell r="U145">
            <v>62.899739498967904</v>
          </cell>
        </row>
        <row r="146">
          <cell r="I146">
            <v>39198</v>
          </cell>
          <cell r="J146">
            <v>4300</v>
          </cell>
          <cell r="K146">
            <v>95.5</v>
          </cell>
          <cell r="L146">
            <v>788</v>
          </cell>
          <cell r="M146">
            <v>2275</v>
          </cell>
          <cell r="N146">
            <v>7.7309999999999999</v>
          </cell>
          <cell r="O146">
            <v>556.20230241883326</v>
          </cell>
          <cell r="P146">
            <v>162.35</v>
          </cell>
          <cell r="Q146">
            <v>71.349113956797297</v>
          </cell>
          <cell r="R146">
            <v>52.968568102444699</v>
          </cell>
          <cell r="S146">
            <v>207.59314996677821</v>
          </cell>
          <cell r="T146">
            <v>494.26083202602024</v>
          </cell>
          <cell r="U146">
            <v>62.392354480540519</v>
          </cell>
        </row>
        <row r="147">
          <cell r="I147">
            <v>39199</v>
          </cell>
          <cell r="J147">
            <v>4300</v>
          </cell>
          <cell r="K147">
            <v>96.5</v>
          </cell>
          <cell r="L147">
            <v>788</v>
          </cell>
          <cell r="M147">
            <v>2275</v>
          </cell>
          <cell r="N147">
            <v>7.7202000000000002</v>
          </cell>
          <cell r="O147">
            <v>556.98038910909042</v>
          </cell>
          <cell r="P147">
            <v>164.04999999999998</v>
          </cell>
          <cell r="Q147">
            <v>71.448926193621915</v>
          </cell>
          <cell r="R147">
            <v>53.042667288412211</v>
          </cell>
          <cell r="S147">
            <v>207.43392756974322</v>
          </cell>
          <cell r="T147">
            <v>495.97552105177732</v>
          </cell>
          <cell r="U147">
            <v>62.170416156078659</v>
          </cell>
        </row>
        <row r="148">
          <cell r="I148">
            <v>39200</v>
          </cell>
          <cell r="J148">
            <v>4300</v>
          </cell>
          <cell r="K148">
            <v>96.5</v>
          </cell>
          <cell r="L148">
            <v>788</v>
          </cell>
          <cell r="M148">
            <v>2275</v>
          </cell>
          <cell r="N148">
            <v>7.7202000000000002</v>
          </cell>
          <cell r="O148">
            <v>556.98038910909042</v>
          </cell>
          <cell r="P148">
            <v>164.04999999999998</v>
          </cell>
          <cell r="Q148">
            <v>71.448926193621915</v>
          </cell>
          <cell r="R148">
            <v>53.042667288412211</v>
          </cell>
          <cell r="S148">
            <v>207.43392756974322</v>
          </cell>
          <cell r="T148">
            <v>495.97552105177732</v>
          </cell>
          <cell r="U148">
            <v>61.948477831616799</v>
          </cell>
        </row>
        <row r="149">
          <cell r="I149">
            <v>39201</v>
          </cell>
          <cell r="J149">
            <v>4300</v>
          </cell>
          <cell r="K149">
            <v>96.5</v>
          </cell>
          <cell r="L149">
            <v>788</v>
          </cell>
          <cell r="M149">
            <v>2275</v>
          </cell>
          <cell r="N149">
            <v>7.7202000000000002</v>
          </cell>
          <cell r="O149">
            <v>556.98038910909042</v>
          </cell>
          <cell r="P149">
            <v>164.04999999999998</v>
          </cell>
          <cell r="Q149">
            <v>71.448926193621915</v>
          </cell>
          <cell r="R149">
            <v>53.042667288412211</v>
          </cell>
          <cell r="S149">
            <v>207.43392756974322</v>
          </cell>
          <cell r="T149">
            <v>495.97552105177732</v>
          </cell>
          <cell r="U149">
            <v>61.726539507154882</v>
          </cell>
        </row>
        <row r="150">
          <cell r="I150">
            <v>39202</v>
          </cell>
          <cell r="J150">
            <v>4300</v>
          </cell>
          <cell r="K150">
            <v>96.5</v>
          </cell>
          <cell r="L150">
            <v>786</v>
          </cell>
          <cell r="M150">
            <v>2275</v>
          </cell>
          <cell r="N150">
            <v>7.7033000000000005</v>
          </cell>
          <cell r="O150">
            <v>558.20232887204179</v>
          </cell>
          <cell r="P150">
            <v>164.04999999999998</v>
          </cell>
          <cell r="Q150">
            <v>71.423935196604049</v>
          </cell>
          <cell r="R150">
            <v>53.159035737930495</v>
          </cell>
          <cell r="S150">
            <v>207.59819730715915</v>
          </cell>
          <cell r="T150">
            <v>496.23116824169369</v>
          </cell>
          <cell r="U150">
            <v>61.677523422780837</v>
          </cell>
        </row>
        <row r="151">
          <cell r="I151">
            <v>39203</v>
          </cell>
          <cell r="J151">
            <v>4300</v>
          </cell>
          <cell r="K151">
            <v>96.5</v>
          </cell>
          <cell r="L151">
            <v>786</v>
          </cell>
          <cell r="M151">
            <v>2275</v>
          </cell>
          <cell r="N151">
            <v>7.7065000000000001</v>
          </cell>
          <cell r="O151">
            <v>557.97054434568224</v>
          </cell>
          <cell r="P151">
            <v>164.04999999999998</v>
          </cell>
          <cell r="Q151">
            <v>71.394277557905653</v>
          </cell>
          <cell r="R151">
            <v>53.136962304548099</v>
          </cell>
          <cell r="S151">
            <v>207.57203569414429</v>
          </cell>
          <cell r="T151">
            <v>496.15327555659803</v>
          </cell>
          <cell r="U151">
            <v>61.623604226426266</v>
          </cell>
        </row>
        <row r="152">
          <cell r="I152">
            <v>39204</v>
          </cell>
          <cell r="J152">
            <v>4300</v>
          </cell>
          <cell r="K152">
            <v>96.5</v>
          </cell>
          <cell r="L152">
            <v>786</v>
          </cell>
          <cell r="M152">
            <v>2275</v>
          </cell>
          <cell r="N152">
            <v>7.7054999999999998</v>
          </cell>
          <cell r="O152">
            <v>558.0429563298942</v>
          </cell>
          <cell r="P152">
            <v>164.04999999999998</v>
          </cell>
          <cell r="Q152">
            <v>71.403542923885539</v>
          </cell>
          <cell r="R152">
            <v>53.14385828304458</v>
          </cell>
          <cell r="S152">
            <v>207.58020886402042</v>
          </cell>
          <cell r="T152">
            <v>496.17761007095055</v>
          </cell>
          <cell r="U152">
            <v>61.515692891875347</v>
          </cell>
        </row>
        <row r="153">
          <cell r="I153">
            <v>39205</v>
          </cell>
          <cell r="J153">
            <v>4300</v>
          </cell>
          <cell r="K153">
            <v>96.5</v>
          </cell>
          <cell r="L153">
            <v>786</v>
          </cell>
          <cell r="M153">
            <v>2275</v>
          </cell>
          <cell r="N153">
            <v>7.7074999999999996</v>
          </cell>
          <cell r="O153">
            <v>557.89815115147587</v>
          </cell>
          <cell r="P153">
            <v>164.04999999999998</v>
          </cell>
          <cell r="Q153">
            <v>71.385014596172553</v>
          </cell>
          <cell r="R153">
            <v>53.130068115471943</v>
          </cell>
          <cell r="S153">
            <v>207.56386464510371</v>
          </cell>
          <cell r="T153">
            <v>496.1289473567482</v>
          </cell>
          <cell r="U153">
            <v>61.491083377863163</v>
          </cell>
        </row>
        <row r="154">
          <cell r="I154">
            <v>39206</v>
          </cell>
          <cell r="J154">
            <v>4300</v>
          </cell>
          <cell r="K154">
            <v>96.5</v>
          </cell>
          <cell r="L154">
            <v>786</v>
          </cell>
          <cell r="M154">
            <v>2275</v>
          </cell>
          <cell r="N154">
            <v>7.7035</v>
          </cell>
          <cell r="O154">
            <v>558.18783669760501</v>
          </cell>
          <cell r="P154">
            <v>164.04999999999998</v>
          </cell>
          <cell r="Q154">
            <v>71.422080872330753</v>
          </cell>
          <cell r="R154">
            <v>53.157655611085865</v>
          </cell>
          <cell r="S154">
            <v>207.59656156958292</v>
          </cell>
          <cell r="T154">
            <v>496.22629805299948</v>
          </cell>
          <cell r="U154">
            <v>61.627750604619507</v>
          </cell>
        </row>
        <row r="155">
          <cell r="I155">
            <v>39207</v>
          </cell>
          <cell r="J155">
            <v>4300</v>
          </cell>
          <cell r="K155">
            <v>96.5</v>
          </cell>
          <cell r="L155">
            <v>786</v>
          </cell>
          <cell r="M155">
            <v>2275</v>
          </cell>
          <cell r="N155">
            <v>7.7035</v>
          </cell>
          <cell r="O155">
            <v>558.18783669760501</v>
          </cell>
          <cell r="P155">
            <v>164.04999999999998</v>
          </cell>
          <cell r="Q155">
            <v>71.422080872330753</v>
          </cell>
          <cell r="R155">
            <v>53.157655611085865</v>
          </cell>
          <cell r="S155">
            <v>207.59656156958292</v>
          </cell>
          <cell r="T155">
            <v>496.22629805299948</v>
          </cell>
          <cell r="U155">
            <v>61.764417831375454</v>
          </cell>
        </row>
        <row r="156">
          <cell r="I156">
            <v>39208</v>
          </cell>
          <cell r="J156">
            <v>4300</v>
          </cell>
          <cell r="K156">
            <v>96.5</v>
          </cell>
          <cell r="L156">
            <v>786</v>
          </cell>
          <cell r="M156">
            <v>2275</v>
          </cell>
          <cell r="N156">
            <v>7.7035</v>
          </cell>
          <cell r="O156">
            <v>558.18783669760501</v>
          </cell>
          <cell r="P156">
            <v>164.04999999999998</v>
          </cell>
          <cell r="Q156">
            <v>71.422080872330753</v>
          </cell>
          <cell r="R156">
            <v>53.157655611085865</v>
          </cell>
          <cell r="S156">
            <v>207.59656156958292</v>
          </cell>
          <cell r="T156">
            <v>496.22629805299948</v>
          </cell>
          <cell r="U156">
            <v>61.901085058131628</v>
          </cell>
        </row>
        <row r="157">
          <cell r="I157">
            <v>39209</v>
          </cell>
          <cell r="J157">
            <v>4300</v>
          </cell>
          <cell r="K157">
            <v>96.5</v>
          </cell>
          <cell r="L157">
            <v>786</v>
          </cell>
          <cell r="M157">
            <v>2275</v>
          </cell>
          <cell r="N157">
            <v>7.7039</v>
          </cell>
          <cell r="O157">
            <v>558.15885460610855</v>
          </cell>
          <cell r="P157">
            <v>164.04999999999998</v>
          </cell>
          <cell r="Q157">
            <v>71.418372512623478</v>
          </cell>
          <cell r="R157">
            <v>53.154895572372432</v>
          </cell>
          <cell r="S157">
            <v>207.59329034922146</v>
          </cell>
          <cell r="T157">
            <v>496.2165584342174</v>
          </cell>
          <cell r="U157">
            <v>61.896961564066316</v>
          </cell>
        </row>
        <row r="158">
          <cell r="I158">
            <v>39210</v>
          </cell>
          <cell r="J158">
            <v>4300</v>
          </cell>
          <cell r="K158">
            <v>96.5</v>
          </cell>
          <cell r="L158">
            <v>786</v>
          </cell>
          <cell r="M158">
            <v>2325</v>
          </cell>
          <cell r="N158">
            <v>7.6961000000000004</v>
          </cell>
          <cell r="O158">
            <v>558.72454879744282</v>
          </cell>
          <cell r="P158">
            <v>164.04999999999998</v>
          </cell>
          <cell r="Q158">
            <v>71.490755057756516</v>
          </cell>
          <cell r="R158">
            <v>54.378191551565081</v>
          </cell>
          <cell r="S158">
            <v>207.48722424955608</v>
          </cell>
          <cell r="T158">
            <v>497.40617085887766</v>
          </cell>
          <cell r="U158">
            <v>61.825691442563368</v>
          </cell>
        </row>
        <row r="159">
          <cell r="I159">
            <v>39211</v>
          </cell>
          <cell r="J159">
            <v>4300</v>
          </cell>
          <cell r="K159">
            <v>96.5</v>
          </cell>
          <cell r="L159">
            <v>786</v>
          </cell>
          <cell r="M159">
            <v>2325</v>
          </cell>
          <cell r="N159">
            <v>7.6937999999999995</v>
          </cell>
          <cell r="O159">
            <v>558.89157503444335</v>
          </cell>
          <cell r="P159">
            <v>164.04999999999998</v>
          </cell>
          <cell r="Q159">
            <v>71.512126647430392</v>
          </cell>
          <cell r="R159">
            <v>54.394447477189424</v>
          </cell>
          <cell r="S159">
            <v>207.50602577322221</v>
          </cell>
          <cell r="T159">
            <v>497.46259989784198</v>
          </cell>
          <cell r="U159">
            <v>61.763352710800348</v>
          </cell>
        </row>
        <row r="160">
          <cell r="I160">
            <v>39212</v>
          </cell>
          <cell r="J160">
            <v>4300</v>
          </cell>
          <cell r="K160">
            <v>96.5</v>
          </cell>
          <cell r="L160">
            <v>786</v>
          </cell>
          <cell r="M160">
            <v>2325</v>
          </cell>
          <cell r="N160">
            <v>7.6952999999999996</v>
          </cell>
          <cell r="O160">
            <v>558.78263355554691</v>
          </cell>
          <cell r="P160">
            <v>164.04999999999998</v>
          </cell>
          <cell r="Q160">
            <v>71.498187205177189</v>
          </cell>
          <cell r="R160">
            <v>54.383844684417767</v>
          </cell>
          <cell r="S160">
            <v>207.49376263522382</v>
          </cell>
          <cell r="T160">
            <v>497.42579452481868</v>
          </cell>
          <cell r="U160">
            <v>61.704443458800313</v>
          </cell>
        </row>
        <row r="161">
          <cell r="I161">
            <v>39213</v>
          </cell>
          <cell r="J161">
            <v>4300</v>
          </cell>
          <cell r="K161">
            <v>105.5</v>
          </cell>
          <cell r="L161">
            <v>786</v>
          </cell>
          <cell r="M161">
            <v>2325</v>
          </cell>
          <cell r="N161">
            <v>7.6829999999999998</v>
          </cell>
          <cell r="O161">
            <v>559.67720942340236</v>
          </cell>
          <cell r="P161">
            <v>179.35</v>
          </cell>
          <cell r="Q161">
            <v>71.612651308082775</v>
          </cell>
          <cell r="R161">
            <v>54.47090980085904</v>
          </cell>
          <cell r="S161">
            <v>205.3713847978276</v>
          </cell>
          <cell r="T161">
            <v>510.80494590676943</v>
          </cell>
          <cell r="U161">
            <v>59.834547011947109</v>
          </cell>
        </row>
        <row r="162">
          <cell r="I162">
            <v>39214</v>
          </cell>
          <cell r="J162">
            <v>4300</v>
          </cell>
          <cell r="K162">
            <v>105.5</v>
          </cell>
          <cell r="L162">
            <v>786</v>
          </cell>
          <cell r="M162">
            <v>2325</v>
          </cell>
          <cell r="N162">
            <v>7.6829999999999998</v>
          </cell>
          <cell r="O162">
            <v>559.67720942340236</v>
          </cell>
          <cell r="P162">
            <v>179.35</v>
          </cell>
          <cell r="Q162">
            <v>71.612651308082775</v>
          </cell>
          <cell r="R162">
            <v>54.47090980085904</v>
          </cell>
          <cell r="S162">
            <v>205.3713847978276</v>
          </cell>
          <cell r="T162">
            <v>510.80494590676943</v>
          </cell>
          <cell r="U162">
            <v>57.964650565094018</v>
          </cell>
        </row>
        <row r="163">
          <cell r="I163">
            <v>39215</v>
          </cell>
          <cell r="J163">
            <v>4300</v>
          </cell>
          <cell r="K163">
            <v>105.5</v>
          </cell>
          <cell r="L163">
            <v>786</v>
          </cell>
          <cell r="M163">
            <v>2325</v>
          </cell>
          <cell r="N163">
            <v>7.6829999999999998</v>
          </cell>
          <cell r="O163">
            <v>559.67720942340236</v>
          </cell>
          <cell r="P163">
            <v>179.35</v>
          </cell>
          <cell r="Q163">
            <v>71.612651308082775</v>
          </cell>
          <cell r="R163">
            <v>54.47090980085904</v>
          </cell>
          <cell r="S163">
            <v>205.3713847978276</v>
          </cell>
          <cell r="T163">
            <v>510.80494590676943</v>
          </cell>
          <cell r="U163">
            <v>56.094754118240758</v>
          </cell>
        </row>
        <row r="164">
          <cell r="I164">
            <v>39216</v>
          </cell>
          <cell r="J164">
            <v>4300</v>
          </cell>
          <cell r="K164">
            <v>105.5</v>
          </cell>
          <cell r="L164">
            <v>786</v>
          </cell>
          <cell r="M164">
            <v>2325</v>
          </cell>
          <cell r="N164">
            <v>7.6868999999999996</v>
          </cell>
          <cell r="O164">
            <v>559.39325345718044</v>
          </cell>
          <cell r="P164">
            <v>179.35</v>
          </cell>
          <cell r="Q164">
            <v>71.576318151660615</v>
          </cell>
          <cell r="R164">
            <v>54.443273621355814</v>
          </cell>
          <cell r="S164">
            <v>205.33942092846826</v>
          </cell>
          <cell r="T164">
            <v>510.70901270148465</v>
          </cell>
          <cell r="U164">
            <v>54.200746201641323</v>
          </cell>
        </row>
        <row r="165">
          <cell r="I165">
            <v>39217</v>
          </cell>
          <cell r="J165">
            <v>4350</v>
          </cell>
          <cell r="K165">
            <v>105.5</v>
          </cell>
          <cell r="L165">
            <v>786</v>
          </cell>
          <cell r="M165">
            <v>2325</v>
          </cell>
          <cell r="N165">
            <v>7.6858000000000004</v>
          </cell>
          <cell r="O165">
            <v>565.97881808009572</v>
          </cell>
          <cell r="P165">
            <v>179.35</v>
          </cell>
          <cell r="Q165">
            <v>71.58656223164796</v>
          </cell>
          <cell r="R165">
            <v>54.451065601498868</v>
          </cell>
          <cell r="S165">
            <v>206.29367721536863</v>
          </cell>
          <cell r="T165">
            <v>511.68130504851541</v>
          </cell>
          <cell r="U165">
            <v>53.19776550064347</v>
          </cell>
        </row>
        <row r="166">
          <cell r="I166">
            <v>39218</v>
          </cell>
          <cell r="J166">
            <v>4350</v>
          </cell>
          <cell r="K166">
            <v>105.5</v>
          </cell>
          <cell r="L166">
            <v>786</v>
          </cell>
          <cell r="M166">
            <v>2325</v>
          </cell>
          <cell r="N166">
            <v>7.6814999999999998</v>
          </cell>
          <cell r="O166">
            <v>566.29564538176135</v>
          </cell>
          <cell r="P166">
            <v>179.35</v>
          </cell>
          <cell r="Q166">
            <v>71.626635422768985</v>
          </cell>
          <cell r="R166">
            <v>54.481546572934974</v>
          </cell>
          <cell r="S166">
            <v>206.32946049199126</v>
          </cell>
          <cell r="T166">
            <v>511.78764248769522</v>
          </cell>
          <cell r="U166">
            <v>52.209055180281382</v>
          </cell>
        </row>
        <row r="167">
          <cell r="I167">
            <v>39219</v>
          </cell>
          <cell r="J167">
            <v>4350</v>
          </cell>
          <cell r="K167">
            <v>105.5</v>
          </cell>
          <cell r="L167">
            <v>786</v>
          </cell>
          <cell r="M167">
            <v>2325</v>
          </cell>
          <cell r="N167">
            <v>7.6736000000000004</v>
          </cell>
          <cell r="O167">
            <v>566.8786488740617</v>
          </cell>
          <cell r="P167">
            <v>179.35</v>
          </cell>
          <cell r="Q167">
            <v>71.700375312760627</v>
          </cell>
          <cell r="R167">
            <v>54.537635529608004</v>
          </cell>
          <cell r="S167">
            <v>206.39530638067333</v>
          </cell>
          <cell r="T167">
            <v>511.98331722304198</v>
          </cell>
          <cell r="U167">
            <v>51.285982697465784</v>
          </cell>
        </row>
        <row r="168">
          <cell r="I168">
            <v>39220</v>
          </cell>
          <cell r="J168">
            <v>4350</v>
          </cell>
          <cell r="K168">
            <v>101.5</v>
          </cell>
          <cell r="L168">
            <v>786</v>
          </cell>
          <cell r="M168">
            <v>2325</v>
          </cell>
          <cell r="N168">
            <v>7.6684999999999999</v>
          </cell>
          <cell r="O168">
            <v>567.25565625611273</v>
          </cell>
          <cell r="P168">
            <v>172.54999999999998</v>
          </cell>
          <cell r="Q168">
            <v>71.748060246462799</v>
          </cell>
          <cell r="R168">
            <v>54.573906239812217</v>
          </cell>
          <cell r="S168">
            <v>207.4259207357884</v>
          </cell>
          <cell r="T168">
            <v>506.29788722206342</v>
          </cell>
          <cell r="U168">
            <v>53.012483485668156</v>
          </cell>
        </row>
        <row r="169">
          <cell r="I169">
            <v>39221</v>
          </cell>
          <cell r="J169">
            <v>4350</v>
          </cell>
          <cell r="K169">
            <v>101.5</v>
          </cell>
          <cell r="L169">
            <v>786</v>
          </cell>
          <cell r="M169">
            <v>2325</v>
          </cell>
          <cell r="N169">
            <v>7.6684999999999999</v>
          </cell>
          <cell r="O169">
            <v>567.25565625611273</v>
          </cell>
          <cell r="P169">
            <v>172.54999999999998</v>
          </cell>
          <cell r="Q169">
            <v>71.748060246462799</v>
          </cell>
          <cell r="R169">
            <v>54.573906239812217</v>
          </cell>
          <cell r="S169">
            <v>207.4259207357884</v>
          </cell>
          <cell r="T169">
            <v>506.29788722206342</v>
          </cell>
          <cell r="U169">
            <v>54.738984273870528</v>
          </cell>
        </row>
        <row r="170">
          <cell r="I170">
            <v>39222</v>
          </cell>
          <cell r="J170">
            <v>4350</v>
          </cell>
          <cell r="K170">
            <v>101.5</v>
          </cell>
          <cell r="L170">
            <v>786</v>
          </cell>
          <cell r="M170">
            <v>2325</v>
          </cell>
          <cell r="N170">
            <v>7.6684999999999999</v>
          </cell>
          <cell r="O170">
            <v>567.25565625611273</v>
          </cell>
          <cell r="P170">
            <v>172.54999999999998</v>
          </cell>
          <cell r="Q170">
            <v>71.748060246462799</v>
          </cell>
          <cell r="R170">
            <v>54.573906239812217</v>
          </cell>
          <cell r="S170">
            <v>207.4259207357884</v>
          </cell>
          <cell r="T170">
            <v>506.29788722206342</v>
          </cell>
          <cell r="U170">
            <v>56.465485062072844</v>
          </cell>
        </row>
        <row r="171">
          <cell r="I171">
            <v>39223</v>
          </cell>
          <cell r="J171">
            <v>4350</v>
          </cell>
          <cell r="K171">
            <v>101.5</v>
          </cell>
          <cell r="L171">
            <v>786</v>
          </cell>
          <cell r="M171">
            <v>2325</v>
          </cell>
          <cell r="N171">
            <v>7.6661999999999999</v>
          </cell>
          <cell r="O171">
            <v>567.42584331220166</v>
          </cell>
          <cell r="P171">
            <v>172.54999999999998</v>
          </cell>
          <cell r="Q171">
            <v>71.76958597479846</v>
          </cell>
          <cell r="R171">
            <v>54.590279408311808</v>
          </cell>
          <cell r="S171">
            <v>207.44514209226114</v>
          </cell>
          <cell r="T171">
            <v>506.35500747537139</v>
          </cell>
          <cell r="U171">
            <v>58.234998645092105</v>
          </cell>
        </row>
        <row r="172">
          <cell r="I172">
            <v>39224</v>
          </cell>
          <cell r="J172">
            <v>4350</v>
          </cell>
          <cell r="K172">
            <v>101.5</v>
          </cell>
          <cell r="L172">
            <v>786</v>
          </cell>
          <cell r="M172">
            <v>2325</v>
          </cell>
          <cell r="N172">
            <v>7.6536</v>
          </cell>
          <cell r="O172">
            <v>568.359987456883</v>
          </cell>
          <cell r="P172">
            <v>172.54999999999998</v>
          </cell>
          <cell r="Q172">
            <v>71.887739103167135</v>
          </cell>
          <cell r="R172">
            <v>54.680150517403575</v>
          </cell>
          <cell r="S172">
            <v>207.55064669416504</v>
          </cell>
          <cell r="T172">
            <v>506.66853631473577</v>
          </cell>
          <cell r="U172">
            <v>59.291275518030261</v>
          </cell>
        </row>
        <row r="173">
          <cell r="I173">
            <v>39225</v>
          </cell>
          <cell r="J173">
            <v>4350</v>
          </cell>
          <cell r="K173">
            <v>101.5</v>
          </cell>
          <cell r="L173">
            <v>786</v>
          </cell>
          <cell r="M173">
            <v>2325</v>
          </cell>
          <cell r="N173">
            <v>7.6577999999999999</v>
          </cell>
          <cell r="O173">
            <v>568.04826451461258</v>
          </cell>
          <cell r="P173">
            <v>172.54999999999998</v>
          </cell>
          <cell r="Q173">
            <v>71.848311525503405</v>
          </cell>
          <cell r="R173">
            <v>54.650160620543758</v>
          </cell>
          <cell r="S173">
            <v>207.51543991680006</v>
          </cell>
          <cell r="T173">
            <v>506.56391206284724</v>
          </cell>
          <cell r="U173">
            <v>60.28789688341584</v>
          </cell>
        </row>
        <row r="174">
          <cell r="I174">
            <v>39226</v>
          </cell>
          <cell r="J174">
            <v>4320</v>
          </cell>
          <cell r="K174">
            <v>101.5</v>
          </cell>
          <cell r="L174">
            <v>786</v>
          </cell>
          <cell r="M174">
            <v>2325</v>
          </cell>
          <cell r="N174">
            <v>7.6515000000000004</v>
          </cell>
          <cell r="O174">
            <v>564.59517741619288</v>
          </cell>
          <cell r="P174">
            <v>172.54999999999998</v>
          </cell>
          <cell r="Q174">
            <v>71.907469123701219</v>
          </cell>
          <cell r="R174">
            <v>54.695157812193678</v>
          </cell>
          <cell r="S174">
            <v>206.9985757108125</v>
          </cell>
          <cell r="T174">
            <v>506.15120264670736</v>
          </cell>
          <cell r="U174">
            <v>60.794845900339453</v>
          </cell>
        </row>
        <row r="175">
          <cell r="I175">
            <v>39227</v>
          </cell>
          <cell r="J175">
            <v>4320</v>
          </cell>
          <cell r="K175">
            <v>101.5</v>
          </cell>
          <cell r="L175">
            <v>786</v>
          </cell>
          <cell r="M175">
            <v>2325</v>
          </cell>
          <cell r="N175">
            <v>7.6523000000000003</v>
          </cell>
          <cell r="O175">
            <v>564.5361525293049</v>
          </cell>
          <cell r="P175">
            <v>172.54999999999998</v>
          </cell>
          <cell r="Q175">
            <v>71.899951648523967</v>
          </cell>
          <cell r="R175">
            <v>54.689439776276416</v>
          </cell>
          <cell r="S175">
            <v>206.99192255364596</v>
          </cell>
          <cell r="T175">
            <v>506.13131397844631</v>
          </cell>
          <cell r="U175">
            <v>60.430141545597849</v>
          </cell>
        </row>
        <row r="176">
          <cell r="I176">
            <v>39228</v>
          </cell>
          <cell r="J176">
            <v>4320</v>
          </cell>
          <cell r="K176">
            <v>101.5</v>
          </cell>
          <cell r="L176">
            <v>786</v>
          </cell>
          <cell r="M176">
            <v>2325</v>
          </cell>
          <cell r="N176">
            <v>7.6523000000000003</v>
          </cell>
          <cell r="O176">
            <v>564.5361525293049</v>
          </cell>
          <cell r="P176">
            <v>172.54999999999998</v>
          </cell>
          <cell r="Q176">
            <v>71.899951648523967</v>
          </cell>
          <cell r="R176">
            <v>54.689439776276416</v>
          </cell>
          <cell r="S176">
            <v>206.99192255364596</v>
          </cell>
          <cell r="T176">
            <v>506.13131397844631</v>
          </cell>
          <cell r="U176">
            <v>60.065437190856358</v>
          </cell>
        </row>
        <row r="177">
          <cell r="I177">
            <v>39229</v>
          </cell>
          <cell r="J177">
            <v>4320</v>
          </cell>
          <cell r="K177">
            <v>101.5</v>
          </cell>
          <cell r="L177">
            <v>786</v>
          </cell>
          <cell r="M177">
            <v>2325</v>
          </cell>
          <cell r="N177">
            <v>7.6523000000000003</v>
          </cell>
          <cell r="O177">
            <v>564.5361525293049</v>
          </cell>
          <cell r="P177">
            <v>172.54999999999998</v>
          </cell>
          <cell r="Q177">
            <v>71.899951648523967</v>
          </cell>
          <cell r="R177">
            <v>54.689439776276416</v>
          </cell>
          <cell r="S177">
            <v>206.99192255364596</v>
          </cell>
          <cell r="T177">
            <v>506.13131397844631</v>
          </cell>
          <cell r="U177">
            <v>59.70073283611481</v>
          </cell>
        </row>
        <row r="178">
          <cell r="I178">
            <v>39230</v>
          </cell>
          <cell r="J178">
            <v>4320</v>
          </cell>
          <cell r="K178">
            <v>101.5</v>
          </cell>
          <cell r="L178">
            <v>786</v>
          </cell>
          <cell r="M178">
            <v>2325</v>
          </cell>
          <cell r="N178">
            <v>7.6463000000000001</v>
          </cell>
          <cell r="O178">
            <v>564.97914023776207</v>
          </cell>
          <cell r="P178">
            <v>172.54999999999998</v>
          </cell>
          <cell r="Q178">
            <v>71.956371055281636</v>
          </cell>
          <cell r="R178">
            <v>54.732354210533195</v>
          </cell>
          <cell r="S178">
            <v>207.04185516686414</v>
          </cell>
          <cell r="T178">
            <v>506.28058043267896</v>
          </cell>
          <cell r="U178">
            <v>59.361836260151051</v>
          </cell>
        </row>
        <row r="179">
          <cell r="I179">
            <v>39231</v>
          </cell>
          <cell r="J179">
            <v>4320</v>
          </cell>
          <cell r="K179">
            <v>101.5</v>
          </cell>
          <cell r="L179">
            <v>786</v>
          </cell>
          <cell r="M179">
            <v>2325</v>
          </cell>
          <cell r="N179">
            <v>7.6501000000000001</v>
          </cell>
          <cell r="O179">
            <v>564.69850067319385</v>
          </cell>
          <cell r="P179">
            <v>172.54999999999998</v>
          </cell>
          <cell r="Q179">
            <v>71.920628488516485</v>
          </cell>
          <cell r="R179">
            <v>54.705167252715647</v>
          </cell>
          <cell r="S179">
            <v>207.01022208413119</v>
          </cell>
          <cell r="T179">
            <v>506.18601782536325</v>
          </cell>
          <cell r="U179">
            <v>58.9076979323915</v>
          </cell>
        </row>
        <row r="180">
          <cell r="I180">
            <v>39232</v>
          </cell>
          <cell r="J180">
            <v>4320</v>
          </cell>
          <cell r="K180">
            <v>101.5</v>
          </cell>
          <cell r="L180">
            <v>786</v>
          </cell>
          <cell r="M180">
            <v>2325</v>
          </cell>
          <cell r="N180">
            <v>7.6463999999999999</v>
          </cell>
          <cell r="O180">
            <v>564.9717514124294</v>
          </cell>
          <cell r="P180">
            <v>172.54999999999998</v>
          </cell>
          <cell r="Q180">
            <v>71.955430006277467</v>
          </cell>
          <cell r="R180">
            <v>54.731638418079093</v>
          </cell>
          <cell r="S180">
            <v>207.04102231450634</v>
          </cell>
          <cell r="T180">
            <v>506.27809073886289</v>
          </cell>
          <cell r="U180">
            <v>58.509027678363054</v>
          </cell>
        </row>
        <row r="181">
          <cell r="I181">
            <v>39233</v>
          </cell>
          <cell r="J181">
            <v>4320</v>
          </cell>
          <cell r="K181">
            <v>101.5</v>
          </cell>
          <cell r="L181">
            <v>790</v>
          </cell>
          <cell r="M181">
            <v>2325</v>
          </cell>
          <cell r="N181">
            <v>7.6459999999999999</v>
          </cell>
          <cell r="O181">
            <v>565.00130787339788</v>
          </cell>
          <cell r="P181">
            <v>172.54999999999998</v>
          </cell>
          <cell r="Q181">
            <v>72.32539890138635</v>
          </cell>
          <cell r="R181">
            <v>54.73450170023542</v>
          </cell>
          <cell r="S181">
            <v>206.99114464632646</v>
          </cell>
          <cell r="T181">
            <v>506.60104524794821</v>
          </cell>
          <cell r="U181">
            <v>58.502783086357965</v>
          </cell>
        </row>
        <row r="182">
          <cell r="I182">
            <v>39234</v>
          </cell>
          <cell r="J182">
            <v>4320</v>
          </cell>
          <cell r="K182">
            <v>101.5</v>
          </cell>
          <cell r="L182">
            <v>790</v>
          </cell>
          <cell r="M182">
            <v>2325</v>
          </cell>
          <cell r="N182">
            <v>7.6472999999999995</v>
          </cell>
          <cell r="O182">
            <v>564.90526068024008</v>
          </cell>
          <cell r="P182">
            <v>172.54999999999998</v>
          </cell>
          <cell r="Q182">
            <v>72.31310397133629</v>
          </cell>
          <cell r="R182">
            <v>54.725197128398264</v>
          </cell>
          <cell r="S182">
            <v>206.98032746041537</v>
          </cell>
          <cell r="T182">
            <v>506.56862856014988</v>
          </cell>
          <cell r="U182">
            <v>58.493039310533788</v>
          </cell>
        </row>
        <row r="183">
          <cell r="I183">
            <v>39235</v>
          </cell>
          <cell r="J183">
            <v>4320</v>
          </cell>
          <cell r="K183">
            <v>101.5</v>
          </cell>
          <cell r="L183">
            <v>790</v>
          </cell>
          <cell r="M183">
            <v>2325</v>
          </cell>
          <cell r="N183">
            <v>7.6472999999999995</v>
          </cell>
          <cell r="O183">
            <v>564.90526068024008</v>
          </cell>
          <cell r="P183">
            <v>172.54999999999998</v>
          </cell>
          <cell r="Q183">
            <v>72.31310397133629</v>
          </cell>
          <cell r="R183">
            <v>54.725197128398264</v>
          </cell>
          <cell r="S183">
            <v>206.98032746041537</v>
          </cell>
          <cell r="T183">
            <v>506.56862856014988</v>
          </cell>
          <cell r="U183">
            <v>58.483295534709782</v>
          </cell>
        </row>
        <row r="184">
          <cell r="I184">
            <v>39236</v>
          </cell>
          <cell r="J184">
            <v>4320</v>
          </cell>
          <cell r="K184">
            <v>101.5</v>
          </cell>
          <cell r="L184">
            <v>790</v>
          </cell>
          <cell r="M184">
            <v>2325</v>
          </cell>
          <cell r="N184">
            <v>7.6472999999999995</v>
          </cell>
          <cell r="O184">
            <v>564.90526068024008</v>
          </cell>
          <cell r="P184">
            <v>172.54999999999998</v>
          </cell>
          <cell r="Q184">
            <v>72.31310397133629</v>
          </cell>
          <cell r="R184">
            <v>54.725197128398264</v>
          </cell>
          <cell r="S184">
            <v>206.98032746041537</v>
          </cell>
          <cell r="T184">
            <v>506.56862856014988</v>
          </cell>
          <cell r="U184">
            <v>58.473551758885776</v>
          </cell>
        </row>
        <row r="185">
          <cell r="I185">
            <v>39237</v>
          </cell>
          <cell r="J185">
            <v>4320</v>
          </cell>
          <cell r="K185">
            <v>101.5</v>
          </cell>
          <cell r="L185">
            <v>790</v>
          </cell>
          <cell r="M185">
            <v>2325</v>
          </cell>
          <cell r="N185">
            <v>7.6509</v>
          </cell>
          <cell r="O185">
            <v>564.63945418186097</v>
          </cell>
          <cell r="P185">
            <v>172.54999999999998</v>
          </cell>
          <cell r="Q185">
            <v>72.279078278372481</v>
          </cell>
          <cell r="R185">
            <v>54.69944712386777</v>
          </cell>
          <cell r="S185">
            <v>206.95039136114144</v>
          </cell>
          <cell r="T185">
            <v>506.47891676338168</v>
          </cell>
          <cell r="U185">
            <v>58.396691417942463</v>
          </cell>
        </row>
        <row r="186">
          <cell r="I186">
            <v>39238</v>
          </cell>
          <cell r="J186">
            <v>4250</v>
          </cell>
          <cell r="K186">
            <v>101.5</v>
          </cell>
          <cell r="L186">
            <v>790</v>
          </cell>
          <cell r="M186">
            <v>2327.5</v>
          </cell>
          <cell r="N186">
            <v>7.6417000000000002</v>
          </cell>
          <cell r="O186">
            <v>556.15896986272685</v>
          </cell>
          <cell r="P186">
            <v>172.54999999999998</v>
          </cell>
          <cell r="Q186">
            <v>72.366096549197167</v>
          </cell>
          <cell r="R186">
            <v>54.824188335056327</v>
          </cell>
          <cell r="S186">
            <v>205.68741576610296</v>
          </cell>
          <cell r="T186">
            <v>505.42770065035643</v>
          </cell>
          <cell r="U186">
            <v>57.285089470019614</v>
          </cell>
        </row>
        <row r="187">
          <cell r="I187">
            <v>39239</v>
          </cell>
          <cell r="J187">
            <v>4230</v>
          </cell>
          <cell r="K187">
            <v>101.5</v>
          </cell>
          <cell r="L187">
            <v>790</v>
          </cell>
          <cell r="M187">
            <v>2327.5</v>
          </cell>
          <cell r="N187">
            <v>7.6353</v>
          </cell>
          <cell r="O187">
            <v>554.00573651330012</v>
          </cell>
          <cell r="P187">
            <v>172.54999999999998</v>
          </cell>
          <cell r="Q187">
            <v>72.426754678925519</v>
          </cell>
          <cell r="R187">
            <v>54.870142627008754</v>
          </cell>
          <cell r="S187">
            <v>205.35906210705315</v>
          </cell>
          <cell r="T187">
            <v>505.2059594129874</v>
          </cell>
          <cell r="U187">
            <v>55.871677530983277</v>
          </cell>
        </row>
        <row r="188">
          <cell r="I188">
            <v>39240</v>
          </cell>
          <cell r="J188">
            <v>4190</v>
          </cell>
          <cell r="K188">
            <v>101.5</v>
          </cell>
          <cell r="L188">
            <v>790</v>
          </cell>
          <cell r="M188">
            <v>2327.5</v>
          </cell>
          <cell r="N188">
            <v>7.6512000000000002</v>
          </cell>
          <cell r="O188">
            <v>547.62651610204932</v>
          </cell>
          <cell r="P188">
            <v>172.54999999999998</v>
          </cell>
          <cell r="Q188">
            <v>72.276244249268089</v>
          </cell>
          <cell r="R188">
            <v>54.756116687578412</v>
          </cell>
          <cell r="S188">
            <v>204.47060374195252</v>
          </cell>
          <cell r="T188">
            <v>504.05296467879901</v>
          </cell>
          <cell r="U188">
            <v>53.753575930669058</v>
          </cell>
        </row>
        <row r="189">
          <cell r="I189">
            <v>39241</v>
          </cell>
          <cell r="J189">
            <v>4190</v>
          </cell>
          <cell r="K189">
            <v>101.5</v>
          </cell>
          <cell r="L189">
            <v>790</v>
          </cell>
          <cell r="M189">
            <v>2327.5</v>
          </cell>
          <cell r="N189">
            <v>7.6568000000000005</v>
          </cell>
          <cell r="O189">
            <v>547.22599519381458</v>
          </cell>
          <cell r="P189">
            <v>172.54999999999998</v>
          </cell>
          <cell r="Q189">
            <v>72.22338313655834</v>
          </cell>
          <cell r="R189">
            <v>54.716069376240718</v>
          </cell>
          <cell r="S189">
            <v>204.42590791091678</v>
          </cell>
          <cell r="T189">
            <v>503.91536042371581</v>
          </cell>
          <cell r="U189">
            <v>51.607004880670218</v>
          </cell>
        </row>
        <row r="190">
          <cell r="I190">
            <v>39242</v>
          </cell>
          <cell r="J190">
            <v>4190</v>
          </cell>
          <cell r="K190">
            <v>101.5</v>
          </cell>
          <cell r="L190">
            <v>790</v>
          </cell>
          <cell r="M190">
            <v>2327.5</v>
          </cell>
          <cell r="N190">
            <v>7.6568000000000005</v>
          </cell>
          <cell r="O190">
            <v>547.22599519381458</v>
          </cell>
          <cell r="P190">
            <v>172.54999999999998</v>
          </cell>
          <cell r="Q190">
            <v>72.22338313655834</v>
          </cell>
          <cell r="R190">
            <v>54.716069376240718</v>
          </cell>
          <cell r="S190">
            <v>204.42590791091678</v>
          </cell>
          <cell r="T190">
            <v>503.91536042371581</v>
          </cell>
          <cell r="U190">
            <v>49.460433830671491</v>
          </cell>
        </row>
        <row r="191">
          <cell r="I191">
            <v>39243</v>
          </cell>
          <cell r="J191">
            <v>4190</v>
          </cell>
          <cell r="K191">
            <v>101.5</v>
          </cell>
          <cell r="L191">
            <v>790</v>
          </cell>
          <cell r="M191">
            <v>2327.5</v>
          </cell>
          <cell r="N191">
            <v>7.6568000000000005</v>
          </cell>
          <cell r="O191">
            <v>547.22599519381458</v>
          </cell>
          <cell r="P191">
            <v>172.54999999999998</v>
          </cell>
          <cell r="Q191">
            <v>72.22338313655834</v>
          </cell>
          <cell r="R191">
            <v>54.716069376240718</v>
          </cell>
          <cell r="S191">
            <v>204.42590791091678</v>
          </cell>
          <cell r="T191">
            <v>503.91536042371581</v>
          </cell>
          <cell r="U191">
            <v>47.31386278067265</v>
          </cell>
        </row>
        <row r="192">
          <cell r="I192">
            <v>39244</v>
          </cell>
          <cell r="J192">
            <v>4190</v>
          </cell>
          <cell r="K192">
            <v>101.5</v>
          </cell>
          <cell r="L192">
            <v>790</v>
          </cell>
          <cell r="M192">
            <v>2327.5</v>
          </cell>
          <cell r="N192">
            <v>7.6673999999999998</v>
          </cell>
          <cell r="O192">
            <v>546.46946813783029</v>
          </cell>
          <cell r="P192">
            <v>172.54999999999998</v>
          </cell>
          <cell r="Q192">
            <v>72.123536009599079</v>
          </cell>
          <cell r="R192">
            <v>54.640425698411455</v>
          </cell>
          <cell r="S192">
            <v>204.34148384023021</v>
          </cell>
          <cell r="T192">
            <v>503.65544554824066</v>
          </cell>
          <cell r="U192">
            <v>45.121503519402779</v>
          </cell>
        </row>
        <row r="193">
          <cell r="I193">
            <v>39245</v>
          </cell>
          <cell r="J193">
            <v>4190</v>
          </cell>
          <cell r="K193">
            <v>101.5</v>
          </cell>
          <cell r="L193">
            <v>790</v>
          </cell>
          <cell r="M193">
            <v>2330</v>
          </cell>
          <cell r="N193">
            <v>7.6440999999999999</v>
          </cell>
          <cell r="O193">
            <v>548.13516306694055</v>
          </cell>
          <cell r="P193">
            <v>172.54999999999998</v>
          </cell>
          <cell r="Q193">
            <v>72.343375936997163</v>
          </cell>
          <cell r="R193">
            <v>54.865844245888987</v>
          </cell>
          <cell r="S193">
            <v>204.51881221392244</v>
          </cell>
          <cell r="T193">
            <v>504.27803239680856</v>
          </cell>
          <cell r="U193">
            <v>44.139483727654465</v>
          </cell>
        </row>
        <row r="194">
          <cell r="I194">
            <v>39246</v>
          </cell>
          <cell r="J194">
            <v>4190</v>
          </cell>
          <cell r="K194">
            <v>101.5</v>
          </cell>
          <cell r="L194">
            <v>790</v>
          </cell>
          <cell r="M194">
            <v>2330</v>
          </cell>
          <cell r="N194">
            <v>7.6273</v>
          </cell>
          <cell r="O194">
            <v>549.34249341182328</v>
          </cell>
          <cell r="P194">
            <v>172.54999999999998</v>
          </cell>
          <cell r="Q194">
            <v>72.502720490868327</v>
          </cell>
          <cell r="R194">
            <v>54.986692538644085</v>
          </cell>
          <cell r="S194">
            <v>204.65352449999386</v>
          </cell>
          <cell r="T194">
            <v>504.69293752950625</v>
          </cell>
          <cell r="U194">
            <v>43.546594982226566</v>
          </cell>
        </row>
        <row r="195">
          <cell r="I195">
            <v>39247</v>
          </cell>
          <cell r="J195">
            <v>4190</v>
          </cell>
          <cell r="K195">
            <v>101.5</v>
          </cell>
          <cell r="L195">
            <v>790</v>
          </cell>
          <cell r="M195">
            <v>2330</v>
          </cell>
          <cell r="N195">
            <v>7.6322999999999999</v>
          </cell>
          <cell r="O195">
            <v>548.98261336687506</v>
          </cell>
          <cell r="P195">
            <v>172.54999999999998</v>
          </cell>
          <cell r="Q195">
            <v>72.455223196153185</v>
          </cell>
          <cell r="R195">
            <v>54.950670178059042</v>
          </cell>
          <cell r="S195">
            <v>204.61336957158352</v>
          </cell>
          <cell r="T195">
            <v>504.56926294579574</v>
          </cell>
          <cell r="U195">
            <v>43.666566267630685</v>
          </cell>
        </row>
        <row r="196">
          <cell r="I196">
            <v>39248</v>
          </cell>
          <cell r="J196">
            <v>4190</v>
          </cell>
          <cell r="K196">
            <v>101.5</v>
          </cell>
          <cell r="L196">
            <v>790</v>
          </cell>
          <cell r="M196">
            <v>2330</v>
          </cell>
          <cell r="N196">
            <v>7.6283000000000003</v>
          </cell>
          <cell r="O196">
            <v>549.27047966126133</v>
          </cell>
          <cell r="P196">
            <v>172.54999999999998</v>
          </cell>
          <cell r="Q196">
            <v>72.493216050758349</v>
          </cell>
          <cell r="R196">
            <v>54.97948428876682</v>
          </cell>
          <cell r="S196">
            <v>204.64548930315823</v>
          </cell>
          <cell r="T196">
            <v>504.66818964268339</v>
          </cell>
          <cell r="U196">
            <v>43.851088445984772</v>
          </cell>
        </row>
        <row r="197">
          <cell r="I197">
            <v>39249</v>
          </cell>
          <cell r="J197">
            <v>4190</v>
          </cell>
          <cell r="K197">
            <v>101.5</v>
          </cell>
          <cell r="L197">
            <v>790</v>
          </cell>
          <cell r="M197">
            <v>2330</v>
          </cell>
          <cell r="N197">
            <v>7.6283000000000003</v>
          </cell>
          <cell r="O197">
            <v>549.27047966126133</v>
          </cell>
          <cell r="P197">
            <v>172.54999999999998</v>
          </cell>
          <cell r="Q197">
            <v>72.493216050758349</v>
          </cell>
          <cell r="R197">
            <v>54.97948428876682</v>
          </cell>
          <cell r="S197">
            <v>204.64548930315823</v>
          </cell>
          <cell r="T197">
            <v>504.66818964268339</v>
          </cell>
          <cell r="U197">
            <v>44.035610624339029</v>
          </cell>
        </row>
        <row r="198">
          <cell r="I198">
            <v>39250</v>
          </cell>
          <cell r="J198">
            <v>4190</v>
          </cell>
          <cell r="K198">
            <v>101.5</v>
          </cell>
          <cell r="L198">
            <v>790</v>
          </cell>
          <cell r="M198">
            <v>2330</v>
          </cell>
          <cell r="N198">
            <v>7.6283000000000003</v>
          </cell>
          <cell r="O198">
            <v>549.27047966126133</v>
          </cell>
          <cell r="P198">
            <v>172.54999999999998</v>
          </cell>
          <cell r="Q198">
            <v>72.493216050758349</v>
          </cell>
          <cell r="R198">
            <v>54.97948428876682</v>
          </cell>
          <cell r="S198">
            <v>204.64548930315823</v>
          </cell>
          <cell r="T198">
            <v>504.66818964268339</v>
          </cell>
          <cell r="U198">
            <v>44.220132802693115</v>
          </cell>
        </row>
        <row r="199">
          <cell r="I199">
            <v>39251</v>
          </cell>
          <cell r="J199">
            <v>4150</v>
          </cell>
          <cell r="K199">
            <v>101.5</v>
          </cell>
          <cell r="L199">
            <v>790</v>
          </cell>
          <cell r="M199">
            <v>2330</v>
          </cell>
          <cell r="N199">
            <v>7.6271000000000004</v>
          </cell>
          <cell r="O199">
            <v>544.11244116374507</v>
          </cell>
          <cell r="P199">
            <v>172.54999999999998</v>
          </cell>
          <cell r="Q199">
            <v>72.504621677964096</v>
          </cell>
          <cell r="R199">
            <v>54.988134415439681</v>
          </cell>
          <cell r="S199">
            <v>203.89311663415214</v>
          </cell>
          <cell r="T199">
            <v>503.93587272755587</v>
          </cell>
          <cell r="U199">
            <v>43.843353637921552</v>
          </cell>
        </row>
        <row r="200">
          <cell r="I200">
            <v>39252</v>
          </cell>
          <cell r="J200">
            <v>4150</v>
          </cell>
          <cell r="K200">
            <v>101.5</v>
          </cell>
          <cell r="L200">
            <v>790</v>
          </cell>
          <cell r="M200">
            <v>2330</v>
          </cell>
          <cell r="N200">
            <v>7.6204999999999998</v>
          </cell>
          <cell r="O200">
            <v>544.58368873433506</v>
          </cell>
          <cell r="P200">
            <v>172.54999999999998</v>
          </cell>
          <cell r="Q200">
            <v>72.567416836165592</v>
          </cell>
          <cell r="R200">
            <v>55.035758808477127</v>
          </cell>
          <cell r="S200">
            <v>203.9455446369638</v>
          </cell>
          <cell r="T200">
            <v>504.09872028160652</v>
          </cell>
          <cell r="U200">
            <v>43.361616178292593</v>
          </cell>
        </row>
        <row r="201">
          <cell r="I201">
            <v>39253</v>
          </cell>
          <cell r="J201">
            <v>4150</v>
          </cell>
          <cell r="K201">
            <v>101.5</v>
          </cell>
          <cell r="L201">
            <v>790</v>
          </cell>
          <cell r="M201">
            <v>2330</v>
          </cell>
          <cell r="N201">
            <v>7.6166999999999998</v>
          </cell>
          <cell r="O201">
            <v>544.85538356506095</v>
          </cell>
          <cell r="P201">
            <v>172.54999999999998</v>
          </cell>
          <cell r="Q201">
            <v>72.603620990717758</v>
          </cell>
          <cell r="R201">
            <v>55.063216353538934</v>
          </cell>
          <cell r="S201">
            <v>203.97577167310828</v>
          </cell>
          <cell r="T201">
            <v>504.19260901736493</v>
          </cell>
          <cell r="U201">
            <v>42.792075987632359</v>
          </cell>
        </row>
        <row r="202">
          <cell r="I202">
            <v>39254</v>
          </cell>
          <cell r="J202">
            <v>4150</v>
          </cell>
          <cell r="K202">
            <v>101.5</v>
          </cell>
          <cell r="L202">
            <v>790</v>
          </cell>
          <cell r="M202">
            <v>2330</v>
          </cell>
          <cell r="N202">
            <v>7.6200999999999999</v>
          </cell>
          <cell r="O202">
            <v>544.6122754294563</v>
          </cell>
          <cell r="P202">
            <v>172.54999999999998</v>
          </cell>
          <cell r="Q202">
            <v>72.57122609939502</v>
          </cell>
          <cell r="R202">
            <v>55.038647786774447</v>
          </cell>
          <cell r="S202">
            <v>203.94872501056301</v>
          </cell>
          <cell r="T202">
            <v>504.10859889673247</v>
          </cell>
          <cell r="U202">
            <v>42.233551146438856</v>
          </cell>
        </row>
        <row r="203">
          <cell r="I203">
            <v>39255</v>
          </cell>
          <cell r="J203">
            <v>4150</v>
          </cell>
          <cell r="K203">
            <v>101.5</v>
          </cell>
          <cell r="L203">
            <v>790</v>
          </cell>
          <cell r="M203">
            <v>2330</v>
          </cell>
          <cell r="N203">
            <v>7.6228999999999996</v>
          </cell>
          <cell r="O203">
            <v>544.4122315654148</v>
          </cell>
          <cell r="P203">
            <v>172.54999999999998</v>
          </cell>
          <cell r="Q203">
            <v>72.544569651969724</v>
          </cell>
          <cell r="R203">
            <v>55.018431305671065</v>
          </cell>
          <cell r="S203">
            <v>203.92646940454836</v>
          </cell>
          <cell r="T203">
            <v>504.03947036218915</v>
          </cell>
          <cell r="U203">
            <v>41.62933274424563</v>
          </cell>
        </row>
        <row r="204">
          <cell r="I204">
            <v>39256</v>
          </cell>
          <cell r="J204">
            <v>4150</v>
          </cell>
          <cell r="K204">
            <v>101.5</v>
          </cell>
          <cell r="L204">
            <v>790</v>
          </cell>
          <cell r="M204">
            <v>2330</v>
          </cell>
          <cell r="N204">
            <v>7.6228999999999996</v>
          </cell>
          <cell r="O204">
            <v>544.4122315654148</v>
          </cell>
          <cell r="P204">
            <v>172.54999999999998</v>
          </cell>
          <cell r="Q204">
            <v>72.544569651969724</v>
          </cell>
          <cell r="R204">
            <v>55.018431305671065</v>
          </cell>
          <cell r="S204">
            <v>203.92646940454836</v>
          </cell>
          <cell r="T204">
            <v>504.03947036218915</v>
          </cell>
          <cell r="U204">
            <v>41.025114342052404</v>
          </cell>
        </row>
        <row r="205">
          <cell r="I205">
            <v>39257</v>
          </cell>
          <cell r="J205">
            <v>4150</v>
          </cell>
          <cell r="K205">
            <v>101.5</v>
          </cell>
          <cell r="L205">
            <v>790</v>
          </cell>
          <cell r="M205">
            <v>2330</v>
          </cell>
          <cell r="N205">
            <v>7.6228999999999996</v>
          </cell>
          <cell r="O205">
            <v>544.4122315654148</v>
          </cell>
          <cell r="P205">
            <v>172.54999999999998</v>
          </cell>
          <cell r="Q205">
            <v>72.544569651969724</v>
          </cell>
          <cell r="R205">
            <v>55.018431305671065</v>
          </cell>
          <cell r="S205">
            <v>203.92646940454836</v>
          </cell>
          <cell r="T205">
            <v>504.03947036218915</v>
          </cell>
          <cell r="U205">
            <v>40.420895939859179</v>
          </cell>
        </row>
        <row r="206">
          <cell r="I206">
            <v>39258</v>
          </cell>
          <cell r="J206">
            <v>4150</v>
          </cell>
          <cell r="K206">
            <v>101.5</v>
          </cell>
          <cell r="L206">
            <v>790</v>
          </cell>
          <cell r="M206">
            <v>2330</v>
          </cell>
          <cell r="N206">
            <v>7.6199000000000003</v>
          </cell>
          <cell r="O206">
            <v>544.62656990249218</v>
          </cell>
          <cell r="P206">
            <v>172.54999999999998</v>
          </cell>
          <cell r="Q206">
            <v>72.573130880982688</v>
          </cell>
          <cell r="R206">
            <v>55.040092389663904</v>
          </cell>
          <cell r="S206">
            <v>203.95031532257582</v>
          </cell>
          <cell r="T206">
            <v>504.11353859322242</v>
          </cell>
          <cell r="U206">
            <v>40.468962064585014</v>
          </cell>
        </row>
        <row r="207">
          <cell r="I207">
            <v>39259</v>
          </cell>
          <cell r="J207">
            <v>4150</v>
          </cell>
          <cell r="K207">
            <v>101.5</v>
          </cell>
          <cell r="L207">
            <v>790</v>
          </cell>
          <cell r="M207">
            <v>2330</v>
          </cell>
          <cell r="N207">
            <v>7.6176000000000004</v>
          </cell>
          <cell r="O207">
            <v>544.79101029195544</v>
          </cell>
          <cell r="P207">
            <v>172.54999999999998</v>
          </cell>
          <cell r="Q207">
            <v>72.595043058181048</v>
          </cell>
          <cell r="R207">
            <v>55.05671077504725</v>
          </cell>
          <cell r="S207">
            <v>203.96860991280647</v>
          </cell>
          <cell r="T207">
            <v>504.17036374603475</v>
          </cell>
          <cell r="U207">
            <v>40.488344649326677</v>
          </cell>
        </row>
        <row r="208">
          <cell r="I208">
            <v>39260</v>
          </cell>
          <cell r="J208">
            <v>4150</v>
          </cell>
          <cell r="K208">
            <v>101.5</v>
          </cell>
          <cell r="L208">
            <v>790</v>
          </cell>
          <cell r="M208">
            <v>2330</v>
          </cell>
          <cell r="N208">
            <v>7.6174999999999997</v>
          </cell>
          <cell r="O208">
            <v>544.79816212668197</v>
          </cell>
          <cell r="P208">
            <v>172.54999999999998</v>
          </cell>
          <cell r="Q208">
            <v>72.595996061700035</v>
          </cell>
          <cell r="R208">
            <v>55.057433541188054</v>
          </cell>
          <cell r="S208">
            <v>203.96940558038028</v>
          </cell>
          <cell r="T208">
            <v>504.17283518326838</v>
          </cell>
          <cell r="U208">
            <v>40.482994991572184</v>
          </cell>
        </row>
        <row r="209">
          <cell r="I209">
            <v>39261</v>
          </cell>
          <cell r="J209">
            <v>4150</v>
          </cell>
          <cell r="K209">
            <v>101.5</v>
          </cell>
          <cell r="L209">
            <v>790</v>
          </cell>
          <cell r="M209">
            <v>2330</v>
          </cell>
          <cell r="N209">
            <v>7.6157000000000004</v>
          </cell>
          <cell r="O209">
            <v>544.92692726866869</v>
          </cell>
          <cell r="P209">
            <v>172.54999999999998</v>
          </cell>
          <cell r="Q209">
            <v>72.613154404716568</v>
          </cell>
          <cell r="R209">
            <v>55.070446577464971</v>
          </cell>
          <cell r="S209">
            <v>203.98373116983146</v>
          </cell>
          <cell r="T209">
            <v>504.217332152013</v>
          </cell>
          <cell r="U209">
            <v>40.51241193213383</v>
          </cell>
        </row>
        <row r="210">
          <cell r="I210">
            <v>39262</v>
          </cell>
          <cell r="J210">
            <v>4090</v>
          </cell>
          <cell r="K210">
            <v>103.5</v>
          </cell>
          <cell r="L210">
            <v>790</v>
          </cell>
          <cell r="M210">
            <v>2330</v>
          </cell>
          <cell r="N210">
            <v>7.6151</v>
          </cell>
          <cell r="O210">
            <v>537.09078016047067</v>
          </cell>
          <cell r="P210">
            <v>175.95</v>
          </cell>
          <cell r="Q210">
            <v>72.618875654948724</v>
          </cell>
          <cell r="R210">
            <v>55.074785623301068</v>
          </cell>
          <cell r="S210">
            <v>202.34966684613465</v>
          </cell>
          <cell r="T210">
            <v>505.99332812438445</v>
          </cell>
          <cell r="U210">
            <v>39.187367765399642</v>
          </cell>
        </row>
        <row r="211">
          <cell r="I211">
            <v>39263</v>
          </cell>
          <cell r="J211">
            <v>4090</v>
          </cell>
          <cell r="K211">
            <v>103.5</v>
          </cell>
          <cell r="L211">
            <v>798</v>
          </cell>
          <cell r="M211">
            <v>2330</v>
          </cell>
          <cell r="N211">
            <v>7.6151</v>
          </cell>
          <cell r="O211">
            <v>537.09078016047067</v>
          </cell>
          <cell r="P211">
            <v>175.95</v>
          </cell>
          <cell r="Q211">
            <v>73.354256674239338</v>
          </cell>
          <cell r="R211">
            <v>55.074785623301068</v>
          </cell>
          <cell r="S211">
            <v>202.24281661256254</v>
          </cell>
          <cell r="T211">
            <v>506.62185891010296</v>
          </cell>
          <cell r="U211">
            <v>37.772533486419832</v>
          </cell>
        </row>
        <row r="212">
          <cell r="I212">
            <v>39264</v>
          </cell>
          <cell r="J212">
            <v>4090</v>
          </cell>
          <cell r="K212">
            <v>103.5</v>
          </cell>
          <cell r="L212">
            <v>798</v>
          </cell>
          <cell r="M212">
            <v>2330</v>
          </cell>
          <cell r="N212">
            <v>7.6151</v>
          </cell>
          <cell r="O212">
            <v>537.09078016047067</v>
          </cell>
          <cell r="P212">
            <v>175.95</v>
          </cell>
          <cell r="Q212">
            <v>73.354256674239338</v>
          </cell>
          <cell r="R212">
            <v>55.074785623301068</v>
          </cell>
          <cell r="S212">
            <v>202.24281661256254</v>
          </cell>
          <cell r="T212">
            <v>506.62185891010296</v>
          </cell>
          <cell r="U212">
            <v>36.357699207440135</v>
          </cell>
        </row>
        <row r="213">
          <cell r="I213">
            <v>39265</v>
          </cell>
          <cell r="J213">
            <v>4090</v>
          </cell>
          <cell r="K213">
            <v>103.5</v>
          </cell>
          <cell r="L213">
            <v>798</v>
          </cell>
          <cell r="M213">
            <v>2330</v>
          </cell>
          <cell r="N213">
            <v>7.6059000000000001</v>
          </cell>
          <cell r="O213">
            <v>537.74043834391716</v>
          </cell>
          <cell r="P213">
            <v>175.95</v>
          </cell>
          <cell r="Q213">
            <v>73.442985051078765</v>
          </cell>
          <cell r="R213">
            <v>55.141403384214875</v>
          </cell>
          <cell r="S213">
            <v>202.31463973031282</v>
          </cell>
          <cell r="T213">
            <v>506.84902816560646</v>
          </cell>
          <cell r="U213">
            <v>34.98318190301751</v>
          </cell>
        </row>
        <row r="214">
          <cell r="I214">
            <v>39266</v>
          </cell>
          <cell r="J214">
            <v>4090</v>
          </cell>
          <cell r="K214">
            <v>103.5</v>
          </cell>
          <cell r="L214">
            <v>798</v>
          </cell>
          <cell r="M214">
            <v>2355</v>
          </cell>
          <cell r="N214">
            <v>7.5931999999999995</v>
          </cell>
          <cell r="O214">
            <v>538.63983564241698</v>
          </cell>
          <cell r="P214">
            <v>175.95</v>
          </cell>
          <cell r="Q214">
            <v>73.56582205130907</v>
          </cell>
          <cell r="R214">
            <v>55.826265606068588</v>
          </cell>
          <cell r="S214">
            <v>202.32796338244162</v>
          </cell>
          <cell r="T214">
            <v>507.67005103981927</v>
          </cell>
          <cell r="U214">
            <v>33.604487339685704</v>
          </cell>
        </row>
        <row r="215">
          <cell r="I215">
            <v>39267</v>
          </cell>
          <cell r="J215">
            <v>4000</v>
          </cell>
          <cell r="K215">
            <v>103.5</v>
          </cell>
          <cell r="L215">
            <v>798</v>
          </cell>
          <cell r="M215">
            <v>2355</v>
          </cell>
          <cell r="N215">
            <v>7.5952999999999999</v>
          </cell>
          <cell r="O215">
            <v>526.64147564941482</v>
          </cell>
          <cell r="P215">
            <v>175.95</v>
          </cell>
          <cell r="Q215">
            <v>73.54548207444077</v>
          </cell>
          <cell r="R215">
            <v>55.810830381946722</v>
          </cell>
          <cell r="S215">
            <v>200.58981003659369</v>
          </cell>
          <cell r="T215">
            <v>505.89612249298119</v>
          </cell>
          <cell r="U215">
            <v>30.764491084402778</v>
          </cell>
        </row>
        <row r="216">
          <cell r="I216">
            <v>39268</v>
          </cell>
          <cell r="J216">
            <v>4000</v>
          </cell>
          <cell r="K216">
            <v>103.5</v>
          </cell>
          <cell r="L216">
            <v>798</v>
          </cell>
          <cell r="M216">
            <v>2355</v>
          </cell>
          <cell r="N216">
            <v>7.5964</v>
          </cell>
          <cell r="O216">
            <v>526.56521510189032</v>
          </cell>
          <cell r="P216">
            <v>175.95</v>
          </cell>
          <cell r="Q216">
            <v>73.53483228897899</v>
          </cell>
          <cell r="R216">
            <v>55.802748670422829</v>
          </cell>
          <cell r="S216">
            <v>200.58145111472055</v>
          </cell>
          <cell r="T216">
            <v>505.86903207412234</v>
          </cell>
          <cell r="U216">
            <v>27.905432214561586</v>
          </cell>
        </row>
        <row r="217">
          <cell r="I217">
            <v>39269</v>
          </cell>
          <cell r="J217">
            <v>4000</v>
          </cell>
          <cell r="K217">
            <v>103.5</v>
          </cell>
          <cell r="L217">
            <v>798</v>
          </cell>
          <cell r="M217">
            <v>2355</v>
          </cell>
          <cell r="N217">
            <v>7.6037999999999997</v>
          </cell>
          <cell r="O217">
            <v>526.05276309213821</v>
          </cell>
          <cell r="P217">
            <v>175.95</v>
          </cell>
          <cell r="Q217">
            <v>73.463268365817086</v>
          </cell>
          <cell r="R217">
            <v>55.748441568689344</v>
          </cell>
          <cell r="S217">
            <v>200.52528122803193</v>
          </cell>
          <cell r="T217">
            <v>505.68699116253839</v>
          </cell>
          <cell r="U217">
            <v>26.372335056492204</v>
          </cell>
        </row>
        <row r="218">
          <cell r="I218">
            <v>39270</v>
          </cell>
          <cell r="J218">
            <v>4000</v>
          </cell>
          <cell r="K218">
            <v>103.5</v>
          </cell>
          <cell r="L218">
            <v>798</v>
          </cell>
          <cell r="M218">
            <v>2355</v>
          </cell>
          <cell r="N218">
            <v>7.6037999999999997</v>
          </cell>
          <cell r="O218">
            <v>526.05276309213821</v>
          </cell>
          <cell r="P218">
            <v>175.95</v>
          </cell>
          <cell r="Q218">
            <v>73.463268365817086</v>
          </cell>
          <cell r="R218">
            <v>55.748441568689344</v>
          </cell>
          <cell r="S218">
            <v>200.52528122803193</v>
          </cell>
          <cell r="T218">
            <v>505.68699116253839</v>
          </cell>
          <cell r="U218">
            <v>24.929028010668219</v>
          </cell>
        </row>
        <row r="219">
          <cell r="I219">
            <v>39271</v>
          </cell>
          <cell r="J219">
            <v>4000</v>
          </cell>
          <cell r="K219">
            <v>103.5</v>
          </cell>
          <cell r="L219">
            <v>798</v>
          </cell>
          <cell r="M219">
            <v>2355</v>
          </cell>
          <cell r="N219">
            <v>7.6037999999999997</v>
          </cell>
          <cell r="O219">
            <v>526.05276309213821</v>
          </cell>
          <cell r="P219">
            <v>175.95</v>
          </cell>
          <cell r="Q219">
            <v>73.463268365817086</v>
          </cell>
          <cell r="R219">
            <v>55.748441568689344</v>
          </cell>
          <cell r="S219">
            <v>200.52528122803193</v>
          </cell>
          <cell r="T219">
            <v>505.68699116253839</v>
          </cell>
          <cell r="U219">
            <v>23.485720964844177</v>
          </cell>
        </row>
        <row r="220">
          <cell r="I220">
            <v>39272</v>
          </cell>
          <cell r="J220">
            <v>4000</v>
          </cell>
          <cell r="K220">
            <v>103.5</v>
          </cell>
          <cell r="L220">
            <v>798</v>
          </cell>
          <cell r="M220">
            <v>2355</v>
          </cell>
          <cell r="N220">
            <v>7.6030999999999995</v>
          </cell>
          <cell r="O220">
            <v>526.10119556496693</v>
          </cell>
          <cell r="P220">
            <v>175.95</v>
          </cell>
          <cell r="Q220">
            <v>73.470031960647631</v>
          </cell>
          <cell r="R220">
            <v>55.753574199997367</v>
          </cell>
          <cell r="S220">
            <v>200.53058991344847</v>
          </cell>
          <cell r="T220">
            <v>505.70419607409349</v>
          </cell>
          <cell r="U220">
            <v>21.986519438067432</v>
          </cell>
        </row>
        <row r="221">
          <cell r="I221">
            <v>39273</v>
          </cell>
          <cell r="J221">
            <v>4000</v>
          </cell>
          <cell r="K221">
            <v>103.5</v>
          </cell>
          <cell r="L221">
            <v>798</v>
          </cell>
          <cell r="M221">
            <v>2380</v>
          </cell>
          <cell r="N221">
            <v>7.5827</v>
          </cell>
          <cell r="O221">
            <v>527.51658380260335</v>
          </cell>
          <cell r="P221">
            <v>175.95</v>
          </cell>
          <cell r="Q221">
            <v>73.667690928033551</v>
          </cell>
          <cell r="R221">
            <v>56.497026125258813</v>
          </cell>
          <cell r="S221">
            <v>200.59950200631016</v>
          </cell>
          <cell r="T221">
            <v>506.7142190596025</v>
          </cell>
          <cell r="U221">
            <v>20.534030886696598</v>
          </cell>
        </row>
        <row r="222">
          <cell r="I222">
            <v>39274</v>
          </cell>
          <cell r="J222">
            <v>4000</v>
          </cell>
          <cell r="K222">
            <v>103.5</v>
          </cell>
          <cell r="L222">
            <v>798</v>
          </cell>
          <cell r="M222">
            <v>2380</v>
          </cell>
          <cell r="N222">
            <v>7.5632000000000001</v>
          </cell>
          <cell r="O222">
            <v>528.87666596149779</v>
          </cell>
          <cell r="P222">
            <v>175.95</v>
          </cell>
          <cell r="Q222">
            <v>73.857626401523163</v>
          </cell>
          <cell r="R222">
            <v>56.642690924476412</v>
          </cell>
          <cell r="S222">
            <v>200.74835834874756</v>
          </cell>
          <cell r="T222">
            <v>507.19867567474711</v>
          </cell>
          <cell r="U222">
            <v>20.667264762456114</v>
          </cell>
        </row>
        <row r="223">
          <cell r="I223">
            <v>39275</v>
          </cell>
          <cell r="J223">
            <v>4000</v>
          </cell>
          <cell r="K223">
            <v>103.5</v>
          </cell>
          <cell r="L223">
            <v>798</v>
          </cell>
          <cell r="M223">
            <v>2380</v>
          </cell>
          <cell r="N223">
            <v>7.5658000000000003</v>
          </cell>
          <cell r="O223">
            <v>528.69491659837684</v>
          </cell>
          <cell r="P223">
            <v>175.95</v>
          </cell>
          <cell r="Q223">
            <v>73.832245102963327</v>
          </cell>
          <cell r="R223">
            <v>56.623225567686163</v>
          </cell>
          <cell r="S223">
            <v>200.72846650231935</v>
          </cell>
          <cell r="T223">
            <v>507.13393717296884</v>
          </cell>
          <cell r="U223">
            <v>20.790807104976125</v>
          </cell>
        </row>
        <row r="224">
          <cell r="I224">
            <v>39276</v>
          </cell>
          <cell r="J224">
            <v>4000</v>
          </cell>
          <cell r="K224">
            <v>103.5</v>
          </cell>
          <cell r="L224">
            <v>798</v>
          </cell>
          <cell r="M224">
            <v>2380</v>
          </cell>
          <cell r="N224">
            <v>7.5712000000000002</v>
          </cell>
          <cell r="O224">
            <v>528.31783601014365</v>
          </cell>
          <cell r="P224">
            <v>175.95</v>
          </cell>
          <cell r="Q224">
            <v>73.779585798816555</v>
          </cell>
          <cell r="R224">
            <v>56.582840236686387</v>
          </cell>
          <cell r="S224">
            <v>200.68719632110168</v>
          </cell>
          <cell r="T224">
            <v>506.99962235660462</v>
          </cell>
          <cell r="U224">
            <v>20.92687020839611</v>
          </cell>
        </row>
        <row r="225">
          <cell r="I225">
            <v>39277</v>
          </cell>
          <cell r="J225">
            <v>4000</v>
          </cell>
          <cell r="K225">
            <v>103.5</v>
          </cell>
          <cell r="L225">
            <v>798</v>
          </cell>
          <cell r="M225">
            <v>2380</v>
          </cell>
          <cell r="N225">
            <v>7.5712000000000002</v>
          </cell>
          <cell r="O225">
            <v>528.31783601014365</v>
          </cell>
          <cell r="P225">
            <v>175.95</v>
          </cell>
          <cell r="Q225">
            <v>73.779585798816555</v>
          </cell>
          <cell r="R225">
            <v>56.582840236686387</v>
          </cell>
          <cell r="S225">
            <v>200.68719632110168</v>
          </cell>
          <cell r="T225">
            <v>506.99962235660462</v>
          </cell>
          <cell r="U225">
            <v>21.062933311815925</v>
          </cell>
        </row>
        <row r="226">
          <cell r="I226">
            <v>39278</v>
          </cell>
          <cell r="J226">
            <v>4000</v>
          </cell>
          <cell r="K226">
            <v>103.5</v>
          </cell>
          <cell r="L226">
            <v>798</v>
          </cell>
          <cell r="M226">
            <v>2380</v>
          </cell>
          <cell r="N226">
            <v>7.5712000000000002</v>
          </cell>
          <cell r="O226">
            <v>528.31783601014365</v>
          </cell>
          <cell r="P226">
            <v>175.95</v>
          </cell>
          <cell r="Q226">
            <v>73.779585798816555</v>
          </cell>
          <cell r="R226">
            <v>56.582840236686387</v>
          </cell>
          <cell r="S226">
            <v>200.68719632110168</v>
          </cell>
          <cell r="T226">
            <v>506.99962235660462</v>
          </cell>
          <cell r="U226">
            <v>21.19899641523574</v>
          </cell>
        </row>
        <row r="227">
          <cell r="I227">
            <v>39279</v>
          </cell>
          <cell r="J227">
            <v>4000</v>
          </cell>
          <cell r="K227">
            <v>103.5</v>
          </cell>
          <cell r="L227">
            <v>798</v>
          </cell>
          <cell r="M227">
            <v>2380</v>
          </cell>
          <cell r="N227">
            <v>7.5667</v>
          </cell>
          <cell r="O227">
            <v>528.63203245800685</v>
          </cell>
          <cell r="P227">
            <v>175.95</v>
          </cell>
          <cell r="Q227">
            <v>73.823463332760639</v>
          </cell>
          <cell r="R227">
            <v>56.616490676252525</v>
          </cell>
          <cell r="S227">
            <v>200.72158404814439</v>
          </cell>
          <cell r="T227">
            <v>507.11153805715753</v>
          </cell>
          <cell r="U227">
            <v>21.359495688089567</v>
          </cell>
        </row>
        <row r="228">
          <cell r="I228">
            <v>39280</v>
          </cell>
          <cell r="J228">
            <v>4000</v>
          </cell>
          <cell r="K228">
            <v>103.5</v>
          </cell>
          <cell r="L228">
            <v>798</v>
          </cell>
          <cell r="M228">
            <v>2380</v>
          </cell>
          <cell r="N228">
            <v>7.5628000000000002</v>
          </cell>
          <cell r="O228">
            <v>528.90463849367961</v>
          </cell>
          <cell r="P228">
            <v>175.95</v>
          </cell>
          <cell r="Q228">
            <v>73.861532765642352</v>
          </cell>
          <cell r="R228">
            <v>56.645686782673081</v>
          </cell>
          <cell r="S228">
            <v>200.7514198467623</v>
          </cell>
          <cell r="T228">
            <v>507.20863939507774</v>
          </cell>
          <cell r="U228">
            <v>21.487157738889664</v>
          </cell>
        </row>
        <row r="229">
          <cell r="I229">
            <v>39281</v>
          </cell>
          <cell r="J229">
            <v>4000</v>
          </cell>
          <cell r="K229">
            <v>103.5</v>
          </cell>
          <cell r="L229">
            <v>798</v>
          </cell>
          <cell r="M229">
            <v>2380</v>
          </cell>
          <cell r="N229">
            <v>7.5637999999999996</v>
          </cell>
          <cell r="O229">
            <v>528.83471271054236</v>
          </cell>
          <cell r="P229">
            <v>175.95</v>
          </cell>
          <cell r="Q229">
            <v>73.85176763002724</v>
          </cell>
          <cell r="R229">
            <v>56.638197731299087</v>
          </cell>
          <cell r="S229">
            <v>200.74376670886045</v>
          </cell>
          <cell r="T229">
            <v>507.18373207018675</v>
          </cell>
          <cell r="U229">
            <v>21.483299217976025</v>
          </cell>
        </row>
        <row r="230">
          <cell r="I230">
            <v>39282</v>
          </cell>
          <cell r="J230">
            <v>4000</v>
          </cell>
          <cell r="K230">
            <v>103.5</v>
          </cell>
          <cell r="L230">
            <v>798</v>
          </cell>
          <cell r="M230">
            <v>2380</v>
          </cell>
          <cell r="N230">
            <v>7.5636000000000001</v>
          </cell>
          <cell r="O230">
            <v>528.8486963879634</v>
          </cell>
          <cell r="P230">
            <v>175.95</v>
          </cell>
          <cell r="Q230">
            <v>73.853720450579075</v>
          </cell>
          <cell r="R230">
            <v>56.63969538315088</v>
          </cell>
          <cell r="S230">
            <v>200.74529717454675</v>
          </cell>
          <cell r="T230">
            <v>507.18871300827669</v>
          </cell>
          <cell r="U230">
            <v>21.497442640015777</v>
          </cell>
        </row>
        <row r="231">
          <cell r="I231">
            <v>39283</v>
          </cell>
          <cell r="J231">
            <v>4000</v>
          </cell>
          <cell r="K231">
            <v>103.5</v>
          </cell>
          <cell r="L231">
            <v>798</v>
          </cell>
          <cell r="M231">
            <v>2380</v>
          </cell>
          <cell r="N231">
            <v>7.5689000000000002</v>
          </cell>
          <cell r="O231">
            <v>528.47837862833433</v>
          </cell>
          <cell r="P231">
            <v>175.95</v>
          </cell>
          <cell r="Q231">
            <v>73.802005575446884</v>
          </cell>
          <cell r="R231">
            <v>56.600034351094607</v>
          </cell>
          <cell r="S231">
            <v>200.70476716179894</v>
          </cell>
          <cell r="T231">
            <v>507.05680708834041</v>
          </cell>
          <cell r="U231">
            <v>21.512208052366361</v>
          </cell>
        </row>
        <row r="232">
          <cell r="I232">
            <v>39284</v>
          </cell>
          <cell r="J232">
            <v>4000</v>
          </cell>
          <cell r="K232">
            <v>103.5</v>
          </cell>
          <cell r="L232">
            <v>798</v>
          </cell>
          <cell r="M232">
            <v>2380</v>
          </cell>
          <cell r="N232">
            <v>7.5689000000000002</v>
          </cell>
          <cell r="O232">
            <v>528.47837862833433</v>
          </cell>
          <cell r="P232">
            <v>175.95</v>
          </cell>
          <cell r="Q232">
            <v>73.802005575446884</v>
          </cell>
          <cell r="R232">
            <v>56.600034351094607</v>
          </cell>
          <cell r="S232">
            <v>200.70476716179894</v>
          </cell>
          <cell r="T232">
            <v>507.05680708834041</v>
          </cell>
          <cell r="U232">
            <v>21.526973464717116</v>
          </cell>
        </row>
        <row r="233">
          <cell r="I233">
            <v>39285</v>
          </cell>
          <cell r="J233">
            <v>4000</v>
          </cell>
          <cell r="K233">
            <v>103.5</v>
          </cell>
          <cell r="L233">
            <v>798</v>
          </cell>
          <cell r="M233">
            <v>2380</v>
          </cell>
          <cell r="N233">
            <v>7.5689000000000002</v>
          </cell>
          <cell r="O233">
            <v>528.47837862833433</v>
          </cell>
          <cell r="P233">
            <v>175.95</v>
          </cell>
          <cell r="Q233">
            <v>73.802005575446884</v>
          </cell>
          <cell r="R233">
            <v>56.600034351094607</v>
          </cell>
          <cell r="S233">
            <v>200.70476716179894</v>
          </cell>
          <cell r="T233">
            <v>507.05680708834041</v>
          </cell>
          <cell r="U233">
            <v>21.541738877067814</v>
          </cell>
        </row>
        <row r="234">
          <cell r="I234">
            <v>39286</v>
          </cell>
          <cell r="J234">
            <v>4000</v>
          </cell>
          <cell r="K234">
            <v>103.5</v>
          </cell>
          <cell r="L234">
            <v>798</v>
          </cell>
          <cell r="M234">
            <v>2380</v>
          </cell>
          <cell r="N234">
            <v>7.5621999999999998</v>
          </cell>
          <cell r="O234">
            <v>528.94660284044323</v>
          </cell>
          <cell r="P234">
            <v>175.95</v>
          </cell>
          <cell r="Q234">
            <v>73.867393086667903</v>
          </cell>
          <cell r="R234">
            <v>56.650181164211475</v>
          </cell>
          <cell r="S234">
            <v>200.75601270104778</v>
          </cell>
          <cell r="T234">
            <v>507.22358695192713</v>
          </cell>
          <cell r="U234">
            <v>21.57067051816307</v>
          </cell>
        </row>
        <row r="235">
          <cell r="I235">
            <v>39287</v>
          </cell>
          <cell r="J235">
            <v>4000</v>
          </cell>
          <cell r="K235">
            <v>103.5</v>
          </cell>
          <cell r="L235">
            <v>798</v>
          </cell>
          <cell r="M235">
            <v>2380</v>
          </cell>
          <cell r="N235">
            <v>7.5629</v>
          </cell>
          <cell r="O235">
            <v>528.89764508323526</v>
          </cell>
          <cell r="P235">
            <v>175.95</v>
          </cell>
          <cell r="Q235">
            <v>73.860556135873807</v>
          </cell>
          <cell r="R235">
            <v>56.644937788414495</v>
          </cell>
          <cell r="S235">
            <v>200.75065444189829</v>
          </cell>
          <cell r="T235">
            <v>507.2061483661866</v>
          </cell>
          <cell r="U235">
            <v>21.57002732079826</v>
          </cell>
        </row>
        <row r="236">
          <cell r="I236">
            <v>39288</v>
          </cell>
          <cell r="J236">
            <v>4000</v>
          </cell>
          <cell r="K236">
            <v>103.5</v>
          </cell>
          <cell r="L236">
            <v>798</v>
          </cell>
          <cell r="M236">
            <v>2380</v>
          </cell>
          <cell r="N236">
            <v>7.5556999999999999</v>
          </cell>
          <cell r="O236">
            <v>529.40164379210398</v>
          </cell>
          <cell r="P236">
            <v>175.95</v>
          </cell>
          <cell r="Q236">
            <v>73.930939555567321</v>
          </cell>
          <cell r="R236">
            <v>56.698916050134336</v>
          </cell>
          <cell r="S236">
            <v>200.80581537751141</v>
          </cell>
          <cell r="T236">
            <v>507.38567098321306</v>
          </cell>
          <cell r="U236">
            <v>21.622169059160569</v>
          </cell>
        </row>
        <row r="237">
          <cell r="I237">
            <v>39289</v>
          </cell>
          <cell r="J237">
            <v>4000</v>
          </cell>
          <cell r="K237">
            <v>103.5</v>
          </cell>
          <cell r="L237">
            <v>798</v>
          </cell>
          <cell r="M237">
            <v>2380</v>
          </cell>
          <cell r="N237">
            <v>7.5678999999999998</v>
          </cell>
          <cell r="O237">
            <v>528.54821020362317</v>
          </cell>
          <cell r="P237">
            <v>175.95</v>
          </cell>
          <cell r="Q237">
            <v>73.81175755493598</v>
          </cell>
          <cell r="R237">
            <v>56.607513312808045</v>
          </cell>
          <cell r="S237">
            <v>200.71240998897389</v>
          </cell>
          <cell r="T237">
            <v>507.08168085671792</v>
          </cell>
          <cell r="U237">
            <v>21.594532768763258</v>
          </cell>
        </row>
        <row r="238">
          <cell r="I238">
            <v>39290</v>
          </cell>
          <cell r="J238">
            <v>4000</v>
          </cell>
          <cell r="K238">
            <v>103.5</v>
          </cell>
          <cell r="L238">
            <v>798</v>
          </cell>
          <cell r="M238">
            <v>2380</v>
          </cell>
          <cell r="N238">
            <v>7.5609999999999999</v>
          </cell>
          <cell r="O238">
            <v>529.03055151435001</v>
          </cell>
          <cell r="P238">
            <v>175.95</v>
          </cell>
          <cell r="Q238">
            <v>73.879116518978975</v>
          </cell>
          <cell r="R238">
            <v>56.65917206718688</v>
          </cell>
          <cell r="S238">
            <v>200.76520059640279</v>
          </cell>
          <cell r="T238">
            <v>507.25348918256861</v>
          </cell>
          <cell r="U238">
            <v>21.645317167590008</v>
          </cell>
        </row>
        <row r="239">
          <cell r="I239">
            <v>39291</v>
          </cell>
          <cell r="J239">
            <v>4000</v>
          </cell>
          <cell r="K239">
            <v>103.5</v>
          </cell>
          <cell r="L239">
            <v>798</v>
          </cell>
          <cell r="M239">
            <v>2380</v>
          </cell>
          <cell r="N239">
            <v>7.5609999999999999</v>
          </cell>
          <cell r="O239">
            <v>529.03055151435001</v>
          </cell>
          <cell r="P239">
            <v>175.95</v>
          </cell>
          <cell r="Q239">
            <v>73.879116518978975</v>
          </cell>
          <cell r="R239">
            <v>56.65917206718688</v>
          </cell>
          <cell r="S239">
            <v>200.76520059640279</v>
          </cell>
          <cell r="T239">
            <v>507.25348918256861</v>
          </cell>
          <cell r="U239">
            <v>21.696101566416814</v>
          </cell>
        </row>
        <row r="240">
          <cell r="I240">
            <v>39292</v>
          </cell>
          <cell r="J240">
            <v>4000</v>
          </cell>
          <cell r="K240">
            <v>103.5</v>
          </cell>
          <cell r="L240">
            <v>798</v>
          </cell>
          <cell r="M240">
            <v>2380</v>
          </cell>
          <cell r="N240">
            <v>7.5609999999999999</v>
          </cell>
          <cell r="O240">
            <v>529.03055151435001</v>
          </cell>
          <cell r="P240">
            <v>175.95</v>
          </cell>
          <cell r="Q240">
            <v>73.879116518978975</v>
          </cell>
          <cell r="R240">
            <v>56.65917206718688</v>
          </cell>
          <cell r="S240">
            <v>200.76520059640279</v>
          </cell>
          <cell r="T240">
            <v>507.25348918256861</v>
          </cell>
          <cell r="U240">
            <v>21.746885965243621</v>
          </cell>
        </row>
        <row r="241">
          <cell r="I241">
            <v>39293</v>
          </cell>
          <cell r="J241">
            <v>4000</v>
          </cell>
          <cell r="K241">
            <v>103.5</v>
          </cell>
          <cell r="L241">
            <v>798</v>
          </cell>
          <cell r="M241">
            <v>2380</v>
          </cell>
          <cell r="N241">
            <v>7.5669000000000004</v>
          </cell>
          <cell r="O241">
            <v>528.61806023602799</v>
          </cell>
          <cell r="P241">
            <v>175.95</v>
          </cell>
          <cell r="Q241">
            <v>73.821512111961297</v>
          </cell>
          <cell r="R241">
            <v>56.614994251278596</v>
          </cell>
          <cell r="S241">
            <v>200.72005483621706</v>
          </cell>
          <cell r="T241">
            <v>507.10656119945691</v>
          </cell>
          <cell r="U241">
            <v>21.716669272108618</v>
          </cell>
        </row>
        <row r="242">
          <cell r="I242">
            <v>39294</v>
          </cell>
          <cell r="J242">
            <v>4020</v>
          </cell>
          <cell r="K242">
            <v>103.5</v>
          </cell>
          <cell r="L242">
            <v>809</v>
          </cell>
          <cell r="M242">
            <v>2380</v>
          </cell>
          <cell r="N242">
            <v>7.5728</v>
          </cell>
          <cell r="O242">
            <v>530.84724276357485</v>
          </cell>
          <cell r="P242">
            <v>175.95</v>
          </cell>
          <cell r="Q242">
            <v>74.780794422142407</v>
          </cell>
          <cell r="R242">
            <v>56.57088527361082</v>
          </cell>
          <cell r="S242">
            <v>200.91097924917062</v>
          </cell>
          <cell r="T242">
            <v>508.21265894492382</v>
          </cell>
          <cell r="U242">
            <v>21.851396000908892</v>
          </cell>
        </row>
        <row r="243">
          <cell r="I243">
            <v>39295</v>
          </cell>
          <cell r="J243">
            <v>4050</v>
          </cell>
          <cell r="K243">
            <v>103.5</v>
          </cell>
          <cell r="L243">
            <v>809</v>
          </cell>
          <cell r="M243">
            <v>2380</v>
          </cell>
          <cell r="N243">
            <v>7.5757000000000003</v>
          </cell>
          <cell r="O243">
            <v>534.60406299087867</v>
          </cell>
          <cell r="P243">
            <v>175.95</v>
          </cell>
          <cell r="Q243">
            <v>74.752168116477677</v>
          </cell>
          <cell r="R243">
            <v>56.549229774146276</v>
          </cell>
          <cell r="S243">
            <v>201.46414792054986</v>
          </cell>
          <cell r="T243">
            <v>508.7155458111738</v>
          </cell>
          <cell r="U243">
            <v>22.404616625310894</v>
          </cell>
        </row>
        <row r="244">
          <cell r="I244">
            <v>39296</v>
          </cell>
          <cell r="J244">
            <v>4050</v>
          </cell>
          <cell r="K244">
            <v>103.5</v>
          </cell>
          <cell r="L244">
            <v>809</v>
          </cell>
          <cell r="M244">
            <v>2380</v>
          </cell>
          <cell r="N244">
            <v>7.5731999999999999</v>
          </cell>
          <cell r="O244">
            <v>534.78054191094918</v>
          </cell>
          <cell r="P244">
            <v>175.95</v>
          </cell>
          <cell r="Q244">
            <v>74.776844662758137</v>
          </cell>
          <cell r="R244">
            <v>56.567897322135956</v>
          </cell>
          <cell r="S244">
            <v>201.48349229694816</v>
          </cell>
          <cell r="T244">
            <v>508.77823428184223</v>
          </cell>
          <cell r="U244">
            <v>23.052584951339725</v>
          </cell>
        </row>
        <row r="245">
          <cell r="I245">
            <v>39297</v>
          </cell>
          <cell r="J245">
            <v>4050</v>
          </cell>
          <cell r="K245">
            <v>103.5</v>
          </cell>
          <cell r="L245">
            <v>809</v>
          </cell>
          <cell r="M245">
            <v>2380</v>
          </cell>
          <cell r="N245">
            <v>7.5613999999999999</v>
          </cell>
          <cell r="O245">
            <v>535.61509773322405</v>
          </cell>
          <cell r="P245">
            <v>175.95</v>
          </cell>
          <cell r="Q245">
            <v>74.893538233660422</v>
          </cell>
          <cell r="R245">
            <v>56.6561747824477</v>
          </cell>
          <cell r="S245">
            <v>201.57497042898262</v>
          </cell>
          <cell r="T245">
            <v>509.07468344509073</v>
          </cell>
          <cell r="U245">
            <v>23.733063802247273</v>
          </cell>
        </row>
        <row r="246">
          <cell r="I246">
            <v>39298</v>
          </cell>
          <cell r="J246">
            <v>4050</v>
          </cell>
          <cell r="K246">
            <v>103.5</v>
          </cell>
          <cell r="L246">
            <v>809</v>
          </cell>
          <cell r="M246">
            <v>2380</v>
          </cell>
          <cell r="N246">
            <v>7.5613999999999999</v>
          </cell>
          <cell r="O246">
            <v>535.61509773322405</v>
          </cell>
          <cell r="P246">
            <v>175.95</v>
          </cell>
          <cell r="Q246">
            <v>74.893538233660422</v>
          </cell>
          <cell r="R246">
            <v>56.6561747824477</v>
          </cell>
          <cell r="S246">
            <v>201.57497042898262</v>
          </cell>
          <cell r="T246">
            <v>509.07468344509073</v>
          </cell>
          <cell r="U246">
            <v>24.413542653154707</v>
          </cell>
        </row>
        <row r="247">
          <cell r="I247">
            <v>39299</v>
          </cell>
          <cell r="J247">
            <v>4050</v>
          </cell>
          <cell r="K247">
            <v>103.5</v>
          </cell>
          <cell r="L247">
            <v>809</v>
          </cell>
          <cell r="M247">
            <v>2380</v>
          </cell>
          <cell r="N247">
            <v>7.5613999999999999</v>
          </cell>
          <cell r="O247">
            <v>535.61509773322405</v>
          </cell>
          <cell r="P247">
            <v>175.95</v>
          </cell>
          <cell r="Q247">
            <v>74.893538233660422</v>
          </cell>
          <cell r="R247">
            <v>56.6561747824477</v>
          </cell>
          <cell r="S247">
            <v>201.57497042898262</v>
          </cell>
          <cell r="T247">
            <v>509.07468344509073</v>
          </cell>
          <cell r="U247">
            <v>25.094021504062027</v>
          </cell>
        </row>
        <row r="248">
          <cell r="I248">
            <v>39300</v>
          </cell>
          <cell r="J248">
            <v>4050</v>
          </cell>
          <cell r="K248">
            <v>103.5</v>
          </cell>
          <cell r="L248">
            <v>809</v>
          </cell>
          <cell r="M248">
            <v>2380</v>
          </cell>
          <cell r="N248">
            <v>7.5590999999999999</v>
          </cell>
          <cell r="O248">
            <v>535.77806881771642</v>
          </cell>
          <cell r="P248">
            <v>175.95</v>
          </cell>
          <cell r="Q248">
            <v>74.916326017647606</v>
          </cell>
          <cell r="R248">
            <v>56.673413501607328</v>
          </cell>
          <cell r="S248">
            <v>201.59283417157133</v>
          </cell>
          <cell r="T248">
            <v>509.13257369082623</v>
          </cell>
          <cell r="U248">
            <v>25.827449516964748</v>
          </cell>
        </row>
        <row r="249">
          <cell r="I249">
            <v>39301</v>
          </cell>
          <cell r="J249">
            <v>4050</v>
          </cell>
          <cell r="K249">
            <v>103.5</v>
          </cell>
          <cell r="L249">
            <v>809</v>
          </cell>
          <cell r="M249">
            <v>2477.5</v>
          </cell>
          <cell r="N249">
            <v>7.5689000000000002</v>
          </cell>
          <cell r="O249">
            <v>535.08435836118849</v>
          </cell>
          <cell r="P249">
            <v>175.95</v>
          </cell>
          <cell r="Q249">
            <v>74.819326454306434</v>
          </cell>
          <cell r="R249">
            <v>58.918733237326421</v>
          </cell>
          <cell r="S249">
            <v>201.17988955027732</v>
          </cell>
          <cell r="T249">
            <v>510.86794924191014</v>
          </cell>
          <cell r="U249">
            <v>26.053424559911605</v>
          </cell>
        </row>
        <row r="250">
          <cell r="I250">
            <v>39302</v>
          </cell>
          <cell r="J250">
            <v>4050</v>
          </cell>
          <cell r="K250">
            <v>103.5</v>
          </cell>
          <cell r="L250">
            <v>809</v>
          </cell>
          <cell r="M250">
            <v>2477.5</v>
          </cell>
          <cell r="N250">
            <v>7.5776000000000003</v>
          </cell>
          <cell r="O250">
            <v>534.47001689189187</v>
          </cell>
          <cell r="P250">
            <v>175.95</v>
          </cell>
          <cell r="Q250">
            <v>74.733424831081066</v>
          </cell>
          <cell r="R250">
            <v>58.851087415540533</v>
          </cell>
          <cell r="S250">
            <v>201.11293657238969</v>
          </cell>
          <cell r="T250">
            <v>510.64744881901129</v>
          </cell>
          <cell r="U250">
            <v>25.758288973222363</v>
          </cell>
        </row>
        <row r="251">
          <cell r="I251">
            <v>39303</v>
          </cell>
          <cell r="J251">
            <v>4050</v>
          </cell>
          <cell r="K251">
            <v>103.5</v>
          </cell>
          <cell r="L251">
            <v>809</v>
          </cell>
          <cell r="M251">
            <v>2477.5</v>
          </cell>
          <cell r="N251">
            <v>7.5651000000000002</v>
          </cell>
          <cell r="O251">
            <v>535.35313479002264</v>
          </cell>
          <cell r="P251">
            <v>175.95</v>
          </cell>
          <cell r="Q251">
            <v>74.85690869915797</v>
          </cell>
          <cell r="R251">
            <v>58.948328508545821</v>
          </cell>
          <cell r="S251">
            <v>201.20918169999504</v>
          </cell>
          <cell r="T251">
            <v>510.96441890769881</v>
          </cell>
          <cell r="U251">
            <v>25.527775866538946</v>
          </cell>
        </row>
        <row r="252">
          <cell r="I252">
            <v>39304</v>
          </cell>
          <cell r="J252">
            <v>4050</v>
          </cell>
          <cell r="K252">
            <v>118.5</v>
          </cell>
          <cell r="L252">
            <v>809</v>
          </cell>
          <cell r="M252">
            <v>2477.5</v>
          </cell>
          <cell r="N252">
            <v>7.5793999999999997</v>
          </cell>
          <cell r="O252">
            <v>534.34308784336497</v>
          </cell>
          <cell r="P252">
            <v>201.45</v>
          </cell>
          <cell r="Q252">
            <v>74.71567670264136</v>
          </cell>
          <cell r="R252">
            <v>58.837111116974953</v>
          </cell>
          <cell r="S252">
            <v>197.39397521712584</v>
          </cell>
          <cell r="T252">
            <v>532.39676303674219</v>
          </cell>
          <cell r="U252">
            <v>22.014334512037408</v>
          </cell>
        </row>
        <row r="253">
          <cell r="I253">
            <v>39305</v>
          </cell>
          <cell r="J253">
            <v>4050</v>
          </cell>
          <cell r="K253">
            <v>118.5</v>
          </cell>
          <cell r="L253">
            <v>809</v>
          </cell>
          <cell r="M253">
            <v>2477.5</v>
          </cell>
          <cell r="N253">
            <v>7.5793999999999997</v>
          </cell>
          <cell r="O253">
            <v>534.34308784336497</v>
          </cell>
          <cell r="P253">
            <v>201.45</v>
          </cell>
          <cell r="Q253">
            <v>74.71567670264136</v>
          </cell>
          <cell r="R253">
            <v>58.837111116974953</v>
          </cell>
          <cell r="S253">
            <v>197.39397521712584</v>
          </cell>
          <cell r="T253">
            <v>532.39676303674219</v>
          </cell>
          <cell r="U253">
            <v>18.500893157535984</v>
          </cell>
        </row>
        <row r="254">
          <cell r="I254">
            <v>39306</v>
          </cell>
          <cell r="J254">
            <v>4050</v>
          </cell>
          <cell r="K254">
            <v>118.5</v>
          </cell>
          <cell r="L254">
            <v>809</v>
          </cell>
          <cell r="M254">
            <v>2477.5</v>
          </cell>
          <cell r="N254">
            <v>7.5793999999999997</v>
          </cell>
          <cell r="O254">
            <v>534.34308784336497</v>
          </cell>
          <cell r="P254">
            <v>201.45</v>
          </cell>
          <cell r="Q254">
            <v>74.71567670264136</v>
          </cell>
          <cell r="R254">
            <v>58.837111116974953</v>
          </cell>
          <cell r="S254">
            <v>197.39397521712584</v>
          </cell>
          <cell r="T254">
            <v>532.39676303674219</v>
          </cell>
          <cell r="U254">
            <v>14.987451803034332</v>
          </cell>
        </row>
        <row r="255">
          <cell r="I255">
            <v>39307</v>
          </cell>
          <cell r="J255">
            <v>4040</v>
          </cell>
          <cell r="K255">
            <v>118.5</v>
          </cell>
          <cell r="L255">
            <v>809</v>
          </cell>
          <cell r="M255">
            <v>2477.5</v>
          </cell>
          <cell r="N255">
            <v>7.5814000000000004</v>
          </cell>
          <cell r="O255">
            <v>532.88310866066956</v>
          </cell>
          <cell r="P255">
            <v>201.45</v>
          </cell>
          <cell r="Q255">
            <v>74.695966444192351</v>
          </cell>
          <cell r="R255">
            <v>58.821589680006333</v>
          </cell>
          <cell r="S255">
            <v>197.18696062495729</v>
          </cell>
          <cell r="T255">
            <v>532.15451674915607</v>
          </cell>
          <cell r="U255">
            <v>11.285037057980617</v>
          </cell>
        </row>
        <row r="256">
          <cell r="I256">
            <v>39308</v>
          </cell>
          <cell r="J256">
            <v>4040</v>
          </cell>
          <cell r="K256">
            <v>118.5</v>
          </cell>
          <cell r="L256">
            <v>809</v>
          </cell>
          <cell r="M256">
            <v>2575</v>
          </cell>
          <cell r="N256">
            <v>7.5777999999999999</v>
          </cell>
          <cell r="O256">
            <v>533.13626646256171</v>
          </cell>
          <cell r="P256">
            <v>201.45</v>
          </cell>
          <cell r="Q256">
            <v>74.731452400432843</v>
          </cell>
          <cell r="R256">
            <v>61.165509778563703</v>
          </cell>
          <cell r="S256">
            <v>196.87801857111629</v>
          </cell>
          <cell r="T256">
            <v>534.22498075011276</v>
          </cell>
          <cell r="U256">
            <v>7.6700194284336476</v>
          </cell>
        </row>
        <row r="257">
          <cell r="I257">
            <v>39309</v>
          </cell>
          <cell r="J257">
            <v>4040</v>
          </cell>
          <cell r="K257">
            <v>118.5</v>
          </cell>
          <cell r="L257">
            <v>809</v>
          </cell>
          <cell r="M257">
            <v>2575</v>
          </cell>
          <cell r="N257">
            <v>7.5862999999999996</v>
          </cell>
          <cell r="O257">
            <v>532.53891884054156</v>
          </cell>
          <cell r="P257">
            <v>201.45</v>
          </cell>
          <cell r="Q257">
            <v>74.647720232524421</v>
          </cell>
          <cell r="R257">
            <v>61.096977446185889</v>
          </cell>
          <cell r="S257">
            <v>196.81334837394132</v>
          </cell>
          <cell r="T257">
            <v>534.00804605265171</v>
          </cell>
          <cell r="U257">
            <v>4.0569201020064156</v>
          </cell>
        </row>
        <row r="258">
          <cell r="I258">
            <v>39310</v>
          </cell>
          <cell r="J258">
            <v>4040</v>
          </cell>
          <cell r="K258">
            <v>118.5</v>
          </cell>
          <cell r="L258">
            <v>809</v>
          </cell>
          <cell r="M258">
            <v>2575</v>
          </cell>
          <cell r="N258">
            <v>7.5980999999999996</v>
          </cell>
          <cell r="O258">
            <v>531.71187533725538</v>
          </cell>
          <cell r="P258">
            <v>201.45</v>
          </cell>
          <cell r="Q258">
            <v>74.53179084244745</v>
          </cell>
          <cell r="R258">
            <v>61.002092628420257</v>
          </cell>
          <cell r="S258">
            <v>196.72381078400502</v>
          </cell>
          <cell r="T258">
            <v>533.70769425487265</v>
          </cell>
          <cell r="U258">
            <v>0.28770084487189251</v>
          </cell>
        </row>
        <row r="259">
          <cell r="I259">
            <v>39311</v>
          </cell>
          <cell r="J259">
            <v>4080</v>
          </cell>
          <cell r="K259">
            <v>127</v>
          </cell>
          <cell r="L259">
            <v>809</v>
          </cell>
          <cell r="M259">
            <v>2575</v>
          </cell>
          <cell r="N259">
            <v>7.5975000000000001</v>
          </cell>
          <cell r="O259">
            <v>537.01875616979271</v>
          </cell>
          <cell r="P259">
            <v>215.9</v>
          </cell>
          <cell r="Q259">
            <v>74.537676867390587</v>
          </cell>
          <cell r="R259">
            <v>61.006910167818354</v>
          </cell>
          <cell r="S259">
            <v>195.39376816485407</v>
          </cell>
          <cell r="T259">
            <v>546.83835520006301</v>
          </cell>
          <cell r="U259">
            <v>-1.3931454175415183</v>
          </cell>
        </row>
        <row r="260">
          <cell r="I260">
            <v>39312</v>
          </cell>
          <cell r="J260">
            <v>4080</v>
          </cell>
          <cell r="K260">
            <v>127</v>
          </cell>
          <cell r="L260">
            <v>809</v>
          </cell>
          <cell r="M260">
            <v>2575</v>
          </cell>
          <cell r="N260">
            <v>7.5975000000000001</v>
          </cell>
          <cell r="O260">
            <v>537.01875616979271</v>
          </cell>
          <cell r="P260">
            <v>215.9</v>
          </cell>
          <cell r="Q260">
            <v>74.537676867390587</v>
          </cell>
          <cell r="R260">
            <v>61.006910167818354</v>
          </cell>
          <cell r="S260">
            <v>195.39376816485407</v>
          </cell>
          <cell r="T260">
            <v>546.83835520006301</v>
          </cell>
          <cell r="U260">
            <v>-3.0739916799548155</v>
          </cell>
        </row>
        <row r="261">
          <cell r="I261">
            <v>39313</v>
          </cell>
          <cell r="J261">
            <v>4080</v>
          </cell>
          <cell r="K261">
            <v>127</v>
          </cell>
          <cell r="L261">
            <v>809</v>
          </cell>
          <cell r="M261">
            <v>2575</v>
          </cell>
          <cell r="N261">
            <v>7.5975000000000001</v>
          </cell>
          <cell r="O261">
            <v>537.01875616979271</v>
          </cell>
          <cell r="P261">
            <v>215.9</v>
          </cell>
          <cell r="Q261">
            <v>74.537676867390587</v>
          </cell>
          <cell r="R261">
            <v>61.006910167818354</v>
          </cell>
          <cell r="S261">
            <v>195.39376816485407</v>
          </cell>
          <cell r="T261">
            <v>546.83835520006301</v>
          </cell>
          <cell r="U261">
            <v>-4.7548379423681126</v>
          </cell>
        </row>
        <row r="262">
          <cell r="I262">
            <v>39314</v>
          </cell>
          <cell r="J262">
            <v>4080</v>
          </cell>
          <cell r="K262">
            <v>127</v>
          </cell>
          <cell r="L262">
            <v>809</v>
          </cell>
          <cell r="M262">
            <v>2575</v>
          </cell>
          <cell r="N262">
            <v>7.5900999999999996</v>
          </cell>
          <cell r="O262">
            <v>537.54232487055503</v>
          </cell>
          <cell r="P262">
            <v>215.9</v>
          </cell>
          <cell r="Q262">
            <v>74.610347689753752</v>
          </cell>
          <cell r="R262">
            <v>61.06638911213291</v>
          </cell>
          <cell r="S262">
            <v>195.45064100143048</v>
          </cell>
          <cell r="T262">
            <v>547.02737780331722</v>
          </cell>
          <cell r="U262">
            <v>-6.2139300629787613</v>
          </cell>
        </row>
        <row r="263">
          <cell r="I263">
            <v>39315</v>
          </cell>
          <cell r="J263">
            <v>4080</v>
          </cell>
          <cell r="K263">
            <v>127</v>
          </cell>
          <cell r="L263">
            <v>809</v>
          </cell>
          <cell r="M263">
            <v>2575</v>
          </cell>
          <cell r="N263">
            <v>7.5907999999999998</v>
          </cell>
          <cell r="O263">
            <v>537.49275438688937</v>
          </cell>
          <cell r="P263">
            <v>215.9</v>
          </cell>
          <cell r="Q263">
            <v>74.603467355219479</v>
          </cell>
          <cell r="R263">
            <v>61.060757759392949</v>
          </cell>
          <cell r="S263">
            <v>195.44525638998897</v>
          </cell>
          <cell r="T263">
            <v>547.00948150460135</v>
          </cell>
          <cell r="U263">
            <v>-7.4179318958588283</v>
          </cell>
        </row>
        <row r="264">
          <cell r="I264">
            <v>39316</v>
          </cell>
          <cell r="J264">
            <v>4150</v>
          </cell>
          <cell r="K264">
            <v>127</v>
          </cell>
          <cell r="L264">
            <v>809</v>
          </cell>
          <cell r="M264">
            <v>2575</v>
          </cell>
          <cell r="N264">
            <v>7.6037999999999997</v>
          </cell>
          <cell r="O264">
            <v>545.7797417080933</v>
          </cell>
          <cell r="P264">
            <v>215.9</v>
          </cell>
          <cell r="Q264">
            <v>74.47591993476945</v>
          </cell>
          <cell r="R264">
            <v>60.95636392330151</v>
          </cell>
          <cell r="S264">
            <v>196.68304943119983</v>
          </cell>
          <cell r="T264">
            <v>548.01533328927076</v>
          </cell>
          <cell r="U264">
            <v>-7.5274268057256677</v>
          </cell>
        </row>
        <row r="265">
          <cell r="I265">
            <v>39317</v>
          </cell>
          <cell r="J265">
            <v>4150</v>
          </cell>
          <cell r="K265">
            <v>127</v>
          </cell>
          <cell r="L265">
            <v>809</v>
          </cell>
          <cell r="M265">
            <v>2575</v>
          </cell>
          <cell r="N265">
            <v>7.5830000000000002</v>
          </cell>
          <cell r="O265">
            <v>547.27680337597258</v>
          </cell>
          <cell r="P265">
            <v>215.9</v>
          </cell>
          <cell r="Q265">
            <v>74.680205723328484</v>
          </cell>
          <cell r="R265">
            <v>61.123565871027296</v>
          </cell>
          <cell r="S265">
            <v>196.84659436143153</v>
          </cell>
          <cell r="T265">
            <v>548.55036595578736</v>
          </cell>
          <cell r="U265">
            <v>-7.4242473288967403</v>
          </cell>
        </row>
        <row r="266">
          <cell r="I266">
            <v>39318</v>
          </cell>
          <cell r="J266">
            <v>4150</v>
          </cell>
          <cell r="K266">
            <v>127.5</v>
          </cell>
          <cell r="L266">
            <v>809</v>
          </cell>
          <cell r="M266">
            <v>2575</v>
          </cell>
          <cell r="N266">
            <v>7.5681000000000003</v>
          </cell>
          <cell r="O266">
            <v>548.35427650268889</v>
          </cell>
          <cell r="P266">
            <v>216.75</v>
          </cell>
          <cell r="Q266">
            <v>74.827235369511499</v>
          </cell>
          <cell r="R266">
            <v>61.243905339517184</v>
          </cell>
          <cell r="S266">
            <v>196.84079750848053</v>
          </cell>
          <cell r="T266">
            <v>549.66193821750926</v>
          </cell>
          <cell r="U266">
            <v>-6.2082562838324975</v>
          </cell>
        </row>
        <row r="267">
          <cell r="I267">
            <v>39319</v>
          </cell>
          <cell r="J267">
            <v>4150</v>
          </cell>
          <cell r="K267">
            <v>127.5</v>
          </cell>
          <cell r="L267">
            <v>809</v>
          </cell>
          <cell r="M267">
            <v>2575</v>
          </cell>
          <cell r="N267">
            <v>7.5681000000000003</v>
          </cell>
          <cell r="O267">
            <v>548.35427650268889</v>
          </cell>
          <cell r="P267">
            <v>216.75</v>
          </cell>
          <cell r="Q267">
            <v>74.827235369511499</v>
          </cell>
          <cell r="R267">
            <v>61.243905339517184</v>
          </cell>
          <cell r="S267">
            <v>196.84079750848053</v>
          </cell>
          <cell r="T267">
            <v>549.66193821750926</v>
          </cell>
          <cell r="U267">
            <v>-4.9922652387682547</v>
          </cell>
        </row>
        <row r="268">
          <cell r="I268">
            <v>39320</v>
          </cell>
          <cell r="J268">
            <v>4150</v>
          </cell>
          <cell r="K268">
            <v>127.5</v>
          </cell>
          <cell r="L268">
            <v>809</v>
          </cell>
          <cell r="M268">
            <v>2575</v>
          </cell>
          <cell r="N268">
            <v>7.5681000000000003</v>
          </cell>
          <cell r="O268">
            <v>548.35427650268889</v>
          </cell>
          <cell r="P268">
            <v>216.75</v>
          </cell>
          <cell r="Q268">
            <v>74.827235369511499</v>
          </cell>
          <cell r="R268">
            <v>61.243905339517184</v>
          </cell>
          <cell r="S268">
            <v>196.84079750848053</v>
          </cell>
          <cell r="T268">
            <v>549.66193821750926</v>
          </cell>
          <cell r="U268">
            <v>-3.7762741937041255</v>
          </cell>
        </row>
        <row r="269">
          <cell r="I269">
            <v>39321</v>
          </cell>
          <cell r="J269">
            <v>4230</v>
          </cell>
          <cell r="K269">
            <v>127.5</v>
          </cell>
          <cell r="L269">
            <v>809</v>
          </cell>
          <cell r="M269">
            <v>2575</v>
          </cell>
          <cell r="N269">
            <v>7.5616000000000003</v>
          </cell>
          <cell r="O269">
            <v>559.40541684299615</v>
          </cell>
          <cell r="P269">
            <v>216.75</v>
          </cell>
          <cell r="Q269">
            <v>74.891557342361395</v>
          </cell>
          <cell r="R269">
            <v>61.296550994498517</v>
          </cell>
          <cell r="S269">
            <v>198.42952345815655</v>
          </cell>
          <cell r="T269">
            <v>551.36763179501645</v>
          </cell>
          <cell r="U269">
            <v>-1.2730116250265837</v>
          </cell>
        </row>
        <row r="270">
          <cell r="I270">
            <v>39322</v>
          </cell>
          <cell r="J270">
            <v>4280</v>
          </cell>
          <cell r="K270">
            <v>127.5</v>
          </cell>
          <cell r="L270">
            <v>809</v>
          </cell>
          <cell r="M270">
            <v>2575</v>
          </cell>
          <cell r="N270">
            <v>7.5574000000000003</v>
          </cell>
          <cell r="O270">
            <v>566.33233651785008</v>
          </cell>
          <cell r="P270">
            <v>216.75</v>
          </cell>
          <cell r="Q270">
            <v>74.933178077116452</v>
          </cell>
          <cell r="R270">
            <v>61.330616349538197</v>
          </cell>
          <cell r="S270">
            <v>199.42500184231039</v>
          </cell>
          <cell r="T270">
            <v>552.43879626896501</v>
          </cell>
          <cell r="U270">
            <v>2.0713122844872487</v>
          </cell>
        </row>
        <row r="271">
          <cell r="I271">
            <v>39323</v>
          </cell>
          <cell r="J271">
            <v>4280</v>
          </cell>
          <cell r="K271">
            <v>127.5</v>
          </cell>
          <cell r="L271">
            <v>809</v>
          </cell>
          <cell r="M271">
            <v>2575</v>
          </cell>
          <cell r="N271">
            <v>7.5503</v>
          </cell>
          <cell r="O271">
            <v>566.86489278571707</v>
          </cell>
          <cell r="P271">
            <v>216.75</v>
          </cell>
          <cell r="Q271">
            <v>75.003642239381207</v>
          </cell>
          <cell r="R271">
            <v>61.388289207051372</v>
          </cell>
          <cell r="S271">
            <v>199.48376361340036</v>
          </cell>
          <cell r="T271">
            <v>552.62569505983288</v>
          </cell>
          <cell r="U271">
            <v>4.4248536140676151</v>
          </cell>
        </row>
        <row r="272">
          <cell r="I272">
            <v>39324</v>
          </cell>
          <cell r="J272">
            <v>4280</v>
          </cell>
          <cell r="K272">
            <v>127.5</v>
          </cell>
          <cell r="L272">
            <v>809</v>
          </cell>
          <cell r="M272">
            <v>2575</v>
          </cell>
          <cell r="N272">
            <v>7.5463000000000005</v>
          </cell>
          <cell r="O272">
            <v>567.16536580840943</v>
          </cell>
          <cell r="P272">
            <v>216.75</v>
          </cell>
          <cell r="Q272">
            <v>75.043398751706121</v>
          </cell>
          <cell r="R272">
            <v>61.420828750513486</v>
          </cell>
          <cell r="S272">
            <v>199.51691753166858</v>
          </cell>
          <cell r="T272">
            <v>552.7311450338882</v>
          </cell>
          <cell r="U272">
            <v>6.6688226646868998</v>
          </cell>
        </row>
        <row r="273">
          <cell r="I273">
            <v>39325</v>
          </cell>
          <cell r="J273">
            <v>4280</v>
          </cell>
          <cell r="K273">
            <v>127.5</v>
          </cell>
          <cell r="L273">
            <v>813</v>
          </cell>
          <cell r="M273">
            <v>2575</v>
          </cell>
          <cell r="N273">
            <v>7.5449999999999999</v>
          </cell>
          <cell r="O273">
            <v>567.26308813783965</v>
          </cell>
          <cell r="P273">
            <v>216.75</v>
          </cell>
          <cell r="Q273">
            <v>75.427435387673953</v>
          </cell>
          <cell r="R273">
            <v>61.431411530815112</v>
          </cell>
          <cell r="S273">
            <v>199.47377863870906</v>
          </cell>
          <cell r="T273">
            <v>553.08262555719807</v>
          </cell>
          <cell r="U273">
            <v>8.881411849752908</v>
          </cell>
        </row>
        <row r="274">
          <cell r="I274">
            <v>39326</v>
          </cell>
          <cell r="J274">
            <v>4280</v>
          </cell>
          <cell r="K274">
            <v>127.5</v>
          </cell>
          <cell r="L274">
            <v>813</v>
          </cell>
          <cell r="M274">
            <v>2575</v>
          </cell>
          <cell r="N274">
            <v>7.5449999999999999</v>
          </cell>
          <cell r="O274">
            <v>567.26308813783965</v>
          </cell>
          <cell r="P274">
            <v>216.75</v>
          </cell>
          <cell r="Q274">
            <v>75.427435387673953</v>
          </cell>
          <cell r="R274">
            <v>61.431411530815112</v>
          </cell>
          <cell r="S274">
            <v>199.47377863870906</v>
          </cell>
          <cell r="T274">
            <v>553.08262555719807</v>
          </cell>
          <cell r="U274">
            <v>11.094001034818916</v>
          </cell>
        </row>
        <row r="275">
          <cell r="I275">
            <v>39327</v>
          </cell>
          <cell r="J275">
            <v>4280</v>
          </cell>
          <cell r="K275">
            <v>127.5</v>
          </cell>
          <cell r="L275">
            <v>813</v>
          </cell>
          <cell r="M275">
            <v>2575</v>
          </cell>
          <cell r="N275">
            <v>7.5449999999999999</v>
          </cell>
          <cell r="O275">
            <v>567.26308813783965</v>
          </cell>
          <cell r="P275">
            <v>216.75</v>
          </cell>
          <cell r="Q275">
            <v>75.427435387673953</v>
          </cell>
          <cell r="R275">
            <v>61.431411530815112</v>
          </cell>
          <cell r="S275">
            <v>199.47377863870906</v>
          </cell>
          <cell r="T275">
            <v>553.08262555719807</v>
          </cell>
          <cell r="U275">
            <v>13.306590219884924</v>
          </cell>
        </row>
        <row r="276">
          <cell r="I276">
            <v>39328</v>
          </cell>
          <cell r="J276">
            <v>4300</v>
          </cell>
          <cell r="K276">
            <v>127.5</v>
          </cell>
          <cell r="L276">
            <v>813</v>
          </cell>
          <cell r="M276">
            <v>2575</v>
          </cell>
          <cell r="N276">
            <v>7.5450999999999997</v>
          </cell>
          <cell r="O276">
            <v>569.90629680189795</v>
          </cell>
          <cell r="P276">
            <v>216.75</v>
          </cell>
          <cell r="Q276">
            <v>75.426435699990719</v>
          </cell>
          <cell r="R276">
            <v>61.430597341320862</v>
          </cell>
          <cell r="S276">
            <v>199.85809815324762</v>
          </cell>
          <cell r="T276">
            <v>553.46513119455926</v>
          </cell>
          <cell r="U276">
            <v>14.507073156936258</v>
          </cell>
        </row>
        <row r="277">
          <cell r="I277">
            <v>39329</v>
          </cell>
          <cell r="J277">
            <v>4320</v>
          </cell>
          <cell r="K277">
            <v>127.5</v>
          </cell>
          <cell r="L277">
            <v>813</v>
          </cell>
          <cell r="M277">
            <v>2600</v>
          </cell>
          <cell r="N277">
            <v>7.5510999999999999</v>
          </cell>
          <cell r="O277">
            <v>572.10207784296324</v>
          </cell>
          <cell r="P277">
            <v>216.75</v>
          </cell>
          <cell r="Q277">
            <v>75.366502893618147</v>
          </cell>
          <cell r="R277">
            <v>61.977725099654357</v>
          </cell>
          <cell r="S277">
            <v>200.10635425166447</v>
          </cell>
          <cell r="T277">
            <v>554.20058224493698</v>
          </cell>
          <cell r="U277">
            <v>15.079638206813684</v>
          </cell>
        </row>
        <row r="278">
          <cell r="I278">
            <v>39330</v>
          </cell>
          <cell r="J278">
            <v>4380</v>
          </cell>
          <cell r="K278">
            <v>127.5</v>
          </cell>
          <cell r="L278">
            <v>813</v>
          </cell>
          <cell r="M278">
            <v>2600</v>
          </cell>
          <cell r="N278">
            <v>7.5503999999999998</v>
          </cell>
          <cell r="O278">
            <v>580.10171646535287</v>
          </cell>
          <cell r="P278">
            <v>216.75</v>
          </cell>
          <cell r="Q278">
            <v>75.373490146217421</v>
          </cell>
          <cell r="R278">
            <v>61.983471074380162</v>
          </cell>
          <cell r="S278">
            <v>201.26684477915251</v>
          </cell>
          <cell r="T278">
            <v>555.37380599975006</v>
          </cell>
          <cell r="U278">
            <v>16.57802574105915</v>
          </cell>
        </row>
        <row r="279">
          <cell r="I279">
            <v>39331</v>
          </cell>
          <cell r="J279">
            <v>4400</v>
          </cell>
          <cell r="K279">
            <v>127.5</v>
          </cell>
          <cell r="L279">
            <v>813</v>
          </cell>
          <cell r="M279">
            <v>2600</v>
          </cell>
          <cell r="N279">
            <v>7.5389999999999997</v>
          </cell>
          <cell r="O279">
            <v>583.63178140336913</v>
          </cell>
          <cell r="P279">
            <v>216.75</v>
          </cell>
          <cell r="Q279">
            <v>75.487465181058496</v>
          </cell>
          <cell r="R279">
            <v>62.077198567449265</v>
          </cell>
          <cell r="S279">
            <v>201.74958119771492</v>
          </cell>
          <cell r="T279">
            <v>556.06424494622274</v>
          </cell>
          <cell r="U279">
            <v>18.454213695719886</v>
          </cell>
        </row>
        <row r="280">
          <cell r="I280">
            <v>39332</v>
          </cell>
          <cell r="J280">
            <v>4420</v>
          </cell>
          <cell r="K280">
            <v>143</v>
          </cell>
          <cell r="L280">
            <v>813</v>
          </cell>
          <cell r="M280">
            <v>2600</v>
          </cell>
          <cell r="N280">
            <v>7.5377999999999998</v>
          </cell>
          <cell r="O280">
            <v>586.37798827244023</v>
          </cell>
          <cell r="P280">
            <v>243.1</v>
          </cell>
          <cell r="Q280">
            <v>75.499482607657399</v>
          </cell>
          <cell r="R280">
            <v>62.087081111199559</v>
          </cell>
          <cell r="S280">
            <v>198.31678818299929</v>
          </cell>
          <cell r="T280">
            <v>579.00335190185615</v>
          </cell>
          <cell r="U280">
            <v>17.481952808568622</v>
          </cell>
        </row>
        <row r="281">
          <cell r="I281">
            <v>39333</v>
          </cell>
          <cell r="J281">
            <v>4420</v>
          </cell>
          <cell r="K281">
            <v>143</v>
          </cell>
          <cell r="L281">
            <v>813</v>
          </cell>
          <cell r="M281">
            <v>2600</v>
          </cell>
          <cell r="N281">
            <v>7.5377999999999998</v>
          </cell>
          <cell r="O281">
            <v>586.37798827244023</v>
          </cell>
          <cell r="P281">
            <v>243.1</v>
          </cell>
          <cell r="Q281">
            <v>75.499482607657399</v>
          </cell>
          <cell r="R281">
            <v>62.087081111199559</v>
          </cell>
          <cell r="S281">
            <v>198.31678818299929</v>
          </cell>
          <cell r="T281">
            <v>579.00335190185615</v>
          </cell>
          <cell r="U281">
            <v>16.509691921417698</v>
          </cell>
        </row>
        <row r="282">
          <cell r="I282">
            <v>39334</v>
          </cell>
          <cell r="J282">
            <v>4420</v>
          </cell>
          <cell r="K282">
            <v>143</v>
          </cell>
          <cell r="L282">
            <v>813</v>
          </cell>
          <cell r="M282">
            <v>2600</v>
          </cell>
          <cell r="N282">
            <v>7.5377999999999998</v>
          </cell>
          <cell r="O282">
            <v>586.37798827244023</v>
          </cell>
          <cell r="P282">
            <v>243.1</v>
          </cell>
          <cell r="Q282">
            <v>75.499482607657399</v>
          </cell>
          <cell r="R282">
            <v>62.087081111199559</v>
          </cell>
          <cell r="S282">
            <v>198.31678818299929</v>
          </cell>
          <cell r="T282">
            <v>579.00335190185615</v>
          </cell>
          <cell r="U282">
            <v>15.53743103426666</v>
          </cell>
        </row>
        <row r="283">
          <cell r="I283">
            <v>39335</v>
          </cell>
          <cell r="J283">
            <v>4500</v>
          </cell>
          <cell r="K283">
            <v>143</v>
          </cell>
          <cell r="L283">
            <v>813</v>
          </cell>
          <cell r="M283">
            <v>2600</v>
          </cell>
          <cell r="N283">
            <v>7.5213999999999999</v>
          </cell>
          <cell r="O283">
            <v>598.29287100805698</v>
          </cell>
          <cell r="P283">
            <v>243.1</v>
          </cell>
          <cell r="Q283">
            <v>75.664105086818935</v>
          </cell>
          <cell r="R283">
            <v>62.222458584837931</v>
          </cell>
          <cell r="S283">
            <v>200.00442072409237</v>
          </cell>
          <cell r="T283">
            <v>580.99098439574914</v>
          </cell>
          <cell r="U283">
            <v>15.660391177833617</v>
          </cell>
        </row>
        <row r="284">
          <cell r="I284">
            <v>39336</v>
          </cell>
          <cell r="J284">
            <v>4500</v>
          </cell>
          <cell r="K284">
            <v>143</v>
          </cell>
          <cell r="L284">
            <v>813</v>
          </cell>
          <cell r="M284">
            <v>2625</v>
          </cell>
          <cell r="N284">
            <v>7.5220000000000002</v>
          </cell>
          <cell r="O284">
            <v>598.24514756713643</v>
          </cell>
          <cell r="P284">
            <v>243.1</v>
          </cell>
          <cell r="Q284">
            <v>75.65806966232384</v>
          </cell>
          <cell r="R284">
            <v>62.815740494549324</v>
          </cell>
          <cell r="S284">
            <v>199.91216013653394</v>
          </cell>
          <cell r="T284">
            <v>581.48597029340704</v>
          </cell>
          <cell r="U284">
            <v>15.497202845791094</v>
          </cell>
        </row>
        <row r="285">
          <cell r="I285">
            <v>39337</v>
          </cell>
          <cell r="J285">
            <v>4500</v>
          </cell>
          <cell r="K285">
            <v>143</v>
          </cell>
          <cell r="L285">
            <v>813</v>
          </cell>
          <cell r="M285">
            <v>2625</v>
          </cell>
          <cell r="N285">
            <v>7.5219000000000005</v>
          </cell>
          <cell r="O285">
            <v>598.25310094523991</v>
          </cell>
          <cell r="P285">
            <v>243.1</v>
          </cell>
          <cell r="Q285">
            <v>75.659075499541331</v>
          </cell>
          <cell r="R285">
            <v>62.816575599250186</v>
          </cell>
          <cell r="S285">
            <v>199.91304826828735</v>
          </cell>
          <cell r="T285">
            <v>581.48869936707888</v>
          </cell>
          <cell r="U285">
            <v>14.359558719013648</v>
          </cell>
        </row>
        <row r="286">
          <cell r="I286">
            <v>39338</v>
          </cell>
          <cell r="J286">
            <v>4500</v>
          </cell>
          <cell r="K286">
            <v>143</v>
          </cell>
          <cell r="L286">
            <v>813</v>
          </cell>
          <cell r="M286">
            <v>2625</v>
          </cell>
          <cell r="N286">
            <v>7.5117000000000003</v>
          </cell>
          <cell r="O286">
            <v>599.06545788569827</v>
          </cell>
          <cell r="P286">
            <v>243.1</v>
          </cell>
          <cell r="Q286">
            <v>75.761811573944641</v>
          </cell>
          <cell r="R286">
            <v>62.901873077998317</v>
          </cell>
          <cell r="S286">
            <v>200.0037619228533</v>
          </cell>
          <cell r="T286">
            <v>581.76744657479628</v>
          </cell>
          <cell r="U286">
            <v>12.892483698121737</v>
          </cell>
        </row>
        <row r="287">
          <cell r="I287">
            <v>39339</v>
          </cell>
          <cell r="J287">
            <v>4450</v>
          </cell>
          <cell r="K287">
            <v>152.5</v>
          </cell>
          <cell r="L287">
            <v>813</v>
          </cell>
          <cell r="M287">
            <v>2625</v>
          </cell>
          <cell r="N287">
            <v>7.5156999999999998</v>
          </cell>
          <cell r="O287">
            <v>592.09388347060155</v>
          </cell>
          <cell r="P287">
            <v>259.25</v>
          </cell>
          <cell r="Q287">
            <v>75.721489681599849</v>
          </cell>
          <cell r="R287">
            <v>62.868395492103197</v>
          </cell>
          <cell r="S287">
            <v>196.65493992348098</v>
          </cell>
          <cell r="T287">
            <v>594.49482509718405</v>
          </cell>
          <cell r="U287">
            <v>11.495972555669368</v>
          </cell>
        </row>
        <row r="288">
          <cell r="I288">
            <v>39340</v>
          </cell>
          <cell r="J288">
            <v>4450</v>
          </cell>
          <cell r="K288">
            <v>152.5</v>
          </cell>
          <cell r="L288">
            <v>813</v>
          </cell>
          <cell r="M288">
            <v>2625</v>
          </cell>
          <cell r="N288">
            <v>7.5156999999999998</v>
          </cell>
          <cell r="O288">
            <v>592.09388347060155</v>
          </cell>
          <cell r="P288">
            <v>259.25</v>
          </cell>
          <cell r="Q288">
            <v>75.721489681599849</v>
          </cell>
          <cell r="R288">
            <v>62.868395492103197</v>
          </cell>
          <cell r="S288">
            <v>196.65493992348098</v>
          </cell>
          <cell r="T288">
            <v>594.49482509718405</v>
          </cell>
          <cell r="U288">
            <v>10.099461413217114</v>
          </cell>
        </row>
        <row r="289">
          <cell r="I289">
            <v>39341</v>
          </cell>
          <cell r="J289">
            <v>4450</v>
          </cell>
          <cell r="K289">
            <v>152.5</v>
          </cell>
          <cell r="L289">
            <v>813</v>
          </cell>
          <cell r="M289">
            <v>2625</v>
          </cell>
          <cell r="N289">
            <v>7.5156999999999998</v>
          </cell>
          <cell r="O289">
            <v>592.09388347060155</v>
          </cell>
          <cell r="P289">
            <v>259.25</v>
          </cell>
          <cell r="Q289">
            <v>75.721489681599849</v>
          </cell>
          <cell r="R289">
            <v>62.868395492103197</v>
          </cell>
          <cell r="S289">
            <v>196.65493992348098</v>
          </cell>
          <cell r="T289">
            <v>594.49482509718405</v>
          </cell>
          <cell r="U289">
            <v>8.7029502707647453</v>
          </cell>
        </row>
        <row r="290">
          <cell r="I290">
            <v>39342</v>
          </cell>
          <cell r="J290">
            <v>4450</v>
          </cell>
          <cell r="K290">
            <v>152.5</v>
          </cell>
          <cell r="L290">
            <v>813</v>
          </cell>
          <cell r="M290">
            <v>2625</v>
          </cell>
          <cell r="N290">
            <v>7.5222999999999995</v>
          </cell>
          <cell r="O290">
            <v>591.57438549379845</v>
          </cell>
          <cell r="P290">
            <v>259.25</v>
          </cell>
          <cell r="Q290">
            <v>75.655052311128244</v>
          </cell>
          <cell r="R290">
            <v>62.813235313667363</v>
          </cell>
          <cell r="S290">
            <v>196.59712533139356</v>
          </cell>
          <cell r="T290">
            <v>594.31541295618922</v>
          </cell>
          <cell r="U290">
            <v>5.8396768315222971</v>
          </cell>
        </row>
        <row r="291">
          <cell r="I291">
            <v>39343</v>
          </cell>
          <cell r="J291">
            <v>4360</v>
          </cell>
          <cell r="K291">
            <v>152.5</v>
          </cell>
          <cell r="L291">
            <v>813</v>
          </cell>
          <cell r="M291">
            <v>2625</v>
          </cell>
          <cell r="N291">
            <v>7.5219000000000005</v>
          </cell>
          <cell r="O291">
            <v>579.64078224916568</v>
          </cell>
          <cell r="P291">
            <v>259.25</v>
          </cell>
          <cell r="Q291">
            <v>75.659075499541331</v>
          </cell>
          <cell r="R291">
            <v>62.816575599250186</v>
          </cell>
          <cell r="S291">
            <v>194.86211307313124</v>
          </cell>
          <cell r="T291">
            <v>592.5877641719228</v>
          </cell>
          <cell r="U291">
            <v>1.5959398034526657</v>
          </cell>
        </row>
        <row r="292">
          <cell r="I292">
            <v>39344</v>
          </cell>
          <cell r="J292">
            <v>4360</v>
          </cell>
          <cell r="K292">
            <v>152.5</v>
          </cell>
          <cell r="L292">
            <v>813</v>
          </cell>
          <cell r="M292">
            <v>2625</v>
          </cell>
          <cell r="N292">
            <v>7.5134999999999996</v>
          </cell>
          <cell r="O292">
            <v>580.28881346908895</v>
          </cell>
          <cell r="P292">
            <v>259.25</v>
          </cell>
          <cell r="Q292">
            <v>75.743661409462973</v>
          </cell>
          <cell r="R292">
            <v>62.886803753244166</v>
          </cell>
          <cell r="S292">
            <v>194.93377710434606</v>
          </cell>
          <cell r="T292">
            <v>592.81424226705326</v>
          </cell>
          <cell r="U292">
            <v>-2.5883216788510026</v>
          </cell>
        </row>
        <row r="293">
          <cell r="I293">
            <v>39345</v>
          </cell>
          <cell r="J293">
            <v>4360</v>
          </cell>
          <cell r="K293">
            <v>152.5</v>
          </cell>
          <cell r="L293">
            <v>813</v>
          </cell>
          <cell r="M293">
            <v>2625</v>
          </cell>
          <cell r="N293">
            <v>7.5118</v>
          </cell>
          <cell r="O293">
            <v>580.42013898133598</v>
          </cell>
          <cell r="P293">
            <v>259.25</v>
          </cell>
          <cell r="Q293">
            <v>75.760803003274845</v>
          </cell>
          <cell r="R293">
            <v>62.901035703825983</v>
          </cell>
          <cell r="S293">
            <v>194.94830003984617</v>
          </cell>
          <cell r="T293">
            <v>592.86013874694709</v>
          </cell>
          <cell r="U293">
            <v>-6.8366089754960058</v>
          </cell>
        </row>
        <row r="294">
          <cell r="I294">
            <v>39346</v>
          </cell>
          <cell r="J294">
            <v>4360</v>
          </cell>
          <cell r="K294">
            <v>152.5</v>
          </cell>
          <cell r="L294">
            <v>813</v>
          </cell>
          <cell r="M294">
            <v>2625</v>
          </cell>
          <cell r="N294">
            <v>7.5036000000000005</v>
          </cell>
          <cell r="O294">
            <v>581.0544272082733</v>
          </cell>
          <cell r="P294">
            <v>259.25</v>
          </cell>
          <cell r="Q294">
            <v>75.843595074364302</v>
          </cell>
          <cell r="R294">
            <v>62.969774508236043</v>
          </cell>
          <cell r="S294">
            <v>195.01844427039691</v>
          </cell>
          <cell r="T294">
            <v>593.08181385299724</v>
          </cell>
          <cell r="U294">
            <v>-8.2118154066590705</v>
          </cell>
        </row>
        <row r="295">
          <cell r="I295">
            <v>39347</v>
          </cell>
          <cell r="J295">
            <v>4360</v>
          </cell>
          <cell r="K295">
            <v>152.5</v>
          </cell>
          <cell r="L295">
            <v>813</v>
          </cell>
          <cell r="M295">
            <v>2625</v>
          </cell>
          <cell r="N295">
            <v>7.5036000000000005</v>
          </cell>
          <cell r="O295">
            <v>581.0544272082733</v>
          </cell>
          <cell r="P295">
            <v>259.25</v>
          </cell>
          <cell r="Q295">
            <v>75.843595074364302</v>
          </cell>
          <cell r="R295">
            <v>62.969774508236043</v>
          </cell>
          <cell r="S295">
            <v>195.01844427039691</v>
          </cell>
          <cell r="T295">
            <v>593.08181385299724</v>
          </cell>
          <cell r="U295">
            <v>-9.5870218378219079</v>
          </cell>
        </row>
        <row r="296">
          <cell r="I296">
            <v>39348</v>
          </cell>
          <cell r="J296">
            <v>4360</v>
          </cell>
          <cell r="K296">
            <v>152.5</v>
          </cell>
          <cell r="L296">
            <v>813</v>
          </cell>
          <cell r="M296">
            <v>2625</v>
          </cell>
          <cell r="N296">
            <v>7.5036000000000005</v>
          </cell>
          <cell r="O296">
            <v>581.0544272082733</v>
          </cell>
          <cell r="P296">
            <v>259.25</v>
          </cell>
          <cell r="Q296">
            <v>75.843595074364302</v>
          </cell>
          <cell r="R296">
            <v>62.969774508236043</v>
          </cell>
          <cell r="S296">
            <v>195.01844427039691</v>
          </cell>
          <cell r="T296">
            <v>593.08181385299724</v>
          </cell>
          <cell r="U296">
            <v>-10.962228268984973</v>
          </cell>
        </row>
        <row r="297">
          <cell r="I297">
            <v>39349</v>
          </cell>
          <cell r="J297">
            <v>4360</v>
          </cell>
          <cell r="K297">
            <v>152.5</v>
          </cell>
          <cell r="L297">
            <v>813</v>
          </cell>
          <cell r="M297">
            <v>2625</v>
          </cell>
          <cell r="N297">
            <v>7.5079000000000002</v>
          </cell>
          <cell r="O297">
            <v>580.72163987266742</v>
          </cell>
          <cell r="P297">
            <v>259.25</v>
          </cell>
          <cell r="Q297">
            <v>75.800157167783269</v>
          </cell>
          <cell r="R297">
            <v>62.933709825650311</v>
          </cell>
          <cell r="S297">
            <v>194.98164221322202</v>
          </cell>
          <cell r="T297">
            <v>592.96550920665561</v>
          </cell>
          <cell r="U297">
            <v>-12.319777107784603</v>
          </cell>
        </row>
        <row r="298">
          <cell r="I298">
            <v>39350</v>
          </cell>
          <cell r="J298">
            <v>4360</v>
          </cell>
          <cell r="K298">
            <v>152.5</v>
          </cell>
          <cell r="L298">
            <v>813</v>
          </cell>
          <cell r="M298">
            <v>2625</v>
          </cell>
          <cell r="N298">
            <v>7.5137999999999998</v>
          </cell>
          <cell r="O298">
            <v>580.26564454736615</v>
          </cell>
          <cell r="P298">
            <v>259.25</v>
          </cell>
          <cell r="Q298">
            <v>75.740637227501395</v>
          </cell>
          <cell r="R298">
            <v>62.88429290106204</v>
          </cell>
          <cell r="S298">
            <v>194.93121491555257</v>
          </cell>
          <cell r="T298">
            <v>592.80614504411596</v>
          </cell>
          <cell r="U298">
            <v>-12.261708332640751</v>
          </cell>
        </row>
        <row r="299">
          <cell r="I299">
            <v>39351</v>
          </cell>
          <cell r="J299">
            <v>4360</v>
          </cell>
          <cell r="K299">
            <v>152.5</v>
          </cell>
          <cell r="L299">
            <v>813</v>
          </cell>
          <cell r="M299">
            <v>2625</v>
          </cell>
          <cell r="N299">
            <v>7.5137999999999998</v>
          </cell>
          <cell r="O299">
            <v>580.26564454736615</v>
          </cell>
          <cell r="P299">
            <v>259.25</v>
          </cell>
          <cell r="Q299">
            <v>75.740637227501395</v>
          </cell>
          <cell r="R299">
            <v>62.88429290106204</v>
          </cell>
          <cell r="S299">
            <v>194.93121491555257</v>
          </cell>
          <cell r="T299">
            <v>592.80614504411596</v>
          </cell>
          <cell r="U299">
            <v>-12.263861432467138</v>
          </cell>
        </row>
        <row r="300">
          <cell r="I300">
            <v>39352</v>
          </cell>
          <cell r="J300">
            <v>4320</v>
          </cell>
          <cell r="K300">
            <v>152.5</v>
          </cell>
          <cell r="L300">
            <v>813</v>
          </cell>
          <cell r="M300">
            <v>2625</v>
          </cell>
          <cell r="N300">
            <v>7.5141</v>
          </cell>
          <cell r="O300">
            <v>574.9191519942508</v>
          </cell>
          <cell r="P300">
            <v>259.25</v>
          </cell>
          <cell r="Q300">
            <v>75.737613287020395</v>
          </cell>
          <cell r="R300">
            <v>62.881782249371184</v>
          </cell>
          <cell r="S300">
            <v>194.15517828874874</v>
          </cell>
          <cell r="T300">
            <v>592.02457382514035</v>
          </cell>
          <cell r="U300">
            <v>-12.93035029893565</v>
          </cell>
        </row>
        <row r="301">
          <cell r="I301">
            <v>39353</v>
          </cell>
          <cell r="J301">
            <v>4320</v>
          </cell>
          <cell r="K301">
            <v>152.5</v>
          </cell>
          <cell r="L301">
            <v>813</v>
          </cell>
          <cell r="M301">
            <v>2625</v>
          </cell>
          <cell r="N301">
            <v>7.5105000000000004</v>
          </cell>
          <cell r="O301">
            <v>575.19472738166564</v>
          </cell>
          <cell r="P301">
            <v>259.25</v>
          </cell>
          <cell r="Q301">
            <v>75.773916516876369</v>
          </cell>
          <cell r="R301">
            <v>62.911923307369683</v>
          </cell>
          <cell r="S301">
            <v>194.18556485877036</v>
          </cell>
          <cell r="T301">
            <v>592.12140468301641</v>
          </cell>
          <cell r="U301">
            <v>-13.63024896416789</v>
          </cell>
        </row>
        <row r="302">
          <cell r="I302">
            <v>39354</v>
          </cell>
          <cell r="J302">
            <v>4320</v>
          </cell>
          <cell r="K302">
            <v>152.5</v>
          </cell>
          <cell r="L302">
            <v>813</v>
          </cell>
          <cell r="M302">
            <v>2625</v>
          </cell>
          <cell r="N302">
            <v>7.5105000000000004</v>
          </cell>
          <cell r="O302">
            <v>575.19472738166564</v>
          </cell>
          <cell r="P302">
            <v>259.25</v>
          </cell>
          <cell r="Q302">
            <v>75.773916516876369</v>
          </cell>
          <cell r="R302">
            <v>62.911923307369683</v>
          </cell>
          <cell r="S302">
            <v>194.18556485877036</v>
          </cell>
          <cell r="T302">
            <v>592.12140468301641</v>
          </cell>
          <cell r="U302">
            <v>-14.330147629400244</v>
          </cell>
        </row>
        <row r="303">
          <cell r="I303">
            <v>39355</v>
          </cell>
          <cell r="J303">
            <v>4320</v>
          </cell>
          <cell r="K303">
            <v>152.5</v>
          </cell>
          <cell r="L303">
            <v>819</v>
          </cell>
          <cell r="M303">
            <v>2625</v>
          </cell>
          <cell r="N303">
            <v>7.5105000000000004</v>
          </cell>
          <cell r="O303">
            <v>575.19472738166564</v>
          </cell>
          <cell r="P303">
            <v>259.25</v>
          </cell>
          <cell r="Q303">
            <v>76.333133612941864</v>
          </cell>
          <cell r="R303">
            <v>62.911923307369683</v>
          </cell>
          <cell r="S303">
            <v>194.10431109267535</v>
          </cell>
          <cell r="T303">
            <v>592.59936801298693</v>
          </cell>
          <cell r="U303">
            <v>-15.098326770342624</v>
          </cell>
        </row>
        <row r="304">
          <cell r="I304">
            <v>39356</v>
          </cell>
          <cell r="J304">
            <v>4320</v>
          </cell>
          <cell r="K304">
            <v>152.5</v>
          </cell>
          <cell r="L304">
            <v>819</v>
          </cell>
          <cell r="M304">
            <v>2625</v>
          </cell>
          <cell r="N304">
            <v>7.5105000000000004</v>
          </cell>
          <cell r="O304">
            <v>575.19472738166564</v>
          </cell>
          <cell r="P304">
            <v>259.25</v>
          </cell>
          <cell r="Q304">
            <v>76.333133612941864</v>
          </cell>
          <cell r="R304">
            <v>62.911923307369683</v>
          </cell>
          <cell r="S304">
            <v>194.10431109267535</v>
          </cell>
          <cell r="T304">
            <v>592.59936801298693</v>
          </cell>
          <cell r="U304">
            <v>-15.835579812818992</v>
          </cell>
        </row>
        <row r="305">
          <cell r="I305">
            <v>39357</v>
          </cell>
          <cell r="J305">
            <v>4320</v>
          </cell>
          <cell r="K305">
            <v>152.5</v>
          </cell>
          <cell r="L305">
            <v>819</v>
          </cell>
          <cell r="M305">
            <v>2662.5</v>
          </cell>
          <cell r="N305">
            <v>7.5061</v>
          </cell>
          <cell r="O305">
            <v>575.5319007207471</v>
          </cell>
          <cell r="P305">
            <v>259.25</v>
          </cell>
          <cell r="Q305">
            <v>76.377879324815808</v>
          </cell>
          <cell r="R305">
            <v>63.848070236207882</v>
          </cell>
          <cell r="S305">
            <v>194.01077922833588</v>
          </cell>
          <cell r="T305">
            <v>593.48672878935963</v>
          </cell>
          <cell r="U305">
            <v>-16.609055180227756</v>
          </cell>
        </row>
        <row r="306">
          <cell r="I306">
            <v>39358</v>
          </cell>
          <cell r="J306">
            <v>4320</v>
          </cell>
          <cell r="K306">
            <v>152.5</v>
          </cell>
          <cell r="L306">
            <v>819</v>
          </cell>
          <cell r="M306">
            <v>2662.5</v>
          </cell>
          <cell r="N306">
            <v>7.5061</v>
          </cell>
          <cell r="O306">
            <v>575.5319007207471</v>
          </cell>
          <cell r="P306">
            <v>259.25</v>
          </cell>
          <cell r="Q306">
            <v>76.377879324815808</v>
          </cell>
          <cell r="R306">
            <v>63.848070236207882</v>
          </cell>
          <cell r="S306">
            <v>194.01077922833588</v>
          </cell>
          <cell r="T306">
            <v>593.48672878935963</v>
          </cell>
          <cell r="U306">
            <v>-17.382530547636861</v>
          </cell>
        </row>
        <row r="307">
          <cell r="I307">
            <v>39359</v>
          </cell>
          <cell r="J307">
            <v>4320</v>
          </cell>
          <cell r="K307">
            <v>152.5</v>
          </cell>
          <cell r="L307">
            <v>819</v>
          </cell>
          <cell r="M307">
            <v>2662.5</v>
          </cell>
          <cell r="N307">
            <v>7.5061</v>
          </cell>
          <cell r="O307">
            <v>575.5319007207471</v>
          </cell>
          <cell r="P307">
            <v>259.25</v>
          </cell>
          <cell r="Q307">
            <v>76.377879324815808</v>
          </cell>
          <cell r="R307">
            <v>63.848070236207882</v>
          </cell>
          <cell r="S307">
            <v>194.01077922833588</v>
          </cell>
          <cell r="T307">
            <v>593.48672878935963</v>
          </cell>
          <cell r="U307">
            <v>-17.503874295882952</v>
          </cell>
        </row>
        <row r="308">
          <cell r="I308">
            <v>39360</v>
          </cell>
          <cell r="J308">
            <v>4320</v>
          </cell>
          <cell r="K308">
            <v>152.5</v>
          </cell>
          <cell r="L308">
            <v>819</v>
          </cell>
          <cell r="M308">
            <v>2662.5</v>
          </cell>
          <cell r="N308">
            <v>7.5061</v>
          </cell>
          <cell r="O308">
            <v>575.5319007207471</v>
          </cell>
          <cell r="P308">
            <v>259.25</v>
          </cell>
          <cell r="Q308">
            <v>76.377879324815808</v>
          </cell>
          <cell r="R308">
            <v>63.848070236207882</v>
          </cell>
          <cell r="S308">
            <v>194.01077922833588</v>
          </cell>
          <cell r="T308">
            <v>593.48672878935963</v>
          </cell>
          <cell r="U308">
            <v>-17.65075297692033</v>
          </cell>
        </row>
        <row r="309">
          <cell r="I309">
            <v>39361</v>
          </cell>
          <cell r="J309">
            <v>4320</v>
          </cell>
          <cell r="K309">
            <v>152.5</v>
          </cell>
          <cell r="L309">
            <v>819</v>
          </cell>
          <cell r="M309">
            <v>2662.5</v>
          </cell>
          <cell r="N309">
            <v>7.5061</v>
          </cell>
          <cell r="O309">
            <v>575.5319007207471</v>
          </cell>
          <cell r="P309">
            <v>259.25</v>
          </cell>
          <cell r="Q309">
            <v>76.377879324815808</v>
          </cell>
          <cell r="R309">
            <v>63.848070236207882</v>
          </cell>
          <cell r="S309">
            <v>194.01077922833588</v>
          </cell>
          <cell r="T309">
            <v>593.48672878935963</v>
          </cell>
          <cell r="U309">
            <v>-17.797631657957822</v>
          </cell>
        </row>
        <row r="310">
          <cell r="I310">
            <v>39362</v>
          </cell>
          <cell r="J310">
            <v>4320</v>
          </cell>
          <cell r="K310">
            <v>152.5</v>
          </cell>
          <cell r="L310">
            <v>819</v>
          </cell>
          <cell r="M310">
            <v>2662.5</v>
          </cell>
          <cell r="N310">
            <v>7.5061</v>
          </cell>
          <cell r="O310">
            <v>575.5319007207471</v>
          </cell>
          <cell r="P310">
            <v>259.25</v>
          </cell>
          <cell r="Q310">
            <v>76.377879324815808</v>
          </cell>
          <cell r="R310">
            <v>63.848070236207882</v>
          </cell>
          <cell r="S310">
            <v>194.01077922833588</v>
          </cell>
          <cell r="T310">
            <v>593.48672878935963</v>
          </cell>
          <cell r="U310">
            <v>-17.876229863285062</v>
          </cell>
        </row>
        <row r="311">
          <cell r="I311">
            <v>39363</v>
          </cell>
          <cell r="J311">
            <v>4320</v>
          </cell>
          <cell r="K311">
            <v>152.5</v>
          </cell>
          <cell r="L311">
            <v>819</v>
          </cell>
          <cell r="M311">
            <v>2662.5</v>
          </cell>
          <cell r="N311">
            <v>7.5044000000000004</v>
          </cell>
          <cell r="O311">
            <v>575.6622781301636</v>
          </cell>
          <cell r="P311">
            <v>259.25</v>
          </cell>
          <cell r="Q311">
            <v>76.395181493523779</v>
          </cell>
          <cell r="R311">
            <v>63.862533980065024</v>
          </cell>
          <cell r="S311">
            <v>194.02510739454505</v>
          </cell>
          <cell r="T311">
            <v>593.53282286813374</v>
          </cell>
          <cell r="U311">
            <v>-17.942787592806326</v>
          </cell>
        </row>
        <row r="312">
          <cell r="I312">
            <v>39364</v>
          </cell>
          <cell r="J312">
            <v>4320</v>
          </cell>
          <cell r="K312">
            <v>152.5</v>
          </cell>
          <cell r="L312">
            <v>819</v>
          </cell>
          <cell r="M312">
            <v>2700</v>
          </cell>
          <cell r="N312">
            <v>7.5148000000000001</v>
          </cell>
          <cell r="O312">
            <v>574.86559855219036</v>
          </cell>
          <cell r="P312">
            <v>259.25</v>
          </cell>
          <cell r="Q312">
            <v>76.289455474530257</v>
          </cell>
          <cell r="R312">
            <v>64.672379837121412</v>
          </cell>
          <cell r="S312">
            <v>193.80704252212956</v>
          </cell>
          <cell r="T312">
            <v>594.01887783378129</v>
          </cell>
          <cell r="U312">
            <v>-18.113994908946211</v>
          </cell>
        </row>
        <row r="313">
          <cell r="I313">
            <v>39365</v>
          </cell>
          <cell r="J313">
            <v>4320</v>
          </cell>
          <cell r="K313">
            <v>152.5</v>
          </cell>
          <cell r="L313">
            <v>819</v>
          </cell>
          <cell r="M313">
            <v>2700</v>
          </cell>
          <cell r="N313">
            <v>7.5106000000000002</v>
          </cell>
          <cell r="O313">
            <v>575.18706894256115</v>
          </cell>
          <cell r="P313">
            <v>259.25</v>
          </cell>
          <cell r="Q313">
            <v>76.332117274252383</v>
          </cell>
          <cell r="R313">
            <v>64.708545256038136</v>
          </cell>
          <cell r="S313">
            <v>193.84229836759488</v>
          </cell>
          <cell r="T313">
            <v>594.13296089788537</v>
          </cell>
          <cell r="U313">
            <v>-18.255575464190883</v>
          </cell>
        </row>
        <row r="314">
          <cell r="I314">
            <v>39366</v>
          </cell>
          <cell r="J314">
            <v>4320</v>
          </cell>
          <cell r="K314">
            <v>152.5</v>
          </cell>
          <cell r="L314">
            <v>819</v>
          </cell>
          <cell r="M314">
            <v>2700</v>
          </cell>
          <cell r="N314">
            <v>7.5041000000000002</v>
          </cell>
          <cell r="O314">
            <v>575.68529204035121</v>
          </cell>
          <cell r="P314">
            <v>259.25</v>
          </cell>
          <cell r="Q314">
            <v>76.398235631188271</v>
          </cell>
          <cell r="R314">
            <v>64.764595354539509</v>
          </cell>
          <cell r="S314">
            <v>193.89693878571455</v>
          </cell>
          <cell r="T314">
            <v>594.30976977144235</v>
          </cell>
          <cell r="U314">
            <v>-18.351239701687859</v>
          </cell>
        </row>
        <row r="315">
          <cell r="I315">
            <v>39367</v>
          </cell>
          <cell r="J315">
            <v>4320</v>
          </cell>
          <cell r="K315">
            <v>170</v>
          </cell>
          <cell r="L315">
            <v>819</v>
          </cell>
          <cell r="M315">
            <v>2700</v>
          </cell>
          <cell r="N315">
            <v>7.5103999999999997</v>
          </cell>
          <cell r="O315">
            <v>575.20238602471238</v>
          </cell>
          <cell r="P315">
            <v>289</v>
          </cell>
          <cell r="Q315">
            <v>76.334149978696203</v>
          </cell>
          <cell r="R315">
            <v>64.71026842778015</v>
          </cell>
          <cell r="S315">
            <v>189.52132862829075</v>
          </cell>
          <cell r="T315">
            <v>619.56574703476713</v>
          </cell>
          <cell r="U315">
            <v>-22.123887264750806</v>
          </cell>
        </row>
        <row r="316">
          <cell r="I316">
            <v>39368</v>
          </cell>
          <cell r="J316">
            <v>4320</v>
          </cell>
          <cell r="K316">
            <v>170</v>
          </cell>
          <cell r="L316">
            <v>819</v>
          </cell>
          <cell r="M316">
            <v>2700</v>
          </cell>
          <cell r="N316">
            <v>7.5103999999999997</v>
          </cell>
          <cell r="O316">
            <v>575.20238602471238</v>
          </cell>
          <cell r="P316">
            <v>289</v>
          </cell>
          <cell r="Q316">
            <v>76.334149978696203</v>
          </cell>
          <cell r="R316">
            <v>64.71026842778015</v>
          </cell>
          <cell r="S316">
            <v>189.52132862829075</v>
          </cell>
          <cell r="T316">
            <v>619.56574703476713</v>
          </cell>
          <cell r="U316">
            <v>-25.89653482781398</v>
          </cell>
        </row>
        <row r="317">
          <cell r="I317">
            <v>39369</v>
          </cell>
          <cell r="J317">
            <v>4320</v>
          </cell>
          <cell r="K317">
            <v>170</v>
          </cell>
          <cell r="L317">
            <v>819</v>
          </cell>
          <cell r="M317">
            <v>2700</v>
          </cell>
          <cell r="N317">
            <v>7.5103999999999997</v>
          </cell>
          <cell r="O317">
            <v>575.20238602471238</v>
          </cell>
          <cell r="P317">
            <v>289</v>
          </cell>
          <cell r="Q317">
            <v>76.334149978696203</v>
          </cell>
          <cell r="R317">
            <v>64.71026842778015</v>
          </cell>
          <cell r="S317">
            <v>189.52132862829075</v>
          </cell>
          <cell r="T317">
            <v>619.56574703476713</v>
          </cell>
          <cell r="U317">
            <v>-29.669182390877268</v>
          </cell>
        </row>
        <row r="318">
          <cell r="I318">
            <v>39370</v>
          </cell>
          <cell r="J318">
            <v>4320</v>
          </cell>
          <cell r="K318">
            <v>170</v>
          </cell>
          <cell r="L318">
            <v>819</v>
          </cell>
          <cell r="M318">
            <v>2700</v>
          </cell>
          <cell r="N318">
            <v>7.5275999999999996</v>
          </cell>
          <cell r="O318">
            <v>573.88809182209468</v>
          </cell>
          <cell r="P318">
            <v>289</v>
          </cell>
          <cell r="Q318">
            <v>76.159732185557147</v>
          </cell>
          <cell r="R318">
            <v>64.562410329985653</v>
          </cell>
          <cell r="S318">
            <v>189.37718921548191</v>
          </cell>
          <cell r="T318">
            <v>619.09933173102468</v>
          </cell>
          <cell r="U318">
            <v>-33.574995986728595</v>
          </cell>
        </row>
        <row r="319">
          <cell r="I319">
            <v>39371</v>
          </cell>
          <cell r="J319">
            <v>4320</v>
          </cell>
          <cell r="K319">
            <v>170</v>
          </cell>
          <cell r="L319">
            <v>819</v>
          </cell>
          <cell r="M319">
            <v>2750</v>
          </cell>
          <cell r="N319">
            <v>7.5187999999999997</v>
          </cell>
          <cell r="O319">
            <v>574.559770176092</v>
          </cell>
          <cell r="P319">
            <v>289</v>
          </cell>
          <cell r="Q319">
            <v>76.248869500452187</v>
          </cell>
          <cell r="R319">
            <v>65.834973666010526</v>
          </cell>
          <cell r="S319">
            <v>189.27692956550169</v>
          </cell>
          <cell r="T319">
            <v>620.3607727319644</v>
          </cell>
          <cell r="U319">
            <v>-37.381813597340283</v>
          </cell>
        </row>
        <row r="320">
          <cell r="I320">
            <v>39372</v>
          </cell>
          <cell r="J320">
            <v>4320</v>
          </cell>
          <cell r="K320">
            <v>170</v>
          </cell>
          <cell r="L320">
            <v>819</v>
          </cell>
          <cell r="M320">
            <v>2750</v>
          </cell>
          <cell r="N320">
            <v>7.5156999999999998</v>
          </cell>
          <cell r="O320">
            <v>574.79675878494356</v>
          </cell>
          <cell r="P320">
            <v>289</v>
          </cell>
          <cell r="Q320">
            <v>76.28031986375187</v>
          </cell>
          <cell r="R320">
            <v>65.862128610774775</v>
          </cell>
          <cell r="S320">
            <v>189.30284850664179</v>
          </cell>
          <cell r="T320">
            <v>620.44529698116844</v>
          </cell>
          <cell r="U320">
            <v>-41.19647734604041</v>
          </cell>
        </row>
        <row r="321">
          <cell r="I321">
            <v>39373</v>
          </cell>
          <cell r="J321">
            <v>4320</v>
          </cell>
          <cell r="K321">
            <v>170</v>
          </cell>
          <cell r="L321">
            <v>819</v>
          </cell>
          <cell r="M321">
            <v>2750</v>
          </cell>
          <cell r="N321">
            <v>7.5113000000000003</v>
          </cell>
          <cell r="O321">
            <v>575.13346557852833</v>
          </cell>
          <cell r="P321">
            <v>289</v>
          </cell>
          <cell r="Q321">
            <v>76.325003661150532</v>
          </cell>
          <cell r="R321">
            <v>65.900709597539702</v>
          </cell>
          <cell r="S321">
            <v>189.33967341399352</v>
          </cell>
          <cell r="T321">
            <v>620.56538667268376</v>
          </cell>
          <cell r="U321">
            <v>-45.026112112192322</v>
          </cell>
        </row>
        <row r="322">
          <cell r="I322">
            <v>39374</v>
          </cell>
          <cell r="J322">
            <v>4320</v>
          </cell>
          <cell r="K322">
            <v>170</v>
          </cell>
          <cell r="L322">
            <v>819</v>
          </cell>
          <cell r="M322">
            <v>2750</v>
          </cell>
          <cell r="N322">
            <v>7.508</v>
          </cell>
          <cell r="O322">
            <v>575.38625466169424</v>
          </cell>
          <cell r="P322">
            <v>289</v>
          </cell>
          <cell r="Q322">
            <v>76.358550879062321</v>
          </cell>
          <cell r="R322">
            <v>65.929675013319127</v>
          </cell>
          <cell r="S322">
            <v>189.36732041947278</v>
          </cell>
          <cell r="T322">
            <v>620.65554631185421</v>
          </cell>
          <cell r="U322">
            <v>-45.155530775064676</v>
          </cell>
        </row>
        <row r="323">
          <cell r="I323">
            <v>39375</v>
          </cell>
          <cell r="J323">
            <v>4320</v>
          </cell>
          <cell r="K323">
            <v>170</v>
          </cell>
          <cell r="L323">
            <v>819</v>
          </cell>
          <cell r="M323">
            <v>2750</v>
          </cell>
          <cell r="N323">
            <v>7.508</v>
          </cell>
          <cell r="O323">
            <v>575.38625466169424</v>
          </cell>
          <cell r="P323">
            <v>289</v>
          </cell>
          <cell r="Q323">
            <v>76.358550879062321</v>
          </cell>
          <cell r="R323">
            <v>65.929675013319127</v>
          </cell>
          <cell r="S323">
            <v>189.36732041947278</v>
          </cell>
          <cell r="T323">
            <v>620.65554631185421</v>
          </cell>
          <cell r="U323">
            <v>-45.284949437936802</v>
          </cell>
        </row>
        <row r="324">
          <cell r="I324">
            <v>39376</v>
          </cell>
          <cell r="J324">
            <v>4320</v>
          </cell>
          <cell r="K324">
            <v>170</v>
          </cell>
          <cell r="L324">
            <v>819</v>
          </cell>
          <cell r="M324">
            <v>2750</v>
          </cell>
          <cell r="N324">
            <v>7.508</v>
          </cell>
          <cell r="O324">
            <v>575.38625466169424</v>
          </cell>
          <cell r="P324">
            <v>289</v>
          </cell>
          <cell r="Q324">
            <v>76.358550879062321</v>
          </cell>
          <cell r="R324">
            <v>65.929675013319127</v>
          </cell>
          <cell r="S324">
            <v>189.36732041947278</v>
          </cell>
          <cell r="T324">
            <v>620.65554631185421</v>
          </cell>
          <cell r="U324">
            <v>-45.414368100808929</v>
          </cell>
        </row>
        <row r="325">
          <cell r="I325">
            <v>39377</v>
          </cell>
          <cell r="J325">
            <v>4320</v>
          </cell>
          <cell r="K325">
            <v>170</v>
          </cell>
          <cell r="L325">
            <v>819</v>
          </cell>
          <cell r="M325">
            <v>2750</v>
          </cell>
          <cell r="N325">
            <v>7.5098000000000003</v>
          </cell>
          <cell r="O325">
            <v>575.24834216623606</v>
          </cell>
          <cell r="P325">
            <v>289</v>
          </cell>
          <cell r="Q325">
            <v>76.340248741644245</v>
          </cell>
          <cell r="R325">
            <v>65.913872539881226</v>
          </cell>
          <cell r="S325">
            <v>189.35223722256478</v>
          </cell>
          <cell r="T325">
            <v>620.60635850409028</v>
          </cell>
          <cell r="U325">
            <v>-45.4353361620839</v>
          </cell>
        </row>
        <row r="326">
          <cell r="I326">
            <v>39378</v>
          </cell>
          <cell r="J326">
            <v>4320</v>
          </cell>
          <cell r="K326">
            <v>170</v>
          </cell>
          <cell r="L326">
            <v>819</v>
          </cell>
          <cell r="M326">
            <v>2750</v>
          </cell>
          <cell r="N326">
            <v>7.5045000000000002</v>
          </cell>
          <cell r="O326">
            <v>575.65460723565855</v>
          </cell>
          <cell r="P326">
            <v>289</v>
          </cell>
          <cell r="Q326">
            <v>76.394163501898859</v>
          </cell>
          <cell r="R326">
            <v>65.960423745752536</v>
          </cell>
          <cell r="S326">
            <v>189.39666957090702</v>
          </cell>
          <cell r="T326">
            <v>620.75125681855843</v>
          </cell>
          <cell r="U326">
            <v>-45.334714308802063</v>
          </cell>
        </row>
        <row r="327">
          <cell r="I327">
            <v>39379</v>
          </cell>
          <cell r="J327">
            <v>4320</v>
          </cell>
          <cell r="K327">
            <v>170</v>
          </cell>
          <cell r="L327">
            <v>819</v>
          </cell>
          <cell r="M327">
            <v>2750</v>
          </cell>
          <cell r="N327">
            <v>7.4932999999999996</v>
          </cell>
          <cell r="O327">
            <v>576.51502008460898</v>
          </cell>
          <cell r="P327">
            <v>289</v>
          </cell>
          <cell r="Q327">
            <v>76.508347457061646</v>
          </cell>
          <cell r="R327">
            <v>66.0590127180281</v>
          </cell>
          <cell r="S327">
            <v>189.49077109796434</v>
          </cell>
          <cell r="T327">
            <v>621.05813127305407</v>
          </cell>
          <cell r="U327">
            <v>-45.17679616483349</v>
          </cell>
        </row>
        <row r="328">
          <cell r="I328">
            <v>39380</v>
          </cell>
          <cell r="J328">
            <v>4320</v>
          </cell>
          <cell r="K328">
            <v>170</v>
          </cell>
          <cell r="L328">
            <v>819</v>
          </cell>
          <cell r="M328">
            <v>2750</v>
          </cell>
          <cell r="N328">
            <v>7.4817999999999998</v>
          </cell>
          <cell r="O328">
            <v>577.40116014862735</v>
          </cell>
          <cell r="P328">
            <v>289</v>
          </cell>
          <cell r="Q328">
            <v>76.625945628057423</v>
          </cell>
          <cell r="R328">
            <v>66.160549600363552</v>
          </cell>
          <cell r="S328">
            <v>189.58768635592742</v>
          </cell>
          <cell r="T328">
            <v>621.37418158434843</v>
          </cell>
          <cell r="U328">
            <v>-44.968381927914265</v>
          </cell>
        </row>
        <row r="329">
          <cell r="I329">
            <v>39381</v>
          </cell>
          <cell r="J329">
            <v>4320</v>
          </cell>
          <cell r="K329">
            <v>182.5</v>
          </cell>
          <cell r="L329">
            <v>819</v>
          </cell>
          <cell r="M329">
            <v>2750</v>
          </cell>
          <cell r="N329">
            <v>7.4877000000000002</v>
          </cell>
          <cell r="O329">
            <v>576.94619175447735</v>
          </cell>
          <cell r="P329">
            <v>310.25</v>
          </cell>
          <cell r="Q329">
            <v>76.565567530750428</v>
          </cell>
          <cell r="R329">
            <v>66.108417805200531</v>
          </cell>
          <cell r="S329">
            <v>186.45032059072605</v>
          </cell>
          <cell r="T329">
            <v>639.37430592667693</v>
          </cell>
          <cell r="U329">
            <v>-47.41964228820575</v>
          </cell>
        </row>
        <row r="330">
          <cell r="I330">
            <v>39382</v>
          </cell>
          <cell r="J330">
            <v>4320</v>
          </cell>
          <cell r="K330">
            <v>182.5</v>
          </cell>
          <cell r="L330">
            <v>819</v>
          </cell>
          <cell r="M330">
            <v>2750</v>
          </cell>
          <cell r="N330">
            <v>7.4877000000000002</v>
          </cell>
          <cell r="O330">
            <v>576.94619175447735</v>
          </cell>
          <cell r="P330">
            <v>310.25</v>
          </cell>
          <cell r="Q330">
            <v>76.565567530750428</v>
          </cell>
          <cell r="R330">
            <v>66.108417805200531</v>
          </cell>
          <cell r="S330">
            <v>186.45032059072605</v>
          </cell>
          <cell r="T330">
            <v>639.37430592667693</v>
          </cell>
          <cell r="U330">
            <v>-49.870902648497122</v>
          </cell>
        </row>
        <row r="331">
          <cell r="I331">
            <v>39383</v>
          </cell>
          <cell r="J331">
            <v>4320</v>
          </cell>
          <cell r="K331">
            <v>182.5</v>
          </cell>
          <cell r="L331">
            <v>819</v>
          </cell>
          <cell r="M331">
            <v>2750</v>
          </cell>
          <cell r="N331">
            <v>7.4877000000000002</v>
          </cell>
          <cell r="O331">
            <v>576.94619175447735</v>
          </cell>
          <cell r="P331">
            <v>310.25</v>
          </cell>
          <cell r="Q331">
            <v>76.565567530750428</v>
          </cell>
          <cell r="R331">
            <v>66.108417805200531</v>
          </cell>
          <cell r="S331">
            <v>186.45032059072605</v>
          </cell>
          <cell r="T331">
            <v>639.37430592667693</v>
          </cell>
          <cell r="U331">
            <v>-52.322163008788607</v>
          </cell>
        </row>
        <row r="332">
          <cell r="I332">
            <v>39384</v>
          </cell>
          <cell r="J332">
            <v>4320</v>
          </cell>
          <cell r="K332">
            <v>182.5</v>
          </cell>
          <cell r="L332">
            <v>819</v>
          </cell>
          <cell r="M332">
            <v>2750</v>
          </cell>
          <cell r="N332">
            <v>7.4763000000000002</v>
          </cell>
          <cell r="O332">
            <v>577.82592993860601</v>
          </cell>
          <cell r="P332">
            <v>310.25</v>
          </cell>
          <cell r="Q332">
            <v>76.68231611893583</v>
          </cell>
          <cell r="R332">
            <v>66.209221138798597</v>
          </cell>
          <cell r="S332">
            <v>186.54653568867366</v>
          </cell>
          <cell r="T332">
            <v>639.68807294640806</v>
          </cell>
          <cell r="U332">
            <v>-54.679895390209822</v>
          </cell>
        </row>
        <row r="333">
          <cell r="I333">
            <v>39385</v>
          </cell>
          <cell r="J333">
            <v>4320</v>
          </cell>
          <cell r="K333">
            <v>182.5</v>
          </cell>
          <cell r="L333">
            <v>819</v>
          </cell>
          <cell r="M333">
            <v>2800</v>
          </cell>
          <cell r="N333">
            <v>7.4714999999999998</v>
          </cell>
          <cell r="O333">
            <v>578.19714916683404</v>
          </cell>
          <cell r="P333">
            <v>310.25</v>
          </cell>
          <cell r="Q333">
            <v>76.731580004015257</v>
          </cell>
          <cell r="R333">
            <v>67.456334069463963</v>
          </cell>
          <cell r="S333">
            <v>186.41211108194045</v>
          </cell>
          <cell r="T333">
            <v>640.85002515541964</v>
          </cell>
          <cell r="U333">
            <v>-57.187927733878951</v>
          </cell>
        </row>
        <row r="334">
          <cell r="I334">
            <v>39386</v>
          </cell>
          <cell r="J334">
            <v>4320</v>
          </cell>
          <cell r="K334">
            <v>182.5</v>
          </cell>
          <cell r="L334">
            <v>824</v>
          </cell>
          <cell r="M334">
            <v>2800</v>
          </cell>
          <cell r="N334">
            <v>7.4626999999999999</v>
          </cell>
          <cell r="O334">
            <v>578.87895801787556</v>
          </cell>
          <cell r="P334">
            <v>310.25</v>
          </cell>
          <cell r="Q334">
            <v>77.291060876090427</v>
          </cell>
          <cell r="R334">
            <v>67.535878435418809</v>
          </cell>
          <cell r="S334">
            <v>186.41832750434384</v>
          </cell>
          <cell r="T334">
            <v>641.49526681585303</v>
          </cell>
          <cell r="U334">
            <v>-59.769813106669289</v>
          </cell>
        </row>
        <row r="335">
          <cell r="I335">
            <v>39387</v>
          </cell>
          <cell r="J335">
            <v>4320</v>
          </cell>
          <cell r="K335">
            <v>182.5</v>
          </cell>
          <cell r="L335">
            <v>824</v>
          </cell>
          <cell r="M335">
            <v>2800</v>
          </cell>
          <cell r="N335">
            <v>7.4527999999999999</v>
          </cell>
          <cell r="O335">
            <v>579.64791756118507</v>
          </cell>
          <cell r="P335">
            <v>310.25</v>
          </cell>
          <cell r="Q335">
            <v>77.393731215113775</v>
          </cell>
          <cell r="R335">
            <v>67.625590382138256</v>
          </cell>
          <cell r="S335">
            <v>186.50210368706718</v>
          </cell>
          <cell r="T335">
            <v>641.77142528431932</v>
          </cell>
          <cell r="U335">
            <v>-62.362739719156934</v>
          </cell>
        </row>
        <row r="336">
          <cell r="I336">
            <v>39388</v>
          </cell>
          <cell r="J336">
            <v>4320</v>
          </cell>
          <cell r="K336">
            <v>192.5</v>
          </cell>
          <cell r="L336">
            <v>824</v>
          </cell>
          <cell r="M336">
            <v>2800</v>
          </cell>
          <cell r="N336">
            <v>7.4551999999999996</v>
          </cell>
          <cell r="O336">
            <v>579.46131559180174</v>
          </cell>
          <cell r="P336">
            <v>327.25</v>
          </cell>
          <cell r="Q336">
            <v>77.368816396609077</v>
          </cell>
          <cell r="R336">
            <v>67.603820152376869</v>
          </cell>
          <cell r="S336">
            <v>184.01168840793048</v>
          </cell>
          <cell r="T336">
            <v>656.23432495691645</v>
          </cell>
          <cell r="U336">
            <v>-64.412010461001842</v>
          </cell>
        </row>
        <row r="337">
          <cell r="I337">
            <v>39389</v>
          </cell>
          <cell r="J337">
            <v>4320</v>
          </cell>
          <cell r="K337">
            <v>192.5</v>
          </cell>
          <cell r="L337">
            <v>824</v>
          </cell>
          <cell r="M337">
            <v>2800</v>
          </cell>
          <cell r="N337">
            <v>7.4551999999999996</v>
          </cell>
          <cell r="O337">
            <v>579.46131559180174</v>
          </cell>
          <cell r="P337">
            <v>327.25</v>
          </cell>
          <cell r="Q337">
            <v>77.368816396609077</v>
          </cell>
          <cell r="R337">
            <v>67.603820152376869</v>
          </cell>
          <cell r="S337">
            <v>184.01168840793048</v>
          </cell>
          <cell r="T337">
            <v>656.23432495691645</v>
          </cell>
          <cell r="U337">
            <v>-66.461281202846976</v>
          </cell>
        </row>
        <row r="338">
          <cell r="I338">
            <v>39390</v>
          </cell>
          <cell r="J338">
            <v>4320</v>
          </cell>
          <cell r="K338">
            <v>192.5</v>
          </cell>
          <cell r="L338">
            <v>824</v>
          </cell>
          <cell r="M338">
            <v>2800</v>
          </cell>
          <cell r="N338">
            <v>7.4551999999999996</v>
          </cell>
          <cell r="O338">
            <v>579.46131559180174</v>
          </cell>
          <cell r="P338">
            <v>327.25</v>
          </cell>
          <cell r="Q338">
            <v>77.368816396609077</v>
          </cell>
          <cell r="R338">
            <v>67.603820152376869</v>
          </cell>
          <cell r="S338">
            <v>184.01168840793048</v>
          </cell>
          <cell r="T338">
            <v>656.23432495691645</v>
          </cell>
          <cell r="U338">
            <v>-68.510551944691997</v>
          </cell>
        </row>
        <row r="339">
          <cell r="I339">
            <v>39391</v>
          </cell>
          <cell r="J339">
            <v>4380</v>
          </cell>
          <cell r="K339">
            <v>192.5</v>
          </cell>
          <cell r="L339">
            <v>824</v>
          </cell>
          <cell r="M339">
            <v>2800</v>
          </cell>
          <cell r="N339">
            <v>7.4547999999999996</v>
          </cell>
          <cell r="O339">
            <v>587.54091323710895</v>
          </cell>
          <cell r="P339">
            <v>327.25</v>
          </cell>
          <cell r="Q339">
            <v>77.372967752320648</v>
          </cell>
          <cell r="R339">
            <v>67.607447550571436</v>
          </cell>
          <cell r="S339">
            <v>185.18451679386055</v>
          </cell>
          <cell r="T339">
            <v>657.41493209675264</v>
          </cell>
          <cell r="U339">
            <v>-69.655105637812198</v>
          </cell>
        </row>
        <row r="340">
          <cell r="I340">
            <v>39392</v>
          </cell>
          <cell r="J340">
            <v>4380</v>
          </cell>
          <cell r="K340">
            <v>192.5</v>
          </cell>
          <cell r="L340">
            <v>824</v>
          </cell>
          <cell r="M340">
            <v>2850</v>
          </cell>
          <cell r="N340">
            <v>7.4543999999999997</v>
          </cell>
          <cell r="O340">
            <v>587.57244043786227</v>
          </cell>
          <cell r="P340">
            <v>327.25</v>
          </cell>
          <cell r="Q340">
            <v>77.377119553552262</v>
          </cell>
          <cell r="R340">
            <v>68.818415969092086</v>
          </cell>
          <cell r="S340">
            <v>185.012541739818</v>
          </cell>
          <cell r="T340">
            <v>658.45807726246233</v>
          </cell>
          <cell r="U340">
            <v>-70.831214328671422</v>
          </cell>
        </row>
        <row r="341">
          <cell r="I341">
            <v>39393</v>
          </cell>
          <cell r="J341">
            <v>4380</v>
          </cell>
          <cell r="K341">
            <v>192.5</v>
          </cell>
          <cell r="L341">
            <v>824</v>
          </cell>
          <cell r="M341">
            <v>2850</v>
          </cell>
          <cell r="N341">
            <v>7.4420999999999999</v>
          </cell>
          <cell r="O341">
            <v>588.54355625428309</v>
          </cell>
          <cell r="P341">
            <v>327.25</v>
          </cell>
          <cell r="Q341">
            <v>77.505005307641653</v>
          </cell>
          <cell r="R341">
            <v>68.932156246220828</v>
          </cell>
          <cell r="S341">
            <v>185.11853598211241</v>
          </cell>
          <cell r="T341">
            <v>658.8056975359749</v>
          </cell>
          <cell r="U341">
            <v>-71.92347611205912</v>
          </cell>
        </row>
        <row r="342">
          <cell r="I342">
            <v>39394</v>
          </cell>
          <cell r="J342">
            <v>4380</v>
          </cell>
          <cell r="K342">
            <v>192.5</v>
          </cell>
          <cell r="L342">
            <v>824</v>
          </cell>
          <cell r="M342">
            <v>2850</v>
          </cell>
          <cell r="N342">
            <v>7.4215999999999998</v>
          </cell>
          <cell r="O342">
            <v>590.16923574431394</v>
          </cell>
          <cell r="P342">
            <v>327.25</v>
          </cell>
          <cell r="Q342">
            <v>77.719090223132483</v>
          </cell>
          <cell r="R342">
            <v>69.122561172792928</v>
          </cell>
          <cell r="S342">
            <v>185.29597379421034</v>
          </cell>
          <cell r="T342">
            <v>659.38762519013574</v>
          </cell>
          <cell r="U342">
            <v>-72.937030643871708</v>
          </cell>
        </row>
        <row r="343">
          <cell r="I343">
            <v>39395</v>
          </cell>
          <cell r="J343">
            <v>4380</v>
          </cell>
          <cell r="K343">
            <v>192.5</v>
          </cell>
          <cell r="L343">
            <v>824</v>
          </cell>
          <cell r="M343">
            <v>2850</v>
          </cell>
          <cell r="N343">
            <v>7.4119000000000002</v>
          </cell>
          <cell r="O343">
            <v>590.9415939232855</v>
          </cell>
          <cell r="P343">
            <v>327.25</v>
          </cell>
          <cell r="Q343">
            <v>77.820801683778782</v>
          </cell>
          <cell r="R343">
            <v>69.213022301973851</v>
          </cell>
          <cell r="S343">
            <v>185.38027426442784</v>
          </cell>
          <cell r="T343">
            <v>659.66409825018047</v>
          </cell>
          <cell r="U343">
            <v>-71.786958495554472</v>
          </cell>
        </row>
        <row r="344">
          <cell r="I344">
            <v>39396</v>
          </cell>
          <cell r="J344">
            <v>4380</v>
          </cell>
          <cell r="K344">
            <v>192.5</v>
          </cell>
          <cell r="L344">
            <v>824</v>
          </cell>
          <cell r="M344">
            <v>2850</v>
          </cell>
          <cell r="N344">
            <v>7.4119000000000002</v>
          </cell>
          <cell r="O344">
            <v>590.9415939232855</v>
          </cell>
          <cell r="P344">
            <v>327.25</v>
          </cell>
          <cell r="Q344">
            <v>77.820801683778782</v>
          </cell>
          <cell r="R344">
            <v>69.213022301973851</v>
          </cell>
          <cell r="S344">
            <v>185.38027426442784</v>
          </cell>
          <cell r="T344">
            <v>659.66409825018047</v>
          </cell>
          <cell r="U344">
            <v>-70.63688634723735</v>
          </cell>
        </row>
        <row r="345">
          <cell r="I345">
            <v>39397</v>
          </cell>
          <cell r="J345">
            <v>4380</v>
          </cell>
          <cell r="K345">
            <v>192.5</v>
          </cell>
          <cell r="L345">
            <v>824</v>
          </cell>
          <cell r="M345">
            <v>2850</v>
          </cell>
          <cell r="N345">
            <v>7.4119000000000002</v>
          </cell>
          <cell r="O345">
            <v>590.9415939232855</v>
          </cell>
          <cell r="P345">
            <v>327.25</v>
          </cell>
          <cell r="Q345">
            <v>77.820801683778782</v>
          </cell>
          <cell r="R345">
            <v>69.213022301973851</v>
          </cell>
          <cell r="S345">
            <v>185.38027426442784</v>
          </cell>
          <cell r="T345">
            <v>659.66409825018047</v>
          </cell>
          <cell r="U345">
            <v>-69.486814198920229</v>
          </cell>
        </row>
        <row r="346">
          <cell r="I346">
            <v>39398</v>
          </cell>
          <cell r="J346">
            <v>4380</v>
          </cell>
          <cell r="K346">
            <v>192.5</v>
          </cell>
          <cell r="L346">
            <v>824</v>
          </cell>
          <cell r="M346">
            <v>2850</v>
          </cell>
          <cell r="N346">
            <v>7.4118000000000004</v>
          </cell>
          <cell r="O346">
            <v>590.9495669068242</v>
          </cell>
          <cell r="P346">
            <v>327.25</v>
          </cell>
          <cell r="Q346">
            <v>77.821851641976295</v>
          </cell>
          <cell r="R346">
            <v>69.213956124018452</v>
          </cell>
          <cell r="S346">
            <v>185.38114449054785</v>
          </cell>
          <cell r="T346">
            <v>659.66695225654257</v>
          </cell>
          <cell r="U346">
            <v>-69.321580840359502</v>
          </cell>
        </row>
        <row r="347">
          <cell r="I347">
            <v>39399</v>
          </cell>
          <cell r="J347">
            <v>4400</v>
          </cell>
          <cell r="K347">
            <v>192.5</v>
          </cell>
          <cell r="L347">
            <v>824</v>
          </cell>
          <cell r="M347">
            <v>2850</v>
          </cell>
          <cell r="N347">
            <v>7.4373000000000005</v>
          </cell>
          <cell r="O347">
            <v>591.61254756430424</v>
          </cell>
          <cell r="P347">
            <v>327.25</v>
          </cell>
          <cell r="Q347">
            <v>77.555026689793323</v>
          </cell>
          <cell r="R347">
            <v>68.976644750110921</v>
          </cell>
          <cell r="S347">
            <v>185.55072559072477</v>
          </cell>
          <cell r="T347">
            <v>659.33239703062895</v>
          </cell>
          <cell r="U347">
            <v>-68.869325503463187</v>
          </cell>
        </row>
        <row r="348">
          <cell r="I348">
            <v>39400</v>
          </cell>
          <cell r="J348">
            <v>4440</v>
          </cell>
          <cell r="K348">
            <v>192.5</v>
          </cell>
          <cell r="L348">
            <v>824</v>
          </cell>
          <cell r="M348">
            <v>2850</v>
          </cell>
          <cell r="N348">
            <v>7.4253999999999998</v>
          </cell>
          <cell r="O348">
            <v>597.94758531526918</v>
          </cell>
          <cell r="P348">
            <v>327.25</v>
          </cell>
          <cell r="Q348">
            <v>77.679316939154788</v>
          </cell>
          <cell r="R348">
            <v>69.087187222237191</v>
          </cell>
          <cell r="S348">
            <v>186.43708016765737</v>
          </cell>
          <cell r="T348">
            <v>660.45358432904936</v>
          </cell>
          <cell r="U348">
            <v>-67.761305179475812</v>
          </cell>
        </row>
        <row r="349">
          <cell r="I349">
            <v>39401</v>
          </cell>
          <cell r="J349">
            <v>4500</v>
          </cell>
          <cell r="K349">
            <v>192.5</v>
          </cell>
          <cell r="L349">
            <v>824</v>
          </cell>
          <cell r="M349">
            <v>2850</v>
          </cell>
          <cell r="N349">
            <v>7.4233000000000002</v>
          </cell>
          <cell r="O349">
            <v>606.19939918903992</v>
          </cell>
          <cell r="P349">
            <v>327.25</v>
          </cell>
          <cell r="Q349">
            <v>77.701291878275143</v>
          </cell>
          <cell r="R349">
            <v>69.106731507550549</v>
          </cell>
          <cell r="S349">
            <v>187.63002896286025</v>
          </cell>
          <cell r="T349">
            <v>661.68805234868591</v>
          </cell>
          <cell r="U349">
            <v>-65.79991428145081</v>
          </cell>
        </row>
        <row r="350">
          <cell r="I350">
            <v>39402</v>
          </cell>
          <cell r="J350">
            <v>4500</v>
          </cell>
          <cell r="K350">
            <v>190</v>
          </cell>
          <cell r="L350">
            <v>824</v>
          </cell>
          <cell r="M350">
            <v>2850</v>
          </cell>
          <cell r="N350">
            <v>7.4238999999999997</v>
          </cell>
          <cell r="O350">
            <v>606.15040612077212</v>
          </cell>
          <cell r="P350">
            <v>323</v>
          </cell>
          <cell r="Q350">
            <v>77.695012055658083</v>
          </cell>
          <cell r="R350">
            <v>69.101146297768011</v>
          </cell>
          <cell r="S350">
            <v>188.24215565850329</v>
          </cell>
          <cell r="T350">
            <v>658.0383140119294</v>
          </cell>
          <cell r="U350">
            <v>-63.39497193348825</v>
          </cell>
        </row>
        <row r="351">
          <cell r="I351">
            <v>39403</v>
          </cell>
          <cell r="J351">
            <v>4500</v>
          </cell>
          <cell r="K351">
            <v>190</v>
          </cell>
          <cell r="L351">
            <v>824</v>
          </cell>
          <cell r="M351">
            <v>2850</v>
          </cell>
          <cell r="N351">
            <v>7.4238999999999997</v>
          </cell>
          <cell r="O351">
            <v>606.15040612077212</v>
          </cell>
          <cell r="P351">
            <v>323</v>
          </cell>
          <cell r="Q351">
            <v>77.695012055658083</v>
          </cell>
          <cell r="R351">
            <v>69.101146297768011</v>
          </cell>
          <cell r="S351">
            <v>188.24215565850329</v>
          </cell>
          <cell r="T351">
            <v>658.0383140119294</v>
          </cell>
          <cell r="U351">
            <v>-60.990029585525463</v>
          </cell>
        </row>
        <row r="352">
          <cell r="I352">
            <v>39404</v>
          </cell>
          <cell r="J352">
            <v>4500</v>
          </cell>
          <cell r="K352">
            <v>190</v>
          </cell>
          <cell r="L352">
            <v>824</v>
          </cell>
          <cell r="M352">
            <v>2850</v>
          </cell>
          <cell r="N352">
            <v>7.4238999999999997</v>
          </cell>
          <cell r="O352">
            <v>606.15040612077212</v>
          </cell>
          <cell r="P352">
            <v>323</v>
          </cell>
          <cell r="Q352">
            <v>77.695012055658083</v>
          </cell>
          <cell r="R352">
            <v>69.101146297768011</v>
          </cell>
          <cell r="S352">
            <v>188.24215565850329</v>
          </cell>
          <cell r="T352">
            <v>658.0383140119294</v>
          </cell>
          <cell r="U352">
            <v>-58.585087237562902</v>
          </cell>
        </row>
        <row r="353">
          <cell r="I353">
            <v>39405</v>
          </cell>
          <cell r="J353">
            <v>4500</v>
          </cell>
          <cell r="K353">
            <v>190</v>
          </cell>
          <cell r="L353">
            <v>824</v>
          </cell>
          <cell r="M353">
            <v>2850</v>
          </cell>
          <cell r="N353">
            <v>7.4268000000000001</v>
          </cell>
          <cell r="O353">
            <v>605.91371788657295</v>
          </cell>
          <cell r="P353">
            <v>323</v>
          </cell>
          <cell r="Q353">
            <v>77.664673883772281</v>
          </cell>
          <cell r="R353">
            <v>69.074163839069314</v>
          </cell>
          <cell r="S353">
            <v>188.21609369900375</v>
          </cell>
          <cell r="T353">
            <v>657.95493142184534</v>
          </cell>
          <cell r="U353">
            <v>-56.20277697835661</v>
          </cell>
        </row>
        <row r="354">
          <cell r="I354">
            <v>39406</v>
          </cell>
          <cell r="J354">
            <v>4500</v>
          </cell>
          <cell r="K354">
            <v>190</v>
          </cell>
          <cell r="L354">
            <v>824</v>
          </cell>
          <cell r="M354">
            <v>2850</v>
          </cell>
          <cell r="N354">
            <v>7.4207000000000001</v>
          </cell>
          <cell r="O354">
            <v>606.41179403560307</v>
          </cell>
          <cell r="P354">
            <v>323</v>
          </cell>
          <cell r="Q354">
            <v>77.728516177719072</v>
          </cell>
          <cell r="R354">
            <v>69.130944520058762</v>
          </cell>
          <cell r="S354">
            <v>188.27093732259004</v>
          </cell>
          <cell r="T354">
            <v>658.13039802036792</v>
          </cell>
          <cell r="U354">
            <v>-53.916884766705039</v>
          </cell>
        </row>
        <row r="355">
          <cell r="I355">
            <v>39407</v>
          </cell>
          <cell r="J355">
            <v>4500</v>
          </cell>
          <cell r="K355">
            <v>190</v>
          </cell>
          <cell r="L355">
            <v>824</v>
          </cell>
          <cell r="M355">
            <v>2850</v>
          </cell>
          <cell r="N355">
            <v>7.4142999999999999</v>
          </cell>
          <cell r="O355">
            <v>606.93524675289643</v>
          </cell>
          <cell r="P355">
            <v>323</v>
          </cell>
          <cell r="Q355">
            <v>77.795611183793483</v>
          </cell>
          <cell r="R355">
            <v>69.190618129830199</v>
          </cell>
          <cell r="S355">
            <v>188.32857518348408</v>
          </cell>
          <cell r="T355">
            <v>658.31480449710773</v>
          </cell>
          <cell r="U355">
            <v>-52.327393156766675</v>
          </cell>
        </row>
        <row r="356">
          <cell r="I356">
            <v>39408</v>
          </cell>
          <cell r="J356">
            <v>4550</v>
          </cell>
          <cell r="K356">
            <v>190</v>
          </cell>
          <cell r="L356">
            <v>824</v>
          </cell>
          <cell r="M356">
            <v>2850</v>
          </cell>
          <cell r="N356">
            <v>7.4112</v>
          </cell>
          <cell r="O356">
            <v>613.93566493955097</v>
          </cell>
          <cell r="P356">
            <v>323</v>
          </cell>
          <cell r="Q356">
            <v>77.828151986183073</v>
          </cell>
          <cell r="R356">
            <v>69.219559585492235</v>
          </cell>
          <cell r="S356">
            <v>189.33679664319567</v>
          </cell>
          <cell r="T356">
            <v>659.38450821487095</v>
          </cell>
          <cell r="U356">
            <v>-50.893134601862698</v>
          </cell>
        </row>
        <row r="357">
          <cell r="I357">
            <v>39409</v>
          </cell>
          <cell r="J357">
            <v>4550</v>
          </cell>
          <cell r="K357">
            <v>182.5</v>
          </cell>
          <cell r="L357">
            <v>824</v>
          </cell>
          <cell r="M357">
            <v>2850</v>
          </cell>
          <cell r="N357">
            <v>7.4054000000000002</v>
          </cell>
          <cell r="O357">
            <v>614.41650687336266</v>
          </cell>
          <cell r="P357">
            <v>310.25</v>
          </cell>
          <cell r="Q357">
            <v>77.889107948253965</v>
          </cell>
          <cell r="R357">
            <v>69.273773192535174</v>
          </cell>
          <cell r="S357">
            <v>191.24249262780984</v>
          </cell>
          <cell r="T357">
            <v>648.65537376859902</v>
          </cell>
          <cell r="U357">
            <v>-48.371843031017193</v>
          </cell>
        </row>
        <row r="358">
          <cell r="I358">
            <v>39410</v>
          </cell>
          <cell r="J358">
            <v>4550</v>
          </cell>
          <cell r="K358">
            <v>182.5</v>
          </cell>
          <cell r="L358">
            <v>824</v>
          </cell>
          <cell r="M358">
            <v>2850</v>
          </cell>
          <cell r="N358">
            <v>7.4054000000000002</v>
          </cell>
          <cell r="O358">
            <v>614.41650687336266</v>
          </cell>
          <cell r="P358">
            <v>310.25</v>
          </cell>
          <cell r="Q358">
            <v>77.889107948253965</v>
          </cell>
          <cell r="R358">
            <v>69.273773192535174</v>
          </cell>
          <cell r="S358">
            <v>191.24249262780984</v>
          </cell>
          <cell r="T358">
            <v>648.65537376859902</v>
          </cell>
          <cell r="U358">
            <v>-45.850551460171118</v>
          </cell>
        </row>
        <row r="359">
          <cell r="I359">
            <v>39411</v>
          </cell>
          <cell r="J359">
            <v>4550</v>
          </cell>
          <cell r="K359">
            <v>182.5</v>
          </cell>
          <cell r="L359">
            <v>824</v>
          </cell>
          <cell r="M359">
            <v>2850</v>
          </cell>
          <cell r="N359">
            <v>7.4054000000000002</v>
          </cell>
          <cell r="O359">
            <v>614.41650687336266</v>
          </cell>
          <cell r="P359">
            <v>310.25</v>
          </cell>
          <cell r="Q359">
            <v>77.889107948253965</v>
          </cell>
          <cell r="R359">
            <v>69.273773192535174</v>
          </cell>
          <cell r="S359">
            <v>191.24249262780984</v>
          </cell>
          <cell r="T359">
            <v>648.65537376859902</v>
          </cell>
          <cell r="U359">
            <v>-43.329259889325272</v>
          </cell>
        </row>
        <row r="360">
          <cell r="I360">
            <v>39412</v>
          </cell>
          <cell r="J360">
            <v>4550</v>
          </cell>
          <cell r="K360">
            <v>182.5</v>
          </cell>
          <cell r="L360">
            <v>824</v>
          </cell>
          <cell r="M360">
            <v>2850</v>
          </cell>
          <cell r="N360">
            <v>7.4015000000000004</v>
          </cell>
          <cell r="O360">
            <v>614.74025535364444</v>
          </cell>
          <cell r="P360">
            <v>310.25</v>
          </cell>
          <cell r="Q360">
            <v>77.930149294062005</v>
          </cell>
          <cell r="R360">
            <v>69.310274944268045</v>
          </cell>
          <cell r="S360">
            <v>191.27826605949014</v>
          </cell>
          <cell r="T360">
            <v>648.76869029782017</v>
          </cell>
          <cell r="U360">
            <v>-40.756005804882875</v>
          </cell>
        </row>
        <row r="361">
          <cell r="I361">
            <v>39413</v>
          </cell>
          <cell r="J361">
            <v>4550</v>
          </cell>
          <cell r="K361">
            <v>182.5</v>
          </cell>
          <cell r="L361">
            <v>824</v>
          </cell>
          <cell r="M361">
            <v>3030</v>
          </cell>
          <cell r="N361">
            <v>7.3876999999999997</v>
          </cell>
          <cell r="O361">
            <v>615.88857154459447</v>
          </cell>
          <cell r="P361">
            <v>310.25</v>
          </cell>
          <cell r="Q361">
            <v>78.075720454268577</v>
          </cell>
          <cell r="R361">
            <v>73.825412509982812</v>
          </cell>
          <cell r="S361">
            <v>190.76791842620372</v>
          </cell>
          <cell r="T361">
            <v>652.91905139045502</v>
          </cell>
          <cell r="U361">
            <v>-38.657702356468008</v>
          </cell>
        </row>
        <row r="362">
          <cell r="I362">
            <v>39414</v>
          </cell>
          <cell r="J362">
            <v>4600</v>
          </cell>
          <cell r="K362">
            <v>182.5</v>
          </cell>
          <cell r="L362">
            <v>824</v>
          </cell>
          <cell r="M362">
            <v>3030</v>
          </cell>
          <cell r="N362">
            <v>7.3975999999999997</v>
          </cell>
          <cell r="O362">
            <v>621.82329404131076</v>
          </cell>
          <cell r="P362">
            <v>310.25</v>
          </cell>
          <cell r="Q362">
            <v>77.971233913701738</v>
          </cell>
          <cell r="R362">
            <v>73.726614036984969</v>
          </cell>
          <cell r="S362">
            <v>191.65976567128729</v>
          </cell>
          <cell r="T362">
            <v>653.607613621974</v>
          </cell>
          <cell r="U362">
            <v>-35.858382618818382</v>
          </cell>
        </row>
        <row r="363">
          <cell r="I363">
            <v>39415</v>
          </cell>
          <cell r="J363">
            <v>4600</v>
          </cell>
          <cell r="K363">
            <v>182.5</v>
          </cell>
          <cell r="L363">
            <v>824</v>
          </cell>
          <cell r="M363">
            <v>3030</v>
          </cell>
          <cell r="N363">
            <v>7.3819999999999997</v>
          </cell>
          <cell r="O363">
            <v>623.13736114874018</v>
          </cell>
          <cell r="P363">
            <v>310.25</v>
          </cell>
          <cell r="Q363">
            <v>78.136006502302891</v>
          </cell>
          <cell r="R363">
            <v>73.88241668924411</v>
          </cell>
          <cell r="S363">
            <v>191.80411919036146</v>
          </cell>
          <cell r="T363">
            <v>654.07254238190853</v>
          </cell>
          <cell r="U363">
            <v>-33.785002327082566</v>
          </cell>
        </row>
        <row r="364">
          <cell r="I364">
            <v>39416</v>
          </cell>
          <cell r="J364">
            <v>4600</v>
          </cell>
          <cell r="K364">
            <v>182.5</v>
          </cell>
          <cell r="L364">
            <v>824</v>
          </cell>
          <cell r="M364">
            <v>3030</v>
          </cell>
          <cell r="N364">
            <v>7.3917999999999999</v>
          </cell>
          <cell r="O364">
            <v>622.31120971887765</v>
          </cell>
          <cell r="P364">
            <v>310.25</v>
          </cell>
          <cell r="Q364">
            <v>78.032414296923619</v>
          </cell>
          <cell r="R364">
            <v>73.784463865364316</v>
          </cell>
          <cell r="S364">
            <v>191.71336441420539</v>
          </cell>
          <cell r="T364">
            <v>653.78024257649327</v>
          </cell>
          <cell r="U364">
            <v>-33.389311750279489</v>
          </cell>
        </row>
        <row r="365">
          <cell r="I365">
            <v>39417</v>
          </cell>
          <cell r="J365">
            <v>4600</v>
          </cell>
          <cell r="K365">
            <v>182.5</v>
          </cell>
          <cell r="L365">
            <v>824</v>
          </cell>
          <cell r="M365">
            <v>3030</v>
          </cell>
          <cell r="N365">
            <v>7.3917999999999999</v>
          </cell>
          <cell r="O365">
            <v>622.31120971887765</v>
          </cell>
          <cell r="P365">
            <v>310.25</v>
          </cell>
          <cell r="Q365">
            <v>78.032414296923619</v>
          </cell>
          <cell r="R365">
            <v>73.784463865364316</v>
          </cell>
          <cell r="S365">
            <v>191.71336441420539</v>
          </cell>
          <cell r="T365">
            <v>653.78024257649327</v>
          </cell>
          <cell r="U365">
            <v>-32.993621173476413</v>
          </cell>
        </row>
        <row r="366">
          <cell r="I366">
            <v>39418</v>
          </cell>
          <cell r="J366">
            <v>4600</v>
          </cell>
          <cell r="K366">
            <v>182.5</v>
          </cell>
          <cell r="L366">
            <v>824</v>
          </cell>
          <cell r="M366">
            <v>3030</v>
          </cell>
          <cell r="N366">
            <v>7.3917999999999999</v>
          </cell>
          <cell r="O366">
            <v>622.31120971887765</v>
          </cell>
          <cell r="P366">
            <v>310.25</v>
          </cell>
          <cell r="Q366">
            <v>78.032414296923619</v>
          </cell>
          <cell r="R366">
            <v>73.784463865364316</v>
          </cell>
          <cell r="S366">
            <v>191.71336441420539</v>
          </cell>
          <cell r="T366">
            <v>653.78024257649327</v>
          </cell>
          <cell r="U366">
            <v>-32.597930596673564</v>
          </cell>
        </row>
        <row r="367">
          <cell r="I367">
            <v>39419</v>
          </cell>
          <cell r="J367">
            <v>4600</v>
          </cell>
          <cell r="K367">
            <v>182.5</v>
          </cell>
          <cell r="L367">
            <v>824</v>
          </cell>
          <cell r="M367">
            <v>3030</v>
          </cell>
          <cell r="N367">
            <v>7.4043000000000001</v>
          </cell>
          <cell r="O367">
            <v>621.26061882959903</v>
          </cell>
          <cell r="P367">
            <v>310.25</v>
          </cell>
          <cell r="Q367">
            <v>77.900679334981021</v>
          </cell>
          <cell r="R367">
            <v>73.659900328187675</v>
          </cell>
          <cell r="S367">
            <v>191.59795440879753</v>
          </cell>
          <cell r="T367">
            <v>653.40853407196619</v>
          </cell>
          <cell r="U367">
            <v>-32.329284924986496</v>
          </cell>
        </row>
        <row r="368">
          <cell r="I368">
            <v>39420</v>
          </cell>
          <cell r="J368">
            <v>4640</v>
          </cell>
          <cell r="K368">
            <v>182.5</v>
          </cell>
          <cell r="L368">
            <v>824</v>
          </cell>
          <cell r="M368">
            <v>3050</v>
          </cell>
          <cell r="N368">
            <v>7.3962000000000003</v>
          </cell>
          <cell r="O368">
            <v>627.3491793082934</v>
          </cell>
          <cell r="P368">
            <v>310.25</v>
          </cell>
          <cell r="Q368">
            <v>77.985992807117157</v>
          </cell>
          <cell r="R368">
            <v>74.227305913847644</v>
          </cell>
          <cell r="S368">
            <v>192.38777752123576</v>
          </cell>
          <cell r="T368">
            <v>654.85107624220063</v>
          </cell>
          <cell r="U368">
            <v>-30.968058794707531</v>
          </cell>
        </row>
        <row r="369">
          <cell r="I369">
            <v>39421</v>
          </cell>
          <cell r="J369">
            <v>4640</v>
          </cell>
          <cell r="K369">
            <v>182.5</v>
          </cell>
          <cell r="L369">
            <v>824</v>
          </cell>
          <cell r="M369">
            <v>3050</v>
          </cell>
          <cell r="N369">
            <v>7.3875999999999999</v>
          </cell>
          <cell r="O369">
            <v>628.07948454166444</v>
          </cell>
          <cell r="P369">
            <v>310.25</v>
          </cell>
          <cell r="Q369">
            <v>78.076777302506898</v>
          </cell>
          <cell r="R369">
            <v>74.313714873571939</v>
          </cell>
          <cell r="S369">
            <v>192.46814418987145</v>
          </cell>
          <cell r="T369">
            <v>655.10863636595036</v>
          </cell>
          <cell r="U369">
            <v>-30.288749115225073</v>
          </cell>
        </row>
        <row r="370">
          <cell r="I370">
            <v>39422</v>
          </cell>
          <cell r="J370">
            <v>4640</v>
          </cell>
          <cell r="K370">
            <v>182.5</v>
          </cell>
          <cell r="L370">
            <v>824</v>
          </cell>
          <cell r="M370">
            <v>3050</v>
          </cell>
          <cell r="N370">
            <v>7.4112999999999998</v>
          </cell>
          <cell r="O370">
            <v>626.07099968966315</v>
          </cell>
          <cell r="P370">
            <v>310.25</v>
          </cell>
          <cell r="Q370">
            <v>77.827101857973631</v>
          </cell>
          <cell r="R370">
            <v>74.07607302362608</v>
          </cell>
          <cell r="S370">
            <v>192.24711984390672</v>
          </cell>
          <cell r="T370">
            <v>654.40029472550646</v>
          </cell>
          <cell r="U370">
            <v>-29.916479658464368</v>
          </cell>
        </row>
        <row r="371">
          <cell r="I371">
            <v>39423</v>
          </cell>
          <cell r="J371">
            <v>4640</v>
          </cell>
          <cell r="K371">
            <v>182.5</v>
          </cell>
          <cell r="L371">
            <v>824</v>
          </cell>
          <cell r="M371">
            <v>3050</v>
          </cell>
          <cell r="N371">
            <v>7.4013999999999998</v>
          </cell>
          <cell r="O371">
            <v>626.90842273083467</v>
          </cell>
          <cell r="P371">
            <v>310.25</v>
          </cell>
          <cell r="Q371">
            <v>77.931202204988239</v>
          </cell>
          <cell r="R371">
            <v>74.175156051557806</v>
          </cell>
          <cell r="S371">
            <v>192.33927432532403</v>
          </cell>
          <cell r="T371">
            <v>654.69563258187009</v>
          </cell>
          <cell r="U371">
            <v>-29.390504943238625</v>
          </cell>
        </row>
        <row r="372">
          <cell r="I372">
            <v>39424</v>
          </cell>
          <cell r="J372">
            <v>4640</v>
          </cell>
          <cell r="K372">
            <v>182.5</v>
          </cell>
          <cell r="L372">
            <v>824</v>
          </cell>
          <cell r="M372">
            <v>3050</v>
          </cell>
          <cell r="N372">
            <v>7.4013999999999998</v>
          </cell>
          <cell r="O372">
            <v>626.90842273083467</v>
          </cell>
          <cell r="P372">
            <v>310.25</v>
          </cell>
          <cell r="Q372">
            <v>77.931202204988239</v>
          </cell>
          <cell r="R372">
            <v>74.175156051557806</v>
          </cell>
          <cell r="S372">
            <v>192.33927432532403</v>
          </cell>
          <cell r="T372">
            <v>654.69563258187009</v>
          </cell>
          <cell r="U372">
            <v>-28.864530228012882</v>
          </cell>
        </row>
        <row r="373">
          <cell r="I373">
            <v>39425</v>
          </cell>
          <cell r="J373">
            <v>4640</v>
          </cell>
          <cell r="K373">
            <v>182.5</v>
          </cell>
          <cell r="L373">
            <v>824</v>
          </cell>
          <cell r="M373">
            <v>3050</v>
          </cell>
          <cell r="N373">
            <v>7.4013999999999998</v>
          </cell>
          <cell r="O373">
            <v>626.90842273083467</v>
          </cell>
          <cell r="P373">
            <v>310.25</v>
          </cell>
          <cell r="Q373">
            <v>77.931202204988239</v>
          </cell>
          <cell r="R373">
            <v>74.175156051557806</v>
          </cell>
          <cell r="S373">
            <v>192.33927432532403</v>
          </cell>
          <cell r="T373">
            <v>654.69563258187009</v>
          </cell>
          <cell r="U373">
            <v>-28.338555512787025</v>
          </cell>
        </row>
        <row r="374">
          <cell r="I374">
            <v>39426</v>
          </cell>
          <cell r="J374">
            <v>4640</v>
          </cell>
          <cell r="K374">
            <v>182.5</v>
          </cell>
          <cell r="L374">
            <v>824</v>
          </cell>
          <cell r="M374">
            <v>3050</v>
          </cell>
          <cell r="N374">
            <v>7.3986999999999998</v>
          </cell>
          <cell r="O374">
            <v>627.13719977833944</v>
          </cell>
          <cell r="P374">
            <v>310.25</v>
          </cell>
          <cell r="Q374">
            <v>77.959641558652194</v>
          </cell>
          <cell r="R374">
            <v>74.202224715152653</v>
          </cell>
          <cell r="S374">
            <v>192.36445016732546</v>
          </cell>
          <cell r="T374">
            <v>654.77631644113035</v>
          </cell>
          <cell r="U374">
            <v>-27.694441429990547</v>
          </cell>
        </row>
        <row r="375">
          <cell r="I375">
            <v>39427</v>
          </cell>
          <cell r="J375">
            <v>4640</v>
          </cell>
          <cell r="K375">
            <v>182.5</v>
          </cell>
          <cell r="L375">
            <v>824</v>
          </cell>
          <cell r="M375">
            <v>3050</v>
          </cell>
          <cell r="N375">
            <v>7.3807</v>
          </cell>
          <cell r="O375">
            <v>628.66665763409969</v>
          </cell>
          <cell r="P375">
            <v>310.25</v>
          </cell>
          <cell r="Q375">
            <v>78.149768992101016</v>
          </cell>
          <cell r="R375">
            <v>74.383188586448441</v>
          </cell>
          <cell r="S375">
            <v>192.53275983713121</v>
          </cell>
          <cell r="T375">
            <v>655.31571741568064</v>
          </cell>
          <cell r="U375">
            <v>-27.572607551086662</v>
          </cell>
        </row>
        <row r="376">
          <cell r="I376">
            <v>39428</v>
          </cell>
          <cell r="J376">
            <v>4640</v>
          </cell>
          <cell r="K376">
            <v>182.5</v>
          </cell>
          <cell r="L376">
            <v>824</v>
          </cell>
          <cell r="M376">
            <v>3050</v>
          </cell>
          <cell r="N376">
            <v>7.3745000000000003</v>
          </cell>
          <cell r="O376">
            <v>629.19519967455415</v>
          </cell>
          <cell r="P376">
            <v>310.25</v>
          </cell>
          <cell r="Q376">
            <v>78.215472235405784</v>
          </cell>
          <cell r="R376">
            <v>74.445725133907388</v>
          </cell>
          <cell r="S376">
            <v>192.59092341187261</v>
          </cell>
          <cell r="T376">
            <v>655.50212078118579</v>
          </cell>
          <cell r="U376">
            <v>-27.469431734279169</v>
          </cell>
        </row>
        <row r="377">
          <cell r="I377">
            <v>39429</v>
          </cell>
          <cell r="J377">
            <v>4840</v>
          </cell>
          <cell r="K377">
            <v>182.5</v>
          </cell>
          <cell r="L377">
            <v>824</v>
          </cell>
          <cell r="M377">
            <v>3050</v>
          </cell>
          <cell r="N377">
            <v>7.3674999999999997</v>
          </cell>
          <cell r="O377">
            <v>656.93926026467602</v>
          </cell>
          <cell r="P377">
            <v>310.25</v>
          </cell>
          <cell r="Q377">
            <v>78.2897862232779</v>
          </cell>
          <cell r="R377">
            <v>74.516457414319646</v>
          </cell>
          <cell r="S377">
            <v>196.6010366039344</v>
          </cell>
          <cell r="T377">
            <v>659.65728024153191</v>
          </cell>
          <cell r="U377">
            <v>-23.810678154423726</v>
          </cell>
        </row>
        <row r="378">
          <cell r="I378">
            <v>39430</v>
          </cell>
          <cell r="J378">
            <v>4840</v>
          </cell>
          <cell r="K378">
            <v>188</v>
          </cell>
          <cell r="L378">
            <v>824</v>
          </cell>
          <cell r="M378">
            <v>3050</v>
          </cell>
          <cell r="N378">
            <v>7.3712999999999997</v>
          </cell>
          <cell r="O378">
            <v>656.60059962286164</v>
          </cell>
          <cell r="P378">
            <v>319.59999999999997</v>
          </cell>
          <cell r="Q378">
            <v>78.249426831088144</v>
          </cell>
          <cell r="R378">
            <v>74.478043221684104</v>
          </cell>
          <cell r="S378">
            <v>195.20472822813264</v>
          </cell>
          <cell r="T378">
            <v>667.53219828090482</v>
          </cell>
          <cell r="U378">
            <v>-21.402733698281963</v>
          </cell>
        </row>
        <row r="379">
          <cell r="I379">
            <v>39431</v>
          </cell>
          <cell r="J379">
            <v>4840</v>
          </cell>
          <cell r="K379">
            <v>188</v>
          </cell>
          <cell r="L379">
            <v>824</v>
          </cell>
          <cell r="M379">
            <v>3050</v>
          </cell>
          <cell r="N379">
            <v>7.3712999999999997</v>
          </cell>
          <cell r="O379">
            <v>656.60059962286164</v>
          </cell>
          <cell r="P379">
            <v>319.59999999999997</v>
          </cell>
          <cell r="Q379">
            <v>78.249426831088144</v>
          </cell>
          <cell r="R379">
            <v>74.478043221684104</v>
          </cell>
          <cell r="S379">
            <v>195.20472822813264</v>
          </cell>
          <cell r="T379">
            <v>667.53219828090482</v>
          </cell>
          <cell r="U379">
            <v>-18.9947892421402</v>
          </cell>
        </row>
        <row r="380">
          <cell r="I380">
            <v>39432</v>
          </cell>
          <cell r="J380">
            <v>4840</v>
          </cell>
          <cell r="K380">
            <v>188</v>
          </cell>
          <cell r="L380">
            <v>824</v>
          </cell>
          <cell r="M380">
            <v>3050</v>
          </cell>
          <cell r="N380">
            <v>7.3712999999999997</v>
          </cell>
          <cell r="O380">
            <v>656.60059962286164</v>
          </cell>
          <cell r="P380">
            <v>319.59999999999997</v>
          </cell>
          <cell r="Q380">
            <v>78.249426831088144</v>
          </cell>
          <cell r="R380">
            <v>74.478043221684104</v>
          </cell>
          <cell r="S380">
            <v>195.20472822813264</v>
          </cell>
          <cell r="T380">
            <v>667.53219828090482</v>
          </cell>
          <cell r="U380">
            <v>-16.586844785998437</v>
          </cell>
        </row>
        <row r="381">
          <cell r="I381">
            <v>39433</v>
          </cell>
          <cell r="J381">
            <v>4850</v>
          </cell>
          <cell r="K381">
            <v>188</v>
          </cell>
          <cell r="L381">
            <v>824</v>
          </cell>
          <cell r="M381">
            <v>3050</v>
          </cell>
          <cell r="N381">
            <v>7.3829000000000002</v>
          </cell>
          <cell r="O381">
            <v>656.92343117203268</v>
          </cell>
          <cell r="P381">
            <v>319.59999999999997</v>
          </cell>
          <cell r="Q381">
            <v>78.126481463923383</v>
          </cell>
          <cell r="R381">
            <v>74.361023446071314</v>
          </cell>
          <cell r="S381">
            <v>195.28650210644997</v>
          </cell>
          <cell r="T381">
            <v>667.37400701644469</v>
          </cell>
          <cell r="U381">
            <v>-14.131338954801436</v>
          </cell>
        </row>
        <row r="382">
          <cell r="I382">
            <v>39434</v>
          </cell>
          <cell r="J382">
            <v>4850</v>
          </cell>
          <cell r="K382">
            <v>188</v>
          </cell>
          <cell r="L382">
            <v>824</v>
          </cell>
          <cell r="M382">
            <v>3050</v>
          </cell>
          <cell r="N382">
            <v>7.3857999999999997</v>
          </cell>
          <cell r="O382">
            <v>656.66549324379218</v>
          </cell>
          <cell r="P382">
            <v>319.59999999999997</v>
          </cell>
          <cell r="Q382">
            <v>78.095805464540064</v>
          </cell>
          <cell r="R382">
            <v>74.331825936256053</v>
          </cell>
          <cell r="S382">
            <v>195.25772351564893</v>
          </cell>
          <cell r="T382">
            <v>667.28535491644504</v>
          </cell>
          <cell r="U382">
            <v>-11.841453510668771</v>
          </cell>
        </row>
        <row r="383">
          <cell r="I383">
            <v>39435</v>
          </cell>
          <cell r="J383">
            <v>4850</v>
          </cell>
          <cell r="K383">
            <v>188</v>
          </cell>
          <cell r="L383">
            <v>824</v>
          </cell>
          <cell r="M383">
            <v>3050</v>
          </cell>
          <cell r="N383">
            <v>7.3796999999999997</v>
          </cell>
          <cell r="O383">
            <v>657.208287599767</v>
          </cell>
          <cell r="P383">
            <v>319.59999999999997</v>
          </cell>
          <cell r="Q383">
            <v>78.160358822174331</v>
          </cell>
          <cell r="R383">
            <v>74.393268019025172</v>
          </cell>
          <cell r="S383">
            <v>195.31828404184307</v>
          </cell>
          <cell r="T383">
            <v>667.47191088304248</v>
          </cell>
          <cell r="U383">
            <v>-9.5495538216179057</v>
          </cell>
        </row>
        <row r="384">
          <cell r="I384">
            <v>39436</v>
          </cell>
          <cell r="J384">
            <v>4850</v>
          </cell>
          <cell r="K384">
            <v>188</v>
          </cell>
          <cell r="L384">
            <v>824</v>
          </cell>
          <cell r="M384">
            <v>3050</v>
          </cell>
          <cell r="N384">
            <v>7.3684000000000003</v>
          </cell>
          <cell r="O384">
            <v>658.21616633190376</v>
          </cell>
          <cell r="P384">
            <v>319.59999999999997</v>
          </cell>
          <cell r="Q384">
            <v>78.280223657781875</v>
          </cell>
          <cell r="R384">
            <v>74.507355735302099</v>
          </cell>
          <cell r="S384">
            <v>195.43073485435849</v>
          </cell>
          <cell r="T384">
            <v>667.81831424744246</v>
          </cell>
          <cell r="U384">
            <v>-10.533000670001229</v>
          </cell>
        </row>
        <row r="385">
          <cell r="I385">
            <v>39437</v>
          </cell>
          <cell r="J385">
            <v>4850</v>
          </cell>
          <cell r="K385">
            <v>188</v>
          </cell>
          <cell r="L385">
            <v>824</v>
          </cell>
          <cell r="M385">
            <v>3050</v>
          </cell>
          <cell r="N385">
            <v>7.3677999999999999</v>
          </cell>
          <cell r="O385">
            <v>658.26976845191234</v>
          </cell>
          <cell r="P385">
            <v>319.59999999999997</v>
          </cell>
          <cell r="Q385">
            <v>78.286598441868662</v>
          </cell>
          <cell r="R385">
            <v>74.513423274247401</v>
          </cell>
          <cell r="S385">
            <v>195.4367153376798</v>
          </cell>
          <cell r="T385">
            <v>667.83673705379579</v>
          </cell>
          <cell r="U385">
            <v>-10.338053519121331</v>
          </cell>
        </row>
        <row r="386">
          <cell r="I386">
            <v>39438</v>
          </cell>
          <cell r="J386">
            <v>4850</v>
          </cell>
          <cell r="K386">
            <v>188</v>
          </cell>
          <cell r="L386">
            <v>824</v>
          </cell>
          <cell r="M386">
            <v>3050</v>
          </cell>
          <cell r="N386">
            <v>7.3677999999999999</v>
          </cell>
          <cell r="O386">
            <v>658.26976845191234</v>
          </cell>
          <cell r="P386">
            <v>319.59999999999997</v>
          </cell>
          <cell r="Q386">
            <v>78.286598441868662</v>
          </cell>
          <cell r="R386">
            <v>74.513423274247401</v>
          </cell>
          <cell r="S386">
            <v>195.4367153376798</v>
          </cell>
          <cell r="T386">
            <v>667.83673705379579</v>
          </cell>
          <cell r="U386">
            <v>-10.14310636824132</v>
          </cell>
        </row>
        <row r="387">
          <cell r="I387">
            <v>39439</v>
          </cell>
          <cell r="J387">
            <v>4850</v>
          </cell>
          <cell r="K387">
            <v>188</v>
          </cell>
          <cell r="L387">
            <v>824</v>
          </cell>
          <cell r="M387">
            <v>3050</v>
          </cell>
          <cell r="N387">
            <v>7.3677999999999999</v>
          </cell>
          <cell r="O387">
            <v>658.26976845191234</v>
          </cell>
          <cell r="P387">
            <v>319.59999999999997</v>
          </cell>
          <cell r="Q387">
            <v>78.286598441868662</v>
          </cell>
          <cell r="R387">
            <v>74.513423274247401</v>
          </cell>
          <cell r="S387">
            <v>195.4367153376798</v>
          </cell>
          <cell r="T387">
            <v>667.83673705379579</v>
          </cell>
          <cell r="U387">
            <v>-9.9481592173611944</v>
          </cell>
        </row>
        <row r="388">
          <cell r="I388">
            <v>39440</v>
          </cell>
          <cell r="J388">
            <v>4850</v>
          </cell>
          <cell r="K388">
            <v>188</v>
          </cell>
          <cell r="L388">
            <v>824</v>
          </cell>
          <cell r="M388">
            <v>3050</v>
          </cell>
          <cell r="N388">
            <v>7.3506</v>
          </cell>
          <cell r="O388">
            <v>659.8100835305961</v>
          </cell>
          <cell r="P388">
            <v>319.59999999999997</v>
          </cell>
          <cell r="Q388">
            <v>78.46978477947377</v>
          </cell>
          <cell r="R388">
            <v>74.687780589339638</v>
          </cell>
          <cell r="S388">
            <v>195.60857101495986</v>
          </cell>
          <cell r="T388">
            <v>668.36613638377321</v>
          </cell>
          <cell r="U388">
            <v>-9.6775130757563375</v>
          </cell>
        </row>
        <row r="389">
          <cell r="I389">
            <v>39441</v>
          </cell>
          <cell r="J389">
            <v>4850</v>
          </cell>
          <cell r="K389">
            <v>188</v>
          </cell>
          <cell r="L389">
            <v>824</v>
          </cell>
          <cell r="M389">
            <v>3050</v>
          </cell>
          <cell r="N389">
            <v>7.3274999999999997</v>
          </cell>
          <cell r="O389">
            <v>661.8901398839987</v>
          </cell>
          <cell r="P389">
            <v>319.59999999999997</v>
          </cell>
          <cell r="Q389">
            <v>78.717161378369155</v>
          </cell>
          <cell r="R389">
            <v>74.923234390992832</v>
          </cell>
          <cell r="S389">
            <v>195.84064658075914</v>
          </cell>
          <cell r="T389">
            <v>669.08104235012115</v>
          </cell>
          <cell r="U389">
            <v>-9.1876617605375941</v>
          </cell>
        </row>
        <row r="390">
          <cell r="I390">
            <v>39442</v>
          </cell>
          <cell r="J390">
            <v>4850</v>
          </cell>
          <cell r="K390">
            <v>188</v>
          </cell>
          <cell r="L390">
            <v>824</v>
          </cell>
          <cell r="M390">
            <v>3050</v>
          </cell>
          <cell r="N390">
            <v>7.3432000000000004</v>
          </cell>
          <cell r="O390">
            <v>660.47499727639172</v>
          </cell>
          <cell r="P390">
            <v>319.59999999999997</v>
          </cell>
          <cell r="Q390">
            <v>78.548861531757268</v>
          </cell>
          <cell r="R390">
            <v>74.763046083451357</v>
          </cell>
          <cell r="S390">
            <v>195.68275661743689</v>
          </cell>
          <cell r="T390">
            <v>668.59466423264553</v>
          </cell>
          <cell r="U390">
            <v>-8.8813822852488329</v>
          </cell>
        </row>
        <row r="391">
          <cell r="I391">
            <v>39443</v>
          </cell>
          <cell r="J391">
            <v>4850</v>
          </cell>
          <cell r="K391">
            <v>188</v>
          </cell>
          <cell r="L391">
            <v>824</v>
          </cell>
          <cell r="M391">
            <v>3050</v>
          </cell>
          <cell r="N391">
            <v>7.3162000000000003</v>
          </cell>
          <cell r="O391">
            <v>662.91244088461224</v>
          </cell>
          <cell r="P391">
            <v>319.59999999999997</v>
          </cell>
          <cell r="Q391">
            <v>78.838741423143148</v>
          </cell>
          <cell r="R391">
            <v>75.03895464858806</v>
          </cell>
          <cell r="S391">
            <v>195.95470651127334</v>
          </cell>
          <cell r="T391">
            <v>669.43240258300455</v>
          </cell>
          <cell r="U391">
            <v>-8.4410699685138297</v>
          </cell>
        </row>
        <row r="392">
          <cell r="I392">
            <v>39444</v>
          </cell>
          <cell r="J392">
            <v>4850</v>
          </cell>
          <cell r="K392">
            <v>188</v>
          </cell>
          <cell r="L392">
            <v>824</v>
          </cell>
          <cell r="M392">
            <v>3050</v>
          </cell>
          <cell r="N392">
            <v>7.3041</v>
          </cell>
          <cell r="O392">
            <v>664.01062416998673</v>
          </cell>
          <cell r="P392">
            <v>319.59999999999997</v>
          </cell>
          <cell r="Q392">
            <v>78.969345983762537</v>
          </cell>
          <cell r="R392">
            <v>75.163264467901584</v>
          </cell>
          <cell r="S392">
            <v>196.07723276249135</v>
          </cell>
          <cell r="T392">
            <v>669.80984321415542</v>
          </cell>
          <cell r="U392">
            <v>-7.9028200316972743</v>
          </cell>
        </row>
        <row r="393">
          <cell r="I393">
            <v>39445</v>
          </cell>
          <cell r="J393">
            <v>4850</v>
          </cell>
          <cell r="K393">
            <v>188</v>
          </cell>
          <cell r="L393">
            <v>824</v>
          </cell>
          <cell r="M393">
            <v>3050</v>
          </cell>
          <cell r="N393">
            <v>7.3041</v>
          </cell>
          <cell r="O393">
            <v>664.01062416998673</v>
          </cell>
          <cell r="P393">
            <v>319.59999999999997</v>
          </cell>
          <cell r="Q393">
            <v>78.969345983762537</v>
          </cell>
          <cell r="R393">
            <v>75.163264467901584</v>
          </cell>
          <cell r="S393">
            <v>196.07723276249135</v>
          </cell>
          <cell r="T393">
            <v>669.80984321415542</v>
          </cell>
          <cell r="U393">
            <v>-7.3645700948809463</v>
          </cell>
        </row>
        <row r="394">
          <cell r="I394">
            <v>39446</v>
          </cell>
          <cell r="J394">
            <v>4850</v>
          </cell>
          <cell r="K394">
            <v>188</v>
          </cell>
          <cell r="L394">
            <v>824</v>
          </cell>
          <cell r="M394">
            <v>3050</v>
          </cell>
          <cell r="N394">
            <v>7.3041</v>
          </cell>
          <cell r="O394">
            <v>664.01062416998673</v>
          </cell>
          <cell r="P394">
            <v>319.59999999999997</v>
          </cell>
          <cell r="Q394">
            <v>78.969345983762537</v>
          </cell>
          <cell r="R394">
            <v>75.163264467901584</v>
          </cell>
          <cell r="S394">
            <v>196.07723276249135</v>
          </cell>
          <cell r="T394">
            <v>669.80984321415542</v>
          </cell>
          <cell r="U394">
            <v>-6.8263201580645045</v>
          </cell>
        </row>
        <row r="395">
          <cell r="I395">
            <v>39447</v>
          </cell>
          <cell r="J395">
            <v>4850</v>
          </cell>
          <cell r="K395">
            <v>188</v>
          </cell>
          <cell r="L395">
            <v>840</v>
          </cell>
          <cell r="M395">
            <v>3050</v>
          </cell>
          <cell r="N395">
            <v>7.3036000000000003</v>
          </cell>
          <cell r="O395">
            <v>664.0560819321978</v>
          </cell>
          <cell r="P395">
            <v>319.59999999999997</v>
          </cell>
          <cell r="Q395">
            <v>80.508242510542743</v>
          </cell>
          <cell r="R395">
            <v>75.16841009912919</v>
          </cell>
          <cell r="S395">
            <v>195.85948973062341</v>
          </cell>
          <cell r="T395">
            <v>671.13614234029524</v>
          </cell>
          <cell r="U395">
            <v>-6.615464094481581</v>
          </cell>
        </row>
        <row r="396">
          <cell r="I396">
            <v>39448</v>
          </cell>
          <cell r="J396">
            <v>4850</v>
          </cell>
          <cell r="K396">
            <v>188</v>
          </cell>
          <cell r="L396">
            <v>840</v>
          </cell>
          <cell r="M396">
            <v>3250</v>
          </cell>
          <cell r="N396">
            <v>7.3041</v>
          </cell>
          <cell r="O396">
            <v>664.01062416998673</v>
          </cell>
          <cell r="P396">
            <v>319.59999999999997</v>
          </cell>
          <cell r="Q396">
            <v>80.502731342670558</v>
          </cell>
          <cell r="R396">
            <v>80.092003121534475</v>
          </cell>
          <cell r="S396">
            <v>195.13829166665204</v>
          </cell>
          <cell r="T396">
            <v>675.33302613085698</v>
          </cell>
          <cell r="U396">
            <v>-7.2056783080172409</v>
          </cell>
        </row>
        <row r="397">
          <cell r="I397">
            <v>39449</v>
          </cell>
          <cell r="J397">
            <v>4950</v>
          </cell>
          <cell r="K397">
            <v>188</v>
          </cell>
          <cell r="L397">
            <v>840</v>
          </cell>
          <cell r="M397">
            <v>3250</v>
          </cell>
          <cell r="N397">
            <v>7.2937000000000003</v>
          </cell>
          <cell r="O397">
            <v>678.66789146797919</v>
          </cell>
          <cell r="P397">
            <v>319.59999999999997</v>
          </cell>
          <cell r="Q397">
            <v>80.617519228923584</v>
          </cell>
          <cell r="R397">
            <v>80.206205355306636</v>
          </cell>
          <cell r="S397">
            <v>197.23470800874986</v>
          </cell>
          <cell r="T397">
            <v>677.65843259298003</v>
          </cell>
          <cell r="U397">
            <v>-5.9015174749810058</v>
          </cell>
        </row>
        <row r="398">
          <cell r="I398">
            <v>39450</v>
          </cell>
          <cell r="J398">
            <v>4950</v>
          </cell>
          <cell r="K398">
            <v>188</v>
          </cell>
          <cell r="L398">
            <v>840</v>
          </cell>
          <cell r="M398">
            <v>3250</v>
          </cell>
          <cell r="N398">
            <v>7.2732999999999999</v>
          </cell>
          <cell r="O398">
            <v>680.57140500185608</v>
          </cell>
          <cell r="P398">
            <v>319.59999999999997</v>
          </cell>
          <cell r="Q398">
            <v>80.843633563856841</v>
          </cell>
          <cell r="R398">
            <v>80.431166045673905</v>
          </cell>
          <cell r="S398">
            <v>197.44574608264554</v>
          </cell>
          <cell r="T398">
            <v>678.32054569217621</v>
          </cell>
          <cell r="U398">
            <v>-4.6485430452563605</v>
          </cell>
        </row>
        <row r="399">
          <cell r="I399">
            <v>39451</v>
          </cell>
          <cell r="J399">
            <v>4980</v>
          </cell>
          <cell r="K399">
            <v>188</v>
          </cell>
          <cell r="L399">
            <v>840</v>
          </cell>
          <cell r="M399">
            <v>3250</v>
          </cell>
          <cell r="N399">
            <v>7.2740999999999998</v>
          </cell>
          <cell r="O399">
            <v>684.62077782818494</v>
          </cell>
          <cell r="P399">
            <v>319.59999999999997</v>
          </cell>
          <cell r="Q399">
            <v>80.834742442364004</v>
          </cell>
          <cell r="R399">
            <v>80.422320287045821</v>
          </cell>
          <cell r="S399">
            <v>198.03669364683054</v>
          </cell>
          <cell r="T399">
            <v>678.89375637624039</v>
          </cell>
          <cell r="U399">
            <v>-3.0019372600972929</v>
          </cell>
        </row>
        <row r="400">
          <cell r="I400">
            <v>39452</v>
          </cell>
          <cell r="J400">
            <v>4980</v>
          </cell>
          <cell r="K400">
            <v>188</v>
          </cell>
          <cell r="L400">
            <v>840</v>
          </cell>
          <cell r="M400">
            <v>3250</v>
          </cell>
          <cell r="N400">
            <v>7.2740999999999998</v>
          </cell>
          <cell r="O400">
            <v>684.62077782818494</v>
          </cell>
          <cell r="P400">
            <v>319.59999999999997</v>
          </cell>
          <cell r="Q400">
            <v>80.834742442364004</v>
          </cell>
          <cell r="R400">
            <v>80.422320287045821</v>
          </cell>
          <cell r="S400">
            <v>198.03669364683054</v>
          </cell>
          <cell r="T400">
            <v>678.89375637624039</v>
          </cell>
          <cell r="U400">
            <v>-1.3553314749381116</v>
          </cell>
        </row>
        <row r="401">
          <cell r="I401">
            <v>39453</v>
          </cell>
          <cell r="J401">
            <v>4980</v>
          </cell>
          <cell r="K401">
            <v>188</v>
          </cell>
          <cell r="L401">
            <v>840</v>
          </cell>
          <cell r="M401">
            <v>3250</v>
          </cell>
          <cell r="N401">
            <v>7.2740999999999998</v>
          </cell>
          <cell r="O401">
            <v>684.62077782818494</v>
          </cell>
          <cell r="P401">
            <v>319.59999999999997</v>
          </cell>
          <cell r="Q401">
            <v>80.834742442364004</v>
          </cell>
          <cell r="R401">
            <v>80.422320287045821</v>
          </cell>
          <cell r="S401">
            <v>198.03669364683054</v>
          </cell>
          <cell r="T401">
            <v>678.89375637624039</v>
          </cell>
          <cell r="U401">
            <v>0.29127431022095607</v>
          </cell>
        </row>
        <row r="402">
          <cell r="I402">
            <v>39454</v>
          </cell>
          <cell r="J402">
            <v>4980</v>
          </cell>
          <cell r="K402">
            <v>188</v>
          </cell>
          <cell r="L402">
            <v>840</v>
          </cell>
          <cell r="M402">
            <v>3250</v>
          </cell>
          <cell r="N402">
            <v>7.2709000000000001</v>
          </cell>
          <cell r="O402">
            <v>684.9220866742769</v>
          </cell>
          <cell r="P402">
            <v>319.59999999999997</v>
          </cell>
          <cell r="Q402">
            <v>80.870318667565215</v>
          </cell>
          <cell r="R402">
            <v>80.45771500089397</v>
          </cell>
          <cell r="S402">
            <v>198.07016154785384</v>
          </cell>
          <cell r="T402">
            <v>678.99819521631298</v>
          </cell>
          <cell r="U402">
            <v>2.1489817196580816</v>
          </cell>
        </row>
        <row r="403">
          <cell r="I403">
            <v>39455</v>
          </cell>
          <cell r="J403">
            <v>4980</v>
          </cell>
          <cell r="K403">
            <v>188</v>
          </cell>
          <cell r="L403">
            <v>840</v>
          </cell>
          <cell r="M403">
            <v>3300</v>
          </cell>
          <cell r="N403">
            <v>7.2671000000000001</v>
          </cell>
          <cell r="O403">
            <v>685.28023558228176</v>
          </cell>
          <cell r="P403">
            <v>319.59999999999997</v>
          </cell>
          <cell r="Q403">
            <v>80.912606128992294</v>
          </cell>
          <cell r="R403">
            <v>81.738244967043244</v>
          </cell>
          <cell r="S403">
            <v>197.92999603646308</v>
          </cell>
          <cell r="T403">
            <v>680.18084713249857</v>
          </cell>
          <cell r="U403">
            <v>4.4949517783227293</v>
          </cell>
        </row>
        <row r="404">
          <cell r="I404">
            <v>39456</v>
          </cell>
          <cell r="J404">
            <v>4980</v>
          </cell>
          <cell r="K404">
            <v>188</v>
          </cell>
          <cell r="L404">
            <v>840</v>
          </cell>
          <cell r="M404">
            <v>3300</v>
          </cell>
          <cell r="N404">
            <v>7.2625999999999999</v>
          </cell>
          <cell r="O404">
            <v>685.70484399526345</v>
          </cell>
          <cell r="P404">
            <v>319.59999999999997</v>
          </cell>
          <cell r="Q404">
            <v>80.96274061630821</v>
          </cell>
          <cell r="R404">
            <v>81.788891030760325</v>
          </cell>
          <cell r="S404">
            <v>197.97704794802831</v>
          </cell>
          <cell r="T404">
            <v>680.3286795950969</v>
          </cell>
          <cell r="U404">
            <v>5.1187668533467559</v>
          </cell>
        </row>
        <row r="405">
          <cell r="I405">
            <v>39457</v>
          </cell>
          <cell r="J405">
            <v>4980</v>
          </cell>
          <cell r="K405">
            <v>188</v>
          </cell>
          <cell r="L405">
            <v>840</v>
          </cell>
          <cell r="M405">
            <v>3300</v>
          </cell>
          <cell r="N405">
            <v>7.2705000000000002</v>
          </cell>
          <cell r="O405">
            <v>684.95976892923454</v>
          </cell>
          <cell r="P405">
            <v>319.59999999999997</v>
          </cell>
          <cell r="Q405">
            <v>80.874767897668661</v>
          </cell>
          <cell r="R405">
            <v>81.700020631318338</v>
          </cell>
          <cell r="S405">
            <v>197.89448433165984</v>
          </cell>
          <cell r="T405">
            <v>680.06927286064683</v>
          </cell>
          <cell r="U405">
            <v>5.4958578189050513</v>
          </cell>
        </row>
        <row r="406">
          <cell r="I406">
            <v>39458</v>
          </cell>
          <cell r="J406">
            <v>4980</v>
          </cell>
          <cell r="K406">
            <v>190</v>
          </cell>
          <cell r="L406">
            <v>840</v>
          </cell>
          <cell r="M406">
            <v>3300</v>
          </cell>
          <cell r="N406">
            <v>7.2621000000000002</v>
          </cell>
          <cell r="O406">
            <v>685.7520551906473</v>
          </cell>
          <cell r="P406">
            <v>323</v>
          </cell>
          <cell r="Q406">
            <v>80.968314950221014</v>
          </cell>
          <cell r="R406">
            <v>81.794522245631427</v>
          </cell>
          <cell r="S406">
            <v>197.48826244368814</v>
          </cell>
          <cell r="T406">
            <v>683.2510996395406</v>
          </cell>
          <cell r="U406">
            <v>5.0349912616424035</v>
          </cell>
        </row>
        <row r="407">
          <cell r="I407">
            <v>39459</v>
          </cell>
          <cell r="J407">
            <v>4980</v>
          </cell>
          <cell r="K407">
            <v>190</v>
          </cell>
          <cell r="L407">
            <v>840</v>
          </cell>
          <cell r="M407">
            <v>3300</v>
          </cell>
          <cell r="N407">
            <v>7.2621000000000002</v>
          </cell>
          <cell r="O407">
            <v>685.7520551906473</v>
          </cell>
          <cell r="P407">
            <v>323</v>
          </cell>
          <cell r="Q407">
            <v>80.968314950221014</v>
          </cell>
          <cell r="R407">
            <v>81.794522245631427</v>
          </cell>
          <cell r="S407">
            <v>197.48826244368814</v>
          </cell>
          <cell r="T407">
            <v>683.2510996395406</v>
          </cell>
          <cell r="U407">
            <v>4.5741247043797557</v>
          </cell>
        </row>
        <row r="408">
          <cell r="I408">
            <v>39460</v>
          </cell>
          <cell r="J408">
            <v>4980</v>
          </cell>
          <cell r="K408">
            <v>190</v>
          </cell>
          <cell r="L408">
            <v>840</v>
          </cell>
          <cell r="M408">
            <v>3300</v>
          </cell>
          <cell r="N408">
            <v>7.2621000000000002</v>
          </cell>
          <cell r="O408">
            <v>685.7520551906473</v>
          </cell>
          <cell r="P408">
            <v>323</v>
          </cell>
          <cell r="Q408">
            <v>80.968314950221014</v>
          </cell>
          <cell r="R408">
            <v>81.794522245631427</v>
          </cell>
          <cell r="S408">
            <v>197.48826244368814</v>
          </cell>
          <cell r="T408">
            <v>683.2510996395406</v>
          </cell>
          <cell r="U408">
            <v>4.113258147117449</v>
          </cell>
        </row>
        <row r="409">
          <cell r="I409">
            <v>39461</v>
          </cell>
          <cell r="J409">
            <v>4980</v>
          </cell>
          <cell r="K409">
            <v>190</v>
          </cell>
          <cell r="L409">
            <v>840</v>
          </cell>
          <cell r="M409">
            <v>3300</v>
          </cell>
          <cell r="N409">
            <v>7.2522000000000002</v>
          </cell>
          <cell r="O409">
            <v>686.68817738065684</v>
          </cell>
          <cell r="P409">
            <v>323</v>
          </cell>
          <cell r="Q409">
            <v>81.078845040125742</v>
          </cell>
          <cell r="R409">
            <v>81.906180193596427</v>
          </cell>
          <cell r="S409">
            <v>197.5919964657939</v>
          </cell>
          <cell r="T409">
            <v>683.57702169951608</v>
          </cell>
          <cell r="U409">
            <v>3.7114387504284423</v>
          </cell>
        </row>
        <row r="410">
          <cell r="I410">
            <v>39462</v>
          </cell>
          <cell r="J410">
            <v>4980</v>
          </cell>
          <cell r="K410">
            <v>190</v>
          </cell>
          <cell r="L410">
            <v>840</v>
          </cell>
          <cell r="M410">
            <v>3300</v>
          </cell>
          <cell r="N410">
            <v>7.2417999999999996</v>
          </cell>
          <cell r="O410">
            <v>687.67433511005561</v>
          </cell>
          <cell r="P410">
            <v>323</v>
          </cell>
          <cell r="Q410">
            <v>81.19528294070534</v>
          </cell>
          <cell r="R410">
            <v>82.023806236018672</v>
          </cell>
          <cell r="S410">
            <v>197.70127505014221</v>
          </cell>
          <cell r="T410">
            <v>683.92036422686624</v>
          </cell>
          <cell r="U410">
            <v>3.5192362409148927</v>
          </cell>
        </row>
        <row r="411">
          <cell r="I411">
            <v>39463</v>
          </cell>
          <cell r="J411">
            <v>4980</v>
          </cell>
          <cell r="K411">
            <v>190</v>
          </cell>
          <cell r="L411">
            <v>840</v>
          </cell>
          <cell r="M411">
            <v>3300</v>
          </cell>
          <cell r="N411">
            <v>7.2324999999999999</v>
          </cell>
          <cell r="O411">
            <v>688.55858969927408</v>
          </cell>
          <cell r="P411">
            <v>323</v>
          </cell>
          <cell r="Q411">
            <v>81.299688904251639</v>
          </cell>
          <cell r="R411">
            <v>82.129277566539926</v>
          </cell>
          <cell r="S411">
            <v>197.79926149473675</v>
          </cell>
          <cell r="T411">
            <v>684.22822796552828</v>
          </cell>
          <cell r="U411">
            <v>3.3698358599976928</v>
          </cell>
        </row>
        <row r="412">
          <cell r="I412">
            <v>39464</v>
          </cell>
          <cell r="J412">
            <v>4980</v>
          </cell>
          <cell r="K412">
            <v>190</v>
          </cell>
          <cell r="L412">
            <v>840</v>
          </cell>
          <cell r="M412">
            <v>3300</v>
          </cell>
          <cell r="N412">
            <v>7.2483000000000004</v>
          </cell>
          <cell r="O412">
            <v>687.05765489838996</v>
          </cell>
          <cell r="P412">
            <v>323</v>
          </cell>
          <cell r="Q412">
            <v>81.122470096436388</v>
          </cell>
          <cell r="R412">
            <v>81.950250403542896</v>
          </cell>
          <cell r="S412">
            <v>197.63293918609389</v>
          </cell>
          <cell r="T412">
            <v>683.7056596860732</v>
          </cell>
          <cell r="U412">
            <v>3.1500500233875073</v>
          </cell>
        </row>
        <row r="413">
          <cell r="I413">
            <v>39465</v>
          </cell>
          <cell r="J413">
            <v>4980</v>
          </cell>
          <cell r="K413">
            <v>190</v>
          </cell>
          <cell r="L413">
            <v>840</v>
          </cell>
          <cell r="M413">
            <v>3300</v>
          </cell>
          <cell r="N413">
            <v>7.2424999999999997</v>
          </cell>
          <cell r="O413">
            <v>687.60787021056262</v>
          </cell>
          <cell r="P413">
            <v>323</v>
          </cell>
          <cell r="Q413">
            <v>81.187435277873661</v>
          </cell>
          <cell r="R413">
            <v>82.015878494994823</v>
          </cell>
          <cell r="S413">
            <v>197.69390990975046</v>
          </cell>
          <cell r="T413">
            <v>683.89722368261891</v>
          </cell>
          <cell r="U413">
            <v>3.3228630200784437</v>
          </cell>
        </row>
        <row r="414">
          <cell r="I414">
            <v>39466</v>
          </cell>
          <cell r="J414">
            <v>4980</v>
          </cell>
          <cell r="K414">
            <v>190</v>
          </cell>
          <cell r="L414">
            <v>840</v>
          </cell>
          <cell r="M414">
            <v>3300</v>
          </cell>
          <cell r="N414">
            <v>7.2424999999999997</v>
          </cell>
          <cell r="O414">
            <v>687.60787021056262</v>
          </cell>
          <cell r="P414">
            <v>323</v>
          </cell>
          <cell r="Q414">
            <v>81.187435277873661</v>
          </cell>
          <cell r="R414">
            <v>82.015878494994823</v>
          </cell>
          <cell r="S414">
            <v>197.69390990975046</v>
          </cell>
          <cell r="T414">
            <v>683.89722368261891</v>
          </cell>
          <cell r="U414">
            <v>3.4956760167694938</v>
          </cell>
        </row>
        <row r="415">
          <cell r="I415">
            <v>39467</v>
          </cell>
          <cell r="J415">
            <v>4980</v>
          </cell>
          <cell r="K415">
            <v>190</v>
          </cell>
          <cell r="L415">
            <v>840</v>
          </cell>
          <cell r="M415">
            <v>3300</v>
          </cell>
          <cell r="N415">
            <v>7.2424999999999997</v>
          </cell>
          <cell r="O415">
            <v>687.60787021056262</v>
          </cell>
          <cell r="P415">
            <v>323</v>
          </cell>
          <cell r="Q415">
            <v>81.187435277873661</v>
          </cell>
          <cell r="R415">
            <v>82.015878494994823</v>
          </cell>
          <cell r="S415">
            <v>197.69390990975046</v>
          </cell>
          <cell r="T415">
            <v>683.89722368261891</v>
          </cell>
          <cell r="U415">
            <v>3.6684890134605439</v>
          </cell>
        </row>
        <row r="416">
          <cell r="I416">
            <v>39468</v>
          </cell>
          <cell r="J416">
            <v>4980</v>
          </cell>
          <cell r="K416">
            <v>190</v>
          </cell>
          <cell r="L416">
            <v>840</v>
          </cell>
          <cell r="M416">
            <v>3300</v>
          </cell>
          <cell r="N416">
            <v>7.2365000000000004</v>
          </cell>
          <cell r="O416">
            <v>688.17798659572998</v>
          </cell>
          <cell r="P416">
            <v>323</v>
          </cell>
          <cell r="Q416">
            <v>81.254750224556062</v>
          </cell>
          <cell r="R416">
            <v>82.08388032888827</v>
          </cell>
          <cell r="S416">
            <v>197.75708592067394</v>
          </cell>
          <cell r="T416">
            <v>684.09571647411826</v>
          </cell>
          <cell r="U416">
            <v>3.8072196478133264</v>
          </cell>
        </row>
        <row r="417">
          <cell r="I417">
            <v>39469</v>
          </cell>
          <cell r="J417">
            <v>4980</v>
          </cell>
          <cell r="K417">
            <v>190</v>
          </cell>
          <cell r="L417">
            <v>840</v>
          </cell>
          <cell r="M417">
            <v>3300</v>
          </cell>
          <cell r="N417">
            <v>7.2390999999999996</v>
          </cell>
          <cell r="O417">
            <v>687.93082012957416</v>
          </cell>
          <cell r="P417">
            <v>323</v>
          </cell>
          <cell r="Q417">
            <v>81.225566714094299</v>
          </cell>
          <cell r="R417">
            <v>82.054399027503422</v>
          </cell>
          <cell r="S417">
            <v>197.72969679141539</v>
          </cell>
          <cell r="T417">
            <v>684.00966253301317</v>
          </cell>
          <cell r="U417">
            <v>3.8311034640092885</v>
          </cell>
        </row>
        <row r="418">
          <cell r="I418">
            <v>39470</v>
          </cell>
          <cell r="J418">
            <v>4980</v>
          </cell>
          <cell r="K418">
            <v>190</v>
          </cell>
          <cell r="L418">
            <v>840</v>
          </cell>
          <cell r="M418">
            <v>3300</v>
          </cell>
          <cell r="N418">
            <v>7.2324000000000002</v>
          </cell>
          <cell r="O418">
            <v>688.56811017089763</v>
          </cell>
          <cell r="P418">
            <v>323</v>
          </cell>
          <cell r="Q418">
            <v>81.300813008130064</v>
          </cell>
          <cell r="R418">
            <v>82.130413140866096</v>
          </cell>
          <cell r="S418">
            <v>197.80031648181472</v>
          </cell>
          <cell r="T418">
            <v>684.23154263081085</v>
          </cell>
          <cell r="U418">
            <v>3.8319900077726743</v>
          </cell>
        </row>
        <row r="419">
          <cell r="I419">
            <v>39471</v>
          </cell>
          <cell r="J419">
            <v>4980</v>
          </cell>
          <cell r="K419">
            <v>190</v>
          </cell>
          <cell r="L419">
            <v>840</v>
          </cell>
          <cell r="M419">
            <v>3300</v>
          </cell>
          <cell r="N419">
            <v>7.2279999999999998</v>
          </cell>
          <cell r="O419">
            <v>688.98727172108465</v>
          </cell>
          <cell r="P419">
            <v>323</v>
          </cell>
          <cell r="Q419">
            <v>81.350304371887106</v>
          </cell>
          <cell r="R419">
            <v>82.180409518539008</v>
          </cell>
          <cell r="S419">
            <v>197.8467648130017</v>
          </cell>
          <cell r="T419">
            <v>684.37747870342787</v>
          </cell>
          <cell r="U419">
            <v>4.0116754085354387</v>
          </cell>
        </row>
        <row r="420">
          <cell r="I420">
            <v>39472</v>
          </cell>
          <cell r="J420">
            <v>4980</v>
          </cell>
          <cell r="K420">
            <v>182.5</v>
          </cell>
          <cell r="L420">
            <v>840</v>
          </cell>
          <cell r="M420">
            <v>3300</v>
          </cell>
          <cell r="N420">
            <v>7.2103000000000002</v>
          </cell>
          <cell r="O420">
            <v>690.6786125403936</v>
          </cell>
          <cell r="P420">
            <v>310.25</v>
          </cell>
          <cell r="Q420">
            <v>81.550004854166957</v>
          </cell>
          <cell r="R420">
            <v>82.382147760842116</v>
          </cell>
          <cell r="S420">
            <v>199.88675058744906</v>
          </cell>
          <cell r="T420">
            <v>674.06890320245816</v>
          </cell>
          <cell r="U420">
            <v>5.8543986671055563</v>
          </cell>
        </row>
        <row r="421">
          <cell r="I421">
            <v>39473</v>
          </cell>
          <cell r="J421">
            <v>4980</v>
          </cell>
          <cell r="K421">
            <v>182.5</v>
          </cell>
          <cell r="L421">
            <v>840</v>
          </cell>
          <cell r="M421">
            <v>3300</v>
          </cell>
          <cell r="N421">
            <v>7.2103000000000002</v>
          </cell>
          <cell r="O421">
            <v>690.6786125403936</v>
          </cell>
          <cell r="P421">
            <v>310.25</v>
          </cell>
          <cell r="Q421">
            <v>81.550004854166957</v>
          </cell>
          <cell r="R421">
            <v>82.382147760842116</v>
          </cell>
          <cell r="S421">
            <v>199.88675058744906</v>
          </cell>
          <cell r="T421">
            <v>674.06890320245816</v>
          </cell>
          <cell r="U421">
            <v>7.697121925675674</v>
          </cell>
        </row>
        <row r="422">
          <cell r="I422">
            <v>39474</v>
          </cell>
          <cell r="J422">
            <v>4980</v>
          </cell>
          <cell r="K422">
            <v>182.5</v>
          </cell>
          <cell r="L422">
            <v>840</v>
          </cell>
          <cell r="M422">
            <v>3300</v>
          </cell>
          <cell r="N422">
            <v>7.2103000000000002</v>
          </cell>
          <cell r="O422">
            <v>690.6786125403936</v>
          </cell>
          <cell r="P422">
            <v>310.25</v>
          </cell>
          <cell r="Q422">
            <v>81.550004854166957</v>
          </cell>
          <cell r="R422">
            <v>82.382147760842116</v>
          </cell>
          <cell r="S422">
            <v>199.88675058744906</v>
          </cell>
          <cell r="T422">
            <v>674.06890320245816</v>
          </cell>
          <cell r="U422">
            <v>9.5398451842459053</v>
          </cell>
        </row>
        <row r="423">
          <cell r="I423">
            <v>39475</v>
          </cell>
          <cell r="J423">
            <v>4980</v>
          </cell>
          <cell r="K423">
            <v>182.5</v>
          </cell>
          <cell r="L423">
            <v>840</v>
          </cell>
          <cell r="M423">
            <v>3300</v>
          </cell>
          <cell r="N423">
            <v>7.1966999999999999</v>
          </cell>
          <cell r="O423">
            <v>691.98382592021346</v>
          </cell>
          <cell r="P423">
            <v>310.25</v>
          </cell>
          <cell r="Q423">
            <v>81.704114385760136</v>
          </cell>
          <cell r="R423">
            <v>82.53782983867606</v>
          </cell>
          <cell r="S423">
            <v>200.03138451989929</v>
          </cell>
          <cell r="T423">
            <v>674.52332874433546</v>
          </cell>
          <cell r="U423">
            <v>11.451020477712632</v>
          </cell>
        </row>
        <row r="424">
          <cell r="I424">
            <v>39476</v>
          </cell>
          <cell r="J424">
            <v>4980</v>
          </cell>
          <cell r="K424">
            <v>182.5</v>
          </cell>
          <cell r="L424">
            <v>840</v>
          </cell>
          <cell r="M424">
            <v>3300</v>
          </cell>
          <cell r="N424">
            <v>7.1942000000000004</v>
          </cell>
          <cell r="O424">
            <v>692.22429179060907</v>
          </cell>
          <cell r="P424">
            <v>310.25</v>
          </cell>
          <cell r="Q424">
            <v>81.732506741541783</v>
          </cell>
          <cell r="R424">
            <v>82.566511912373855</v>
          </cell>
          <cell r="S424">
            <v>200.05803113951958</v>
          </cell>
          <cell r="T424">
            <v>674.60704979343518</v>
          </cell>
          <cell r="U424">
            <v>13.407603963514589</v>
          </cell>
        </row>
        <row r="425">
          <cell r="I425">
            <v>39477</v>
          </cell>
          <cell r="J425">
            <v>4980</v>
          </cell>
          <cell r="K425">
            <v>182.5</v>
          </cell>
          <cell r="L425">
            <v>840</v>
          </cell>
          <cell r="M425">
            <v>3300</v>
          </cell>
          <cell r="N425">
            <v>7.1914999999999996</v>
          </cell>
          <cell r="O425">
            <v>692.48418271570608</v>
          </cell>
          <cell r="P425">
            <v>310.25</v>
          </cell>
          <cell r="Q425">
            <v>81.763192657999028</v>
          </cell>
          <cell r="R425">
            <v>82.597510950427591</v>
          </cell>
          <cell r="S425">
            <v>200.08683029763887</v>
          </cell>
          <cell r="T425">
            <v>674.69753390606547</v>
          </cell>
          <cell r="U425">
            <v>15.32904414487939</v>
          </cell>
        </row>
        <row r="426">
          <cell r="I426">
            <v>39478</v>
          </cell>
          <cell r="J426">
            <v>4980</v>
          </cell>
          <cell r="K426">
            <v>182.5</v>
          </cell>
          <cell r="L426">
            <v>863</v>
          </cell>
          <cell r="M426">
            <v>3300</v>
          </cell>
          <cell r="N426">
            <v>7.1818</v>
          </cell>
          <cell r="O426">
            <v>693.41947701133427</v>
          </cell>
          <cell r="P426">
            <v>310.25</v>
          </cell>
          <cell r="Q426">
            <v>84.115402823804615</v>
          </cell>
          <cell r="R426">
            <v>82.709070149544672</v>
          </cell>
          <cell r="S426">
            <v>199.86474417645934</v>
          </cell>
          <cell r="T426">
            <v>676.93921714980866</v>
          </cell>
          <cell r="U426">
            <v>17.024825122574839</v>
          </cell>
        </row>
        <row r="427">
          <cell r="I427">
            <v>39479</v>
          </cell>
          <cell r="J427">
            <v>4980</v>
          </cell>
          <cell r="K427">
            <v>182.5</v>
          </cell>
          <cell r="L427">
            <v>863</v>
          </cell>
          <cell r="M427">
            <v>3300</v>
          </cell>
          <cell r="N427">
            <v>7.1862000000000004</v>
          </cell>
          <cell r="O427">
            <v>692.99490690490097</v>
          </cell>
          <cell r="P427">
            <v>310.25</v>
          </cell>
          <cell r="Q427">
            <v>84.063900253263199</v>
          </cell>
          <cell r="R427">
            <v>82.65842865492192</v>
          </cell>
          <cell r="S427">
            <v>199.81789594824079</v>
          </cell>
          <cell r="T427">
            <v>676.79022485642599</v>
          </cell>
          <cell r="U427">
            <v>16.966964081223409</v>
          </cell>
        </row>
        <row r="428">
          <cell r="I428">
            <v>39480</v>
          </cell>
          <cell r="J428">
            <v>4980</v>
          </cell>
          <cell r="K428">
            <v>182.5</v>
          </cell>
          <cell r="L428">
            <v>863</v>
          </cell>
          <cell r="M428">
            <v>3300</v>
          </cell>
          <cell r="N428">
            <v>7.1862000000000004</v>
          </cell>
          <cell r="O428">
            <v>692.99490690490097</v>
          </cell>
          <cell r="P428">
            <v>310.25</v>
          </cell>
          <cell r="Q428">
            <v>84.063900253263199</v>
          </cell>
          <cell r="R428">
            <v>82.65842865492192</v>
          </cell>
          <cell r="S428">
            <v>199.81789594824079</v>
          </cell>
          <cell r="T428">
            <v>676.79022485642599</v>
          </cell>
          <cell r="U428">
            <v>16.909103039871979</v>
          </cell>
        </row>
        <row r="429">
          <cell r="I429">
            <v>39481</v>
          </cell>
          <cell r="J429">
            <v>4980</v>
          </cell>
          <cell r="K429">
            <v>182.5</v>
          </cell>
          <cell r="L429">
            <v>863</v>
          </cell>
          <cell r="M429">
            <v>3300</v>
          </cell>
          <cell r="N429">
            <v>7.1862000000000004</v>
          </cell>
          <cell r="O429">
            <v>692.99490690490097</v>
          </cell>
          <cell r="P429">
            <v>310.25</v>
          </cell>
          <cell r="Q429">
            <v>84.063900253263199</v>
          </cell>
          <cell r="R429">
            <v>82.65842865492192</v>
          </cell>
          <cell r="S429">
            <v>199.81789594824079</v>
          </cell>
          <cell r="T429">
            <v>676.79022485642599</v>
          </cell>
          <cell r="U429">
            <v>16.851241998520209</v>
          </cell>
        </row>
        <row r="430">
          <cell r="I430">
            <v>39482</v>
          </cell>
          <cell r="J430">
            <v>4980</v>
          </cell>
          <cell r="K430">
            <v>182.5</v>
          </cell>
          <cell r="L430">
            <v>863</v>
          </cell>
          <cell r="M430">
            <v>3300</v>
          </cell>
          <cell r="N430">
            <v>7.1885000000000003</v>
          </cell>
          <cell r="O430">
            <v>692.7731793837379</v>
          </cell>
          <cell r="P430">
            <v>310.25</v>
          </cell>
          <cell r="Q430">
            <v>84.037003547332532</v>
          </cell>
          <cell r="R430">
            <v>82.631981637337404</v>
          </cell>
          <cell r="S430">
            <v>199.79342992636032</v>
          </cell>
          <cell r="T430">
            <v>676.71241511103017</v>
          </cell>
          <cell r="U430">
            <v>16.651280155210316</v>
          </cell>
        </row>
        <row r="431">
          <cell r="I431">
            <v>39483</v>
          </cell>
          <cell r="J431">
            <v>4980</v>
          </cell>
          <cell r="K431">
            <v>182.5</v>
          </cell>
          <cell r="L431">
            <v>863</v>
          </cell>
          <cell r="M431">
            <v>3350</v>
          </cell>
          <cell r="N431">
            <v>7.1840999999999999</v>
          </cell>
          <cell r="O431">
            <v>693.1974777633942</v>
          </cell>
          <cell r="P431">
            <v>310.25</v>
          </cell>
          <cell r="Q431">
            <v>84.088473155997264</v>
          </cell>
          <cell r="R431">
            <v>83.935357247254345</v>
          </cell>
          <cell r="S431">
            <v>199.65822226600369</v>
          </cell>
          <cell r="T431">
            <v>677.9320526692552</v>
          </cell>
          <cell r="U431">
            <v>16.315306311919699</v>
          </cell>
        </row>
        <row r="432">
          <cell r="I432">
            <v>39484</v>
          </cell>
          <cell r="J432">
            <v>4980</v>
          </cell>
          <cell r="K432">
            <v>182.5</v>
          </cell>
          <cell r="L432">
            <v>863</v>
          </cell>
          <cell r="M432">
            <v>3350</v>
          </cell>
          <cell r="N432">
            <v>7.1840000000000002</v>
          </cell>
          <cell r="O432">
            <v>693.207126948775</v>
          </cell>
          <cell r="P432">
            <v>310.25</v>
          </cell>
          <cell r="Q432">
            <v>84.089643652561236</v>
          </cell>
          <cell r="R432">
            <v>83.936525612472153</v>
          </cell>
          <cell r="S432">
            <v>199.65928444977442</v>
          </cell>
          <cell r="T432">
            <v>677.93545371480786</v>
          </cell>
          <cell r="U432">
            <v>15.956024086823504</v>
          </cell>
        </row>
        <row r="433">
          <cell r="I433">
            <v>39485</v>
          </cell>
          <cell r="J433">
            <v>4980</v>
          </cell>
          <cell r="K433">
            <v>182.5</v>
          </cell>
          <cell r="L433">
            <v>863</v>
          </cell>
          <cell r="M433">
            <v>3350</v>
          </cell>
          <cell r="N433">
            <v>7.1840000000000002</v>
          </cell>
          <cell r="O433">
            <v>693.207126948775</v>
          </cell>
          <cell r="P433">
            <v>310.25</v>
          </cell>
          <cell r="Q433">
            <v>84.089643652561236</v>
          </cell>
          <cell r="R433">
            <v>83.936525612472153</v>
          </cell>
          <cell r="S433">
            <v>199.65928444977442</v>
          </cell>
          <cell r="T433">
            <v>677.93545371480786</v>
          </cell>
          <cell r="U433">
            <v>15.783368854315086</v>
          </cell>
        </row>
        <row r="434">
          <cell r="I434">
            <v>39486</v>
          </cell>
          <cell r="J434">
            <v>4980</v>
          </cell>
          <cell r="K434">
            <v>182.5</v>
          </cell>
          <cell r="L434">
            <v>863</v>
          </cell>
          <cell r="M434">
            <v>3350</v>
          </cell>
          <cell r="N434">
            <v>7.1840000000000002</v>
          </cell>
          <cell r="O434">
            <v>693.207126948775</v>
          </cell>
          <cell r="P434">
            <v>310.25</v>
          </cell>
          <cell r="Q434">
            <v>84.089643652561236</v>
          </cell>
          <cell r="R434">
            <v>83.936525612472153</v>
          </cell>
          <cell r="S434">
            <v>199.65928444977442</v>
          </cell>
          <cell r="T434">
            <v>677.93545371480786</v>
          </cell>
          <cell r="U434">
            <v>15.6500818808139</v>
          </cell>
        </row>
        <row r="435">
          <cell r="I435">
            <v>39487</v>
          </cell>
          <cell r="J435">
            <v>4980</v>
          </cell>
          <cell r="K435">
            <v>182.5</v>
          </cell>
          <cell r="L435">
            <v>863</v>
          </cell>
          <cell r="M435">
            <v>3350</v>
          </cell>
          <cell r="N435">
            <v>7.1840000000000002</v>
          </cell>
          <cell r="O435">
            <v>693.207126948775</v>
          </cell>
          <cell r="P435">
            <v>310.25</v>
          </cell>
          <cell r="Q435">
            <v>84.089643652561236</v>
          </cell>
          <cell r="R435">
            <v>83.936525612472153</v>
          </cell>
          <cell r="S435">
            <v>199.65928444977442</v>
          </cell>
          <cell r="T435">
            <v>677.93545371480786</v>
          </cell>
          <cell r="U435">
            <v>15.516794907313056</v>
          </cell>
        </row>
        <row r="436">
          <cell r="I436">
            <v>39488</v>
          </cell>
          <cell r="J436">
            <v>4980</v>
          </cell>
          <cell r="K436">
            <v>182.5</v>
          </cell>
          <cell r="L436">
            <v>863</v>
          </cell>
          <cell r="M436">
            <v>3350</v>
          </cell>
          <cell r="N436">
            <v>7.1840000000000002</v>
          </cell>
          <cell r="O436">
            <v>693.207126948775</v>
          </cell>
          <cell r="P436">
            <v>310.25</v>
          </cell>
          <cell r="Q436">
            <v>84.089643652561236</v>
          </cell>
          <cell r="R436">
            <v>83.936525612472153</v>
          </cell>
          <cell r="S436">
            <v>199.65928444977442</v>
          </cell>
          <cell r="T436">
            <v>677.93545371480786</v>
          </cell>
          <cell r="U436">
            <v>15.38350793381187</v>
          </cell>
        </row>
        <row r="437">
          <cell r="I437">
            <v>39489</v>
          </cell>
          <cell r="J437">
            <v>4980</v>
          </cell>
          <cell r="K437">
            <v>182.5</v>
          </cell>
          <cell r="L437">
            <v>863</v>
          </cell>
          <cell r="M437">
            <v>3350</v>
          </cell>
          <cell r="N437">
            <v>7.1840000000000002</v>
          </cell>
          <cell r="O437">
            <v>693.207126948775</v>
          </cell>
          <cell r="P437">
            <v>310.25</v>
          </cell>
          <cell r="Q437">
            <v>84.089643652561236</v>
          </cell>
          <cell r="R437">
            <v>83.936525612472153</v>
          </cell>
          <cell r="S437">
            <v>199.65928444977442</v>
          </cell>
          <cell r="T437">
            <v>677.93545371480786</v>
          </cell>
          <cell r="U437">
            <v>15.270780642563295</v>
          </cell>
        </row>
        <row r="438">
          <cell r="I438">
            <v>39490</v>
          </cell>
          <cell r="J438">
            <v>4980</v>
          </cell>
          <cell r="K438">
            <v>182.5</v>
          </cell>
          <cell r="L438">
            <v>863</v>
          </cell>
          <cell r="M438">
            <v>3350</v>
          </cell>
          <cell r="N438">
            <v>7.1844999999999999</v>
          </cell>
          <cell r="O438">
            <v>693.15888370798245</v>
          </cell>
          <cell r="P438">
            <v>310.25</v>
          </cell>
          <cell r="Q438">
            <v>84.083791495580755</v>
          </cell>
          <cell r="R438">
            <v>83.930684111629191</v>
          </cell>
          <cell r="S438">
            <v>199.65397382660797</v>
          </cell>
          <cell r="T438">
            <v>677.91844943381784</v>
          </cell>
          <cell r="U438">
            <v>15.26721052542382</v>
          </cell>
        </row>
        <row r="439">
          <cell r="I439">
            <v>39491</v>
          </cell>
          <cell r="J439">
            <v>4980</v>
          </cell>
          <cell r="K439">
            <v>182.5</v>
          </cell>
          <cell r="L439">
            <v>863</v>
          </cell>
          <cell r="M439">
            <v>3350</v>
          </cell>
          <cell r="N439">
            <v>7.1974</v>
          </cell>
          <cell r="O439">
            <v>691.91652541195435</v>
          </cell>
          <cell r="P439">
            <v>310.25</v>
          </cell>
          <cell r="Q439">
            <v>83.933086948064584</v>
          </cell>
          <cell r="R439">
            <v>83.780253980604101</v>
          </cell>
          <cell r="S439">
            <v>199.51721483945181</v>
          </cell>
          <cell r="T439">
            <v>677.48055576812044</v>
          </cell>
          <cell r="U439">
            <v>15.14782429826198</v>
          </cell>
        </row>
        <row r="440">
          <cell r="I440">
            <v>39492</v>
          </cell>
          <cell r="J440">
            <v>4980</v>
          </cell>
          <cell r="K440">
            <v>182.5</v>
          </cell>
          <cell r="L440">
            <v>863</v>
          </cell>
          <cell r="M440">
            <v>3350</v>
          </cell>
          <cell r="N440">
            <v>7.1905000000000001</v>
          </cell>
          <cell r="O440">
            <v>692.58048814407903</v>
          </cell>
          <cell r="P440">
            <v>310.25</v>
          </cell>
          <cell r="Q440">
            <v>84.013629093943393</v>
          </cell>
          <cell r="R440">
            <v>83.860649468048123</v>
          </cell>
          <cell r="S440">
            <v>199.59030395637171</v>
          </cell>
          <cell r="T440">
            <v>677.71458251836316</v>
          </cell>
          <cell r="U440">
            <v>15.089857497083244</v>
          </cell>
        </row>
        <row r="441">
          <cell r="I441">
            <v>39493</v>
          </cell>
          <cell r="J441">
            <v>4980</v>
          </cell>
          <cell r="K441">
            <v>182.5</v>
          </cell>
          <cell r="L441">
            <v>863</v>
          </cell>
          <cell r="M441">
            <v>3350</v>
          </cell>
          <cell r="N441">
            <v>7.1824000000000003</v>
          </cell>
          <cell r="O441">
            <v>693.36155045667181</v>
          </cell>
          <cell r="P441">
            <v>310.25</v>
          </cell>
          <cell r="Q441">
            <v>84.10837603029627</v>
          </cell>
          <cell r="R441">
            <v>83.955223880597018</v>
          </cell>
          <cell r="S441">
            <v>199.67628341263446</v>
          </cell>
          <cell r="T441">
            <v>677.98988332352769</v>
          </cell>
          <cell r="U441">
            <v>15.104142339822829</v>
          </cell>
        </row>
        <row r="442">
          <cell r="I442">
            <v>39494</v>
          </cell>
          <cell r="J442">
            <v>4980</v>
          </cell>
          <cell r="K442">
            <v>182.5</v>
          </cell>
          <cell r="L442">
            <v>863</v>
          </cell>
          <cell r="M442">
            <v>3350</v>
          </cell>
          <cell r="N442">
            <v>7.1824000000000003</v>
          </cell>
          <cell r="O442">
            <v>693.36155045667181</v>
          </cell>
          <cell r="P442">
            <v>310.25</v>
          </cell>
          <cell r="Q442">
            <v>84.10837603029627</v>
          </cell>
          <cell r="R442">
            <v>83.955223880597018</v>
          </cell>
          <cell r="S442">
            <v>199.67628341263446</v>
          </cell>
          <cell r="T442">
            <v>677.98988332352769</v>
          </cell>
          <cell r="U442">
            <v>15.118427182562527</v>
          </cell>
        </row>
        <row r="443">
          <cell r="I443">
            <v>39495</v>
          </cell>
          <cell r="J443">
            <v>4980</v>
          </cell>
          <cell r="K443">
            <v>182.5</v>
          </cell>
          <cell r="L443">
            <v>863</v>
          </cell>
          <cell r="M443">
            <v>3350</v>
          </cell>
          <cell r="N443">
            <v>7.1824000000000003</v>
          </cell>
          <cell r="O443">
            <v>693.36155045667181</v>
          </cell>
          <cell r="P443">
            <v>310.25</v>
          </cell>
          <cell r="Q443">
            <v>84.10837603029627</v>
          </cell>
          <cell r="R443">
            <v>83.955223880597018</v>
          </cell>
          <cell r="S443">
            <v>199.67628341263446</v>
          </cell>
          <cell r="T443">
            <v>677.98988332352769</v>
          </cell>
          <cell r="U443">
            <v>15.132712025302112</v>
          </cell>
        </row>
        <row r="444">
          <cell r="I444">
            <v>39496</v>
          </cell>
          <cell r="J444">
            <v>5120</v>
          </cell>
          <cell r="K444">
            <v>182.5</v>
          </cell>
          <cell r="L444">
            <v>863</v>
          </cell>
          <cell r="M444">
            <v>3350</v>
          </cell>
          <cell r="N444">
            <v>7.1623000000000001</v>
          </cell>
          <cell r="O444">
            <v>714.85416695754157</v>
          </cell>
          <cell r="P444">
            <v>310.25</v>
          </cell>
          <cell r="Q444">
            <v>84.34441450372087</v>
          </cell>
          <cell r="R444">
            <v>84.190832553788582</v>
          </cell>
          <cell r="S444">
            <v>202.7306122931671</v>
          </cell>
          <cell r="T444">
            <v>681.51585935067658</v>
          </cell>
          <cell r="U444">
            <v>17.713659792858948</v>
          </cell>
        </row>
        <row r="445">
          <cell r="I445">
            <v>39497</v>
          </cell>
          <cell r="J445">
            <v>5120</v>
          </cell>
          <cell r="K445">
            <v>182.5</v>
          </cell>
          <cell r="L445">
            <v>863</v>
          </cell>
          <cell r="M445">
            <v>3350</v>
          </cell>
          <cell r="N445">
            <v>7.1565000000000003</v>
          </cell>
          <cell r="O445">
            <v>715.43352197303147</v>
          </cell>
          <cell r="P445">
            <v>310.25</v>
          </cell>
          <cell r="Q445">
            <v>84.412771606232099</v>
          </cell>
          <cell r="R445">
            <v>84.2590651854957</v>
          </cell>
          <cell r="S445">
            <v>202.79494571010389</v>
          </cell>
          <cell r="T445">
            <v>681.71678250183174</v>
          </cell>
          <cell r="U445">
            <v>20.353131963863916</v>
          </cell>
        </row>
        <row r="446">
          <cell r="I446">
            <v>39498</v>
          </cell>
          <cell r="J446">
            <v>5180</v>
          </cell>
          <cell r="K446">
            <v>182.5</v>
          </cell>
          <cell r="L446">
            <v>863</v>
          </cell>
          <cell r="M446">
            <v>3350</v>
          </cell>
          <cell r="N446">
            <v>7.1439000000000004</v>
          </cell>
          <cell r="O446">
            <v>725.09413625610659</v>
          </cell>
          <cell r="P446">
            <v>310.25</v>
          </cell>
          <cell r="Q446">
            <v>84.561653998516206</v>
          </cell>
          <cell r="R446">
            <v>84.407676479234027</v>
          </cell>
          <cell r="S446">
            <v>204.15539913018853</v>
          </cell>
          <cell r="T446">
            <v>683.37472960793866</v>
          </cell>
          <cell r="U446">
            <v>24.250765821625805</v>
          </cell>
        </row>
        <row r="447">
          <cell r="I447">
            <v>39499</v>
          </cell>
          <cell r="J447">
            <v>5250</v>
          </cell>
          <cell r="K447">
            <v>182.5</v>
          </cell>
          <cell r="L447">
            <v>863</v>
          </cell>
          <cell r="M447">
            <v>3350</v>
          </cell>
          <cell r="N447">
            <v>7.1422999999999996</v>
          </cell>
          <cell r="O447">
            <v>735.05733447208888</v>
          </cell>
          <cell r="P447">
            <v>310.25</v>
          </cell>
          <cell r="Q447">
            <v>84.580597286588343</v>
          </cell>
          <cell r="R447">
            <v>84.426585273651341</v>
          </cell>
          <cell r="S447">
            <v>205.59754344018324</v>
          </cell>
          <cell r="T447">
            <v>684.85472600042294</v>
          </cell>
          <cell r="U447">
            <v>29.29886622819015</v>
          </cell>
        </row>
        <row r="448">
          <cell r="I448">
            <v>39500</v>
          </cell>
          <cell r="J448">
            <v>5250</v>
          </cell>
          <cell r="K448">
            <v>182.5</v>
          </cell>
          <cell r="L448">
            <v>863</v>
          </cell>
          <cell r="M448">
            <v>3350</v>
          </cell>
          <cell r="N448">
            <v>7.1417999999999999</v>
          </cell>
          <cell r="O448">
            <v>735.10879610182303</v>
          </cell>
          <cell r="P448">
            <v>310.25</v>
          </cell>
          <cell r="Q448">
            <v>84.586518804783097</v>
          </cell>
          <cell r="R448">
            <v>84.432496009409391</v>
          </cell>
          <cell r="S448">
            <v>205.60330155461298</v>
          </cell>
          <cell r="T448">
            <v>684.87231636880551</v>
          </cell>
          <cell r="U448">
            <v>34.279553742457779</v>
          </cell>
        </row>
        <row r="449">
          <cell r="I449">
            <v>39501</v>
          </cell>
          <cell r="J449">
            <v>5250</v>
          </cell>
          <cell r="K449">
            <v>182.5</v>
          </cell>
          <cell r="L449">
            <v>863</v>
          </cell>
          <cell r="M449">
            <v>3350</v>
          </cell>
          <cell r="N449">
            <v>7.1417999999999999</v>
          </cell>
          <cell r="O449">
            <v>735.10879610182303</v>
          </cell>
          <cell r="P449">
            <v>310.25</v>
          </cell>
          <cell r="Q449">
            <v>84.586518804783097</v>
          </cell>
          <cell r="R449">
            <v>84.432496009409391</v>
          </cell>
          <cell r="S449">
            <v>205.60330155461298</v>
          </cell>
          <cell r="T449">
            <v>684.87231636880551</v>
          </cell>
          <cell r="U449">
            <v>39.260241256725408</v>
          </cell>
        </row>
        <row r="450">
          <cell r="I450">
            <v>39502</v>
          </cell>
          <cell r="J450">
            <v>5250</v>
          </cell>
          <cell r="K450">
            <v>182.5</v>
          </cell>
          <cell r="L450">
            <v>863</v>
          </cell>
          <cell r="M450">
            <v>3350</v>
          </cell>
          <cell r="N450">
            <v>7.1417999999999999</v>
          </cell>
          <cell r="O450">
            <v>735.10879610182303</v>
          </cell>
          <cell r="P450">
            <v>310.25</v>
          </cell>
          <cell r="Q450">
            <v>84.586518804783097</v>
          </cell>
          <cell r="R450">
            <v>84.432496009409391</v>
          </cell>
          <cell r="S450">
            <v>205.60330155461298</v>
          </cell>
          <cell r="T450">
            <v>684.87231636880551</v>
          </cell>
          <cell r="U450">
            <v>44.240928770992923</v>
          </cell>
        </row>
        <row r="451">
          <cell r="I451">
            <v>39503</v>
          </cell>
          <cell r="J451">
            <v>5250</v>
          </cell>
          <cell r="K451">
            <v>182.5</v>
          </cell>
          <cell r="L451">
            <v>863</v>
          </cell>
          <cell r="M451">
            <v>3350</v>
          </cell>
          <cell r="N451">
            <v>7.1559999999999997</v>
          </cell>
          <cell r="O451">
            <v>733.65008384572388</v>
          </cell>
          <cell r="P451">
            <v>310.25</v>
          </cell>
          <cell r="Q451">
            <v>84.418669647847949</v>
          </cell>
          <cell r="R451">
            <v>84.264952487423145</v>
          </cell>
          <cell r="S451">
            <v>205.44008418015119</v>
          </cell>
          <cell r="T451">
            <v>684.37370631542228</v>
          </cell>
          <cell r="U451">
            <v>46.517795902912439</v>
          </cell>
        </row>
        <row r="452">
          <cell r="I452">
            <v>39504</v>
          </cell>
          <cell r="J452">
            <v>5350</v>
          </cell>
          <cell r="K452">
            <v>182.5</v>
          </cell>
          <cell r="L452">
            <v>863</v>
          </cell>
          <cell r="M452">
            <v>3350</v>
          </cell>
          <cell r="N452">
            <v>7.1581000000000001</v>
          </cell>
          <cell r="O452">
            <v>747.40503764965558</v>
          </cell>
          <cell r="P452">
            <v>310.25</v>
          </cell>
          <cell r="Q452">
            <v>84.393903410122789</v>
          </cell>
          <cell r="R452">
            <v>84.24023134630697</v>
          </cell>
          <cell r="S452">
            <v>207.44585768534051</v>
          </cell>
          <cell r="T452">
            <v>686.32999244177029</v>
          </cell>
          <cell r="U452">
            <v>50.426125293867472</v>
          </cell>
        </row>
        <row r="453">
          <cell r="I453">
            <v>39505</v>
          </cell>
          <cell r="J453">
            <v>5350</v>
          </cell>
          <cell r="K453">
            <v>182.5</v>
          </cell>
          <cell r="L453">
            <v>863</v>
          </cell>
          <cell r="M453">
            <v>3350</v>
          </cell>
          <cell r="N453">
            <v>7.1420000000000003</v>
          </cell>
          <cell r="O453">
            <v>749.08989078689444</v>
          </cell>
          <cell r="P453">
            <v>310.25</v>
          </cell>
          <cell r="Q453">
            <v>84.584150098011762</v>
          </cell>
          <cell r="R453">
            <v>84.430131615793883</v>
          </cell>
          <cell r="S453">
            <v>207.63543037814111</v>
          </cell>
          <cell r="T453">
            <v>686.89971209194675</v>
          </cell>
          <cell r="U453">
            <v>53.350521300550326</v>
          </cell>
        </row>
        <row r="454">
          <cell r="I454">
            <v>39506</v>
          </cell>
          <cell r="J454">
            <v>5430</v>
          </cell>
          <cell r="K454">
            <v>182.5</v>
          </cell>
          <cell r="L454">
            <v>863</v>
          </cell>
          <cell r="M454">
            <v>3350</v>
          </cell>
          <cell r="N454">
            <v>7.1134000000000004</v>
          </cell>
          <cell r="O454">
            <v>763.34804734726004</v>
          </cell>
          <cell r="P454">
            <v>310.25</v>
          </cell>
          <cell r="Q454">
            <v>84.924227514268836</v>
          </cell>
          <cell r="R454">
            <v>84.769589788286893</v>
          </cell>
          <cell r="S454">
            <v>209.60839239965787</v>
          </cell>
          <cell r="T454">
            <v>689.55220970221364</v>
          </cell>
          <cell r="U454">
            <v>56.720982611033378</v>
          </cell>
        </row>
        <row r="455">
          <cell r="I455">
            <v>39507</v>
          </cell>
          <cell r="J455">
            <v>5350</v>
          </cell>
          <cell r="K455">
            <v>197.5</v>
          </cell>
          <cell r="L455">
            <v>863</v>
          </cell>
          <cell r="M455">
            <v>3350</v>
          </cell>
          <cell r="N455">
            <v>7.1108000000000002</v>
          </cell>
          <cell r="O455">
            <v>752.37666647915842</v>
          </cell>
          <cell r="P455">
            <v>335.75</v>
          </cell>
          <cell r="Q455">
            <v>84.955279293469076</v>
          </cell>
          <cell r="R455">
            <v>84.80058502559487</v>
          </cell>
          <cell r="S455">
            <v>204.30011655317617</v>
          </cell>
          <cell r="T455">
            <v>709.80598087224007</v>
          </cell>
          <cell r="U455">
            <v>55.625869164447863</v>
          </cell>
        </row>
        <row r="456">
          <cell r="I456">
            <v>39508</v>
          </cell>
          <cell r="J456">
            <v>5350</v>
          </cell>
          <cell r="K456">
            <v>197.5</v>
          </cell>
          <cell r="L456">
            <v>863</v>
          </cell>
          <cell r="M456">
            <v>3350</v>
          </cell>
          <cell r="N456">
            <v>7.1108000000000002</v>
          </cell>
          <cell r="O456">
            <v>752.37666647915842</v>
          </cell>
          <cell r="P456">
            <v>335.75</v>
          </cell>
          <cell r="Q456">
            <v>84.955279293469076</v>
          </cell>
          <cell r="R456">
            <v>84.80058502559487</v>
          </cell>
          <cell r="S456">
            <v>204.30011655317617</v>
          </cell>
          <cell r="T456">
            <v>709.80598087224007</v>
          </cell>
          <cell r="U456">
            <v>54.530755717862235</v>
          </cell>
        </row>
        <row r="457">
          <cell r="I457">
            <v>39509</v>
          </cell>
          <cell r="J457">
            <v>5350</v>
          </cell>
          <cell r="K457">
            <v>197.5</v>
          </cell>
          <cell r="L457">
            <v>863</v>
          </cell>
          <cell r="M457">
            <v>3350</v>
          </cell>
          <cell r="N457">
            <v>7.1108000000000002</v>
          </cell>
          <cell r="O457">
            <v>752.37666647915842</v>
          </cell>
          <cell r="P457">
            <v>335.75</v>
          </cell>
          <cell r="Q457">
            <v>84.955279293469076</v>
          </cell>
          <cell r="R457">
            <v>84.80058502559487</v>
          </cell>
          <cell r="S457">
            <v>204.30011655317617</v>
          </cell>
          <cell r="T457">
            <v>709.80598087224007</v>
          </cell>
          <cell r="U457">
            <v>53.435642271276606</v>
          </cell>
        </row>
        <row r="458">
          <cell r="I458">
            <v>39510</v>
          </cell>
          <cell r="J458">
            <v>5450</v>
          </cell>
          <cell r="K458">
            <v>197.5</v>
          </cell>
          <cell r="L458">
            <v>863</v>
          </cell>
          <cell r="M458">
            <v>3350</v>
          </cell>
          <cell r="N458">
            <v>7.1040000000000001</v>
          </cell>
          <cell r="O458">
            <v>767.1734234234234</v>
          </cell>
          <cell r="P458">
            <v>335.75</v>
          </cell>
          <cell r="Q458">
            <v>85.036599099099092</v>
          </cell>
          <cell r="R458">
            <v>84.881756756756758</v>
          </cell>
          <cell r="S458">
            <v>206.42646280896281</v>
          </cell>
          <cell r="T458">
            <v>712.0948186648186</v>
          </cell>
          <cell r="U458">
            <v>54.264531875319904</v>
          </cell>
        </row>
        <row r="459">
          <cell r="I459">
            <v>39511</v>
          </cell>
          <cell r="J459">
            <v>5550</v>
          </cell>
          <cell r="K459">
            <v>197.5</v>
          </cell>
          <cell r="L459">
            <v>863</v>
          </cell>
          <cell r="M459">
            <v>3600</v>
          </cell>
          <cell r="N459">
            <v>7.1052999999999997</v>
          </cell>
          <cell r="O459">
            <v>781.10706092635075</v>
          </cell>
          <cell r="P459">
            <v>335.75</v>
          </cell>
          <cell r="Q459">
            <v>85.021040631641171</v>
          </cell>
          <cell r="R459">
            <v>91.199527113563107</v>
          </cell>
          <cell r="S459">
            <v>207.53530242802987</v>
          </cell>
          <cell r="T459">
            <v>719.50587017323414</v>
          </cell>
          <cell r="U459">
            <v>54.339695524638501</v>
          </cell>
        </row>
        <row r="460">
          <cell r="I460">
            <v>39512</v>
          </cell>
          <cell r="J460">
            <v>5500</v>
          </cell>
          <cell r="K460">
            <v>197.5</v>
          </cell>
          <cell r="L460">
            <v>863</v>
          </cell>
          <cell r="M460">
            <v>3600</v>
          </cell>
          <cell r="N460">
            <v>7.1079999999999997</v>
          </cell>
          <cell r="O460">
            <v>773.77602701181775</v>
          </cell>
          <cell r="P460">
            <v>335.75</v>
          </cell>
          <cell r="Q460">
            <v>84.988745075970741</v>
          </cell>
          <cell r="R460">
            <v>91.164884637028706</v>
          </cell>
          <cell r="S460">
            <v>206.4798355049565</v>
          </cell>
          <cell r="T460">
            <v>718.38346521795597</v>
          </cell>
          <cell r="U460">
            <v>53.368607395912136</v>
          </cell>
        </row>
        <row r="461">
          <cell r="I461">
            <v>39513</v>
          </cell>
          <cell r="J461">
            <v>5500</v>
          </cell>
          <cell r="K461">
            <v>197.5</v>
          </cell>
          <cell r="L461">
            <v>863</v>
          </cell>
          <cell r="M461">
            <v>3600</v>
          </cell>
          <cell r="N461">
            <v>7.1059999999999999</v>
          </cell>
          <cell r="O461">
            <v>773.99380804953557</v>
          </cell>
          <cell r="P461">
            <v>335.75</v>
          </cell>
          <cell r="Q461">
            <v>85.012665353222616</v>
          </cell>
          <cell r="R461">
            <v>91.190543202927103</v>
          </cell>
          <cell r="S461">
            <v>206.50427514006464</v>
          </cell>
          <cell r="T461">
            <v>718.45748369621424</v>
          </cell>
          <cell r="U461">
            <v>50.760105497094287</v>
          </cell>
        </row>
        <row r="462">
          <cell r="I462">
            <v>39514</v>
          </cell>
          <cell r="J462">
            <v>5500</v>
          </cell>
          <cell r="K462">
            <v>194</v>
          </cell>
          <cell r="L462">
            <v>863</v>
          </cell>
          <cell r="M462">
            <v>3600</v>
          </cell>
          <cell r="N462">
            <v>7.1111000000000004</v>
          </cell>
          <cell r="O462">
            <v>773.43870849798202</v>
          </cell>
          <cell r="P462">
            <v>329.8</v>
          </cell>
          <cell r="Q462">
            <v>84.951695237023799</v>
          </cell>
          <cell r="R462">
            <v>91.125142383034969</v>
          </cell>
          <cell r="S462">
            <v>207.30651115320256</v>
          </cell>
          <cell r="T462">
            <v>713.18334877326129</v>
          </cell>
          <cell r="U462">
            <v>53.286487513923134</v>
          </cell>
        </row>
        <row r="463">
          <cell r="I463">
            <v>39515</v>
          </cell>
          <cell r="J463">
            <v>5500</v>
          </cell>
          <cell r="K463">
            <v>194</v>
          </cell>
          <cell r="L463">
            <v>863</v>
          </cell>
          <cell r="M463">
            <v>3600</v>
          </cell>
          <cell r="N463">
            <v>7.1111000000000004</v>
          </cell>
          <cell r="O463">
            <v>773.43870849798202</v>
          </cell>
          <cell r="P463">
            <v>329.8</v>
          </cell>
          <cell r="Q463">
            <v>84.951695237023799</v>
          </cell>
          <cell r="R463">
            <v>91.125142383034969</v>
          </cell>
          <cell r="S463">
            <v>207.30651115320256</v>
          </cell>
          <cell r="T463">
            <v>713.18334877326129</v>
          </cell>
          <cell r="U463">
            <v>55.812869530752096</v>
          </cell>
        </row>
        <row r="464">
          <cell r="I464">
            <v>39516</v>
          </cell>
          <cell r="J464">
            <v>5500</v>
          </cell>
          <cell r="K464">
            <v>194</v>
          </cell>
          <cell r="L464">
            <v>863</v>
          </cell>
          <cell r="M464">
            <v>3600</v>
          </cell>
          <cell r="N464">
            <v>7.1111000000000004</v>
          </cell>
          <cell r="O464">
            <v>773.43870849798202</v>
          </cell>
          <cell r="P464">
            <v>329.8</v>
          </cell>
          <cell r="Q464">
            <v>84.951695237023799</v>
          </cell>
          <cell r="R464">
            <v>91.125142383034969</v>
          </cell>
          <cell r="S464">
            <v>207.30651115320256</v>
          </cell>
          <cell r="T464">
            <v>713.18334877326129</v>
          </cell>
          <cell r="U464">
            <v>58.339251547581171</v>
          </cell>
        </row>
        <row r="465">
          <cell r="I465">
            <v>39517</v>
          </cell>
          <cell r="J465">
            <v>5450</v>
          </cell>
          <cell r="K465">
            <v>194</v>
          </cell>
          <cell r="L465">
            <v>863</v>
          </cell>
          <cell r="M465">
            <v>3600</v>
          </cell>
          <cell r="N465">
            <v>7.1029999999999998</v>
          </cell>
          <cell r="O465">
            <v>767.28143038152893</v>
          </cell>
          <cell r="P465">
            <v>329.8</v>
          </cell>
          <cell r="Q465">
            <v>85.048571026326897</v>
          </cell>
          <cell r="R465">
            <v>91.229058144446</v>
          </cell>
          <cell r="S465">
            <v>206.38268906481068</v>
          </cell>
          <cell r="T465">
            <v>712.4603182355836</v>
          </cell>
          <cell r="U465">
            <v>58.302466888629851</v>
          </cell>
        </row>
        <row r="466">
          <cell r="I466">
            <v>39518</v>
          </cell>
          <cell r="J466">
            <v>5450</v>
          </cell>
          <cell r="K466">
            <v>194</v>
          </cell>
          <cell r="L466">
            <v>863</v>
          </cell>
          <cell r="M466">
            <v>3600</v>
          </cell>
          <cell r="N466">
            <v>7.1029</v>
          </cell>
          <cell r="O466">
            <v>767.29223275000356</v>
          </cell>
          <cell r="P466">
            <v>329.8</v>
          </cell>
          <cell r="Q466">
            <v>85.049768404454511</v>
          </cell>
          <cell r="R466">
            <v>91.230342536147205</v>
          </cell>
          <cell r="S466">
            <v>206.38389804068237</v>
          </cell>
          <cell r="T466">
            <v>712.464008981284</v>
          </cell>
          <cell r="U466">
            <v>57.334900176573115</v>
          </cell>
        </row>
        <row r="467">
          <cell r="I467">
            <v>39519</v>
          </cell>
          <cell r="J467">
            <v>5410</v>
          </cell>
          <cell r="K467">
            <v>194</v>
          </cell>
          <cell r="L467">
            <v>863</v>
          </cell>
          <cell r="M467">
            <v>3600</v>
          </cell>
          <cell r="N467">
            <v>7.1022999999999996</v>
          </cell>
          <cell r="O467">
            <v>761.72507497571212</v>
          </cell>
          <cell r="P467">
            <v>329.8</v>
          </cell>
          <cell r="Q467">
            <v>85.056953381299024</v>
          </cell>
          <cell r="R467">
            <v>91.238049645889362</v>
          </cell>
          <cell r="S467">
            <v>205.57283096687951</v>
          </cell>
          <cell r="T467">
            <v>711.66783399406791</v>
          </cell>
          <cell r="U467">
            <v>56.572711489113203</v>
          </cell>
        </row>
        <row r="468">
          <cell r="I468">
            <v>39520</v>
          </cell>
          <cell r="J468">
            <v>5410</v>
          </cell>
          <cell r="K468">
            <v>194</v>
          </cell>
          <cell r="L468">
            <v>863</v>
          </cell>
          <cell r="M468">
            <v>3600</v>
          </cell>
          <cell r="N468">
            <v>7.0953999999999997</v>
          </cell>
          <cell r="O468">
            <v>762.46582292753055</v>
          </cell>
          <cell r="P468">
            <v>329.8</v>
          </cell>
          <cell r="Q468">
            <v>85.13966795388562</v>
          </cell>
          <cell r="R468">
            <v>91.326775093722688</v>
          </cell>
          <cell r="S468">
            <v>205.65555092272376</v>
          </cell>
          <cell r="T468">
            <v>711.9219939703321</v>
          </cell>
          <cell r="U468">
            <v>55.85949786109552</v>
          </cell>
        </row>
        <row r="469">
          <cell r="I469">
            <v>39521</v>
          </cell>
          <cell r="J469">
            <v>5410</v>
          </cell>
          <cell r="K469">
            <v>194</v>
          </cell>
          <cell r="L469">
            <v>863</v>
          </cell>
          <cell r="M469">
            <v>3600</v>
          </cell>
          <cell r="N469">
            <v>7.0940000000000003</v>
          </cell>
          <cell r="O469">
            <v>762.61629546095287</v>
          </cell>
          <cell r="P469">
            <v>329.8</v>
          </cell>
          <cell r="Q469">
            <v>85.156470256554826</v>
          </cell>
          <cell r="R469">
            <v>91.344798421201006</v>
          </cell>
          <cell r="S469">
            <v>205.67235431892601</v>
          </cell>
          <cell r="T469">
            <v>711.9736229966818</v>
          </cell>
          <cell r="U469">
            <v>54.486256823888425</v>
          </cell>
        </row>
        <row r="470">
          <cell r="I470">
            <v>39522</v>
          </cell>
          <cell r="J470">
            <v>5410</v>
          </cell>
          <cell r="K470">
            <v>194</v>
          </cell>
          <cell r="L470">
            <v>863</v>
          </cell>
          <cell r="M470">
            <v>3600</v>
          </cell>
          <cell r="N470">
            <v>7.0940000000000003</v>
          </cell>
          <cell r="O470">
            <v>762.61629546095287</v>
          </cell>
          <cell r="P470">
            <v>329.8</v>
          </cell>
          <cell r="Q470">
            <v>85.156470256554826</v>
          </cell>
          <cell r="R470">
            <v>91.344798421201006</v>
          </cell>
          <cell r="S470">
            <v>205.67235431892601</v>
          </cell>
          <cell r="T470">
            <v>711.9736229966818</v>
          </cell>
          <cell r="U470">
            <v>53.113015786681558</v>
          </cell>
        </row>
        <row r="471">
          <cell r="I471">
            <v>39523</v>
          </cell>
          <cell r="J471">
            <v>5410</v>
          </cell>
          <cell r="K471">
            <v>194</v>
          </cell>
          <cell r="L471">
            <v>863</v>
          </cell>
          <cell r="M471">
            <v>3600</v>
          </cell>
          <cell r="N471">
            <v>7.0940000000000003</v>
          </cell>
          <cell r="O471">
            <v>762.61629546095287</v>
          </cell>
          <cell r="P471">
            <v>329.8</v>
          </cell>
          <cell r="Q471">
            <v>85.156470256554826</v>
          </cell>
          <cell r="R471">
            <v>91.344798421201006</v>
          </cell>
          <cell r="S471">
            <v>205.67235431892601</v>
          </cell>
          <cell r="T471">
            <v>711.9736229966818</v>
          </cell>
          <cell r="U471">
            <v>51.739774749474236</v>
          </cell>
        </row>
        <row r="472">
          <cell r="I472">
            <v>39524</v>
          </cell>
          <cell r="J472">
            <v>5410</v>
          </cell>
          <cell r="K472">
            <v>194</v>
          </cell>
          <cell r="L472">
            <v>863</v>
          </cell>
          <cell r="M472">
            <v>3600</v>
          </cell>
          <cell r="N472">
            <v>7.0834000000000001</v>
          </cell>
          <cell r="O472">
            <v>763.75751757630519</v>
          </cell>
          <cell r="P472">
            <v>329.8</v>
          </cell>
          <cell r="Q472">
            <v>85.28390321032272</v>
          </cell>
          <cell r="R472">
            <v>91.481491938899396</v>
          </cell>
          <cell r="S472">
            <v>205.79979556632833</v>
          </cell>
          <cell r="T472">
            <v>712.3651907155504</v>
          </cell>
          <cell r="U472">
            <v>51.249948280161334</v>
          </cell>
        </row>
        <row r="473">
          <cell r="I473">
            <v>39525</v>
          </cell>
          <cell r="J473">
            <v>5350</v>
          </cell>
          <cell r="K473">
            <v>194</v>
          </cell>
          <cell r="L473">
            <v>863</v>
          </cell>
          <cell r="M473">
            <v>3600</v>
          </cell>
          <cell r="N473">
            <v>7.0815000000000001</v>
          </cell>
          <cell r="O473">
            <v>755.48965614629662</v>
          </cell>
          <cell r="P473">
            <v>329.8</v>
          </cell>
          <cell r="Q473">
            <v>85.306785285603326</v>
          </cell>
          <cell r="R473">
            <v>91.506036856598172</v>
          </cell>
          <cell r="S473">
            <v>204.59159126555232</v>
          </cell>
          <cell r="T473">
            <v>711.2044134077538</v>
          </cell>
          <cell r="U473">
            <v>49.743808132993195</v>
          </cell>
        </row>
        <row r="474">
          <cell r="I474">
            <v>39526</v>
          </cell>
          <cell r="J474">
            <v>5260</v>
          </cell>
          <cell r="K474">
            <v>194</v>
          </cell>
          <cell r="L474">
            <v>863</v>
          </cell>
          <cell r="M474">
            <v>3600</v>
          </cell>
          <cell r="N474">
            <v>7.0631000000000004</v>
          </cell>
          <cell r="O474">
            <v>744.71549319703809</v>
          </cell>
          <cell r="P474">
            <v>329.8</v>
          </cell>
          <cell r="Q474">
            <v>85.52901700386515</v>
          </cell>
          <cell r="R474">
            <v>91.744418173323311</v>
          </cell>
          <cell r="S474">
            <v>202.959187917414</v>
          </cell>
          <cell r="T474">
            <v>710.03262309460251</v>
          </cell>
          <cell r="U474">
            <v>47.547469435963535</v>
          </cell>
        </row>
        <row r="475">
          <cell r="I475">
            <v>39527</v>
          </cell>
          <cell r="J475">
            <v>5260</v>
          </cell>
          <cell r="K475">
            <v>194</v>
          </cell>
          <cell r="L475">
            <v>863</v>
          </cell>
          <cell r="M475">
            <v>3600</v>
          </cell>
          <cell r="N475">
            <v>7.0514999999999999</v>
          </cell>
          <cell r="O475">
            <v>745.94058001843575</v>
          </cell>
          <cell r="P475">
            <v>329.8</v>
          </cell>
          <cell r="Q475">
            <v>85.669715663334046</v>
          </cell>
          <cell r="R475">
            <v>91.895341416719845</v>
          </cell>
          <cell r="S475">
            <v>203.09481957224352</v>
          </cell>
          <cell r="T475">
            <v>710.45987665229745</v>
          </cell>
          <cell r="U475">
            <v>45.395594351526483</v>
          </cell>
        </row>
        <row r="476">
          <cell r="I476">
            <v>39528</v>
          </cell>
          <cell r="J476">
            <v>5260</v>
          </cell>
          <cell r="K476">
            <v>194</v>
          </cell>
          <cell r="L476">
            <v>863</v>
          </cell>
          <cell r="M476">
            <v>3600</v>
          </cell>
          <cell r="N476">
            <v>7.0545</v>
          </cell>
          <cell r="O476">
            <v>745.62336097526406</v>
          </cell>
          <cell r="P476">
            <v>329.8</v>
          </cell>
          <cell r="Q476">
            <v>85.633283719611583</v>
          </cell>
          <cell r="R476">
            <v>91.85626196045078</v>
          </cell>
          <cell r="S476">
            <v>203.05969965827717</v>
          </cell>
          <cell r="T476">
            <v>710.34924533833953</v>
          </cell>
          <cell r="U476">
            <v>43.200086233334105</v>
          </cell>
        </row>
        <row r="477">
          <cell r="I477">
            <v>39529</v>
          </cell>
          <cell r="J477">
            <v>5260</v>
          </cell>
          <cell r="K477">
            <v>194</v>
          </cell>
          <cell r="L477">
            <v>863</v>
          </cell>
          <cell r="M477">
            <v>3600</v>
          </cell>
          <cell r="N477">
            <v>7.0545</v>
          </cell>
          <cell r="O477">
            <v>745.62336097526406</v>
          </cell>
          <cell r="P477">
            <v>329.8</v>
          </cell>
          <cell r="Q477">
            <v>85.633283719611583</v>
          </cell>
          <cell r="R477">
            <v>91.85626196045078</v>
          </cell>
          <cell r="S477">
            <v>203.05969965827717</v>
          </cell>
          <cell r="T477">
            <v>710.34924533833953</v>
          </cell>
          <cell r="U477">
            <v>41.004578115141726</v>
          </cell>
        </row>
        <row r="478">
          <cell r="I478">
            <v>39530</v>
          </cell>
          <cell r="J478">
            <v>5260</v>
          </cell>
          <cell r="K478">
            <v>194</v>
          </cell>
          <cell r="L478">
            <v>863</v>
          </cell>
          <cell r="M478">
            <v>3600</v>
          </cell>
          <cell r="N478">
            <v>7.0545</v>
          </cell>
          <cell r="O478">
            <v>745.62336097526406</v>
          </cell>
          <cell r="P478">
            <v>329.8</v>
          </cell>
          <cell r="Q478">
            <v>85.633283719611583</v>
          </cell>
          <cell r="R478">
            <v>91.85626196045078</v>
          </cell>
          <cell r="S478">
            <v>203.05969965827717</v>
          </cell>
          <cell r="T478">
            <v>710.34924533833953</v>
          </cell>
          <cell r="U478">
            <v>38.809069996949347</v>
          </cell>
        </row>
        <row r="479">
          <cell r="I479">
            <v>39531</v>
          </cell>
          <cell r="J479">
            <v>5260</v>
          </cell>
          <cell r="K479">
            <v>194</v>
          </cell>
          <cell r="L479">
            <v>863</v>
          </cell>
          <cell r="M479">
            <v>3600</v>
          </cell>
          <cell r="N479">
            <v>7.0560999999999998</v>
          </cell>
          <cell r="O479">
            <v>745.4542877793682</v>
          </cell>
          <cell r="P479">
            <v>329.8</v>
          </cell>
          <cell r="Q479">
            <v>85.613866016638084</v>
          </cell>
          <cell r="R479">
            <v>91.83543317129859</v>
          </cell>
          <cell r="S479">
            <v>203.04098124832763</v>
          </cell>
          <cell r="T479">
            <v>710.29028043626431</v>
          </cell>
          <cell r="U479">
            <v>36.490738637284721</v>
          </cell>
        </row>
        <row r="480">
          <cell r="I480">
            <v>39532</v>
          </cell>
          <cell r="J480">
            <v>5260</v>
          </cell>
          <cell r="K480">
            <v>194</v>
          </cell>
          <cell r="L480">
            <v>863</v>
          </cell>
          <cell r="M480">
            <v>3600</v>
          </cell>
          <cell r="N480">
            <v>7.0442</v>
          </cell>
          <cell r="O480">
            <v>746.71360835864971</v>
          </cell>
          <cell r="P480">
            <v>329.8</v>
          </cell>
          <cell r="Q480">
            <v>85.758496351608414</v>
          </cell>
          <cell r="R480">
            <v>91.990573805400189</v>
          </cell>
          <cell r="S480">
            <v>203.18040298656319</v>
          </cell>
          <cell r="T480">
            <v>710.72947314357179</v>
          </cell>
          <cell r="U480">
            <v>35.304866133932592</v>
          </cell>
        </row>
        <row r="481">
          <cell r="I481">
            <v>39533</v>
          </cell>
          <cell r="J481">
            <v>5290</v>
          </cell>
          <cell r="K481">
            <v>194</v>
          </cell>
          <cell r="L481">
            <v>863</v>
          </cell>
          <cell r="M481">
            <v>3600</v>
          </cell>
          <cell r="N481">
            <v>7.0304000000000002</v>
          </cell>
          <cell r="O481">
            <v>752.44651797906238</v>
          </cell>
          <cell r="P481">
            <v>329.8</v>
          </cell>
          <cell r="Q481">
            <v>85.926832043695939</v>
          </cell>
          <cell r="R481">
            <v>92.171142467000436</v>
          </cell>
          <cell r="S481">
            <v>203.96269435010441</v>
          </cell>
          <cell r="T481">
            <v>711.86066886080084</v>
          </cell>
          <cell r="U481">
            <v>36.148148850479402</v>
          </cell>
        </row>
        <row r="482">
          <cell r="I482">
            <v>39534</v>
          </cell>
          <cell r="J482">
            <v>5320</v>
          </cell>
          <cell r="K482">
            <v>194</v>
          </cell>
          <cell r="L482">
            <v>863</v>
          </cell>
          <cell r="M482">
            <v>3600</v>
          </cell>
          <cell r="N482">
            <v>7.0115999999999996</v>
          </cell>
          <cell r="O482">
            <v>758.74265502880939</v>
          </cell>
          <cell r="P482">
            <v>329.8</v>
          </cell>
          <cell r="Q482">
            <v>86.157225169718757</v>
          </cell>
          <cell r="R482">
            <v>92.418278281704602</v>
          </cell>
          <cell r="S482">
            <v>204.80813313517569</v>
          </cell>
          <cell r="T482">
            <v>713.18363658659905</v>
          </cell>
          <cell r="U482">
            <v>37.587908147061057</v>
          </cell>
        </row>
        <row r="483">
          <cell r="I483">
            <v>39535</v>
          </cell>
          <cell r="J483">
            <v>5350</v>
          </cell>
          <cell r="K483">
            <v>194</v>
          </cell>
          <cell r="L483">
            <v>863</v>
          </cell>
          <cell r="M483">
            <v>3600</v>
          </cell>
          <cell r="N483">
            <v>7.0122</v>
          </cell>
          <cell r="O483">
            <v>762.95599098713672</v>
          </cell>
          <cell r="P483">
            <v>329.8</v>
          </cell>
          <cell r="Q483">
            <v>86.149853113145653</v>
          </cell>
          <cell r="R483">
            <v>92.41037049713357</v>
          </cell>
          <cell r="S483">
            <v>205.42254739663747</v>
          </cell>
          <cell r="T483">
            <v>713.78277100691662</v>
          </cell>
          <cell r="U483">
            <v>39.573494481817534</v>
          </cell>
        </row>
        <row r="484">
          <cell r="I484">
            <v>39536</v>
          </cell>
          <cell r="J484">
            <v>5350</v>
          </cell>
          <cell r="K484">
            <v>194</v>
          </cell>
          <cell r="L484">
            <v>863</v>
          </cell>
          <cell r="M484">
            <v>3600</v>
          </cell>
          <cell r="N484">
            <v>7.0122</v>
          </cell>
          <cell r="O484">
            <v>762.95599098713672</v>
          </cell>
          <cell r="P484">
            <v>329.8</v>
          </cell>
          <cell r="Q484">
            <v>86.149853113145653</v>
          </cell>
          <cell r="R484">
            <v>92.41037049713357</v>
          </cell>
          <cell r="S484">
            <v>205.42254739663747</v>
          </cell>
          <cell r="T484">
            <v>713.78277100691662</v>
          </cell>
          <cell r="U484">
            <v>41.559080816573896</v>
          </cell>
        </row>
        <row r="485">
          <cell r="I485">
            <v>39537</v>
          </cell>
          <cell r="J485">
            <v>5350</v>
          </cell>
          <cell r="K485">
            <v>194</v>
          </cell>
          <cell r="L485">
            <v>863</v>
          </cell>
          <cell r="M485">
            <v>3600</v>
          </cell>
          <cell r="N485">
            <v>7.0122</v>
          </cell>
          <cell r="O485">
            <v>762.95599098713672</v>
          </cell>
          <cell r="P485">
            <v>329.8</v>
          </cell>
          <cell r="Q485">
            <v>86.149853113145653</v>
          </cell>
          <cell r="R485">
            <v>92.41037049713357</v>
          </cell>
          <cell r="S485">
            <v>205.42254739663747</v>
          </cell>
          <cell r="T485">
            <v>713.78277100691662</v>
          </cell>
          <cell r="U485">
            <v>43.544667151330486</v>
          </cell>
        </row>
        <row r="486">
          <cell r="I486">
            <v>39538</v>
          </cell>
          <cell r="J486">
            <v>5350</v>
          </cell>
          <cell r="K486">
            <v>194</v>
          </cell>
          <cell r="L486">
            <v>885</v>
          </cell>
          <cell r="M486">
            <v>3600</v>
          </cell>
          <cell r="N486">
            <v>7.0119999999999996</v>
          </cell>
          <cell r="O486">
            <v>762.97775242441537</v>
          </cell>
          <cell r="P486">
            <v>329.8</v>
          </cell>
          <cell r="Q486">
            <v>88.348545350827152</v>
          </cell>
          <cell r="R486">
            <v>92.413006274957226</v>
          </cell>
          <cell r="S486">
            <v>205.10585823569846</v>
          </cell>
          <cell r="T486">
            <v>715.66740986148284</v>
          </cell>
          <cell r="U486">
            <v>45.279857897020406</v>
          </cell>
        </row>
        <row r="487">
          <cell r="I487">
            <v>39539</v>
          </cell>
          <cell r="J487">
            <v>5420</v>
          </cell>
          <cell r="K487">
            <v>194</v>
          </cell>
          <cell r="L487">
            <v>885</v>
          </cell>
          <cell r="M487">
            <v>3650</v>
          </cell>
          <cell r="N487">
            <v>7.0117000000000003</v>
          </cell>
          <cell r="O487">
            <v>772.99371051242917</v>
          </cell>
          <cell r="P487">
            <v>329.8</v>
          </cell>
          <cell r="Q487">
            <v>88.352325398975992</v>
          </cell>
          <cell r="R487">
            <v>93.700529115621038</v>
          </cell>
          <cell r="S487">
            <v>206.3735431791722</v>
          </cell>
          <cell r="T487">
            <v>718.22639769376929</v>
          </cell>
          <cell r="U487">
            <v>47.963168983246192</v>
          </cell>
        </row>
        <row r="488">
          <cell r="I488">
            <v>39540</v>
          </cell>
          <cell r="J488">
            <v>5420</v>
          </cell>
          <cell r="K488">
            <v>194</v>
          </cell>
          <cell r="L488">
            <v>885</v>
          </cell>
          <cell r="M488">
            <v>3650</v>
          </cell>
          <cell r="N488">
            <v>7.0185000000000004</v>
          </cell>
          <cell r="O488">
            <v>772.24478164850029</v>
          </cell>
          <cell r="P488">
            <v>329.8</v>
          </cell>
          <cell r="Q488">
            <v>88.266723658901469</v>
          </cell>
          <cell r="R488">
            <v>93.609745672152172</v>
          </cell>
          <cell r="S488">
            <v>206.29035307176571</v>
          </cell>
          <cell r="T488">
            <v>717.96682240281939</v>
          </cell>
          <cell r="U488">
            <v>49.919184715734787</v>
          </cell>
        </row>
        <row r="489">
          <cell r="I489">
            <v>39541</v>
          </cell>
          <cell r="J489">
            <v>5420</v>
          </cell>
          <cell r="K489">
            <v>194</v>
          </cell>
          <cell r="L489">
            <v>885</v>
          </cell>
          <cell r="M489">
            <v>3650</v>
          </cell>
          <cell r="N489">
            <v>7.0157999999999996</v>
          </cell>
          <cell r="O489">
            <v>772.54197668120537</v>
          </cell>
          <cell r="P489">
            <v>329.8</v>
          </cell>
          <cell r="Q489">
            <v>88.300692722141449</v>
          </cell>
          <cell r="R489">
            <v>93.645770974087057</v>
          </cell>
          <cell r="S489">
            <v>206.32336513456926</v>
          </cell>
          <cell r="T489">
            <v>718.06982883079775</v>
          </cell>
          <cell r="U489">
            <v>51.192488916905972</v>
          </cell>
        </row>
        <row r="490">
          <cell r="I490">
            <v>39542</v>
          </cell>
          <cell r="J490">
            <v>5420</v>
          </cell>
          <cell r="K490">
            <v>186.5</v>
          </cell>
          <cell r="L490">
            <v>885</v>
          </cell>
          <cell r="M490">
            <v>3650</v>
          </cell>
          <cell r="N490">
            <v>7.0157999999999996</v>
          </cell>
          <cell r="O490">
            <v>772.54197668120537</v>
          </cell>
          <cell r="P490">
            <v>317.05</v>
          </cell>
          <cell r="Q490">
            <v>88.300692722141449</v>
          </cell>
          <cell r="R490">
            <v>93.645770974087057</v>
          </cell>
          <cell r="S490">
            <v>208.17592923713335</v>
          </cell>
          <cell r="T490">
            <v>707.17239293336183</v>
          </cell>
          <cell r="U490">
            <v>53.506255169423639</v>
          </cell>
        </row>
        <row r="491">
          <cell r="I491">
            <v>39543</v>
          </cell>
          <cell r="J491">
            <v>5420</v>
          </cell>
          <cell r="K491">
            <v>186.5</v>
          </cell>
          <cell r="L491">
            <v>885</v>
          </cell>
          <cell r="M491">
            <v>3650</v>
          </cell>
          <cell r="N491">
            <v>7.0157999999999996</v>
          </cell>
          <cell r="O491">
            <v>772.54197668120537</v>
          </cell>
          <cell r="P491">
            <v>317.05</v>
          </cell>
          <cell r="Q491">
            <v>88.300692722141449</v>
          </cell>
          <cell r="R491">
            <v>93.645770974087057</v>
          </cell>
          <cell r="S491">
            <v>208.17592923713335</v>
          </cell>
          <cell r="T491">
            <v>707.17239293336183</v>
          </cell>
          <cell r="U491">
            <v>55.820021421941192</v>
          </cell>
        </row>
        <row r="492">
          <cell r="I492">
            <v>39544</v>
          </cell>
          <cell r="J492">
            <v>5420</v>
          </cell>
          <cell r="K492">
            <v>186.5</v>
          </cell>
          <cell r="L492">
            <v>885</v>
          </cell>
          <cell r="M492">
            <v>3650</v>
          </cell>
          <cell r="N492">
            <v>7.0157999999999996</v>
          </cell>
          <cell r="O492">
            <v>772.54197668120537</v>
          </cell>
          <cell r="P492">
            <v>317.05</v>
          </cell>
          <cell r="Q492">
            <v>88.300692722141449</v>
          </cell>
          <cell r="R492">
            <v>93.645770974087057</v>
          </cell>
          <cell r="S492">
            <v>208.17592923713335</v>
          </cell>
          <cell r="T492">
            <v>707.17239293336183</v>
          </cell>
          <cell r="U492">
            <v>58.133787674458858</v>
          </cell>
        </row>
        <row r="493">
          <cell r="I493">
            <v>39545</v>
          </cell>
          <cell r="J493">
            <v>5420</v>
          </cell>
          <cell r="K493">
            <v>186.5</v>
          </cell>
          <cell r="L493">
            <v>885</v>
          </cell>
          <cell r="M493">
            <v>3650</v>
          </cell>
          <cell r="N493">
            <v>7.0015000000000001</v>
          </cell>
          <cell r="O493">
            <v>774.11983146468617</v>
          </cell>
          <cell r="P493">
            <v>317.05</v>
          </cell>
          <cell r="Q493">
            <v>88.481039777190588</v>
          </cell>
          <cell r="R493">
            <v>93.837034921088332</v>
          </cell>
          <cell r="S493">
            <v>208.35119542759764</v>
          </cell>
          <cell r="T493">
            <v>707.71927012587662</v>
          </cell>
          <cell r="U493">
            <v>60.8609617852984</v>
          </cell>
        </row>
        <row r="494">
          <cell r="I494">
            <v>39546</v>
          </cell>
          <cell r="J494">
            <v>5420</v>
          </cell>
          <cell r="K494">
            <v>186.5</v>
          </cell>
          <cell r="L494">
            <v>885</v>
          </cell>
          <cell r="M494">
            <v>3800</v>
          </cell>
          <cell r="N494">
            <v>7.0008999999999997</v>
          </cell>
          <cell r="O494">
            <v>774.1861760630776</v>
          </cell>
          <cell r="P494">
            <v>317.05</v>
          </cell>
          <cell r="Q494">
            <v>88.488622891342544</v>
          </cell>
          <cell r="R494">
            <v>97.701724064048918</v>
          </cell>
          <cell r="S494">
            <v>207.79819739171512</v>
          </cell>
          <cell r="T494">
            <v>711.03854434710661</v>
          </cell>
          <cell r="U494">
            <v>62.058150199199986</v>
          </cell>
        </row>
        <row r="495">
          <cell r="I495">
            <v>39547</v>
          </cell>
          <cell r="J495">
            <v>5420</v>
          </cell>
          <cell r="K495">
            <v>186.5</v>
          </cell>
          <cell r="L495">
            <v>885</v>
          </cell>
          <cell r="M495">
            <v>3800</v>
          </cell>
          <cell r="N495">
            <v>7.0015999999999998</v>
          </cell>
          <cell r="O495">
            <v>774.10877513711159</v>
          </cell>
          <cell r="P495">
            <v>317.05</v>
          </cell>
          <cell r="Q495">
            <v>88.479776051188296</v>
          </cell>
          <cell r="R495">
            <v>97.691956124314444</v>
          </cell>
          <cell r="S495">
            <v>207.78965581493458</v>
          </cell>
          <cell r="T495">
            <v>711.01138799043736</v>
          </cell>
          <cell r="U495">
            <v>63.318068470770299</v>
          </cell>
        </row>
        <row r="496">
          <cell r="I496">
            <v>39548</v>
          </cell>
          <cell r="J496">
            <v>5330</v>
          </cell>
          <cell r="K496">
            <v>186.5</v>
          </cell>
          <cell r="L496">
            <v>885</v>
          </cell>
          <cell r="M496">
            <v>3800</v>
          </cell>
          <cell r="N496">
            <v>6.9916999999999998</v>
          </cell>
          <cell r="O496">
            <v>762.33247994050089</v>
          </cell>
          <cell r="P496">
            <v>317.05</v>
          </cell>
          <cell r="Q496">
            <v>88.605060285767408</v>
          </cell>
          <cell r="R496">
            <v>97.83028448016934</v>
          </cell>
          <cell r="S496">
            <v>206.04026750399652</v>
          </cell>
          <cell r="T496">
            <v>709.52561226993328</v>
          </cell>
          <cell r="U496">
            <v>63.08017130222197</v>
          </cell>
        </row>
        <row r="497">
          <cell r="I497">
            <v>39549</v>
          </cell>
          <cell r="J497">
            <v>5360</v>
          </cell>
          <cell r="K497">
            <v>187.5</v>
          </cell>
          <cell r="L497">
            <v>885</v>
          </cell>
          <cell r="M497">
            <v>3800</v>
          </cell>
          <cell r="N497">
            <v>7.0099</v>
          </cell>
          <cell r="O497">
            <v>764.63287636057578</v>
          </cell>
          <cell r="P497">
            <v>318.75</v>
          </cell>
          <cell r="Q497">
            <v>88.375012482346392</v>
          </cell>
          <cell r="R497">
            <v>97.576284968401822</v>
          </cell>
          <cell r="S497">
            <v>206.19783625185522</v>
          </cell>
          <cell r="T497">
            <v>710.89913370260342</v>
          </cell>
          <cell r="U497">
            <v>61.417908289383149</v>
          </cell>
        </row>
        <row r="498">
          <cell r="I498">
            <v>39550</v>
          </cell>
          <cell r="J498">
            <v>5360</v>
          </cell>
          <cell r="K498">
            <v>187.5</v>
          </cell>
          <cell r="L498">
            <v>885</v>
          </cell>
          <cell r="M498">
            <v>3800</v>
          </cell>
          <cell r="N498">
            <v>7.0099</v>
          </cell>
          <cell r="O498">
            <v>764.63287636057578</v>
          </cell>
          <cell r="P498">
            <v>318.75</v>
          </cell>
          <cell r="Q498">
            <v>88.375012482346392</v>
          </cell>
          <cell r="R498">
            <v>97.576284968401822</v>
          </cell>
          <cell r="S498">
            <v>206.19783625185522</v>
          </cell>
          <cell r="T498">
            <v>710.89913370260342</v>
          </cell>
          <cell r="U498">
            <v>59.755645276544442</v>
          </cell>
        </row>
        <row r="499">
          <cell r="I499">
            <v>39551</v>
          </cell>
          <cell r="J499">
            <v>5360</v>
          </cell>
          <cell r="K499">
            <v>187.5</v>
          </cell>
          <cell r="L499">
            <v>885</v>
          </cell>
          <cell r="M499">
            <v>3800</v>
          </cell>
          <cell r="N499">
            <v>7.0099</v>
          </cell>
          <cell r="O499">
            <v>764.63287636057578</v>
          </cell>
          <cell r="P499">
            <v>318.75</v>
          </cell>
          <cell r="Q499">
            <v>88.375012482346392</v>
          </cell>
          <cell r="R499">
            <v>97.576284968401822</v>
          </cell>
          <cell r="S499">
            <v>206.19783625185522</v>
          </cell>
          <cell r="T499">
            <v>710.89913370260342</v>
          </cell>
          <cell r="U499">
            <v>58.093382263705621</v>
          </cell>
        </row>
        <row r="500">
          <cell r="I500">
            <v>39552</v>
          </cell>
          <cell r="J500">
            <v>5360</v>
          </cell>
          <cell r="K500">
            <v>187.5</v>
          </cell>
          <cell r="L500">
            <v>885</v>
          </cell>
          <cell r="M500">
            <v>3800</v>
          </cell>
          <cell r="N500">
            <v>6.9989999999999997</v>
          </cell>
          <cell r="O500">
            <v>765.82368909844263</v>
          </cell>
          <cell r="P500">
            <v>318.75</v>
          </cell>
          <cell r="Q500">
            <v>88.512644663523361</v>
          </cell>
          <cell r="R500">
            <v>97.72824689241321</v>
          </cell>
          <cell r="S500">
            <v>206.32878254891108</v>
          </cell>
          <cell r="T500">
            <v>711.31967410484765</v>
          </cell>
          <cell r="U500">
            <v>56.393875642960552</v>
          </cell>
        </row>
        <row r="501">
          <cell r="I501">
            <v>39553</v>
          </cell>
          <cell r="J501">
            <v>5420</v>
          </cell>
          <cell r="K501">
            <v>187.5</v>
          </cell>
          <cell r="L501">
            <v>885</v>
          </cell>
          <cell r="M501">
            <v>3800</v>
          </cell>
          <cell r="N501">
            <v>6.9924999999999997</v>
          </cell>
          <cell r="O501">
            <v>775.11619592420459</v>
          </cell>
          <cell r="P501">
            <v>318.75</v>
          </cell>
          <cell r="Q501">
            <v>88.594923131927061</v>
          </cell>
          <cell r="R501">
            <v>97.819091884161594</v>
          </cell>
          <cell r="S501">
            <v>207.6538211575895</v>
          </cell>
          <cell r="T501">
            <v>712.81783617367819</v>
          </cell>
          <cell r="U501">
            <v>56.272551076468403</v>
          </cell>
        </row>
        <row r="502">
          <cell r="I502">
            <v>39554</v>
          </cell>
          <cell r="J502">
            <v>5420</v>
          </cell>
          <cell r="K502">
            <v>187.5</v>
          </cell>
          <cell r="L502">
            <v>885</v>
          </cell>
          <cell r="M502">
            <v>3800</v>
          </cell>
          <cell r="N502">
            <v>6.9917999999999996</v>
          </cell>
          <cell r="O502">
            <v>775.19379844961247</v>
          </cell>
          <cell r="P502">
            <v>318.75</v>
          </cell>
          <cell r="Q502">
            <v>88.603793014674338</v>
          </cell>
          <cell r="R502">
            <v>97.828885265596853</v>
          </cell>
          <cell r="S502">
            <v>207.6623849818701</v>
          </cell>
          <cell r="T502">
            <v>712.84506326214137</v>
          </cell>
          <cell r="U502">
            <v>56.165600796582339</v>
          </cell>
        </row>
        <row r="503">
          <cell r="I503">
            <v>39555</v>
          </cell>
          <cell r="J503">
            <v>5420</v>
          </cell>
          <cell r="K503">
            <v>187.5</v>
          </cell>
          <cell r="L503">
            <v>885</v>
          </cell>
          <cell r="M503">
            <v>3800</v>
          </cell>
          <cell r="N503">
            <v>6.9838000000000005</v>
          </cell>
          <cell r="O503">
            <v>776.08178928377095</v>
          </cell>
          <cell r="P503">
            <v>318.75</v>
          </cell>
          <cell r="Q503">
            <v>88.705289384002967</v>
          </cell>
          <cell r="R503">
            <v>97.940949053523852</v>
          </cell>
          <cell r="S503">
            <v>207.76037918278757</v>
          </cell>
          <cell r="T503">
            <v>713.15661762031436</v>
          </cell>
          <cell r="U503">
            <v>57.611072795566656</v>
          </cell>
        </row>
        <row r="504">
          <cell r="I504">
            <v>39556</v>
          </cell>
          <cell r="J504">
            <v>5420</v>
          </cell>
          <cell r="K504">
            <v>189.5</v>
          </cell>
          <cell r="L504">
            <v>885</v>
          </cell>
          <cell r="M504">
            <v>3800</v>
          </cell>
          <cell r="N504">
            <v>6.9935999999999998</v>
          </cell>
          <cell r="O504">
            <v>774.99428048501488</v>
          </cell>
          <cell r="P504">
            <v>322.14999999999998</v>
          </cell>
          <cell r="Q504">
            <v>88.580988332189435</v>
          </cell>
          <cell r="R504">
            <v>97.803706245710373</v>
          </cell>
          <cell r="S504">
            <v>207.14635008906805</v>
          </cell>
          <cell r="T504">
            <v>715.68104466696786</v>
          </cell>
          <cell r="U504">
            <v>58.40814324700591</v>
          </cell>
        </row>
        <row r="505">
          <cell r="I505">
            <v>39557</v>
          </cell>
          <cell r="J505">
            <v>5420</v>
          </cell>
          <cell r="K505">
            <v>189.5</v>
          </cell>
          <cell r="L505">
            <v>885</v>
          </cell>
          <cell r="M505">
            <v>3800</v>
          </cell>
          <cell r="N505">
            <v>6.9935999999999998</v>
          </cell>
          <cell r="O505">
            <v>774.99428048501488</v>
          </cell>
          <cell r="P505">
            <v>322.14999999999998</v>
          </cell>
          <cell r="Q505">
            <v>88.580988332189435</v>
          </cell>
          <cell r="R505">
            <v>97.803706245710373</v>
          </cell>
          <cell r="S505">
            <v>207.14635008906805</v>
          </cell>
          <cell r="T505">
            <v>715.68104466696786</v>
          </cell>
          <cell r="U505">
            <v>59.205213698445277</v>
          </cell>
        </row>
        <row r="506">
          <cell r="I506">
            <v>39558</v>
          </cell>
          <cell r="J506">
            <v>5420</v>
          </cell>
          <cell r="K506">
            <v>189.5</v>
          </cell>
          <cell r="L506">
            <v>885</v>
          </cell>
          <cell r="M506">
            <v>3800</v>
          </cell>
          <cell r="N506">
            <v>6.9935999999999998</v>
          </cell>
          <cell r="O506">
            <v>774.99428048501488</v>
          </cell>
          <cell r="P506">
            <v>322.14999999999998</v>
          </cell>
          <cell r="Q506">
            <v>88.580988332189435</v>
          </cell>
          <cell r="R506">
            <v>97.803706245710373</v>
          </cell>
          <cell r="S506">
            <v>207.14635008906805</v>
          </cell>
          <cell r="T506">
            <v>715.68104466696786</v>
          </cell>
          <cell r="U506">
            <v>60.002284149884304</v>
          </cell>
        </row>
        <row r="507">
          <cell r="I507">
            <v>39559</v>
          </cell>
          <cell r="J507">
            <v>5410</v>
          </cell>
          <cell r="K507">
            <v>189.5</v>
          </cell>
          <cell r="L507">
            <v>885</v>
          </cell>
          <cell r="M507">
            <v>3800</v>
          </cell>
          <cell r="N507">
            <v>7.0000999999999998</v>
          </cell>
          <cell r="O507">
            <v>772.84610219854005</v>
          </cell>
          <cell r="P507">
            <v>322.14999999999998</v>
          </cell>
          <cell r="Q507">
            <v>88.498735732346674</v>
          </cell>
          <cell r="R507">
            <v>97.712889815859768</v>
          </cell>
          <cell r="S507">
            <v>206.85936840218517</v>
          </cell>
          <cell r="T507">
            <v>715.22099395039163</v>
          </cell>
          <cell r="U507">
            <v>60.44815461482051</v>
          </cell>
        </row>
        <row r="508">
          <cell r="I508">
            <v>39560</v>
          </cell>
          <cell r="J508">
            <v>5430</v>
          </cell>
          <cell r="K508">
            <v>189.5</v>
          </cell>
          <cell r="L508">
            <v>885</v>
          </cell>
          <cell r="M508">
            <v>3800</v>
          </cell>
          <cell r="N508">
            <v>6.9882999999999997</v>
          </cell>
          <cell r="O508">
            <v>777.01300745531819</v>
          </cell>
          <cell r="P508">
            <v>322.14999999999998</v>
          </cell>
          <cell r="Q508">
            <v>88.648169082609513</v>
          </cell>
          <cell r="R508">
            <v>97.877881602106385</v>
          </cell>
          <cell r="S508">
            <v>207.41913047094226</v>
          </cell>
          <cell r="T508">
            <v>716.09518115565811</v>
          </cell>
          <cell r="U508">
            <v>60.250935550410986</v>
          </cell>
        </row>
        <row r="509">
          <cell r="I509">
            <v>39561</v>
          </cell>
          <cell r="J509">
            <v>5440</v>
          </cell>
          <cell r="K509">
            <v>189.5</v>
          </cell>
          <cell r="L509">
            <v>885</v>
          </cell>
          <cell r="M509">
            <v>3800</v>
          </cell>
          <cell r="N509">
            <v>6.9825999999999997</v>
          </cell>
          <cell r="O509">
            <v>779.07942600177591</v>
          </cell>
          <cell r="P509">
            <v>322.14999999999998</v>
          </cell>
          <cell r="Q509">
            <v>88.720533898547814</v>
          </cell>
          <cell r="R509">
            <v>97.957780769340928</v>
          </cell>
          <cell r="S509">
            <v>207.69725549295794</v>
          </cell>
          <cell r="T509">
            <v>716.52557016084666</v>
          </cell>
          <cell r="U509">
            <v>60.280238500905057</v>
          </cell>
        </row>
        <row r="510">
          <cell r="I510">
            <v>39562</v>
          </cell>
          <cell r="J510">
            <v>5450</v>
          </cell>
          <cell r="K510">
            <v>189.5</v>
          </cell>
          <cell r="L510">
            <v>885</v>
          </cell>
          <cell r="M510">
            <v>3800</v>
          </cell>
          <cell r="N510">
            <v>6.9935</v>
          </cell>
          <cell r="O510">
            <v>779.29505969829131</v>
          </cell>
          <cell r="P510">
            <v>322.14999999999998</v>
          </cell>
          <cell r="Q510">
            <v>88.582254951025945</v>
          </cell>
          <cell r="R510">
            <v>97.805104740115809</v>
          </cell>
          <cell r="S510">
            <v>207.77086239420117</v>
          </cell>
          <cell r="T510">
            <v>716.308222085343</v>
          </cell>
          <cell r="U510">
            <v>60.28904792226092</v>
          </cell>
        </row>
        <row r="511">
          <cell r="I511">
            <v>39563</v>
          </cell>
          <cell r="J511">
            <v>5450</v>
          </cell>
          <cell r="K511">
            <v>189.5</v>
          </cell>
          <cell r="L511">
            <v>885</v>
          </cell>
          <cell r="M511">
            <v>3800</v>
          </cell>
          <cell r="N511">
            <v>7.0095999999999998</v>
          </cell>
          <cell r="O511">
            <v>777.50513581374116</v>
          </cell>
          <cell r="P511">
            <v>322.14999999999998</v>
          </cell>
          <cell r="Q511">
            <v>88.378794795708743</v>
          </cell>
          <cell r="R511">
            <v>97.580461081944776</v>
          </cell>
          <cell r="S511">
            <v>207.5729911018247</v>
          </cell>
          <cell r="T511">
            <v>715.68224697947812</v>
          </cell>
          <cell r="U511">
            <v>60.647569781720676</v>
          </cell>
        </row>
        <row r="512">
          <cell r="I512">
            <v>39564</v>
          </cell>
          <cell r="J512">
            <v>5450</v>
          </cell>
          <cell r="K512">
            <v>189.5</v>
          </cell>
          <cell r="L512">
            <v>885</v>
          </cell>
          <cell r="M512">
            <v>3800</v>
          </cell>
          <cell r="N512">
            <v>7.0095999999999998</v>
          </cell>
          <cell r="O512">
            <v>777.50513581374116</v>
          </cell>
          <cell r="P512">
            <v>322.14999999999998</v>
          </cell>
          <cell r="Q512">
            <v>88.378794795708743</v>
          </cell>
          <cell r="R512">
            <v>97.580461081944776</v>
          </cell>
          <cell r="S512">
            <v>207.5729911018247</v>
          </cell>
          <cell r="T512">
            <v>715.68224697947812</v>
          </cell>
          <cell r="U512">
            <v>61.006091641180092</v>
          </cell>
        </row>
        <row r="513">
          <cell r="I513">
            <v>39565</v>
          </cell>
          <cell r="J513">
            <v>5450</v>
          </cell>
          <cell r="K513">
            <v>189.5</v>
          </cell>
          <cell r="L513">
            <v>885</v>
          </cell>
          <cell r="M513">
            <v>3800</v>
          </cell>
          <cell r="N513">
            <v>7.0095999999999998</v>
          </cell>
          <cell r="O513">
            <v>777.50513581374116</v>
          </cell>
          <cell r="P513">
            <v>322.14999999999998</v>
          </cell>
          <cell r="Q513">
            <v>88.378794795708743</v>
          </cell>
          <cell r="R513">
            <v>97.580461081944776</v>
          </cell>
          <cell r="S513">
            <v>207.5729911018247</v>
          </cell>
          <cell r="T513">
            <v>715.68224697947812</v>
          </cell>
          <cell r="U513">
            <v>61.36461350063928</v>
          </cell>
        </row>
        <row r="514">
          <cell r="I514">
            <v>39566</v>
          </cell>
          <cell r="J514">
            <v>5480</v>
          </cell>
          <cell r="K514">
            <v>189.5</v>
          </cell>
          <cell r="L514">
            <v>885</v>
          </cell>
          <cell r="M514">
            <v>3800</v>
          </cell>
          <cell r="N514">
            <v>7.0037000000000003</v>
          </cell>
          <cell r="O514">
            <v>782.44356554392675</v>
          </cell>
          <cell r="P514">
            <v>322.14999999999998</v>
          </cell>
          <cell r="Q514">
            <v>88.453246141325295</v>
          </cell>
          <cell r="R514">
            <v>97.662664020446314</v>
          </cell>
          <cell r="S514">
            <v>208.26777898715079</v>
          </cell>
          <cell r="T514">
            <v>716.53368914892235</v>
          </cell>
          <cell r="U514">
            <v>62.54815180733317</v>
          </cell>
        </row>
        <row r="515">
          <cell r="I515">
            <v>39567</v>
          </cell>
          <cell r="J515">
            <v>5540</v>
          </cell>
          <cell r="K515">
            <v>189.5</v>
          </cell>
          <cell r="L515">
            <v>885</v>
          </cell>
          <cell r="M515">
            <v>3600</v>
          </cell>
          <cell r="N515">
            <v>6.9858000000000002</v>
          </cell>
          <cell r="O515">
            <v>793.03730424575565</v>
          </cell>
          <cell r="P515">
            <v>322.14999999999998</v>
          </cell>
          <cell r="Q515">
            <v>88.679893498239281</v>
          </cell>
          <cell r="R515">
            <v>92.75959804174181</v>
          </cell>
          <cell r="S515">
            <v>210.48651979485612</v>
          </cell>
          <cell r="T515">
            <v>714.07601133483718</v>
          </cell>
          <cell r="U515">
            <v>65.125789894655668</v>
          </cell>
        </row>
        <row r="516">
          <cell r="I516">
            <v>39568</v>
          </cell>
          <cell r="J516">
            <v>5570</v>
          </cell>
          <cell r="K516">
            <v>189.5</v>
          </cell>
          <cell r="L516">
            <v>980</v>
          </cell>
          <cell r="M516">
            <v>3600</v>
          </cell>
          <cell r="N516">
            <v>6.9878</v>
          </cell>
          <cell r="O516">
            <v>797.10352328343686</v>
          </cell>
          <cell r="P516">
            <v>322.14999999999998</v>
          </cell>
          <cell r="Q516">
            <v>98.171098199719509</v>
          </cell>
          <cell r="R516">
            <v>92.733049028306482</v>
          </cell>
          <cell r="S516">
            <v>209.70213156360671</v>
          </cell>
          <cell r="T516">
            <v>722.75627879163267</v>
          </cell>
          <cell r="U516">
            <v>66.81055970192358</v>
          </cell>
        </row>
        <row r="517">
          <cell r="I517">
            <v>39569</v>
          </cell>
          <cell r="J517">
            <v>5570</v>
          </cell>
          <cell r="K517">
            <v>189.5</v>
          </cell>
          <cell r="L517">
            <v>980</v>
          </cell>
          <cell r="M517">
            <v>3600</v>
          </cell>
          <cell r="N517">
            <v>6.9874999999999998</v>
          </cell>
          <cell r="O517">
            <v>797.13774597495535</v>
          </cell>
          <cell r="P517">
            <v>322.14999999999998</v>
          </cell>
          <cell r="Q517">
            <v>98.175313059033982</v>
          </cell>
          <cell r="R517">
            <v>92.737030411449027</v>
          </cell>
          <cell r="S517">
            <v>209.70591318441052</v>
          </cell>
          <cell r="T517">
            <v>722.76825665489355</v>
          </cell>
          <cell r="U517">
            <v>68.436652802939761</v>
          </cell>
        </row>
        <row r="518">
          <cell r="I518">
            <v>39570</v>
          </cell>
          <cell r="J518">
            <v>5650</v>
          </cell>
          <cell r="K518">
            <v>189.5</v>
          </cell>
          <cell r="L518">
            <v>980</v>
          </cell>
          <cell r="M518">
            <v>3600</v>
          </cell>
          <cell r="N518">
            <v>6.9874999999999998</v>
          </cell>
          <cell r="O518">
            <v>808.58676207513417</v>
          </cell>
          <cell r="P518">
            <v>322.14999999999998</v>
          </cell>
          <cell r="Q518">
            <v>98.175313059033982</v>
          </cell>
          <cell r="R518">
            <v>92.737030411449027</v>
          </cell>
          <cell r="S518">
            <v>211.36944543828258</v>
          </cell>
          <cell r="T518">
            <v>724.43178890876561</v>
          </cell>
          <cell r="U518">
            <v>71.626950564668959</v>
          </cell>
        </row>
        <row r="519">
          <cell r="I519">
            <v>39571</v>
          </cell>
          <cell r="J519">
            <v>5650</v>
          </cell>
          <cell r="K519">
            <v>189.5</v>
          </cell>
          <cell r="L519">
            <v>980</v>
          </cell>
          <cell r="M519">
            <v>3600</v>
          </cell>
          <cell r="N519">
            <v>6.9874999999999998</v>
          </cell>
          <cell r="O519">
            <v>808.58676207513417</v>
          </cell>
          <cell r="P519">
            <v>322.14999999999998</v>
          </cell>
          <cell r="Q519">
            <v>98.175313059033982</v>
          </cell>
          <cell r="R519">
            <v>92.737030411449027</v>
          </cell>
          <cell r="S519">
            <v>211.36944543828258</v>
          </cell>
          <cell r="T519">
            <v>724.43178890876561</v>
          </cell>
          <cell r="U519">
            <v>74.817248326398499</v>
          </cell>
        </row>
        <row r="520">
          <cell r="I520">
            <v>39572</v>
          </cell>
          <cell r="J520">
            <v>5650</v>
          </cell>
          <cell r="K520">
            <v>189.5</v>
          </cell>
          <cell r="L520">
            <v>980</v>
          </cell>
          <cell r="M520">
            <v>3600</v>
          </cell>
          <cell r="N520">
            <v>6.9874999999999998</v>
          </cell>
          <cell r="O520">
            <v>808.58676207513417</v>
          </cell>
          <cell r="P520">
            <v>322.14999999999998</v>
          </cell>
          <cell r="Q520">
            <v>98.175313059033982</v>
          </cell>
          <cell r="R520">
            <v>92.737030411449027</v>
          </cell>
          <cell r="S520">
            <v>211.36944543828258</v>
          </cell>
          <cell r="T520">
            <v>724.43178890876561</v>
          </cell>
          <cell r="U520">
            <v>78.007546088127697</v>
          </cell>
        </row>
        <row r="521">
          <cell r="I521">
            <v>39573</v>
          </cell>
          <cell r="J521">
            <v>5650</v>
          </cell>
          <cell r="K521">
            <v>189.5</v>
          </cell>
          <cell r="L521">
            <v>980</v>
          </cell>
          <cell r="M521">
            <v>3600</v>
          </cell>
          <cell r="N521">
            <v>6.9878999999999998</v>
          </cell>
          <cell r="O521">
            <v>808.54047711043381</v>
          </cell>
          <cell r="P521">
            <v>322.14999999999998</v>
          </cell>
          <cell r="Q521">
            <v>98.16969332703674</v>
          </cell>
          <cell r="R521">
            <v>92.731721976559484</v>
          </cell>
          <cell r="S521">
            <v>211.36430812577987</v>
          </cell>
          <cell r="T521">
            <v>724.41572342937604</v>
          </cell>
          <cell r="U521">
            <v>80.609671414706895</v>
          </cell>
        </row>
        <row r="522">
          <cell r="I522">
            <v>39574</v>
          </cell>
          <cell r="J522">
            <v>5650</v>
          </cell>
          <cell r="K522">
            <v>189.5</v>
          </cell>
          <cell r="L522">
            <v>980</v>
          </cell>
          <cell r="M522">
            <v>3600</v>
          </cell>
          <cell r="N522">
            <v>6.9878</v>
          </cell>
          <cell r="O522">
            <v>808.55204785483272</v>
          </cell>
          <cell r="P522">
            <v>322.14999999999998</v>
          </cell>
          <cell r="Q522">
            <v>98.171098199719509</v>
          </cell>
          <cell r="R522">
            <v>92.733049028306482</v>
          </cell>
          <cell r="S522">
            <v>211.36559239876681</v>
          </cell>
          <cell r="T522">
            <v>724.41973962679276</v>
          </cell>
          <cell r="U522">
            <v>81.348387888581215</v>
          </cell>
        </row>
        <row r="523">
          <cell r="I523">
            <v>39575</v>
          </cell>
          <cell r="J523">
            <v>5640</v>
          </cell>
          <cell r="K523">
            <v>189.5</v>
          </cell>
          <cell r="L523">
            <v>980</v>
          </cell>
          <cell r="M523">
            <v>3600</v>
          </cell>
          <cell r="N523">
            <v>6.9871999999999996</v>
          </cell>
          <cell r="O523">
            <v>807.19029081749488</v>
          </cell>
          <cell r="P523">
            <v>322.14999999999998</v>
          </cell>
          <cell r="Q523">
            <v>98.179528280283947</v>
          </cell>
          <cell r="R523">
            <v>92.741012136478133</v>
          </cell>
          <cell r="S523">
            <v>211.16534834882441</v>
          </cell>
          <cell r="T523">
            <v>724.23588876558642</v>
          </cell>
          <cell r="U523">
            <v>82.577981825739244</v>
          </cell>
        </row>
        <row r="524">
          <cell r="I524">
            <v>39576</v>
          </cell>
          <cell r="J524">
            <v>5640</v>
          </cell>
          <cell r="K524">
            <v>189.5</v>
          </cell>
          <cell r="L524">
            <v>980</v>
          </cell>
          <cell r="M524">
            <v>3600</v>
          </cell>
          <cell r="N524">
            <v>7.0050999999999997</v>
          </cell>
          <cell r="O524">
            <v>805.12769268104671</v>
          </cell>
          <cell r="P524">
            <v>322.14999999999998</v>
          </cell>
          <cell r="Q524">
            <v>97.92865198212732</v>
          </cell>
          <cell r="R524">
            <v>92.504032776120255</v>
          </cell>
          <cell r="S524">
            <v>210.9365396127144</v>
          </cell>
          <cell r="T524">
            <v>723.51922437096187</v>
          </cell>
          <cell r="U524">
            <v>83.612121681456756</v>
          </cell>
        </row>
        <row r="525">
          <cell r="I525">
            <v>39577</v>
          </cell>
          <cell r="J525">
            <v>5640</v>
          </cell>
          <cell r="K525">
            <v>189.5</v>
          </cell>
          <cell r="L525">
            <v>980</v>
          </cell>
          <cell r="M525">
            <v>3600</v>
          </cell>
          <cell r="N525">
            <v>6.9917999999999996</v>
          </cell>
          <cell r="O525">
            <v>806.6592293829915</v>
          </cell>
          <cell r="P525">
            <v>322.14999999999998</v>
          </cell>
          <cell r="Q525">
            <v>98.114934637718477</v>
          </cell>
          <cell r="R525">
            <v>92.679996567407528</v>
          </cell>
          <cell r="S525">
            <v>211.10643648738221</v>
          </cell>
          <cell r="T525">
            <v>724.05136769250817</v>
          </cell>
          <cell r="U525">
            <v>83.391105756330262</v>
          </cell>
        </row>
        <row r="526">
          <cell r="I526">
            <v>39578</v>
          </cell>
          <cell r="J526">
            <v>5640</v>
          </cell>
          <cell r="K526">
            <v>189.5</v>
          </cell>
          <cell r="L526">
            <v>980</v>
          </cell>
          <cell r="M526">
            <v>3600</v>
          </cell>
          <cell r="N526">
            <v>6.9917999999999996</v>
          </cell>
          <cell r="O526">
            <v>806.6592293829915</v>
          </cell>
          <cell r="P526">
            <v>322.14999999999998</v>
          </cell>
          <cell r="Q526">
            <v>98.114934637718477</v>
          </cell>
          <cell r="R526">
            <v>92.679996567407528</v>
          </cell>
          <cell r="S526">
            <v>211.10643648738221</v>
          </cell>
          <cell r="T526">
            <v>724.05136769250817</v>
          </cell>
          <cell r="U526">
            <v>83.170089831203541</v>
          </cell>
        </row>
        <row r="527">
          <cell r="I527">
            <v>39579</v>
          </cell>
          <cell r="J527">
            <v>5640</v>
          </cell>
          <cell r="K527">
            <v>189.5</v>
          </cell>
          <cell r="L527">
            <v>980</v>
          </cell>
          <cell r="M527">
            <v>3600</v>
          </cell>
          <cell r="N527">
            <v>6.9917999999999996</v>
          </cell>
          <cell r="O527">
            <v>806.6592293829915</v>
          </cell>
          <cell r="P527">
            <v>322.14999999999998</v>
          </cell>
          <cell r="Q527">
            <v>98.114934637718477</v>
          </cell>
          <cell r="R527">
            <v>92.679996567407528</v>
          </cell>
          <cell r="S527">
            <v>211.10643648738221</v>
          </cell>
          <cell r="T527">
            <v>724.05136769250817</v>
          </cell>
          <cell r="U527">
            <v>82.949073906077274</v>
          </cell>
        </row>
        <row r="528">
          <cell r="I528">
            <v>39580</v>
          </cell>
          <cell r="J528">
            <v>5680</v>
          </cell>
          <cell r="K528">
            <v>189.5</v>
          </cell>
          <cell r="L528">
            <v>980</v>
          </cell>
          <cell r="M528">
            <v>3600</v>
          </cell>
          <cell r="N528">
            <v>6.9884000000000004</v>
          </cell>
          <cell r="O528">
            <v>812.77545647072282</v>
          </cell>
          <cell r="P528">
            <v>322.14999999999998</v>
          </cell>
          <cell r="Q528">
            <v>98.162669566710534</v>
          </cell>
          <cell r="R528">
            <v>92.725087287504991</v>
          </cell>
          <cell r="S528">
            <v>211.98163156821045</v>
          </cell>
          <cell r="T528">
            <v>725.01938842242589</v>
          </cell>
          <cell r="U528">
            <v>83.467833101397218</v>
          </cell>
        </row>
        <row r="529">
          <cell r="I529">
            <v>39581</v>
          </cell>
          <cell r="J529">
            <v>5720</v>
          </cell>
          <cell r="K529">
            <v>189.5</v>
          </cell>
          <cell r="L529">
            <v>980</v>
          </cell>
          <cell r="M529">
            <v>3600</v>
          </cell>
          <cell r="N529">
            <v>6.9896000000000003</v>
          </cell>
          <cell r="O529">
            <v>818.35870436076459</v>
          </cell>
          <cell r="P529">
            <v>322.14999999999998</v>
          </cell>
          <cell r="Q529">
            <v>98.145816641867896</v>
          </cell>
          <cell r="R529">
            <v>92.70916790660408</v>
          </cell>
          <cell r="S529">
            <v>212.79763450264085</v>
          </cell>
          <cell r="T529">
            <v>725.80261905111274</v>
          </cell>
          <cell r="U529">
            <v>84.671229827341676</v>
          </cell>
        </row>
        <row r="530">
          <cell r="I530">
            <v>39582</v>
          </cell>
          <cell r="J530">
            <v>5770</v>
          </cell>
          <cell r="K530">
            <v>189.5</v>
          </cell>
          <cell r="L530">
            <v>980</v>
          </cell>
          <cell r="M530">
            <v>3600</v>
          </cell>
          <cell r="N530">
            <v>7.0026999999999999</v>
          </cell>
          <cell r="O530">
            <v>823.96789809644849</v>
          </cell>
          <cell r="P530">
            <v>322.14999999999998</v>
          </cell>
          <cell r="Q530">
            <v>97.962214574378436</v>
          </cell>
          <cell r="R530">
            <v>92.535736216030955</v>
          </cell>
          <cell r="S530">
            <v>213.66452225814237</v>
          </cell>
          <cell r="T530">
            <v>726.31247304855174</v>
          </cell>
          <cell r="U530">
            <v>86.771375969625751</v>
          </cell>
        </row>
        <row r="531">
          <cell r="I531">
            <v>39583</v>
          </cell>
          <cell r="J531">
            <v>5770</v>
          </cell>
          <cell r="K531">
            <v>189.5</v>
          </cell>
          <cell r="L531">
            <v>980</v>
          </cell>
          <cell r="M531">
            <v>3600</v>
          </cell>
          <cell r="N531">
            <v>6.9947999999999997</v>
          </cell>
          <cell r="O531">
            <v>824.89849602561912</v>
          </cell>
          <cell r="P531">
            <v>322.14999999999998</v>
          </cell>
          <cell r="Q531">
            <v>98.072854120203587</v>
          </cell>
          <cell r="R531">
            <v>92.640247040658778</v>
          </cell>
          <cell r="S531">
            <v>213.76847617693045</v>
          </cell>
          <cell r="T531">
            <v>726.63157733779281</v>
          </cell>
          <cell r="U531">
            <v>89.151154595017374</v>
          </cell>
        </row>
        <row r="532">
          <cell r="I532">
            <v>39584</v>
          </cell>
          <cell r="J532">
            <v>5770</v>
          </cell>
          <cell r="K532">
            <v>177.5</v>
          </cell>
          <cell r="L532">
            <v>980</v>
          </cell>
          <cell r="M532">
            <v>3600</v>
          </cell>
          <cell r="N532">
            <v>6.9889999999999999</v>
          </cell>
          <cell r="O532">
            <v>825.58305909286025</v>
          </cell>
          <cell r="P532">
            <v>301.75</v>
          </cell>
          <cell r="Q532">
            <v>98.154242380884241</v>
          </cell>
          <cell r="R532">
            <v>92.717126913721557</v>
          </cell>
          <cell r="S532">
            <v>216.8090489450455</v>
          </cell>
          <cell r="T532">
            <v>709.43041823965132</v>
          </cell>
          <cell r="U532">
            <v>93.943265903978045</v>
          </cell>
        </row>
        <row r="533">
          <cell r="I533">
            <v>39585</v>
          </cell>
          <cell r="J533">
            <v>5770</v>
          </cell>
          <cell r="K533">
            <v>177.5</v>
          </cell>
          <cell r="L533">
            <v>980</v>
          </cell>
          <cell r="M533">
            <v>3600</v>
          </cell>
          <cell r="N533">
            <v>6.9889999999999999</v>
          </cell>
          <cell r="O533">
            <v>825.58305909286025</v>
          </cell>
          <cell r="P533">
            <v>301.75</v>
          </cell>
          <cell r="Q533">
            <v>98.154242380884241</v>
          </cell>
          <cell r="R533">
            <v>92.717126913721557</v>
          </cell>
          <cell r="S533">
            <v>216.8090489450455</v>
          </cell>
          <cell r="T533">
            <v>709.43041823965132</v>
          </cell>
          <cell r="U533">
            <v>98.735377212938943</v>
          </cell>
        </row>
        <row r="534">
          <cell r="I534">
            <v>39586</v>
          </cell>
          <cell r="J534">
            <v>5770</v>
          </cell>
          <cell r="K534">
            <v>177.5</v>
          </cell>
          <cell r="L534">
            <v>980</v>
          </cell>
          <cell r="M534">
            <v>3600</v>
          </cell>
          <cell r="N534">
            <v>6.9889999999999999</v>
          </cell>
          <cell r="O534">
            <v>825.58305909286025</v>
          </cell>
          <cell r="P534">
            <v>301.75</v>
          </cell>
          <cell r="Q534">
            <v>98.154242380884241</v>
          </cell>
          <cell r="R534">
            <v>92.717126913721557</v>
          </cell>
          <cell r="S534">
            <v>216.8090489450455</v>
          </cell>
          <cell r="T534">
            <v>709.43041823965132</v>
          </cell>
          <cell r="U534">
            <v>103.52748852189961</v>
          </cell>
        </row>
        <row r="535">
          <cell r="I535">
            <v>39587</v>
          </cell>
          <cell r="J535">
            <v>5770</v>
          </cell>
          <cell r="K535">
            <v>177.5</v>
          </cell>
          <cell r="L535">
            <v>980</v>
          </cell>
          <cell r="M535">
            <v>3600</v>
          </cell>
          <cell r="N535">
            <v>6.9755000000000003</v>
          </cell>
          <cell r="O535">
            <v>827.18084725109304</v>
          </cell>
          <cell r="P535">
            <v>301.75</v>
          </cell>
          <cell r="Q535">
            <v>98.344204716507761</v>
          </cell>
          <cell r="R535">
            <v>92.89656655436886</v>
          </cell>
          <cell r="S535">
            <v>216.98753240738182</v>
          </cell>
          <cell r="T535">
            <v>709.9783036782585</v>
          </cell>
          <cell r="U535">
            <v>107.73412788254802</v>
          </cell>
        </row>
        <row r="536">
          <cell r="I536">
            <v>39588</v>
          </cell>
          <cell r="J536">
            <v>5770</v>
          </cell>
          <cell r="K536">
            <v>177.5</v>
          </cell>
          <cell r="L536">
            <v>980</v>
          </cell>
          <cell r="M536">
            <v>4050</v>
          </cell>
          <cell r="N536">
            <v>6.9755000000000003</v>
          </cell>
          <cell r="O536">
            <v>827.18084725109304</v>
          </cell>
          <cell r="P536">
            <v>301.75</v>
          </cell>
          <cell r="Q536">
            <v>98.344204716507761</v>
          </cell>
          <cell r="R536">
            <v>104.50863737366495</v>
          </cell>
          <cell r="S536">
            <v>215.30030844218498</v>
          </cell>
          <cell r="T536">
            <v>719.9031505323577</v>
          </cell>
          <cell r="U536">
            <v>109.83721522670271</v>
          </cell>
        </row>
        <row r="537">
          <cell r="I537">
            <v>39589</v>
          </cell>
          <cell r="J537">
            <v>5770</v>
          </cell>
          <cell r="K537">
            <v>177.5</v>
          </cell>
          <cell r="L537">
            <v>980</v>
          </cell>
          <cell r="M537">
            <v>4050</v>
          </cell>
          <cell r="N537">
            <v>6.9588000000000001</v>
          </cell>
          <cell r="O537">
            <v>829.16594815198016</v>
          </cell>
          <cell r="P537">
            <v>301.75</v>
          </cell>
          <cell r="Q537">
            <v>98.580214979594174</v>
          </cell>
          <cell r="R537">
            <v>104.75944128297982</v>
          </cell>
          <cell r="S537">
            <v>215.51800822324702</v>
          </cell>
          <cell r="T537">
            <v>720.60766448582103</v>
          </cell>
          <cell r="U537">
            <v>111.39476645788307</v>
          </cell>
        </row>
        <row r="538">
          <cell r="I538">
            <v>39590</v>
          </cell>
          <cell r="J538">
            <v>5750</v>
          </cell>
          <cell r="K538">
            <v>177.5</v>
          </cell>
          <cell r="L538">
            <v>980</v>
          </cell>
          <cell r="M538">
            <v>4050</v>
          </cell>
          <cell r="N538">
            <v>6.9429999999999996</v>
          </cell>
          <cell r="O538">
            <v>828.17225983004471</v>
          </cell>
          <cell r="P538">
            <v>301.75</v>
          </cell>
          <cell r="Q538">
            <v>98.804551346680114</v>
          </cell>
          <cell r="R538">
            <v>104.99783955062654</v>
          </cell>
          <cell r="S538">
            <v>215.30639121244917</v>
          </cell>
          <cell r="T538">
            <v>720.85878210975579</v>
          </cell>
          <cell r="U538">
            <v>112.68713203394918</v>
          </cell>
        </row>
        <row r="539">
          <cell r="I539">
            <v>39591</v>
          </cell>
          <cell r="J539">
            <v>5750</v>
          </cell>
          <cell r="K539">
            <v>181.5</v>
          </cell>
          <cell r="L539">
            <v>980</v>
          </cell>
          <cell r="M539">
            <v>4050</v>
          </cell>
          <cell r="N539">
            <v>6.9417</v>
          </cell>
          <cell r="O539">
            <v>828.32735497068438</v>
          </cell>
          <cell r="P539">
            <v>308.55</v>
          </cell>
          <cell r="Q539">
            <v>98.823054871285137</v>
          </cell>
          <cell r="R539">
            <v>105.01750291715285</v>
          </cell>
          <cell r="S539">
            <v>214.33534659912976</v>
          </cell>
          <cell r="T539">
            <v>726.72590438756765</v>
          </cell>
          <cell r="U539">
            <v>110.60839056679333</v>
          </cell>
        </row>
        <row r="540">
          <cell r="I540">
            <v>39592</v>
          </cell>
          <cell r="J540">
            <v>5750</v>
          </cell>
          <cell r="K540">
            <v>181.5</v>
          </cell>
          <cell r="L540">
            <v>980</v>
          </cell>
          <cell r="M540">
            <v>4050</v>
          </cell>
          <cell r="N540">
            <v>6.9417</v>
          </cell>
          <cell r="O540">
            <v>828.32735497068438</v>
          </cell>
          <cell r="P540">
            <v>308.55</v>
          </cell>
          <cell r="Q540">
            <v>98.823054871285137</v>
          </cell>
          <cell r="R540">
            <v>105.01750291715285</v>
          </cell>
          <cell r="S540">
            <v>214.33534659912976</v>
          </cell>
          <cell r="T540">
            <v>726.72590438756765</v>
          </cell>
          <cell r="U540">
            <v>108.52964909963725</v>
          </cell>
        </row>
        <row r="541">
          <cell r="I541">
            <v>39593</v>
          </cell>
          <cell r="J541">
            <v>5750</v>
          </cell>
          <cell r="K541">
            <v>181.5</v>
          </cell>
          <cell r="L541">
            <v>980</v>
          </cell>
          <cell r="M541">
            <v>4050</v>
          </cell>
          <cell r="N541">
            <v>6.9417</v>
          </cell>
          <cell r="O541">
            <v>828.32735497068438</v>
          </cell>
          <cell r="P541">
            <v>308.55</v>
          </cell>
          <cell r="Q541">
            <v>98.823054871285137</v>
          </cell>
          <cell r="R541">
            <v>105.01750291715285</v>
          </cell>
          <cell r="S541">
            <v>214.33534659912976</v>
          </cell>
          <cell r="T541">
            <v>726.72590438756765</v>
          </cell>
          <cell r="U541">
            <v>106.45090763248129</v>
          </cell>
        </row>
        <row r="542">
          <cell r="I542">
            <v>39594</v>
          </cell>
          <cell r="J542">
            <v>5750</v>
          </cell>
          <cell r="K542">
            <v>181.5</v>
          </cell>
          <cell r="L542">
            <v>980</v>
          </cell>
          <cell r="M542">
            <v>4050</v>
          </cell>
          <cell r="N542">
            <v>6.9367000000000001</v>
          </cell>
          <cell r="O542">
            <v>828.92441650929118</v>
          </cell>
          <cell r="P542">
            <v>308.55</v>
          </cell>
          <cell r="Q542">
            <v>98.894286908760648</v>
          </cell>
          <cell r="R542">
            <v>105.09319993656926</v>
          </cell>
          <cell r="S542">
            <v>214.40075046399431</v>
          </cell>
          <cell r="T542">
            <v>726.93823730932422</v>
          </cell>
          <cell r="U542">
            <v>104.27714129350022</v>
          </cell>
        </row>
        <row r="543">
          <cell r="I543">
            <v>39595</v>
          </cell>
          <cell r="J543">
            <v>5800</v>
          </cell>
          <cell r="K543">
            <v>181.5</v>
          </cell>
          <cell r="L543">
            <v>980</v>
          </cell>
          <cell r="M543">
            <v>4050</v>
          </cell>
          <cell r="N543">
            <v>6.9562999999999997</v>
          </cell>
          <cell r="O543">
            <v>833.7765766283801</v>
          </cell>
          <cell r="P543">
            <v>308.55</v>
          </cell>
          <cell r="Q543">
            <v>98.615643373632523</v>
          </cell>
          <cell r="R543">
            <v>104.79709040725673</v>
          </cell>
          <cell r="S543">
            <v>215.1892763111739</v>
          </cell>
          <cell r="T543">
            <v>727.15201009206316</v>
          </cell>
          <cell r="U543">
            <v>104.18383698172613</v>
          </cell>
        </row>
        <row r="544">
          <cell r="I544">
            <v>39596</v>
          </cell>
          <cell r="J544">
            <v>5800</v>
          </cell>
          <cell r="K544">
            <v>181.5</v>
          </cell>
          <cell r="L544">
            <v>980</v>
          </cell>
          <cell r="M544">
            <v>4050</v>
          </cell>
          <cell r="N544">
            <v>6.9447000000000001</v>
          </cell>
          <cell r="O544">
            <v>835.16926577101958</v>
          </cell>
          <cell r="P544">
            <v>308.55</v>
          </cell>
          <cell r="Q544">
            <v>98.780364882572314</v>
          </cell>
          <cell r="R544">
            <v>104.97213702535745</v>
          </cell>
          <cell r="S544">
            <v>215.34226483480785</v>
          </cell>
          <cell r="T544">
            <v>727.6447667427376</v>
          </cell>
          <cell r="U544">
            <v>104.03615346202935</v>
          </cell>
        </row>
        <row r="545">
          <cell r="I545">
            <v>39597</v>
          </cell>
          <cell r="J545">
            <v>5800</v>
          </cell>
          <cell r="K545">
            <v>181.5</v>
          </cell>
          <cell r="L545">
            <v>980</v>
          </cell>
          <cell r="M545">
            <v>4050</v>
          </cell>
          <cell r="N545">
            <v>6.9379999999999997</v>
          </cell>
          <cell r="O545">
            <v>835.97578552897096</v>
          </cell>
          <cell r="P545">
            <v>308.55</v>
          </cell>
          <cell r="Q545">
            <v>98.875756702219661</v>
          </cell>
          <cell r="R545">
            <v>105.0735082156241</v>
          </cell>
          <cell r="S545">
            <v>215.43086196913811</v>
          </cell>
          <cell r="T545">
            <v>727.93012688698195</v>
          </cell>
          <cell r="U545">
            <v>104.14075073655783</v>
          </cell>
        </row>
        <row r="546">
          <cell r="I546">
            <v>39598</v>
          </cell>
          <cell r="J546">
            <v>5820</v>
          </cell>
          <cell r="K546">
            <v>181.5</v>
          </cell>
          <cell r="L546">
            <v>980</v>
          </cell>
          <cell r="M546">
            <v>4050</v>
          </cell>
          <cell r="N546">
            <v>6.9420999999999999</v>
          </cell>
          <cell r="O546">
            <v>838.36303135938692</v>
          </cell>
          <cell r="P546">
            <v>308.55</v>
          </cell>
          <cell r="Q546">
            <v>98.817360740986146</v>
          </cell>
          <cell r="R546">
            <v>105.01145186615001</v>
          </cell>
          <cell r="S546">
            <v>215.79522836571158</v>
          </cell>
          <cell r="T546">
            <v>728.17404097284771</v>
          </cell>
          <cell r="U546">
            <v>105.3675421370466</v>
          </cell>
        </row>
        <row r="547">
          <cell r="I547">
            <v>39599</v>
          </cell>
          <cell r="J547">
            <v>5820</v>
          </cell>
          <cell r="K547">
            <v>181.5</v>
          </cell>
          <cell r="L547">
            <v>992</v>
          </cell>
          <cell r="M547">
            <v>4050</v>
          </cell>
          <cell r="N547">
            <v>6.9420999999999999</v>
          </cell>
          <cell r="O547">
            <v>838.36303135938692</v>
          </cell>
          <cell r="P547">
            <v>308.55</v>
          </cell>
          <cell r="Q547">
            <v>100.02736923985536</v>
          </cell>
          <cell r="R547">
            <v>105.01145186615001</v>
          </cell>
          <cell r="S547">
            <v>215.61941516502122</v>
          </cell>
          <cell r="T547">
            <v>729.20823627102664</v>
          </cell>
          <cell r="U547">
            <v>106.44659135208167</v>
          </cell>
        </row>
        <row r="548">
          <cell r="I548">
            <v>39600</v>
          </cell>
          <cell r="J548">
            <v>5820</v>
          </cell>
          <cell r="K548">
            <v>181.5</v>
          </cell>
          <cell r="L548">
            <v>992</v>
          </cell>
          <cell r="M548">
            <v>4050</v>
          </cell>
          <cell r="N548">
            <v>6.9420999999999999</v>
          </cell>
          <cell r="O548">
            <v>838.36303135938692</v>
          </cell>
          <cell r="P548">
            <v>308.55</v>
          </cell>
          <cell r="Q548">
            <v>100.02736923985536</v>
          </cell>
          <cell r="R548">
            <v>105.01145186615001</v>
          </cell>
          <cell r="S548">
            <v>215.61941516502122</v>
          </cell>
          <cell r="T548">
            <v>729.20823627102664</v>
          </cell>
          <cell r="U548">
            <v>107.52564056711617</v>
          </cell>
        </row>
        <row r="549">
          <cell r="I549">
            <v>39601</v>
          </cell>
          <cell r="J549">
            <v>5870</v>
          </cell>
          <cell r="K549">
            <v>181.5</v>
          </cell>
          <cell r="L549">
            <v>992</v>
          </cell>
          <cell r="M549">
            <v>4050</v>
          </cell>
          <cell r="N549">
            <v>6.9332000000000003</v>
          </cell>
          <cell r="O549">
            <v>846.65089713263717</v>
          </cell>
          <cell r="P549">
            <v>308.55</v>
          </cell>
          <cell r="Q549">
            <v>100.15577222638896</v>
          </cell>
          <cell r="R549">
            <v>105.14625281255408</v>
          </cell>
          <cell r="S549">
            <v>216.78539167173335</v>
          </cell>
          <cell r="T549">
            <v>730.63741671067635</v>
          </cell>
          <cell r="U549">
            <v>109.52954074168701</v>
          </cell>
        </row>
        <row r="550">
          <cell r="I550">
            <v>39602</v>
          </cell>
          <cell r="J550">
            <v>5900</v>
          </cell>
          <cell r="K550">
            <v>181.5</v>
          </cell>
          <cell r="L550">
            <v>992</v>
          </cell>
          <cell r="M550">
            <v>4150</v>
          </cell>
          <cell r="N550">
            <v>6.9251000000000005</v>
          </cell>
          <cell r="O550">
            <v>851.9732567038742</v>
          </cell>
          <cell r="P550">
            <v>308.55</v>
          </cell>
          <cell r="Q550">
            <v>100.27292024663903</v>
          </cell>
          <cell r="R550">
            <v>107.86847843352442</v>
          </cell>
          <cell r="S550">
            <v>217.14616740515453</v>
          </cell>
          <cell r="T550">
            <v>733.83756608531803</v>
          </cell>
          <cell r="U550">
            <v>111.17398703914967</v>
          </cell>
        </row>
        <row r="551">
          <cell r="I551">
            <v>39603</v>
          </cell>
          <cell r="J551">
            <v>5920</v>
          </cell>
          <cell r="K551">
            <v>181.5</v>
          </cell>
          <cell r="L551">
            <v>992</v>
          </cell>
          <cell r="M551">
            <v>4150</v>
          </cell>
          <cell r="N551">
            <v>6.9391999999999996</v>
          </cell>
          <cell r="O551">
            <v>853.12427945584511</v>
          </cell>
          <cell r="P551">
            <v>308.55</v>
          </cell>
          <cell r="Q551">
            <v>100.0691722388748</v>
          </cell>
          <cell r="R551">
            <v>107.64929674890477</v>
          </cell>
          <cell r="S551">
            <v>217.37486135006077</v>
          </cell>
          <cell r="T551">
            <v>733.64333033784033</v>
          </cell>
          <cell r="U551">
            <v>112.88205133768156</v>
          </cell>
        </row>
        <row r="552">
          <cell r="I552">
            <v>39604</v>
          </cell>
          <cell r="J552">
            <v>5920</v>
          </cell>
          <cell r="K552">
            <v>181.5</v>
          </cell>
          <cell r="L552">
            <v>992</v>
          </cell>
          <cell r="M552">
            <v>4150</v>
          </cell>
          <cell r="N552">
            <v>6.9466999999999999</v>
          </cell>
          <cell r="O552">
            <v>852.20320439921113</v>
          </cell>
          <cell r="P552">
            <v>308.55</v>
          </cell>
          <cell r="Q552">
            <v>99.961132624123692</v>
          </cell>
          <cell r="R552">
            <v>107.53307325780587</v>
          </cell>
          <cell r="S552">
            <v>217.27361516917767</v>
          </cell>
          <cell r="T552">
            <v>733.31782105110722</v>
          </cell>
          <cell r="U552">
            <v>114.43058343855523</v>
          </cell>
        </row>
        <row r="553">
          <cell r="I553">
            <v>39605</v>
          </cell>
          <cell r="J553">
            <v>5920</v>
          </cell>
          <cell r="K553">
            <v>172.5</v>
          </cell>
          <cell r="L553">
            <v>992</v>
          </cell>
          <cell r="M553">
            <v>4150</v>
          </cell>
          <cell r="N553">
            <v>6.9230999999999998</v>
          </cell>
          <cell r="O553">
            <v>855.10826075024193</v>
          </cell>
          <cell r="P553">
            <v>293.25</v>
          </cell>
          <cell r="Q553">
            <v>100.30188788259593</v>
          </cell>
          <cell r="R553">
            <v>107.89964033453222</v>
          </cell>
          <cell r="S553">
            <v>219.81602096634987</v>
          </cell>
          <cell r="T553">
            <v>721.26754918347797</v>
          </cell>
          <cell r="U553">
            <v>117.80940075001581</v>
          </cell>
        </row>
        <row r="554">
          <cell r="I554">
            <v>39606</v>
          </cell>
          <cell r="J554">
            <v>5920</v>
          </cell>
          <cell r="K554">
            <v>172.5</v>
          </cell>
          <cell r="L554">
            <v>992</v>
          </cell>
          <cell r="M554">
            <v>4150</v>
          </cell>
          <cell r="N554">
            <v>6.9230999999999998</v>
          </cell>
          <cell r="O554">
            <v>855.10826075024193</v>
          </cell>
          <cell r="P554">
            <v>293.25</v>
          </cell>
          <cell r="Q554">
            <v>100.30188788259593</v>
          </cell>
          <cell r="R554">
            <v>107.89964033453222</v>
          </cell>
          <cell r="S554">
            <v>219.81602096634987</v>
          </cell>
          <cell r="T554">
            <v>721.26754918347797</v>
          </cell>
          <cell r="U554">
            <v>121.33596024693065</v>
          </cell>
        </row>
        <row r="555">
          <cell r="I555">
            <v>39607</v>
          </cell>
          <cell r="J555">
            <v>5920</v>
          </cell>
          <cell r="K555">
            <v>172.5</v>
          </cell>
          <cell r="L555">
            <v>992</v>
          </cell>
          <cell r="M555">
            <v>4150</v>
          </cell>
          <cell r="N555">
            <v>6.9230999999999998</v>
          </cell>
          <cell r="O555">
            <v>855.10826075024193</v>
          </cell>
          <cell r="P555">
            <v>293.25</v>
          </cell>
          <cell r="Q555">
            <v>100.30188788259593</v>
          </cell>
          <cell r="R555">
            <v>107.89964033453222</v>
          </cell>
          <cell r="S555">
            <v>219.81602096634987</v>
          </cell>
          <cell r="T555">
            <v>721.26754918347797</v>
          </cell>
          <cell r="U555">
            <v>124.86251974384538</v>
          </cell>
        </row>
        <row r="556">
          <cell r="I556">
            <v>39608</v>
          </cell>
          <cell r="J556">
            <v>5920</v>
          </cell>
          <cell r="K556">
            <v>172.5</v>
          </cell>
          <cell r="L556">
            <v>992</v>
          </cell>
          <cell r="M556">
            <v>4150</v>
          </cell>
          <cell r="N556">
            <v>6.923</v>
          </cell>
          <cell r="O556">
            <v>855.12061245124949</v>
          </cell>
          <cell r="P556">
            <v>293.25</v>
          </cell>
          <cell r="Q556">
            <v>100.30333670374115</v>
          </cell>
          <cell r="R556">
            <v>107.90119890221003</v>
          </cell>
          <cell r="S556">
            <v>219.81737868692363</v>
          </cell>
          <cell r="T556">
            <v>721.27191429287473</v>
          </cell>
          <cell r="U556">
            <v>127.41040799190455</v>
          </cell>
        </row>
        <row r="557">
          <cell r="I557">
            <v>39609</v>
          </cell>
          <cell r="J557">
            <v>5920</v>
          </cell>
          <cell r="K557">
            <v>172.5</v>
          </cell>
          <cell r="L557">
            <v>992</v>
          </cell>
          <cell r="M557">
            <v>4150</v>
          </cell>
          <cell r="N557">
            <v>6.9253999999999998</v>
          </cell>
          <cell r="O557">
            <v>854.82427007826266</v>
          </cell>
          <cell r="P557">
            <v>293.25</v>
          </cell>
          <cell r="Q557">
            <v>100.26857654431512</v>
          </cell>
          <cell r="R557">
            <v>107.86380570075374</v>
          </cell>
          <cell r="S557">
            <v>219.78480421507942</v>
          </cell>
          <cell r="T557">
            <v>721.16718646014829</v>
          </cell>
          <cell r="U557">
            <v>129.62774984898431</v>
          </cell>
        </row>
        <row r="558">
          <cell r="I558">
            <v>39610</v>
          </cell>
          <cell r="J558">
            <v>5920</v>
          </cell>
          <cell r="K558">
            <v>172.5</v>
          </cell>
          <cell r="L558">
            <v>992</v>
          </cell>
          <cell r="M558">
            <v>4150</v>
          </cell>
          <cell r="N558">
            <v>6.9180999999999999</v>
          </cell>
          <cell r="O558">
            <v>855.72628322805394</v>
          </cell>
          <cell r="P558">
            <v>293.25</v>
          </cell>
          <cell r="Q558">
            <v>100.37438024891227</v>
          </cell>
          <cell r="R558">
            <v>107.97762391408047</v>
          </cell>
          <cell r="S558">
            <v>219.88395507782934</v>
          </cell>
          <cell r="T558">
            <v>721.48595924082213</v>
          </cell>
          <cell r="U558">
            <v>131.73623197315953</v>
          </cell>
        </row>
        <row r="559">
          <cell r="I559">
            <v>39611</v>
          </cell>
          <cell r="J559">
            <v>5920</v>
          </cell>
          <cell r="K559">
            <v>172.5</v>
          </cell>
          <cell r="L559">
            <v>992</v>
          </cell>
          <cell r="M559">
            <v>4150</v>
          </cell>
          <cell r="N559">
            <v>6.9074</v>
          </cell>
          <cell r="O559">
            <v>857.05185742826529</v>
          </cell>
          <cell r="P559">
            <v>293.25</v>
          </cell>
          <cell r="Q559">
            <v>100.52986651996409</v>
          </cell>
          <cell r="R559">
            <v>108.14488809103281</v>
          </cell>
          <cell r="S559">
            <v>220.02966451191077</v>
          </cell>
          <cell r="T559">
            <v>721.95441912290767</v>
          </cell>
          <cell r="U559">
            <v>134.05223982419568</v>
          </cell>
        </row>
        <row r="560">
          <cell r="I560">
            <v>39612</v>
          </cell>
          <cell r="J560">
            <v>5920</v>
          </cell>
          <cell r="K560">
            <v>173.5</v>
          </cell>
          <cell r="L560">
            <v>992</v>
          </cell>
          <cell r="M560">
            <v>4150</v>
          </cell>
          <cell r="N560">
            <v>6.9021999999999997</v>
          </cell>
          <cell r="O560">
            <v>857.69754571006354</v>
          </cell>
          <cell r="P560">
            <v>294.95</v>
          </cell>
          <cell r="Q560">
            <v>100.60560401031555</v>
          </cell>
          <cell r="R560">
            <v>108.22636260902321</v>
          </cell>
          <cell r="S560">
            <v>219.85363114993436</v>
          </cell>
          <cell r="T560">
            <v>723.63559776927309</v>
          </cell>
          <cell r="U560">
            <v>134.08384502048511</v>
          </cell>
        </row>
        <row r="561">
          <cell r="I561">
            <v>39613</v>
          </cell>
          <cell r="J561">
            <v>5920</v>
          </cell>
          <cell r="K561">
            <v>173.5</v>
          </cell>
          <cell r="L561">
            <v>992</v>
          </cell>
          <cell r="M561">
            <v>4150</v>
          </cell>
          <cell r="N561">
            <v>6.9021999999999997</v>
          </cell>
          <cell r="O561">
            <v>857.69754571006354</v>
          </cell>
          <cell r="P561">
            <v>294.95</v>
          </cell>
          <cell r="Q561">
            <v>100.60560401031555</v>
          </cell>
          <cell r="R561">
            <v>108.22636260902321</v>
          </cell>
          <cell r="S561">
            <v>219.85363114993436</v>
          </cell>
          <cell r="T561">
            <v>723.63559776927309</v>
          </cell>
          <cell r="U561">
            <v>134.11545021677489</v>
          </cell>
        </row>
        <row r="562">
          <cell r="I562">
            <v>39614</v>
          </cell>
          <cell r="J562">
            <v>5920</v>
          </cell>
          <cell r="K562">
            <v>173.5</v>
          </cell>
          <cell r="L562">
            <v>992</v>
          </cell>
          <cell r="M562">
            <v>4150</v>
          </cell>
          <cell r="N562">
            <v>6.9021999999999997</v>
          </cell>
          <cell r="O562">
            <v>857.69754571006354</v>
          </cell>
          <cell r="P562">
            <v>294.95</v>
          </cell>
          <cell r="Q562">
            <v>100.60560401031555</v>
          </cell>
          <cell r="R562">
            <v>108.22636260902321</v>
          </cell>
          <cell r="S562">
            <v>219.85363114993436</v>
          </cell>
          <cell r="T562">
            <v>723.63559776927309</v>
          </cell>
          <cell r="U562">
            <v>134.14705541306432</v>
          </cell>
        </row>
        <row r="563">
          <cell r="I563">
            <v>39615</v>
          </cell>
          <cell r="J563">
            <v>5900</v>
          </cell>
          <cell r="K563">
            <v>173.5</v>
          </cell>
          <cell r="L563">
            <v>992</v>
          </cell>
          <cell r="M563">
            <v>4150</v>
          </cell>
          <cell r="N563">
            <v>6.9008000000000003</v>
          </cell>
          <cell r="O563">
            <v>854.97333642476235</v>
          </cell>
          <cell r="P563">
            <v>294.95</v>
          </cell>
          <cell r="Q563">
            <v>100.62601437514489</v>
          </cell>
          <cell r="R563">
            <v>108.24831903547415</v>
          </cell>
          <cell r="S563">
            <v>219.45165001060195</v>
          </cell>
          <cell r="T563">
            <v>723.27598342122099</v>
          </cell>
          <cell r="U563">
            <v>133.83972039094522</v>
          </cell>
        </row>
        <row r="564">
          <cell r="I564">
            <v>39616</v>
          </cell>
          <cell r="J564">
            <v>5840</v>
          </cell>
          <cell r="K564">
            <v>173.5</v>
          </cell>
          <cell r="L564">
            <v>992</v>
          </cell>
          <cell r="M564">
            <v>4125</v>
          </cell>
          <cell r="N564">
            <v>6.8914999999999997</v>
          </cell>
          <cell r="O564">
            <v>847.42073568889214</v>
          </cell>
          <cell r="P564">
            <v>294.95</v>
          </cell>
          <cell r="Q564">
            <v>100.76180802437786</v>
          </cell>
          <cell r="R564">
            <v>107.74142059058259</v>
          </cell>
          <cell r="S564">
            <v>218.40818478851997</v>
          </cell>
          <cell r="T564">
            <v>721.86141340348036</v>
          </cell>
          <cell r="U564">
            <v>132.68289734341636</v>
          </cell>
        </row>
        <row r="565">
          <cell r="I565">
            <v>39617</v>
          </cell>
          <cell r="J565">
            <v>5760</v>
          </cell>
          <cell r="K565">
            <v>173.5</v>
          </cell>
          <cell r="L565">
            <v>992</v>
          </cell>
          <cell r="M565">
            <v>4125</v>
          </cell>
          <cell r="N565">
            <v>6.8822000000000001</v>
          </cell>
          <cell r="O565">
            <v>836.94167562697976</v>
          </cell>
          <cell r="P565">
            <v>294.95</v>
          </cell>
          <cell r="Q565">
            <v>100.8979686728081</v>
          </cell>
          <cell r="R565">
            <v>107.88701287379035</v>
          </cell>
          <cell r="S565">
            <v>216.84464785783319</v>
          </cell>
          <cell r="T565">
            <v>720.57962940443167</v>
          </cell>
          <cell r="U565">
            <v>130.12885766274724</v>
          </cell>
        </row>
        <row r="566">
          <cell r="I566">
            <v>39618</v>
          </cell>
          <cell r="J566">
            <v>5710</v>
          </cell>
          <cell r="K566">
            <v>173.5</v>
          </cell>
          <cell r="L566">
            <v>992</v>
          </cell>
          <cell r="M566">
            <v>4125</v>
          </cell>
          <cell r="N566">
            <v>6.8779000000000003</v>
          </cell>
          <cell r="O566">
            <v>830.19526308902425</v>
          </cell>
          <cell r="P566">
            <v>294.95</v>
          </cell>
          <cell r="Q566">
            <v>100.96104915744631</v>
          </cell>
          <cell r="R566">
            <v>107.95446284476365</v>
          </cell>
          <cell r="S566">
            <v>215.84543391859694</v>
          </cell>
          <cell r="T566">
            <v>719.71094592080692</v>
          </cell>
          <cell r="U566">
            <v>126.61269750029851</v>
          </cell>
        </row>
        <row r="567">
          <cell r="I567">
            <v>39619</v>
          </cell>
          <cell r="J567">
            <v>5710</v>
          </cell>
          <cell r="K567">
            <v>173.5</v>
          </cell>
          <cell r="L567">
            <v>992</v>
          </cell>
          <cell r="M567">
            <v>4125</v>
          </cell>
          <cell r="N567">
            <v>6.8802000000000003</v>
          </cell>
          <cell r="O567">
            <v>829.91773494956533</v>
          </cell>
          <cell r="P567">
            <v>294.95</v>
          </cell>
          <cell r="Q567">
            <v>100.92729862503997</v>
          </cell>
          <cell r="R567">
            <v>107.91837446585855</v>
          </cell>
          <cell r="S567">
            <v>215.81525685125928</v>
          </cell>
          <cell r="T567">
            <v>719.61092994215778</v>
          </cell>
          <cell r="U567">
            <v>123.21910565267262</v>
          </cell>
        </row>
        <row r="568">
          <cell r="I568">
            <v>39620</v>
          </cell>
          <cell r="J568">
            <v>5710</v>
          </cell>
          <cell r="K568">
            <v>173.5</v>
          </cell>
          <cell r="L568">
            <v>992</v>
          </cell>
          <cell r="M568">
            <v>4125</v>
          </cell>
          <cell r="N568">
            <v>6.8802000000000003</v>
          </cell>
          <cell r="O568">
            <v>829.91773494956533</v>
          </cell>
          <cell r="P568">
            <v>294.95</v>
          </cell>
          <cell r="Q568">
            <v>100.92729862503997</v>
          </cell>
          <cell r="R568">
            <v>107.91837446585855</v>
          </cell>
          <cell r="S568">
            <v>215.81525685125928</v>
          </cell>
          <cell r="T568">
            <v>719.61092994215778</v>
          </cell>
          <cell r="U568">
            <v>119.8255138050464</v>
          </cell>
        </row>
        <row r="569">
          <cell r="I569">
            <v>39621</v>
          </cell>
          <cell r="J569">
            <v>5710</v>
          </cell>
          <cell r="K569">
            <v>173.5</v>
          </cell>
          <cell r="L569">
            <v>992</v>
          </cell>
          <cell r="M569">
            <v>4125</v>
          </cell>
          <cell r="N569">
            <v>6.8802000000000003</v>
          </cell>
          <cell r="O569">
            <v>829.91773494956533</v>
          </cell>
          <cell r="P569">
            <v>294.95</v>
          </cell>
          <cell r="Q569">
            <v>100.92729862503997</v>
          </cell>
          <cell r="R569">
            <v>107.91837446585855</v>
          </cell>
          <cell r="S569">
            <v>215.81525685125928</v>
          </cell>
          <cell r="T569">
            <v>719.61092994215778</v>
          </cell>
          <cell r="U569">
            <v>116.43192195742029</v>
          </cell>
        </row>
        <row r="570">
          <cell r="I570">
            <v>39622</v>
          </cell>
          <cell r="J570">
            <v>5730</v>
          </cell>
          <cell r="K570">
            <v>173.5</v>
          </cell>
          <cell r="L570">
            <v>992</v>
          </cell>
          <cell r="M570">
            <v>4125</v>
          </cell>
          <cell r="N570">
            <v>6.8739999999999997</v>
          </cell>
          <cell r="O570">
            <v>833.57579284259532</v>
          </cell>
          <cell r="P570">
            <v>294.95</v>
          </cell>
          <cell r="Q570">
            <v>101.01832993890019</v>
          </cell>
          <cell r="R570">
            <v>108.01571137620019</v>
          </cell>
          <cell r="S570">
            <v>216.31939979459327</v>
          </cell>
          <cell r="T570">
            <v>720.30344110969372</v>
          </cell>
          <cell r="U570">
            <v>113.79977891875751</v>
          </cell>
        </row>
        <row r="571">
          <cell r="I571">
            <v>39623</v>
          </cell>
          <cell r="J571">
            <v>5750</v>
          </cell>
          <cell r="K571">
            <v>173.5</v>
          </cell>
          <cell r="L571">
            <v>992</v>
          </cell>
          <cell r="M571">
            <v>4125</v>
          </cell>
          <cell r="N571">
            <v>6.87</v>
          </cell>
          <cell r="O571">
            <v>836.9723435225618</v>
          </cell>
          <cell r="P571">
            <v>294.95</v>
          </cell>
          <cell r="Q571">
            <v>101.07714701601164</v>
          </cell>
          <cell r="R571">
            <v>108.07860262008734</v>
          </cell>
          <cell r="S571">
            <v>216.79523159034073</v>
          </cell>
          <cell r="T571">
            <v>720.90098122643963</v>
          </cell>
          <cell r="U571">
            <v>112.4443560631446</v>
          </cell>
        </row>
        <row r="572">
          <cell r="I572">
            <v>39624</v>
          </cell>
          <cell r="J572">
            <v>5770</v>
          </cell>
          <cell r="K572">
            <v>173.5</v>
          </cell>
          <cell r="L572">
            <v>992</v>
          </cell>
          <cell r="M572">
            <v>4125</v>
          </cell>
          <cell r="N572">
            <v>6.8658000000000001</v>
          </cell>
          <cell r="O572">
            <v>840.39733170205943</v>
          </cell>
          <cell r="P572">
            <v>294.95</v>
          </cell>
          <cell r="Q572">
            <v>101.13897870605027</v>
          </cell>
          <cell r="R572">
            <v>108.1447172944158</v>
          </cell>
          <cell r="S572">
            <v>217.27428894809475</v>
          </cell>
          <cell r="T572">
            <v>721.50798494856076</v>
          </cell>
          <cell r="U572">
            <v>112.80539899613734</v>
          </cell>
        </row>
        <row r="573">
          <cell r="I573">
            <v>39625</v>
          </cell>
          <cell r="J573">
            <v>5790</v>
          </cell>
          <cell r="K573">
            <v>173.5</v>
          </cell>
          <cell r="L573">
            <v>992</v>
          </cell>
          <cell r="M573">
            <v>4125</v>
          </cell>
          <cell r="N573">
            <v>6.8662999999999998</v>
          </cell>
          <cell r="O573">
            <v>843.24891134963514</v>
          </cell>
          <cell r="P573">
            <v>294.95</v>
          </cell>
          <cell r="Q573">
            <v>101.13161382403915</v>
          </cell>
          <cell r="R573">
            <v>108.1368422585672</v>
          </cell>
          <cell r="S573">
            <v>217.6908353806794</v>
          </cell>
          <cell r="T573">
            <v>721.90929146328574</v>
          </cell>
          <cell r="U573">
            <v>114.35615652729894</v>
          </cell>
        </row>
        <row r="574">
          <cell r="I574">
            <v>39626</v>
          </cell>
          <cell r="J574">
            <v>5770</v>
          </cell>
          <cell r="K574">
            <v>180.5</v>
          </cell>
          <cell r="L574">
            <v>992</v>
          </cell>
          <cell r="M574">
            <v>4125</v>
          </cell>
          <cell r="N574">
            <v>6.8620999999999999</v>
          </cell>
          <cell r="O574">
            <v>840.85046851546906</v>
          </cell>
          <cell r="P574">
            <v>306.84999999999997</v>
          </cell>
          <cell r="Q574">
            <v>101.19351219014587</v>
          </cell>
          <cell r="R574">
            <v>108.20302822751053</v>
          </cell>
          <cell r="S574">
            <v>215.59467331335736</v>
          </cell>
          <cell r="T574">
            <v>731.8412137310138</v>
          </cell>
          <cell r="U574">
            <v>114.17079220973471</v>
          </cell>
        </row>
        <row r="575">
          <cell r="I575">
            <v>39627</v>
          </cell>
          <cell r="J575">
            <v>5770</v>
          </cell>
          <cell r="K575">
            <v>180.5</v>
          </cell>
          <cell r="L575">
            <v>992</v>
          </cell>
          <cell r="M575">
            <v>4125</v>
          </cell>
          <cell r="N575">
            <v>6.8620999999999999</v>
          </cell>
          <cell r="O575">
            <v>840.85046851546906</v>
          </cell>
          <cell r="P575">
            <v>306.84999999999997</v>
          </cell>
          <cell r="Q575">
            <v>101.19351219014587</v>
          </cell>
          <cell r="R575">
            <v>108.20302822751053</v>
          </cell>
          <cell r="S575">
            <v>215.59467331335736</v>
          </cell>
          <cell r="T575">
            <v>731.8412137310138</v>
          </cell>
          <cell r="U575">
            <v>113.98542789217004</v>
          </cell>
        </row>
        <row r="576">
          <cell r="I576">
            <v>39628</v>
          </cell>
          <cell r="J576">
            <v>5770</v>
          </cell>
          <cell r="K576">
            <v>180.5</v>
          </cell>
          <cell r="L576">
            <v>992</v>
          </cell>
          <cell r="M576">
            <v>4125</v>
          </cell>
          <cell r="N576">
            <v>6.8620999999999999</v>
          </cell>
          <cell r="O576">
            <v>840.85046851546906</v>
          </cell>
          <cell r="P576">
            <v>306.84999999999997</v>
          </cell>
          <cell r="Q576">
            <v>101.19351219014587</v>
          </cell>
          <cell r="R576">
            <v>108.20302822751053</v>
          </cell>
          <cell r="S576">
            <v>215.59467331335736</v>
          </cell>
          <cell r="T576">
            <v>731.8412137310138</v>
          </cell>
          <cell r="U576">
            <v>113.8000635746057</v>
          </cell>
        </row>
        <row r="577">
          <cell r="I577">
            <v>39629</v>
          </cell>
          <cell r="J577">
            <v>5770</v>
          </cell>
          <cell r="K577">
            <v>180.5</v>
          </cell>
          <cell r="L577">
            <v>1180</v>
          </cell>
          <cell r="M577">
            <v>4125</v>
          </cell>
          <cell r="N577">
            <v>6.8544</v>
          </cell>
          <cell r="O577">
            <v>841.7950513538749</v>
          </cell>
          <cell r="P577">
            <v>306.84999999999997</v>
          </cell>
          <cell r="Q577">
            <v>120.50653594771241</v>
          </cell>
          <cell r="R577">
            <v>108.32457983193277</v>
          </cell>
          <cell r="S577">
            <v>212.90809320309324</v>
          </cell>
          <cell r="T577">
            <v>748.58920898273834</v>
          </cell>
          <cell r="U577">
            <v>110.93341938006745</v>
          </cell>
        </row>
        <row r="578">
          <cell r="I578">
            <v>39630</v>
          </cell>
          <cell r="J578">
            <v>5820</v>
          </cell>
          <cell r="K578">
            <v>180.5</v>
          </cell>
          <cell r="L578">
            <v>1180</v>
          </cell>
          <cell r="M578">
            <v>4150</v>
          </cell>
          <cell r="N578">
            <v>6.8565000000000005</v>
          </cell>
          <cell r="O578">
            <v>848.8295777729162</v>
          </cell>
          <cell r="P578">
            <v>306.84999999999997</v>
          </cell>
          <cell r="Q578">
            <v>120.4696273608984</v>
          </cell>
          <cell r="R578">
            <v>108.94771384817325</v>
          </cell>
          <cell r="S578">
            <v>213.84502582551585</v>
          </cell>
          <cell r="T578">
            <v>750.11236703458758</v>
          </cell>
          <cell r="U578">
            <v>108.45425487181114</v>
          </cell>
        </row>
        <row r="579">
          <cell r="I579">
            <v>39631</v>
          </cell>
          <cell r="J579">
            <v>5820</v>
          </cell>
          <cell r="K579">
            <v>180.5</v>
          </cell>
          <cell r="L579">
            <v>1180</v>
          </cell>
          <cell r="M579">
            <v>4150</v>
          </cell>
          <cell r="N579">
            <v>6.8586999999999998</v>
          </cell>
          <cell r="O579">
            <v>848.5573067782525</v>
          </cell>
          <cell r="P579">
            <v>306.84999999999997</v>
          </cell>
          <cell r="Q579">
            <v>120.43098546371762</v>
          </cell>
          <cell r="R579">
            <v>108.91276772566231</v>
          </cell>
          <cell r="S579">
            <v>213.81615735906695</v>
          </cell>
          <cell r="T579">
            <v>750.0099105484469</v>
          </cell>
          <cell r="U579">
            <v>105.54826193985502</v>
          </cell>
        </row>
        <row r="580">
          <cell r="I580">
            <v>39632</v>
          </cell>
          <cell r="J580">
            <v>5820</v>
          </cell>
          <cell r="K580">
            <v>180.5</v>
          </cell>
          <cell r="L580">
            <v>1180</v>
          </cell>
          <cell r="M580">
            <v>4150</v>
          </cell>
          <cell r="N580">
            <v>6.851</v>
          </cell>
          <cell r="O580">
            <v>849.51102028900891</v>
          </cell>
          <cell r="P580">
            <v>306.84999999999997</v>
          </cell>
          <cell r="Q580">
            <v>120.56634068019267</v>
          </cell>
          <cell r="R580">
            <v>109.03517734637279</v>
          </cell>
          <cell r="S580">
            <v>213.91727810650883</v>
          </cell>
          <cell r="T580">
            <v>750.36879613307428</v>
          </cell>
          <cell r="U580">
            <v>102.37720540693874</v>
          </cell>
        </row>
        <row r="581">
          <cell r="I581">
            <v>39633</v>
          </cell>
          <cell r="J581">
            <v>5870</v>
          </cell>
          <cell r="K581">
            <v>185</v>
          </cell>
          <cell r="L581">
            <v>1180</v>
          </cell>
          <cell r="M581">
            <v>4150</v>
          </cell>
          <cell r="N581">
            <v>6.8589000000000002</v>
          </cell>
          <cell r="O581">
            <v>855.82236218635637</v>
          </cell>
          <cell r="P581">
            <v>314.5</v>
          </cell>
          <cell r="Q581">
            <v>120.42747379317383</v>
          </cell>
          <cell r="R581">
            <v>108.90959191707124</v>
          </cell>
          <cell r="S581">
            <v>213.76119692387948</v>
          </cell>
          <cell r="T581">
            <v>757.59826263412447</v>
          </cell>
          <cell r="U581">
            <v>100.83646894519256</v>
          </cell>
        </row>
        <row r="582">
          <cell r="I582">
            <v>39634</v>
          </cell>
          <cell r="J582">
            <v>5870</v>
          </cell>
          <cell r="K582">
            <v>185</v>
          </cell>
          <cell r="L582">
            <v>1180</v>
          </cell>
          <cell r="M582">
            <v>4150</v>
          </cell>
          <cell r="N582">
            <v>6.8589000000000002</v>
          </cell>
          <cell r="O582">
            <v>855.82236218635637</v>
          </cell>
          <cell r="P582">
            <v>314.5</v>
          </cell>
          <cell r="Q582">
            <v>120.42747379317383</v>
          </cell>
          <cell r="R582">
            <v>108.90959191707124</v>
          </cell>
          <cell r="S582">
            <v>213.76119692387948</v>
          </cell>
          <cell r="T582">
            <v>757.59826263412447</v>
          </cell>
          <cell r="U582">
            <v>99.295732483446272</v>
          </cell>
        </row>
        <row r="583">
          <cell r="I583">
            <v>39635</v>
          </cell>
          <cell r="J583">
            <v>5870</v>
          </cell>
          <cell r="K583">
            <v>185</v>
          </cell>
          <cell r="L583">
            <v>1180</v>
          </cell>
          <cell r="M583">
            <v>4150</v>
          </cell>
          <cell r="N583">
            <v>6.8589000000000002</v>
          </cell>
          <cell r="O583">
            <v>855.82236218635637</v>
          </cell>
          <cell r="P583">
            <v>314.5</v>
          </cell>
          <cell r="Q583">
            <v>120.42747379317383</v>
          </cell>
          <cell r="R583">
            <v>108.90959191707124</v>
          </cell>
          <cell r="S583">
            <v>213.76119692387948</v>
          </cell>
          <cell r="T583">
            <v>757.59826263412447</v>
          </cell>
          <cell r="U583">
            <v>97.754996021700094</v>
          </cell>
        </row>
        <row r="584">
          <cell r="I584">
            <v>39636</v>
          </cell>
          <cell r="J584">
            <v>5870</v>
          </cell>
          <cell r="K584">
            <v>185</v>
          </cell>
          <cell r="L584">
            <v>1180</v>
          </cell>
          <cell r="M584">
            <v>4150</v>
          </cell>
          <cell r="N584">
            <v>6.8658000000000001</v>
          </cell>
          <cell r="O584">
            <v>854.96227679221647</v>
          </cell>
          <cell r="P584">
            <v>314.5</v>
          </cell>
          <cell r="Q584">
            <v>120.3064464446969</v>
          </cell>
          <cell r="R584">
            <v>108.80013982347286</v>
          </cell>
          <cell r="S584">
            <v>213.6697157171692</v>
          </cell>
          <cell r="T584">
            <v>757.27630198533893</v>
          </cell>
          <cell r="U584">
            <v>98.395014941091517</v>
          </cell>
        </row>
        <row r="585">
          <cell r="I585">
            <v>39637</v>
          </cell>
          <cell r="J585">
            <v>5870</v>
          </cell>
          <cell r="K585">
            <v>185</v>
          </cell>
          <cell r="L585">
            <v>1180</v>
          </cell>
          <cell r="M585">
            <v>4225</v>
          </cell>
          <cell r="N585">
            <v>6.8510999999999997</v>
          </cell>
          <cell r="O585">
            <v>856.79671877508724</v>
          </cell>
          <cell r="P585">
            <v>314.5</v>
          </cell>
          <cell r="Q585">
            <v>120.56458087022521</v>
          </cell>
          <cell r="R585">
            <v>111.00407233874851</v>
          </cell>
          <cell r="S585">
            <v>213.5785223472131</v>
          </cell>
          <cell r="T585">
            <v>759.64717555618677</v>
          </cell>
          <cell r="U585">
            <v>98.171062438316198</v>
          </cell>
        </row>
        <row r="586">
          <cell r="I586">
            <v>39638</v>
          </cell>
          <cell r="J586">
            <v>5860</v>
          </cell>
          <cell r="K586">
            <v>185</v>
          </cell>
          <cell r="L586">
            <v>1180</v>
          </cell>
          <cell r="M586">
            <v>4225</v>
          </cell>
          <cell r="N586">
            <v>6.8570000000000002</v>
          </cell>
          <cell r="O586">
            <v>854.60113752369841</v>
          </cell>
          <cell r="P586">
            <v>314.5</v>
          </cell>
          <cell r="Q586">
            <v>120.4608429342278</v>
          </cell>
          <cell r="R586">
            <v>110.90856059501237</v>
          </cell>
          <cell r="S586">
            <v>213.28845707611788</v>
          </cell>
          <cell r="T586">
            <v>759.157860605358</v>
          </cell>
          <cell r="U586">
            <v>97.727616822392633</v>
          </cell>
        </row>
        <row r="587">
          <cell r="I587">
            <v>39639</v>
          </cell>
          <cell r="J587">
            <v>5860</v>
          </cell>
          <cell r="K587">
            <v>185</v>
          </cell>
          <cell r="L587">
            <v>1180</v>
          </cell>
          <cell r="M587">
            <v>4225</v>
          </cell>
          <cell r="N587">
            <v>6.8429000000000002</v>
          </cell>
          <cell r="O587">
            <v>856.36206871355705</v>
          </cell>
          <cell r="P587">
            <v>314.5</v>
          </cell>
          <cell r="Q587">
            <v>120.70905610194508</v>
          </cell>
          <cell r="R587">
            <v>111.13709099943006</v>
          </cell>
          <cell r="S587">
            <v>213.47504843937685</v>
          </cell>
          <cell r="T587">
            <v>759.82119554075189</v>
          </cell>
          <cell r="U587">
            <v>97.355995253374203</v>
          </cell>
        </row>
        <row r="588">
          <cell r="I588">
            <v>39640</v>
          </cell>
          <cell r="J588">
            <v>5860</v>
          </cell>
          <cell r="K588">
            <v>186.5</v>
          </cell>
          <cell r="L588">
            <v>1180</v>
          </cell>
          <cell r="M588">
            <v>4225</v>
          </cell>
          <cell r="N588">
            <v>6.8339999999999996</v>
          </cell>
          <cell r="O588">
            <v>857.47731928592339</v>
          </cell>
          <cell r="P588">
            <v>317.05</v>
          </cell>
          <cell r="Q588">
            <v>120.86625695054141</v>
          </cell>
          <cell r="R588">
            <v>111.28182616330115</v>
          </cell>
          <cell r="S588">
            <v>213.22270952927676</v>
          </cell>
          <cell r="T588">
            <v>762.42079264311928</v>
          </cell>
          <cell r="U588">
            <v>96.903484837741644</v>
          </cell>
        </row>
        <row r="589">
          <cell r="I589">
            <v>39641</v>
          </cell>
          <cell r="J589">
            <v>5860</v>
          </cell>
          <cell r="K589">
            <v>186.5</v>
          </cell>
          <cell r="L589">
            <v>1180</v>
          </cell>
          <cell r="M589">
            <v>4225</v>
          </cell>
          <cell r="N589">
            <v>6.8339999999999996</v>
          </cell>
          <cell r="O589">
            <v>857.47731928592339</v>
          </cell>
          <cell r="P589">
            <v>317.05</v>
          </cell>
          <cell r="Q589">
            <v>120.86625695054141</v>
          </cell>
          <cell r="R589">
            <v>111.28182616330115</v>
          </cell>
          <cell r="S589">
            <v>213.22270952927676</v>
          </cell>
          <cell r="T589">
            <v>762.42079264311928</v>
          </cell>
          <cell r="U589">
            <v>96.450974422109084</v>
          </cell>
        </row>
        <row r="590">
          <cell r="I590">
            <v>39642</v>
          </cell>
          <cell r="J590">
            <v>5860</v>
          </cell>
          <cell r="K590">
            <v>186.5</v>
          </cell>
          <cell r="L590">
            <v>1180</v>
          </cell>
          <cell r="M590">
            <v>4225</v>
          </cell>
          <cell r="N590">
            <v>6.8339999999999996</v>
          </cell>
          <cell r="O590">
            <v>857.47731928592339</v>
          </cell>
          <cell r="P590">
            <v>317.05</v>
          </cell>
          <cell r="Q590">
            <v>120.86625695054141</v>
          </cell>
          <cell r="R590">
            <v>111.28182616330115</v>
          </cell>
          <cell r="S590">
            <v>213.22270952927676</v>
          </cell>
          <cell r="T590">
            <v>762.42079264311928</v>
          </cell>
          <cell r="U590">
            <v>95.998464006476524</v>
          </cell>
        </row>
        <row r="591">
          <cell r="I591">
            <v>39643</v>
          </cell>
          <cell r="J591">
            <v>5860</v>
          </cell>
          <cell r="K591">
            <v>186.5</v>
          </cell>
          <cell r="L591">
            <v>1180</v>
          </cell>
          <cell r="M591">
            <v>4225</v>
          </cell>
          <cell r="N591">
            <v>6.84</v>
          </cell>
          <cell r="O591">
            <v>856.72514619883043</v>
          </cell>
          <cell r="P591">
            <v>317.05</v>
          </cell>
          <cell r="Q591">
            <v>120.76023391812866</v>
          </cell>
          <cell r="R591">
            <v>111.18421052631578</v>
          </cell>
          <cell r="S591">
            <v>213.14300794721845</v>
          </cell>
          <cell r="T591">
            <v>762.13745239166292</v>
          </cell>
          <cell r="U591">
            <v>95.555852435089605</v>
          </cell>
        </row>
        <row r="592">
          <cell r="I592">
            <v>39644</v>
          </cell>
          <cell r="J592">
            <v>5820</v>
          </cell>
          <cell r="K592">
            <v>186.5</v>
          </cell>
          <cell r="L592">
            <v>1180</v>
          </cell>
          <cell r="M592">
            <v>4185</v>
          </cell>
          <cell r="N592">
            <v>6.8212000000000002</v>
          </cell>
          <cell r="O592">
            <v>853.22230692546759</v>
          </cell>
          <cell r="P592">
            <v>317.05</v>
          </cell>
          <cell r="Q592">
            <v>121.09306280419865</v>
          </cell>
          <cell r="R592">
            <v>110.43511405617778</v>
          </cell>
          <cell r="S592">
            <v>212.69453171885942</v>
          </cell>
          <cell r="T592">
            <v>761.272708579236</v>
          </cell>
          <cell r="U592">
            <v>94.813003167565398</v>
          </cell>
        </row>
        <row r="593">
          <cell r="I593">
            <v>39645</v>
          </cell>
          <cell r="J593">
            <v>5820</v>
          </cell>
          <cell r="K593">
            <v>186.5</v>
          </cell>
          <cell r="L593">
            <v>1180</v>
          </cell>
          <cell r="M593">
            <v>4185</v>
          </cell>
          <cell r="N593">
            <v>6.8113000000000001</v>
          </cell>
          <cell r="O593">
            <v>854.46243742016941</v>
          </cell>
          <cell r="P593">
            <v>317.05</v>
          </cell>
          <cell r="Q593">
            <v>121.26906757887626</v>
          </cell>
          <cell r="R593">
            <v>110.59562785371368</v>
          </cell>
          <cell r="S593">
            <v>212.82582575887909</v>
          </cell>
          <cell r="T593">
            <v>761.74052119146904</v>
          </cell>
          <cell r="U593">
            <v>94.424237354759612</v>
          </cell>
        </row>
        <row r="594">
          <cell r="I594">
            <v>39646</v>
          </cell>
          <cell r="J594">
            <v>5820</v>
          </cell>
          <cell r="K594">
            <v>186.5</v>
          </cell>
          <cell r="L594">
            <v>1180</v>
          </cell>
          <cell r="M594">
            <v>4185</v>
          </cell>
          <cell r="N594">
            <v>6.8289</v>
          </cell>
          <cell r="O594">
            <v>852.26024689188591</v>
          </cell>
          <cell r="P594">
            <v>317.05</v>
          </cell>
          <cell r="Q594">
            <v>120.95652301249102</v>
          </cell>
          <cell r="R594">
            <v>110.31059174976937</v>
          </cell>
          <cell r="S594">
            <v>212.59267731797974</v>
          </cell>
          <cell r="T594">
            <v>760.90979208024009</v>
          </cell>
          <cell r="U594">
            <v>93.682749017450988</v>
          </cell>
        </row>
        <row r="595">
          <cell r="I595">
            <v>39647</v>
          </cell>
          <cell r="J595">
            <v>5820</v>
          </cell>
          <cell r="K595">
            <v>186.5</v>
          </cell>
          <cell r="L595">
            <v>1180</v>
          </cell>
          <cell r="M595">
            <v>4185</v>
          </cell>
          <cell r="N595">
            <v>6.8169000000000004</v>
          </cell>
          <cell r="O595">
            <v>853.76050697531127</v>
          </cell>
          <cell r="P595">
            <v>317.05</v>
          </cell>
          <cell r="Q595">
            <v>121.1694465226129</v>
          </cell>
          <cell r="R595">
            <v>110.50477489768075</v>
          </cell>
          <cell r="S595">
            <v>212.75151157637009</v>
          </cell>
          <cell r="T595">
            <v>761.47573299666374</v>
          </cell>
          <cell r="U595">
            <v>93.286784351142842</v>
          </cell>
        </row>
        <row r="596">
          <cell r="I596">
            <v>39648</v>
          </cell>
          <cell r="J596">
            <v>5820</v>
          </cell>
          <cell r="K596">
            <v>186.5</v>
          </cell>
          <cell r="L596">
            <v>1180</v>
          </cell>
          <cell r="M596">
            <v>4185</v>
          </cell>
          <cell r="N596">
            <v>6.8169000000000004</v>
          </cell>
          <cell r="O596">
            <v>853.76050697531127</v>
          </cell>
          <cell r="P596">
            <v>317.05</v>
          </cell>
          <cell r="Q596">
            <v>121.1694465226129</v>
          </cell>
          <cell r="R596">
            <v>110.50477489768075</v>
          </cell>
          <cell r="S596">
            <v>212.75151157637009</v>
          </cell>
          <cell r="T596">
            <v>761.47573299666374</v>
          </cell>
          <cell r="U596">
            <v>92.890819684834923</v>
          </cell>
        </row>
        <row r="597">
          <cell r="I597">
            <v>39649</v>
          </cell>
          <cell r="J597">
            <v>5820</v>
          </cell>
          <cell r="K597">
            <v>186.5</v>
          </cell>
          <cell r="L597">
            <v>1180</v>
          </cell>
          <cell r="M597">
            <v>4185</v>
          </cell>
          <cell r="N597">
            <v>6.8169000000000004</v>
          </cell>
          <cell r="O597">
            <v>853.76050697531127</v>
          </cell>
          <cell r="P597">
            <v>317.05</v>
          </cell>
          <cell r="Q597">
            <v>121.1694465226129</v>
          </cell>
          <cell r="R597">
            <v>110.50477489768075</v>
          </cell>
          <cell r="S597">
            <v>212.75151157637009</v>
          </cell>
          <cell r="T597">
            <v>761.47573299666374</v>
          </cell>
          <cell r="U597">
            <v>92.494855018526891</v>
          </cell>
        </row>
        <row r="598">
          <cell r="I598">
            <v>39650</v>
          </cell>
          <cell r="J598">
            <v>5820</v>
          </cell>
          <cell r="K598">
            <v>186.5</v>
          </cell>
          <cell r="L598">
            <v>1180</v>
          </cell>
          <cell r="M598">
            <v>4185</v>
          </cell>
          <cell r="N598">
            <v>6.8292999999999999</v>
          </cell>
          <cell r="O598">
            <v>852.21032902347235</v>
          </cell>
          <cell r="P598">
            <v>317.05</v>
          </cell>
          <cell r="Q598">
            <v>120.94943844903575</v>
          </cell>
          <cell r="R598">
            <v>110.3041307308216</v>
          </cell>
          <cell r="S598">
            <v>212.58739245590988</v>
          </cell>
          <cell r="T598">
            <v>760.89096163576733</v>
          </cell>
          <cell r="U598">
            <v>92.027951244317933</v>
          </cell>
        </row>
        <row r="599">
          <cell r="I599">
            <v>39651</v>
          </cell>
          <cell r="J599">
            <v>5780</v>
          </cell>
          <cell r="K599">
            <v>186.5</v>
          </cell>
          <cell r="L599">
            <v>1180</v>
          </cell>
          <cell r="M599">
            <v>4185</v>
          </cell>
          <cell r="N599">
            <v>6.8217999999999996</v>
          </cell>
          <cell r="O599">
            <v>847.28370811222851</v>
          </cell>
          <cell r="P599">
            <v>317.05</v>
          </cell>
          <cell r="Q599">
            <v>121.08241226655721</v>
          </cell>
          <cell r="R599">
            <v>110.42540092057816</v>
          </cell>
          <cell r="S599">
            <v>211.83461721133835</v>
          </cell>
          <cell r="T599">
            <v>760.39243039847372</v>
          </cell>
          <cell r="U599">
            <v>91.305334011106766</v>
          </cell>
        </row>
        <row r="600">
          <cell r="I600">
            <v>39652</v>
          </cell>
          <cell r="J600">
            <v>5760</v>
          </cell>
          <cell r="K600">
            <v>186.5</v>
          </cell>
          <cell r="L600">
            <v>1180</v>
          </cell>
          <cell r="M600">
            <v>4185</v>
          </cell>
          <cell r="N600">
            <v>6.8299000000000003</v>
          </cell>
          <cell r="O600">
            <v>843.35056150163246</v>
          </cell>
          <cell r="P600">
            <v>317.05</v>
          </cell>
          <cell r="Q600">
            <v>120.93881315978271</v>
          </cell>
          <cell r="R600">
            <v>110.29444062138536</v>
          </cell>
          <cell r="S600">
            <v>211.30302761750335</v>
          </cell>
          <cell r="T600">
            <v>759.58628139867142</v>
          </cell>
          <cell r="U600">
            <v>90.025671707429979</v>
          </cell>
        </row>
        <row r="601">
          <cell r="I601">
            <v>39653</v>
          </cell>
          <cell r="J601">
            <v>5700</v>
          </cell>
          <cell r="K601">
            <v>186.5</v>
          </cell>
          <cell r="L601">
            <v>1180</v>
          </cell>
          <cell r="M601">
            <v>4185</v>
          </cell>
          <cell r="N601">
            <v>6.8288000000000002</v>
          </cell>
          <cell r="O601">
            <v>834.70009372071229</v>
          </cell>
          <cell r="P601">
            <v>317.05</v>
          </cell>
          <cell r="Q601">
            <v>120.95829428303654</v>
          </cell>
          <cell r="R601">
            <v>110.31220712277414</v>
          </cell>
          <cell r="S601">
            <v>210.04070999447288</v>
          </cell>
          <cell r="T601">
            <v>758.36121140028354</v>
          </cell>
          <cell r="U601">
            <v>87.881161351541778</v>
          </cell>
        </row>
        <row r="602">
          <cell r="I602">
            <v>39654</v>
          </cell>
          <cell r="J602">
            <v>5680</v>
          </cell>
          <cell r="K602">
            <v>186.5</v>
          </cell>
          <cell r="L602">
            <v>1180</v>
          </cell>
          <cell r="M602">
            <v>4185</v>
          </cell>
          <cell r="N602">
            <v>6.8186999999999998</v>
          </cell>
          <cell r="O602">
            <v>833.00335841142737</v>
          </cell>
          <cell r="P602">
            <v>317.05</v>
          </cell>
          <cell r="Q602">
            <v>121.13746021968997</v>
          </cell>
          <cell r="R602">
            <v>110.47560385410708</v>
          </cell>
          <cell r="S602">
            <v>209.7444017413651</v>
          </cell>
          <cell r="T602">
            <v>758.40746581516214</v>
          </cell>
          <cell r="U602">
            <v>85.354178296915507</v>
          </cell>
        </row>
        <row r="603">
          <cell r="I603">
            <v>39655</v>
          </cell>
          <cell r="J603">
            <v>5680</v>
          </cell>
          <cell r="K603">
            <v>186.5</v>
          </cell>
          <cell r="L603">
            <v>1180</v>
          </cell>
          <cell r="M603">
            <v>4185</v>
          </cell>
          <cell r="N603">
            <v>6.8186999999999998</v>
          </cell>
          <cell r="O603">
            <v>833.00335841142737</v>
          </cell>
          <cell r="P603">
            <v>317.05</v>
          </cell>
          <cell r="Q603">
            <v>121.13746021968997</v>
          </cell>
          <cell r="R603">
            <v>110.47560385410708</v>
          </cell>
          <cell r="S603">
            <v>209.7444017413651</v>
          </cell>
          <cell r="T603">
            <v>758.40746581516214</v>
          </cell>
          <cell r="U603">
            <v>82.82719524228969</v>
          </cell>
        </row>
        <row r="604">
          <cell r="I604">
            <v>39656</v>
          </cell>
          <cell r="J604">
            <v>5680</v>
          </cell>
          <cell r="K604">
            <v>186.5</v>
          </cell>
          <cell r="L604">
            <v>1180</v>
          </cell>
          <cell r="M604">
            <v>4185</v>
          </cell>
          <cell r="N604">
            <v>6.8186999999999998</v>
          </cell>
          <cell r="O604">
            <v>833.00335841142737</v>
          </cell>
          <cell r="P604">
            <v>317.05</v>
          </cell>
          <cell r="Q604">
            <v>121.13746021968997</v>
          </cell>
          <cell r="R604">
            <v>110.47560385410708</v>
          </cell>
          <cell r="S604">
            <v>209.7444017413651</v>
          </cell>
          <cell r="T604">
            <v>758.40746581516214</v>
          </cell>
          <cell r="U604">
            <v>80.300212187663533</v>
          </cell>
        </row>
        <row r="605">
          <cell r="I605">
            <v>39657</v>
          </cell>
          <cell r="J605">
            <v>5700</v>
          </cell>
          <cell r="K605">
            <v>186.5</v>
          </cell>
          <cell r="L605">
            <v>1180</v>
          </cell>
          <cell r="M605">
            <v>4185</v>
          </cell>
          <cell r="N605">
            <v>6.8345000000000002</v>
          </cell>
          <cell r="O605">
            <v>834.00395054502883</v>
          </cell>
          <cell r="P605">
            <v>317.05</v>
          </cell>
          <cell r="Q605">
            <v>120.85741458775328</v>
          </cell>
          <cell r="R605">
            <v>110.22020630624039</v>
          </cell>
          <cell r="S605">
            <v>209.96758635955206</v>
          </cell>
          <cell r="T605">
            <v>758.09520725354582</v>
          </cell>
          <cell r="U605">
            <v>78.098694459631702</v>
          </cell>
        </row>
        <row r="606">
          <cell r="I606">
            <v>39658</v>
          </cell>
          <cell r="J606">
            <v>5700</v>
          </cell>
          <cell r="K606">
            <v>186.5</v>
          </cell>
          <cell r="L606">
            <v>1180</v>
          </cell>
          <cell r="M606">
            <v>4185</v>
          </cell>
          <cell r="N606">
            <v>6.8257000000000003</v>
          </cell>
          <cell r="O606">
            <v>835.07918601755125</v>
          </cell>
          <cell r="P606">
            <v>317.05</v>
          </cell>
          <cell r="Q606">
            <v>121.01322941236795</v>
          </cell>
          <cell r="R606">
            <v>110.36230716263532</v>
          </cell>
          <cell r="S606">
            <v>210.08053026088305</v>
          </cell>
          <cell r="T606">
            <v>758.50606683588626</v>
          </cell>
          <cell r="U606">
            <v>76.6246718121904</v>
          </cell>
        </row>
        <row r="607">
          <cell r="I607">
            <v>39659</v>
          </cell>
          <cell r="J607">
            <v>5700</v>
          </cell>
          <cell r="K607">
            <v>186.5</v>
          </cell>
          <cell r="L607">
            <v>1180</v>
          </cell>
          <cell r="M607">
            <v>4185</v>
          </cell>
          <cell r="N607">
            <v>6.8273000000000001</v>
          </cell>
          <cell r="O607">
            <v>834.88348248941747</v>
          </cell>
          <cell r="P607">
            <v>317.05</v>
          </cell>
          <cell r="Q607">
            <v>120.9848695677647</v>
          </cell>
          <cell r="R607">
            <v>110.3364433963646</v>
          </cell>
          <cell r="S607">
            <v>210.05997334982823</v>
          </cell>
          <cell r="T607">
            <v>758.43128631395757</v>
          </cell>
          <cell r="U607">
            <v>75.580088393976098</v>
          </cell>
        </row>
        <row r="608">
          <cell r="I608">
            <v>39660</v>
          </cell>
          <cell r="J608">
            <v>5630</v>
          </cell>
          <cell r="K608">
            <v>186.5</v>
          </cell>
          <cell r="L608">
            <v>1218</v>
          </cell>
          <cell r="M608">
            <v>4185</v>
          </cell>
          <cell r="N608">
            <v>6.8319000000000001</v>
          </cell>
          <cell r="O608">
            <v>824.07529384212296</v>
          </cell>
          <cell r="P608">
            <v>317.05</v>
          </cell>
          <cell r="Q608">
            <v>124.79690861985685</v>
          </cell>
          <cell r="R608">
            <v>110.26215254907126</v>
          </cell>
          <cell r="S608">
            <v>207.94646115764374</v>
          </cell>
          <cell r="T608">
            <v>760.05552232657192</v>
          </cell>
          <cell r="U608">
            <v>73.820215421850662</v>
          </cell>
        </row>
        <row r="609">
          <cell r="I609">
            <v>39661</v>
          </cell>
          <cell r="J609">
            <v>5610</v>
          </cell>
          <cell r="K609">
            <v>182</v>
          </cell>
          <cell r="L609">
            <v>1218</v>
          </cell>
          <cell r="M609">
            <v>4185</v>
          </cell>
          <cell r="N609">
            <v>6.8431999999999995</v>
          </cell>
          <cell r="O609">
            <v>819.79191021744214</v>
          </cell>
          <cell r="P609">
            <v>309.39999999999998</v>
          </cell>
          <cell r="Q609">
            <v>124.59083469721769</v>
          </cell>
          <cell r="R609">
            <v>110.08007949497311</v>
          </cell>
          <cell r="S609">
            <v>208.49202506349803</v>
          </cell>
          <cell r="T609">
            <v>752.56293925568889</v>
          </cell>
          <cell r="U609">
            <v>72.767798045491872</v>
          </cell>
        </row>
        <row r="610">
          <cell r="I610">
            <v>39662</v>
          </cell>
          <cell r="J610">
            <v>5610</v>
          </cell>
          <cell r="K610">
            <v>182</v>
          </cell>
          <cell r="L610">
            <v>1218</v>
          </cell>
          <cell r="M610">
            <v>4185</v>
          </cell>
          <cell r="N610">
            <v>6.8431999999999995</v>
          </cell>
          <cell r="O610">
            <v>819.79191021744214</v>
          </cell>
          <cell r="P610">
            <v>309.39999999999998</v>
          </cell>
          <cell r="Q610">
            <v>124.59083469721769</v>
          </cell>
          <cell r="R610">
            <v>110.08007949497311</v>
          </cell>
          <cell r="S610">
            <v>208.49202506349803</v>
          </cell>
          <cell r="T610">
            <v>752.56293925568889</v>
          </cell>
          <cell r="U610">
            <v>71.715380669132855</v>
          </cell>
        </row>
        <row r="611">
          <cell r="I611">
            <v>39663</v>
          </cell>
          <cell r="J611">
            <v>5610</v>
          </cell>
          <cell r="K611">
            <v>182</v>
          </cell>
          <cell r="L611">
            <v>1218</v>
          </cell>
          <cell r="M611">
            <v>4185</v>
          </cell>
          <cell r="N611">
            <v>6.8431999999999995</v>
          </cell>
          <cell r="O611">
            <v>819.79191021744214</v>
          </cell>
          <cell r="P611">
            <v>309.39999999999998</v>
          </cell>
          <cell r="Q611">
            <v>124.59083469721769</v>
          </cell>
          <cell r="R611">
            <v>110.08007949497311</v>
          </cell>
          <cell r="S611">
            <v>208.49202506349803</v>
          </cell>
          <cell r="T611">
            <v>752.56293925568889</v>
          </cell>
          <cell r="U611">
            <v>70.662963292773952</v>
          </cell>
        </row>
        <row r="612">
          <cell r="I612">
            <v>39664</v>
          </cell>
          <cell r="J612">
            <v>5600</v>
          </cell>
          <cell r="K612">
            <v>182</v>
          </cell>
          <cell r="L612">
            <v>1218</v>
          </cell>
          <cell r="M612">
            <v>4185</v>
          </cell>
          <cell r="N612">
            <v>6.8516000000000004</v>
          </cell>
          <cell r="O612">
            <v>817.32733959950951</v>
          </cell>
          <cell r="P612">
            <v>309.39999999999998</v>
          </cell>
          <cell r="Q612">
            <v>124.43808745402532</v>
          </cell>
          <cell r="R612">
            <v>109.9451223071983</v>
          </cell>
          <cell r="S612">
            <v>208.17572826710136</v>
          </cell>
          <cell r="T612">
            <v>751.95893802832495</v>
          </cell>
          <cell r="U612">
            <v>69.157200189874061</v>
          </cell>
        </row>
        <row r="613">
          <cell r="I613">
            <v>39665</v>
          </cell>
          <cell r="J613">
            <v>5600</v>
          </cell>
          <cell r="K613">
            <v>182</v>
          </cell>
          <cell r="L613">
            <v>1218</v>
          </cell>
          <cell r="M613">
            <v>4200</v>
          </cell>
          <cell r="N613">
            <v>6.8555000000000001</v>
          </cell>
          <cell r="O613">
            <v>816.86237327693095</v>
          </cell>
          <cell r="P613">
            <v>309.39999999999998</v>
          </cell>
          <cell r="Q613">
            <v>124.36729633141272</v>
          </cell>
          <cell r="R613">
            <v>110.27642039238567</v>
          </cell>
          <cell r="S613">
            <v>208.07031761883121</v>
          </cell>
          <cell r="T613">
            <v>752.11403434262957</v>
          </cell>
          <cell r="U613">
            <v>67.467945868822312</v>
          </cell>
        </row>
        <row r="614">
          <cell r="I614">
            <v>39666</v>
          </cell>
          <cell r="J614">
            <v>5550</v>
          </cell>
          <cell r="K614">
            <v>182</v>
          </cell>
          <cell r="L614">
            <v>1218</v>
          </cell>
          <cell r="M614">
            <v>4200</v>
          </cell>
          <cell r="N614">
            <v>6.8484999999999996</v>
          </cell>
          <cell r="O614">
            <v>810.39643717602405</v>
          </cell>
          <cell r="P614">
            <v>309.39999999999998</v>
          </cell>
          <cell r="Q614">
            <v>124.49441483536542</v>
          </cell>
          <cell r="R614">
            <v>110.38913630722057</v>
          </cell>
          <cell r="S614">
            <v>207.09597489374738</v>
          </cell>
          <cell r="T614">
            <v>751.37952603633335</v>
          </cell>
          <cell r="U614">
            <v>64.977190863712622</v>
          </cell>
        </row>
        <row r="615">
          <cell r="I615">
            <v>39667</v>
          </cell>
          <cell r="J615">
            <v>5550</v>
          </cell>
          <cell r="K615">
            <v>182</v>
          </cell>
          <cell r="L615">
            <v>1218</v>
          </cell>
          <cell r="M615">
            <v>4200</v>
          </cell>
          <cell r="N615">
            <v>6.8643000000000001</v>
          </cell>
          <cell r="O615">
            <v>808.53109566889555</v>
          </cell>
          <cell r="P615">
            <v>309.39999999999998</v>
          </cell>
          <cell r="Q615">
            <v>124.20785804816222</v>
          </cell>
          <cell r="R615">
            <v>110.13504654516846</v>
          </cell>
          <cell r="S615">
            <v>206.90349784858631</v>
          </cell>
          <cell r="T615">
            <v>750.64640244191696</v>
          </cell>
          <cell r="U615">
            <v>64.100751108202076</v>
          </cell>
        </row>
        <row r="616">
          <cell r="I616">
            <v>39668</v>
          </cell>
          <cell r="J616">
            <v>5510</v>
          </cell>
          <cell r="K616">
            <v>177</v>
          </cell>
          <cell r="L616">
            <v>1218</v>
          </cell>
          <cell r="M616">
            <v>4200</v>
          </cell>
          <cell r="N616">
            <v>6.8582000000000001</v>
          </cell>
          <cell r="O616">
            <v>803.41780642151002</v>
          </cell>
          <cell r="P616">
            <v>300.89999999999998</v>
          </cell>
          <cell r="Q616">
            <v>124.31833425680206</v>
          </cell>
          <cell r="R616">
            <v>110.23300574494765</v>
          </cell>
          <cell r="S616">
            <v>207.36529853962332</v>
          </cell>
          <cell r="T616">
            <v>742.81663854137309</v>
          </cell>
          <cell r="U616">
            <v>63.153922096542829</v>
          </cell>
        </row>
        <row r="617">
          <cell r="I617">
            <v>39669</v>
          </cell>
          <cell r="J617">
            <v>5510</v>
          </cell>
          <cell r="K617">
            <v>177</v>
          </cell>
          <cell r="L617">
            <v>1218</v>
          </cell>
          <cell r="M617">
            <v>4200</v>
          </cell>
          <cell r="N617">
            <v>6.8582000000000001</v>
          </cell>
          <cell r="O617">
            <v>803.41780642151002</v>
          </cell>
          <cell r="P617">
            <v>300.89999999999998</v>
          </cell>
          <cell r="Q617">
            <v>124.31833425680206</v>
          </cell>
          <cell r="R617">
            <v>110.23300574494765</v>
          </cell>
          <cell r="S617">
            <v>207.36529853962332</v>
          </cell>
          <cell r="T617">
            <v>742.81663854137309</v>
          </cell>
          <cell r="U617">
            <v>62.207093084883127</v>
          </cell>
        </row>
        <row r="618">
          <cell r="I618">
            <v>39670</v>
          </cell>
          <cell r="J618">
            <v>5510</v>
          </cell>
          <cell r="K618">
            <v>177</v>
          </cell>
          <cell r="L618">
            <v>1218</v>
          </cell>
          <cell r="M618">
            <v>4200</v>
          </cell>
          <cell r="N618">
            <v>6.8582000000000001</v>
          </cell>
          <cell r="O618">
            <v>803.41780642151002</v>
          </cell>
          <cell r="P618">
            <v>300.89999999999998</v>
          </cell>
          <cell r="Q618">
            <v>124.31833425680206</v>
          </cell>
          <cell r="R618">
            <v>110.23300574494765</v>
          </cell>
          <cell r="S618">
            <v>207.36529853962332</v>
          </cell>
          <cell r="T618">
            <v>742.81663854137309</v>
          </cell>
          <cell r="U618">
            <v>61.260264073223766</v>
          </cell>
        </row>
        <row r="619">
          <cell r="I619">
            <v>39671</v>
          </cell>
          <cell r="J619">
            <v>5480</v>
          </cell>
          <cell r="K619">
            <v>177</v>
          </cell>
          <cell r="L619">
            <v>1218</v>
          </cell>
          <cell r="M619">
            <v>4200</v>
          </cell>
          <cell r="N619">
            <v>6.8577000000000004</v>
          </cell>
          <cell r="O619">
            <v>799.10173965032004</v>
          </cell>
          <cell r="P619">
            <v>300.89999999999998</v>
          </cell>
          <cell r="Q619">
            <v>124.32739839888008</v>
          </cell>
          <cell r="R619">
            <v>110.24104291526312</v>
          </cell>
          <cell r="S619">
            <v>206.7356929206411</v>
          </cell>
          <cell r="T619">
            <v>742.20413423478431</v>
          </cell>
          <cell r="U619">
            <v>60.050150336702472</v>
          </cell>
        </row>
        <row r="620">
          <cell r="I620">
            <v>39672</v>
          </cell>
          <cell r="J620">
            <v>5440</v>
          </cell>
          <cell r="K620">
            <v>177</v>
          </cell>
          <cell r="L620">
            <v>1218</v>
          </cell>
          <cell r="M620">
            <v>4225</v>
          </cell>
          <cell r="N620">
            <v>6.8632999999999997</v>
          </cell>
          <cell r="O620">
            <v>792.62162516573665</v>
          </cell>
          <cell r="P620">
            <v>300.89999999999998</v>
          </cell>
          <cell r="Q620">
            <v>124.22595544417409</v>
          </cell>
          <cell r="R620">
            <v>110.80675476811446</v>
          </cell>
          <cell r="S620">
            <v>205.72667995050102</v>
          </cell>
          <cell r="T620">
            <v>741.65939016278958</v>
          </cell>
          <cell r="U620">
            <v>58.080706917937732</v>
          </cell>
        </row>
        <row r="621">
          <cell r="I621">
            <v>39673</v>
          </cell>
          <cell r="J621">
            <v>5390</v>
          </cell>
          <cell r="K621">
            <v>177</v>
          </cell>
          <cell r="L621">
            <v>1218</v>
          </cell>
          <cell r="M621">
            <v>4225</v>
          </cell>
          <cell r="N621">
            <v>6.8583999999999996</v>
          </cell>
          <cell r="O621">
            <v>785.89758544266886</v>
          </cell>
          <cell r="P621">
            <v>300.89999999999998</v>
          </cell>
          <cell r="Q621">
            <v>124.31470897002217</v>
          </cell>
          <cell r="R621">
            <v>110.88592091449901</v>
          </cell>
          <cell r="S621">
            <v>204.72528414092744</v>
          </cell>
          <cell r="T621">
            <v>740.82591402544858</v>
          </cell>
          <cell r="U621">
            <v>56.088529814727622</v>
          </cell>
        </row>
        <row r="622">
          <cell r="I622">
            <v>39674</v>
          </cell>
          <cell r="J622">
            <v>5360</v>
          </cell>
          <cell r="K622">
            <v>177</v>
          </cell>
          <cell r="L622">
            <v>1218</v>
          </cell>
          <cell r="M622">
            <v>4225</v>
          </cell>
          <cell r="N622">
            <v>6.8617999999999997</v>
          </cell>
          <cell r="O622">
            <v>781.13614503483052</v>
          </cell>
          <cell r="P622">
            <v>300.89999999999998</v>
          </cell>
          <cell r="Q622">
            <v>124.25311142848814</v>
          </cell>
          <cell r="R622">
            <v>110.83097729458743</v>
          </cell>
          <cell r="S622">
            <v>204.05038425042596</v>
          </cell>
          <cell r="T622">
            <v>740.03447297350147</v>
          </cell>
          <cell r="U622">
            <v>53.690955362491763</v>
          </cell>
        </row>
        <row r="623">
          <cell r="I623">
            <v>39675</v>
          </cell>
          <cell r="J623">
            <v>5320</v>
          </cell>
          <cell r="K623">
            <v>167.5</v>
          </cell>
          <cell r="L623">
            <v>1218</v>
          </cell>
          <cell r="M623">
            <v>4225</v>
          </cell>
          <cell r="N623">
            <v>6.8731</v>
          </cell>
          <cell r="O623">
            <v>774.03209614293405</v>
          </cell>
          <cell r="P623">
            <v>284.75</v>
          </cell>
          <cell r="Q623">
            <v>124.04882803974915</v>
          </cell>
          <cell r="R623">
            <v>110.64876111216191</v>
          </cell>
          <cell r="S623">
            <v>205.42091127219987</v>
          </cell>
          <cell r="T623">
            <v>724.86850042411095</v>
          </cell>
          <cell r="U623">
            <v>52.057016482304221</v>
          </cell>
        </row>
        <row r="624">
          <cell r="I624">
            <v>39676</v>
          </cell>
          <cell r="J624">
            <v>5320</v>
          </cell>
          <cell r="K624">
            <v>167.5</v>
          </cell>
          <cell r="L624">
            <v>1218</v>
          </cell>
          <cell r="M624">
            <v>4225</v>
          </cell>
          <cell r="N624">
            <v>6.8731</v>
          </cell>
          <cell r="O624">
            <v>774.03209614293405</v>
          </cell>
          <cell r="P624">
            <v>284.75</v>
          </cell>
          <cell r="Q624">
            <v>124.04882803974915</v>
          </cell>
          <cell r="R624">
            <v>110.64876111216191</v>
          </cell>
          <cell r="S624">
            <v>205.42091127219987</v>
          </cell>
          <cell r="T624">
            <v>724.86850042411095</v>
          </cell>
          <cell r="U624">
            <v>50.423077602116564</v>
          </cell>
        </row>
        <row r="625">
          <cell r="I625">
            <v>39677</v>
          </cell>
          <cell r="J625">
            <v>5320</v>
          </cell>
          <cell r="K625">
            <v>167.5</v>
          </cell>
          <cell r="L625">
            <v>1218</v>
          </cell>
          <cell r="M625">
            <v>4225</v>
          </cell>
          <cell r="N625">
            <v>6.8731</v>
          </cell>
          <cell r="O625">
            <v>774.03209614293405</v>
          </cell>
          <cell r="P625">
            <v>284.75</v>
          </cell>
          <cell r="Q625">
            <v>124.04882803974915</v>
          </cell>
          <cell r="R625">
            <v>110.64876111216191</v>
          </cell>
          <cell r="S625">
            <v>205.42091127219987</v>
          </cell>
          <cell r="T625">
            <v>724.86850042411095</v>
          </cell>
          <cell r="U625">
            <v>48.789138721928794</v>
          </cell>
        </row>
        <row r="626">
          <cell r="I626">
            <v>39678</v>
          </cell>
          <cell r="J626">
            <v>5300</v>
          </cell>
          <cell r="K626">
            <v>167.5</v>
          </cell>
          <cell r="L626">
            <v>1218</v>
          </cell>
          <cell r="M626">
            <v>4225</v>
          </cell>
          <cell r="N626">
            <v>6.8792</v>
          </cell>
          <cell r="O626">
            <v>770.43842307245029</v>
          </cell>
          <cell r="P626">
            <v>284.75</v>
          </cell>
          <cell r="Q626">
            <v>123.93883009652285</v>
          </cell>
          <cell r="R626">
            <v>110.55064542388649</v>
          </cell>
          <cell r="S626">
            <v>204.92899237935632</v>
          </cell>
          <cell r="T626">
            <v>724.16846789976557</v>
          </cell>
          <cell r="U626">
            <v>47.270902972950125</v>
          </cell>
        </row>
        <row r="627">
          <cell r="I627">
            <v>39679</v>
          </cell>
          <cell r="J627">
            <v>5250</v>
          </cell>
          <cell r="K627">
            <v>167.5</v>
          </cell>
          <cell r="L627">
            <v>1218</v>
          </cell>
          <cell r="M627">
            <v>4225</v>
          </cell>
          <cell r="N627">
            <v>6.8658000000000001</v>
          </cell>
          <cell r="O627">
            <v>764.65961723324301</v>
          </cell>
          <cell r="P627">
            <v>284.75</v>
          </cell>
          <cell r="Q627">
            <v>124.18072183867865</v>
          </cell>
          <cell r="R627">
            <v>110.76640741064405</v>
          </cell>
          <cell r="S627">
            <v>204.02284013441579</v>
          </cell>
          <cell r="T627">
            <v>723.71996938373854</v>
          </cell>
          <cell r="U627">
            <v>45.839104808172465</v>
          </cell>
        </row>
        <row r="628">
          <cell r="I628">
            <v>39680</v>
          </cell>
          <cell r="J628">
            <v>5200</v>
          </cell>
          <cell r="K628">
            <v>167.5</v>
          </cell>
          <cell r="L628">
            <v>1218</v>
          </cell>
          <cell r="M628">
            <v>4225</v>
          </cell>
          <cell r="N628">
            <v>6.8548</v>
          </cell>
          <cell r="O628">
            <v>758.59251911069612</v>
          </cell>
          <cell r="P628">
            <v>284.75</v>
          </cell>
          <cell r="Q628">
            <v>124.37999649880373</v>
          </cell>
          <cell r="R628">
            <v>110.94415591993931</v>
          </cell>
          <cell r="S628">
            <v>203.08651481848892</v>
          </cell>
          <cell r="T628">
            <v>723.16066723723202</v>
          </cell>
          <cell r="U628">
            <v>44.461987730493433</v>
          </cell>
        </row>
        <row r="629">
          <cell r="I629">
            <v>39681</v>
          </cell>
          <cell r="J629">
            <v>5020</v>
          </cell>
          <cell r="K629">
            <v>167.5</v>
          </cell>
          <cell r="L629">
            <v>1218</v>
          </cell>
          <cell r="M629">
            <v>4225</v>
          </cell>
          <cell r="N629">
            <v>6.8445</v>
          </cell>
          <cell r="O629">
            <v>733.43560523047699</v>
          </cell>
          <cell r="P629">
            <v>284.75</v>
          </cell>
          <cell r="Q629">
            <v>124.56717072101686</v>
          </cell>
          <cell r="R629">
            <v>111.1111111111111</v>
          </cell>
          <cell r="S629">
            <v>199.37978203223867</v>
          </cell>
          <cell r="T629">
            <v>719.80806386436666</v>
          </cell>
          <cell r="U629">
            <v>40.537111916890467</v>
          </cell>
        </row>
        <row r="630">
          <cell r="I630">
            <v>39682</v>
          </cell>
          <cell r="J630">
            <v>5020</v>
          </cell>
          <cell r="K630">
            <v>167.5</v>
          </cell>
          <cell r="L630">
            <v>1218</v>
          </cell>
          <cell r="M630">
            <v>4225</v>
          </cell>
          <cell r="N630">
            <v>6.8339999999999996</v>
          </cell>
          <cell r="O630">
            <v>734.56248170910158</v>
          </cell>
          <cell r="P630">
            <v>284.75</v>
          </cell>
          <cell r="Q630">
            <v>124.7585601404741</v>
          </cell>
          <cell r="R630">
            <v>111.28182616330115</v>
          </cell>
          <cell r="S630">
            <v>199.4909027512013</v>
          </cell>
          <cell r="T630">
            <v>720.28128905497647</v>
          </cell>
          <cell r="U630">
            <v>35.553911479076419</v>
          </cell>
        </row>
        <row r="631">
          <cell r="I631">
            <v>39683</v>
          </cell>
          <cell r="J631">
            <v>5020</v>
          </cell>
          <cell r="K631">
            <v>167.5</v>
          </cell>
          <cell r="L631">
            <v>1218</v>
          </cell>
          <cell r="M631">
            <v>4225</v>
          </cell>
          <cell r="N631">
            <v>6.8339999999999996</v>
          </cell>
          <cell r="O631">
            <v>734.56248170910158</v>
          </cell>
          <cell r="P631">
            <v>284.75</v>
          </cell>
          <cell r="Q631">
            <v>124.7585601404741</v>
          </cell>
          <cell r="R631">
            <v>111.28182616330115</v>
          </cell>
          <cell r="S631">
            <v>199.4909027512013</v>
          </cell>
          <cell r="T631">
            <v>720.28128905497647</v>
          </cell>
          <cell r="U631">
            <v>30.570711041262371</v>
          </cell>
        </row>
        <row r="632">
          <cell r="I632">
            <v>39684</v>
          </cell>
          <cell r="J632">
            <v>5020</v>
          </cell>
          <cell r="K632">
            <v>167.5</v>
          </cell>
          <cell r="L632">
            <v>1218</v>
          </cell>
          <cell r="M632">
            <v>4225</v>
          </cell>
          <cell r="N632">
            <v>6.8339999999999996</v>
          </cell>
          <cell r="O632">
            <v>734.56248170910158</v>
          </cell>
          <cell r="P632">
            <v>284.75</v>
          </cell>
          <cell r="Q632">
            <v>124.7585601404741</v>
          </cell>
          <cell r="R632">
            <v>111.28182616330115</v>
          </cell>
          <cell r="S632">
            <v>199.4909027512013</v>
          </cell>
          <cell r="T632">
            <v>720.28128905497647</v>
          </cell>
          <cell r="U632">
            <v>25.587510603448322</v>
          </cell>
        </row>
        <row r="633">
          <cell r="I633">
            <v>39685</v>
          </cell>
          <cell r="J633">
            <v>4940</v>
          </cell>
          <cell r="K633">
            <v>167.5</v>
          </cell>
          <cell r="L633">
            <v>1218</v>
          </cell>
          <cell r="M633">
            <v>4225</v>
          </cell>
          <cell r="N633">
            <v>6.8472</v>
          </cell>
          <cell r="O633">
            <v>721.46278770884453</v>
          </cell>
          <cell r="P633">
            <v>284.75</v>
          </cell>
          <cell r="Q633">
            <v>124.51805117420258</v>
          </cell>
          <cell r="R633">
            <v>111.06729758149316</v>
          </cell>
          <cell r="S633">
            <v>197.65364497609852</v>
          </cell>
          <cell r="T633">
            <v>717.98899373179438</v>
          </cell>
          <cell r="U633">
            <v>19.473773289786095</v>
          </cell>
        </row>
        <row r="634">
          <cell r="I634">
            <v>39686</v>
          </cell>
          <cell r="J634">
            <v>4960</v>
          </cell>
          <cell r="K634">
            <v>167.5</v>
          </cell>
          <cell r="L634">
            <v>1218</v>
          </cell>
          <cell r="M634">
            <v>3750</v>
          </cell>
          <cell r="N634">
            <v>6.851</v>
          </cell>
          <cell r="O634">
            <v>723.98190045248873</v>
          </cell>
          <cell r="P634">
            <v>284.75</v>
          </cell>
          <cell r="Q634">
            <v>124.44898554955481</v>
          </cell>
          <cell r="R634">
            <v>98.525762662385048</v>
          </cell>
          <cell r="S634">
            <v>199.85197938537885</v>
          </cell>
          <cell r="T634">
            <v>707.57672759731872</v>
          </cell>
          <cell r="U634">
            <v>15.968848290595588</v>
          </cell>
        </row>
        <row r="635">
          <cell r="I635">
            <v>39687</v>
          </cell>
          <cell r="J635">
            <v>5120</v>
          </cell>
          <cell r="K635">
            <v>167.5</v>
          </cell>
          <cell r="L635">
            <v>1218</v>
          </cell>
          <cell r="M635">
            <v>3750</v>
          </cell>
          <cell r="N635">
            <v>6.8379000000000003</v>
          </cell>
          <cell r="O635">
            <v>748.76789657643428</v>
          </cell>
          <cell r="P635">
            <v>284.75</v>
          </cell>
          <cell r="Q635">
            <v>124.68740402755232</v>
          </cell>
          <cell r="R635">
            <v>98.714517615057247</v>
          </cell>
          <cell r="S635">
            <v>203.3912955032053</v>
          </cell>
          <cell r="T635">
            <v>711.54321714581488</v>
          </cell>
          <cell r="U635">
            <v>16.224966513046411</v>
          </cell>
        </row>
        <row r="636">
          <cell r="I636">
            <v>39688</v>
          </cell>
          <cell r="J636">
            <v>5050</v>
          </cell>
          <cell r="K636">
            <v>167.5</v>
          </cell>
          <cell r="L636">
            <v>1218</v>
          </cell>
          <cell r="M636">
            <v>3750</v>
          </cell>
          <cell r="N636">
            <v>6.8285</v>
          </cell>
          <cell r="O636">
            <v>739.54748480632645</v>
          </cell>
          <cell r="P636">
            <v>284.75</v>
          </cell>
          <cell r="Q636">
            <v>124.8590466427473</v>
          </cell>
          <cell r="R636">
            <v>98.850406385004021</v>
          </cell>
          <cell r="S636">
            <v>202.00689350628863</v>
          </cell>
          <cell r="T636">
            <v>710.46634653403999</v>
          </cell>
          <cell r="U636">
            <v>18.432623213928878</v>
          </cell>
        </row>
        <row r="637">
          <cell r="I637">
            <v>39689</v>
          </cell>
          <cell r="J637">
            <v>5020</v>
          </cell>
          <cell r="K637">
            <v>152.5</v>
          </cell>
          <cell r="L637">
            <v>1218</v>
          </cell>
          <cell r="M637">
            <v>3750</v>
          </cell>
          <cell r="N637">
            <v>6.8396999999999997</v>
          </cell>
          <cell r="O637">
            <v>733.95031945845585</v>
          </cell>
          <cell r="P637">
            <v>259.25</v>
          </cell>
          <cell r="Q637">
            <v>124.65459011360147</v>
          </cell>
          <cell r="R637">
            <v>98.688538971007503</v>
          </cell>
          <cell r="S637">
            <v>204.95198492611451</v>
          </cell>
          <cell r="T637">
            <v>687.54511401072341</v>
          </cell>
          <cell r="U637">
            <v>23.021767898729877</v>
          </cell>
        </row>
        <row r="638">
          <cell r="I638">
            <v>39690</v>
          </cell>
          <cell r="J638">
            <v>5020</v>
          </cell>
          <cell r="K638">
            <v>152.5</v>
          </cell>
          <cell r="L638">
            <v>1218</v>
          </cell>
          <cell r="M638">
            <v>3750</v>
          </cell>
          <cell r="N638">
            <v>6.8396999999999997</v>
          </cell>
          <cell r="O638">
            <v>733.95031945845585</v>
          </cell>
          <cell r="P638">
            <v>259.25</v>
          </cell>
          <cell r="Q638">
            <v>124.65459011360147</v>
          </cell>
          <cell r="R638">
            <v>98.688538971007503</v>
          </cell>
          <cell r="S638">
            <v>204.95198492611451</v>
          </cell>
          <cell r="T638">
            <v>687.54511401072341</v>
          </cell>
          <cell r="U638">
            <v>27.610912583530876</v>
          </cell>
        </row>
        <row r="639">
          <cell r="I639">
            <v>39691</v>
          </cell>
          <cell r="J639">
            <v>5020</v>
          </cell>
          <cell r="K639">
            <v>152.5</v>
          </cell>
          <cell r="L639">
            <v>1631</v>
          </cell>
          <cell r="M639">
            <v>3750</v>
          </cell>
          <cell r="N639">
            <v>6.8396999999999997</v>
          </cell>
          <cell r="O639">
            <v>733.95031945845585</v>
          </cell>
          <cell r="P639">
            <v>259.25</v>
          </cell>
          <cell r="Q639">
            <v>166.92252584177669</v>
          </cell>
          <cell r="R639">
            <v>98.688538971007503</v>
          </cell>
          <cell r="S639">
            <v>198.81048999125147</v>
          </cell>
          <cell r="T639">
            <v>723.67155480403562</v>
          </cell>
          <cell r="U639">
            <v>27.039137155001526</v>
          </cell>
        </row>
        <row r="640">
          <cell r="I640">
            <v>39692</v>
          </cell>
          <cell r="J640">
            <v>5070</v>
          </cell>
          <cell r="K640">
            <v>152.5</v>
          </cell>
          <cell r="L640">
            <v>1631</v>
          </cell>
          <cell r="M640">
            <v>3750</v>
          </cell>
          <cell r="N640">
            <v>6.8257000000000003</v>
          </cell>
          <cell r="O640">
            <v>742.78096019455882</v>
          </cell>
          <cell r="P640">
            <v>259.25</v>
          </cell>
          <cell r="Q640">
            <v>167.26489590811198</v>
          </cell>
          <cell r="R640">
            <v>98.890956238920552</v>
          </cell>
          <cell r="S640">
            <v>200.01441740861486</v>
          </cell>
          <cell r="T640">
            <v>725.42026955564734</v>
          </cell>
          <cell r="U640">
            <v>29.022979535267609</v>
          </cell>
        </row>
        <row r="641">
          <cell r="I641">
            <v>39693</v>
          </cell>
          <cell r="J641">
            <v>5170</v>
          </cell>
          <cell r="K641">
            <v>152.5</v>
          </cell>
          <cell r="L641">
            <v>1631</v>
          </cell>
          <cell r="M641">
            <v>3700</v>
          </cell>
          <cell r="N641">
            <v>6.8407</v>
          </cell>
          <cell r="O641">
            <v>755.77060827108335</v>
          </cell>
          <cell r="P641">
            <v>259.25</v>
          </cell>
          <cell r="Q641">
            <v>166.89812446094697</v>
          </cell>
          <cell r="R641">
            <v>97.358457467802992</v>
          </cell>
          <cell r="S641">
            <v>202.17776451127924</v>
          </cell>
          <cell r="T641">
            <v>725.68434644002923</v>
          </cell>
          <cell r="U641">
            <v>30.977420817536654</v>
          </cell>
        </row>
        <row r="642">
          <cell r="I642">
            <v>39694</v>
          </cell>
          <cell r="J642">
            <v>5120</v>
          </cell>
          <cell r="K642">
            <v>152.5</v>
          </cell>
          <cell r="L642">
            <v>1631</v>
          </cell>
          <cell r="M642">
            <v>3700</v>
          </cell>
          <cell r="N642">
            <v>6.8438999999999997</v>
          </cell>
          <cell r="O642">
            <v>748.11145691783929</v>
          </cell>
          <cell r="P642">
            <v>259.25</v>
          </cell>
          <cell r="Q642">
            <v>166.82008796154238</v>
          </cell>
          <cell r="R642">
            <v>97.312935606890804</v>
          </cell>
          <cell r="S642">
            <v>201.0828492900846</v>
          </cell>
          <cell r="T642">
            <v>724.46587285851786</v>
          </cell>
          <cell r="U642">
            <v>29.03755005020821</v>
          </cell>
        </row>
        <row r="643">
          <cell r="I643">
            <v>39695</v>
          </cell>
          <cell r="J643">
            <v>5120</v>
          </cell>
          <cell r="K643">
            <v>152.5</v>
          </cell>
          <cell r="L643">
            <v>1631</v>
          </cell>
          <cell r="M643">
            <v>3700</v>
          </cell>
          <cell r="N643">
            <v>6.8361999999999998</v>
          </cell>
          <cell r="O643">
            <v>748.95409730552058</v>
          </cell>
          <cell r="P643">
            <v>259.25</v>
          </cell>
          <cell r="Q643">
            <v>167.0079868933033</v>
          </cell>
          <cell r="R643">
            <v>97.422544688569673</v>
          </cell>
          <cell r="S643">
            <v>201.16205655813684</v>
          </cell>
          <cell r="T643">
            <v>724.84258814000987</v>
          </cell>
          <cell r="U643">
            <v>28.327603034954564</v>
          </cell>
        </row>
        <row r="644">
          <cell r="I644">
            <v>39696</v>
          </cell>
          <cell r="J644">
            <v>5120</v>
          </cell>
          <cell r="K644">
            <v>145</v>
          </cell>
          <cell r="L644">
            <v>1631</v>
          </cell>
          <cell r="M644">
            <v>3700</v>
          </cell>
          <cell r="N644">
            <v>6.8394000000000004</v>
          </cell>
          <cell r="O644">
            <v>748.60367868526475</v>
          </cell>
          <cell r="P644">
            <v>246.5</v>
          </cell>
          <cell r="Q644">
            <v>166.92984764745444</v>
          </cell>
          <cell r="R644">
            <v>97.376962891481696</v>
          </cell>
          <cell r="S644">
            <v>202.98168169647516</v>
          </cell>
          <cell r="T644">
            <v>713.78849223541124</v>
          </cell>
          <cell r="U644">
            <v>26.671886035257671</v>
          </cell>
        </row>
        <row r="645">
          <cell r="I645">
            <v>39697</v>
          </cell>
          <cell r="J645">
            <v>5120</v>
          </cell>
          <cell r="K645">
            <v>145</v>
          </cell>
          <cell r="L645">
            <v>1631</v>
          </cell>
          <cell r="M645">
            <v>3700</v>
          </cell>
          <cell r="N645">
            <v>6.8394000000000004</v>
          </cell>
          <cell r="O645">
            <v>748.60367868526475</v>
          </cell>
          <cell r="P645">
            <v>246.5</v>
          </cell>
          <cell r="Q645">
            <v>166.92984764745444</v>
          </cell>
          <cell r="R645">
            <v>97.376962891481696</v>
          </cell>
          <cell r="S645">
            <v>202.98168169647516</v>
          </cell>
          <cell r="T645">
            <v>713.78849223541124</v>
          </cell>
          <cell r="U645">
            <v>25.016169035560665</v>
          </cell>
        </row>
        <row r="646">
          <cell r="I646">
            <v>39698</v>
          </cell>
          <cell r="J646">
            <v>5120</v>
          </cell>
          <cell r="K646">
            <v>145</v>
          </cell>
          <cell r="L646">
            <v>1631</v>
          </cell>
          <cell r="M646">
            <v>3700</v>
          </cell>
          <cell r="N646">
            <v>6.8394000000000004</v>
          </cell>
          <cell r="O646">
            <v>748.60367868526475</v>
          </cell>
          <cell r="P646">
            <v>246.5</v>
          </cell>
          <cell r="Q646">
            <v>166.92984764745444</v>
          </cell>
          <cell r="R646">
            <v>97.376962891481696</v>
          </cell>
          <cell r="S646">
            <v>202.98168169647516</v>
          </cell>
          <cell r="T646">
            <v>713.78849223541124</v>
          </cell>
          <cell r="U646">
            <v>28.521372149193894</v>
          </cell>
        </row>
        <row r="647">
          <cell r="I647">
            <v>39699</v>
          </cell>
          <cell r="J647">
            <v>5140</v>
          </cell>
          <cell r="K647">
            <v>145</v>
          </cell>
          <cell r="L647">
            <v>1631</v>
          </cell>
          <cell r="M647">
            <v>3700</v>
          </cell>
          <cell r="N647">
            <v>6.8438999999999997</v>
          </cell>
          <cell r="O647">
            <v>751.03376729642457</v>
          </cell>
          <cell r="P647">
            <v>246.5</v>
          </cell>
          <cell r="Q647">
            <v>166.82008796154238</v>
          </cell>
          <cell r="R647">
            <v>97.312935606890804</v>
          </cell>
          <cell r="S647">
            <v>203.360022592956</v>
          </cell>
          <cell r="T647">
            <v>713.9930461613892</v>
          </cell>
          <cell r="U647">
            <v>31.33280507721156</v>
          </cell>
        </row>
        <row r="648">
          <cell r="I648">
            <v>39700</v>
          </cell>
          <cell r="J648">
            <v>5140</v>
          </cell>
          <cell r="K648">
            <v>145</v>
          </cell>
          <cell r="L648">
            <v>1631</v>
          </cell>
          <cell r="M648">
            <v>3350</v>
          </cell>
          <cell r="N648">
            <v>6.8383000000000003</v>
          </cell>
          <cell r="O648">
            <v>751.64880160273754</v>
          </cell>
          <cell r="P648">
            <v>246.5</v>
          </cell>
          <cell r="Q648">
            <v>166.95669976456136</v>
          </cell>
          <cell r="R648">
            <v>88.179810771683009</v>
          </cell>
          <cell r="S648">
            <v>204.75657220624259</v>
          </cell>
          <cell r="T648">
            <v>706.39308274248697</v>
          </cell>
          <cell r="U648">
            <v>33.499870367096946</v>
          </cell>
        </row>
        <row r="649">
          <cell r="I649">
            <v>39701</v>
          </cell>
          <cell r="J649">
            <v>5120</v>
          </cell>
          <cell r="K649">
            <v>145</v>
          </cell>
          <cell r="L649">
            <v>1631</v>
          </cell>
          <cell r="M649">
            <v>3350</v>
          </cell>
          <cell r="N649">
            <v>6.8385999999999996</v>
          </cell>
          <cell r="O649">
            <v>748.69125259556051</v>
          </cell>
          <cell r="P649">
            <v>246.5</v>
          </cell>
          <cell r="Q649">
            <v>166.94937560319363</v>
          </cell>
          <cell r="R649">
            <v>88.175942444359947</v>
          </cell>
          <cell r="S649">
            <v>204.32846912235993</v>
          </cell>
          <cell r="T649">
            <v>705.95378716991354</v>
          </cell>
          <cell r="U649">
            <v>36.227281990857705</v>
          </cell>
        </row>
        <row r="650">
          <cell r="I650">
            <v>39702</v>
          </cell>
          <cell r="J650">
            <v>5120</v>
          </cell>
          <cell r="K650">
            <v>145</v>
          </cell>
          <cell r="L650">
            <v>1631</v>
          </cell>
          <cell r="M650">
            <v>3350</v>
          </cell>
          <cell r="N650">
            <v>6.8464999999999998</v>
          </cell>
          <cell r="O650">
            <v>747.827357043745</v>
          </cell>
          <cell r="P650">
            <v>246.5</v>
          </cell>
          <cell r="Q650">
            <v>166.75673701891478</v>
          </cell>
          <cell r="R650">
            <v>88.074198495581683</v>
          </cell>
          <cell r="S650">
            <v>204.24571936749766</v>
          </cell>
          <cell r="T650">
            <v>705.57665488199416</v>
          </cell>
          <cell r="U650">
            <v>38.818595276035012</v>
          </cell>
        </row>
        <row r="651">
          <cell r="I651">
            <v>39703</v>
          </cell>
          <cell r="J651">
            <v>5020</v>
          </cell>
          <cell r="K651">
            <v>129</v>
          </cell>
          <cell r="L651">
            <v>1631</v>
          </cell>
          <cell r="M651">
            <v>3350</v>
          </cell>
          <cell r="N651">
            <v>6.8441999999999998</v>
          </cell>
          <cell r="O651">
            <v>733.46775371847696</v>
          </cell>
          <cell r="P651">
            <v>219.29999999999998</v>
          </cell>
          <cell r="Q651">
            <v>166.81277578095322</v>
          </cell>
          <cell r="R651">
            <v>88.10379591478916</v>
          </cell>
          <cell r="S651">
            <v>206.09897516569646</v>
          </cell>
          <cell r="T651">
            <v>680.31554686143886</v>
          </cell>
          <cell r="U651">
            <v>41.43816961991854</v>
          </cell>
        </row>
        <row r="652">
          <cell r="I652">
            <v>39704</v>
          </cell>
          <cell r="J652">
            <v>5020</v>
          </cell>
          <cell r="K652">
            <v>129</v>
          </cell>
          <cell r="L652">
            <v>1631</v>
          </cell>
          <cell r="M652">
            <v>3350</v>
          </cell>
          <cell r="N652">
            <v>6.8441999999999998</v>
          </cell>
          <cell r="O652">
            <v>733.46775371847696</v>
          </cell>
          <cell r="P652">
            <v>219.29999999999998</v>
          </cell>
          <cell r="Q652">
            <v>166.81277578095322</v>
          </cell>
          <cell r="R652">
            <v>88.10379591478916</v>
          </cell>
          <cell r="S652">
            <v>206.09897516569646</v>
          </cell>
          <cell r="T652">
            <v>680.31554686143886</v>
          </cell>
          <cell r="U652">
            <v>44.057743963801954</v>
          </cell>
        </row>
        <row r="653">
          <cell r="I653">
            <v>39705</v>
          </cell>
          <cell r="J653">
            <v>5020</v>
          </cell>
          <cell r="K653">
            <v>129</v>
          </cell>
          <cell r="L653">
            <v>1631</v>
          </cell>
          <cell r="M653">
            <v>3350</v>
          </cell>
          <cell r="N653">
            <v>6.8441999999999998</v>
          </cell>
          <cell r="O653">
            <v>733.46775371847696</v>
          </cell>
          <cell r="P653">
            <v>219.29999999999998</v>
          </cell>
          <cell r="Q653">
            <v>166.81277578095322</v>
          </cell>
          <cell r="R653">
            <v>88.10379591478916</v>
          </cell>
          <cell r="S653">
            <v>206.09897516569646</v>
          </cell>
          <cell r="T653">
            <v>680.31554686143886</v>
          </cell>
          <cell r="U653">
            <v>46.677318307685482</v>
          </cell>
        </row>
        <row r="654">
          <cell r="I654">
            <v>39706</v>
          </cell>
          <cell r="J654">
            <v>5020</v>
          </cell>
          <cell r="K654">
            <v>129</v>
          </cell>
          <cell r="L654">
            <v>1631</v>
          </cell>
          <cell r="M654">
            <v>3350</v>
          </cell>
          <cell r="N654">
            <v>6.8440000000000003</v>
          </cell>
          <cell r="O654">
            <v>733.48918760958497</v>
          </cell>
          <cell r="P654">
            <v>219.29999999999998</v>
          </cell>
          <cell r="Q654">
            <v>166.81765049678549</v>
          </cell>
          <cell r="R654">
            <v>88.106370543541772</v>
          </cell>
          <cell r="S654">
            <v>206.10100710835371</v>
          </cell>
          <cell r="T654">
            <v>680.32502814868099</v>
          </cell>
          <cell r="U654">
            <v>48.980666639952574</v>
          </cell>
        </row>
        <row r="655">
          <cell r="I655">
            <v>39707</v>
          </cell>
          <cell r="J655">
            <v>5020</v>
          </cell>
          <cell r="K655">
            <v>129</v>
          </cell>
          <cell r="L655">
            <v>1631</v>
          </cell>
          <cell r="M655">
            <v>3250</v>
          </cell>
          <cell r="N655">
            <v>6.8451000000000004</v>
          </cell>
          <cell r="O655">
            <v>733.37131670830229</v>
          </cell>
          <cell r="P655">
            <v>219.29999999999998</v>
          </cell>
          <cell r="Q655">
            <v>166.79084308483439</v>
          </cell>
          <cell r="R655">
            <v>85.462593680150761</v>
          </cell>
          <cell r="S655">
            <v>206.4719141797982</v>
          </cell>
          <cell r="T655">
            <v>678.02535094478333</v>
          </cell>
          <cell r="U655">
            <v>50.42213048327676</v>
          </cell>
        </row>
        <row r="656">
          <cell r="I656">
            <v>39708</v>
          </cell>
          <cell r="J656">
            <v>5020</v>
          </cell>
          <cell r="K656">
            <v>129</v>
          </cell>
          <cell r="L656">
            <v>1631</v>
          </cell>
          <cell r="M656">
            <v>3250</v>
          </cell>
          <cell r="N656">
            <v>6.8390000000000004</v>
          </cell>
          <cell r="O656">
            <v>734.02544231612808</v>
          </cell>
          <cell r="P656">
            <v>219.29999999999998</v>
          </cell>
          <cell r="Q656">
            <v>166.93961105424768</v>
          </cell>
          <cell r="R656">
            <v>85.538821465126475</v>
          </cell>
          <cell r="S656">
            <v>206.53426638072489</v>
          </cell>
          <cell r="T656">
            <v>678.31269890009912</v>
          </cell>
          <cell r="U656">
            <v>52.275741624759576</v>
          </cell>
        </row>
        <row r="657">
          <cell r="I657">
            <v>39709</v>
          </cell>
          <cell r="J657">
            <v>5020</v>
          </cell>
          <cell r="K657">
            <v>129</v>
          </cell>
          <cell r="L657">
            <v>1631</v>
          </cell>
          <cell r="M657">
            <v>3250</v>
          </cell>
          <cell r="N657">
            <v>6.8394000000000004</v>
          </cell>
          <cell r="O657">
            <v>733.9825130859432</v>
          </cell>
          <cell r="P657">
            <v>219.29999999999998</v>
          </cell>
          <cell r="Q657">
            <v>166.92984764745444</v>
          </cell>
          <cell r="R657">
            <v>85.533818756031224</v>
          </cell>
          <cell r="S657">
            <v>206.53017430428866</v>
          </cell>
          <cell r="T657">
            <v>678.29384070777428</v>
          </cell>
          <cell r="U657">
            <v>54.195451655676493</v>
          </cell>
        </row>
        <row r="658">
          <cell r="I658">
            <v>39710</v>
          </cell>
          <cell r="J658">
            <v>5020</v>
          </cell>
          <cell r="K658">
            <v>123</v>
          </cell>
          <cell r="L658">
            <v>1631</v>
          </cell>
          <cell r="M658">
            <v>3250</v>
          </cell>
          <cell r="N658">
            <v>6.8377999999999997</v>
          </cell>
          <cell r="O658">
            <v>734.15426014215097</v>
          </cell>
          <cell r="P658">
            <v>209.1</v>
          </cell>
          <cell r="Q658">
            <v>166.96890812834536</v>
          </cell>
          <cell r="R658">
            <v>85.553833104214803</v>
          </cell>
          <cell r="S658">
            <v>208.02859676464141</v>
          </cell>
          <cell r="T658">
            <v>669.65133799720161</v>
          </cell>
          <cell r="U658">
            <v>55.816982411092226</v>
          </cell>
        </row>
        <row r="659">
          <cell r="I659">
            <v>39711</v>
          </cell>
          <cell r="J659">
            <v>5020</v>
          </cell>
          <cell r="K659">
            <v>123</v>
          </cell>
          <cell r="L659">
            <v>1631</v>
          </cell>
          <cell r="M659">
            <v>3250</v>
          </cell>
          <cell r="N659">
            <v>6.8377999999999997</v>
          </cell>
          <cell r="O659">
            <v>734.15426014215097</v>
          </cell>
          <cell r="P659">
            <v>209.1</v>
          </cell>
          <cell r="Q659">
            <v>166.96890812834536</v>
          </cell>
          <cell r="R659">
            <v>85.553833104214803</v>
          </cell>
          <cell r="S659">
            <v>208.02859676464141</v>
          </cell>
          <cell r="T659">
            <v>669.65133799720161</v>
          </cell>
          <cell r="U659">
            <v>57.438513166508073</v>
          </cell>
        </row>
        <row r="660">
          <cell r="I660">
            <v>39712</v>
          </cell>
          <cell r="J660">
            <v>5020</v>
          </cell>
          <cell r="K660">
            <v>123</v>
          </cell>
          <cell r="L660">
            <v>1631</v>
          </cell>
          <cell r="M660">
            <v>3250</v>
          </cell>
          <cell r="N660">
            <v>6.8377999999999997</v>
          </cell>
          <cell r="O660">
            <v>734.15426014215097</v>
          </cell>
          <cell r="P660">
            <v>209.1</v>
          </cell>
          <cell r="Q660">
            <v>166.96890812834536</v>
          </cell>
          <cell r="R660">
            <v>85.553833104214803</v>
          </cell>
          <cell r="S660">
            <v>208.02859676464141</v>
          </cell>
          <cell r="T660">
            <v>669.65133799720161</v>
          </cell>
          <cell r="U660">
            <v>59.060043921923921</v>
          </cell>
        </row>
        <row r="661">
          <cell r="I661">
            <v>39713</v>
          </cell>
          <cell r="J661">
            <v>5020</v>
          </cell>
          <cell r="K661">
            <v>123</v>
          </cell>
          <cell r="L661">
            <v>1631</v>
          </cell>
          <cell r="M661">
            <v>3250</v>
          </cell>
          <cell r="N661">
            <v>6.8356000000000003</v>
          </cell>
          <cell r="O661">
            <v>734.39054362455374</v>
          </cell>
          <cell r="P661">
            <v>209.1</v>
          </cell>
          <cell r="Q661">
            <v>167.02264614664404</v>
          </cell>
          <cell r="R661">
            <v>85.581368131546597</v>
          </cell>
          <cell r="S661">
            <v>208.05111964861686</v>
          </cell>
          <cell r="T661">
            <v>669.7551339268075</v>
          </cell>
          <cell r="U661">
            <v>60.698793955758788</v>
          </cell>
        </row>
        <row r="662">
          <cell r="I662">
            <v>39714</v>
          </cell>
          <cell r="J662">
            <v>4950</v>
          </cell>
          <cell r="K662">
            <v>123</v>
          </cell>
          <cell r="L662">
            <v>1631</v>
          </cell>
          <cell r="M662">
            <v>3250</v>
          </cell>
          <cell r="N662">
            <v>6.8117999999999999</v>
          </cell>
          <cell r="O662">
            <v>726.68017264159255</v>
          </cell>
          <cell r="P662">
            <v>209.1</v>
          </cell>
          <cell r="Q662">
            <v>167.60621274846588</v>
          </cell>
          <cell r="R662">
            <v>85.880384039460935</v>
          </cell>
          <cell r="S662">
            <v>206.80257085053262</v>
          </cell>
          <cell r="T662">
            <v>669.38916763845941</v>
          </cell>
          <cell r="U662">
            <v>60.976656704275115</v>
          </cell>
        </row>
        <row r="663">
          <cell r="I663">
            <v>39715</v>
          </cell>
          <cell r="J663">
            <v>4800</v>
          </cell>
          <cell r="K663">
            <v>123</v>
          </cell>
          <cell r="L663">
            <v>1631</v>
          </cell>
          <cell r="M663">
            <v>3250</v>
          </cell>
          <cell r="N663">
            <v>6.8239000000000001</v>
          </cell>
          <cell r="O663">
            <v>703.41007341842635</v>
          </cell>
          <cell r="P663">
            <v>209.1</v>
          </cell>
          <cell r="Q663">
            <v>167.3090168378786</v>
          </cell>
          <cell r="R663">
            <v>85.72810269787071</v>
          </cell>
          <cell r="S663">
            <v>203.48675398295308</v>
          </cell>
          <cell r="T663">
            <v>665.62387351870234</v>
          </cell>
          <cell r="U663">
            <v>58.415721916231632</v>
          </cell>
        </row>
        <row r="664">
          <cell r="I664">
            <v>39716</v>
          </cell>
          <cell r="J664">
            <v>4650</v>
          </cell>
          <cell r="K664">
            <v>123</v>
          </cell>
          <cell r="L664">
            <v>1631</v>
          </cell>
          <cell r="M664">
            <v>3250</v>
          </cell>
          <cell r="N664">
            <v>6.8171999999999997</v>
          </cell>
          <cell r="O664">
            <v>682.09822214398878</v>
          </cell>
          <cell r="P664">
            <v>209.1</v>
          </cell>
          <cell r="Q664">
            <v>167.47344951006278</v>
          </cell>
          <cell r="R664">
            <v>85.812356979405038</v>
          </cell>
          <cell r="S664">
            <v>200.3540262062125</v>
          </cell>
          <cell r="T664">
            <v>662.73983269568032</v>
          </cell>
          <cell r="U664">
            <v>53.225681497679943</v>
          </cell>
        </row>
        <row r="665">
          <cell r="I665">
            <v>39717</v>
          </cell>
          <cell r="J665">
            <v>4620</v>
          </cell>
          <cell r="K665">
            <v>111</v>
          </cell>
          <cell r="L665">
            <v>1631</v>
          </cell>
          <cell r="M665">
            <v>3250</v>
          </cell>
          <cell r="N665">
            <v>6.843</v>
          </cell>
          <cell r="O665">
            <v>675.14248136782112</v>
          </cell>
          <cell r="P665">
            <v>188.7</v>
          </cell>
          <cell r="Q665">
            <v>166.84202835013883</v>
          </cell>
          <cell r="R665">
            <v>85.488820692678644</v>
          </cell>
          <cell r="S665">
            <v>202.44622008141084</v>
          </cell>
          <cell r="T665">
            <v>643.47706912422836</v>
          </cell>
          <cell r="U665">
            <v>48.534608654629096</v>
          </cell>
        </row>
        <row r="666">
          <cell r="I666">
            <v>39718</v>
          </cell>
          <cell r="J666">
            <v>4620</v>
          </cell>
          <cell r="K666">
            <v>111</v>
          </cell>
          <cell r="L666">
            <v>1631</v>
          </cell>
          <cell r="M666">
            <v>3250</v>
          </cell>
          <cell r="N666">
            <v>6.843</v>
          </cell>
          <cell r="O666">
            <v>675.14248136782112</v>
          </cell>
          <cell r="P666">
            <v>188.7</v>
          </cell>
          <cell r="Q666">
            <v>166.84202835013883</v>
          </cell>
          <cell r="R666">
            <v>85.488820692678644</v>
          </cell>
          <cell r="S666">
            <v>202.44622008141084</v>
          </cell>
          <cell r="T666">
            <v>643.47706912422836</v>
          </cell>
          <cell r="U666">
            <v>43.843535811578022</v>
          </cell>
        </row>
        <row r="667">
          <cell r="I667">
            <v>39719</v>
          </cell>
          <cell r="J667">
            <v>4620</v>
          </cell>
          <cell r="K667">
            <v>111</v>
          </cell>
          <cell r="L667">
            <v>1631</v>
          </cell>
          <cell r="M667">
            <v>3250</v>
          </cell>
          <cell r="N667">
            <v>6.843</v>
          </cell>
          <cell r="O667">
            <v>675.14248136782112</v>
          </cell>
          <cell r="P667">
            <v>188.7</v>
          </cell>
          <cell r="Q667">
            <v>166.84202835013883</v>
          </cell>
          <cell r="R667">
            <v>85.488820692678644</v>
          </cell>
          <cell r="S667">
            <v>202.44622008141084</v>
          </cell>
          <cell r="T667">
            <v>643.47706912422836</v>
          </cell>
          <cell r="U667">
            <v>39.152462968527175</v>
          </cell>
        </row>
        <row r="668">
          <cell r="I668">
            <v>39720</v>
          </cell>
          <cell r="J668">
            <v>4620</v>
          </cell>
          <cell r="K668">
            <v>111</v>
          </cell>
          <cell r="L668">
            <v>1631</v>
          </cell>
          <cell r="M668">
            <v>3250</v>
          </cell>
          <cell r="N668">
            <v>6.8451000000000004</v>
          </cell>
          <cell r="O668">
            <v>674.93535521760089</v>
          </cell>
          <cell r="P668">
            <v>188.7</v>
          </cell>
          <cell r="Q668">
            <v>166.79084308483439</v>
          </cell>
          <cell r="R668">
            <v>85.462593680150761</v>
          </cell>
          <cell r="S668">
            <v>202.42737276661933</v>
          </cell>
          <cell r="T668">
            <v>643.38080953160443</v>
          </cell>
          <cell r="U668">
            <v>34.426625252562758</v>
          </cell>
        </row>
        <row r="669">
          <cell r="I669">
            <v>39721</v>
          </cell>
          <cell r="J669">
            <v>4620</v>
          </cell>
          <cell r="K669">
            <v>111</v>
          </cell>
          <cell r="L669">
            <v>1780</v>
          </cell>
          <cell r="M669">
            <v>3250</v>
          </cell>
          <cell r="N669">
            <v>6.8460000000000001</v>
          </cell>
          <cell r="O669">
            <v>674.84662576687117</v>
          </cell>
          <cell r="P669">
            <v>188.7</v>
          </cell>
          <cell r="Q669">
            <v>182.00408997955006</v>
          </cell>
          <cell r="R669">
            <v>85.451358457493427</v>
          </cell>
          <cell r="S669">
            <v>200.20564115048774</v>
          </cell>
          <cell r="T669">
            <v>656.3610895875313</v>
          </cell>
          <cell r="U669">
            <v>28.882986849164013</v>
          </cell>
        </row>
        <row r="670">
          <cell r="I670">
            <v>39722</v>
          </cell>
          <cell r="J670">
            <v>4620</v>
          </cell>
          <cell r="K670">
            <v>111</v>
          </cell>
          <cell r="L670">
            <v>1780</v>
          </cell>
          <cell r="M670">
            <v>3250</v>
          </cell>
          <cell r="N670">
            <v>6.8451000000000004</v>
          </cell>
          <cell r="O670">
            <v>674.93535521760089</v>
          </cell>
          <cell r="P670">
            <v>188.7</v>
          </cell>
          <cell r="Q670">
            <v>182.02802004353475</v>
          </cell>
          <cell r="R670">
            <v>85.462593680150761</v>
          </cell>
          <cell r="S670">
            <v>200.21342397774833</v>
          </cell>
          <cell r="T670">
            <v>656.40403770143382</v>
          </cell>
          <cell r="U670">
            <v>26.132289365798556</v>
          </cell>
        </row>
        <row r="671">
          <cell r="I671">
            <v>39723</v>
          </cell>
          <cell r="J671">
            <v>4620</v>
          </cell>
          <cell r="K671">
            <v>111</v>
          </cell>
          <cell r="L671">
            <v>1780</v>
          </cell>
          <cell r="M671">
            <v>3250</v>
          </cell>
          <cell r="N671">
            <v>6.8451000000000004</v>
          </cell>
          <cell r="O671">
            <v>674.93535521760089</v>
          </cell>
          <cell r="P671">
            <v>188.7</v>
          </cell>
          <cell r="Q671">
            <v>182.02802004353475</v>
          </cell>
          <cell r="R671">
            <v>85.462593680150761</v>
          </cell>
          <cell r="S671">
            <v>200.21342397774833</v>
          </cell>
          <cell r="T671">
            <v>656.40403770143382</v>
          </cell>
          <cell r="U671">
            <v>26.014136232635451</v>
          </cell>
        </row>
        <row r="672">
          <cell r="I672">
            <v>39724</v>
          </cell>
          <cell r="J672">
            <v>4620</v>
          </cell>
          <cell r="K672">
            <v>111</v>
          </cell>
          <cell r="L672">
            <v>1780</v>
          </cell>
          <cell r="M672">
            <v>3250</v>
          </cell>
          <cell r="N672">
            <v>6.8472999999999997</v>
          </cell>
          <cell r="O672">
            <v>674.71850218334237</v>
          </cell>
          <cell r="P672">
            <v>188.7</v>
          </cell>
          <cell r="Q672">
            <v>181.96953543732567</v>
          </cell>
          <cell r="R672">
            <v>85.435135016721915</v>
          </cell>
          <cell r="S672">
            <v>200.1944029008377</v>
          </cell>
          <cell r="T672">
            <v>656.29907335488519</v>
          </cell>
          <cell r="U672">
            <v>24.121852887616001</v>
          </cell>
        </row>
        <row r="673">
          <cell r="I673">
            <v>39725</v>
          </cell>
          <cell r="J673">
            <v>4620</v>
          </cell>
          <cell r="K673">
            <v>111</v>
          </cell>
          <cell r="L673">
            <v>1780</v>
          </cell>
          <cell r="M673">
            <v>3250</v>
          </cell>
          <cell r="N673">
            <v>6.8472999999999997</v>
          </cell>
          <cell r="O673">
            <v>674.71850218334237</v>
          </cell>
          <cell r="P673">
            <v>188.7</v>
          </cell>
          <cell r="Q673">
            <v>181.96953543732567</v>
          </cell>
          <cell r="R673">
            <v>85.435135016721915</v>
          </cell>
          <cell r="S673">
            <v>200.1944029008377</v>
          </cell>
          <cell r="T673">
            <v>656.29907335488519</v>
          </cell>
          <cell r="U673">
            <v>22.229569542596664</v>
          </cell>
        </row>
        <row r="674">
          <cell r="I674">
            <v>39726</v>
          </cell>
          <cell r="J674">
            <v>4620</v>
          </cell>
          <cell r="K674">
            <v>111</v>
          </cell>
          <cell r="L674">
            <v>1780</v>
          </cell>
          <cell r="M674">
            <v>3250</v>
          </cell>
          <cell r="N674">
            <v>6.8472999999999997</v>
          </cell>
          <cell r="O674">
            <v>674.71850218334237</v>
          </cell>
          <cell r="P674">
            <v>188.7</v>
          </cell>
          <cell r="Q674">
            <v>181.96953543732567</v>
          </cell>
          <cell r="R674">
            <v>85.435135016721915</v>
          </cell>
          <cell r="S674">
            <v>200.1944029008377</v>
          </cell>
          <cell r="T674">
            <v>656.29907335488519</v>
          </cell>
          <cell r="U674">
            <v>20.337286197577328</v>
          </cell>
        </row>
        <row r="675">
          <cell r="I675">
            <v>39727</v>
          </cell>
          <cell r="J675">
            <v>4620</v>
          </cell>
          <cell r="K675">
            <v>111</v>
          </cell>
          <cell r="L675">
            <v>1780</v>
          </cell>
          <cell r="M675">
            <v>3250</v>
          </cell>
          <cell r="N675">
            <v>6.8429000000000002</v>
          </cell>
          <cell r="O675">
            <v>675.15234768884534</v>
          </cell>
          <cell r="P675">
            <v>188.7</v>
          </cell>
          <cell r="Q675">
            <v>182.08654225547645</v>
          </cell>
          <cell r="R675">
            <v>85.490069999561584</v>
          </cell>
          <cell r="S675">
            <v>200.23245728525399</v>
          </cell>
          <cell r="T675">
            <v>656.50906954029199</v>
          </cell>
          <cell r="U675">
            <v>18.492819406514172</v>
          </cell>
        </row>
        <row r="676">
          <cell r="I676">
            <v>39728</v>
          </cell>
          <cell r="J676">
            <v>4620</v>
          </cell>
          <cell r="K676">
            <v>111</v>
          </cell>
          <cell r="L676">
            <v>1780</v>
          </cell>
          <cell r="M676">
            <v>3150</v>
          </cell>
          <cell r="N676">
            <v>6.8170999999999999</v>
          </cell>
          <cell r="O676">
            <v>677.70752959469564</v>
          </cell>
          <cell r="P676">
            <v>188.7</v>
          </cell>
          <cell r="Q676">
            <v>182.77566707250881</v>
          </cell>
          <cell r="R676">
            <v>83.173196813894464</v>
          </cell>
          <cell r="S676">
            <v>200.84023347898261</v>
          </cell>
          <cell r="T676">
            <v>655.48909736538599</v>
          </cell>
          <cell r="U676">
            <v>19.026090270795635</v>
          </cell>
        </row>
        <row r="677">
          <cell r="I677">
            <v>39729</v>
          </cell>
          <cell r="J677">
            <v>4320</v>
          </cell>
          <cell r="K677">
            <v>111</v>
          </cell>
          <cell r="L677">
            <v>1780</v>
          </cell>
          <cell r="M677">
            <v>3150</v>
          </cell>
          <cell r="N677">
            <v>6.8174000000000001</v>
          </cell>
          <cell r="O677">
            <v>633.67266113180972</v>
          </cell>
          <cell r="P677">
            <v>188.7</v>
          </cell>
          <cell r="Q677">
            <v>182.76762402088772</v>
          </cell>
          <cell r="R677">
            <v>83.169536773550035</v>
          </cell>
          <cell r="S677">
            <v>194.44370517722501</v>
          </cell>
          <cell r="T677">
            <v>649.08086597166266</v>
          </cell>
          <cell r="U677">
            <v>14.177587077078442</v>
          </cell>
        </row>
        <row r="678">
          <cell r="I678">
            <v>39730</v>
          </cell>
          <cell r="J678">
            <v>4000</v>
          </cell>
          <cell r="K678">
            <v>111</v>
          </cell>
          <cell r="L678">
            <v>1780</v>
          </cell>
          <cell r="M678">
            <v>3150</v>
          </cell>
          <cell r="N678">
            <v>6.8202999999999996</v>
          </cell>
          <cell r="O678">
            <v>586.48446549272035</v>
          </cell>
          <cell r="P678">
            <v>188.7</v>
          </cell>
          <cell r="Q678">
            <v>182.68991100098236</v>
          </cell>
          <cell r="R678">
            <v>83.134172983593103</v>
          </cell>
          <cell r="S678">
            <v>187.60373064648257</v>
          </cell>
          <cell r="T678">
            <v>642.12781463105807</v>
          </cell>
          <cell r="U678">
            <v>3.5812061264346084</v>
          </cell>
        </row>
        <row r="679">
          <cell r="I679">
            <v>39731</v>
          </cell>
          <cell r="J679">
            <v>4000</v>
          </cell>
          <cell r="K679">
            <v>91</v>
          </cell>
          <cell r="L679">
            <v>1780</v>
          </cell>
          <cell r="M679">
            <v>3150</v>
          </cell>
          <cell r="N679">
            <v>6.8358999999999996</v>
          </cell>
          <cell r="O679">
            <v>585.1460670869966</v>
          </cell>
          <cell r="P679">
            <v>154.69999999999999</v>
          </cell>
          <cell r="Q679">
            <v>182.27299989759945</v>
          </cell>
          <cell r="R679">
            <v>82.944455009581773</v>
          </cell>
          <cell r="S679">
            <v>192.43757612869115</v>
          </cell>
          <cell r="T679">
            <v>612.35503103587234</v>
          </cell>
          <cell r="U679">
            <v>-2.9371356988984871</v>
          </cell>
        </row>
        <row r="680">
          <cell r="I680">
            <v>39732</v>
          </cell>
          <cell r="J680">
            <v>4000</v>
          </cell>
          <cell r="K680">
            <v>91</v>
          </cell>
          <cell r="L680">
            <v>1780</v>
          </cell>
          <cell r="M680">
            <v>3150</v>
          </cell>
          <cell r="N680">
            <v>6.8358999999999996</v>
          </cell>
          <cell r="O680">
            <v>585.1460670869966</v>
          </cell>
          <cell r="P680">
            <v>154.69999999999999</v>
          </cell>
          <cell r="Q680">
            <v>182.27299989759945</v>
          </cell>
          <cell r="R680">
            <v>82.944455009581773</v>
          </cell>
          <cell r="S680">
            <v>192.43757612869115</v>
          </cell>
          <cell r="T680">
            <v>612.35503103587234</v>
          </cell>
          <cell r="U680">
            <v>-9.4554775242318101</v>
          </cell>
        </row>
        <row r="681">
          <cell r="I681">
            <v>39733</v>
          </cell>
          <cell r="J681">
            <v>4000</v>
          </cell>
          <cell r="K681">
            <v>91</v>
          </cell>
          <cell r="L681">
            <v>1780</v>
          </cell>
          <cell r="M681">
            <v>3150</v>
          </cell>
          <cell r="N681">
            <v>6.8358999999999996</v>
          </cell>
          <cell r="O681">
            <v>585.1460670869966</v>
          </cell>
          <cell r="P681">
            <v>154.69999999999999</v>
          </cell>
          <cell r="Q681">
            <v>182.27299989759945</v>
          </cell>
          <cell r="R681">
            <v>82.944455009581773</v>
          </cell>
          <cell r="S681">
            <v>192.43757612869115</v>
          </cell>
          <cell r="T681">
            <v>612.35503103587234</v>
          </cell>
          <cell r="U681">
            <v>-15.973819349565019</v>
          </cell>
        </row>
        <row r="682">
          <cell r="I682">
            <v>39734</v>
          </cell>
          <cell r="J682">
            <v>4000</v>
          </cell>
          <cell r="K682">
            <v>91</v>
          </cell>
          <cell r="L682">
            <v>1780</v>
          </cell>
          <cell r="M682">
            <v>3150</v>
          </cell>
          <cell r="N682">
            <v>6.8258000000000001</v>
          </cell>
          <cell r="O682">
            <v>586.01189604148965</v>
          </cell>
          <cell r="P682">
            <v>154.69999999999999</v>
          </cell>
          <cell r="Q682">
            <v>182.54270561692402</v>
          </cell>
          <cell r="R682">
            <v>83.067186263881155</v>
          </cell>
          <cell r="S682">
            <v>192.5063595789029</v>
          </cell>
          <cell r="T682">
            <v>612.81625145970804</v>
          </cell>
          <cell r="U682">
            <v>-22.466338430532346</v>
          </cell>
        </row>
        <row r="683">
          <cell r="I683">
            <v>39735</v>
          </cell>
          <cell r="J683">
            <v>4000</v>
          </cell>
          <cell r="K683">
            <v>91</v>
          </cell>
          <cell r="L683">
            <v>1780</v>
          </cell>
          <cell r="M683">
            <v>3050</v>
          </cell>
          <cell r="N683">
            <v>6.8338000000000001</v>
          </cell>
          <cell r="O683">
            <v>585.32588018379226</v>
          </cell>
          <cell r="P683">
            <v>154.69999999999999</v>
          </cell>
          <cell r="Q683">
            <v>182.32901167725129</v>
          </cell>
          <cell r="R683">
            <v>80.335977055225484</v>
          </cell>
          <cell r="S683">
            <v>192.83457397155865</v>
          </cell>
          <cell r="T683">
            <v>610.19956270403543</v>
          </cell>
          <cell r="U683">
            <v>-29.193783394754291</v>
          </cell>
        </row>
        <row r="684">
          <cell r="I684">
            <v>39736</v>
          </cell>
          <cell r="J684">
            <v>3850</v>
          </cell>
          <cell r="K684">
            <v>91</v>
          </cell>
          <cell r="L684">
            <v>1780</v>
          </cell>
          <cell r="M684">
            <v>3050</v>
          </cell>
          <cell r="N684">
            <v>6.8319000000000001</v>
          </cell>
          <cell r="O684">
            <v>563.53283859541273</v>
          </cell>
          <cell r="P684">
            <v>154.69999999999999</v>
          </cell>
          <cell r="Q684">
            <v>182.37971867269718</v>
          </cell>
          <cell r="R684">
            <v>80.358319062047158</v>
          </cell>
          <cell r="S684">
            <v>189.65744969770395</v>
          </cell>
          <cell r="T684">
            <v>607.09548743244818</v>
          </cell>
          <cell r="U684">
            <v>-33.21584682292314</v>
          </cell>
        </row>
        <row r="685">
          <cell r="I685">
            <v>39737</v>
          </cell>
          <cell r="J685">
            <v>3850</v>
          </cell>
          <cell r="K685">
            <v>91</v>
          </cell>
          <cell r="L685">
            <v>1780</v>
          </cell>
          <cell r="M685">
            <v>3050</v>
          </cell>
          <cell r="N685">
            <v>6.8299000000000003</v>
          </cell>
          <cell r="O685">
            <v>563.69785794813981</v>
          </cell>
          <cell r="P685">
            <v>154.69999999999999</v>
          </cell>
          <cell r="Q685">
            <v>182.4331249359434</v>
          </cell>
          <cell r="R685">
            <v>80.381850393124338</v>
          </cell>
          <cell r="S685">
            <v>189.67024790191647</v>
          </cell>
          <cell r="T685">
            <v>607.18522323098421</v>
          </cell>
          <cell r="U685">
            <v>-31.479277700709872</v>
          </cell>
        </row>
        <row r="686">
          <cell r="I686">
            <v>39738</v>
          </cell>
          <cell r="J686">
            <v>3400</v>
          </cell>
          <cell r="K686">
            <v>80</v>
          </cell>
          <cell r="L686">
            <v>1780</v>
          </cell>
          <cell r="M686">
            <v>3050</v>
          </cell>
          <cell r="N686">
            <v>6.8331999999999997</v>
          </cell>
          <cell r="O686">
            <v>497.57068430603528</v>
          </cell>
          <cell r="P686">
            <v>136</v>
          </cell>
          <cell r="Q686">
            <v>182.34502136627054</v>
          </cell>
          <cell r="R686">
            <v>80.343031083533333</v>
          </cell>
          <cell r="S686">
            <v>182.79756189364042</v>
          </cell>
          <cell r="T686">
            <v>581.48561434344424</v>
          </cell>
          <cell r="U686">
            <v>-39.580129999071801</v>
          </cell>
        </row>
        <row r="687">
          <cell r="I687">
            <v>39739</v>
          </cell>
          <cell r="J687">
            <v>3400</v>
          </cell>
          <cell r="K687">
            <v>80</v>
          </cell>
          <cell r="L687">
            <v>1780</v>
          </cell>
          <cell r="M687">
            <v>3050</v>
          </cell>
          <cell r="N687">
            <v>6.8331999999999997</v>
          </cell>
          <cell r="O687">
            <v>497.57068430603528</v>
          </cell>
          <cell r="P687">
            <v>136</v>
          </cell>
          <cell r="Q687">
            <v>182.34502136627054</v>
          </cell>
          <cell r="R687">
            <v>80.343031083533333</v>
          </cell>
          <cell r="S687">
            <v>182.79756189364042</v>
          </cell>
          <cell r="T687">
            <v>581.48561434344424</v>
          </cell>
          <cell r="U687">
            <v>-47.680982297433616</v>
          </cell>
        </row>
        <row r="688">
          <cell r="I688">
            <v>39740</v>
          </cell>
          <cell r="J688">
            <v>3400</v>
          </cell>
          <cell r="K688">
            <v>80</v>
          </cell>
          <cell r="L688">
            <v>1780</v>
          </cell>
          <cell r="M688">
            <v>3050</v>
          </cell>
          <cell r="N688">
            <v>6.8331999999999997</v>
          </cell>
          <cell r="O688">
            <v>497.57068430603528</v>
          </cell>
          <cell r="P688">
            <v>136</v>
          </cell>
          <cell r="Q688">
            <v>182.34502136627054</v>
          </cell>
          <cell r="R688">
            <v>80.343031083533333</v>
          </cell>
          <cell r="S688">
            <v>182.79756189364042</v>
          </cell>
          <cell r="T688">
            <v>581.48561434344424</v>
          </cell>
          <cell r="U688">
            <v>-55.781834595795544</v>
          </cell>
        </row>
        <row r="689">
          <cell r="I689">
            <v>39741</v>
          </cell>
          <cell r="J689">
            <v>3400</v>
          </cell>
          <cell r="K689">
            <v>80</v>
          </cell>
          <cell r="L689">
            <v>1780</v>
          </cell>
          <cell r="M689">
            <v>3050</v>
          </cell>
          <cell r="N689">
            <v>6.8299000000000003</v>
          </cell>
          <cell r="O689">
            <v>497.81109533082474</v>
          </cell>
          <cell r="P689">
            <v>136</v>
          </cell>
          <cell r="Q689">
            <v>182.4331249359434</v>
          </cell>
          <cell r="R689">
            <v>80.381850393124338</v>
          </cell>
          <cell r="S689">
            <v>182.81405162418696</v>
          </cell>
          <cell r="T689">
            <v>581.62902695325465</v>
          </cell>
          <cell r="U689">
            <v>-63.926631196397238</v>
          </cell>
        </row>
        <row r="690">
          <cell r="I690">
            <v>39742</v>
          </cell>
          <cell r="J690">
            <v>3650</v>
          </cell>
          <cell r="K690">
            <v>80</v>
          </cell>
          <cell r="L690">
            <v>1780</v>
          </cell>
          <cell r="M690">
            <v>2050</v>
          </cell>
          <cell r="N690">
            <v>6.8338000000000001</v>
          </cell>
          <cell r="O690">
            <v>534.10986566771044</v>
          </cell>
          <cell r="P690">
            <v>136</v>
          </cell>
          <cell r="Q690">
            <v>182.32901167725129</v>
          </cell>
          <cell r="R690">
            <v>53.996312446954839</v>
          </cell>
          <cell r="S690">
            <v>191.93715560888523</v>
          </cell>
          <cell r="T690">
            <v>564.26247973309137</v>
          </cell>
          <cell r="U690">
            <v>-64.680764274273997</v>
          </cell>
        </row>
        <row r="691">
          <cell r="I691">
            <v>39743</v>
          </cell>
          <cell r="J691">
            <v>3650</v>
          </cell>
          <cell r="K691">
            <v>80</v>
          </cell>
          <cell r="L691">
            <v>1780</v>
          </cell>
          <cell r="M691">
            <v>2050</v>
          </cell>
          <cell r="N691">
            <v>6.8342000000000001</v>
          </cell>
          <cell r="O691">
            <v>534.07860466477428</v>
          </cell>
          <cell r="P691">
            <v>136</v>
          </cell>
          <cell r="Q691">
            <v>182.31834011296127</v>
          </cell>
          <cell r="R691">
            <v>53.993152088027855</v>
          </cell>
          <cell r="S691">
            <v>191.93462317849867</v>
          </cell>
          <cell r="T691">
            <v>564.24611537948772</v>
          </cell>
          <cell r="U691">
            <v>-62.767173113942249</v>
          </cell>
        </row>
        <row r="692">
          <cell r="I692">
            <v>39744</v>
          </cell>
          <cell r="J692">
            <v>3650</v>
          </cell>
          <cell r="K692">
            <v>80</v>
          </cell>
          <cell r="L692">
            <v>1780</v>
          </cell>
          <cell r="M692">
            <v>2050</v>
          </cell>
          <cell r="N692">
            <v>6.8354999999999997</v>
          </cell>
          <cell r="O692">
            <v>533.97703167288421</v>
          </cell>
          <cell r="P692">
            <v>136</v>
          </cell>
          <cell r="Q692">
            <v>182.28366615463386</v>
          </cell>
          <cell r="R692">
            <v>53.982883475971036</v>
          </cell>
          <cell r="S692">
            <v>191.92639482665601</v>
          </cell>
          <cell r="T692">
            <v>564.19294445726086</v>
          </cell>
          <cell r="U692">
            <v>-60.87125132844676</v>
          </cell>
        </row>
        <row r="693">
          <cell r="I693">
            <v>39745</v>
          </cell>
          <cell r="J693">
            <v>3650</v>
          </cell>
          <cell r="K693">
            <v>71</v>
          </cell>
          <cell r="L693">
            <v>1780</v>
          </cell>
          <cell r="M693">
            <v>2050</v>
          </cell>
          <cell r="N693">
            <v>6.8437999999999999</v>
          </cell>
          <cell r="O693">
            <v>533.32943686256169</v>
          </cell>
          <cell r="P693">
            <v>120.7</v>
          </cell>
          <cell r="Q693">
            <v>182.06259680294571</v>
          </cell>
          <cell r="R693">
            <v>53.917414301995969</v>
          </cell>
          <cell r="S693">
            <v>194.09701058016702</v>
          </cell>
          <cell r="T693">
            <v>550.77702168510871</v>
          </cell>
          <cell r="U693">
            <v>-51.375916297752269</v>
          </cell>
        </row>
        <row r="694">
          <cell r="I694">
            <v>39746</v>
          </cell>
          <cell r="J694">
            <v>3650</v>
          </cell>
          <cell r="K694">
            <v>71</v>
          </cell>
          <cell r="L694">
            <v>1780</v>
          </cell>
          <cell r="M694">
            <v>2050</v>
          </cell>
          <cell r="N694">
            <v>6.8437999999999999</v>
          </cell>
          <cell r="O694">
            <v>533.32943686256169</v>
          </cell>
          <cell r="P694">
            <v>120.7</v>
          </cell>
          <cell r="Q694">
            <v>182.06259680294571</v>
          </cell>
          <cell r="R694">
            <v>53.917414301995969</v>
          </cell>
          <cell r="S694">
            <v>194.09701058016702</v>
          </cell>
          <cell r="T694">
            <v>550.77702168510871</v>
          </cell>
          <cell r="U694">
            <v>-41.880581267057778</v>
          </cell>
        </row>
        <row r="695">
          <cell r="I695">
            <v>39747</v>
          </cell>
          <cell r="J695">
            <v>3650</v>
          </cell>
          <cell r="K695">
            <v>71</v>
          </cell>
          <cell r="L695">
            <v>1780</v>
          </cell>
          <cell r="M695">
            <v>2050</v>
          </cell>
          <cell r="N695">
            <v>6.8437999999999999</v>
          </cell>
          <cell r="O695">
            <v>533.32943686256169</v>
          </cell>
          <cell r="P695">
            <v>120.7</v>
          </cell>
          <cell r="Q695">
            <v>182.06259680294571</v>
          </cell>
          <cell r="R695">
            <v>53.917414301995969</v>
          </cell>
          <cell r="S695">
            <v>194.09701058016702</v>
          </cell>
          <cell r="T695">
            <v>550.77702168510871</v>
          </cell>
          <cell r="U695">
            <v>-32.385246236363173</v>
          </cell>
        </row>
        <row r="696">
          <cell r="I696">
            <v>39748</v>
          </cell>
          <cell r="J696">
            <v>3600</v>
          </cell>
          <cell r="K696">
            <v>71</v>
          </cell>
          <cell r="L696">
            <v>1780</v>
          </cell>
          <cell r="M696">
            <v>2050</v>
          </cell>
          <cell r="N696">
            <v>6.8521000000000001</v>
          </cell>
          <cell r="O696">
            <v>525.38637789874633</v>
          </cell>
          <cell r="P696">
            <v>120.7</v>
          </cell>
          <cell r="Q696">
            <v>181.8420630171772</v>
          </cell>
          <cell r="R696">
            <v>53.852103734621501</v>
          </cell>
          <cell r="S696">
            <v>192.98442384186421</v>
          </cell>
          <cell r="T696">
            <v>549.37859059366292</v>
          </cell>
          <cell r="U696">
            <v>-23.838714961004143</v>
          </cell>
        </row>
        <row r="697">
          <cell r="I697">
            <v>39749</v>
          </cell>
          <cell r="J697">
            <v>3500</v>
          </cell>
          <cell r="K697">
            <v>71</v>
          </cell>
          <cell r="L697">
            <v>1780</v>
          </cell>
          <cell r="M697">
            <v>2050</v>
          </cell>
          <cell r="N697">
            <v>6.8385999999999996</v>
          </cell>
          <cell r="O697">
            <v>511.80066095399644</v>
          </cell>
          <cell r="P697">
            <v>120.7</v>
          </cell>
          <cell r="Q697">
            <v>182.20103529962273</v>
          </cell>
          <cell r="R697">
            <v>53.958412540578486</v>
          </cell>
          <cell r="S697">
            <v>190.94282583704717</v>
          </cell>
          <cell r="T697">
            <v>547.80227367724842</v>
          </cell>
          <cell r="U697">
            <v>-24.674286197842775</v>
          </cell>
        </row>
        <row r="698">
          <cell r="I698">
            <v>39750</v>
          </cell>
          <cell r="J698">
            <v>3700</v>
          </cell>
          <cell r="K698">
            <v>71</v>
          </cell>
          <cell r="L698">
            <v>1780</v>
          </cell>
          <cell r="M698">
            <v>2050</v>
          </cell>
          <cell r="N698">
            <v>6.8484999999999996</v>
          </cell>
          <cell r="O698">
            <v>540.26429145068266</v>
          </cell>
          <cell r="P698">
            <v>120.7</v>
          </cell>
          <cell r="Q698">
            <v>181.93765058041905</v>
          </cell>
          <cell r="R698">
            <v>53.88041176900051</v>
          </cell>
          <cell r="S698">
            <v>195.12817004035452</v>
          </cell>
          <cell r="T698">
            <v>551.64623238977401</v>
          </cell>
          <cell r="U698">
            <v>-21.990633372753905</v>
          </cell>
        </row>
        <row r="699">
          <cell r="I699">
            <v>39751</v>
          </cell>
          <cell r="J699">
            <v>3440</v>
          </cell>
          <cell r="K699">
            <v>71</v>
          </cell>
          <cell r="L699">
            <v>1780</v>
          </cell>
          <cell r="M699">
            <v>2050</v>
          </cell>
          <cell r="N699">
            <v>6.8407999999999998</v>
          </cell>
          <cell r="O699">
            <v>502.86516196936032</v>
          </cell>
          <cell r="P699">
            <v>120.7</v>
          </cell>
          <cell r="Q699">
            <v>182.14243948076248</v>
          </cell>
          <cell r="R699">
            <v>53.94105952520173</v>
          </cell>
          <cell r="S699">
            <v>189.65554077245923</v>
          </cell>
          <cell r="T699">
            <v>546.43903977842342</v>
          </cell>
          <cell r="U699">
            <v>-23.898914090566336</v>
          </cell>
        </row>
        <row r="700">
          <cell r="I700">
            <v>39752</v>
          </cell>
          <cell r="J700">
            <v>3650</v>
          </cell>
          <cell r="K700">
            <v>63.5</v>
          </cell>
          <cell r="L700">
            <v>1610</v>
          </cell>
          <cell r="M700">
            <v>2050</v>
          </cell>
          <cell r="N700">
            <v>6.8388</v>
          </cell>
          <cell r="O700">
            <v>533.71936597063814</v>
          </cell>
          <cell r="P700">
            <v>107.95</v>
          </cell>
          <cell r="Q700">
            <v>164.79499327367375</v>
          </cell>
          <cell r="R700">
            <v>53.956834532374103</v>
          </cell>
          <cell r="S700">
            <v>198.50947135724817</v>
          </cell>
          <cell r="T700">
            <v>525.21129916329596</v>
          </cell>
          <cell r="U700">
            <v>-20.19096385772491</v>
          </cell>
        </row>
        <row r="701">
          <cell r="I701">
            <v>39753</v>
          </cell>
          <cell r="J701">
            <v>3650</v>
          </cell>
          <cell r="K701">
            <v>63.5</v>
          </cell>
          <cell r="L701">
            <v>1610</v>
          </cell>
          <cell r="M701">
            <v>2050</v>
          </cell>
          <cell r="N701">
            <v>6.8388</v>
          </cell>
          <cell r="O701">
            <v>533.71936597063814</v>
          </cell>
          <cell r="P701">
            <v>107.95</v>
          </cell>
          <cell r="Q701">
            <v>164.79499327367375</v>
          </cell>
          <cell r="R701">
            <v>53.956834532374103</v>
          </cell>
          <cell r="S701">
            <v>198.50947135724817</v>
          </cell>
          <cell r="T701">
            <v>525.21129916329596</v>
          </cell>
          <cell r="U701">
            <v>-16.483013624883597</v>
          </cell>
        </row>
        <row r="702">
          <cell r="I702">
            <v>39754</v>
          </cell>
          <cell r="J702">
            <v>3650</v>
          </cell>
          <cell r="K702">
            <v>63.5</v>
          </cell>
          <cell r="L702">
            <v>1610</v>
          </cell>
          <cell r="M702">
            <v>2050</v>
          </cell>
          <cell r="N702">
            <v>6.8388</v>
          </cell>
          <cell r="O702">
            <v>533.71936597063814</v>
          </cell>
          <cell r="P702">
            <v>107.95</v>
          </cell>
          <cell r="Q702">
            <v>164.79499327367375</v>
          </cell>
          <cell r="R702">
            <v>53.956834532374103</v>
          </cell>
          <cell r="S702">
            <v>198.50947135724817</v>
          </cell>
          <cell r="T702">
            <v>525.21129916329596</v>
          </cell>
          <cell r="U702">
            <v>-12.775063392042284</v>
          </cell>
        </row>
        <row r="703">
          <cell r="I703">
            <v>39755</v>
          </cell>
          <cell r="J703">
            <v>3650</v>
          </cell>
          <cell r="K703">
            <v>63.5</v>
          </cell>
          <cell r="L703">
            <v>1610</v>
          </cell>
          <cell r="M703">
            <v>2050</v>
          </cell>
          <cell r="N703">
            <v>6.8380000000000001</v>
          </cell>
          <cell r="O703">
            <v>533.78180754606615</v>
          </cell>
          <cell r="P703">
            <v>107.95</v>
          </cell>
          <cell r="Q703">
            <v>164.81427317929217</v>
          </cell>
          <cell r="R703">
            <v>53.963147119040656</v>
          </cell>
          <cell r="S703">
            <v>198.51482549753388</v>
          </cell>
          <cell r="T703">
            <v>525.24224579586667</v>
          </cell>
          <cell r="U703">
            <v>-8.1276670427399722</v>
          </cell>
        </row>
        <row r="704">
          <cell r="I704">
            <v>39756</v>
          </cell>
          <cell r="J704">
            <v>3650</v>
          </cell>
          <cell r="K704">
            <v>63.5</v>
          </cell>
          <cell r="L704">
            <v>1610</v>
          </cell>
          <cell r="M704">
            <v>2000</v>
          </cell>
          <cell r="N704">
            <v>6.8361999999999998</v>
          </cell>
          <cell r="O704">
            <v>533.92235452444345</v>
          </cell>
          <cell r="P704">
            <v>107.95</v>
          </cell>
          <cell r="Q704">
            <v>164.85766946549251</v>
          </cell>
          <cell r="R704">
            <v>52.660834966794425</v>
          </cell>
          <cell r="S704">
            <v>198.71816625270651</v>
          </cell>
          <cell r="T704">
            <v>524.18667068499349</v>
          </cell>
          <cell r="U704">
            <v>-1.5937675337825112</v>
          </cell>
        </row>
        <row r="705">
          <cell r="I705">
            <v>39757</v>
          </cell>
          <cell r="J705">
            <v>3550</v>
          </cell>
          <cell r="K705">
            <v>63.5</v>
          </cell>
          <cell r="L705">
            <v>1610</v>
          </cell>
          <cell r="M705">
            <v>2000</v>
          </cell>
          <cell r="N705">
            <v>6.8284000000000002</v>
          </cell>
          <cell r="O705">
            <v>519.88752855720224</v>
          </cell>
          <cell r="P705">
            <v>107.95</v>
          </cell>
          <cell r="Q705">
            <v>165.04598441801883</v>
          </cell>
          <cell r="R705">
            <v>52.720988811434587</v>
          </cell>
          <cell r="S705">
            <v>196.64281573138226</v>
          </cell>
          <cell r="T705">
            <v>522.35978896083566</v>
          </cell>
          <cell r="U705">
            <v>-0.3209560287172053</v>
          </cell>
        </row>
        <row r="706">
          <cell r="I706">
            <v>39758</v>
          </cell>
          <cell r="J706">
            <v>3100</v>
          </cell>
          <cell r="K706">
            <v>63.5</v>
          </cell>
          <cell r="L706">
            <v>1610</v>
          </cell>
          <cell r="M706">
            <v>2000</v>
          </cell>
          <cell r="N706">
            <v>6.8251999999999997</v>
          </cell>
          <cell r="O706">
            <v>454.19914434741838</v>
          </cell>
          <cell r="P706">
            <v>107.95</v>
          </cell>
          <cell r="Q706">
            <v>165.12336634823887</v>
          </cell>
          <cell r="R706">
            <v>52.745707085506659</v>
          </cell>
          <cell r="S706">
            <v>187.08351457720033</v>
          </cell>
          <cell r="T706">
            <v>512.90258801094592</v>
          </cell>
          <cell r="U706">
            <v>-2.4823225793547863</v>
          </cell>
        </row>
        <row r="707">
          <cell r="I707">
            <v>39759</v>
          </cell>
          <cell r="J707">
            <v>3500</v>
          </cell>
          <cell r="K707">
            <v>69</v>
          </cell>
          <cell r="L707">
            <v>1610</v>
          </cell>
          <cell r="M707">
            <v>2000</v>
          </cell>
          <cell r="N707">
            <v>6.8257000000000003</v>
          </cell>
          <cell r="O707">
            <v>512.76792123884729</v>
          </cell>
          <cell r="P707">
            <v>117.3</v>
          </cell>
          <cell r="Q707">
            <v>165.11127063890882</v>
          </cell>
          <cell r="R707">
            <v>52.741843327424284</v>
          </cell>
          <cell r="S707">
            <v>194.2372796891687</v>
          </cell>
          <cell r="T707">
            <v>529.39039365550184</v>
          </cell>
          <cell r="U707">
            <v>-6.072399611354399</v>
          </cell>
        </row>
        <row r="708">
          <cell r="I708">
            <v>39760</v>
          </cell>
          <cell r="J708">
            <v>3500</v>
          </cell>
          <cell r="K708">
            <v>69</v>
          </cell>
          <cell r="L708">
            <v>1610</v>
          </cell>
          <cell r="M708">
            <v>2000</v>
          </cell>
          <cell r="N708">
            <v>6.8257000000000003</v>
          </cell>
          <cell r="O708">
            <v>512.76792123884729</v>
          </cell>
          <cell r="P708">
            <v>117.3</v>
          </cell>
          <cell r="Q708">
            <v>165.11127063890882</v>
          </cell>
          <cell r="R708">
            <v>52.741843327424284</v>
          </cell>
          <cell r="S708">
            <v>194.2372796891687</v>
          </cell>
          <cell r="T708">
            <v>529.39039365550184</v>
          </cell>
          <cell r="U708">
            <v>-9.662476643353898</v>
          </cell>
        </row>
        <row r="709">
          <cell r="I709">
            <v>39761</v>
          </cell>
          <cell r="J709">
            <v>3500</v>
          </cell>
          <cell r="K709">
            <v>69</v>
          </cell>
          <cell r="L709">
            <v>1610</v>
          </cell>
          <cell r="M709">
            <v>2000</v>
          </cell>
          <cell r="N709">
            <v>6.8257000000000003</v>
          </cell>
          <cell r="O709">
            <v>512.76792123884729</v>
          </cell>
          <cell r="P709">
            <v>117.3</v>
          </cell>
          <cell r="Q709">
            <v>165.11127063890882</v>
          </cell>
          <cell r="R709">
            <v>52.741843327424284</v>
          </cell>
          <cell r="S709">
            <v>194.2372796891687</v>
          </cell>
          <cell r="T709">
            <v>529.39039365550184</v>
          </cell>
          <cell r="U709">
            <v>-13.252553675353454</v>
          </cell>
        </row>
        <row r="710">
          <cell r="I710">
            <v>39762</v>
          </cell>
          <cell r="J710">
            <v>3000</v>
          </cell>
          <cell r="K710">
            <v>69</v>
          </cell>
          <cell r="L710">
            <v>1610</v>
          </cell>
          <cell r="M710">
            <v>2000</v>
          </cell>
          <cell r="N710">
            <v>6.8266999999999998</v>
          </cell>
          <cell r="O710">
            <v>439.45097924326541</v>
          </cell>
          <cell r="P710">
            <v>117.3</v>
          </cell>
          <cell r="Q710">
            <v>165.08708453572004</v>
          </cell>
          <cell r="R710">
            <v>52.734117509191854</v>
          </cell>
          <cell r="S710">
            <v>183.58902745617104</v>
          </cell>
          <cell r="T710">
            <v>518.71022950108295</v>
          </cell>
          <cell r="U710">
            <v>-25.795241105070261</v>
          </cell>
        </row>
        <row r="711">
          <cell r="I711">
            <v>39763</v>
          </cell>
          <cell r="J711">
            <v>3000</v>
          </cell>
          <cell r="K711">
            <v>69</v>
          </cell>
          <cell r="L711">
            <v>1610</v>
          </cell>
          <cell r="M711">
            <v>1950</v>
          </cell>
          <cell r="N711">
            <v>6.8253000000000004</v>
          </cell>
          <cell r="O711">
            <v>439.54111907168914</v>
          </cell>
          <cell r="P711">
            <v>117.3</v>
          </cell>
          <cell r="Q711">
            <v>165.12094706459786</v>
          </cell>
          <cell r="R711">
            <v>51.426310931387633</v>
          </cell>
          <cell r="S711">
            <v>183.78722767766635</v>
          </cell>
          <cell r="T711">
            <v>517.63448567365185</v>
          </cell>
          <cell r="U711">
            <v>-38.342248310986349</v>
          </cell>
        </row>
        <row r="712">
          <cell r="I712">
            <v>39764</v>
          </cell>
          <cell r="J712">
            <v>2950</v>
          </cell>
          <cell r="K712">
            <v>69</v>
          </cell>
          <cell r="L712">
            <v>1610</v>
          </cell>
          <cell r="M712">
            <v>1950</v>
          </cell>
          <cell r="N712">
            <v>6.8297999999999996</v>
          </cell>
          <cell r="O712">
            <v>431.93065682743276</v>
          </cell>
          <cell r="P712">
            <v>117.3</v>
          </cell>
          <cell r="Q712">
            <v>165.01215262525989</v>
          </cell>
          <cell r="R712">
            <v>51.392427303874207</v>
          </cell>
          <cell r="S712">
            <v>182.70216501941093</v>
          </cell>
          <cell r="T712">
            <v>516.40674494854511</v>
          </cell>
          <cell r="U712">
            <v>-50.057080842054745</v>
          </cell>
        </row>
        <row r="713">
          <cell r="I713">
            <v>39765</v>
          </cell>
          <cell r="J713">
            <v>2840</v>
          </cell>
          <cell r="K713">
            <v>69</v>
          </cell>
          <cell r="L713">
            <v>1610</v>
          </cell>
          <cell r="M713">
            <v>1950</v>
          </cell>
          <cell r="N713">
            <v>6.8299000000000003</v>
          </cell>
          <cell r="O713">
            <v>415.81867962927714</v>
          </cell>
          <cell r="P713">
            <v>117.3</v>
          </cell>
          <cell r="Q713">
            <v>165.00973659936454</v>
          </cell>
          <cell r="R713">
            <v>51.391674841505733</v>
          </cell>
          <cell r="S713">
            <v>180.3615688820762</v>
          </cell>
          <cell r="T713">
            <v>514.06298032294649</v>
          </cell>
          <cell r="U713">
            <v>-55.705774703503664</v>
          </cell>
        </row>
        <row r="714">
          <cell r="I714">
            <v>39766</v>
          </cell>
          <cell r="J714">
            <v>3400</v>
          </cell>
          <cell r="K714">
            <v>69</v>
          </cell>
          <cell r="L714">
            <v>1610</v>
          </cell>
          <cell r="M714">
            <v>1950</v>
          </cell>
          <cell r="N714">
            <v>6.8250000000000002</v>
          </cell>
          <cell r="O714">
            <v>498.16849816849816</v>
          </cell>
          <cell r="P714">
            <v>117.3</v>
          </cell>
          <cell r="Q714">
            <v>165.12820512820511</v>
          </cell>
          <cell r="R714">
            <v>51.428571428571431</v>
          </cell>
          <cell r="S714">
            <v>192.30435271281425</v>
          </cell>
          <cell r="T714">
            <v>526.16112926959079</v>
          </cell>
          <cell r="U714">
            <v>-57.330083086994762</v>
          </cell>
        </row>
        <row r="715">
          <cell r="I715">
            <v>39767</v>
          </cell>
          <cell r="J715">
            <v>3400</v>
          </cell>
          <cell r="K715">
            <v>69</v>
          </cell>
          <cell r="L715">
            <v>1610</v>
          </cell>
          <cell r="M715">
            <v>1950</v>
          </cell>
          <cell r="N715">
            <v>6.8250000000000002</v>
          </cell>
          <cell r="O715">
            <v>498.16849816849816</v>
          </cell>
          <cell r="P715">
            <v>117.3</v>
          </cell>
          <cell r="Q715">
            <v>165.12820512820511</v>
          </cell>
          <cell r="R715">
            <v>51.428571428571431</v>
          </cell>
          <cell r="S715">
            <v>192.30435271281425</v>
          </cell>
          <cell r="T715">
            <v>526.16112926959079</v>
          </cell>
          <cell r="U715">
            <v>-58.954391470485973</v>
          </cell>
        </row>
        <row r="716">
          <cell r="I716">
            <v>39768</v>
          </cell>
          <cell r="J716">
            <v>3400</v>
          </cell>
          <cell r="K716">
            <v>69</v>
          </cell>
          <cell r="L716">
            <v>1610</v>
          </cell>
          <cell r="M716">
            <v>1950</v>
          </cell>
          <cell r="N716">
            <v>6.8250000000000002</v>
          </cell>
          <cell r="O716">
            <v>498.16849816849816</v>
          </cell>
          <cell r="P716">
            <v>117.3</v>
          </cell>
          <cell r="Q716">
            <v>165.12820512820511</v>
          </cell>
          <cell r="R716">
            <v>51.428571428571431</v>
          </cell>
          <cell r="S716">
            <v>192.30435271281425</v>
          </cell>
          <cell r="T716">
            <v>526.16112926959079</v>
          </cell>
          <cell r="U716">
            <v>-60.578699853977184</v>
          </cell>
        </row>
        <row r="717">
          <cell r="I717">
            <v>39769</v>
          </cell>
          <cell r="J717">
            <v>3400</v>
          </cell>
          <cell r="K717">
            <v>69</v>
          </cell>
          <cell r="L717">
            <v>1610</v>
          </cell>
          <cell r="M717">
            <v>1950</v>
          </cell>
          <cell r="N717">
            <v>6.8270999999999997</v>
          </cell>
          <cell r="O717">
            <v>498.01526270305112</v>
          </cell>
          <cell r="P717">
            <v>117.3</v>
          </cell>
          <cell r="Q717">
            <v>165.07741207833487</v>
          </cell>
          <cell r="R717">
            <v>51.412752120226742</v>
          </cell>
          <cell r="S717">
            <v>192.29176644937024</v>
          </cell>
          <cell r="T717">
            <v>526.08193064793181</v>
          </cell>
          <cell r="U717">
            <v>-53.265473809271839</v>
          </cell>
        </row>
        <row r="718">
          <cell r="I718">
            <v>39770</v>
          </cell>
          <cell r="J718">
            <v>3400</v>
          </cell>
          <cell r="K718">
            <v>69</v>
          </cell>
          <cell r="L718">
            <v>1610</v>
          </cell>
          <cell r="M718">
            <v>1950</v>
          </cell>
          <cell r="N718">
            <v>6.8281000000000001</v>
          </cell>
          <cell r="O718">
            <v>497.94232656229406</v>
          </cell>
          <cell r="P718">
            <v>117.3</v>
          </cell>
          <cell r="Q718">
            <v>165.0532358928545</v>
          </cell>
          <cell r="R718">
            <v>51.40522253628388</v>
          </cell>
          <cell r="S718">
            <v>192.28577571165511</v>
          </cell>
          <cell r="T718">
            <v>526.04423414079349</v>
          </cell>
          <cell r="U718">
            <v>-46.123836805920007</v>
          </cell>
        </row>
        <row r="719">
          <cell r="I719">
            <v>39771</v>
          </cell>
          <cell r="J719">
            <v>3550</v>
          </cell>
          <cell r="K719">
            <v>69</v>
          </cell>
          <cell r="L719">
            <v>1610</v>
          </cell>
          <cell r="M719">
            <v>1950</v>
          </cell>
          <cell r="N719">
            <v>6.83</v>
          </cell>
          <cell r="O719">
            <v>519.7657393850659</v>
          </cell>
          <cell r="P719">
            <v>117.3</v>
          </cell>
          <cell r="Q719">
            <v>165.00732064421666</v>
          </cell>
          <cell r="R719">
            <v>51.390922401171295</v>
          </cell>
          <cell r="S719">
            <v>195.46544818610704</v>
          </cell>
          <cell r="T719">
            <v>529.16369123149502</v>
          </cell>
          <cell r="U719">
            <v>-35.398388766679375</v>
          </cell>
        </row>
        <row r="720">
          <cell r="I720">
            <v>39772</v>
          </cell>
          <cell r="J720">
            <v>3550</v>
          </cell>
          <cell r="K720">
            <v>69</v>
          </cell>
          <cell r="L720">
            <v>1610</v>
          </cell>
          <cell r="M720">
            <v>1950</v>
          </cell>
          <cell r="N720">
            <v>6.8342999999999998</v>
          </cell>
          <cell r="O720">
            <v>519.4387135478396</v>
          </cell>
          <cell r="P720">
            <v>117.3</v>
          </cell>
          <cell r="Q720">
            <v>164.90350145589161</v>
          </cell>
          <cell r="R720">
            <v>51.358588297265264</v>
          </cell>
          <cell r="S720">
            <v>195.43771456845815</v>
          </cell>
          <cell r="T720">
            <v>528.9998043216151</v>
          </cell>
          <cell r="U720">
            <v>-22.729358778123242</v>
          </cell>
        </row>
        <row r="721">
          <cell r="I721">
            <v>39773</v>
          </cell>
          <cell r="J721">
            <v>3550</v>
          </cell>
          <cell r="K721">
            <v>70.5</v>
          </cell>
          <cell r="L721">
            <v>1610</v>
          </cell>
          <cell r="M721">
            <v>1950</v>
          </cell>
          <cell r="N721">
            <v>6.8311000000000002</v>
          </cell>
          <cell r="O721">
            <v>519.6820424236214</v>
          </cell>
          <cell r="P721">
            <v>119.85</v>
          </cell>
          <cell r="Q721">
            <v>164.98074980603417</v>
          </cell>
          <cell r="R721">
            <v>51.382647011462275</v>
          </cell>
          <cell r="S721">
            <v>195.08783739576171</v>
          </cell>
          <cell r="T721">
            <v>531.30123421325811</v>
          </cell>
          <cell r="U721">
            <v>-20.390296019343793</v>
          </cell>
        </row>
        <row r="722">
          <cell r="I722">
            <v>39774</v>
          </cell>
          <cell r="J722">
            <v>3550</v>
          </cell>
          <cell r="K722">
            <v>70.5</v>
          </cell>
          <cell r="L722">
            <v>1610</v>
          </cell>
          <cell r="M722">
            <v>1950</v>
          </cell>
          <cell r="N722">
            <v>6.8311000000000002</v>
          </cell>
          <cell r="O722">
            <v>519.6820424236214</v>
          </cell>
          <cell r="P722">
            <v>119.85</v>
          </cell>
          <cell r="Q722">
            <v>164.98074980603417</v>
          </cell>
          <cell r="R722">
            <v>51.382647011462275</v>
          </cell>
          <cell r="S722">
            <v>195.08783739576171</v>
          </cell>
          <cell r="T722">
            <v>531.30123421325811</v>
          </cell>
          <cell r="U722">
            <v>-18.051233260564402</v>
          </cell>
        </row>
        <row r="723">
          <cell r="I723">
            <v>39775</v>
          </cell>
          <cell r="J723">
            <v>3550</v>
          </cell>
          <cell r="K723">
            <v>70.5</v>
          </cell>
          <cell r="L723">
            <v>1610</v>
          </cell>
          <cell r="M723">
            <v>1950</v>
          </cell>
          <cell r="N723">
            <v>6.8311000000000002</v>
          </cell>
          <cell r="O723">
            <v>519.6820424236214</v>
          </cell>
          <cell r="P723">
            <v>119.85</v>
          </cell>
          <cell r="Q723">
            <v>164.98074980603417</v>
          </cell>
          <cell r="R723">
            <v>51.382647011462275</v>
          </cell>
          <cell r="S723">
            <v>195.08783739576171</v>
          </cell>
          <cell r="T723">
            <v>531.30123421325811</v>
          </cell>
          <cell r="U723">
            <v>-15.712170501785067</v>
          </cell>
        </row>
        <row r="724">
          <cell r="I724">
            <v>39776</v>
          </cell>
          <cell r="J724">
            <v>3500</v>
          </cell>
          <cell r="K724">
            <v>70.5</v>
          </cell>
          <cell r="L724">
            <v>1610</v>
          </cell>
          <cell r="M724">
            <v>1950</v>
          </cell>
          <cell r="N724">
            <v>6.8285</v>
          </cell>
          <cell r="O724">
            <v>512.55766273705797</v>
          </cell>
          <cell r="P724">
            <v>119.85</v>
          </cell>
          <cell r="Q724">
            <v>165.04356740133264</v>
          </cell>
          <cell r="R724">
            <v>51.402211320202092</v>
          </cell>
          <cell r="S724">
            <v>194.04070109627258</v>
          </cell>
          <cell r="T724">
            <v>530.33647981780723</v>
          </cell>
          <cell r="U724">
            <v>-14.242477521194814</v>
          </cell>
        </row>
        <row r="725">
          <cell r="I725">
            <v>39777</v>
          </cell>
          <cell r="J725">
            <v>3560</v>
          </cell>
          <cell r="K725">
            <v>70.5</v>
          </cell>
          <cell r="L725">
            <v>1610</v>
          </cell>
          <cell r="M725">
            <v>2300</v>
          </cell>
          <cell r="N725">
            <v>6.8259999999999996</v>
          </cell>
          <cell r="O725">
            <v>521.53530618224443</v>
          </cell>
          <cell r="P725">
            <v>119.85</v>
          </cell>
          <cell r="Q725">
            <v>165.10401406387342</v>
          </cell>
          <cell r="R725">
            <v>60.65045414591269</v>
          </cell>
          <cell r="S725">
            <v>193.9926003891606</v>
          </cell>
          <cell r="T725">
            <v>539.59706859894663</v>
          </cell>
          <cell r="U725">
            <v>-12.808171069509513</v>
          </cell>
        </row>
        <row r="726">
          <cell r="I726">
            <v>39778</v>
          </cell>
          <cell r="J726">
            <v>3560</v>
          </cell>
          <cell r="K726">
            <v>70.5</v>
          </cell>
          <cell r="L726">
            <v>1610</v>
          </cell>
          <cell r="M726">
            <v>2300</v>
          </cell>
          <cell r="N726">
            <v>6.8285</v>
          </cell>
          <cell r="O726">
            <v>521.3443655268361</v>
          </cell>
          <cell r="P726">
            <v>119.85</v>
          </cell>
          <cell r="Q726">
            <v>165.04356740133264</v>
          </cell>
          <cell r="R726">
            <v>60.628249249469135</v>
          </cell>
          <cell r="S726">
            <v>193.97686607600502</v>
          </cell>
          <cell r="T726">
            <v>539.49868272680681</v>
          </cell>
          <cell r="U726">
            <v>-14.059080405729787</v>
          </cell>
        </row>
        <row r="727">
          <cell r="I727">
            <v>39779</v>
          </cell>
          <cell r="J727">
            <v>3560</v>
          </cell>
          <cell r="K727">
            <v>70.5</v>
          </cell>
          <cell r="L727">
            <v>1610</v>
          </cell>
          <cell r="M727">
            <v>2300</v>
          </cell>
          <cell r="N727">
            <v>6.8281000000000001</v>
          </cell>
          <cell r="O727">
            <v>521.37490663581377</v>
          </cell>
          <cell r="P727">
            <v>119.85</v>
          </cell>
          <cell r="Q727">
            <v>165.0532358928545</v>
          </cell>
          <cell r="R727">
            <v>60.631800940232274</v>
          </cell>
          <cell r="S727">
            <v>193.97938279184922</v>
          </cell>
          <cell r="T727">
            <v>539.51441962493595</v>
          </cell>
          <cell r="U727">
            <v>-15.284569293636423</v>
          </cell>
        </row>
        <row r="728">
          <cell r="I728">
            <v>39780</v>
          </cell>
          <cell r="J728">
            <v>3560</v>
          </cell>
          <cell r="K728">
            <v>72.5</v>
          </cell>
          <cell r="L728">
            <v>1610</v>
          </cell>
          <cell r="M728">
            <v>2300</v>
          </cell>
          <cell r="N728">
            <v>6.8346999999999998</v>
          </cell>
          <cell r="O728">
            <v>520.87143546900381</v>
          </cell>
          <cell r="P728">
            <v>123.25</v>
          </cell>
          <cell r="Q728">
            <v>164.89385049819305</v>
          </cell>
          <cell r="R728">
            <v>60.573251203417854</v>
          </cell>
          <cell r="S728">
            <v>193.44387755594596</v>
          </cell>
          <cell r="T728">
            <v>542.16097925755685</v>
          </cell>
          <cell r="U728">
            <v>-16.666048150624306</v>
          </cell>
        </row>
        <row r="729">
          <cell r="I729">
            <v>39781</v>
          </cell>
          <cell r="J729">
            <v>3560</v>
          </cell>
          <cell r="K729">
            <v>72.5</v>
          </cell>
          <cell r="L729">
            <v>1610</v>
          </cell>
          <cell r="M729">
            <v>2300</v>
          </cell>
          <cell r="N729">
            <v>6.8346999999999998</v>
          </cell>
          <cell r="O729">
            <v>520.87143546900381</v>
          </cell>
          <cell r="P729">
            <v>123.25</v>
          </cell>
          <cell r="Q729">
            <v>164.89385049819305</v>
          </cell>
          <cell r="R729">
            <v>60.573251203417854</v>
          </cell>
          <cell r="S729">
            <v>193.44387755594596</v>
          </cell>
          <cell r="T729">
            <v>542.16097925755685</v>
          </cell>
          <cell r="U729">
            <v>-18.047527007612416</v>
          </cell>
        </row>
        <row r="730">
          <cell r="I730">
            <v>39782</v>
          </cell>
          <cell r="J730">
            <v>3560</v>
          </cell>
          <cell r="K730">
            <v>72.5</v>
          </cell>
          <cell r="L730">
            <v>1610</v>
          </cell>
          <cell r="M730">
            <v>2300</v>
          </cell>
          <cell r="N730">
            <v>6.8346999999999998</v>
          </cell>
          <cell r="O730">
            <v>520.87143546900381</v>
          </cell>
          <cell r="P730">
            <v>123.25</v>
          </cell>
          <cell r="Q730">
            <v>164.89385049819305</v>
          </cell>
          <cell r="R730">
            <v>60.573251203417854</v>
          </cell>
          <cell r="S730">
            <v>193.44387755594596</v>
          </cell>
          <cell r="T730">
            <v>542.16097925755685</v>
          </cell>
          <cell r="U730">
            <v>-19.429005864600526</v>
          </cell>
        </row>
        <row r="731">
          <cell r="I731">
            <v>39783</v>
          </cell>
          <cell r="J731">
            <v>3560</v>
          </cell>
          <cell r="K731">
            <v>72.5</v>
          </cell>
          <cell r="L731">
            <v>1610</v>
          </cell>
          <cell r="M731">
            <v>2300</v>
          </cell>
          <cell r="N731">
            <v>6.8841999999999999</v>
          </cell>
          <cell r="O731">
            <v>517.1261729757997</v>
          </cell>
          <cell r="P731">
            <v>123.25</v>
          </cell>
          <cell r="Q731">
            <v>163.70820138868714</v>
          </cell>
          <cell r="R731">
            <v>60.137706632578947</v>
          </cell>
          <cell r="S731">
            <v>193.13525217288094</v>
          </cell>
          <cell r="T731">
            <v>540.23116019414704</v>
          </cell>
          <cell r="U731">
            <v>-20.189887312828887</v>
          </cell>
        </row>
        <row r="732">
          <cell r="I732">
            <v>39784</v>
          </cell>
          <cell r="J732">
            <v>3560</v>
          </cell>
          <cell r="K732">
            <v>72.5</v>
          </cell>
          <cell r="L732">
            <v>1610</v>
          </cell>
          <cell r="M732">
            <v>2325</v>
          </cell>
          <cell r="N732">
            <v>6.8871000000000002</v>
          </cell>
          <cell r="O732">
            <v>516.90842299371286</v>
          </cell>
          <cell r="P732">
            <v>123.25</v>
          </cell>
          <cell r="Q732">
            <v>163.63926761626809</v>
          </cell>
          <cell r="R732">
            <v>60.765779500805849</v>
          </cell>
          <cell r="S732">
            <v>193.0223708538706</v>
          </cell>
          <cell r="T732">
            <v>540.67741797094448</v>
          </cell>
          <cell r="U732">
            <v>-21.005206250047308</v>
          </cell>
        </row>
        <row r="733">
          <cell r="I733">
            <v>39785</v>
          </cell>
          <cell r="J733">
            <v>3560</v>
          </cell>
          <cell r="K733">
            <v>72.5</v>
          </cell>
          <cell r="L733">
            <v>1610</v>
          </cell>
          <cell r="M733">
            <v>2325</v>
          </cell>
          <cell r="N733">
            <v>6.8822000000000001</v>
          </cell>
          <cell r="O733">
            <v>517.27645229723055</v>
          </cell>
          <cell r="P733">
            <v>123.25</v>
          </cell>
          <cell r="Q733">
            <v>163.75577576937607</v>
          </cell>
          <cell r="R733">
            <v>60.809043619772744</v>
          </cell>
          <cell r="S733">
            <v>193.05263042254177</v>
          </cell>
          <cell r="T733">
            <v>540.86744981169068</v>
          </cell>
          <cell r="U733">
            <v>-21.781874866402859</v>
          </cell>
        </row>
        <row r="734">
          <cell r="I734">
            <v>39786</v>
          </cell>
          <cell r="J734">
            <v>3750</v>
          </cell>
          <cell r="K734">
            <v>72.5</v>
          </cell>
          <cell r="L734">
            <v>1610</v>
          </cell>
          <cell r="M734">
            <v>2325</v>
          </cell>
          <cell r="N734">
            <v>6.8822000000000001</v>
          </cell>
          <cell r="O734">
            <v>544.88390340298156</v>
          </cell>
          <cell r="P734">
            <v>123.25</v>
          </cell>
          <cell r="Q734">
            <v>163.75577576937607</v>
          </cell>
          <cell r="R734">
            <v>60.809043619772744</v>
          </cell>
          <cell r="S734">
            <v>197.06396947209532</v>
          </cell>
          <cell r="T734">
            <v>544.87878886124417</v>
          </cell>
          <cell r="U734">
            <v>-19.189785219137207</v>
          </cell>
        </row>
        <row r="735">
          <cell r="I735">
            <v>39787</v>
          </cell>
          <cell r="J735">
            <v>3750</v>
          </cell>
          <cell r="K735">
            <v>73</v>
          </cell>
          <cell r="L735">
            <v>1610</v>
          </cell>
          <cell r="M735">
            <v>2325</v>
          </cell>
          <cell r="N735">
            <v>6.8811999999999998</v>
          </cell>
          <cell r="O735">
            <v>544.96308783351742</v>
          </cell>
          <cell r="P735">
            <v>124.1</v>
          </cell>
          <cell r="Q735">
            <v>163.77957333023309</v>
          </cell>
          <cell r="R735">
            <v>60.817880602220548</v>
          </cell>
          <cell r="S735">
            <v>196.94722885741953</v>
          </cell>
          <cell r="T735">
            <v>545.64468278987317</v>
          </cell>
          <cell r="U735">
            <v>-16.245792528823358</v>
          </cell>
        </row>
        <row r="736">
          <cell r="I736">
            <v>39788</v>
          </cell>
          <cell r="J736">
            <v>3750</v>
          </cell>
          <cell r="K736">
            <v>73</v>
          </cell>
          <cell r="L736">
            <v>1610</v>
          </cell>
          <cell r="M736">
            <v>2325</v>
          </cell>
          <cell r="N736">
            <v>6.8811999999999998</v>
          </cell>
          <cell r="O736">
            <v>544.96308783351742</v>
          </cell>
          <cell r="P736">
            <v>124.1</v>
          </cell>
          <cell r="Q736">
            <v>163.77957333023309</v>
          </cell>
          <cell r="R736">
            <v>60.817880602220548</v>
          </cell>
          <cell r="S736">
            <v>196.94722885741953</v>
          </cell>
          <cell r="T736">
            <v>545.64468278987317</v>
          </cell>
          <cell r="U736">
            <v>-13.301799838509396</v>
          </cell>
        </row>
        <row r="737">
          <cell r="I737">
            <v>39789</v>
          </cell>
          <cell r="J737">
            <v>3750</v>
          </cell>
          <cell r="K737">
            <v>73</v>
          </cell>
          <cell r="L737">
            <v>1610</v>
          </cell>
          <cell r="M737">
            <v>2325</v>
          </cell>
          <cell r="N737">
            <v>6.8811999999999998</v>
          </cell>
          <cell r="O737">
            <v>544.96308783351742</v>
          </cell>
          <cell r="P737">
            <v>124.1</v>
          </cell>
          <cell r="Q737">
            <v>163.77957333023309</v>
          </cell>
          <cell r="R737">
            <v>60.817880602220548</v>
          </cell>
          <cell r="S737">
            <v>196.94722885741953</v>
          </cell>
          <cell r="T737">
            <v>545.64468278987317</v>
          </cell>
          <cell r="U737">
            <v>-10.357807148195548</v>
          </cell>
        </row>
        <row r="738">
          <cell r="I738">
            <v>39790</v>
          </cell>
          <cell r="J738">
            <v>3750</v>
          </cell>
          <cell r="K738">
            <v>73</v>
          </cell>
          <cell r="L738">
            <v>1610</v>
          </cell>
          <cell r="M738">
            <v>2325</v>
          </cell>
          <cell r="N738">
            <v>6.8807999999999998</v>
          </cell>
          <cell r="O738">
            <v>544.99476805022675</v>
          </cell>
          <cell r="P738">
            <v>124.1</v>
          </cell>
          <cell r="Q738">
            <v>163.78909429136147</v>
          </cell>
          <cell r="R738">
            <v>60.821416114405302</v>
          </cell>
          <cell r="S738">
            <v>196.94993487141721</v>
          </cell>
          <cell r="T738">
            <v>545.66044527718395</v>
          </cell>
          <cell r="U738">
            <v>-7.1521914351396845</v>
          </cell>
        </row>
        <row r="739">
          <cell r="I739">
            <v>39791</v>
          </cell>
          <cell r="J739">
            <v>3750</v>
          </cell>
          <cell r="K739">
            <v>73</v>
          </cell>
          <cell r="L739">
            <v>1610</v>
          </cell>
          <cell r="M739">
            <v>2350</v>
          </cell>
          <cell r="N739">
            <v>6.8734000000000002</v>
          </cell>
          <cell r="O739">
            <v>545.58151715308293</v>
          </cell>
          <cell r="P739">
            <v>124.1</v>
          </cell>
          <cell r="Q739">
            <v>163.96543195507317</v>
          </cell>
          <cell r="R739">
            <v>61.541595134867748</v>
          </cell>
          <cell r="S739">
            <v>196.90492590661034</v>
          </cell>
          <cell r="T739">
            <v>546.51195299655126</v>
          </cell>
          <cell r="U739">
            <v>-3.8895401303163908</v>
          </cell>
        </row>
        <row r="740">
          <cell r="I740">
            <v>39792</v>
          </cell>
          <cell r="J740">
            <v>3750</v>
          </cell>
          <cell r="K740">
            <v>73</v>
          </cell>
          <cell r="L740">
            <v>1610</v>
          </cell>
          <cell r="M740">
            <v>2350</v>
          </cell>
          <cell r="N740">
            <v>6.8635999999999999</v>
          </cell>
          <cell r="O740">
            <v>546.36051051926108</v>
          </cell>
          <cell r="P740">
            <v>124.1</v>
          </cell>
          <cell r="Q740">
            <v>164.19954542805525</v>
          </cell>
          <cell r="R740">
            <v>61.629465586572643</v>
          </cell>
          <cell r="S740">
            <v>196.9713289878527</v>
          </cell>
          <cell r="T740">
            <v>546.90034000248056</v>
          </cell>
          <cell r="U740">
            <v>-0.59651612585344083</v>
          </cell>
        </row>
        <row r="741">
          <cell r="I741">
            <v>39793</v>
          </cell>
          <cell r="J741">
            <v>3750</v>
          </cell>
          <cell r="K741">
            <v>73</v>
          </cell>
          <cell r="L741">
            <v>1610</v>
          </cell>
          <cell r="M741">
            <v>2350</v>
          </cell>
          <cell r="N741">
            <v>6.8518999999999997</v>
          </cell>
          <cell r="O741">
            <v>547.29345145142224</v>
          </cell>
          <cell r="P741">
            <v>124.1</v>
          </cell>
          <cell r="Q741">
            <v>164.47992527620076</v>
          </cell>
          <cell r="R741">
            <v>61.734701323720429</v>
          </cell>
          <cell r="S741">
            <v>197.05085489295311</v>
          </cell>
          <cell r="T741">
            <v>547.36548149287432</v>
          </cell>
          <cell r="U741">
            <v>-0.60753678059495542</v>
          </cell>
        </row>
        <row r="742">
          <cell r="I742">
            <v>39794</v>
          </cell>
          <cell r="J742">
            <v>3750</v>
          </cell>
          <cell r="K742">
            <v>74.5</v>
          </cell>
          <cell r="L742">
            <v>1610</v>
          </cell>
          <cell r="M742">
            <v>2350</v>
          </cell>
          <cell r="N742">
            <v>6.8433000000000002</v>
          </cell>
          <cell r="O742">
            <v>547.98123712244092</v>
          </cell>
          <cell r="P742">
            <v>126.64999999999999</v>
          </cell>
          <cell r="Q742">
            <v>164.6866277965309</v>
          </cell>
          <cell r="R742">
            <v>61.812283547411333</v>
          </cell>
          <cell r="S742">
            <v>196.73897041226053</v>
          </cell>
          <cell r="T742">
            <v>549.88788175620266</v>
          </cell>
          <cell r="U742">
            <v>-0.7825438773671749</v>
          </cell>
        </row>
        <row r="743">
          <cell r="I743">
            <v>39795</v>
          </cell>
          <cell r="J743">
            <v>3750</v>
          </cell>
          <cell r="K743">
            <v>74.5</v>
          </cell>
          <cell r="L743">
            <v>1610</v>
          </cell>
          <cell r="M743">
            <v>2350</v>
          </cell>
          <cell r="N743">
            <v>6.8433000000000002</v>
          </cell>
          <cell r="O743">
            <v>547.98123712244092</v>
          </cell>
          <cell r="P743">
            <v>126.64999999999999</v>
          </cell>
          <cell r="Q743">
            <v>164.6866277965309</v>
          </cell>
          <cell r="R743">
            <v>61.812283547411333</v>
          </cell>
          <cell r="S743">
            <v>196.73897041226053</v>
          </cell>
          <cell r="T743">
            <v>549.88788175620266</v>
          </cell>
          <cell r="U743">
            <v>-0.95755097413950807</v>
          </cell>
        </row>
        <row r="744">
          <cell r="I744">
            <v>39796</v>
          </cell>
          <cell r="J744">
            <v>3750</v>
          </cell>
          <cell r="K744">
            <v>74.5</v>
          </cell>
          <cell r="L744">
            <v>1610</v>
          </cell>
          <cell r="M744">
            <v>2350</v>
          </cell>
          <cell r="N744">
            <v>6.8433000000000002</v>
          </cell>
          <cell r="O744">
            <v>547.98123712244092</v>
          </cell>
          <cell r="P744">
            <v>126.64999999999999</v>
          </cell>
          <cell r="Q744">
            <v>164.6866277965309</v>
          </cell>
          <cell r="R744">
            <v>61.812283547411333</v>
          </cell>
          <cell r="S744">
            <v>196.73897041226053</v>
          </cell>
          <cell r="T744">
            <v>549.88788175620266</v>
          </cell>
          <cell r="U744">
            <v>-1.1325580709118412</v>
          </cell>
        </row>
        <row r="745">
          <cell r="I745">
            <v>39797</v>
          </cell>
          <cell r="J745">
            <v>3780</v>
          </cell>
          <cell r="K745">
            <v>74.5</v>
          </cell>
          <cell r="L745">
            <v>1610</v>
          </cell>
          <cell r="M745">
            <v>2350</v>
          </cell>
          <cell r="N745">
            <v>6.85</v>
          </cell>
          <cell r="O745">
            <v>551.82481751824821</v>
          </cell>
          <cell r="P745">
            <v>126.64999999999999</v>
          </cell>
          <cell r="Q745">
            <v>164.52554744525548</v>
          </cell>
          <cell r="R745">
            <v>61.751824817518248</v>
          </cell>
          <cell r="S745">
            <v>197.32962879780399</v>
          </cell>
          <cell r="T745">
            <v>550.25700106057775</v>
          </cell>
          <cell r="U745">
            <v>-0.813487544536315</v>
          </cell>
        </row>
        <row r="746">
          <cell r="I746">
            <v>39798</v>
          </cell>
          <cell r="J746">
            <v>3780</v>
          </cell>
          <cell r="K746">
            <v>74.5</v>
          </cell>
          <cell r="L746">
            <v>1610</v>
          </cell>
          <cell r="M746">
            <v>2350</v>
          </cell>
          <cell r="N746">
            <v>6.8456999999999999</v>
          </cell>
          <cell r="O746">
            <v>552.17143608396509</v>
          </cell>
          <cell r="P746">
            <v>126.64999999999999</v>
          </cell>
          <cell r="Q746">
            <v>164.62889112873773</v>
          </cell>
          <cell r="R746">
            <v>61.790613085586578</v>
          </cell>
          <cell r="S746">
            <v>197.35934052806743</v>
          </cell>
          <cell r="T746">
            <v>550.42884474239168</v>
          </cell>
          <cell r="U746">
            <v>-0.43162651810200714</v>
          </cell>
        </row>
        <row r="747">
          <cell r="I747">
            <v>39799</v>
          </cell>
          <cell r="J747">
            <v>3780</v>
          </cell>
          <cell r="K747">
            <v>74.5</v>
          </cell>
          <cell r="L747">
            <v>1610</v>
          </cell>
          <cell r="M747">
            <v>2350</v>
          </cell>
          <cell r="N747">
            <v>6.8357000000000001</v>
          </cell>
          <cell r="O747">
            <v>552.97921207776812</v>
          </cell>
          <cell r="P747">
            <v>126.64999999999999</v>
          </cell>
          <cell r="Q747">
            <v>164.86972804540866</v>
          </cell>
          <cell r="R747">
            <v>61.881007065845488</v>
          </cell>
          <cell r="S747">
            <v>197.42858212333965</v>
          </cell>
          <cell r="T747">
            <v>550.82931723459387</v>
          </cell>
          <cell r="U747">
            <v>-4.7380185759834603E-2</v>
          </cell>
        </row>
        <row r="748">
          <cell r="I748">
            <v>39800</v>
          </cell>
          <cell r="J748">
            <v>3780</v>
          </cell>
          <cell r="K748">
            <v>74.5</v>
          </cell>
          <cell r="L748">
            <v>1610</v>
          </cell>
          <cell r="M748">
            <v>2350</v>
          </cell>
          <cell r="N748">
            <v>6.8292000000000002</v>
          </cell>
          <cell r="O748">
            <v>553.50553505535049</v>
          </cell>
          <cell r="P748">
            <v>126.64999999999999</v>
          </cell>
          <cell r="Q748">
            <v>165.02665026650266</v>
          </cell>
          <cell r="R748">
            <v>61.939905113336849</v>
          </cell>
          <cell r="S748">
            <v>197.47369790157001</v>
          </cell>
          <cell r="T748">
            <v>551.09025328140956</v>
          </cell>
          <cell r="U748">
            <v>0.307950073581992</v>
          </cell>
        </row>
        <row r="749">
          <cell r="I749">
            <v>39801</v>
          </cell>
          <cell r="J749">
            <v>3780</v>
          </cell>
          <cell r="K749">
            <v>79</v>
          </cell>
          <cell r="L749">
            <v>1610</v>
          </cell>
          <cell r="M749">
            <v>2350</v>
          </cell>
          <cell r="N749">
            <v>6.8456999999999999</v>
          </cell>
          <cell r="O749">
            <v>552.17143608396509</v>
          </cell>
          <cell r="P749">
            <v>134.29999999999998</v>
          </cell>
          <cell r="Q749">
            <v>164.62889112873773</v>
          </cell>
          <cell r="R749">
            <v>61.790613085586578</v>
          </cell>
          <cell r="S749">
            <v>196.247802066529</v>
          </cell>
          <cell r="T749">
            <v>556.96730628085334</v>
          </cell>
          <cell r="U749">
            <v>-0.10479643543601469</v>
          </cell>
        </row>
        <row r="750">
          <cell r="I750">
            <v>39802</v>
          </cell>
          <cell r="J750">
            <v>3780</v>
          </cell>
          <cell r="K750">
            <v>79</v>
          </cell>
          <cell r="L750">
            <v>1610</v>
          </cell>
          <cell r="M750">
            <v>2350</v>
          </cell>
          <cell r="N750">
            <v>6.8456999999999999</v>
          </cell>
          <cell r="O750">
            <v>552.17143608396509</v>
          </cell>
          <cell r="P750">
            <v>134.29999999999998</v>
          </cell>
          <cell r="Q750">
            <v>164.62889112873773</v>
          </cell>
          <cell r="R750">
            <v>61.790613085586578</v>
          </cell>
          <cell r="S750">
            <v>196.247802066529</v>
          </cell>
          <cell r="T750">
            <v>556.96730628085334</v>
          </cell>
          <cell r="U750">
            <v>-0.51754294445424875</v>
          </cell>
        </row>
        <row r="751">
          <cell r="I751">
            <v>39803</v>
          </cell>
          <cell r="J751">
            <v>3780</v>
          </cell>
          <cell r="K751">
            <v>79</v>
          </cell>
          <cell r="L751">
            <v>1610</v>
          </cell>
          <cell r="M751">
            <v>2350</v>
          </cell>
          <cell r="N751">
            <v>6.8456999999999999</v>
          </cell>
          <cell r="O751">
            <v>552.17143608396509</v>
          </cell>
          <cell r="P751">
            <v>134.29999999999998</v>
          </cell>
          <cell r="Q751">
            <v>164.62889112873773</v>
          </cell>
          <cell r="R751">
            <v>61.790613085586578</v>
          </cell>
          <cell r="S751">
            <v>196.247802066529</v>
          </cell>
          <cell r="T751">
            <v>556.96730628085334</v>
          </cell>
          <cell r="U751">
            <v>-0.93028945347225545</v>
          </cell>
        </row>
        <row r="752">
          <cell r="I752">
            <v>39804</v>
          </cell>
          <cell r="J752">
            <v>3780</v>
          </cell>
          <cell r="K752">
            <v>79</v>
          </cell>
          <cell r="L752">
            <v>1610</v>
          </cell>
          <cell r="M752">
            <v>2350</v>
          </cell>
          <cell r="N752">
            <v>6.8517000000000001</v>
          </cell>
          <cell r="O752">
            <v>551.68790227242869</v>
          </cell>
          <cell r="P752">
            <v>134.29999999999998</v>
          </cell>
          <cell r="Q752">
            <v>164.48472641826115</v>
          </cell>
          <cell r="R752">
            <v>61.736503349533692</v>
          </cell>
          <cell r="S752">
            <v>196.2063541246049</v>
          </cell>
          <cell r="T752">
            <v>556.72758389239971</v>
          </cell>
          <cell r="U752">
            <v>-1.8742177502781487</v>
          </cell>
        </row>
        <row r="753">
          <cell r="I753">
            <v>39805</v>
          </cell>
          <cell r="J753">
            <v>3780</v>
          </cell>
          <cell r="K753">
            <v>79</v>
          </cell>
          <cell r="L753">
            <v>1610</v>
          </cell>
          <cell r="M753">
            <v>2350</v>
          </cell>
          <cell r="N753">
            <v>6.8487999999999998</v>
          </cell>
          <cell r="O753">
            <v>551.92150449713824</v>
          </cell>
          <cell r="P753">
            <v>134.29999999999998</v>
          </cell>
          <cell r="Q753">
            <v>164.55437448896157</v>
          </cell>
          <cell r="R753">
            <v>61.76264455087022</v>
          </cell>
          <cell r="S753">
            <v>196.22637822883939</v>
          </cell>
          <cell r="T753">
            <v>556.8433972686712</v>
          </cell>
          <cell r="U753">
            <v>-2.8262869092933443</v>
          </cell>
        </row>
        <row r="754">
          <cell r="I754">
            <v>39806</v>
          </cell>
          <cell r="J754">
            <v>3780</v>
          </cell>
          <cell r="K754">
            <v>79</v>
          </cell>
          <cell r="L754">
            <v>1610</v>
          </cell>
          <cell r="M754">
            <v>2350</v>
          </cell>
          <cell r="N754">
            <v>6.8396999999999997</v>
          </cell>
          <cell r="O754">
            <v>552.65581823764205</v>
          </cell>
          <cell r="P754">
            <v>134.29999999999998</v>
          </cell>
          <cell r="Q754">
            <v>164.77330877085251</v>
          </cell>
          <cell r="R754">
            <v>61.844817755164698</v>
          </cell>
          <cell r="S754">
            <v>196.2893227273301</v>
          </cell>
          <cell r="T754">
            <v>557.20744925334725</v>
          </cell>
          <cell r="U754">
            <v>-3.7836477462761877</v>
          </cell>
        </row>
        <row r="755">
          <cell r="I755">
            <v>39807</v>
          </cell>
          <cell r="J755">
            <v>3780</v>
          </cell>
          <cell r="K755">
            <v>79</v>
          </cell>
          <cell r="L755">
            <v>1610</v>
          </cell>
          <cell r="M755">
            <v>2350</v>
          </cell>
          <cell r="N755">
            <v>6.8307000000000002</v>
          </cell>
          <cell r="O755">
            <v>553.38398699986817</v>
          </cell>
          <cell r="P755">
            <v>134.29999999999998</v>
          </cell>
          <cell r="Q755">
            <v>164.99041093884958</v>
          </cell>
          <cell r="R755">
            <v>61.926303307128109</v>
          </cell>
          <cell r="S755">
            <v>196.35174048560799</v>
          </cell>
          <cell r="T755">
            <v>557.56845473158569</v>
          </cell>
          <cell r="U755">
            <v>-4.7264691042272489</v>
          </cell>
        </row>
        <row r="756">
          <cell r="I756">
            <v>39808</v>
          </cell>
          <cell r="J756">
            <v>3780</v>
          </cell>
          <cell r="K756">
            <v>79</v>
          </cell>
          <cell r="L756">
            <v>1610</v>
          </cell>
          <cell r="M756">
            <v>2350</v>
          </cell>
          <cell r="N756">
            <v>6.8413000000000004</v>
          </cell>
          <cell r="O756">
            <v>552.5265665882215</v>
          </cell>
          <cell r="P756">
            <v>134.29999999999998</v>
          </cell>
          <cell r="Q756">
            <v>164.7347726309327</v>
          </cell>
          <cell r="R756">
            <v>61.830353880110501</v>
          </cell>
          <cell r="S756">
            <v>196.27824343001737</v>
          </cell>
          <cell r="T756">
            <v>557.14336994106066</v>
          </cell>
          <cell r="U756">
            <v>-4.7008881265060154</v>
          </cell>
        </row>
        <row r="757">
          <cell r="I757">
            <v>39809</v>
          </cell>
          <cell r="J757">
            <v>3780</v>
          </cell>
          <cell r="K757">
            <v>79</v>
          </cell>
          <cell r="L757">
            <v>1610</v>
          </cell>
          <cell r="M757">
            <v>2350</v>
          </cell>
          <cell r="N757">
            <v>6.8413000000000004</v>
          </cell>
          <cell r="O757">
            <v>552.5265665882215</v>
          </cell>
          <cell r="P757">
            <v>134.29999999999998</v>
          </cell>
          <cell r="Q757">
            <v>164.7347726309327</v>
          </cell>
          <cell r="R757">
            <v>61.830353880110501</v>
          </cell>
          <cell r="S757">
            <v>196.27824343001737</v>
          </cell>
          <cell r="T757">
            <v>557.14336994106066</v>
          </cell>
          <cell r="U757">
            <v>-4.6753071487846682</v>
          </cell>
        </row>
        <row r="758">
          <cell r="I758">
            <v>39810</v>
          </cell>
          <cell r="J758">
            <v>3780</v>
          </cell>
          <cell r="K758">
            <v>79</v>
          </cell>
          <cell r="L758">
            <v>1610</v>
          </cell>
          <cell r="M758">
            <v>2350</v>
          </cell>
          <cell r="N758">
            <v>6.8413000000000004</v>
          </cell>
          <cell r="O758">
            <v>552.5265665882215</v>
          </cell>
          <cell r="P758">
            <v>134.29999999999998</v>
          </cell>
          <cell r="Q758">
            <v>164.7347726309327</v>
          </cell>
          <cell r="R758">
            <v>61.830353880110501</v>
          </cell>
          <cell r="S758">
            <v>196.27824343001737</v>
          </cell>
          <cell r="T758">
            <v>557.14336994106066</v>
          </cell>
          <cell r="U758">
            <v>-4.6497261710635485</v>
          </cell>
        </row>
        <row r="759">
          <cell r="I759">
            <v>39811</v>
          </cell>
          <cell r="J759">
            <v>3830</v>
          </cell>
          <cell r="K759">
            <v>79</v>
          </cell>
          <cell r="L759">
            <v>1610</v>
          </cell>
          <cell r="M759">
            <v>2350</v>
          </cell>
          <cell r="N759">
            <v>6.8525999999999998</v>
          </cell>
          <cell r="O759">
            <v>558.91194583077959</v>
          </cell>
          <cell r="P759">
            <v>134.29999999999998</v>
          </cell>
          <cell r="Q759">
            <v>164.46312348597613</v>
          </cell>
          <cell r="R759">
            <v>61.728395061728399</v>
          </cell>
          <cell r="S759">
            <v>197.26031849412203</v>
          </cell>
          <cell r="T759">
            <v>557.75183704182655</v>
          </cell>
          <cell r="U759">
            <v>-3.764041826931475</v>
          </cell>
        </row>
        <row r="760">
          <cell r="I760">
            <v>39812</v>
          </cell>
          <cell r="J760">
            <v>3950</v>
          </cell>
          <cell r="K760">
            <v>79</v>
          </cell>
          <cell r="L760">
            <v>1610</v>
          </cell>
          <cell r="M760">
            <v>2400</v>
          </cell>
          <cell r="N760">
            <v>6.8308999999999997</v>
          </cell>
          <cell r="O760">
            <v>578.25469557452163</v>
          </cell>
          <cell r="P760">
            <v>134.29999999999998</v>
          </cell>
          <cell r="Q760">
            <v>164.9855802310091</v>
          </cell>
          <cell r="R760">
            <v>63.242032528656544</v>
          </cell>
          <cell r="S760">
            <v>199.77496075087652</v>
          </cell>
          <cell r="T760">
            <v>562.30257351054206</v>
          </cell>
          <cell r="U760">
            <v>-0.78203970757249408</v>
          </cell>
        </row>
        <row r="761">
          <cell r="I761">
            <v>39813</v>
          </cell>
          <cell r="J761">
            <v>3950</v>
          </cell>
          <cell r="K761">
            <v>79</v>
          </cell>
          <cell r="L761">
            <v>1420</v>
          </cell>
          <cell r="M761">
            <v>2400</v>
          </cell>
          <cell r="N761">
            <v>6.8277000000000001</v>
          </cell>
          <cell r="O761">
            <v>578.52571144016281</v>
          </cell>
          <cell r="P761">
            <v>134.29999999999998</v>
          </cell>
          <cell r="Q761">
            <v>145.58343219532199</v>
          </cell>
          <cell r="R761">
            <v>63.271672744848189</v>
          </cell>
          <cell r="S761">
            <v>202.62914795299037</v>
          </cell>
          <cell r="T761">
            <v>545.78425289316056</v>
          </cell>
          <cell r="U761">
            <v>4.5455445156713949</v>
          </cell>
        </row>
        <row r="762">
          <cell r="I762">
            <v>39814</v>
          </cell>
          <cell r="J762">
            <v>3950</v>
          </cell>
          <cell r="K762">
            <v>79</v>
          </cell>
          <cell r="L762">
            <v>1420</v>
          </cell>
          <cell r="M762">
            <v>2400</v>
          </cell>
          <cell r="N762">
            <v>6.827</v>
          </cell>
          <cell r="O762">
            <v>578.58503002783073</v>
          </cell>
          <cell r="P762">
            <v>134.29999999999998</v>
          </cell>
          <cell r="Q762">
            <v>145.59835945510471</v>
          </cell>
          <cell r="R762">
            <v>63.278160246081733</v>
          </cell>
          <cell r="S762">
            <v>202.63465534660639</v>
          </cell>
          <cell r="T762">
            <v>545.81117504779286</v>
          </cell>
          <cell r="U762">
            <v>9.825304903064989</v>
          </cell>
        </row>
        <row r="763">
          <cell r="I763">
            <v>39815</v>
          </cell>
          <cell r="J763">
            <v>3950</v>
          </cell>
          <cell r="K763">
            <v>79</v>
          </cell>
          <cell r="L763">
            <v>1420</v>
          </cell>
          <cell r="M763">
            <v>2400</v>
          </cell>
          <cell r="N763">
            <v>6.83</v>
          </cell>
          <cell r="O763">
            <v>578.33089311859442</v>
          </cell>
          <cell r="P763">
            <v>134.29999999999998</v>
          </cell>
          <cell r="Q763">
            <v>145.53440702781845</v>
          </cell>
          <cell r="R763">
            <v>63.250366032210827</v>
          </cell>
          <cell r="S763">
            <v>202.61106017944962</v>
          </cell>
          <cell r="T763">
            <v>545.69583323947882</v>
          </cell>
          <cell r="U763">
            <v>15.146999650487146</v>
          </cell>
        </row>
        <row r="764">
          <cell r="I764">
            <v>39816</v>
          </cell>
          <cell r="J764">
            <v>3950</v>
          </cell>
          <cell r="K764">
            <v>79</v>
          </cell>
          <cell r="L764">
            <v>1420</v>
          </cell>
          <cell r="M764">
            <v>2400</v>
          </cell>
          <cell r="N764">
            <v>6.83</v>
          </cell>
          <cell r="O764">
            <v>578.33089311859442</v>
          </cell>
          <cell r="P764">
            <v>134.29999999999998</v>
          </cell>
          <cell r="Q764">
            <v>145.53440702781845</v>
          </cell>
          <cell r="R764">
            <v>63.250366032210827</v>
          </cell>
          <cell r="S764">
            <v>202.61106017944962</v>
          </cell>
          <cell r="T764">
            <v>545.69583323947882</v>
          </cell>
          <cell r="U764">
            <v>20.468694397909189</v>
          </cell>
        </row>
        <row r="765">
          <cell r="I765">
            <v>39817</v>
          </cell>
          <cell r="J765">
            <v>3950</v>
          </cell>
          <cell r="K765">
            <v>79</v>
          </cell>
          <cell r="L765">
            <v>1420</v>
          </cell>
          <cell r="M765">
            <v>2400</v>
          </cell>
          <cell r="N765">
            <v>6.83</v>
          </cell>
          <cell r="O765">
            <v>578.33089311859442</v>
          </cell>
          <cell r="P765">
            <v>134.29999999999998</v>
          </cell>
          <cell r="Q765">
            <v>145.53440702781845</v>
          </cell>
          <cell r="R765">
            <v>63.250366032210827</v>
          </cell>
          <cell r="S765">
            <v>202.61106017944962</v>
          </cell>
          <cell r="T765">
            <v>545.69583323947882</v>
          </cell>
          <cell r="U765">
            <v>25.790389145331346</v>
          </cell>
        </row>
        <row r="766">
          <cell r="I766">
            <v>39818</v>
          </cell>
          <cell r="J766">
            <v>4000</v>
          </cell>
          <cell r="K766">
            <v>79</v>
          </cell>
          <cell r="L766">
            <v>1420</v>
          </cell>
          <cell r="M766">
            <v>2400</v>
          </cell>
          <cell r="N766">
            <v>6.8311999999999999</v>
          </cell>
          <cell r="O766">
            <v>585.54865909357068</v>
          </cell>
          <cell r="P766">
            <v>134.29999999999998</v>
          </cell>
          <cell r="Q766">
            <v>145.50884178475229</v>
          </cell>
          <cell r="R766">
            <v>63.239255182105637</v>
          </cell>
          <cell r="S766">
            <v>203.66512441157363</v>
          </cell>
          <cell r="T766">
            <v>546.71322137843163</v>
          </cell>
          <cell r="U766">
            <v>31.172578991929413</v>
          </cell>
        </row>
        <row r="767">
          <cell r="I767">
            <v>39819</v>
          </cell>
          <cell r="J767">
            <v>4050</v>
          </cell>
          <cell r="K767">
            <v>79</v>
          </cell>
          <cell r="L767">
            <v>1420</v>
          </cell>
          <cell r="M767">
            <v>2425</v>
          </cell>
          <cell r="N767">
            <v>6.8362999999999996</v>
          </cell>
          <cell r="O767">
            <v>592.42572736714305</v>
          </cell>
          <cell r="P767">
            <v>134.29999999999998</v>
          </cell>
          <cell r="Q767">
            <v>145.40028963035562</v>
          </cell>
          <cell r="R767">
            <v>63.850328394014312</v>
          </cell>
          <cell r="S767">
            <v>204.59134067373623</v>
          </cell>
          <cell r="T767">
            <v>548.14195869810612</v>
          </cell>
          <cell r="U767">
            <v>35.219957078366178</v>
          </cell>
        </row>
        <row r="768">
          <cell r="I768">
            <v>39820</v>
          </cell>
          <cell r="J768">
            <v>4050</v>
          </cell>
          <cell r="K768">
            <v>79</v>
          </cell>
          <cell r="L768">
            <v>1420</v>
          </cell>
          <cell r="M768">
            <v>2425</v>
          </cell>
          <cell r="N768">
            <v>6.8337000000000003</v>
          </cell>
          <cell r="O768">
            <v>592.65112603713942</v>
          </cell>
          <cell r="P768">
            <v>134.29999999999998</v>
          </cell>
          <cell r="Q768">
            <v>145.45560969899174</v>
          </cell>
          <cell r="R768">
            <v>63.874621361780584</v>
          </cell>
          <cell r="S768">
            <v>204.61252320169439</v>
          </cell>
          <cell r="T768">
            <v>548.24275426246663</v>
          </cell>
          <cell r="U768">
            <v>36.886658968033316</v>
          </cell>
        </row>
        <row r="769">
          <cell r="I769">
            <v>39821</v>
          </cell>
          <cell r="J769">
            <v>4050</v>
          </cell>
          <cell r="K769">
            <v>79</v>
          </cell>
          <cell r="L769">
            <v>1420</v>
          </cell>
          <cell r="M769">
            <v>2425</v>
          </cell>
          <cell r="N769">
            <v>6.8346999999999998</v>
          </cell>
          <cell r="O769">
            <v>592.56441394647902</v>
          </cell>
          <cell r="P769">
            <v>134.29999999999998</v>
          </cell>
          <cell r="Q769">
            <v>145.43432776859262</v>
          </cell>
          <cell r="R769">
            <v>63.865275725342741</v>
          </cell>
          <cell r="S769">
            <v>204.60437416831832</v>
          </cell>
          <cell r="T769">
            <v>548.20397766225369</v>
          </cell>
          <cell r="U769">
            <v>38.541884868631541</v>
          </cell>
        </row>
        <row r="770">
          <cell r="I770">
            <v>39822</v>
          </cell>
          <cell r="J770">
            <v>4150</v>
          </cell>
          <cell r="K770">
            <v>77.5</v>
          </cell>
          <cell r="L770">
            <v>1420</v>
          </cell>
          <cell r="M770">
            <v>2425</v>
          </cell>
          <cell r="N770">
            <v>6.8357000000000001</v>
          </cell>
          <cell r="O770">
            <v>607.10680691077721</v>
          </cell>
          <cell r="P770">
            <v>131.75</v>
          </cell>
          <cell r="Q770">
            <v>145.4130520648946</v>
          </cell>
          <cell r="R770">
            <v>63.85593282326608</v>
          </cell>
          <cell r="S770">
            <v>207.09233311439726</v>
          </cell>
          <cell r="T770">
            <v>548.11131800255794</v>
          </cell>
          <cell r="U770">
            <v>42.307660444217731</v>
          </cell>
        </row>
        <row r="771">
          <cell r="I771">
            <v>39823</v>
          </cell>
          <cell r="J771">
            <v>4150</v>
          </cell>
          <cell r="K771">
            <v>77.5</v>
          </cell>
          <cell r="L771">
            <v>1420</v>
          </cell>
          <cell r="M771">
            <v>2425</v>
          </cell>
          <cell r="N771">
            <v>6.8357000000000001</v>
          </cell>
          <cell r="O771">
            <v>607.10680691077721</v>
          </cell>
          <cell r="P771">
            <v>131.75</v>
          </cell>
          <cell r="Q771">
            <v>145.4130520648946</v>
          </cell>
          <cell r="R771">
            <v>63.85593282326608</v>
          </cell>
          <cell r="S771">
            <v>207.09233311439726</v>
          </cell>
          <cell r="T771">
            <v>548.11131800255794</v>
          </cell>
          <cell r="U771">
            <v>46.073436019803921</v>
          </cell>
        </row>
        <row r="772">
          <cell r="I772">
            <v>39824</v>
          </cell>
          <cell r="J772">
            <v>4150</v>
          </cell>
          <cell r="K772">
            <v>77.5</v>
          </cell>
          <cell r="L772">
            <v>1420</v>
          </cell>
          <cell r="M772">
            <v>2425</v>
          </cell>
          <cell r="N772">
            <v>6.8357000000000001</v>
          </cell>
          <cell r="O772">
            <v>607.10680691077721</v>
          </cell>
          <cell r="P772">
            <v>131.75</v>
          </cell>
          <cell r="Q772">
            <v>145.4130520648946</v>
          </cell>
          <cell r="R772">
            <v>63.85593282326608</v>
          </cell>
          <cell r="S772">
            <v>207.09233311439726</v>
          </cell>
          <cell r="T772">
            <v>548.11131800255794</v>
          </cell>
          <cell r="U772">
            <v>49.839211595390566</v>
          </cell>
        </row>
        <row r="773">
          <cell r="I773">
            <v>39825</v>
          </cell>
          <cell r="J773">
            <v>4150</v>
          </cell>
          <cell r="K773">
            <v>77.5</v>
          </cell>
          <cell r="L773">
            <v>1420</v>
          </cell>
          <cell r="M773">
            <v>2425</v>
          </cell>
          <cell r="N773">
            <v>6.8369999999999997</v>
          </cell>
          <cell r="O773">
            <v>606.99137048413047</v>
          </cell>
          <cell r="P773">
            <v>131.75</v>
          </cell>
          <cell r="Q773">
            <v>145.38540295451222</v>
          </cell>
          <cell r="R773">
            <v>63.843791136463359</v>
          </cell>
          <cell r="S773">
            <v>207.08134186909081</v>
          </cell>
          <cell r="T773">
            <v>548.06053596006632</v>
          </cell>
          <cell r="U773">
            <v>52.709982568093892</v>
          </cell>
        </row>
        <row r="774">
          <cell r="I774">
            <v>39826</v>
          </cell>
          <cell r="J774">
            <v>4150</v>
          </cell>
          <cell r="K774">
            <v>77.5</v>
          </cell>
          <cell r="L774">
            <v>1420</v>
          </cell>
          <cell r="M774">
            <v>2700</v>
          </cell>
          <cell r="N774">
            <v>6.8346</v>
          </cell>
          <cell r="O774">
            <v>607.20451818687263</v>
          </cell>
          <cell r="P774">
            <v>131.75</v>
          </cell>
          <cell r="Q774">
            <v>145.43645568138587</v>
          </cell>
          <cell r="R774">
            <v>71.108770081643399</v>
          </cell>
          <cell r="S774">
            <v>206.04929889919094</v>
          </cell>
          <cell r="T774">
            <v>554.34452466222024</v>
          </cell>
          <cell r="U774">
            <v>53.935157547467725</v>
          </cell>
        </row>
        <row r="775">
          <cell r="I775">
            <v>39827</v>
          </cell>
          <cell r="J775">
            <v>4150</v>
          </cell>
          <cell r="K775">
            <v>77.5</v>
          </cell>
          <cell r="L775">
            <v>1420</v>
          </cell>
          <cell r="M775">
            <v>2700</v>
          </cell>
          <cell r="N775">
            <v>6.8349000000000002</v>
          </cell>
          <cell r="O775">
            <v>607.17786653791563</v>
          </cell>
          <cell r="P775">
            <v>131.75</v>
          </cell>
          <cell r="Q775">
            <v>145.43007212980436</v>
          </cell>
          <cell r="R775">
            <v>71.105648948777599</v>
          </cell>
          <cell r="S775">
            <v>206.04680745990322</v>
          </cell>
          <cell r="T775">
            <v>554.33252853848512</v>
          </cell>
          <cell r="U775">
            <v>55.140438436718682</v>
          </cell>
        </row>
        <row r="776">
          <cell r="I776">
            <v>39828</v>
          </cell>
          <cell r="J776">
            <v>4150</v>
          </cell>
          <cell r="K776">
            <v>77.5</v>
          </cell>
          <cell r="L776">
            <v>1420</v>
          </cell>
          <cell r="M776">
            <v>2700</v>
          </cell>
          <cell r="N776">
            <v>6.8365</v>
          </cell>
          <cell r="O776">
            <v>607.03576391428362</v>
          </cell>
          <cell r="P776">
            <v>131.75</v>
          </cell>
          <cell r="Q776">
            <v>145.39603598332479</v>
          </cell>
          <cell r="R776">
            <v>71.089007533094417</v>
          </cell>
          <cell r="S776">
            <v>206.0335234766128</v>
          </cell>
          <cell r="T776">
            <v>554.26856699303198</v>
          </cell>
          <cell r="U776">
            <v>56.341404242008025</v>
          </cell>
        </row>
        <row r="777">
          <cell r="I777">
            <v>39829</v>
          </cell>
          <cell r="J777">
            <v>4150</v>
          </cell>
          <cell r="K777">
            <v>81</v>
          </cell>
          <cell r="L777">
            <v>1420</v>
          </cell>
          <cell r="M777">
            <v>2700</v>
          </cell>
          <cell r="N777">
            <v>6.8376000000000001</v>
          </cell>
          <cell r="O777">
            <v>606.9381069381069</v>
          </cell>
          <cell r="P777">
            <v>137.69999999999999</v>
          </cell>
          <cell r="Q777">
            <v>145.37264537264537</v>
          </cell>
          <cell r="R777">
            <v>71.077571077571079</v>
          </cell>
          <cell r="S777">
            <v>205.15986442986446</v>
          </cell>
          <cell r="T777">
            <v>559.31008088008093</v>
          </cell>
          <cell r="U777">
            <v>54.717480977694663</v>
          </cell>
        </row>
        <row r="778">
          <cell r="I778">
            <v>39830</v>
          </cell>
          <cell r="J778">
            <v>4150</v>
          </cell>
          <cell r="K778">
            <v>81</v>
          </cell>
          <cell r="L778">
            <v>1420</v>
          </cell>
          <cell r="M778">
            <v>2700</v>
          </cell>
          <cell r="N778">
            <v>6.8376000000000001</v>
          </cell>
          <cell r="O778">
            <v>606.9381069381069</v>
          </cell>
          <cell r="P778">
            <v>137.69999999999999</v>
          </cell>
          <cell r="Q778">
            <v>145.37264537264537</v>
          </cell>
          <cell r="R778">
            <v>71.077571077571079</v>
          </cell>
          <cell r="S778">
            <v>205.15986442986446</v>
          </cell>
          <cell r="T778">
            <v>559.31008088008093</v>
          </cell>
          <cell r="U778">
            <v>53.093557713381529</v>
          </cell>
        </row>
        <row r="779">
          <cell r="I779">
            <v>39831</v>
          </cell>
          <cell r="J779">
            <v>4150</v>
          </cell>
          <cell r="K779">
            <v>81</v>
          </cell>
          <cell r="L779">
            <v>1420</v>
          </cell>
          <cell r="M779">
            <v>2700</v>
          </cell>
          <cell r="N779">
            <v>6.8376000000000001</v>
          </cell>
          <cell r="O779">
            <v>606.9381069381069</v>
          </cell>
          <cell r="P779">
            <v>137.69999999999999</v>
          </cell>
          <cell r="Q779">
            <v>145.37264537264537</v>
          </cell>
          <cell r="R779">
            <v>71.077571077571079</v>
          </cell>
          <cell r="S779">
            <v>205.15986442986446</v>
          </cell>
          <cell r="T779">
            <v>559.31008088008093</v>
          </cell>
          <cell r="U779">
            <v>51.469634449068053</v>
          </cell>
        </row>
        <row r="780">
          <cell r="I780">
            <v>39832</v>
          </cell>
          <cell r="J780">
            <v>4250</v>
          </cell>
          <cell r="K780">
            <v>81</v>
          </cell>
          <cell r="L780">
            <v>1420</v>
          </cell>
          <cell r="M780">
            <v>2700</v>
          </cell>
          <cell r="N780">
            <v>6.8360000000000003</v>
          </cell>
          <cell r="O780">
            <v>621.70860152135754</v>
          </cell>
          <cell r="P780">
            <v>137.69999999999999</v>
          </cell>
          <cell r="Q780">
            <v>145.40667056758335</v>
          </cell>
          <cell r="R780">
            <v>71.094207138677589</v>
          </cell>
          <cell r="S780">
            <v>207.2986436312533</v>
          </cell>
          <cell r="T780">
            <v>561.49952133751424</v>
          </cell>
          <cell r="U780">
            <v>51.652240971893661</v>
          </cell>
        </row>
        <row r="781">
          <cell r="I781">
            <v>39833</v>
          </cell>
          <cell r="J781">
            <v>4150</v>
          </cell>
          <cell r="K781">
            <v>81</v>
          </cell>
          <cell r="L781">
            <v>1420</v>
          </cell>
          <cell r="M781">
            <v>2700</v>
          </cell>
          <cell r="N781">
            <v>6.8410000000000002</v>
          </cell>
          <cell r="O781">
            <v>606.63645665838328</v>
          </cell>
          <cell r="P781">
            <v>137.69999999999999</v>
          </cell>
          <cell r="Q781">
            <v>145.30039467914045</v>
          </cell>
          <cell r="R781">
            <v>71.042245285776929</v>
          </cell>
          <cell r="S781">
            <v>205.13166567340954</v>
          </cell>
          <cell r="T781">
            <v>559.17430563832681</v>
          </cell>
          <cell r="U781">
            <v>50.881120614094357</v>
          </cell>
        </row>
        <row r="782">
          <cell r="I782">
            <v>39834</v>
          </cell>
          <cell r="J782">
            <v>4150</v>
          </cell>
          <cell r="K782">
            <v>81</v>
          </cell>
          <cell r="L782">
            <v>1420</v>
          </cell>
          <cell r="M782">
            <v>2700</v>
          </cell>
          <cell r="N782">
            <v>6.8377999999999997</v>
          </cell>
          <cell r="O782">
            <v>606.92035449998536</v>
          </cell>
          <cell r="P782">
            <v>137.69999999999999</v>
          </cell>
          <cell r="Q782">
            <v>145.36839334288806</v>
          </cell>
          <cell r="R782">
            <v>71.075492117347693</v>
          </cell>
          <cell r="S782">
            <v>205.15820490321147</v>
          </cell>
          <cell r="T782">
            <v>559.30209036344718</v>
          </cell>
          <cell r="U782">
            <v>50.134395776538327</v>
          </cell>
        </row>
        <row r="783">
          <cell r="I783">
            <v>39835</v>
          </cell>
          <cell r="J783">
            <v>4150</v>
          </cell>
          <cell r="K783">
            <v>81</v>
          </cell>
          <cell r="L783">
            <v>1420</v>
          </cell>
          <cell r="M783">
            <v>2700</v>
          </cell>
          <cell r="N783">
            <v>6.8369999999999997</v>
          </cell>
          <cell r="O783">
            <v>606.99137048413047</v>
          </cell>
          <cell r="P783">
            <v>137.69999999999999</v>
          </cell>
          <cell r="Q783">
            <v>145.38540295451222</v>
          </cell>
          <cell r="R783">
            <v>71.083808688021065</v>
          </cell>
          <cell r="S783">
            <v>205.16484359236875</v>
          </cell>
          <cell r="T783">
            <v>559.33405523490205</v>
          </cell>
          <cell r="U783">
            <v>49.404412680534961</v>
          </cell>
        </row>
        <row r="784">
          <cell r="I784">
            <v>39836</v>
          </cell>
          <cell r="J784">
            <v>4150</v>
          </cell>
          <cell r="K784">
            <v>80.5</v>
          </cell>
          <cell r="L784">
            <v>1420</v>
          </cell>
          <cell r="M784">
            <v>2700</v>
          </cell>
          <cell r="N784">
            <v>6.8490000000000002</v>
          </cell>
          <cell r="O784">
            <v>605.9278726821434</v>
          </cell>
          <cell r="P784">
            <v>136.85</v>
          </cell>
          <cell r="Q784">
            <v>145.13067601109648</v>
          </cell>
          <cell r="R784">
            <v>70.959264126149804</v>
          </cell>
          <cell r="S784">
            <v>205.18893036977141</v>
          </cell>
          <cell r="T784">
            <v>558.12887050701761</v>
          </cell>
          <cell r="U784">
            <v>49.428837840120764</v>
          </cell>
        </row>
        <row r="785">
          <cell r="I785">
            <v>39837</v>
          </cell>
          <cell r="J785">
            <v>4150</v>
          </cell>
          <cell r="K785">
            <v>80.5</v>
          </cell>
          <cell r="L785">
            <v>1420</v>
          </cell>
          <cell r="M785">
            <v>2700</v>
          </cell>
          <cell r="N785">
            <v>6.8490000000000002</v>
          </cell>
          <cell r="O785">
            <v>605.9278726821434</v>
          </cell>
          <cell r="P785">
            <v>136.85</v>
          </cell>
          <cell r="Q785">
            <v>145.13067601109648</v>
          </cell>
          <cell r="R785">
            <v>70.959264126149804</v>
          </cell>
          <cell r="S785">
            <v>205.18893036977141</v>
          </cell>
          <cell r="T785">
            <v>558.12887050701761</v>
          </cell>
          <cell r="U785">
            <v>49.45326299970634</v>
          </cell>
        </row>
        <row r="786">
          <cell r="I786">
            <v>39838</v>
          </cell>
          <cell r="J786">
            <v>4150</v>
          </cell>
          <cell r="K786">
            <v>80.5</v>
          </cell>
          <cell r="L786">
            <v>1420</v>
          </cell>
          <cell r="M786">
            <v>2700</v>
          </cell>
          <cell r="N786">
            <v>6.8490000000000002</v>
          </cell>
          <cell r="O786">
            <v>605.9278726821434</v>
          </cell>
          <cell r="P786">
            <v>136.85</v>
          </cell>
          <cell r="Q786">
            <v>145.13067601109648</v>
          </cell>
          <cell r="R786">
            <v>70.959264126149804</v>
          </cell>
          <cell r="S786">
            <v>205.18893036977141</v>
          </cell>
          <cell r="T786">
            <v>558.12887050701761</v>
          </cell>
          <cell r="U786">
            <v>49.477688159292143</v>
          </cell>
        </row>
        <row r="787">
          <cell r="I787">
            <v>39839</v>
          </cell>
          <cell r="J787">
            <v>4150</v>
          </cell>
          <cell r="K787">
            <v>80.5</v>
          </cell>
          <cell r="L787">
            <v>1420</v>
          </cell>
          <cell r="M787">
            <v>2700</v>
          </cell>
          <cell r="N787">
            <v>6.8518999999999997</v>
          </cell>
          <cell r="O787">
            <v>605.67141960624065</v>
          </cell>
          <cell r="P787">
            <v>136.85</v>
          </cell>
          <cell r="Q787">
            <v>145.06925086472364</v>
          </cell>
          <cell r="R787">
            <v>70.92923130810432</v>
          </cell>
          <cell r="S787">
            <v>205.16495672109414</v>
          </cell>
          <cell r="T787">
            <v>558.01343889392206</v>
          </cell>
          <cell r="U787">
            <v>47.684673949074295</v>
          </cell>
        </row>
        <row r="788">
          <cell r="I788">
            <v>39840</v>
          </cell>
          <cell r="J788">
            <v>4150</v>
          </cell>
          <cell r="K788">
            <v>80.5</v>
          </cell>
          <cell r="L788">
            <v>1420</v>
          </cell>
          <cell r="M788">
            <v>2700</v>
          </cell>
          <cell r="N788">
            <v>6.8518999999999997</v>
          </cell>
          <cell r="O788">
            <v>605.67141960624065</v>
          </cell>
          <cell r="P788">
            <v>136.85</v>
          </cell>
          <cell r="Q788">
            <v>145.06925086472364</v>
          </cell>
          <cell r="R788">
            <v>70.92923130810432</v>
          </cell>
          <cell r="S788">
            <v>205.16495672109414</v>
          </cell>
          <cell r="T788">
            <v>558.01343889392206</v>
          </cell>
          <cell r="U788">
            <v>47.712649619397325</v>
          </cell>
        </row>
        <row r="789">
          <cell r="I789">
            <v>39841</v>
          </cell>
          <cell r="J789">
            <v>4150</v>
          </cell>
          <cell r="K789">
            <v>80.5</v>
          </cell>
          <cell r="L789">
            <v>1420</v>
          </cell>
          <cell r="M789">
            <v>2700</v>
          </cell>
          <cell r="N789">
            <v>6.8443000000000005</v>
          </cell>
          <cell r="O789">
            <v>606.34396505121049</v>
          </cell>
          <cell r="P789">
            <v>136.85</v>
          </cell>
          <cell r="Q789">
            <v>145.23033765322967</v>
          </cell>
          <cell r="R789">
            <v>71.007992051780306</v>
          </cell>
          <cell r="S789">
            <v>205.22782735799501</v>
          </cell>
          <cell r="T789">
            <v>558.31615706300499</v>
          </cell>
          <cell r="U789">
            <v>47.771155883921097</v>
          </cell>
        </row>
        <row r="790">
          <cell r="I790">
            <v>39842</v>
          </cell>
          <cell r="J790">
            <v>4150</v>
          </cell>
          <cell r="K790">
            <v>80.5</v>
          </cell>
          <cell r="L790">
            <v>1420</v>
          </cell>
          <cell r="M790">
            <v>2700</v>
          </cell>
          <cell r="N790">
            <v>6.8380000000000001</v>
          </cell>
          <cell r="O790">
            <v>606.9026031003217</v>
          </cell>
          <cell r="P790">
            <v>136.85</v>
          </cell>
          <cell r="Q790">
            <v>145.36414156186018</v>
          </cell>
          <cell r="R790">
            <v>71.073413278736467</v>
          </cell>
          <cell r="S790">
            <v>205.28004974713951</v>
          </cell>
          <cell r="T790">
            <v>558.56760458773613</v>
          </cell>
          <cell r="U790">
            <v>47.867967778686534</v>
          </cell>
        </row>
        <row r="791">
          <cell r="I791">
            <v>39843</v>
          </cell>
          <cell r="J791">
            <v>4150</v>
          </cell>
          <cell r="K791">
            <v>80.5</v>
          </cell>
          <cell r="L791">
            <v>1420</v>
          </cell>
          <cell r="M791">
            <v>2700</v>
          </cell>
          <cell r="N791">
            <v>6.8518999999999997</v>
          </cell>
          <cell r="O791">
            <v>605.67141960624065</v>
          </cell>
          <cell r="P791">
            <v>136.85</v>
          </cell>
          <cell r="Q791">
            <v>145.06925086472364</v>
          </cell>
          <cell r="R791">
            <v>70.92923130810432</v>
          </cell>
          <cell r="S791">
            <v>205.16495672109414</v>
          </cell>
          <cell r="T791">
            <v>558.01343889392206</v>
          </cell>
          <cell r="U791">
            <v>47.847821855428379</v>
          </cell>
        </row>
        <row r="792">
          <cell r="I792">
            <v>39844</v>
          </cell>
          <cell r="J792">
            <v>4150</v>
          </cell>
          <cell r="K792">
            <v>80.5</v>
          </cell>
          <cell r="L792">
            <v>1275</v>
          </cell>
          <cell r="M792">
            <v>2700</v>
          </cell>
          <cell r="N792">
            <v>6.8518999999999997</v>
          </cell>
          <cell r="O792">
            <v>605.67141960624065</v>
          </cell>
          <cell r="P792">
            <v>136.85</v>
          </cell>
          <cell r="Q792">
            <v>130.25584144543851</v>
          </cell>
          <cell r="R792">
            <v>70.92923130810432</v>
          </cell>
          <cell r="S792">
            <v>207.31733244868258</v>
          </cell>
          <cell r="T792">
            <v>545.35240520222533</v>
          </cell>
          <cell r="U792">
            <v>49.636395030983977</v>
          </cell>
        </row>
        <row r="793">
          <cell r="I793">
            <v>39845</v>
          </cell>
          <cell r="J793">
            <v>4150</v>
          </cell>
          <cell r="K793">
            <v>80.5</v>
          </cell>
          <cell r="L793">
            <v>1275</v>
          </cell>
          <cell r="M793">
            <v>2700</v>
          </cell>
          <cell r="N793">
            <v>6.8518999999999997</v>
          </cell>
          <cell r="O793">
            <v>605.67141960624065</v>
          </cell>
          <cell r="P793">
            <v>136.85</v>
          </cell>
          <cell r="Q793">
            <v>130.25584144543851</v>
          </cell>
          <cell r="R793">
            <v>70.92923130810432</v>
          </cell>
          <cell r="S793">
            <v>207.31733244868258</v>
          </cell>
          <cell r="T793">
            <v>545.35240520222533</v>
          </cell>
          <cell r="U793">
            <v>51.424968206539688</v>
          </cell>
        </row>
        <row r="794">
          <cell r="I794">
            <v>39846</v>
          </cell>
          <cell r="J794">
            <v>3950</v>
          </cell>
          <cell r="K794">
            <v>80.5</v>
          </cell>
          <cell r="L794">
            <v>1275</v>
          </cell>
          <cell r="M794">
            <v>2700</v>
          </cell>
          <cell r="N794">
            <v>6.8478000000000003</v>
          </cell>
          <cell r="O794">
            <v>576.8275942638511</v>
          </cell>
          <cell r="P794">
            <v>136.85</v>
          </cell>
          <cell r="Q794">
            <v>130.33382984316128</v>
          </cell>
          <cell r="R794">
            <v>70.971698939805478</v>
          </cell>
          <cell r="S794">
            <v>203.10884712115416</v>
          </cell>
          <cell r="T794">
            <v>541.26437590412093</v>
          </cell>
          <cell r="U794">
            <v>49.697145013312706</v>
          </cell>
        </row>
        <row r="795">
          <cell r="I795">
            <v>39847</v>
          </cell>
          <cell r="J795">
            <v>3970</v>
          </cell>
          <cell r="K795">
            <v>80.5</v>
          </cell>
          <cell r="L795">
            <v>1275</v>
          </cell>
          <cell r="M795">
            <v>2750</v>
          </cell>
          <cell r="N795">
            <v>6.8402000000000003</v>
          </cell>
          <cell r="O795">
            <v>580.39238618753836</v>
          </cell>
          <cell r="P795">
            <v>136.85</v>
          </cell>
          <cell r="Q795">
            <v>130.47864097541006</v>
          </cell>
          <cell r="R795">
            <v>72.36630507879886</v>
          </cell>
          <cell r="S795">
            <v>203.40313232706495</v>
          </cell>
          <cell r="T795">
            <v>543.09807838127381</v>
          </cell>
          <cell r="U795">
            <v>48.216620312447958</v>
          </cell>
        </row>
        <row r="796">
          <cell r="I796">
            <v>39848</v>
          </cell>
          <cell r="J796">
            <v>4100</v>
          </cell>
          <cell r="K796">
            <v>80.5</v>
          </cell>
          <cell r="L796">
            <v>1275</v>
          </cell>
          <cell r="M796">
            <v>2750</v>
          </cell>
          <cell r="N796">
            <v>6.8338000000000001</v>
          </cell>
          <cell r="O796">
            <v>599.95902718838715</v>
          </cell>
          <cell r="P796">
            <v>136.85</v>
          </cell>
          <cell r="Q796">
            <v>130.60083701600865</v>
          </cell>
          <cell r="R796">
            <v>72.434077672744294</v>
          </cell>
          <cell r="S796">
            <v>206.2185462606306</v>
          </cell>
          <cell r="T796">
            <v>546.10346094938359</v>
          </cell>
          <cell r="U796">
            <v>49.049157205418965</v>
          </cell>
        </row>
        <row r="797">
          <cell r="I797">
            <v>39849</v>
          </cell>
          <cell r="J797">
            <v>4100</v>
          </cell>
          <cell r="K797">
            <v>80.5</v>
          </cell>
          <cell r="L797">
            <v>1275</v>
          </cell>
          <cell r="M797">
            <v>2750</v>
          </cell>
          <cell r="N797">
            <v>6.8367000000000004</v>
          </cell>
          <cell r="O797">
            <v>599.7045358140623</v>
          </cell>
          <cell r="P797">
            <v>136.85</v>
          </cell>
          <cell r="Q797">
            <v>130.54543858879282</v>
          </cell>
          <cell r="R797">
            <v>72.403352494624585</v>
          </cell>
          <cell r="S797">
            <v>206.19408256770055</v>
          </cell>
          <cell r="T797">
            <v>545.99287365111786</v>
          </cell>
          <cell r="U797">
            <v>49.817252012613039</v>
          </cell>
        </row>
        <row r="798">
          <cell r="I798">
            <v>39850</v>
          </cell>
          <cell r="J798">
            <v>4100</v>
          </cell>
          <cell r="K798">
            <v>84.5</v>
          </cell>
          <cell r="L798">
            <v>1275</v>
          </cell>
          <cell r="M798">
            <v>2750</v>
          </cell>
          <cell r="N798">
            <v>6.8347999999999995</v>
          </cell>
          <cell r="O798">
            <v>599.87124714695392</v>
          </cell>
          <cell r="P798">
            <v>143.65</v>
          </cell>
          <cell r="Q798">
            <v>130.58172879967228</v>
          </cell>
          <cell r="R798">
            <v>72.423479838473696</v>
          </cell>
          <cell r="S798">
            <v>205.22207397136526</v>
          </cell>
          <cell r="T798">
            <v>551.87728260951121</v>
          </cell>
          <cell r="U798">
            <v>49.865249701916468</v>
          </cell>
        </row>
        <row r="799">
          <cell r="I799">
            <v>39851</v>
          </cell>
          <cell r="J799">
            <v>4100</v>
          </cell>
          <cell r="K799">
            <v>84.5</v>
          </cell>
          <cell r="L799">
            <v>1275</v>
          </cell>
          <cell r="M799">
            <v>2750</v>
          </cell>
          <cell r="N799">
            <v>6.8347999999999995</v>
          </cell>
          <cell r="O799">
            <v>599.87124714695392</v>
          </cell>
          <cell r="P799">
            <v>143.65</v>
          </cell>
          <cell r="Q799">
            <v>130.58172879967228</v>
          </cell>
          <cell r="R799">
            <v>72.423479838473696</v>
          </cell>
          <cell r="S799">
            <v>205.22207397136526</v>
          </cell>
          <cell r="T799">
            <v>551.87728260951121</v>
          </cell>
          <cell r="U799">
            <v>48.104528292406258</v>
          </cell>
        </row>
        <row r="800">
          <cell r="I800">
            <v>39852</v>
          </cell>
          <cell r="J800">
            <v>4100</v>
          </cell>
          <cell r="K800">
            <v>84.5</v>
          </cell>
          <cell r="L800">
            <v>1275</v>
          </cell>
          <cell r="M800">
            <v>2750</v>
          </cell>
          <cell r="N800">
            <v>6.8347999999999995</v>
          </cell>
          <cell r="O800">
            <v>599.87124714695392</v>
          </cell>
          <cell r="P800">
            <v>143.65</v>
          </cell>
          <cell r="Q800">
            <v>130.58172879967228</v>
          </cell>
          <cell r="R800">
            <v>72.423479838473696</v>
          </cell>
          <cell r="S800">
            <v>205.22207397136526</v>
          </cell>
          <cell r="T800">
            <v>551.87728260951121</v>
          </cell>
          <cell r="U800">
            <v>46.343806882895819</v>
          </cell>
        </row>
        <row r="801">
          <cell r="I801">
            <v>39853</v>
          </cell>
          <cell r="J801">
            <v>4150</v>
          </cell>
          <cell r="K801">
            <v>84.5</v>
          </cell>
          <cell r="L801">
            <v>1275</v>
          </cell>
          <cell r="M801">
            <v>2750</v>
          </cell>
          <cell r="N801">
            <v>6.8338999999999999</v>
          </cell>
          <cell r="O801">
            <v>607.26671446758075</v>
          </cell>
          <cell r="P801">
            <v>143.65</v>
          </cell>
          <cell r="Q801">
            <v>130.59892594272671</v>
          </cell>
          <cell r="R801">
            <v>72.433017749747577</v>
          </cell>
          <cell r="S801">
            <v>206.29274447159662</v>
          </cell>
          <cell r="T801">
            <v>552.97468816407093</v>
          </cell>
          <cell r="U801">
            <v>49.019350874864472</v>
          </cell>
        </row>
        <row r="802">
          <cell r="I802">
            <v>39854</v>
          </cell>
          <cell r="J802">
            <v>4050</v>
          </cell>
          <cell r="K802">
            <v>84.5</v>
          </cell>
          <cell r="L802">
            <v>1275</v>
          </cell>
          <cell r="M802">
            <v>2750</v>
          </cell>
          <cell r="N802">
            <v>6.8326000000000002</v>
          </cell>
          <cell r="O802">
            <v>592.74653865292862</v>
          </cell>
          <cell r="P802">
            <v>143.65</v>
          </cell>
          <cell r="Q802">
            <v>130.62377425870093</v>
          </cell>
          <cell r="R802">
            <v>72.446799168691271</v>
          </cell>
          <cell r="S802">
            <v>204.1773624686677</v>
          </cell>
          <cell r="T802">
            <v>550.89793589605983</v>
          </cell>
          <cell r="U802">
            <v>49.669964439236423</v>
          </cell>
        </row>
        <row r="803">
          <cell r="I803">
            <v>39855</v>
          </cell>
          <cell r="J803">
            <v>4000</v>
          </cell>
          <cell r="K803">
            <v>84.5</v>
          </cell>
          <cell r="L803">
            <v>1275</v>
          </cell>
          <cell r="M803">
            <v>2750</v>
          </cell>
          <cell r="N803">
            <v>6.8331999999999997</v>
          </cell>
          <cell r="O803">
            <v>585.37727565415912</v>
          </cell>
          <cell r="P803">
            <v>143.65</v>
          </cell>
          <cell r="Q803">
            <v>130.61230463033425</v>
          </cell>
          <cell r="R803">
            <v>72.440437862202188</v>
          </cell>
          <cell r="S803">
            <v>203.10920567305624</v>
          </cell>
          <cell r="T803">
            <v>549.81194816559264</v>
          </cell>
          <cell r="U803">
            <v>47.057073189174048</v>
          </cell>
        </row>
        <row r="804">
          <cell r="I804">
            <v>39856</v>
          </cell>
          <cell r="J804">
            <v>3950</v>
          </cell>
          <cell r="K804">
            <v>84.5</v>
          </cell>
          <cell r="L804">
            <v>1275</v>
          </cell>
          <cell r="M804">
            <v>2750</v>
          </cell>
          <cell r="N804">
            <v>6.8339999999999996</v>
          </cell>
          <cell r="O804">
            <v>577.99239098624525</v>
          </cell>
          <cell r="P804">
            <v>143.65</v>
          </cell>
          <cell r="Q804">
            <v>130.59701492537312</v>
          </cell>
          <cell r="R804">
            <v>72.431957857769973</v>
          </cell>
          <cell r="S804">
            <v>202.03964196113452</v>
          </cell>
          <cell r="T804">
            <v>548.7186147442776</v>
          </cell>
          <cell r="U804">
            <v>43.565946629034443</v>
          </cell>
        </row>
        <row r="805">
          <cell r="I805">
            <v>39857</v>
          </cell>
          <cell r="J805">
            <v>3930</v>
          </cell>
          <cell r="K805">
            <v>85</v>
          </cell>
          <cell r="L805">
            <v>1275</v>
          </cell>
          <cell r="M805">
            <v>2750</v>
          </cell>
          <cell r="N805">
            <v>6.8335999999999997</v>
          </cell>
          <cell r="O805">
            <v>575.09950831187075</v>
          </cell>
          <cell r="P805">
            <v>144.5</v>
          </cell>
          <cell r="Q805">
            <v>130.60465933036758</v>
          </cell>
          <cell r="R805">
            <v>72.436197611800509</v>
          </cell>
          <cell r="S805">
            <v>201.494077549444</v>
          </cell>
          <cell r="T805">
            <v>549.03493449161203</v>
          </cell>
          <cell r="U805">
            <v>40.433176526579587</v>
          </cell>
        </row>
        <row r="806">
          <cell r="I806">
            <v>39858</v>
          </cell>
          <cell r="J806">
            <v>3930</v>
          </cell>
          <cell r="K806">
            <v>85</v>
          </cell>
          <cell r="L806">
            <v>1275</v>
          </cell>
          <cell r="M806">
            <v>2750</v>
          </cell>
          <cell r="N806">
            <v>6.8335999999999997</v>
          </cell>
          <cell r="O806">
            <v>575.09950831187075</v>
          </cell>
          <cell r="P806">
            <v>144.5</v>
          </cell>
          <cell r="Q806">
            <v>130.60465933036758</v>
          </cell>
          <cell r="R806">
            <v>72.436197611800509</v>
          </cell>
          <cell r="S806">
            <v>201.494077549444</v>
          </cell>
          <cell r="T806">
            <v>549.03493449161203</v>
          </cell>
          <cell r="U806">
            <v>37.300406424124503</v>
          </cell>
        </row>
        <row r="807">
          <cell r="I807">
            <v>39859</v>
          </cell>
          <cell r="J807">
            <v>3930</v>
          </cell>
          <cell r="K807">
            <v>85</v>
          </cell>
          <cell r="L807">
            <v>1275</v>
          </cell>
          <cell r="M807">
            <v>2750</v>
          </cell>
          <cell r="N807">
            <v>6.8335999999999997</v>
          </cell>
          <cell r="O807">
            <v>575.09950831187075</v>
          </cell>
          <cell r="P807">
            <v>144.5</v>
          </cell>
          <cell r="Q807">
            <v>130.60465933036758</v>
          </cell>
          <cell r="R807">
            <v>72.436197611800509</v>
          </cell>
          <cell r="S807">
            <v>201.494077549444</v>
          </cell>
          <cell r="T807">
            <v>549.03493449161203</v>
          </cell>
          <cell r="U807">
            <v>34.167636321669761</v>
          </cell>
        </row>
        <row r="808">
          <cell r="I808">
            <v>39860</v>
          </cell>
          <cell r="J808">
            <v>3930</v>
          </cell>
          <cell r="K808">
            <v>85</v>
          </cell>
          <cell r="L808">
            <v>1275</v>
          </cell>
          <cell r="M808">
            <v>2750</v>
          </cell>
          <cell r="N808">
            <v>6.8341000000000003</v>
          </cell>
          <cell r="O808">
            <v>575.05743258073483</v>
          </cell>
          <cell r="P808">
            <v>144.5</v>
          </cell>
          <cell r="Q808">
            <v>130.59510396394549</v>
          </cell>
          <cell r="R808">
            <v>72.430897996810103</v>
          </cell>
          <cell r="S808">
            <v>201.49012239777477</v>
          </cell>
          <cell r="T808">
            <v>549.01612435853031</v>
          </cell>
          <cell r="U808">
            <v>30.131819452911827</v>
          </cell>
        </row>
        <row r="809">
          <cell r="I809">
            <v>39861</v>
          </cell>
          <cell r="J809">
            <v>3800</v>
          </cell>
          <cell r="K809">
            <v>85</v>
          </cell>
          <cell r="L809">
            <v>1275</v>
          </cell>
          <cell r="M809">
            <v>2750</v>
          </cell>
          <cell r="N809">
            <v>6.8414000000000001</v>
          </cell>
          <cell r="O809">
            <v>555.4418686233812</v>
          </cell>
          <cell r="P809">
            <v>144.5</v>
          </cell>
          <cell r="Q809">
            <v>130.45575467009675</v>
          </cell>
          <cell r="R809">
            <v>72.353611833835174</v>
          </cell>
          <cell r="S809">
            <v>198.67147466692853</v>
          </cell>
          <cell r="T809">
            <v>545.98084117086046</v>
          </cell>
          <cell r="U809">
            <v>25.505022980862122</v>
          </cell>
        </row>
        <row r="810">
          <cell r="I810">
            <v>39862</v>
          </cell>
          <cell r="J810">
            <v>3800</v>
          </cell>
          <cell r="K810">
            <v>85</v>
          </cell>
          <cell r="L810">
            <v>1275</v>
          </cell>
          <cell r="M810">
            <v>2750</v>
          </cell>
          <cell r="N810">
            <v>6.8379000000000003</v>
          </cell>
          <cell r="O810">
            <v>555.72617324032228</v>
          </cell>
          <cell r="P810">
            <v>144.5</v>
          </cell>
          <cell r="Q810">
            <v>130.52252884657568</v>
          </cell>
          <cell r="R810">
            <v>72.390646251041986</v>
          </cell>
          <cell r="S810">
            <v>198.69770058483743</v>
          </cell>
          <cell r="T810">
            <v>546.11087568245512</v>
          </cell>
          <cell r="U810">
            <v>21.797875847905061</v>
          </cell>
        </row>
        <row r="811">
          <cell r="I811">
            <v>39863</v>
          </cell>
          <cell r="J811">
            <v>3700</v>
          </cell>
          <cell r="K811">
            <v>85</v>
          </cell>
          <cell r="L811">
            <v>1275</v>
          </cell>
          <cell r="M811">
            <v>2750</v>
          </cell>
          <cell r="N811">
            <v>6.8353999999999999</v>
          </cell>
          <cell r="O811">
            <v>541.2997044796208</v>
          </cell>
          <cell r="P811">
            <v>144.5</v>
          </cell>
          <cell r="Q811">
            <v>130.57026655353016</v>
          </cell>
          <cell r="R811">
            <v>72.417122626327654</v>
          </cell>
          <cell r="S811">
            <v>196.59076376150398</v>
          </cell>
          <cell r="T811">
            <v>544.07815294136185</v>
          </cell>
          <cell r="U811">
            <v>17.218986604518136</v>
          </cell>
        </row>
        <row r="812">
          <cell r="I812">
            <v>39864</v>
          </cell>
          <cell r="J812">
            <v>3800</v>
          </cell>
          <cell r="K812">
            <v>82</v>
          </cell>
          <cell r="L812">
            <v>1275</v>
          </cell>
          <cell r="M812">
            <v>2750</v>
          </cell>
          <cell r="N812">
            <v>6.8372000000000002</v>
          </cell>
          <cell r="O812">
            <v>555.78306909261096</v>
          </cell>
          <cell r="P812">
            <v>139.4</v>
          </cell>
          <cell r="Q812">
            <v>130.53589188556717</v>
          </cell>
          <cell r="R812">
            <v>72.398057684432217</v>
          </cell>
          <cell r="S812">
            <v>199.44397463149056</v>
          </cell>
          <cell r="T812">
            <v>541.7779242014899</v>
          </cell>
          <cell r="U812">
            <v>15.496211043212838</v>
          </cell>
        </row>
        <row r="813">
          <cell r="I813">
            <v>39865</v>
          </cell>
          <cell r="J813">
            <v>3800</v>
          </cell>
          <cell r="K813">
            <v>82</v>
          </cell>
          <cell r="L813">
            <v>1275</v>
          </cell>
          <cell r="M813">
            <v>2750</v>
          </cell>
          <cell r="N813">
            <v>6.8372000000000002</v>
          </cell>
          <cell r="O813">
            <v>555.78306909261096</v>
          </cell>
          <cell r="P813">
            <v>139.4</v>
          </cell>
          <cell r="Q813">
            <v>130.53589188556717</v>
          </cell>
          <cell r="R813">
            <v>72.398057684432217</v>
          </cell>
          <cell r="S813">
            <v>199.44397463149056</v>
          </cell>
          <cell r="T813">
            <v>541.7779242014899</v>
          </cell>
          <cell r="U813">
            <v>13.773435481907541</v>
          </cell>
        </row>
        <row r="814">
          <cell r="I814">
            <v>39866</v>
          </cell>
          <cell r="J814">
            <v>3800</v>
          </cell>
          <cell r="K814">
            <v>82</v>
          </cell>
          <cell r="L814">
            <v>1275</v>
          </cell>
          <cell r="M814">
            <v>2750</v>
          </cell>
          <cell r="N814">
            <v>6.8372000000000002</v>
          </cell>
          <cell r="O814">
            <v>555.78306909261096</v>
          </cell>
          <cell r="P814">
            <v>139.4</v>
          </cell>
          <cell r="Q814">
            <v>130.53589188556717</v>
          </cell>
          <cell r="R814">
            <v>72.398057684432217</v>
          </cell>
          <cell r="S814">
            <v>199.44397463149056</v>
          </cell>
          <cell r="T814">
            <v>541.7779242014899</v>
          </cell>
          <cell r="U814">
            <v>12.050659920602016</v>
          </cell>
        </row>
        <row r="815">
          <cell r="I815">
            <v>39867</v>
          </cell>
          <cell r="J815">
            <v>3800</v>
          </cell>
          <cell r="K815">
            <v>82</v>
          </cell>
          <cell r="L815">
            <v>1275</v>
          </cell>
          <cell r="M815">
            <v>2750</v>
          </cell>
          <cell r="N815">
            <v>6.8391000000000002</v>
          </cell>
          <cell r="O815">
            <v>555.62866459037002</v>
          </cell>
          <cell r="P815">
            <v>139.4</v>
          </cell>
          <cell r="Q815">
            <v>130.49962714392245</v>
          </cell>
          <cell r="R815">
            <v>72.377944466377144</v>
          </cell>
          <cell r="S815">
            <v>199.42973145864272</v>
          </cell>
          <cell r="T815">
            <v>541.70730306894234</v>
          </cell>
          <cell r="U815">
            <v>10.319238963348198</v>
          </cell>
        </row>
        <row r="816">
          <cell r="I816">
            <v>39868</v>
          </cell>
          <cell r="J816">
            <v>3750</v>
          </cell>
          <cell r="K816">
            <v>82</v>
          </cell>
          <cell r="L816">
            <v>1275</v>
          </cell>
          <cell r="M816">
            <v>2750</v>
          </cell>
          <cell r="N816">
            <v>6.8376000000000001</v>
          </cell>
          <cell r="O816">
            <v>548.43804843804844</v>
          </cell>
          <cell r="P816">
            <v>139.4</v>
          </cell>
          <cell r="Q816">
            <v>130.52825552825553</v>
          </cell>
          <cell r="R816">
            <v>72.39382239382239</v>
          </cell>
          <cell r="S816">
            <v>198.37847434847436</v>
          </cell>
          <cell r="T816">
            <v>540.70055227055229</v>
          </cell>
          <cell r="U816">
            <v>10.073020208344929</v>
          </cell>
        </row>
        <row r="817">
          <cell r="I817">
            <v>39869</v>
          </cell>
          <cell r="J817">
            <v>3550</v>
          </cell>
          <cell r="K817">
            <v>82</v>
          </cell>
          <cell r="L817">
            <v>1275</v>
          </cell>
          <cell r="M817">
            <v>2750</v>
          </cell>
          <cell r="N817">
            <v>6.8375000000000004</v>
          </cell>
          <cell r="O817">
            <v>519.19561243144426</v>
          </cell>
          <cell r="P817">
            <v>139.4</v>
          </cell>
          <cell r="Q817">
            <v>130.53016453382082</v>
          </cell>
          <cell r="R817">
            <v>72.39488117001828</v>
          </cell>
          <cell r="S817">
            <v>194.12914217409644</v>
          </cell>
          <cell r="T817">
            <v>536.45418787793551</v>
          </cell>
          <cell r="U817">
            <v>6.233895493436421</v>
          </cell>
        </row>
        <row r="818">
          <cell r="I818">
            <v>39870</v>
          </cell>
          <cell r="J818">
            <v>3550</v>
          </cell>
          <cell r="K818">
            <v>82</v>
          </cell>
          <cell r="L818">
            <v>1275</v>
          </cell>
          <cell r="M818">
            <v>2750</v>
          </cell>
          <cell r="N818">
            <v>6.8391999999999999</v>
          </cell>
          <cell r="O818">
            <v>519.06655749210438</v>
          </cell>
          <cell r="P818">
            <v>139.4</v>
          </cell>
          <cell r="Q818">
            <v>130.49771903146566</v>
          </cell>
          <cell r="R818">
            <v>72.376886185518771</v>
          </cell>
          <cell r="S818">
            <v>194.1177195613422</v>
          </cell>
          <cell r="T818">
            <v>536.39232477832661</v>
          </cell>
          <cell r="U818">
            <v>4.155707089939142</v>
          </cell>
        </row>
        <row r="819">
          <cell r="I819">
            <v>39871</v>
          </cell>
          <cell r="J819">
            <v>3550</v>
          </cell>
          <cell r="K819">
            <v>75</v>
          </cell>
          <cell r="L819">
            <v>1275</v>
          </cell>
          <cell r="M819">
            <v>2750</v>
          </cell>
          <cell r="N819">
            <v>6.8399000000000001</v>
          </cell>
          <cell r="O819">
            <v>519.01343586894541</v>
          </cell>
          <cell r="P819">
            <v>127.5</v>
          </cell>
          <cell r="Q819">
            <v>130.48436380648837</v>
          </cell>
          <cell r="R819">
            <v>72.369479085951539</v>
          </cell>
          <cell r="S819">
            <v>195.84207761197092</v>
          </cell>
          <cell r="T819">
            <v>526.19592050441088</v>
          </cell>
          <cell r="U819">
            <v>1.1289028718553027</v>
          </cell>
        </row>
        <row r="820">
          <cell r="I820">
            <v>39872</v>
          </cell>
          <cell r="J820">
            <v>3550</v>
          </cell>
          <cell r="K820">
            <v>75</v>
          </cell>
          <cell r="L820">
            <v>1230</v>
          </cell>
          <cell r="M820">
            <v>2750</v>
          </cell>
          <cell r="N820">
            <v>6.8399000000000001</v>
          </cell>
          <cell r="O820">
            <v>519.01343586894541</v>
          </cell>
          <cell r="P820">
            <v>127.5</v>
          </cell>
          <cell r="Q820">
            <v>125.87903331920056</v>
          </cell>
          <cell r="R820">
            <v>72.369479085951539</v>
          </cell>
          <cell r="S820">
            <v>196.5112281955939</v>
          </cell>
          <cell r="T820">
            <v>522.259740600746</v>
          </cell>
          <cell r="U820">
            <v>-1.335589931419122</v>
          </cell>
        </row>
        <row r="821">
          <cell r="I821">
            <v>39873</v>
          </cell>
          <cell r="J821">
            <v>3550</v>
          </cell>
          <cell r="K821">
            <v>75</v>
          </cell>
          <cell r="L821">
            <v>1230</v>
          </cell>
          <cell r="M821">
            <v>2750</v>
          </cell>
          <cell r="N821">
            <v>6.8399000000000001</v>
          </cell>
          <cell r="O821">
            <v>519.01343586894541</v>
          </cell>
          <cell r="P821">
            <v>127.5</v>
          </cell>
          <cell r="Q821">
            <v>125.87903331920056</v>
          </cell>
          <cell r="R821">
            <v>72.369479085951539</v>
          </cell>
          <cell r="S821">
            <v>196.5112281955939</v>
          </cell>
          <cell r="T821">
            <v>522.259740600746</v>
          </cell>
          <cell r="U821">
            <v>-3.8000827346936603</v>
          </cell>
        </row>
        <row r="822">
          <cell r="I822">
            <v>39874</v>
          </cell>
          <cell r="J822">
            <v>3550</v>
          </cell>
          <cell r="K822">
            <v>75</v>
          </cell>
          <cell r="L822">
            <v>1230</v>
          </cell>
          <cell r="M822">
            <v>2750</v>
          </cell>
          <cell r="N822">
            <v>6.8451000000000004</v>
          </cell>
          <cell r="O822">
            <v>518.61915822997469</v>
          </cell>
          <cell r="P822">
            <v>127.5</v>
          </cell>
          <cell r="Q822">
            <v>125.78340710873469</v>
          </cell>
          <cell r="R822">
            <v>72.314502344742948</v>
          </cell>
          <cell r="S822">
            <v>196.47582247179872</v>
          </cell>
          <cell r="T822">
            <v>522.07373192527643</v>
          </cell>
          <cell r="U822">
            <v>-6.2823591942265011</v>
          </cell>
        </row>
        <row r="823">
          <cell r="I823">
            <v>39875</v>
          </cell>
          <cell r="J823">
            <v>3550</v>
          </cell>
          <cell r="K823">
            <v>75</v>
          </cell>
          <cell r="L823">
            <v>1230</v>
          </cell>
          <cell r="M823">
            <v>2625</v>
          </cell>
          <cell r="N823">
            <v>6.8413000000000004</v>
          </cell>
          <cell r="O823">
            <v>518.90722523496993</v>
          </cell>
          <cell r="P823">
            <v>127.5</v>
          </cell>
          <cell r="Q823">
            <v>125.85327350065045</v>
          </cell>
          <cell r="R823">
            <v>69.065820823527687</v>
          </cell>
          <cell r="S823">
            <v>196.97955748276462</v>
          </cell>
          <cell r="T823">
            <v>519.39865180694278</v>
          </cell>
          <cell r="U823">
            <v>-7.4579195855793614</v>
          </cell>
        </row>
        <row r="824">
          <cell r="I824">
            <v>39876</v>
          </cell>
          <cell r="J824">
            <v>3550</v>
          </cell>
          <cell r="K824">
            <v>75</v>
          </cell>
          <cell r="L824">
            <v>1230</v>
          </cell>
          <cell r="M824">
            <v>2625</v>
          </cell>
          <cell r="N824">
            <v>6.8433000000000002</v>
          </cell>
          <cell r="O824">
            <v>518.75557114257742</v>
          </cell>
          <cell r="P824">
            <v>127.5</v>
          </cell>
          <cell r="Q824">
            <v>125.81649204331242</v>
          </cell>
          <cell r="R824">
            <v>69.045635877427557</v>
          </cell>
          <cell r="S824">
            <v>196.96579944248919</v>
          </cell>
          <cell r="T824">
            <v>519.32792736322915</v>
          </cell>
          <cell r="U824">
            <v>-5.0741739818879523</v>
          </cell>
        </row>
        <row r="825">
          <cell r="I825">
            <v>39877</v>
          </cell>
          <cell r="J825">
            <v>3450</v>
          </cell>
          <cell r="K825">
            <v>75</v>
          </cell>
          <cell r="L825">
            <v>1230</v>
          </cell>
          <cell r="M825">
            <v>2625</v>
          </cell>
          <cell r="N825">
            <v>6.8407999999999998</v>
          </cell>
          <cell r="O825">
            <v>504.32697930066661</v>
          </cell>
          <cell r="P825">
            <v>127.5</v>
          </cell>
          <cell r="Q825">
            <v>125.86247222547071</v>
          </cell>
          <cell r="R825">
            <v>69.070868904221726</v>
          </cell>
          <cell r="S825">
            <v>194.85899016159453</v>
          </cell>
          <cell r="T825">
            <v>517.29233129128693</v>
          </cell>
          <cell r="U825">
            <v>-4.4512575110877606</v>
          </cell>
        </row>
        <row r="826">
          <cell r="I826">
            <v>39878</v>
          </cell>
          <cell r="J826">
            <v>3450</v>
          </cell>
          <cell r="K826">
            <v>67.5</v>
          </cell>
          <cell r="L826">
            <v>1230</v>
          </cell>
          <cell r="M826">
            <v>2625</v>
          </cell>
          <cell r="N826">
            <v>6.8398000000000003</v>
          </cell>
          <cell r="O826">
            <v>504.40071347115412</v>
          </cell>
          <cell r="P826">
            <v>114.75</v>
          </cell>
          <cell r="Q826">
            <v>125.88087370975757</v>
          </cell>
          <cell r="R826">
            <v>69.080967279745025</v>
          </cell>
          <cell r="S826">
            <v>196.7181267708383</v>
          </cell>
          <cell r="T826">
            <v>506.4299677603409</v>
          </cell>
          <cell r="U826">
            <v>-3.7150817473335565</v>
          </cell>
        </row>
        <row r="827">
          <cell r="I827">
            <v>39879</v>
          </cell>
          <cell r="J827">
            <v>3450</v>
          </cell>
          <cell r="K827">
            <v>67.5</v>
          </cell>
          <cell r="L827">
            <v>1230</v>
          </cell>
          <cell r="M827">
            <v>2625</v>
          </cell>
          <cell r="N827">
            <v>6.8398000000000003</v>
          </cell>
          <cell r="O827">
            <v>504.40071347115412</v>
          </cell>
          <cell r="P827">
            <v>114.75</v>
          </cell>
          <cell r="Q827">
            <v>125.88087370975757</v>
          </cell>
          <cell r="R827">
            <v>69.080967279745025</v>
          </cell>
          <cell r="S827">
            <v>196.7181267708383</v>
          </cell>
          <cell r="T827">
            <v>506.4299677603409</v>
          </cell>
          <cell r="U827">
            <v>-3.5412173983886532</v>
          </cell>
        </row>
        <row r="828">
          <cell r="I828">
            <v>39880</v>
          </cell>
          <cell r="J828">
            <v>3450</v>
          </cell>
          <cell r="K828">
            <v>67.5</v>
          </cell>
          <cell r="L828">
            <v>1230</v>
          </cell>
          <cell r="M828">
            <v>2625</v>
          </cell>
          <cell r="N828">
            <v>6.8398000000000003</v>
          </cell>
          <cell r="O828">
            <v>504.40071347115412</v>
          </cell>
          <cell r="P828">
            <v>114.75</v>
          </cell>
          <cell r="Q828">
            <v>125.88087370975757</v>
          </cell>
          <cell r="R828">
            <v>69.080967279745025</v>
          </cell>
          <cell r="S828">
            <v>196.7181267708383</v>
          </cell>
          <cell r="T828">
            <v>506.4299677603409</v>
          </cell>
          <cell r="U828">
            <v>-3.3673530494436932</v>
          </cell>
        </row>
        <row r="829">
          <cell r="I829">
            <v>39881</v>
          </cell>
          <cell r="J829">
            <v>3450</v>
          </cell>
          <cell r="K829">
            <v>67.5</v>
          </cell>
          <cell r="L829">
            <v>1230</v>
          </cell>
          <cell r="M829">
            <v>2625</v>
          </cell>
          <cell r="N829">
            <v>6.8411</v>
          </cell>
          <cell r="O829">
            <v>504.30486325298563</v>
          </cell>
          <cell r="P829">
            <v>114.75</v>
          </cell>
          <cell r="Q829">
            <v>125.85695282922337</v>
          </cell>
          <cell r="R829">
            <v>69.067839967256731</v>
          </cell>
          <cell r="S829">
            <v>196.70958288684267</v>
          </cell>
          <cell r="T829">
            <v>506.38437568332279</v>
          </cell>
          <cell r="U829">
            <v>-3.1709157258774212</v>
          </cell>
        </row>
        <row r="830">
          <cell r="I830">
            <v>39882</v>
          </cell>
          <cell r="J830">
            <v>3430</v>
          </cell>
          <cell r="K830">
            <v>67.5</v>
          </cell>
          <cell r="L830">
            <v>1230</v>
          </cell>
          <cell r="M830">
            <v>2500</v>
          </cell>
          <cell r="N830">
            <v>6.8400999999999996</v>
          </cell>
          <cell r="O830">
            <v>501.4546570956565</v>
          </cell>
          <cell r="P830">
            <v>114.75</v>
          </cell>
          <cell r="Q830">
            <v>125.87535269952194</v>
          </cell>
          <cell r="R830">
            <v>65.788511863861643</v>
          </cell>
          <cell r="S830">
            <v>196.76926045340718</v>
          </cell>
          <cell r="T830">
            <v>503.18312501679077</v>
          </cell>
          <cell r="U830">
            <v>-3.347635918614742</v>
          </cell>
        </row>
        <row r="831">
          <cell r="I831">
            <v>39883</v>
          </cell>
          <cell r="J831">
            <v>3300</v>
          </cell>
          <cell r="K831">
            <v>67.5</v>
          </cell>
          <cell r="L831">
            <v>1230</v>
          </cell>
          <cell r="M831">
            <v>2500</v>
          </cell>
          <cell r="N831">
            <v>6.8405000000000005</v>
          </cell>
          <cell r="O831">
            <v>482.42087566698336</v>
          </cell>
          <cell r="P831">
            <v>114.75</v>
          </cell>
          <cell r="Q831">
            <v>125.8679921058402</v>
          </cell>
          <cell r="R831">
            <v>65.784664863679552</v>
          </cell>
          <cell r="S831">
            <v>194.00529673381953</v>
          </cell>
          <cell r="T831">
            <v>500.40795370333927</v>
          </cell>
          <cell r="U831">
            <v>-5.8354533208582779</v>
          </cell>
        </row>
        <row r="832">
          <cell r="I832">
            <v>39884</v>
          </cell>
          <cell r="J832">
            <v>3300</v>
          </cell>
          <cell r="K832">
            <v>67.5</v>
          </cell>
          <cell r="L832">
            <v>1230</v>
          </cell>
          <cell r="M832">
            <v>2500</v>
          </cell>
          <cell r="N832">
            <v>6.8388</v>
          </cell>
          <cell r="O832">
            <v>482.54079663098787</v>
          </cell>
          <cell r="P832">
            <v>114.75</v>
          </cell>
          <cell r="Q832">
            <v>125.89928057553956</v>
          </cell>
          <cell r="R832">
            <v>65.801017722407437</v>
          </cell>
          <cell r="S832">
            <v>194.01579890309142</v>
          </cell>
          <cell r="T832">
            <v>500.46609720103845</v>
          </cell>
          <cell r="U832">
            <v>-6.5440174036340863</v>
          </cell>
        </row>
        <row r="833">
          <cell r="I833">
            <v>39885</v>
          </cell>
          <cell r="J833">
            <v>3300</v>
          </cell>
          <cell r="K833">
            <v>67.5</v>
          </cell>
          <cell r="L833">
            <v>1230</v>
          </cell>
          <cell r="M833">
            <v>2500</v>
          </cell>
          <cell r="N833">
            <v>6.8380999999999998</v>
          </cell>
          <cell r="O833">
            <v>482.59019318231674</v>
          </cell>
          <cell r="P833">
            <v>114.75</v>
          </cell>
          <cell r="Q833">
            <v>125.91216858484081</v>
          </cell>
          <cell r="R833">
            <v>65.807753615770451</v>
          </cell>
          <cell r="S833">
            <v>194.02012484349569</v>
          </cell>
          <cell r="T833">
            <v>500.49004704410692</v>
          </cell>
          <cell r="U833">
            <v>-8.8112459140059514</v>
          </cell>
        </row>
        <row r="834">
          <cell r="I834">
            <v>39886</v>
          </cell>
          <cell r="J834">
            <v>3300</v>
          </cell>
          <cell r="K834">
            <v>67.5</v>
          </cell>
          <cell r="L834">
            <v>1230</v>
          </cell>
          <cell r="M834">
            <v>2500</v>
          </cell>
          <cell r="N834">
            <v>6.8380999999999998</v>
          </cell>
          <cell r="O834">
            <v>482.59019318231674</v>
          </cell>
          <cell r="P834">
            <v>114.75</v>
          </cell>
          <cell r="Q834">
            <v>125.91216858484081</v>
          </cell>
          <cell r="R834">
            <v>65.807753615770451</v>
          </cell>
          <cell r="S834">
            <v>194.02012484349569</v>
          </cell>
          <cell r="T834">
            <v>500.49004704410692</v>
          </cell>
          <cell r="U834">
            <v>-11.078474424377873</v>
          </cell>
        </row>
        <row r="835">
          <cell r="I835">
            <v>39887</v>
          </cell>
          <cell r="J835">
            <v>3300</v>
          </cell>
          <cell r="K835">
            <v>67.5</v>
          </cell>
          <cell r="L835">
            <v>1230</v>
          </cell>
          <cell r="M835">
            <v>2500</v>
          </cell>
          <cell r="N835">
            <v>6.8380999999999998</v>
          </cell>
          <cell r="O835">
            <v>482.59019318231674</v>
          </cell>
          <cell r="P835">
            <v>114.75</v>
          </cell>
          <cell r="Q835">
            <v>125.91216858484081</v>
          </cell>
          <cell r="R835">
            <v>65.807753615770451</v>
          </cell>
          <cell r="S835">
            <v>194.02012484349569</v>
          </cell>
          <cell r="T835">
            <v>500.49004704410692</v>
          </cell>
          <cell r="U835">
            <v>-13.345702934749795</v>
          </cell>
        </row>
        <row r="836">
          <cell r="I836">
            <v>39888</v>
          </cell>
          <cell r="J836">
            <v>3330</v>
          </cell>
          <cell r="K836">
            <v>67.5</v>
          </cell>
          <cell r="L836">
            <v>1230</v>
          </cell>
          <cell r="M836">
            <v>2500</v>
          </cell>
          <cell r="N836">
            <v>6.8381999999999996</v>
          </cell>
          <cell r="O836">
            <v>486.97025533035014</v>
          </cell>
          <cell r="P836">
            <v>114.75</v>
          </cell>
          <cell r="Q836">
            <v>125.91032727910854</v>
          </cell>
          <cell r="R836">
            <v>65.80679126085812</v>
          </cell>
          <cell r="S836">
            <v>194.65695149945742</v>
          </cell>
          <cell r="T836">
            <v>501.12407003942411</v>
          </cell>
          <cell r="U836">
            <v>-15.070603260283633</v>
          </cell>
        </row>
        <row r="837">
          <cell r="I837">
            <v>39889</v>
          </cell>
          <cell r="J837">
            <v>3450</v>
          </cell>
          <cell r="K837">
            <v>67.5</v>
          </cell>
          <cell r="L837">
            <v>1230</v>
          </cell>
          <cell r="M837">
            <v>2500</v>
          </cell>
          <cell r="N837">
            <v>6.8369999999999997</v>
          </cell>
          <cell r="O837">
            <v>504.60728389644584</v>
          </cell>
          <cell r="P837">
            <v>114.75</v>
          </cell>
          <cell r="Q837">
            <v>125.93242650285212</v>
          </cell>
          <cell r="R837">
            <v>65.818341377797282</v>
          </cell>
          <cell r="S837">
            <v>197.21470745528666</v>
          </cell>
          <cell r="T837">
            <v>503.71547533593605</v>
          </cell>
          <cell r="U837">
            <v>-14.696278048620115</v>
          </cell>
        </row>
        <row r="838">
          <cell r="I838">
            <v>39890</v>
          </cell>
          <cell r="J838">
            <v>3130</v>
          </cell>
          <cell r="K838">
            <v>67.5</v>
          </cell>
          <cell r="L838">
            <v>1230</v>
          </cell>
          <cell r="M838">
            <v>2500</v>
          </cell>
          <cell r="N838">
            <v>6.8347999999999995</v>
          </cell>
          <cell r="O838">
            <v>457.95048867560138</v>
          </cell>
          <cell r="P838">
            <v>114.75</v>
          </cell>
          <cell r="Q838">
            <v>125.97296190086031</v>
          </cell>
          <cell r="R838">
            <v>65.839527125885169</v>
          </cell>
          <cell r="S838">
            <v>190.42654695752606</v>
          </cell>
          <cell r="T838">
            <v>496.98903598427154</v>
          </cell>
          <cell r="U838">
            <v>-17.703630801807947</v>
          </cell>
        </row>
        <row r="839">
          <cell r="I839">
            <v>39891</v>
          </cell>
          <cell r="J839">
            <v>3130</v>
          </cell>
          <cell r="K839">
            <v>67.5</v>
          </cell>
          <cell r="L839">
            <v>1230</v>
          </cell>
          <cell r="M839">
            <v>2500</v>
          </cell>
          <cell r="N839">
            <v>6.8284000000000002</v>
          </cell>
          <cell r="O839">
            <v>458.37970827719522</v>
          </cell>
          <cell r="P839">
            <v>114.75</v>
          </cell>
          <cell r="Q839">
            <v>126.09103157401439</v>
          </cell>
          <cell r="R839">
            <v>65.901236014293247</v>
          </cell>
          <cell r="S839">
            <v>190.46279052744518</v>
          </cell>
          <cell r="T839">
            <v>497.20505811575282</v>
          </cell>
          <cell r="U839">
            <v>-20.689352125880418</v>
          </cell>
        </row>
        <row r="840">
          <cell r="I840">
            <v>39892</v>
          </cell>
          <cell r="J840">
            <v>3130</v>
          </cell>
          <cell r="K840">
            <v>66</v>
          </cell>
          <cell r="L840">
            <v>1230</v>
          </cell>
          <cell r="M840">
            <v>2500</v>
          </cell>
          <cell r="N840">
            <v>6.8277999999999999</v>
          </cell>
          <cell r="O840">
            <v>458.41998886903542</v>
          </cell>
          <cell r="P840">
            <v>112.2</v>
          </cell>
          <cell r="Q840">
            <v>126.10211195407012</v>
          </cell>
          <cell r="R840">
            <v>65.907027153695182</v>
          </cell>
          <cell r="S840">
            <v>190.83670466616741</v>
          </cell>
          <cell r="T840">
            <v>495.04584377393275</v>
          </cell>
          <cell r="U840">
            <v>-23.364495132038428</v>
          </cell>
        </row>
        <row r="841">
          <cell r="I841">
            <v>39893</v>
          </cell>
          <cell r="J841">
            <v>3130</v>
          </cell>
          <cell r="K841">
            <v>66</v>
          </cell>
          <cell r="L841">
            <v>1230</v>
          </cell>
          <cell r="M841">
            <v>2500</v>
          </cell>
          <cell r="N841">
            <v>6.8277999999999999</v>
          </cell>
          <cell r="O841">
            <v>458.41998886903542</v>
          </cell>
          <cell r="P841">
            <v>112.2</v>
          </cell>
          <cell r="Q841">
            <v>126.10211195407012</v>
          </cell>
          <cell r="R841">
            <v>65.907027153695182</v>
          </cell>
          <cell r="S841">
            <v>190.83670466616741</v>
          </cell>
          <cell r="T841">
            <v>495.04584377393275</v>
          </cell>
          <cell r="U841">
            <v>-26.039638138196608</v>
          </cell>
        </row>
        <row r="842">
          <cell r="I842">
            <v>39894</v>
          </cell>
          <cell r="J842">
            <v>3130</v>
          </cell>
          <cell r="K842">
            <v>66</v>
          </cell>
          <cell r="L842">
            <v>1230</v>
          </cell>
          <cell r="M842">
            <v>2500</v>
          </cell>
          <cell r="N842">
            <v>6.8277999999999999</v>
          </cell>
          <cell r="O842">
            <v>458.41998886903542</v>
          </cell>
          <cell r="P842">
            <v>112.2</v>
          </cell>
          <cell r="Q842">
            <v>126.10211195407012</v>
          </cell>
          <cell r="R842">
            <v>65.907027153695182</v>
          </cell>
          <cell r="S842">
            <v>190.83670466616741</v>
          </cell>
          <cell r="T842">
            <v>495.04584377393275</v>
          </cell>
          <cell r="U842">
            <v>-28.714781144354731</v>
          </cell>
        </row>
        <row r="843">
          <cell r="I843">
            <v>39895</v>
          </cell>
          <cell r="J843">
            <v>3330</v>
          </cell>
          <cell r="K843">
            <v>66</v>
          </cell>
          <cell r="L843">
            <v>1230</v>
          </cell>
          <cell r="M843">
            <v>2500</v>
          </cell>
          <cell r="N843">
            <v>6.8331999999999997</v>
          </cell>
          <cell r="O843">
            <v>487.32658198208748</v>
          </cell>
          <cell r="P843">
            <v>112.2</v>
          </cell>
          <cell r="Q843">
            <v>126.00245858455774</v>
          </cell>
          <cell r="R843">
            <v>65.854943511092898</v>
          </cell>
          <cell r="S843">
            <v>195.05885519717458</v>
          </cell>
          <cell r="T843">
            <v>499.11625729282525</v>
          </cell>
          <cell r="U843">
            <v>-28.37704694459245</v>
          </cell>
        </row>
        <row r="844">
          <cell r="I844">
            <v>39896</v>
          </cell>
          <cell r="J844">
            <v>3330</v>
          </cell>
          <cell r="K844">
            <v>66</v>
          </cell>
          <cell r="L844">
            <v>1230</v>
          </cell>
          <cell r="M844">
            <v>2350</v>
          </cell>
          <cell r="N844">
            <v>6.8295000000000003</v>
          </cell>
          <cell r="O844">
            <v>487.59059960465623</v>
          </cell>
          <cell r="P844">
            <v>112.2</v>
          </cell>
          <cell r="Q844">
            <v>126.07072260048318</v>
          </cell>
          <cell r="R844">
            <v>61.937184274104979</v>
          </cell>
          <cell r="S844">
            <v>195.65654509753125</v>
          </cell>
          <cell r="T844">
            <v>495.86445197211941</v>
          </cell>
          <cell r="U844">
            <v>-29.686427077159976</v>
          </cell>
        </row>
        <row r="845">
          <cell r="I845">
            <v>39897</v>
          </cell>
          <cell r="J845">
            <v>3450</v>
          </cell>
          <cell r="K845">
            <v>66</v>
          </cell>
          <cell r="L845">
            <v>1230</v>
          </cell>
          <cell r="M845">
            <v>2350</v>
          </cell>
          <cell r="N845">
            <v>6.8309999999999995</v>
          </cell>
          <cell r="O845">
            <v>505.05050505050508</v>
          </cell>
          <cell r="P845">
            <v>112.2</v>
          </cell>
          <cell r="Q845">
            <v>126.04303908651735</v>
          </cell>
          <cell r="R845">
            <v>61.923583662714101</v>
          </cell>
          <cell r="S845">
            <v>198.19945298394572</v>
          </cell>
          <cell r="T845">
            <v>498.36607573317718</v>
          </cell>
          <cell r="U845">
            <v>-23.154573273446147</v>
          </cell>
        </row>
        <row r="846">
          <cell r="I846">
            <v>39898</v>
          </cell>
          <cell r="J846">
            <v>3450</v>
          </cell>
          <cell r="K846">
            <v>66</v>
          </cell>
          <cell r="L846">
            <v>1230</v>
          </cell>
          <cell r="M846">
            <v>2350</v>
          </cell>
          <cell r="N846">
            <v>6.8319000000000001</v>
          </cell>
          <cell r="O846">
            <v>504.98397224783736</v>
          </cell>
          <cell r="P846">
            <v>112.2</v>
          </cell>
          <cell r="Q846">
            <v>126.02643481315592</v>
          </cell>
          <cell r="R846">
            <v>61.915426162560919</v>
          </cell>
          <cell r="S846">
            <v>198.1933836891115</v>
          </cell>
          <cell r="T846">
            <v>498.33524466482834</v>
          </cell>
          <cell r="U846">
            <v>-16.658276498936573</v>
          </cell>
        </row>
        <row r="847">
          <cell r="I847">
            <v>39899</v>
          </cell>
          <cell r="J847">
            <v>3450</v>
          </cell>
          <cell r="K847">
            <v>63.75</v>
          </cell>
          <cell r="L847">
            <v>1230</v>
          </cell>
          <cell r="M847">
            <v>2350</v>
          </cell>
          <cell r="N847">
            <v>6.8323999999999998</v>
          </cell>
          <cell r="O847">
            <v>504.94701715356246</v>
          </cell>
          <cell r="P847">
            <v>108.375</v>
          </cell>
          <cell r="Q847">
            <v>126.01721210701949</v>
          </cell>
          <cell r="R847">
            <v>61.910895146654184</v>
          </cell>
          <cell r="S847">
            <v>198.74578178032573</v>
          </cell>
          <cell r="T847">
            <v>495.04888903399939</v>
          </cell>
          <cell r="U847">
            <v>-10.011993209727848</v>
          </cell>
        </row>
        <row r="848">
          <cell r="I848">
            <v>39900</v>
          </cell>
          <cell r="J848">
            <v>3450</v>
          </cell>
          <cell r="K848">
            <v>63.75</v>
          </cell>
          <cell r="L848">
            <v>1230</v>
          </cell>
          <cell r="M848">
            <v>2350</v>
          </cell>
          <cell r="N848">
            <v>6.8323999999999998</v>
          </cell>
          <cell r="O848">
            <v>504.94701715356246</v>
          </cell>
          <cell r="P848">
            <v>108.375</v>
          </cell>
          <cell r="Q848">
            <v>126.01721210701949</v>
          </cell>
          <cell r="R848">
            <v>61.910895146654184</v>
          </cell>
          <cell r="S848">
            <v>198.74578178032573</v>
          </cell>
          <cell r="T848">
            <v>495.04888903399939</v>
          </cell>
          <cell r="U848">
            <v>-3.3657099205192935</v>
          </cell>
        </row>
        <row r="849">
          <cell r="I849">
            <v>39901</v>
          </cell>
          <cell r="J849">
            <v>3450</v>
          </cell>
          <cell r="K849">
            <v>63.75</v>
          </cell>
          <cell r="L849">
            <v>1230</v>
          </cell>
          <cell r="M849">
            <v>2350</v>
          </cell>
          <cell r="N849">
            <v>6.8323999999999998</v>
          </cell>
          <cell r="O849">
            <v>504.94701715356246</v>
          </cell>
          <cell r="P849">
            <v>108.375</v>
          </cell>
          <cell r="Q849">
            <v>126.01721210701949</v>
          </cell>
          <cell r="R849">
            <v>61.910895146654184</v>
          </cell>
          <cell r="S849">
            <v>198.74578178032573</v>
          </cell>
          <cell r="T849">
            <v>495.04888903399939</v>
          </cell>
          <cell r="U849">
            <v>3.2805733686892609</v>
          </cell>
        </row>
        <row r="850">
          <cell r="I850">
            <v>39902</v>
          </cell>
          <cell r="J850">
            <v>3450</v>
          </cell>
          <cell r="K850">
            <v>63.75</v>
          </cell>
          <cell r="L850">
            <v>1230</v>
          </cell>
          <cell r="M850">
            <v>2350</v>
          </cell>
          <cell r="N850">
            <v>6.8364000000000003</v>
          </cell>
          <cell r="O850">
            <v>504.65157100228191</v>
          </cell>
          <cell r="P850">
            <v>108.375</v>
          </cell>
          <cell r="Q850">
            <v>125.94347902404772</v>
          </cell>
          <cell r="R850">
            <v>61.87467087941021</v>
          </cell>
          <cell r="S850">
            <v>198.71883041606841</v>
          </cell>
          <cell r="T850">
            <v>494.91198031952638</v>
          </cell>
          <cell r="U850">
            <v>6.3561827963312112</v>
          </cell>
        </row>
        <row r="851">
          <cell r="I851">
            <v>39903</v>
          </cell>
          <cell r="J851">
            <v>3450</v>
          </cell>
          <cell r="K851">
            <v>63.75</v>
          </cell>
          <cell r="L851">
            <v>1075</v>
          </cell>
          <cell r="M851">
            <v>2350</v>
          </cell>
          <cell r="N851">
            <v>6.8338999999999999</v>
          </cell>
          <cell r="O851">
            <v>504.83618431642253</v>
          </cell>
          <cell r="P851">
            <v>108.375</v>
          </cell>
          <cell r="Q851">
            <v>110.11281991249506</v>
          </cell>
          <cell r="R851">
            <v>61.897306077057017</v>
          </cell>
          <cell r="S851">
            <v>201.04254693638288</v>
          </cell>
          <cell r="T851">
            <v>481.42767292593498</v>
          </cell>
          <cell r="U851">
            <v>10.882234761752784</v>
          </cell>
        </row>
        <row r="852">
          <cell r="I852">
            <v>39904</v>
          </cell>
          <cell r="J852">
            <v>3260</v>
          </cell>
          <cell r="K852">
            <v>63.75</v>
          </cell>
          <cell r="L852">
            <v>1075</v>
          </cell>
          <cell r="M852">
            <v>2350</v>
          </cell>
          <cell r="N852">
            <v>6.8342999999999998</v>
          </cell>
          <cell r="O852">
            <v>477.00569187773436</v>
          </cell>
          <cell r="P852">
            <v>108.375</v>
          </cell>
          <cell r="Q852">
            <v>110.10637519570403</v>
          </cell>
          <cell r="R852">
            <v>61.893683332601725</v>
          </cell>
          <cell r="S852">
            <v>197.00026296530157</v>
          </cell>
          <cell r="T852">
            <v>477.37532149360732</v>
          </cell>
          <cell r="U852">
            <v>9.8745120570098379</v>
          </cell>
        </row>
        <row r="853">
          <cell r="I853">
            <v>39905</v>
          </cell>
          <cell r="J853">
            <v>3450</v>
          </cell>
          <cell r="K853">
            <v>63.75</v>
          </cell>
          <cell r="L853">
            <v>1075</v>
          </cell>
          <cell r="M853">
            <v>2350</v>
          </cell>
          <cell r="N853">
            <v>6.8345000000000002</v>
          </cell>
          <cell r="O853">
            <v>504.79186480357009</v>
          </cell>
          <cell r="P853">
            <v>108.375</v>
          </cell>
          <cell r="Q853">
            <v>110.103153120199</v>
          </cell>
          <cell r="R853">
            <v>61.891872119394243</v>
          </cell>
          <cell r="S853">
            <v>201.03830147510774</v>
          </cell>
          <cell r="T853">
            <v>481.40832671470099</v>
          </cell>
          <cell r="U853">
            <v>12.265199272132691</v>
          </cell>
        </row>
        <row r="854">
          <cell r="I854">
            <v>39906</v>
          </cell>
          <cell r="J854">
            <v>3350</v>
          </cell>
          <cell r="K854">
            <v>63.5</v>
          </cell>
          <cell r="L854">
            <v>1075</v>
          </cell>
          <cell r="M854">
            <v>2350</v>
          </cell>
          <cell r="N854">
            <v>6.8350999999999997</v>
          </cell>
          <cell r="O854">
            <v>490.1171892144958</v>
          </cell>
          <cell r="P854">
            <v>107.95</v>
          </cell>
          <cell r="Q854">
            <v>110.09348802504718</v>
          </cell>
          <cell r="R854">
            <v>61.886439115740814</v>
          </cell>
          <cell r="S854">
            <v>198.97002953207721</v>
          </cell>
          <cell r="T854">
            <v>478.89995667286519</v>
          </cell>
          <cell r="U854">
            <v>12.453642760999458</v>
          </cell>
        </row>
        <row r="855">
          <cell r="I855">
            <v>39907</v>
          </cell>
          <cell r="J855">
            <v>3350</v>
          </cell>
          <cell r="K855">
            <v>63.5</v>
          </cell>
          <cell r="L855">
            <v>1075</v>
          </cell>
          <cell r="M855">
            <v>2350</v>
          </cell>
          <cell r="N855">
            <v>6.8350999999999997</v>
          </cell>
          <cell r="O855">
            <v>490.1171892144958</v>
          </cell>
          <cell r="P855">
            <v>107.95</v>
          </cell>
          <cell r="Q855">
            <v>110.09348802504718</v>
          </cell>
          <cell r="R855">
            <v>61.886439115740814</v>
          </cell>
          <cell r="S855">
            <v>198.97002953207721</v>
          </cell>
          <cell r="T855">
            <v>478.89995667286519</v>
          </cell>
          <cell r="U855">
            <v>12.642086249866168</v>
          </cell>
        </row>
        <row r="856">
          <cell r="I856">
            <v>39908</v>
          </cell>
          <cell r="J856">
            <v>3350</v>
          </cell>
          <cell r="K856">
            <v>63.5</v>
          </cell>
          <cell r="L856">
            <v>1075</v>
          </cell>
          <cell r="M856">
            <v>2350</v>
          </cell>
          <cell r="N856">
            <v>6.8350999999999997</v>
          </cell>
          <cell r="O856">
            <v>490.1171892144958</v>
          </cell>
          <cell r="P856">
            <v>107.95</v>
          </cell>
          <cell r="Q856">
            <v>110.09348802504718</v>
          </cell>
          <cell r="R856">
            <v>61.886439115740814</v>
          </cell>
          <cell r="S856">
            <v>198.97002953207721</v>
          </cell>
          <cell r="T856">
            <v>478.89995667286519</v>
          </cell>
          <cell r="U856">
            <v>12.830529738732992</v>
          </cell>
        </row>
        <row r="857">
          <cell r="I857">
            <v>39909</v>
          </cell>
          <cell r="J857">
            <v>3350</v>
          </cell>
          <cell r="K857">
            <v>63.5</v>
          </cell>
          <cell r="L857">
            <v>1075</v>
          </cell>
          <cell r="M857">
            <v>2350</v>
          </cell>
          <cell r="N857">
            <v>6.8347999999999995</v>
          </cell>
          <cell r="O857">
            <v>490.13870193714524</v>
          </cell>
          <cell r="P857">
            <v>107.95</v>
          </cell>
          <cell r="Q857">
            <v>110.098320360508</v>
          </cell>
          <cell r="R857">
            <v>61.889155498332066</v>
          </cell>
          <cell r="S857">
            <v>198.97205849001017</v>
          </cell>
          <cell r="T857">
            <v>478.90953434885023</v>
          </cell>
          <cell r="U857">
            <v>13.043326439524265</v>
          </cell>
        </row>
        <row r="858">
          <cell r="I858">
            <v>39910</v>
          </cell>
          <cell r="J858">
            <v>3260</v>
          </cell>
          <cell r="K858">
            <v>63.5</v>
          </cell>
          <cell r="L858">
            <v>1075</v>
          </cell>
          <cell r="M858">
            <v>2300</v>
          </cell>
          <cell r="N858">
            <v>6.8365</v>
          </cell>
          <cell r="O858">
            <v>476.85219044832883</v>
          </cell>
          <cell r="P858">
            <v>107.95</v>
          </cell>
          <cell r="Q858">
            <v>110.07094273385503</v>
          </cell>
          <cell r="R858">
            <v>60.557302713376721</v>
          </cell>
          <cell r="S858">
            <v>197.23903474374913</v>
          </cell>
          <cell r="T858">
            <v>475.81728019098091</v>
          </cell>
          <cell r="U858">
            <v>9.8470977062186762</v>
          </cell>
        </row>
        <row r="859">
          <cell r="I859">
            <v>39911</v>
          </cell>
          <cell r="J859">
            <v>3260</v>
          </cell>
          <cell r="K859">
            <v>63.5</v>
          </cell>
          <cell r="L859">
            <v>1075</v>
          </cell>
          <cell r="M859">
            <v>2300</v>
          </cell>
          <cell r="N859">
            <v>6.8358999999999996</v>
          </cell>
          <cell r="O859">
            <v>476.89404467590225</v>
          </cell>
          <cell r="P859">
            <v>107.95</v>
          </cell>
          <cell r="Q859">
            <v>110.08060387074123</v>
          </cell>
          <cell r="R859">
            <v>60.562617943504151</v>
          </cell>
          <cell r="S859">
            <v>197.24294007391592</v>
          </cell>
          <cell r="T859">
            <v>475.83616188816131</v>
          </cell>
          <cell r="U859">
            <v>10.051028049592105</v>
          </cell>
        </row>
        <row r="860">
          <cell r="I860">
            <v>39912</v>
          </cell>
          <cell r="J860">
            <v>3250</v>
          </cell>
          <cell r="K860">
            <v>63.5</v>
          </cell>
          <cell r="L860">
            <v>1075</v>
          </cell>
          <cell r="M860">
            <v>2300</v>
          </cell>
          <cell r="N860">
            <v>6.8346999999999998</v>
          </cell>
          <cell r="O860">
            <v>475.51465316692759</v>
          </cell>
          <cell r="P860">
            <v>107.95</v>
          </cell>
          <cell r="Q860">
            <v>110.09993123326554</v>
          </cell>
          <cell r="R860">
            <v>60.573251203417854</v>
          </cell>
          <cell r="S860">
            <v>197.03816241379616</v>
          </cell>
          <cell r="T860">
            <v>475.66134485047957</v>
          </cell>
          <cell r="U860">
            <v>6.6895666535319265</v>
          </cell>
        </row>
        <row r="861">
          <cell r="I861">
            <v>39913</v>
          </cell>
          <cell r="J861">
            <v>3250</v>
          </cell>
          <cell r="K861">
            <v>63.5</v>
          </cell>
          <cell r="L861">
            <v>1075</v>
          </cell>
          <cell r="M861">
            <v>2300</v>
          </cell>
          <cell r="N861">
            <v>6.8335999999999997</v>
          </cell>
          <cell r="O861">
            <v>475.5911964411145</v>
          </cell>
          <cell r="P861">
            <v>107.95</v>
          </cell>
          <cell r="Q861">
            <v>110.1176539452119</v>
          </cell>
          <cell r="R861">
            <v>60.583001638960432</v>
          </cell>
          <cell r="S861">
            <v>197.04529226126508</v>
          </cell>
          <cell r="T861">
            <v>475.69594784543744</v>
          </cell>
          <cell r="U861">
            <v>5.072140375538595</v>
          </cell>
        </row>
        <row r="862">
          <cell r="I862">
            <v>39914</v>
          </cell>
          <cell r="J862">
            <v>3250</v>
          </cell>
          <cell r="K862">
            <v>63.5</v>
          </cell>
          <cell r="L862">
            <v>1075</v>
          </cell>
          <cell r="M862">
            <v>2300</v>
          </cell>
          <cell r="N862">
            <v>6.8335999999999997</v>
          </cell>
          <cell r="O862">
            <v>475.5911964411145</v>
          </cell>
          <cell r="P862">
            <v>107.95</v>
          </cell>
          <cell r="Q862">
            <v>110.1176539452119</v>
          </cell>
          <cell r="R862">
            <v>60.583001638960432</v>
          </cell>
          <cell r="S862">
            <v>197.04529226126508</v>
          </cell>
          <cell r="T862">
            <v>475.69594784543744</v>
          </cell>
          <cell r="U862">
            <v>3.4547140975452066</v>
          </cell>
        </row>
        <row r="863">
          <cell r="I863">
            <v>39915</v>
          </cell>
          <cell r="J863">
            <v>3250</v>
          </cell>
          <cell r="K863">
            <v>63.5</v>
          </cell>
          <cell r="L863">
            <v>1075</v>
          </cell>
          <cell r="M863">
            <v>2300</v>
          </cell>
          <cell r="N863">
            <v>6.8335999999999997</v>
          </cell>
          <cell r="O863">
            <v>475.5911964411145</v>
          </cell>
          <cell r="P863">
            <v>107.95</v>
          </cell>
          <cell r="Q863">
            <v>110.1176539452119</v>
          </cell>
          <cell r="R863">
            <v>60.583001638960432</v>
          </cell>
          <cell r="S863">
            <v>197.04529226126508</v>
          </cell>
          <cell r="T863">
            <v>475.69594784543744</v>
          </cell>
          <cell r="U863">
            <v>1.8372878195518751</v>
          </cell>
        </row>
        <row r="864">
          <cell r="I864">
            <v>39916</v>
          </cell>
          <cell r="J864">
            <v>3220</v>
          </cell>
          <cell r="K864">
            <v>63.5</v>
          </cell>
          <cell r="L864">
            <v>1075</v>
          </cell>
          <cell r="M864">
            <v>2300</v>
          </cell>
          <cell r="N864">
            <v>6.8352000000000004</v>
          </cell>
          <cell r="O864">
            <v>471.09082397003743</v>
          </cell>
          <cell r="P864">
            <v>107.95</v>
          </cell>
          <cell r="Q864">
            <v>110.09187734082396</v>
          </cell>
          <cell r="R864">
            <v>60.568820224719097</v>
          </cell>
          <cell r="S864">
            <v>196.39719785364449</v>
          </cell>
          <cell r="T864">
            <v>475.00789541918755</v>
          </cell>
          <cell r="U864">
            <v>-0.32646061436878426</v>
          </cell>
        </row>
        <row r="865">
          <cell r="I865">
            <v>39917</v>
          </cell>
          <cell r="J865">
            <v>3220</v>
          </cell>
          <cell r="K865">
            <v>63.5</v>
          </cell>
          <cell r="L865">
            <v>1075</v>
          </cell>
          <cell r="M865">
            <v>2250</v>
          </cell>
          <cell r="N865">
            <v>6.8323</v>
          </cell>
          <cell r="O865">
            <v>471.29078055705986</v>
          </cell>
          <cell r="P865">
            <v>107.95</v>
          </cell>
          <cell r="Q865">
            <v>110.13860632583463</v>
          </cell>
          <cell r="R865">
            <v>59.277256560748206</v>
          </cell>
          <cell r="S865">
            <v>196.60712478972746</v>
          </cell>
          <cell r="T865">
            <v>473.97298767631025</v>
          </cell>
          <cell r="U865">
            <v>-0.85747738245430583</v>
          </cell>
        </row>
        <row r="866">
          <cell r="I866">
            <v>39918</v>
          </cell>
          <cell r="J866">
            <v>3220</v>
          </cell>
          <cell r="K866">
            <v>63.5</v>
          </cell>
          <cell r="L866">
            <v>1075</v>
          </cell>
          <cell r="M866">
            <v>2250</v>
          </cell>
          <cell r="N866">
            <v>6.8324999999999996</v>
          </cell>
          <cell r="O866">
            <v>471.27698499817052</v>
          </cell>
          <cell r="P866">
            <v>107.95</v>
          </cell>
          <cell r="Q866">
            <v>110.1353823637029</v>
          </cell>
          <cell r="R866">
            <v>59.275521405049403</v>
          </cell>
          <cell r="S866">
            <v>196.60584086239407</v>
          </cell>
          <cell r="T866">
            <v>473.96674463114641</v>
          </cell>
          <cell r="U866">
            <v>-1.392854871128236</v>
          </cell>
        </row>
        <row r="867">
          <cell r="I867">
            <v>39919</v>
          </cell>
          <cell r="J867">
            <v>3220</v>
          </cell>
          <cell r="K867">
            <v>63.5</v>
          </cell>
          <cell r="L867">
            <v>1075</v>
          </cell>
          <cell r="M867">
            <v>2250</v>
          </cell>
          <cell r="N867">
            <v>6.8324999999999996</v>
          </cell>
          <cell r="O867">
            <v>471.27698499817052</v>
          </cell>
          <cell r="P867">
            <v>107.95</v>
          </cell>
          <cell r="Q867">
            <v>110.1353823637029</v>
          </cell>
          <cell r="R867">
            <v>59.275521405049403</v>
          </cell>
          <cell r="S867">
            <v>196.60584086239407</v>
          </cell>
          <cell r="T867">
            <v>473.96674463114641</v>
          </cell>
          <cell r="U867">
            <v>-1.7561502924745014</v>
          </cell>
        </row>
        <row r="868">
          <cell r="I868">
            <v>39920</v>
          </cell>
          <cell r="J868">
            <v>3270</v>
          </cell>
          <cell r="K868">
            <v>62.5</v>
          </cell>
          <cell r="L868">
            <v>1075</v>
          </cell>
          <cell r="M868">
            <v>2250</v>
          </cell>
          <cell r="N868">
            <v>6.8324999999999996</v>
          </cell>
          <cell r="O868">
            <v>478.59495060373217</v>
          </cell>
          <cell r="P868">
            <v>106.25</v>
          </cell>
          <cell r="Q868">
            <v>110.1353823637029</v>
          </cell>
          <cell r="R868">
            <v>59.275521405049403</v>
          </cell>
          <cell r="S868">
            <v>197.9161435572193</v>
          </cell>
          <cell r="T868">
            <v>473.57704732597159</v>
          </cell>
          <cell r="U868">
            <v>-1.0243424807482029</v>
          </cell>
        </row>
        <row r="869">
          <cell r="I869">
            <v>39921</v>
          </cell>
          <cell r="J869">
            <v>3270</v>
          </cell>
          <cell r="K869">
            <v>62.5</v>
          </cell>
          <cell r="L869">
            <v>1075</v>
          </cell>
          <cell r="M869">
            <v>2250</v>
          </cell>
          <cell r="N869">
            <v>6.8324999999999996</v>
          </cell>
          <cell r="O869">
            <v>478.59495060373217</v>
          </cell>
          <cell r="P869">
            <v>106.25</v>
          </cell>
          <cell r="Q869">
            <v>110.1353823637029</v>
          </cell>
          <cell r="R869">
            <v>59.275521405049403</v>
          </cell>
          <cell r="S869">
            <v>197.9161435572193</v>
          </cell>
          <cell r="T869">
            <v>473.57704732597159</v>
          </cell>
          <cell r="U869">
            <v>-0.29253466902201808</v>
          </cell>
        </row>
        <row r="870">
          <cell r="I870">
            <v>39922</v>
          </cell>
          <cell r="J870">
            <v>3270</v>
          </cell>
          <cell r="K870">
            <v>62.5</v>
          </cell>
          <cell r="L870">
            <v>1075</v>
          </cell>
          <cell r="M870">
            <v>2250</v>
          </cell>
          <cell r="N870">
            <v>6.8324999999999996</v>
          </cell>
          <cell r="O870">
            <v>478.59495060373217</v>
          </cell>
          <cell r="P870">
            <v>106.25</v>
          </cell>
          <cell r="Q870">
            <v>110.1353823637029</v>
          </cell>
          <cell r="R870">
            <v>59.275521405049403</v>
          </cell>
          <cell r="S870">
            <v>197.9161435572193</v>
          </cell>
          <cell r="T870">
            <v>473.57704732597159</v>
          </cell>
          <cell r="U870">
            <v>0.43927314270422357</v>
          </cell>
        </row>
        <row r="871">
          <cell r="I871">
            <v>39923</v>
          </cell>
          <cell r="J871">
            <v>3380</v>
          </cell>
          <cell r="K871">
            <v>62.5</v>
          </cell>
          <cell r="L871">
            <v>1075</v>
          </cell>
          <cell r="M871">
            <v>2250</v>
          </cell>
          <cell r="N871">
            <v>6.8333000000000004</v>
          </cell>
          <cell r="O871">
            <v>494.63655920272777</v>
          </cell>
          <cell r="P871">
            <v>106.25</v>
          </cell>
          <cell r="Q871">
            <v>110.12248840238244</v>
          </cell>
          <cell r="R871">
            <v>59.268581797959982</v>
          </cell>
          <cell r="S871">
            <v>200.24985737641498</v>
          </cell>
          <cell r="T871">
            <v>475.89092757675741</v>
          </cell>
          <cell r="U871">
            <v>3.6768021534357445</v>
          </cell>
        </row>
        <row r="872">
          <cell r="I872">
            <v>39924</v>
          </cell>
          <cell r="J872">
            <v>3250</v>
          </cell>
          <cell r="K872">
            <v>62.5</v>
          </cell>
          <cell r="L872">
            <v>1075</v>
          </cell>
          <cell r="M872">
            <v>2250</v>
          </cell>
          <cell r="N872">
            <v>6.8316999999999997</v>
          </cell>
          <cell r="O872">
            <v>475.72346560885285</v>
          </cell>
          <cell r="P872">
            <v>106.25</v>
          </cell>
          <cell r="Q872">
            <v>110.148279344819</v>
          </cell>
          <cell r="R872">
            <v>59.282462637410902</v>
          </cell>
          <cell r="S872">
            <v>197.49603676626148</v>
          </cell>
          <cell r="T872">
            <v>473.17677874849142</v>
          </cell>
          <cell r="U872">
            <v>4.4237870076660215</v>
          </cell>
        </row>
        <row r="873">
          <cell r="I873">
            <v>39925</v>
          </cell>
          <cell r="J873">
            <v>3250</v>
          </cell>
          <cell r="K873">
            <v>62.5</v>
          </cell>
          <cell r="L873">
            <v>1075</v>
          </cell>
          <cell r="M873">
            <v>2250</v>
          </cell>
          <cell r="N873">
            <v>6.8297999999999996</v>
          </cell>
          <cell r="O873">
            <v>475.85580836920559</v>
          </cell>
          <cell r="P873">
            <v>106.25</v>
          </cell>
          <cell r="Q873">
            <v>110.17892178394682</v>
          </cell>
          <cell r="R873">
            <v>59.298954581393303</v>
          </cell>
          <cell r="S873">
            <v>197.50841747064715</v>
          </cell>
          <cell r="T873">
            <v>473.23629383598723</v>
          </cell>
          <cell r="U873">
            <v>5.1822547456936263</v>
          </cell>
        </row>
        <row r="874">
          <cell r="I874">
            <v>39926</v>
          </cell>
          <cell r="J874">
            <v>3400</v>
          </cell>
          <cell r="K874">
            <v>62.5</v>
          </cell>
          <cell r="L874">
            <v>1075</v>
          </cell>
          <cell r="M874">
            <v>2250</v>
          </cell>
          <cell r="N874">
            <v>6.8299000000000003</v>
          </cell>
          <cell r="O874">
            <v>497.81109533082474</v>
          </cell>
          <cell r="P874">
            <v>106.25</v>
          </cell>
          <cell r="Q874">
            <v>110.17730859895458</v>
          </cell>
          <cell r="R874">
            <v>59.298086355583528</v>
          </cell>
          <cell r="S874">
            <v>200.69886244783652</v>
          </cell>
          <cell r="T874">
            <v>476.42425740237462</v>
          </cell>
          <cell r="U874">
            <v>8.6217686830402158</v>
          </cell>
        </row>
        <row r="875">
          <cell r="I875">
            <v>39927</v>
          </cell>
          <cell r="J875">
            <v>3290</v>
          </cell>
          <cell r="K875">
            <v>63</v>
          </cell>
          <cell r="L875">
            <v>1075</v>
          </cell>
          <cell r="M875">
            <v>2250</v>
          </cell>
          <cell r="N875">
            <v>6.8272000000000004</v>
          </cell>
          <cell r="O875">
            <v>481.89594562924771</v>
          </cell>
          <cell r="P875">
            <v>107.1</v>
          </cell>
          <cell r="Q875">
            <v>110.22088118115771</v>
          </cell>
          <cell r="R875">
            <v>59.321537379892192</v>
          </cell>
          <cell r="S875">
            <v>198.25316205264414</v>
          </cell>
          <cell r="T875">
            <v>474.89558061369405</v>
          </cell>
          <cell r="U875">
            <v>8.9049775027249325</v>
          </cell>
        </row>
        <row r="876">
          <cell r="I876">
            <v>39928</v>
          </cell>
          <cell r="J876">
            <v>3290</v>
          </cell>
          <cell r="K876">
            <v>63</v>
          </cell>
          <cell r="L876">
            <v>1075</v>
          </cell>
          <cell r="M876">
            <v>2250</v>
          </cell>
          <cell r="N876">
            <v>6.8272000000000004</v>
          </cell>
          <cell r="O876">
            <v>481.89594562924771</v>
          </cell>
          <cell r="P876">
            <v>107.1</v>
          </cell>
          <cell r="Q876">
            <v>110.22088118115771</v>
          </cell>
          <cell r="R876">
            <v>59.321537379892192</v>
          </cell>
          <cell r="S876">
            <v>198.25316205264414</v>
          </cell>
          <cell r="T876">
            <v>474.89558061369405</v>
          </cell>
          <cell r="U876">
            <v>9.1881863224096492</v>
          </cell>
        </row>
        <row r="877">
          <cell r="I877">
            <v>39929</v>
          </cell>
          <cell r="J877">
            <v>3290</v>
          </cell>
          <cell r="K877">
            <v>63</v>
          </cell>
          <cell r="L877">
            <v>1075</v>
          </cell>
          <cell r="M877">
            <v>2250</v>
          </cell>
          <cell r="N877">
            <v>6.8272000000000004</v>
          </cell>
          <cell r="O877">
            <v>481.89594562924771</v>
          </cell>
          <cell r="P877">
            <v>107.1</v>
          </cell>
          <cell r="Q877">
            <v>110.22088118115771</v>
          </cell>
          <cell r="R877">
            <v>59.321537379892192</v>
          </cell>
          <cell r="S877">
            <v>198.25316205264414</v>
          </cell>
          <cell r="T877">
            <v>474.89558061369405</v>
          </cell>
          <cell r="U877">
            <v>9.4713951420944795</v>
          </cell>
        </row>
        <row r="878">
          <cell r="I878">
            <v>39930</v>
          </cell>
          <cell r="J878">
            <v>3310</v>
          </cell>
          <cell r="K878">
            <v>63</v>
          </cell>
          <cell r="L878">
            <v>1075</v>
          </cell>
          <cell r="M878">
            <v>2250</v>
          </cell>
          <cell r="N878">
            <v>6.8272000000000004</v>
          </cell>
          <cell r="O878">
            <v>484.82540426529175</v>
          </cell>
          <cell r="P878">
            <v>107.1</v>
          </cell>
          <cell r="Q878">
            <v>110.22088118115771</v>
          </cell>
          <cell r="R878">
            <v>59.321537379892192</v>
          </cell>
          <cell r="S878">
            <v>198.67880988865051</v>
          </cell>
          <cell r="T878">
            <v>475.32122844970041</v>
          </cell>
          <cell r="U878">
            <v>8.1511871691831743</v>
          </cell>
        </row>
        <row r="879">
          <cell r="I879">
            <v>39931</v>
          </cell>
          <cell r="J879">
            <v>3340</v>
          </cell>
          <cell r="K879">
            <v>63</v>
          </cell>
          <cell r="L879">
            <v>1075</v>
          </cell>
          <cell r="M879">
            <v>2315</v>
          </cell>
          <cell r="N879">
            <v>6.8268000000000004</v>
          </cell>
          <cell r="O879">
            <v>489.24825686998298</v>
          </cell>
          <cell r="P879">
            <v>107.1</v>
          </cell>
          <cell r="Q879">
            <v>110.22733930977908</v>
          </cell>
          <cell r="R879">
            <v>61.03884689752153</v>
          </cell>
          <cell r="S879">
            <v>199.07098462620169</v>
          </cell>
          <cell r="T879">
            <v>477.43717083350225</v>
          </cell>
          <cell r="U879">
            <v>9.4746727657716292</v>
          </cell>
        </row>
        <row r="880">
          <cell r="I880">
            <v>39932</v>
          </cell>
          <cell r="J880">
            <v>3410</v>
          </cell>
          <cell r="K880">
            <v>63</v>
          </cell>
          <cell r="L880">
            <v>1075</v>
          </cell>
          <cell r="M880">
            <v>2315</v>
          </cell>
          <cell r="N880">
            <v>6.8245000000000005</v>
          </cell>
          <cell r="O880">
            <v>499.67030551688765</v>
          </cell>
          <cell r="P880">
            <v>107.1</v>
          </cell>
          <cell r="Q880">
            <v>110.26448824089675</v>
          </cell>
          <cell r="R880">
            <v>61.059418272400897</v>
          </cell>
          <cell r="S880">
            <v>200.57691267573526</v>
          </cell>
          <cell r="T880">
            <v>479.00081918903288</v>
          </cell>
          <cell r="U880">
            <v>12.053240165005434</v>
          </cell>
        </row>
        <row r="881">
          <cell r="I881">
            <v>39933</v>
          </cell>
          <cell r="J881">
            <v>3380</v>
          </cell>
          <cell r="K881">
            <v>63</v>
          </cell>
          <cell r="L881">
            <v>1075</v>
          </cell>
          <cell r="M881">
            <v>2315</v>
          </cell>
          <cell r="N881">
            <v>6.8209999999999997</v>
          </cell>
          <cell r="O881">
            <v>495.52851488051607</v>
          </cell>
          <cell r="P881">
            <v>107.1</v>
          </cell>
          <cell r="Q881">
            <v>110.3210672921859</v>
          </cell>
          <cell r="R881">
            <v>61.090749157015097</v>
          </cell>
          <cell r="S881">
            <v>199.96234079771247</v>
          </cell>
          <cell r="T881">
            <v>478.47415724691348</v>
          </cell>
          <cell r="U881">
            <v>11.434314408598709</v>
          </cell>
        </row>
        <row r="882">
          <cell r="I882">
            <v>39934</v>
          </cell>
          <cell r="J882">
            <v>3380</v>
          </cell>
          <cell r="K882">
            <v>64.5</v>
          </cell>
          <cell r="L882">
            <v>1075</v>
          </cell>
          <cell r="M882">
            <v>2315</v>
          </cell>
          <cell r="N882">
            <v>6.8209999999999997</v>
          </cell>
          <cell r="O882">
            <v>495.52851488051607</v>
          </cell>
          <cell r="P882">
            <v>109.64999999999999</v>
          </cell>
          <cell r="Q882">
            <v>110.3210672921859</v>
          </cell>
          <cell r="R882">
            <v>61.090749157015097</v>
          </cell>
          <cell r="S882">
            <v>199.59182797719964</v>
          </cell>
          <cell r="T882">
            <v>480.65364442640066</v>
          </cell>
          <cell r="U882">
            <v>12.559243756964634</v>
          </cell>
        </row>
        <row r="883">
          <cell r="I883">
            <v>39935</v>
          </cell>
          <cell r="J883">
            <v>3380</v>
          </cell>
          <cell r="K883">
            <v>64.5</v>
          </cell>
          <cell r="L883">
            <v>1075</v>
          </cell>
          <cell r="M883">
            <v>2315</v>
          </cell>
          <cell r="N883">
            <v>6.8209999999999997</v>
          </cell>
          <cell r="O883">
            <v>495.52851488051607</v>
          </cell>
          <cell r="P883">
            <v>109.64999999999999</v>
          </cell>
          <cell r="Q883">
            <v>110.3210672921859</v>
          </cell>
          <cell r="R883">
            <v>61.090749157015097</v>
          </cell>
          <cell r="S883">
            <v>199.59182797719964</v>
          </cell>
          <cell r="T883">
            <v>480.65364442640066</v>
          </cell>
          <cell r="U883">
            <v>13.684173105330501</v>
          </cell>
        </row>
        <row r="884">
          <cell r="I884">
            <v>39936</v>
          </cell>
          <cell r="J884">
            <v>3380</v>
          </cell>
          <cell r="K884">
            <v>64.5</v>
          </cell>
          <cell r="L884">
            <v>1075</v>
          </cell>
          <cell r="M884">
            <v>2315</v>
          </cell>
          <cell r="N884">
            <v>6.8209999999999997</v>
          </cell>
          <cell r="O884">
            <v>495.52851488051607</v>
          </cell>
          <cell r="P884">
            <v>109.64999999999999</v>
          </cell>
          <cell r="Q884">
            <v>110.3210672921859</v>
          </cell>
          <cell r="R884">
            <v>61.090749157015097</v>
          </cell>
          <cell r="S884">
            <v>199.59182797719964</v>
          </cell>
          <cell r="T884">
            <v>480.65364442640066</v>
          </cell>
          <cell r="U884">
            <v>14.809102453696426</v>
          </cell>
        </row>
        <row r="885">
          <cell r="I885">
            <v>39937</v>
          </cell>
          <cell r="J885">
            <v>3380</v>
          </cell>
          <cell r="K885">
            <v>64.5</v>
          </cell>
          <cell r="L885">
            <v>1075</v>
          </cell>
          <cell r="M885">
            <v>2315</v>
          </cell>
          <cell r="N885">
            <v>6.8222000000000005</v>
          </cell>
          <cell r="O885">
            <v>495.44135322916355</v>
          </cell>
          <cell r="P885">
            <v>109.64999999999999</v>
          </cell>
          <cell r="Q885">
            <v>110.3016622203981</v>
          </cell>
          <cell r="R885">
            <v>61.080003517926755</v>
          </cell>
          <cell r="S885">
            <v>199.58354433627571</v>
          </cell>
          <cell r="T885">
            <v>480.61521007460055</v>
          </cell>
          <cell r="U885">
            <v>15.569383502121013</v>
          </cell>
        </row>
        <row r="886">
          <cell r="I886">
            <v>39938</v>
          </cell>
          <cell r="J886">
            <v>3380</v>
          </cell>
          <cell r="K886">
            <v>64.5</v>
          </cell>
          <cell r="L886">
            <v>1075</v>
          </cell>
          <cell r="M886">
            <v>2295</v>
          </cell>
          <cell r="N886">
            <v>6.8192000000000004</v>
          </cell>
          <cell r="O886">
            <v>495.65931487564524</v>
          </cell>
          <cell r="P886">
            <v>109.64999999999999</v>
          </cell>
          <cell r="Q886">
            <v>110.35018770530266</v>
          </cell>
          <cell r="R886">
            <v>60.578953542937583</v>
          </cell>
          <cell r="S886">
            <v>199.68096539885371</v>
          </cell>
          <cell r="T886">
            <v>480.26010664709395</v>
          </cell>
          <cell r="U886">
            <v>16.081972386702603</v>
          </cell>
        </row>
        <row r="887">
          <cell r="I887">
            <v>39939</v>
          </cell>
          <cell r="J887">
            <v>3380</v>
          </cell>
          <cell r="K887">
            <v>64.5</v>
          </cell>
          <cell r="L887">
            <v>1075</v>
          </cell>
          <cell r="M887">
            <v>2295</v>
          </cell>
          <cell r="N887">
            <v>6.8216999999999999</v>
          </cell>
          <cell r="O887">
            <v>495.47766685723502</v>
          </cell>
          <cell r="P887">
            <v>109.64999999999999</v>
          </cell>
          <cell r="Q887">
            <v>110.30974683729862</v>
          </cell>
          <cell r="R887">
            <v>60.556752715598748</v>
          </cell>
          <cell r="S887">
            <v>199.66367388182684</v>
          </cell>
          <cell r="T887">
            <v>480.18017343472422</v>
          </cell>
          <cell r="U887">
            <v>15.314544828796272</v>
          </cell>
        </row>
        <row r="888">
          <cell r="I888">
            <v>39940</v>
          </cell>
          <cell r="J888">
            <v>3380</v>
          </cell>
          <cell r="K888">
            <v>64.5</v>
          </cell>
          <cell r="L888">
            <v>1075</v>
          </cell>
          <cell r="M888">
            <v>2295</v>
          </cell>
          <cell r="N888">
            <v>6.8216999999999999</v>
          </cell>
          <cell r="O888">
            <v>495.47766685723502</v>
          </cell>
          <cell r="P888">
            <v>109.64999999999999</v>
          </cell>
          <cell r="Q888">
            <v>110.30974683729862</v>
          </cell>
          <cell r="R888">
            <v>60.556752715598748</v>
          </cell>
          <cell r="S888">
            <v>199.66367388182684</v>
          </cell>
          <cell r="T888">
            <v>480.18017343472422</v>
          </cell>
          <cell r="U888">
            <v>15.063564227211657</v>
          </cell>
        </row>
        <row r="889">
          <cell r="I889">
            <v>39941</v>
          </cell>
          <cell r="J889">
            <v>3420</v>
          </cell>
          <cell r="K889">
            <v>65.5</v>
          </cell>
          <cell r="L889">
            <v>1075</v>
          </cell>
          <cell r="M889">
            <v>2295</v>
          </cell>
          <cell r="N889">
            <v>6.8216999999999999</v>
          </cell>
          <cell r="O889">
            <v>501.3413078851313</v>
          </cell>
          <cell r="P889">
            <v>111.35</v>
          </cell>
          <cell r="Q889">
            <v>110.30974683729862</v>
          </cell>
          <cell r="R889">
            <v>60.556752715598748</v>
          </cell>
          <cell r="S889">
            <v>200.26864736451265</v>
          </cell>
          <cell r="T889">
            <v>482.48514691741002</v>
          </cell>
          <cell r="U889">
            <v>15.632320014869663</v>
          </cell>
        </row>
        <row r="890">
          <cell r="I890">
            <v>39942</v>
          </cell>
          <cell r="J890">
            <v>3420</v>
          </cell>
          <cell r="K890">
            <v>65.5</v>
          </cell>
          <cell r="L890">
            <v>1075</v>
          </cell>
          <cell r="M890">
            <v>2295</v>
          </cell>
          <cell r="N890">
            <v>6.8216999999999999</v>
          </cell>
          <cell r="O890">
            <v>501.3413078851313</v>
          </cell>
          <cell r="P890">
            <v>111.35</v>
          </cell>
          <cell r="Q890">
            <v>110.30974683729862</v>
          </cell>
          <cell r="R890">
            <v>60.556752715598748</v>
          </cell>
          <cell r="S890">
            <v>200.26864736451265</v>
          </cell>
          <cell r="T890">
            <v>482.48514691741002</v>
          </cell>
          <cell r="U890">
            <v>16.201075802527669</v>
          </cell>
        </row>
        <row r="891">
          <cell r="I891">
            <v>39943</v>
          </cell>
          <cell r="J891">
            <v>3420</v>
          </cell>
          <cell r="K891">
            <v>65.5</v>
          </cell>
          <cell r="L891">
            <v>1075</v>
          </cell>
          <cell r="M891">
            <v>2295</v>
          </cell>
          <cell r="N891">
            <v>6.8216999999999999</v>
          </cell>
          <cell r="O891">
            <v>501.3413078851313</v>
          </cell>
          <cell r="P891">
            <v>111.35</v>
          </cell>
          <cell r="Q891">
            <v>110.30974683729862</v>
          </cell>
          <cell r="R891">
            <v>60.556752715598748</v>
          </cell>
          <cell r="S891">
            <v>200.26864736451265</v>
          </cell>
          <cell r="T891">
            <v>482.48514691741002</v>
          </cell>
          <cell r="U891">
            <v>16.769831590185674</v>
          </cell>
        </row>
        <row r="892">
          <cell r="I892">
            <v>39944</v>
          </cell>
          <cell r="J892">
            <v>3440</v>
          </cell>
          <cell r="K892">
            <v>65.5</v>
          </cell>
          <cell r="L892">
            <v>1075</v>
          </cell>
          <cell r="M892">
            <v>2295</v>
          </cell>
          <cell r="N892">
            <v>6.8239000000000001</v>
          </cell>
          <cell r="O892">
            <v>504.11055261653894</v>
          </cell>
          <cell r="P892">
            <v>111.35</v>
          </cell>
          <cell r="Q892">
            <v>110.27418338486788</v>
          </cell>
          <cell r="R892">
            <v>60.537229443573317</v>
          </cell>
          <cell r="S892">
            <v>200.67902031109114</v>
          </cell>
          <cell r="T892">
            <v>482.84043313953237</v>
          </cell>
          <cell r="U892">
            <v>17.690399636249026</v>
          </cell>
        </row>
        <row r="893">
          <cell r="I893">
            <v>39945</v>
          </cell>
          <cell r="J893">
            <v>3480</v>
          </cell>
          <cell r="K893">
            <v>65.5</v>
          </cell>
          <cell r="L893">
            <v>1075</v>
          </cell>
          <cell r="M893">
            <v>2275</v>
          </cell>
          <cell r="N893">
            <v>6.8217999999999996</v>
          </cell>
          <cell r="O893">
            <v>510.12929138936943</v>
          </cell>
          <cell r="P893">
            <v>111.35</v>
          </cell>
          <cell r="Q893">
            <v>110.30812981910933</v>
          </cell>
          <cell r="R893">
            <v>60.028145064352515</v>
          </cell>
          <cell r="S893">
            <v>201.62257504786689</v>
          </cell>
          <cell r="T893">
            <v>483.30884993132872</v>
          </cell>
          <cell r="U893">
            <v>19.32200438331904</v>
          </cell>
        </row>
        <row r="894">
          <cell r="I894">
            <v>39946</v>
          </cell>
          <cell r="J894">
            <v>3480</v>
          </cell>
          <cell r="K894">
            <v>65.5</v>
          </cell>
          <cell r="L894">
            <v>1075</v>
          </cell>
          <cell r="M894">
            <v>2275</v>
          </cell>
          <cell r="N894">
            <v>6.8222000000000005</v>
          </cell>
          <cell r="O894">
            <v>510.09938143120985</v>
          </cell>
          <cell r="P894">
            <v>111.35</v>
          </cell>
          <cell r="Q894">
            <v>110.3016622203981</v>
          </cell>
          <cell r="R894">
            <v>60.024625487379431</v>
          </cell>
          <cell r="S894">
            <v>201.61968028460129</v>
          </cell>
          <cell r="T894">
            <v>483.29596799237879</v>
          </cell>
          <cell r="U894">
            <v>20.965707242793314</v>
          </cell>
        </row>
        <row r="895">
          <cell r="I895">
            <v>39947</v>
          </cell>
          <cell r="J895">
            <v>3540</v>
          </cell>
          <cell r="K895">
            <v>65.5</v>
          </cell>
          <cell r="L895">
            <v>1075</v>
          </cell>
          <cell r="M895">
            <v>2275</v>
          </cell>
          <cell r="N895">
            <v>6.8248999999999995</v>
          </cell>
          <cell r="O895">
            <v>518.68891851895273</v>
          </cell>
          <cell r="P895">
            <v>111.35</v>
          </cell>
          <cell r="Q895">
            <v>110.25802575861918</v>
          </cell>
          <cell r="R895">
            <v>60.000879133760201</v>
          </cell>
          <cell r="S895">
            <v>202.87752334745085</v>
          </cell>
          <cell r="T895">
            <v>484.48642823983022</v>
          </cell>
          <cell r="U895">
            <v>23.66642107945205</v>
          </cell>
        </row>
        <row r="896">
          <cell r="I896">
            <v>39948</v>
          </cell>
          <cell r="J896">
            <v>3540</v>
          </cell>
          <cell r="K896">
            <v>67</v>
          </cell>
          <cell r="L896">
            <v>1075</v>
          </cell>
          <cell r="M896">
            <v>2275</v>
          </cell>
          <cell r="N896">
            <v>6.8259999999999996</v>
          </cell>
          <cell r="O896">
            <v>518.6053325520071</v>
          </cell>
          <cell r="P896">
            <v>113.89999999999999</v>
          </cell>
          <cell r="Q896">
            <v>110.24025783767947</v>
          </cell>
          <cell r="R896">
            <v>59.991210079109294</v>
          </cell>
          <cell r="S896">
            <v>202.49885212648468</v>
          </cell>
          <cell r="T896">
            <v>486.63032004327346</v>
          </cell>
          <cell r="U896">
            <v>25.540542728168134</v>
          </cell>
        </row>
        <row r="897">
          <cell r="I897">
            <v>39949</v>
          </cell>
          <cell r="J897">
            <v>3540</v>
          </cell>
          <cell r="K897">
            <v>67</v>
          </cell>
          <cell r="L897">
            <v>1075</v>
          </cell>
          <cell r="M897">
            <v>2275</v>
          </cell>
          <cell r="N897">
            <v>6.8259999999999996</v>
          </cell>
          <cell r="O897">
            <v>518.6053325520071</v>
          </cell>
          <cell r="P897">
            <v>113.89999999999999</v>
          </cell>
          <cell r="Q897">
            <v>110.24025783767947</v>
          </cell>
          <cell r="R897">
            <v>59.991210079109294</v>
          </cell>
          <cell r="S897">
            <v>202.49885212648468</v>
          </cell>
          <cell r="T897">
            <v>486.63032004327346</v>
          </cell>
          <cell r="U897">
            <v>27.414664376884161</v>
          </cell>
        </row>
        <row r="898">
          <cell r="I898">
            <v>39950</v>
          </cell>
          <cell r="J898">
            <v>3540</v>
          </cell>
          <cell r="K898">
            <v>67</v>
          </cell>
          <cell r="L898">
            <v>1075</v>
          </cell>
          <cell r="M898">
            <v>2275</v>
          </cell>
          <cell r="N898">
            <v>6.8259999999999996</v>
          </cell>
          <cell r="O898">
            <v>518.6053325520071</v>
          </cell>
          <cell r="P898">
            <v>113.89999999999999</v>
          </cell>
          <cell r="Q898">
            <v>110.24025783767947</v>
          </cell>
          <cell r="R898">
            <v>59.991210079109294</v>
          </cell>
          <cell r="S898">
            <v>202.49885212648468</v>
          </cell>
          <cell r="T898">
            <v>486.63032004327346</v>
          </cell>
          <cell r="U898">
            <v>29.288786025600245</v>
          </cell>
        </row>
        <row r="899">
          <cell r="I899">
            <v>39951</v>
          </cell>
          <cell r="J899">
            <v>3540</v>
          </cell>
          <cell r="K899">
            <v>67</v>
          </cell>
          <cell r="L899">
            <v>1075</v>
          </cell>
          <cell r="M899">
            <v>2275</v>
          </cell>
          <cell r="N899">
            <v>6.8269000000000002</v>
          </cell>
          <cell r="O899">
            <v>518.53696406861093</v>
          </cell>
          <cell r="P899">
            <v>113.89999999999999</v>
          </cell>
          <cell r="Q899">
            <v>110.22572470667507</v>
          </cell>
          <cell r="R899">
            <v>59.983301352004567</v>
          </cell>
          <cell r="S899">
            <v>202.49217902708403</v>
          </cell>
          <cell r="T899">
            <v>486.60120508576364</v>
          </cell>
          <cell r="U899">
            <v>30.812448812148887</v>
          </cell>
        </row>
        <row r="900">
          <cell r="I900">
            <v>39952</v>
          </cell>
          <cell r="J900">
            <v>3540</v>
          </cell>
          <cell r="K900">
            <v>67</v>
          </cell>
          <cell r="L900">
            <v>1075</v>
          </cell>
          <cell r="M900">
            <v>2275</v>
          </cell>
          <cell r="N900">
            <v>6.8246000000000002</v>
          </cell>
          <cell r="O900">
            <v>518.71171936816813</v>
          </cell>
          <cell r="P900">
            <v>113.89999999999999</v>
          </cell>
          <cell r="Q900">
            <v>110.26287254930691</v>
          </cell>
          <cell r="R900">
            <v>60.003516689622835</v>
          </cell>
          <cell r="S900">
            <v>202.50923600168423</v>
          </cell>
          <cell r="T900">
            <v>486.67562524061395</v>
          </cell>
          <cell r="U900">
            <v>31.557542050650795</v>
          </cell>
        </row>
        <row r="901">
          <cell r="I901">
            <v>39953</v>
          </cell>
          <cell r="J901">
            <v>3540</v>
          </cell>
          <cell r="K901">
            <v>67</v>
          </cell>
          <cell r="L901">
            <v>1075</v>
          </cell>
          <cell r="M901">
            <v>2275</v>
          </cell>
          <cell r="N901">
            <v>6.8250000000000002</v>
          </cell>
          <cell r="O901">
            <v>518.68131868131866</v>
          </cell>
          <cell r="P901">
            <v>113.89999999999999</v>
          </cell>
          <cell r="Q901">
            <v>110.25641025641026</v>
          </cell>
          <cell r="R901">
            <v>59.999999999999993</v>
          </cell>
          <cell r="S901">
            <v>202.50626874549951</v>
          </cell>
          <cell r="T901">
            <v>486.66267900190974</v>
          </cell>
          <cell r="U901">
            <v>32.302574370733396</v>
          </cell>
        </row>
        <row r="902">
          <cell r="I902">
            <v>39954</v>
          </cell>
          <cell r="J902">
            <v>3540</v>
          </cell>
          <cell r="K902">
            <v>67</v>
          </cell>
          <cell r="L902">
            <v>1075</v>
          </cell>
          <cell r="M902">
            <v>2275</v>
          </cell>
          <cell r="N902">
            <v>6.8247</v>
          </cell>
          <cell r="O902">
            <v>518.70411886236752</v>
          </cell>
          <cell r="P902">
            <v>113.89999999999999</v>
          </cell>
          <cell r="Q902">
            <v>110.26125690506542</v>
          </cell>
          <cell r="R902">
            <v>60.002637478570492</v>
          </cell>
          <cell r="S902">
            <v>202.50849415502938</v>
          </cell>
          <cell r="T902">
            <v>486.6723885386653</v>
          </cell>
          <cell r="U902">
            <v>31.992465805673362</v>
          </cell>
        </row>
        <row r="903">
          <cell r="I903">
            <v>39955</v>
          </cell>
          <cell r="J903">
            <v>3500</v>
          </cell>
          <cell r="K903">
            <v>67.5</v>
          </cell>
          <cell r="L903">
            <v>1075</v>
          </cell>
          <cell r="M903">
            <v>2275</v>
          </cell>
          <cell r="N903">
            <v>6.8231999999999999</v>
          </cell>
          <cell r="O903">
            <v>512.95579786610392</v>
          </cell>
          <cell r="P903">
            <v>114.75</v>
          </cell>
          <cell r="Q903">
            <v>110.28549654121232</v>
          </cell>
          <cell r="R903">
            <v>60.015828350334154</v>
          </cell>
          <cell r="S903">
            <v>201.54432513305537</v>
          </cell>
          <cell r="T903">
            <v>486.59565002460181</v>
          </cell>
          <cell r="U903">
            <v>31.190342281783103</v>
          </cell>
        </row>
        <row r="904">
          <cell r="I904">
            <v>39956</v>
          </cell>
          <cell r="J904">
            <v>3500</v>
          </cell>
          <cell r="K904">
            <v>67.5</v>
          </cell>
          <cell r="L904">
            <v>1075</v>
          </cell>
          <cell r="M904">
            <v>2275</v>
          </cell>
          <cell r="N904">
            <v>6.8231999999999999</v>
          </cell>
          <cell r="O904">
            <v>512.95579786610392</v>
          </cell>
          <cell r="P904">
            <v>114.75</v>
          </cell>
          <cell r="Q904">
            <v>110.28549654121232</v>
          </cell>
          <cell r="R904">
            <v>60.015828350334154</v>
          </cell>
          <cell r="S904">
            <v>201.54432513305537</v>
          </cell>
          <cell r="T904">
            <v>486.59565002460181</v>
          </cell>
          <cell r="U904">
            <v>30.388218757892957</v>
          </cell>
        </row>
        <row r="905">
          <cell r="I905">
            <v>39957</v>
          </cell>
          <cell r="J905">
            <v>3500</v>
          </cell>
          <cell r="K905">
            <v>67.5</v>
          </cell>
          <cell r="L905">
            <v>1075</v>
          </cell>
          <cell r="M905">
            <v>2275</v>
          </cell>
          <cell r="N905">
            <v>6.8231999999999999</v>
          </cell>
          <cell r="O905">
            <v>512.95579786610392</v>
          </cell>
          <cell r="P905">
            <v>114.75</v>
          </cell>
          <cell r="Q905">
            <v>110.28549654121232</v>
          </cell>
          <cell r="R905">
            <v>60.015828350334154</v>
          </cell>
          <cell r="S905">
            <v>201.54432513305537</v>
          </cell>
          <cell r="T905">
            <v>486.59565002460181</v>
          </cell>
          <cell r="U905">
            <v>29.586095234002812</v>
          </cell>
        </row>
        <row r="906">
          <cell r="I906">
            <v>39958</v>
          </cell>
          <cell r="J906">
            <v>3500</v>
          </cell>
          <cell r="K906">
            <v>67.5</v>
          </cell>
          <cell r="L906">
            <v>1075</v>
          </cell>
          <cell r="M906">
            <v>2275</v>
          </cell>
          <cell r="N906">
            <v>6.8239000000000001</v>
          </cell>
          <cell r="O906">
            <v>512.90317853426927</v>
          </cell>
          <cell r="P906">
            <v>114.75</v>
          </cell>
          <cell r="Q906">
            <v>110.27418338486788</v>
          </cell>
          <cell r="R906">
            <v>60.009671888509502</v>
          </cell>
          <cell r="S906">
            <v>201.53921790970224</v>
          </cell>
          <cell r="T906">
            <v>486.57307318307966</v>
          </cell>
          <cell r="U906">
            <v>28.785287572337381</v>
          </cell>
        </row>
        <row r="907">
          <cell r="I907">
            <v>39959</v>
          </cell>
          <cell r="J907">
            <v>3500</v>
          </cell>
          <cell r="K907">
            <v>67.5</v>
          </cell>
          <cell r="L907">
            <v>1075</v>
          </cell>
          <cell r="M907">
            <v>2415</v>
          </cell>
          <cell r="N907">
            <v>6.8331</v>
          </cell>
          <cell r="O907">
            <v>512.2126121379755</v>
          </cell>
          <cell r="P907">
            <v>114.75</v>
          </cell>
          <cell r="Q907">
            <v>110.12571160966472</v>
          </cell>
          <cell r="R907">
            <v>63.616806427536545</v>
          </cell>
          <cell r="S907">
            <v>200.93633845908684</v>
          </cell>
          <cell r="T907">
            <v>489.42885649628818</v>
          </cell>
          <cell r="U907">
            <v>27.463524931499308</v>
          </cell>
        </row>
        <row r="908">
          <cell r="I908">
            <v>39960</v>
          </cell>
          <cell r="J908">
            <v>3540</v>
          </cell>
          <cell r="K908">
            <v>67.5</v>
          </cell>
          <cell r="L908">
            <v>1075</v>
          </cell>
          <cell r="M908">
            <v>2415</v>
          </cell>
          <cell r="N908">
            <v>6.8284000000000002</v>
          </cell>
          <cell r="O908">
            <v>518.4230566457735</v>
          </cell>
          <cell r="P908">
            <v>114.75</v>
          </cell>
          <cell r="Q908">
            <v>110.2015113350126</v>
          </cell>
          <cell r="R908">
            <v>63.660593989807275</v>
          </cell>
          <cell r="S908">
            <v>201.82133480731804</v>
          </cell>
          <cell r="T908">
            <v>490.43344013213789</v>
          </cell>
          <cell r="U908">
            <v>26.887950193531708</v>
          </cell>
        </row>
        <row r="909">
          <cell r="I909">
            <v>39961</v>
          </cell>
          <cell r="J909">
            <v>3540</v>
          </cell>
          <cell r="K909">
            <v>67.5</v>
          </cell>
          <cell r="L909">
            <v>1075</v>
          </cell>
          <cell r="M909">
            <v>2415</v>
          </cell>
          <cell r="N909">
            <v>6.8289</v>
          </cell>
          <cell r="O909">
            <v>518.38509862496153</v>
          </cell>
          <cell r="P909">
            <v>114.75</v>
          </cell>
          <cell r="Q909">
            <v>110.19344257493886</v>
          </cell>
          <cell r="R909">
            <v>63.655932873522822</v>
          </cell>
          <cell r="S909">
            <v>201.81766917949142</v>
          </cell>
          <cell r="T909">
            <v>490.41704462795309</v>
          </cell>
          <cell r="U909">
            <v>26.307425004003903</v>
          </cell>
        </row>
        <row r="910">
          <cell r="I910">
            <v>39962</v>
          </cell>
          <cell r="J910">
            <v>3540</v>
          </cell>
          <cell r="K910">
            <v>69</v>
          </cell>
          <cell r="L910">
            <v>1075</v>
          </cell>
          <cell r="M910">
            <v>2415</v>
          </cell>
          <cell r="N910">
            <v>6.8291000000000004</v>
          </cell>
          <cell r="O910">
            <v>518.369916972954</v>
          </cell>
          <cell r="P910">
            <v>117.3</v>
          </cell>
          <cell r="Q910">
            <v>110.19021540173667</v>
          </cell>
          <cell r="R910">
            <v>63.654068618119517</v>
          </cell>
          <cell r="S910">
            <v>201.44569025814243</v>
          </cell>
          <cell r="T910">
            <v>492.58997427799864</v>
          </cell>
          <cell r="U910">
            <v>26.224538554497144</v>
          </cell>
        </row>
        <row r="911">
          <cell r="I911">
            <v>39963</v>
          </cell>
          <cell r="J911">
            <v>3540</v>
          </cell>
          <cell r="K911">
            <v>69</v>
          </cell>
          <cell r="L911">
            <v>1075</v>
          </cell>
          <cell r="M911">
            <v>2415</v>
          </cell>
          <cell r="N911">
            <v>6.8291000000000004</v>
          </cell>
          <cell r="O911">
            <v>518.369916972954</v>
          </cell>
          <cell r="P911">
            <v>117.3</v>
          </cell>
          <cell r="Q911">
            <v>110.19021540173667</v>
          </cell>
          <cell r="R911">
            <v>63.654068618119517</v>
          </cell>
          <cell r="S911">
            <v>201.44569025814243</v>
          </cell>
          <cell r="T911">
            <v>492.58997427799864</v>
          </cell>
          <cell r="U911">
            <v>26.141652104990669</v>
          </cell>
        </row>
        <row r="912">
          <cell r="I912">
            <v>39964</v>
          </cell>
          <cell r="J912">
            <v>3540</v>
          </cell>
          <cell r="K912">
            <v>69</v>
          </cell>
          <cell r="L912">
            <v>1035</v>
          </cell>
          <cell r="M912">
            <v>2415</v>
          </cell>
          <cell r="N912">
            <v>6.8291000000000004</v>
          </cell>
          <cell r="O912">
            <v>518.369916972954</v>
          </cell>
          <cell r="P912">
            <v>117.3</v>
          </cell>
          <cell r="Q912">
            <v>106.09011436353251</v>
          </cell>
          <cell r="R912">
            <v>63.654068618119517</v>
          </cell>
          <cell r="S912">
            <v>202.04143143463364</v>
          </cell>
          <cell r="T912">
            <v>489.08561441628569</v>
          </cell>
          <cell r="U912">
            <v>26.559388492871506</v>
          </cell>
        </row>
        <row r="913">
          <cell r="I913">
            <v>39965</v>
          </cell>
          <cell r="J913">
            <v>3540</v>
          </cell>
          <cell r="K913">
            <v>69</v>
          </cell>
          <cell r="L913">
            <v>1035</v>
          </cell>
          <cell r="M913">
            <v>2415</v>
          </cell>
          <cell r="N913">
            <v>6.8266999999999998</v>
          </cell>
          <cell r="O913">
            <v>518.55215550705316</v>
          </cell>
          <cell r="P913">
            <v>117.3</v>
          </cell>
          <cell r="Q913">
            <v>106.12741148724859</v>
          </cell>
          <cell r="R913">
            <v>63.676446892349155</v>
          </cell>
          <cell r="S913">
            <v>202.05923975356188</v>
          </cell>
          <cell r="T913">
            <v>489.16309813315962</v>
          </cell>
          <cell r="U913">
            <v>26.996381638971968</v>
          </cell>
        </row>
        <row r="914">
          <cell r="I914">
            <v>39966</v>
          </cell>
          <cell r="J914">
            <v>3540</v>
          </cell>
          <cell r="K914">
            <v>69</v>
          </cell>
          <cell r="L914">
            <v>1035</v>
          </cell>
          <cell r="M914">
            <v>2432.5</v>
          </cell>
          <cell r="N914">
            <v>6.8307000000000002</v>
          </cell>
          <cell r="O914">
            <v>518.24849576178133</v>
          </cell>
          <cell r="P914">
            <v>117.3</v>
          </cell>
          <cell r="Q914">
            <v>106.06526417497474</v>
          </cell>
          <cell r="R914">
            <v>64.100311827484731</v>
          </cell>
          <cell r="S914">
            <v>201.96256099067068</v>
          </cell>
          <cell r="T914">
            <v>489.42813699313018</v>
          </cell>
          <cell r="U914">
            <v>27.858753514252555</v>
          </cell>
        </row>
        <row r="915">
          <cell r="I915">
            <v>39967</v>
          </cell>
          <cell r="J915">
            <v>3580</v>
          </cell>
          <cell r="K915">
            <v>69</v>
          </cell>
          <cell r="L915">
            <v>1035</v>
          </cell>
          <cell r="M915">
            <v>2432.5</v>
          </cell>
          <cell r="N915">
            <v>6.8308999999999997</v>
          </cell>
          <cell r="O915">
            <v>524.08906586247792</v>
          </cell>
          <cell r="P915">
            <v>117.3</v>
          </cell>
          <cell r="Q915">
            <v>106.06215871993442</v>
          </cell>
          <cell r="R915">
            <v>64.098435052482102</v>
          </cell>
          <cell r="S915">
            <v>202.81191474812857</v>
          </cell>
          <cell r="T915">
            <v>490.2725085205451</v>
          </cell>
          <cell r="U915">
            <v>28.691173632580728</v>
          </cell>
        </row>
        <row r="916">
          <cell r="I916">
            <v>39968</v>
          </cell>
          <cell r="J916">
            <v>3580</v>
          </cell>
          <cell r="K916">
            <v>69</v>
          </cell>
          <cell r="L916">
            <v>1035</v>
          </cell>
          <cell r="M916">
            <v>2432.5</v>
          </cell>
          <cell r="N916">
            <v>6.8335999999999997</v>
          </cell>
          <cell r="O916">
            <v>523.88199484898155</v>
          </cell>
          <cell r="P916">
            <v>117.3</v>
          </cell>
          <cell r="Q916">
            <v>106.02025286818075</v>
          </cell>
          <cell r="R916">
            <v>64.07310934207446</v>
          </cell>
          <cell r="S916">
            <v>202.79159619537052</v>
          </cell>
          <cell r="T916">
            <v>490.18495840562571</v>
          </cell>
          <cell r="U916">
            <v>29.509599696344537</v>
          </cell>
        </row>
        <row r="917">
          <cell r="I917">
            <v>39969</v>
          </cell>
          <cell r="J917">
            <v>3580</v>
          </cell>
          <cell r="K917">
            <v>76.5</v>
          </cell>
          <cell r="L917">
            <v>1035</v>
          </cell>
          <cell r="M917">
            <v>2432.5</v>
          </cell>
          <cell r="N917">
            <v>6.8330000000000002</v>
          </cell>
          <cell r="O917">
            <v>523.92799648763355</v>
          </cell>
          <cell r="P917">
            <v>130.04999999999998</v>
          </cell>
          <cell r="Q917">
            <v>106.0295624176789</v>
          </cell>
          <cell r="R917">
            <v>64.078735548075514</v>
          </cell>
          <cell r="S917">
            <v>200.94354593907644</v>
          </cell>
          <cell r="T917">
            <v>501.10184390483084</v>
          </cell>
          <cell r="U917">
            <v>29.087629680322891</v>
          </cell>
        </row>
        <row r="918">
          <cell r="I918">
            <v>39970</v>
          </cell>
          <cell r="J918">
            <v>3580</v>
          </cell>
          <cell r="K918">
            <v>76.5</v>
          </cell>
          <cell r="L918">
            <v>1035</v>
          </cell>
          <cell r="M918">
            <v>2432.5</v>
          </cell>
          <cell r="N918">
            <v>6.8330000000000002</v>
          </cell>
          <cell r="O918">
            <v>523.92799648763355</v>
          </cell>
          <cell r="P918">
            <v>130.04999999999998</v>
          </cell>
          <cell r="Q918">
            <v>106.0295624176789</v>
          </cell>
          <cell r="R918">
            <v>64.078735548075514</v>
          </cell>
          <cell r="S918">
            <v>200.94354593907644</v>
          </cell>
          <cell r="T918">
            <v>501.10184390483084</v>
          </cell>
          <cell r="U918">
            <v>28.665659664301131</v>
          </cell>
        </row>
        <row r="919">
          <cell r="I919">
            <v>39971</v>
          </cell>
          <cell r="J919">
            <v>3580</v>
          </cell>
          <cell r="K919">
            <v>76.5</v>
          </cell>
          <cell r="L919">
            <v>1035</v>
          </cell>
          <cell r="M919">
            <v>2432.5</v>
          </cell>
          <cell r="N919">
            <v>6.8330000000000002</v>
          </cell>
          <cell r="O919">
            <v>523.92799648763355</v>
          </cell>
          <cell r="P919">
            <v>130.04999999999998</v>
          </cell>
          <cell r="Q919">
            <v>106.0295624176789</v>
          </cell>
          <cell r="R919">
            <v>64.078735548075514</v>
          </cell>
          <cell r="S919">
            <v>200.94354593907644</v>
          </cell>
          <cell r="T919">
            <v>501.10184390483084</v>
          </cell>
          <cell r="U919">
            <v>27.743066810891776</v>
          </cell>
        </row>
        <row r="920">
          <cell r="I920">
            <v>39972</v>
          </cell>
          <cell r="J920">
            <v>3580</v>
          </cell>
          <cell r="K920">
            <v>76.5</v>
          </cell>
          <cell r="L920">
            <v>1035</v>
          </cell>
          <cell r="M920">
            <v>2432.5</v>
          </cell>
          <cell r="N920">
            <v>6.8372000000000002</v>
          </cell>
          <cell r="O920">
            <v>523.60615456619666</v>
          </cell>
          <cell r="P920">
            <v>130.04999999999998</v>
          </cell>
          <cell r="Q920">
            <v>105.96442988357806</v>
          </cell>
          <cell r="R920">
            <v>64.039372842684131</v>
          </cell>
          <cell r="S920">
            <v>200.91196565195628</v>
          </cell>
          <cell r="T920">
            <v>500.96576837821846</v>
          </cell>
          <cell r="U920">
            <v>26.778970927189505</v>
          </cell>
        </row>
        <row r="921">
          <cell r="I921">
            <v>39973</v>
          </cell>
          <cell r="J921">
            <v>3580</v>
          </cell>
          <cell r="K921">
            <v>76.5</v>
          </cell>
          <cell r="L921">
            <v>1035</v>
          </cell>
          <cell r="M921">
            <v>2450</v>
          </cell>
          <cell r="N921">
            <v>6.8353999999999999</v>
          </cell>
          <cell r="O921">
            <v>523.74403838838987</v>
          </cell>
          <cell r="P921">
            <v>130.04999999999998</v>
          </cell>
          <cell r="Q921">
            <v>105.99233402580683</v>
          </cell>
          <cell r="R921">
            <v>64.51707288527372</v>
          </cell>
          <cell r="S921">
            <v>200.85853619755778</v>
          </cell>
          <cell r="T921">
            <v>501.41794310863833</v>
          </cell>
          <cell r="U921">
            <v>25.851219000203912</v>
          </cell>
        </row>
        <row r="922">
          <cell r="I922">
            <v>39974</v>
          </cell>
          <cell r="J922">
            <v>3580</v>
          </cell>
          <cell r="K922">
            <v>76.5</v>
          </cell>
          <cell r="L922">
            <v>1035</v>
          </cell>
          <cell r="M922">
            <v>2450</v>
          </cell>
          <cell r="N922">
            <v>6.8331999999999997</v>
          </cell>
          <cell r="O922">
            <v>523.91266171047243</v>
          </cell>
          <cell r="P922">
            <v>130.04999999999998</v>
          </cell>
          <cell r="Q922">
            <v>106.02645905285956</v>
          </cell>
          <cell r="R922">
            <v>64.537844640871043</v>
          </cell>
          <cell r="S922">
            <v>200.87506056653513</v>
          </cell>
          <cell r="T922">
            <v>501.48936426026569</v>
          </cell>
          <cell r="U922">
            <v>24.223610444243093</v>
          </cell>
        </row>
        <row r="923">
          <cell r="I923">
            <v>39975</v>
          </cell>
          <cell r="J923">
            <v>3580</v>
          </cell>
          <cell r="K923">
            <v>76.5</v>
          </cell>
          <cell r="L923">
            <v>1035</v>
          </cell>
          <cell r="M923">
            <v>2450</v>
          </cell>
          <cell r="N923">
            <v>6.8368000000000002</v>
          </cell>
          <cell r="O923">
            <v>523.63678914111858</v>
          </cell>
          <cell r="P923">
            <v>130.04999999999998</v>
          </cell>
          <cell r="Q923">
            <v>105.97062953428502</v>
          </cell>
          <cell r="R923">
            <v>64.503861455651759</v>
          </cell>
          <cell r="S923">
            <v>200.84802622709481</v>
          </cell>
          <cell r="T923">
            <v>501.3725172170316</v>
          </cell>
          <cell r="U923">
            <v>22.590358370061779</v>
          </cell>
        </row>
        <row r="924">
          <cell r="I924">
            <v>39976</v>
          </cell>
          <cell r="J924">
            <v>3600</v>
          </cell>
          <cell r="K924">
            <v>75</v>
          </cell>
          <cell r="L924">
            <v>1035</v>
          </cell>
          <cell r="M924">
            <v>2450</v>
          </cell>
          <cell r="N924">
            <v>6.8352000000000004</v>
          </cell>
          <cell r="O924">
            <v>526.68539325842698</v>
          </cell>
          <cell r="P924">
            <v>127.5</v>
          </cell>
          <cell r="Q924">
            <v>105.9954353932584</v>
          </cell>
          <cell r="R924">
            <v>64.518960674157299</v>
          </cell>
          <cell r="S924">
            <v>201.65570044655718</v>
          </cell>
          <cell r="T924">
            <v>499.67009651397291</v>
          </cell>
          <cell r="U924">
            <v>23.18880753601195</v>
          </cell>
        </row>
        <row r="925">
          <cell r="I925">
            <v>39977</v>
          </cell>
          <cell r="J925">
            <v>3600</v>
          </cell>
          <cell r="K925">
            <v>75</v>
          </cell>
          <cell r="L925">
            <v>1035</v>
          </cell>
          <cell r="M925">
            <v>2450</v>
          </cell>
          <cell r="N925">
            <v>6.8352000000000004</v>
          </cell>
          <cell r="O925">
            <v>526.68539325842698</v>
          </cell>
          <cell r="P925">
            <v>127.5</v>
          </cell>
          <cell r="Q925">
            <v>105.9954353932584</v>
          </cell>
          <cell r="R925">
            <v>64.518960674157299</v>
          </cell>
          <cell r="S925">
            <v>201.65570044655718</v>
          </cell>
          <cell r="T925">
            <v>499.67009651397291</v>
          </cell>
          <cell r="U925">
            <v>23.787256701962008</v>
          </cell>
        </row>
        <row r="926">
          <cell r="I926">
            <v>39978</v>
          </cell>
          <cell r="J926">
            <v>3600</v>
          </cell>
          <cell r="K926">
            <v>75</v>
          </cell>
          <cell r="L926">
            <v>1035</v>
          </cell>
          <cell r="M926">
            <v>2450</v>
          </cell>
          <cell r="N926">
            <v>6.8352000000000004</v>
          </cell>
          <cell r="O926">
            <v>526.68539325842698</v>
          </cell>
          <cell r="P926">
            <v>127.5</v>
          </cell>
          <cell r="Q926">
            <v>105.9954353932584</v>
          </cell>
          <cell r="R926">
            <v>64.518960674157299</v>
          </cell>
          <cell r="S926">
            <v>201.65570044655718</v>
          </cell>
          <cell r="T926">
            <v>499.67009651397291</v>
          </cell>
          <cell r="U926">
            <v>24.38570586791235</v>
          </cell>
        </row>
        <row r="927">
          <cell r="I927">
            <v>39979</v>
          </cell>
          <cell r="J927">
            <v>3620</v>
          </cell>
          <cell r="K927">
            <v>75</v>
          </cell>
          <cell r="L927">
            <v>1035</v>
          </cell>
          <cell r="M927">
            <v>2450</v>
          </cell>
          <cell r="N927">
            <v>6.8362999999999996</v>
          </cell>
          <cell r="O927">
            <v>529.5262056960637</v>
          </cell>
          <cell r="P927">
            <v>127.5</v>
          </cell>
          <cell r="Q927">
            <v>105.97838011790003</v>
          </cell>
          <cell r="R927">
            <v>64.508579202200025</v>
          </cell>
          <cell r="S927">
            <v>202.07245460163571</v>
          </cell>
          <cell r="T927">
            <v>500.05941392173577</v>
          </cell>
          <cell r="U927">
            <v>25.360906665962318</v>
          </cell>
        </row>
        <row r="928">
          <cell r="I928">
            <v>39980</v>
          </cell>
          <cell r="J928">
            <v>3680</v>
          </cell>
          <cell r="K928">
            <v>75</v>
          </cell>
          <cell r="L928">
            <v>1035</v>
          </cell>
          <cell r="M928">
            <v>2450</v>
          </cell>
          <cell r="N928">
            <v>6.8334000000000001</v>
          </cell>
          <cell r="O928">
            <v>538.53133140164482</v>
          </cell>
          <cell r="P928">
            <v>127.5</v>
          </cell>
          <cell r="Q928">
            <v>106.02335586969882</v>
          </cell>
          <cell r="R928">
            <v>64.535955746773197</v>
          </cell>
          <cell r="S928">
            <v>203.37037894314477</v>
          </cell>
          <cell r="T928">
            <v>501.4296905596168</v>
          </cell>
          <cell r="U928">
            <v>27.471698889144534</v>
          </cell>
        </row>
        <row r="929">
          <cell r="I929">
            <v>39981</v>
          </cell>
          <cell r="J929">
            <v>3720</v>
          </cell>
          <cell r="K929">
            <v>75</v>
          </cell>
          <cell r="L929">
            <v>1035</v>
          </cell>
          <cell r="M929">
            <v>2450</v>
          </cell>
          <cell r="N929">
            <v>6.8370999999999995</v>
          </cell>
          <cell r="O929">
            <v>544.09033069576287</v>
          </cell>
          <cell r="P929">
            <v>127.5</v>
          </cell>
          <cell r="Q929">
            <v>105.96597972824736</v>
          </cell>
          <cell r="R929">
            <v>64.501031138933172</v>
          </cell>
          <cell r="S929">
            <v>204.19150800928119</v>
          </cell>
          <cell r="T929">
            <v>502.1585188764617</v>
          </cell>
          <cell r="U929">
            <v>30.258629513301003</v>
          </cell>
        </row>
        <row r="930">
          <cell r="I930">
            <v>39982</v>
          </cell>
          <cell r="J930">
            <v>3720</v>
          </cell>
          <cell r="K930">
            <v>75</v>
          </cell>
          <cell r="L930">
            <v>1035</v>
          </cell>
          <cell r="M930">
            <v>2450</v>
          </cell>
          <cell r="N930">
            <v>6.835</v>
          </cell>
          <cell r="O930">
            <v>544.25749817117776</v>
          </cell>
          <cell r="P930">
            <v>127.5</v>
          </cell>
          <cell r="Q930">
            <v>105.99853694220921</v>
          </cell>
          <cell r="R930">
            <v>64.520848573518649</v>
          </cell>
          <cell r="S930">
            <v>204.20818730891153</v>
          </cell>
          <cell r="T930">
            <v>502.22757282463942</v>
          </cell>
          <cell r="U930">
            <v>33.082294287936747</v>
          </cell>
        </row>
        <row r="931">
          <cell r="I931">
            <v>39983</v>
          </cell>
          <cell r="J931">
            <v>3720</v>
          </cell>
          <cell r="K931">
            <v>77.5</v>
          </cell>
          <cell r="L931">
            <v>1035</v>
          </cell>
          <cell r="M931">
            <v>2450</v>
          </cell>
          <cell r="N931">
            <v>6.8362999999999996</v>
          </cell>
          <cell r="O931">
            <v>544.15400143352406</v>
          </cell>
          <cell r="P931">
            <v>131.75</v>
          </cell>
          <cell r="Q931">
            <v>105.97838011790003</v>
          </cell>
          <cell r="R931">
            <v>64.508579202200025</v>
          </cell>
          <cell r="S931">
            <v>203.58033945237781</v>
          </cell>
          <cell r="T931">
            <v>505.81729877247784</v>
          </cell>
          <cell r="U931">
            <v>34.699637990307167</v>
          </cell>
        </row>
        <row r="932">
          <cell r="I932">
            <v>39984</v>
          </cell>
          <cell r="J932">
            <v>3720</v>
          </cell>
          <cell r="K932">
            <v>77.5</v>
          </cell>
          <cell r="L932">
            <v>1035</v>
          </cell>
          <cell r="M932">
            <v>2450</v>
          </cell>
          <cell r="N932">
            <v>6.8362999999999996</v>
          </cell>
          <cell r="O932">
            <v>544.15400143352406</v>
          </cell>
          <cell r="P932">
            <v>131.75</v>
          </cell>
          <cell r="Q932">
            <v>105.97838011790003</v>
          </cell>
          <cell r="R932">
            <v>64.508579202200025</v>
          </cell>
          <cell r="S932">
            <v>203.58033945237781</v>
          </cell>
          <cell r="T932">
            <v>505.81729877247784</v>
          </cell>
          <cell r="U932">
            <v>36.316981692677359</v>
          </cell>
        </row>
        <row r="933">
          <cell r="I933">
            <v>39985</v>
          </cell>
          <cell r="J933">
            <v>3720</v>
          </cell>
          <cell r="K933">
            <v>77.5</v>
          </cell>
          <cell r="L933">
            <v>1035</v>
          </cell>
          <cell r="M933">
            <v>2450</v>
          </cell>
          <cell r="N933">
            <v>6.8362999999999996</v>
          </cell>
          <cell r="O933">
            <v>544.15400143352406</v>
          </cell>
          <cell r="P933">
            <v>131.75</v>
          </cell>
          <cell r="Q933">
            <v>105.97838011790003</v>
          </cell>
          <cell r="R933">
            <v>64.508579202200025</v>
          </cell>
          <cell r="S933">
            <v>203.58033945237781</v>
          </cell>
          <cell r="T933">
            <v>505.81729877247784</v>
          </cell>
          <cell r="U933">
            <v>37.934325395047779</v>
          </cell>
        </row>
        <row r="934">
          <cell r="I934">
            <v>39986</v>
          </cell>
          <cell r="J934">
            <v>3740</v>
          </cell>
          <cell r="K934">
            <v>77.5</v>
          </cell>
          <cell r="L934">
            <v>1035</v>
          </cell>
          <cell r="M934">
            <v>2450</v>
          </cell>
          <cell r="N934">
            <v>6.8357000000000001</v>
          </cell>
          <cell r="O934">
            <v>547.12758020392937</v>
          </cell>
          <cell r="P934">
            <v>131.75</v>
          </cell>
          <cell r="Q934">
            <v>105.98768231490556</v>
          </cell>
          <cell r="R934">
            <v>64.514241409072952</v>
          </cell>
          <cell r="S934">
            <v>204.01022359110397</v>
          </cell>
          <cell r="T934">
            <v>506.26214731508247</v>
          </cell>
          <cell r="U934">
            <v>39.562702697122006</v>
          </cell>
        </row>
        <row r="935">
          <cell r="I935">
            <v>39987</v>
          </cell>
          <cell r="J935">
            <v>3760</v>
          </cell>
          <cell r="K935">
            <v>77.5</v>
          </cell>
          <cell r="L935">
            <v>1035</v>
          </cell>
          <cell r="M935">
            <v>2600</v>
          </cell>
          <cell r="N935">
            <v>6.8346999999999998</v>
          </cell>
          <cell r="O935">
            <v>550.13387566389167</v>
          </cell>
          <cell r="P935">
            <v>131.75</v>
          </cell>
          <cell r="Q935">
            <v>106.00318960598123</v>
          </cell>
          <cell r="R935">
            <v>68.474110056037574</v>
          </cell>
          <cell r="S935">
            <v>203.86941702591315</v>
          </cell>
          <cell r="T935">
            <v>510.09671668793197</v>
          </cell>
          <cell r="U935">
            <v>39.98206243054068</v>
          </cell>
        </row>
        <row r="936">
          <cell r="I936">
            <v>39988</v>
          </cell>
          <cell r="J936">
            <v>3760</v>
          </cell>
          <cell r="K936">
            <v>77.5</v>
          </cell>
          <cell r="L936">
            <v>1035</v>
          </cell>
          <cell r="M936">
            <v>2600</v>
          </cell>
          <cell r="N936">
            <v>6.8330000000000002</v>
          </cell>
          <cell r="O936">
            <v>550.270744914386</v>
          </cell>
          <cell r="P936">
            <v>131.75</v>
          </cell>
          <cell r="Q936">
            <v>106.0295624176789</v>
          </cell>
          <cell r="R936">
            <v>68.491145909556565</v>
          </cell>
          <cell r="S936">
            <v>203.8829967690732</v>
          </cell>
          <cell r="T936">
            <v>510.15370509630867</v>
          </cell>
          <cell r="U936">
            <v>39.722809287508767</v>
          </cell>
        </row>
        <row r="937">
          <cell r="I937">
            <v>39989</v>
          </cell>
          <cell r="J937">
            <v>3800</v>
          </cell>
          <cell r="K937">
            <v>77.5</v>
          </cell>
          <cell r="L937">
            <v>1035</v>
          </cell>
          <cell r="M937">
            <v>2600</v>
          </cell>
          <cell r="N937">
            <v>6.8346</v>
          </cell>
          <cell r="O937">
            <v>555.99449858075093</v>
          </cell>
          <cell r="P937">
            <v>131.75</v>
          </cell>
          <cell r="Q937">
            <v>106.00474058467211</v>
          </cell>
          <cell r="R937">
            <v>68.475111930471428</v>
          </cell>
          <cell r="S937">
            <v>204.72058959927625</v>
          </cell>
          <cell r="T937">
            <v>510.95044211441979</v>
          </cell>
          <cell r="U937">
            <v>40.153399447479103</v>
          </cell>
        </row>
        <row r="938">
          <cell r="I938">
            <v>39990</v>
          </cell>
          <cell r="J938">
            <v>3800</v>
          </cell>
          <cell r="K938">
            <v>81.5</v>
          </cell>
          <cell r="L938">
            <v>1035</v>
          </cell>
          <cell r="M938">
            <v>2600</v>
          </cell>
          <cell r="N938">
            <v>6.8338999999999999</v>
          </cell>
          <cell r="O938">
            <v>556.0514493920017</v>
          </cell>
          <cell r="P938">
            <v>138.54999999999998</v>
          </cell>
          <cell r="Q938">
            <v>106.01559870644873</v>
          </cell>
          <cell r="R938">
            <v>68.482125872488623</v>
          </cell>
          <cell r="S938">
            <v>203.73823351984697</v>
          </cell>
          <cell r="T938">
            <v>516.78595809878425</v>
          </cell>
          <cell r="U938">
            <v>40.286083537789239</v>
          </cell>
        </row>
        <row r="939">
          <cell r="I939">
            <v>39991</v>
          </cell>
          <cell r="J939">
            <v>3800</v>
          </cell>
          <cell r="K939">
            <v>81.5</v>
          </cell>
          <cell r="L939">
            <v>1035</v>
          </cell>
          <cell r="M939">
            <v>2600</v>
          </cell>
          <cell r="N939">
            <v>6.8338999999999999</v>
          </cell>
          <cell r="O939">
            <v>556.0514493920017</v>
          </cell>
          <cell r="P939">
            <v>138.54999999999998</v>
          </cell>
          <cell r="Q939">
            <v>106.01559870644873</v>
          </cell>
          <cell r="R939">
            <v>68.482125872488623</v>
          </cell>
          <cell r="S939">
            <v>203.73823351984697</v>
          </cell>
          <cell r="T939">
            <v>516.78595809878425</v>
          </cell>
          <cell r="U939">
            <v>40.418767628099545</v>
          </cell>
        </row>
        <row r="940">
          <cell r="I940">
            <v>39992</v>
          </cell>
          <cell r="J940">
            <v>3800</v>
          </cell>
          <cell r="K940">
            <v>81.5</v>
          </cell>
          <cell r="L940">
            <v>1035</v>
          </cell>
          <cell r="M940">
            <v>2600</v>
          </cell>
          <cell r="N940">
            <v>6.8338999999999999</v>
          </cell>
          <cell r="O940">
            <v>556.0514493920017</v>
          </cell>
          <cell r="P940">
            <v>138.54999999999998</v>
          </cell>
          <cell r="Q940">
            <v>106.01559870644873</v>
          </cell>
          <cell r="R940">
            <v>68.482125872488623</v>
          </cell>
          <cell r="S940">
            <v>203.73823351984697</v>
          </cell>
          <cell r="T940">
            <v>516.78595809878425</v>
          </cell>
          <cell r="U940">
            <v>40.55145171840968</v>
          </cell>
        </row>
        <row r="941">
          <cell r="I941">
            <v>39993</v>
          </cell>
          <cell r="J941">
            <v>3800</v>
          </cell>
          <cell r="K941">
            <v>81.5</v>
          </cell>
          <cell r="L941">
            <v>1035</v>
          </cell>
          <cell r="M941">
            <v>2600</v>
          </cell>
          <cell r="N941">
            <v>6.8337000000000003</v>
          </cell>
          <cell r="O941">
            <v>556.0677231953407</v>
          </cell>
          <cell r="P941">
            <v>138.54999999999998</v>
          </cell>
          <cell r="Q941">
            <v>106.01870143553271</v>
          </cell>
          <cell r="R941">
            <v>68.484130119847222</v>
          </cell>
          <cell r="S941">
            <v>203.73985605025069</v>
          </cell>
          <cell r="T941">
            <v>516.79268760563059</v>
          </cell>
          <cell r="U941">
            <v>40.324252104247307</v>
          </cell>
        </row>
        <row r="942">
          <cell r="I942">
            <v>39994</v>
          </cell>
          <cell r="J942">
            <v>3700</v>
          </cell>
          <cell r="K942">
            <v>81.5</v>
          </cell>
          <cell r="L942">
            <v>1035</v>
          </cell>
          <cell r="M942">
            <v>2600</v>
          </cell>
          <cell r="N942">
            <v>6.8304999999999998</v>
          </cell>
          <cell r="O942">
            <v>541.68801698265133</v>
          </cell>
          <cell r="P942">
            <v>138.54999999999998</v>
          </cell>
          <cell r="Q942">
            <v>106.06836981187321</v>
          </cell>
          <cell r="R942">
            <v>68.516214039967792</v>
          </cell>
          <cell r="S942">
            <v>201.6386184890921</v>
          </cell>
          <cell r="T942">
            <v>514.77320234093304</v>
          </cell>
          <cell r="U942">
            <v>38.449631485069972</v>
          </cell>
        </row>
        <row r="943">
          <cell r="I943">
            <v>39995</v>
          </cell>
          <cell r="J943">
            <v>3600</v>
          </cell>
          <cell r="K943">
            <v>81.5</v>
          </cell>
          <cell r="L943">
            <v>1035</v>
          </cell>
          <cell r="M943">
            <v>2600</v>
          </cell>
          <cell r="N943">
            <v>6.8330000000000002</v>
          </cell>
          <cell r="O943">
            <v>526.85496853505049</v>
          </cell>
          <cell r="P943">
            <v>138.54999999999998</v>
          </cell>
          <cell r="Q943">
            <v>106.0295624176789</v>
          </cell>
          <cell r="R943">
            <v>68.491145909556565</v>
          </cell>
          <cell r="S943">
            <v>199.49267028660563</v>
          </cell>
          <cell r="T943">
            <v>512.56337861384111</v>
          </cell>
          <cell r="U943">
            <v>34.760281499803114</v>
          </cell>
        </row>
        <row r="944">
          <cell r="I944">
            <v>39996</v>
          </cell>
          <cell r="J944">
            <v>3610</v>
          </cell>
          <cell r="K944">
            <v>81.5</v>
          </cell>
          <cell r="L944">
            <v>1035</v>
          </cell>
          <cell r="M944">
            <v>2600</v>
          </cell>
          <cell r="N944">
            <v>6.8312999999999997</v>
          </cell>
          <cell r="O944">
            <v>528.4499290032644</v>
          </cell>
          <cell r="P944">
            <v>138.54999999999998</v>
          </cell>
          <cell r="Q944">
            <v>106.05594835536428</v>
          </cell>
          <cell r="R944">
            <v>68.508190241974432</v>
          </cell>
          <cell r="S944">
            <v>199.7181062982969</v>
          </cell>
          <cell r="T944">
            <v>512.83224489563554</v>
          </cell>
          <cell r="U944">
            <v>30.556514019988413</v>
          </cell>
        </row>
        <row r="945">
          <cell r="I945">
            <v>39997</v>
          </cell>
          <cell r="J945">
            <v>3660</v>
          </cell>
          <cell r="K945">
            <v>82.5</v>
          </cell>
          <cell r="L945">
            <v>1035</v>
          </cell>
          <cell r="M945">
            <v>2600</v>
          </cell>
          <cell r="N945">
            <v>6.8320999999999996</v>
          </cell>
          <cell r="O945">
            <v>535.7064445778019</v>
          </cell>
          <cell r="P945">
            <v>140.25</v>
          </cell>
          <cell r="Q945">
            <v>106.04352980781897</v>
          </cell>
          <cell r="R945">
            <v>68.500168323063193</v>
          </cell>
          <cell r="S945">
            <v>200.52843324442421</v>
          </cell>
          <cell r="T945">
            <v>515.3221313753063</v>
          </cell>
          <cell r="U945">
            <v>27.859202864171039</v>
          </cell>
        </row>
        <row r="946">
          <cell r="I946">
            <v>39998</v>
          </cell>
          <cell r="J946">
            <v>3660</v>
          </cell>
          <cell r="K946">
            <v>82.5</v>
          </cell>
          <cell r="L946">
            <v>1035</v>
          </cell>
          <cell r="M946">
            <v>2600</v>
          </cell>
          <cell r="N946">
            <v>6.8320999999999996</v>
          </cell>
          <cell r="O946">
            <v>535.7064445778019</v>
          </cell>
          <cell r="P946">
            <v>140.25</v>
          </cell>
          <cell r="Q946">
            <v>106.04352980781897</v>
          </cell>
          <cell r="R946">
            <v>68.500168323063193</v>
          </cell>
          <cell r="S946">
            <v>200.52843324442421</v>
          </cell>
          <cell r="T946">
            <v>515.3221313753063</v>
          </cell>
          <cell r="U946">
            <v>25.161891708353664</v>
          </cell>
        </row>
        <row r="947">
          <cell r="I947">
            <v>39999</v>
          </cell>
          <cell r="J947">
            <v>3660</v>
          </cell>
          <cell r="K947">
            <v>82.5</v>
          </cell>
          <cell r="L947">
            <v>1035</v>
          </cell>
          <cell r="M947">
            <v>2600</v>
          </cell>
          <cell r="N947">
            <v>6.8320999999999996</v>
          </cell>
          <cell r="O947">
            <v>535.7064445778019</v>
          </cell>
          <cell r="P947">
            <v>140.25</v>
          </cell>
          <cell r="Q947">
            <v>106.04352980781897</v>
          </cell>
          <cell r="R947">
            <v>68.500168323063193</v>
          </cell>
          <cell r="S947">
            <v>200.52843324442421</v>
          </cell>
          <cell r="T947">
            <v>515.3221313753063</v>
          </cell>
          <cell r="U947">
            <v>22.464580552536177</v>
          </cell>
        </row>
        <row r="948">
          <cell r="I948">
            <v>40000</v>
          </cell>
          <cell r="J948">
            <v>3820</v>
          </cell>
          <cell r="K948">
            <v>82.5</v>
          </cell>
          <cell r="L948">
            <v>1035</v>
          </cell>
          <cell r="M948">
            <v>2600</v>
          </cell>
          <cell r="N948">
            <v>6.8342999999999998</v>
          </cell>
          <cell r="O948">
            <v>558.94531993035127</v>
          </cell>
          <cell r="P948">
            <v>140.25</v>
          </cell>
          <cell r="Q948">
            <v>106.00939379307317</v>
          </cell>
          <cell r="R948">
            <v>68.478117729687014</v>
          </cell>
          <cell r="S948">
            <v>203.91318583700041</v>
          </cell>
          <cell r="T948">
            <v>518.65069735976067</v>
          </cell>
          <cell r="U948">
            <v>22.61023583551912</v>
          </cell>
        </row>
        <row r="949">
          <cell r="I949">
            <v>40001</v>
          </cell>
          <cell r="J949">
            <v>3820</v>
          </cell>
          <cell r="K949">
            <v>82.5</v>
          </cell>
          <cell r="L949">
            <v>1035</v>
          </cell>
          <cell r="M949">
            <v>2637.5</v>
          </cell>
          <cell r="N949">
            <v>6.8327</v>
          </cell>
          <cell r="O949">
            <v>559.07620706309365</v>
          </cell>
          <cell r="P949">
            <v>140.25</v>
          </cell>
          <cell r="Q949">
            <v>106.0342178055527</v>
          </cell>
          <cell r="R949">
            <v>69.48204955581248</v>
          </cell>
          <cell r="S949">
            <v>203.78272628144771</v>
          </cell>
          <cell r="T949">
            <v>519.54899364281289</v>
          </cell>
          <cell r="U949">
            <v>24.412007089599456</v>
          </cell>
        </row>
        <row r="950">
          <cell r="I950">
            <v>40002</v>
          </cell>
          <cell r="J950">
            <v>3830</v>
          </cell>
          <cell r="K950">
            <v>82.5</v>
          </cell>
          <cell r="L950">
            <v>1035</v>
          </cell>
          <cell r="M950">
            <v>2637.5</v>
          </cell>
          <cell r="N950">
            <v>6.8329000000000004</v>
          </cell>
          <cell r="O950">
            <v>560.52335026123603</v>
          </cell>
          <cell r="P950">
            <v>140.25</v>
          </cell>
          <cell r="Q950">
            <v>106.03111416821552</v>
          </cell>
          <cell r="R950">
            <v>69.480015805880356</v>
          </cell>
          <cell r="S950">
            <v>203.9937414092426</v>
          </cell>
          <cell r="T950">
            <v>519.75487138333847</v>
          </cell>
          <cell r="U950">
            <v>28.194419797697719</v>
          </cell>
        </row>
        <row r="951">
          <cell r="I951">
            <v>40003</v>
          </cell>
          <cell r="J951">
            <v>3830</v>
          </cell>
          <cell r="K951">
            <v>82.5</v>
          </cell>
          <cell r="L951">
            <v>1035</v>
          </cell>
          <cell r="M951">
            <v>2637.5</v>
          </cell>
          <cell r="N951">
            <v>6.8318000000000003</v>
          </cell>
          <cell r="O951">
            <v>560.61360110073474</v>
          </cell>
          <cell r="P951">
            <v>140.25</v>
          </cell>
          <cell r="Q951">
            <v>106.04818642231915</v>
          </cell>
          <cell r="R951">
            <v>69.49120290406627</v>
          </cell>
          <cell r="S951">
            <v>204.00274871934994</v>
          </cell>
          <cell r="T951">
            <v>519.79213804573533</v>
          </cell>
          <cell r="U951">
            <v>31.794959647322116</v>
          </cell>
        </row>
        <row r="952">
          <cell r="I952">
            <v>40004</v>
          </cell>
          <cell r="J952">
            <v>3860</v>
          </cell>
          <cell r="K952">
            <v>87</v>
          </cell>
          <cell r="L952">
            <v>1035</v>
          </cell>
          <cell r="M952">
            <v>2637.5</v>
          </cell>
          <cell r="N952">
            <v>6.8327</v>
          </cell>
          <cell r="O952">
            <v>564.93040818417319</v>
          </cell>
          <cell r="P952">
            <v>147.9</v>
          </cell>
          <cell r="Q952">
            <v>106.0342178055527</v>
          </cell>
          <cell r="R952">
            <v>69.48204955581248</v>
          </cell>
          <cell r="S952">
            <v>203.52179823921142</v>
          </cell>
          <cell r="T952">
            <v>526.93806560057658</v>
          </cell>
          <cell r="U952">
            <v>34.310392416050831</v>
          </cell>
        </row>
        <row r="953">
          <cell r="I953">
            <v>40005</v>
          </cell>
          <cell r="J953">
            <v>3860</v>
          </cell>
          <cell r="K953">
            <v>87</v>
          </cell>
          <cell r="L953">
            <v>1035</v>
          </cell>
          <cell r="M953">
            <v>2637.5</v>
          </cell>
          <cell r="N953">
            <v>6.8327</v>
          </cell>
          <cell r="O953">
            <v>564.93040818417319</v>
          </cell>
          <cell r="P953">
            <v>147.9</v>
          </cell>
          <cell r="Q953">
            <v>106.0342178055527</v>
          </cell>
          <cell r="R953">
            <v>69.48204955581248</v>
          </cell>
          <cell r="S953">
            <v>203.52179823921142</v>
          </cell>
          <cell r="T953">
            <v>526.93806560057658</v>
          </cell>
          <cell r="U953">
            <v>36.82582518477966</v>
          </cell>
        </row>
        <row r="954">
          <cell r="I954">
            <v>40006</v>
          </cell>
          <cell r="J954">
            <v>3860</v>
          </cell>
          <cell r="K954">
            <v>87</v>
          </cell>
          <cell r="L954">
            <v>1035</v>
          </cell>
          <cell r="M954">
            <v>2637.5</v>
          </cell>
          <cell r="N954">
            <v>6.8327</v>
          </cell>
          <cell r="O954">
            <v>564.93040818417319</v>
          </cell>
          <cell r="P954">
            <v>147.9</v>
          </cell>
          <cell r="Q954">
            <v>106.0342178055527</v>
          </cell>
          <cell r="R954">
            <v>69.48204955581248</v>
          </cell>
          <cell r="S954">
            <v>203.52179823921142</v>
          </cell>
          <cell r="T954">
            <v>526.93806560057658</v>
          </cell>
          <cell r="U954">
            <v>39.341257953508375</v>
          </cell>
        </row>
        <row r="955">
          <cell r="I955">
            <v>40007</v>
          </cell>
          <cell r="J955">
            <v>3900</v>
          </cell>
          <cell r="K955">
            <v>87</v>
          </cell>
          <cell r="L955">
            <v>1035</v>
          </cell>
          <cell r="M955">
            <v>2637.5</v>
          </cell>
          <cell r="N955">
            <v>6.8327</v>
          </cell>
          <cell r="O955">
            <v>570.78460930525273</v>
          </cell>
          <cell r="P955">
            <v>147.9</v>
          </cell>
          <cell r="Q955">
            <v>106.0342178055527</v>
          </cell>
          <cell r="R955">
            <v>69.48204955581248</v>
          </cell>
          <cell r="S955">
            <v>204.37240865851356</v>
          </cell>
          <cell r="T955">
            <v>527.78867601987872</v>
          </cell>
          <cell r="U955">
            <v>39.727159484191702</v>
          </cell>
        </row>
        <row r="956">
          <cell r="I956">
            <v>40008</v>
          </cell>
          <cell r="J956">
            <v>3940</v>
          </cell>
          <cell r="K956">
            <v>87</v>
          </cell>
          <cell r="L956">
            <v>1035</v>
          </cell>
          <cell r="M956">
            <v>2675</v>
          </cell>
          <cell r="N956">
            <v>6.8327999999999998</v>
          </cell>
          <cell r="O956">
            <v>576.63037115091913</v>
          </cell>
          <cell r="P956">
            <v>147.9</v>
          </cell>
          <cell r="Q956">
            <v>106.03266596417282</v>
          </cell>
          <cell r="R956">
            <v>70.468914646996836</v>
          </cell>
          <cell r="S956">
            <v>205.07862768526275</v>
          </cell>
          <cell r="T956">
            <v>529.48020829643247</v>
          </cell>
          <cell r="U956">
            <v>40.816152260506897</v>
          </cell>
        </row>
        <row r="957">
          <cell r="I957">
            <v>40009</v>
          </cell>
          <cell r="J957">
            <v>3900</v>
          </cell>
          <cell r="K957">
            <v>87</v>
          </cell>
          <cell r="L957">
            <v>1035</v>
          </cell>
          <cell r="M957">
            <v>2675</v>
          </cell>
          <cell r="N957">
            <v>6.8319000000000001</v>
          </cell>
          <cell r="O957">
            <v>570.85144688885964</v>
          </cell>
          <cell r="P957">
            <v>147.9</v>
          </cell>
          <cell r="Q957">
            <v>106.04663417204583</v>
          </cell>
          <cell r="R957">
            <v>70.478197865893819</v>
          </cell>
          <cell r="S957">
            <v>204.23557651680034</v>
          </cell>
          <cell r="T957">
            <v>528.66040855474</v>
          </cell>
          <cell r="U957">
            <v>41.019375039967144</v>
          </cell>
        </row>
        <row r="958">
          <cell r="I958">
            <v>40010</v>
          </cell>
          <cell r="J958">
            <v>3900</v>
          </cell>
          <cell r="K958">
            <v>87</v>
          </cell>
          <cell r="L958">
            <v>1035</v>
          </cell>
          <cell r="M958">
            <v>2675</v>
          </cell>
          <cell r="N958">
            <v>6.8311999999999999</v>
          </cell>
          <cell r="O958">
            <v>570.90994261623143</v>
          </cell>
          <cell r="P958">
            <v>147.9</v>
          </cell>
          <cell r="Q958">
            <v>106.05750087832298</v>
          </cell>
          <cell r="R958">
            <v>70.485419838388566</v>
          </cell>
          <cell r="S958">
            <v>204.24144762642595</v>
          </cell>
          <cell r="T958">
            <v>528.68436834313752</v>
          </cell>
          <cell r="U958">
            <v>41.219962356837641</v>
          </cell>
        </row>
        <row r="959">
          <cell r="I959">
            <v>40011</v>
          </cell>
          <cell r="J959">
            <v>4000</v>
          </cell>
          <cell r="K959">
            <v>91</v>
          </cell>
          <cell r="L959">
            <v>1035</v>
          </cell>
          <cell r="M959">
            <v>2675</v>
          </cell>
          <cell r="N959">
            <v>6.8315999999999999</v>
          </cell>
          <cell r="O959">
            <v>585.51437437789093</v>
          </cell>
          <cell r="P959">
            <v>154.69999999999999</v>
          </cell>
          <cell r="Q959">
            <v>106.05129105919549</v>
          </cell>
          <cell r="R959">
            <v>70.481292815738627</v>
          </cell>
          <cell r="S959">
            <v>205.37692682521595</v>
          </cell>
          <cell r="T959">
            <v>536.60951070015005</v>
          </cell>
          <cell r="U959">
            <v>42.77889394171541</v>
          </cell>
        </row>
        <row r="960">
          <cell r="I960">
            <v>40012</v>
          </cell>
          <cell r="J960">
            <v>4000</v>
          </cell>
          <cell r="K960">
            <v>91</v>
          </cell>
          <cell r="L960">
            <v>1035</v>
          </cell>
          <cell r="M960">
            <v>2675</v>
          </cell>
          <cell r="N960">
            <v>6.8315999999999999</v>
          </cell>
          <cell r="O960">
            <v>585.51437437789093</v>
          </cell>
          <cell r="P960">
            <v>154.69999999999999</v>
          </cell>
          <cell r="Q960">
            <v>106.05129105919549</v>
          </cell>
          <cell r="R960">
            <v>70.481292815738627</v>
          </cell>
          <cell r="S960">
            <v>205.37692682521595</v>
          </cell>
          <cell r="T960">
            <v>536.60951070015005</v>
          </cell>
          <cell r="U960">
            <v>44.337825526593178</v>
          </cell>
        </row>
        <row r="961">
          <cell r="I961">
            <v>40013</v>
          </cell>
          <cell r="J961">
            <v>4000</v>
          </cell>
          <cell r="K961">
            <v>91</v>
          </cell>
          <cell r="L961">
            <v>1035</v>
          </cell>
          <cell r="M961">
            <v>2675</v>
          </cell>
          <cell r="N961">
            <v>6.8315999999999999</v>
          </cell>
          <cell r="O961">
            <v>585.51437437789093</v>
          </cell>
          <cell r="P961">
            <v>154.69999999999999</v>
          </cell>
          <cell r="Q961">
            <v>106.05129105919549</v>
          </cell>
          <cell r="R961">
            <v>70.481292815738627</v>
          </cell>
          <cell r="S961">
            <v>205.37692682521595</v>
          </cell>
          <cell r="T961">
            <v>536.60951070015005</v>
          </cell>
          <cell r="U961">
            <v>45.896757111470833</v>
          </cell>
        </row>
        <row r="962">
          <cell r="I962">
            <v>40014</v>
          </cell>
          <cell r="J962">
            <v>4000</v>
          </cell>
          <cell r="K962">
            <v>91</v>
          </cell>
          <cell r="L962">
            <v>1035</v>
          </cell>
          <cell r="M962">
            <v>2675</v>
          </cell>
          <cell r="N962">
            <v>6.8319999999999999</v>
          </cell>
          <cell r="O962">
            <v>585.48009367681505</v>
          </cell>
          <cell r="P962">
            <v>154.69999999999999</v>
          </cell>
          <cell r="Q962">
            <v>106.04508196721312</v>
          </cell>
          <cell r="R962">
            <v>70.477166276346608</v>
          </cell>
          <cell r="S962">
            <v>205.37344762705419</v>
          </cell>
          <cell r="T962">
            <v>536.59569587061389</v>
          </cell>
          <cell r="U962">
            <v>46.737966328732</v>
          </cell>
        </row>
        <row r="963">
          <cell r="I963">
            <v>40015</v>
          </cell>
          <cell r="J963">
            <v>3920</v>
          </cell>
          <cell r="K963">
            <v>91</v>
          </cell>
          <cell r="L963">
            <v>1035</v>
          </cell>
          <cell r="M963">
            <v>2665</v>
          </cell>
          <cell r="N963">
            <v>6.8304999999999998</v>
          </cell>
          <cell r="O963">
            <v>573.89649366810636</v>
          </cell>
          <cell r="P963">
            <v>154.69999999999999</v>
          </cell>
          <cell r="Q963">
            <v>106.06836981187321</v>
          </cell>
          <cell r="R963">
            <v>70.229119390966986</v>
          </cell>
          <cell r="S963">
            <v>203.72301774281647</v>
          </cell>
          <cell r="T963">
            <v>534.72050694565655</v>
          </cell>
          <cell r="U963">
            <v>45.598798309869494</v>
          </cell>
        </row>
        <row r="964">
          <cell r="I964">
            <v>40016</v>
          </cell>
          <cell r="J964">
            <v>4070</v>
          </cell>
          <cell r="K964">
            <v>91</v>
          </cell>
          <cell r="L964">
            <v>1035</v>
          </cell>
          <cell r="M964">
            <v>2665</v>
          </cell>
          <cell r="N964">
            <v>6.8312999999999997</v>
          </cell>
          <cell r="O964">
            <v>595.78703907016234</v>
          </cell>
          <cell r="P964">
            <v>154.69999999999999</v>
          </cell>
          <cell r="Q964">
            <v>106.05594835536428</v>
          </cell>
          <cell r="R964">
            <v>70.220894998023809</v>
          </cell>
          <cell r="S964">
            <v>206.90669510414671</v>
          </cell>
          <cell r="T964">
            <v>537.88353845753477</v>
          </cell>
          <cell r="U964">
            <v>47.843435778227786</v>
          </cell>
        </row>
        <row r="965">
          <cell r="I965">
            <v>40017</v>
          </cell>
          <cell r="J965">
            <v>4070</v>
          </cell>
          <cell r="K965">
            <v>91</v>
          </cell>
          <cell r="L965">
            <v>1035</v>
          </cell>
          <cell r="M965">
            <v>2665</v>
          </cell>
          <cell r="N965">
            <v>6.8308999999999997</v>
          </cell>
          <cell r="O965">
            <v>595.82192683248184</v>
          </cell>
          <cell r="P965">
            <v>154.69999999999999</v>
          </cell>
          <cell r="Q965">
            <v>106.06215871993442</v>
          </cell>
          <cell r="R965">
            <v>70.225006953695697</v>
          </cell>
          <cell r="S965">
            <v>206.91026444188446</v>
          </cell>
          <cell r="T965">
            <v>537.89743011551457</v>
          </cell>
          <cell r="U965">
            <v>50.086138984495619</v>
          </cell>
        </row>
        <row r="966">
          <cell r="I966">
            <v>40018</v>
          </cell>
          <cell r="J966">
            <v>4120</v>
          </cell>
          <cell r="K966">
            <v>95</v>
          </cell>
          <cell r="L966">
            <v>1035</v>
          </cell>
          <cell r="M966">
            <v>2665</v>
          </cell>
          <cell r="N966">
            <v>6.8315999999999999</v>
          </cell>
          <cell r="O966">
            <v>603.07980560922772</v>
          </cell>
          <cell r="P966">
            <v>161.5</v>
          </cell>
          <cell r="Q966">
            <v>106.05129105919549</v>
          </cell>
          <cell r="R966">
            <v>70.217811347268565</v>
          </cell>
          <cell r="S966">
            <v>206.97941841407675</v>
          </cell>
          <cell r="T966">
            <v>544.74852082054076</v>
          </cell>
          <cell r="U966">
            <v>51.432770571773403</v>
          </cell>
        </row>
        <row r="967">
          <cell r="I967">
            <v>40019</v>
          </cell>
          <cell r="J967">
            <v>4120</v>
          </cell>
          <cell r="K967">
            <v>95</v>
          </cell>
          <cell r="L967">
            <v>1035</v>
          </cell>
          <cell r="M967">
            <v>2665</v>
          </cell>
          <cell r="N967">
            <v>6.8315999999999999</v>
          </cell>
          <cell r="O967">
            <v>603.07980560922772</v>
          </cell>
          <cell r="P967">
            <v>161.5</v>
          </cell>
          <cell r="Q967">
            <v>106.05129105919549</v>
          </cell>
          <cell r="R967">
            <v>70.217811347268565</v>
          </cell>
          <cell r="S967">
            <v>206.97941841407675</v>
          </cell>
          <cell r="T967">
            <v>544.74852082054076</v>
          </cell>
          <cell r="U967">
            <v>52.779402159051529</v>
          </cell>
        </row>
        <row r="968">
          <cell r="I968">
            <v>40020</v>
          </cell>
          <cell r="J968">
            <v>4120</v>
          </cell>
          <cell r="K968">
            <v>95</v>
          </cell>
          <cell r="L968">
            <v>1035</v>
          </cell>
          <cell r="M968">
            <v>2665</v>
          </cell>
          <cell r="N968">
            <v>6.8315999999999999</v>
          </cell>
          <cell r="O968">
            <v>603.07980560922772</v>
          </cell>
          <cell r="P968">
            <v>161.5</v>
          </cell>
          <cell r="Q968">
            <v>106.05129105919549</v>
          </cell>
          <cell r="R968">
            <v>70.217811347268565</v>
          </cell>
          <cell r="S968">
            <v>206.97941841407675</v>
          </cell>
          <cell r="T968">
            <v>544.74852082054076</v>
          </cell>
          <cell r="U968">
            <v>54.12603374632954</v>
          </cell>
        </row>
        <row r="969">
          <cell r="I969">
            <v>40021</v>
          </cell>
          <cell r="J969">
            <v>4100</v>
          </cell>
          <cell r="K969">
            <v>95</v>
          </cell>
          <cell r="L969">
            <v>1035</v>
          </cell>
          <cell r="M969">
            <v>2665</v>
          </cell>
          <cell r="N969">
            <v>6.8311000000000002</v>
          </cell>
          <cell r="O969">
            <v>600.19616167235142</v>
          </cell>
          <cell r="P969">
            <v>161.5</v>
          </cell>
          <cell r="Q969">
            <v>106.05905344673624</v>
          </cell>
          <cell r="R969">
            <v>70.222950915665123</v>
          </cell>
          <cell r="S969">
            <v>206.5585527715312</v>
          </cell>
          <cell r="T969">
            <v>544.34055713393263</v>
          </cell>
          <cell r="U969">
            <v>55.121920422360517</v>
          </cell>
        </row>
        <row r="970">
          <cell r="I970">
            <v>40022</v>
          </cell>
          <cell r="J970">
            <v>4150</v>
          </cell>
          <cell r="K970">
            <v>95</v>
          </cell>
          <cell r="L970">
            <v>1035</v>
          </cell>
          <cell r="M970">
            <v>2800</v>
          </cell>
          <cell r="N970">
            <v>6.8308999999999997</v>
          </cell>
          <cell r="O970">
            <v>607.5334143377886</v>
          </cell>
          <cell r="P970">
            <v>161.5</v>
          </cell>
          <cell r="Q970">
            <v>106.06215871993442</v>
          </cell>
          <cell r="R970">
            <v>73.782371283432639</v>
          </cell>
          <cell r="S970">
            <v>207.10701738192455</v>
          </cell>
          <cell r="T970">
            <v>548.45154738529163</v>
          </cell>
          <cell r="U970">
            <v>57.965617598081508</v>
          </cell>
        </row>
        <row r="971">
          <cell r="I971">
            <v>40023</v>
          </cell>
          <cell r="J971">
            <v>4160</v>
          </cell>
          <cell r="K971">
            <v>95</v>
          </cell>
          <cell r="L971">
            <v>1035</v>
          </cell>
          <cell r="M971">
            <v>2800</v>
          </cell>
          <cell r="N971">
            <v>6.8323999999999998</v>
          </cell>
          <cell r="O971">
            <v>608.86364966922315</v>
          </cell>
          <cell r="P971">
            <v>161.5</v>
          </cell>
          <cell r="Q971">
            <v>106.03887360224812</v>
          </cell>
          <cell r="R971">
            <v>73.766172940694346</v>
          </cell>
          <cell r="S971">
            <v>207.30603635168177</v>
          </cell>
          <cell r="T971">
            <v>548.61108289462425</v>
          </cell>
          <cell r="U971">
            <v>58.30119847836329</v>
          </cell>
        </row>
        <row r="972">
          <cell r="I972">
            <v>40024</v>
          </cell>
          <cell r="J972">
            <v>4160</v>
          </cell>
          <cell r="K972">
            <v>95</v>
          </cell>
          <cell r="L972">
            <v>1035</v>
          </cell>
          <cell r="M972">
            <v>2800</v>
          </cell>
          <cell r="N972">
            <v>6.8323</v>
          </cell>
          <cell r="O972">
            <v>608.87256121657424</v>
          </cell>
          <cell r="P972">
            <v>161.5</v>
          </cell>
          <cell r="Q972">
            <v>106.04042562533846</v>
          </cell>
          <cell r="R972">
            <v>73.767252608931102</v>
          </cell>
          <cell r="S972">
            <v>207.30694880939467</v>
          </cell>
          <cell r="T972">
            <v>548.61462704366431</v>
          </cell>
          <cell r="U972">
            <v>58.634546686355066</v>
          </cell>
        </row>
        <row r="973">
          <cell r="I973">
            <v>40025</v>
          </cell>
          <cell r="J973">
            <v>4160</v>
          </cell>
          <cell r="K973">
            <v>100.5</v>
          </cell>
          <cell r="L973">
            <v>1047</v>
          </cell>
          <cell r="M973">
            <v>2800</v>
          </cell>
          <cell r="N973">
            <v>6.8320999999999996</v>
          </cell>
          <cell r="O973">
            <v>608.89038509389502</v>
          </cell>
          <cell r="P973">
            <v>170.85</v>
          </cell>
          <cell r="Q973">
            <v>107.27302000848933</v>
          </cell>
          <cell r="R973">
            <v>73.769412040221894</v>
          </cell>
          <cell r="S973">
            <v>205.77158292109505</v>
          </cell>
          <cell r="T973">
            <v>557.6640149698062</v>
          </cell>
          <cell r="U973">
            <v>57.619558877126678</v>
          </cell>
        </row>
        <row r="974">
          <cell r="I974">
            <v>40026</v>
          </cell>
          <cell r="J974">
            <v>4160</v>
          </cell>
          <cell r="K974">
            <v>100.5</v>
          </cell>
          <cell r="L974">
            <v>1047</v>
          </cell>
          <cell r="M974">
            <v>2800</v>
          </cell>
          <cell r="N974">
            <v>6.8320999999999996</v>
          </cell>
          <cell r="O974">
            <v>608.89038509389502</v>
          </cell>
          <cell r="P974">
            <v>170.85</v>
          </cell>
          <cell r="Q974">
            <v>107.27302000848933</v>
          </cell>
          <cell r="R974">
            <v>73.769412040221894</v>
          </cell>
          <cell r="S974">
            <v>205.77158292109505</v>
          </cell>
          <cell r="T974">
            <v>557.6640149698062</v>
          </cell>
          <cell r="U974">
            <v>56.604571067898632</v>
          </cell>
        </row>
        <row r="975">
          <cell r="I975">
            <v>40027</v>
          </cell>
          <cell r="J975">
            <v>4160</v>
          </cell>
          <cell r="K975">
            <v>100.5</v>
          </cell>
          <cell r="L975">
            <v>1047</v>
          </cell>
          <cell r="M975">
            <v>2800</v>
          </cell>
          <cell r="N975">
            <v>6.8320999999999996</v>
          </cell>
          <cell r="O975">
            <v>608.89038509389502</v>
          </cell>
          <cell r="P975">
            <v>170.85</v>
          </cell>
          <cell r="Q975">
            <v>107.27302000848933</v>
          </cell>
          <cell r="R975">
            <v>73.769412040221894</v>
          </cell>
          <cell r="S975">
            <v>205.77158292109505</v>
          </cell>
          <cell r="T975">
            <v>557.6640149698062</v>
          </cell>
          <cell r="U975">
            <v>55.589583258670245</v>
          </cell>
        </row>
        <row r="976">
          <cell r="I976">
            <v>40028</v>
          </cell>
          <cell r="J976">
            <v>4330</v>
          </cell>
          <cell r="K976">
            <v>100.5</v>
          </cell>
          <cell r="L976">
            <v>1047</v>
          </cell>
          <cell r="M976">
            <v>2800</v>
          </cell>
          <cell r="N976">
            <v>6.8308</v>
          </cell>
          <cell r="O976">
            <v>633.89354102008554</v>
          </cell>
          <cell r="P976">
            <v>170.85</v>
          </cell>
          <cell r="Q976">
            <v>107.29343561515488</v>
          </cell>
          <cell r="R976">
            <v>73.783451425894469</v>
          </cell>
          <cell r="S976">
            <v>209.39951382601379</v>
          </cell>
          <cell r="T976">
            <v>561.32640086706306</v>
          </cell>
          <cell r="U976">
            <v>57.976945489327818</v>
          </cell>
        </row>
        <row r="977">
          <cell r="I977">
            <v>40029</v>
          </cell>
          <cell r="J977">
            <v>4450</v>
          </cell>
          <cell r="K977">
            <v>100.5</v>
          </cell>
          <cell r="L977">
            <v>1047</v>
          </cell>
          <cell r="M977">
            <v>2837.5</v>
          </cell>
          <cell r="N977">
            <v>6.8300999999999998</v>
          </cell>
          <cell r="O977">
            <v>651.52779607912044</v>
          </cell>
          <cell r="P977">
            <v>170.85</v>
          </cell>
          <cell r="Q977">
            <v>107.30443185312073</v>
          </cell>
          <cell r="R977">
            <v>74.779285808406911</v>
          </cell>
          <cell r="S977">
            <v>211.81546438546212</v>
          </cell>
          <cell r="T977">
            <v>564.74918204698974</v>
          </cell>
          <cell r="U977">
            <v>61.933623643561191</v>
          </cell>
        </row>
        <row r="978">
          <cell r="I978">
            <v>40030</v>
          </cell>
          <cell r="J978">
            <v>4400</v>
          </cell>
          <cell r="K978">
            <v>100.5</v>
          </cell>
          <cell r="L978">
            <v>1047</v>
          </cell>
          <cell r="M978">
            <v>2837.5</v>
          </cell>
          <cell r="N978">
            <v>6.8309999999999995</v>
          </cell>
          <cell r="O978">
            <v>644.12238325281805</v>
          </cell>
          <cell r="P978">
            <v>170.85</v>
          </cell>
          <cell r="Q978">
            <v>107.290294246816</v>
          </cell>
          <cell r="R978">
            <v>74.76943346508564</v>
          </cell>
          <cell r="S978">
            <v>210.74294995038963</v>
          </cell>
          <cell r="T978">
            <v>563.65267766229124</v>
          </cell>
          <cell r="U978">
            <v>64.821786331550925</v>
          </cell>
        </row>
        <row r="979">
          <cell r="I979">
            <v>40031</v>
          </cell>
          <cell r="J979">
            <v>4400</v>
          </cell>
          <cell r="K979">
            <v>100.5</v>
          </cell>
          <cell r="L979">
            <v>1047</v>
          </cell>
          <cell r="M979">
            <v>2837.5</v>
          </cell>
          <cell r="N979">
            <v>6.8312999999999997</v>
          </cell>
          <cell r="O979">
            <v>644.09409629206743</v>
          </cell>
          <cell r="P979">
            <v>170.85</v>
          </cell>
          <cell r="Q979">
            <v>107.28558253919458</v>
          </cell>
          <cell r="R979">
            <v>74.766149927539416</v>
          </cell>
          <cell r="S979">
            <v>210.74000158145873</v>
          </cell>
          <cell r="T979">
            <v>563.64173404819269</v>
          </cell>
          <cell r="U979">
            <v>67.706704627403042</v>
          </cell>
        </row>
        <row r="980">
          <cell r="I980">
            <v>40032</v>
          </cell>
          <cell r="J980">
            <v>4400</v>
          </cell>
          <cell r="K980">
            <v>111</v>
          </cell>
          <cell r="L980">
            <v>1047</v>
          </cell>
          <cell r="M980">
            <v>2837.5</v>
          </cell>
          <cell r="N980">
            <v>6.8318000000000003</v>
          </cell>
          <cell r="O980">
            <v>644.04695687812875</v>
          </cell>
          <cell r="P980">
            <v>188.7</v>
          </cell>
          <cell r="Q980">
            <v>107.27773061272283</v>
          </cell>
          <cell r="R980">
            <v>74.760678005796422</v>
          </cell>
          <cell r="S980">
            <v>208.14149846507144</v>
          </cell>
          <cell r="T980">
            <v>578.87990708359075</v>
          </cell>
          <cell r="U980">
            <v>69.698230294610198</v>
          </cell>
        </row>
        <row r="981">
          <cell r="I981">
            <v>40033</v>
          </cell>
          <cell r="J981">
            <v>4400</v>
          </cell>
          <cell r="K981">
            <v>111</v>
          </cell>
          <cell r="L981">
            <v>1047</v>
          </cell>
          <cell r="M981">
            <v>2837.5</v>
          </cell>
          <cell r="N981">
            <v>6.8318000000000003</v>
          </cell>
          <cell r="O981">
            <v>644.04695687812875</v>
          </cell>
          <cell r="P981">
            <v>188.7</v>
          </cell>
          <cell r="Q981">
            <v>107.27773061272283</v>
          </cell>
          <cell r="R981">
            <v>74.760678005796422</v>
          </cell>
          <cell r="S981">
            <v>208.14149846507144</v>
          </cell>
          <cell r="T981">
            <v>578.87990708359075</v>
          </cell>
          <cell r="U981">
            <v>71.689755961817013</v>
          </cell>
        </row>
        <row r="982">
          <cell r="I982">
            <v>40034</v>
          </cell>
          <cell r="J982">
            <v>4400</v>
          </cell>
          <cell r="K982">
            <v>111</v>
          </cell>
          <cell r="L982">
            <v>1047</v>
          </cell>
          <cell r="M982">
            <v>2837.5</v>
          </cell>
          <cell r="N982">
            <v>6.8318000000000003</v>
          </cell>
          <cell r="O982">
            <v>644.04695687812875</v>
          </cell>
          <cell r="P982">
            <v>188.7</v>
          </cell>
          <cell r="Q982">
            <v>107.27773061272283</v>
          </cell>
          <cell r="R982">
            <v>74.760678005796422</v>
          </cell>
          <cell r="S982">
            <v>208.14149846507144</v>
          </cell>
          <cell r="T982">
            <v>578.87990708359075</v>
          </cell>
          <cell r="U982">
            <v>73.68128162902417</v>
          </cell>
        </row>
        <row r="983">
          <cell r="I983">
            <v>40035</v>
          </cell>
          <cell r="J983">
            <v>4370</v>
          </cell>
          <cell r="K983">
            <v>111</v>
          </cell>
          <cell r="L983">
            <v>1047</v>
          </cell>
          <cell r="M983">
            <v>2837.5</v>
          </cell>
          <cell r="N983">
            <v>6.8342999999999998</v>
          </cell>
          <cell r="O983">
            <v>639.42174033917149</v>
          </cell>
          <cell r="P983">
            <v>188.7</v>
          </cell>
          <cell r="Q983">
            <v>107.23848821386242</v>
          </cell>
          <cell r="R983">
            <v>74.733330406918043</v>
          </cell>
          <cell r="S983">
            <v>207.47913392489437</v>
          </cell>
          <cell r="T983">
            <v>578.15095254567473</v>
          </cell>
          <cell r="U983">
            <v>72.067517006234652</v>
          </cell>
        </row>
        <row r="984">
          <cell r="I984">
            <v>40036</v>
          </cell>
          <cell r="J984">
            <v>4280</v>
          </cell>
          <cell r="K984">
            <v>111</v>
          </cell>
          <cell r="L984">
            <v>1047</v>
          </cell>
          <cell r="M984">
            <v>2875</v>
          </cell>
          <cell r="N984">
            <v>6.8350999999999997</v>
          </cell>
          <cell r="O984">
            <v>626.17957308598272</v>
          </cell>
          <cell r="P984">
            <v>188.7</v>
          </cell>
          <cell r="Q984">
            <v>107.22593670904595</v>
          </cell>
          <cell r="R984">
            <v>75.712132960746729</v>
          </cell>
          <cell r="S984">
            <v>205.41466288953194</v>
          </cell>
          <cell r="T984">
            <v>577.05273255932457</v>
          </cell>
          <cell r="U984">
            <v>66.688692219738641</v>
          </cell>
        </row>
        <row r="985">
          <cell r="I985">
            <v>40037</v>
          </cell>
          <cell r="J985">
            <v>4250</v>
          </cell>
          <cell r="K985">
            <v>111</v>
          </cell>
          <cell r="L985">
            <v>1047</v>
          </cell>
          <cell r="M985">
            <v>2875</v>
          </cell>
          <cell r="N985">
            <v>6.8350999999999997</v>
          </cell>
          <cell r="O985">
            <v>621.79046392883788</v>
          </cell>
          <cell r="P985">
            <v>188.7</v>
          </cell>
          <cell r="Q985">
            <v>107.22593670904595</v>
          </cell>
          <cell r="R985">
            <v>75.712132960746729</v>
          </cell>
          <cell r="S985">
            <v>204.77692908037415</v>
          </cell>
          <cell r="T985">
            <v>576.41499875016677</v>
          </cell>
          <cell r="U985">
            <v>61.675229303759124</v>
          </cell>
        </row>
        <row r="986">
          <cell r="I986">
            <v>40038</v>
          </cell>
          <cell r="J986">
            <v>4230</v>
          </cell>
          <cell r="K986">
            <v>111</v>
          </cell>
          <cell r="L986">
            <v>1047</v>
          </cell>
          <cell r="M986">
            <v>2875</v>
          </cell>
          <cell r="N986">
            <v>6.8337000000000003</v>
          </cell>
          <cell r="O986">
            <v>618.99117608323456</v>
          </cell>
          <cell r="P986">
            <v>188.7</v>
          </cell>
          <cell r="Q986">
            <v>107.24790377101716</v>
          </cell>
          <cell r="R986">
            <v>75.727643882523367</v>
          </cell>
          <cell r="S986">
            <v>204.36474942995557</v>
          </cell>
          <cell r="T986">
            <v>576.04029708349606</v>
          </cell>
          <cell r="U986">
            <v>56.31787455459687</v>
          </cell>
        </row>
        <row r="987">
          <cell r="I987">
            <v>40039</v>
          </cell>
          <cell r="J987">
            <v>4200</v>
          </cell>
          <cell r="K987">
            <v>110.5</v>
          </cell>
          <cell r="L987">
            <v>1047</v>
          </cell>
          <cell r="M987">
            <v>2875</v>
          </cell>
          <cell r="N987">
            <v>6.8344000000000005</v>
          </cell>
          <cell r="O987">
            <v>614.53821842444097</v>
          </cell>
          <cell r="P987">
            <v>187.85</v>
          </cell>
          <cell r="Q987">
            <v>107.23691911506496</v>
          </cell>
          <cell r="R987">
            <v>75.719887627297197</v>
          </cell>
          <cell r="S987">
            <v>203.84396579996013</v>
          </cell>
          <cell r="T987">
            <v>574.65077254232233</v>
          </cell>
          <cell r="U987">
            <v>52.706502567108373</v>
          </cell>
        </row>
        <row r="988">
          <cell r="I988">
            <v>40040</v>
          </cell>
          <cell r="J988">
            <v>4200</v>
          </cell>
          <cell r="K988">
            <v>110.5</v>
          </cell>
          <cell r="L988">
            <v>1047</v>
          </cell>
          <cell r="M988">
            <v>2875</v>
          </cell>
          <cell r="N988">
            <v>6.8344000000000005</v>
          </cell>
          <cell r="O988">
            <v>614.53821842444097</v>
          </cell>
          <cell r="P988">
            <v>187.85</v>
          </cell>
          <cell r="Q988">
            <v>107.23691911506496</v>
          </cell>
          <cell r="R988">
            <v>75.719887627297197</v>
          </cell>
          <cell r="S988">
            <v>203.84396579996013</v>
          </cell>
          <cell r="T988">
            <v>574.65077254232233</v>
          </cell>
          <cell r="U988">
            <v>49.095130579619877</v>
          </cell>
        </row>
        <row r="989">
          <cell r="I989">
            <v>40041</v>
          </cell>
          <cell r="J989">
            <v>4200</v>
          </cell>
          <cell r="K989">
            <v>110.5</v>
          </cell>
          <cell r="L989">
            <v>1047</v>
          </cell>
          <cell r="M989">
            <v>2875</v>
          </cell>
          <cell r="N989">
            <v>6.8344000000000005</v>
          </cell>
          <cell r="O989">
            <v>614.53821842444097</v>
          </cell>
          <cell r="P989">
            <v>187.85</v>
          </cell>
          <cell r="Q989">
            <v>107.23691911506496</v>
          </cell>
          <cell r="R989">
            <v>75.719887627297197</v>
          </cell>
          <cell r="S989">
            <v>203.84396579996013</v>
          </cell>
          <cell r="T989">
            <v>574.65077254232233</v>
          </cell>
          <cell r="U989">
            <v>45.48375859213138</v>
          </cell>
        </row>
        <row r="990">
          <cell r="I990">
            <v>40042</v>
          </cell>
          <cell r="J990">
            <v>4200</v>
          </cell>
          <cell r="K990">
            <v>110.5</v>
          </cell>
          <cell r="L990">
            <v>1047</v>
          </cell>
          <cell r="M990">
            <v>2875</v>
          </cell>
          <cell r="N990">
            <v>6.8361999999999998</v>
          </cell>
          <cell r="O990">
            <v>614.37640794593494</v>
          </cell>
          <cell r="P990">
            <v>187.85</v>
          </cell>
          <cell r="Q990">
            <v>107.20868318656564</v>
          </cell>
          <cell r="R990">
            <v>75.699950264766969</v>
          </cell>
          <cell r="S990">
            <v>203.82745441374561</v>
          </cell>
          <cell r="T990">
            <v>574.5860878650783</v>
          </cell>
          <cell r="U990">
            <v>42.415120347468473</v>
          </cell>
        </row>
        <row r="991">
          <cell r="I991">
            <v>40043</v>
          </cell>
          <cell r="J991">
            <v>4050</v>
          </cell>
          <cell r="K991">
            <v>110.5</v>
          </cell>
          <cell r="L991">
            <v>1047</v>
          </cell>
          <cell r="M991">
            <v>2875</v>
          </cell>
          <cell r="N991">
            <v>6.8338000000000001</v>
          </cell>
          <cell r="O991">
            <v>592.64245368608977</v>
          </cell>
          <cell r="P991">
            <v>187.85</v>
          </cell>
          <cell r="Q991">
            <v>107.24633439667535</v>
          </cell>
          <cell r="R991">
            <v>75.726535748778119</v>
          </cell>
          <cell r="S991">
            <v>200.66019589906682</v>
          </cell>
          <cell r="T991">
            <v>571.48306604452023</v>
          </cell>
          <cell r="U991">
            <v>38.419769935312843</v>
          </cell>
        </row>
        <row r="992">
          <cell r="I992">
            <v>40044</v>
          </cell>
          <cell r="J992">
            <v>3880</v>
          </cell>
          <cell r="K992">
            <v>110.5</v>
          </cell>
          <cell r="L992">
            <v>1047</v>
          </cell>
          <cell r="M992">
            <v>2875</v>
          </cell>
          <cell r="N992">
            <v>6.8341000000000003</v>
          </cell>
          <cell r="O992">
            <v>567.74118025782468</v>
          </cell>
          <cell r="P992">
            <v>187.85</v>
          </cell>
          <cell r="Q992">
            <v>107.24162654921643</v>
          </cell>
          <cell r="R992">
            <v>75.723211542119657</v>
          </cell>
          <cell r="S992">
            <v>197.04322920367787</v>
          </cell>
          <cell r="T992">
            <v>567.85806729501394</v>
          </cell>
          <cell r="U992">
            <v>31.920862475904528</v>
          </cell>
        </row>
        <row r="993">
          <cell r="I993">
            <v>40045</v>
          </cell>
          <cell r="J993">
            <v>3880</v>
          </cell>
          <cell r="K993">
            <v>110.5</v>
          </cell>
          <cell r="L993">
            <v>1047</v>
          </cell>
          <cell r="M993">
            <v>2875</v>
          </cell>
          <cell r="N993">
            <v>6.8318000000000003</v>
          </cell>
          <cell r="O993">
            <v>567.93231651980443</v>
          </cell>
          <cell r="P993">
            <v>187.85</v>
          </cell>
          <cell r="Q993">
            <v>107.27773061272283</v>
          </cell>
          <cell r="R993">
            <v>75.748704587370824</v>
          </cell>
          <cell r="S993">
            <v>197.06205113192379</v>
          </cell>
          <cell r="T993">
            <v>567.93848633201742</v>
          </cell>
          <cell r="U993">
            <v>25.784141217054298</v>
          </cell>
        </row>
        <row r="994">
          <cell r="I994">
            <v>40046</v>
          </cell>
          <cell r="J994">
            <v>3900</v>
          </cell>
          <cell r="K994">
            <v>98</v>
          </cell>
          <cell r="L994">
            <v>1047</v>
          </cell>
          <cell r="M994">
            <v>2875</v>
          </cell>
          <cell r="N994">
            <v>6.8312999999999997</v>
          </cell>
          <cell r="O994">
            <v>570.90158534978707</v>
          </cell>
          <cell r="P994">
            <v>166.6</v>
          </cell>
          <cell r="Q994">
            <v>107.28558253919458</v>
          </cell>
          <cell r="R994">
            <v>75.754248825260206</v>
          </cell>
          <cell r="S994">
            <v>200.57914374145855</v>
          </cell>
          <cell r="T994">
            <v>550.21897510591339</v>
          </cell>
          <cell r="U994">
            <v>23.040593268733573</v>
          </cell>
        </row>
        <row r="995">
          <cell r="I995">
            <v>40047</v>
          </cell>
          <cell r="J995">
            <v>3900</v>
          </cell>
          <cell r="K995">
            <v>98</v>
          </cell>
          <cell r="L995">
            <v>1047</v>
          </cell>
          <cell r="M995">
            <v>2875</v>
          </cell>
          <cell r="N995">
            <v>6.8312999999999997</v>
          </cell>
          <cell r="O995">
            <v>570.90158534978707</v>
          </cell>
          <cell r="P995">
            <v>166.6</v>
          </cell>
          <cell r="Q995">
            <v>107.28558253919458</v>
          </cell>
          <cell r="R995">
            <v>75.754248825260206</v>
          </cell>
          <cell r="S995">
            <v>200.57914374145855</v>
          </cell>
          <cell r="T995">
            <v>550.21897510591339</v>
          </cell>
          <cell r="U995">
            <v>20.297045320412963</v>
          </cell>
        </row>
        <row r="996">
          <cell r="I996">
            <v>40048</v>
          </cell>
          <cell r="J996">
            <v>3900</v>
          </cell>
          <cell r="K996">
            <v>98</v>
          </cell>
          <cell r="L996">
            <v>1047</v>
          </cell>
          <cell r="M996">
            <v>2875</v>
          </cell>
          <cell r="N996">
            <v>6.8312999999999997</v>
          </cell>
          <cell r="O996">
            <v>570.90158534978707</v>
          </cell>
          <cell r="P996">
            <v>166.6</v>
          </cell>
          <cell r="Q996">
            <v>107.28558253919458</v>
          </cell>
          <cell r="R996">
            <v>75.754248825260206</v>
          </cell>
          <cell r="S996">
            <v>200.57914374145855</v>
          </cell>
          <cell r="T996">
            <v>550.21897510591339</v>
          </cell>
          <cell r="U996">
            <v>17.553497372092238</v>
          </cell>
        </row>
        <row r="997">
          <cell r="I997">
            <v>40049</v>
          </cell>
          <cell r="J997">
            <v>3900</v>
          </cell>
          <cell r="K997">
            <v>98</v>
          </cell>
          <cell r="L997">
            <v>1047</v>
          </cell>
          <cell r="M997">
            <v>2875</v>
          </cell>
          <cell r="N997">
            <v>6.8314000000000004</v>
          </cell>
          <cell r="O997">
            <v>570.89322832801474</v>
          </cell>
          <cell r="P997">
            <v>166.6</v>
          </cell>
          <cell r="Q997">
            <v>107.28401206194923</v>
          </cell>
          <cell r="R997">
            <v>75.753139912755799</v>
          </cell>
          <cell r="S997">
            <v>200.57831878637836</v>
          </cell>
          <cell r="T997">
            <v>550.21547076108334</v>
          </cell>
          <cell r="U997">
            <v>14.823131298674411</v>
          </cell>
        </row>
        <row r="998">
          <cell r="I998">
            <v>40050</v>
          </cell>
          <cell r="J998">
            <v>3900</v>
          </cell>
          <cell r="K998">
            <v>98</v>
          </cell>
          <cell r="L998">
            <v>1047</v>
          </cell>
          <cell r="M998">
            <v>2875</v>
          </cell>
          <cell r="N998">
            <v>6.8319000000000001</v>
          </cell>
          <cell r="O998">
            <v>570.85144688885964</v>
          </cell>
          <cell r="P998">
            <v>166.6</v>
          </cell>
          <cell r="Q998">
            <v>107.27616036534492</v>
          </cell>
          <cell r="R998">
            <v>75.747595837175595</v>
          </cell>
          <cell r="S998">
            <v>200.57419437322875</v>
          </cell>
          <cell r="T998">
            <v>550.19795057574925</v>
          </cell>
          <cell r="U998">
            <v>14.750861108894469</v>
          </cell>
        </row>
        <row r="999">
          <cell r="I999">
            <v>40051</v>
          </cell>
          <cell r="J999">
            <v>3900</v>
          </cell>
          <cell r="K999">
            <v>98</v>
          </cell>
          <cell r="L999">
            <v>1047</v>
          </cell>
          <cell r="M999">
            <v>2875</v>
          </cell>
          <cell r="N999">
            <v>6.8309999999999995</v>
          </cell>
          <cell r="O999">
            <v>570.9266578831797</v>
          </cell>
          <cell r="P999">
            <v>166.6</v>
          </cell>
          <cell r="Q999">
            <v>107.290294246816</v>
          </cell>
          <cell r="R999">
            <v>75.757575757575765</v>
          </cell>
          <cell r="S999">
            <v>200.58161875161881</v>
          </cell>
          <cell r="T999">
            <v>550.2294887560106</v>
          </cell>
          <cell r="U999">
            <v>17.724297703802677</v>
          </cell>
        </row>
        <row r="1000">
          <cell r="I1000">
            <v>40052</v>
          </cell>
          <cell r="J1000">
            <v>3900</v>
          </cell>
          <cell r="K1000">
            <v>98</v>
          </cell>
          <cell r="L1000">
            <v>1047</v>
          </cell>
          <cell r="M1000">
            <v>2875</v>
          </cell>
          <cell r="N1000">
            <v>6.8318000000000003</v>
          </cell>
          <cell r="O1000">
            <v>570.85980268743231</v>
          </cell>
          <cell r="P1000">
            <v>166.6</v>
          </cell>
          <cell r="Q1000">
            <v>107.27773061272283</v>
          </cell>
          <cell r="R1000">
            <v>75.748704587370824</v>
          </cell>
          <cell r="S1000">
            <v>200.57501920756204</v>
          </cell>
          <cell r="T1000">
            <v>550.20145440765566</v>
          </cell>
          <cell r="U1000">
            <v>20.676371716944118</v>
          </cell>
        </row>
        <row r="1001">
          <cell r="I1001">
            <v>40053</v>
          </cell>
          <cell r="J1001">
            <v>3900</v>
          </cell>
          <cell r="K1001">
            <v>87.5</v>
          </cell>
          <cell r="L1001">
            <v>1047</v>
          </cell>
          <cell r="M1001">
            <v>2875</v>
          </cell>
          <cell r="N1001">
            <v>6.8300999999999998</v>
          </cell>
          <cell r="O1001">
            <v>571.00188869855492</v>
          </cell>
          <cell r="P1001">
            <v>148.75</v>
          </cell>
          <cell r="Q1001">
            <v>107.30443185312073</v>
          </cell>
          <cell r="R1001">
            <v>75.767558308077483</v>
          </cell>
          <cell r="S1001">
            <v>203.18263483021423</v>
          </cell>
          <cell r="T1001">
            <v>535.00462499141236</v>
          </cell>
          <cell r="U1001">
            <v>22.864179354553926</v>
          </cell>
        </row>
        <row r="1002">
          <cell r="I1002">
            <v>40054</v>
          </cell>
          <cell r="J1002">
            <v>3900</v>
          </cell>
          <cell r="K1002">
            <v>87.5</v>
          </cell>
          <cell r="L1002">
            <v>1047</v>
          </cell>
          <cell r="M1002">
            <v>2875</v>
          </cell>
          <cell r="N1002">
            <v>6.8300999999999998</v>
          </cell>
          <cell r="O1002">
            <v>571.00188869855492</v>
          </cell>
          <cell r="P1002">
            <v>148.75</v>
          </cell>
          <cell r="Q1002">
            <v>107.30443185312073</v>
          </cell>
          <cell r="R1002">
            <v>75.767558308077483</v>
          </cell>
          <cell r="S1002">
            <v>203.18263483021423</v>
          </cell>
          <cell r="T1002">
            <v>535.00462499141236</v>
          </cell>
          <cell r="U1002">
            <v>25.051986992163847</v>
          </cell>
        </row>
        <row r="1003">
          <cell r="I1003">
            <v>40055</v>
          </cell>
          <cell r="J1003">
            <v>3900</v>
          </cell>
          <cell r="K1003">
            <v>87.5</v>
          </cell>
          <cell r="L1003">
            <v>1047</v>
          </cell>
          <cell r="M1003">
            <v>2875</v>
          </cell>
          <cell r="N1003">
            <v>6.8300999999999998</v>
          </cell>
          <cell r="O1003">
            <v>571.00188869855492</v>
          </cell>
          <cell r="P1003">
            <v>148.75</v>
          </cell>
          <cell r="Q1003">
            <v>107.30443185312073</v>
          </cell>
          <cell r="R1003">
            <v>75.767558308077483</v>
          </cell>
          <cell r="S1003">
            <v>203.18263483021423</v>
          </cell>
          <cell r="T1003">
            <v>535.00462499141236</v>
          </cell>
          <cell r="U1003">
            <v>27.239794629773769</v>
          </cell>
        </row>
        <row r="1004">
          <cell r="I1004">
            <v>40056</v>
          </cell>
          <cell r="J1004">
            <v>3900</v>
          </cell>
          <cell r="K1004">
            <v>87.5</v>
          </cell>
          <cell r="L1004">
            <v>1047</v>
          </cell>
          <cell r="M1004">
            <v>2875</v>
          </cell>
          <cell r="N1004">
            <v>6.8307000000000002</v>
          </cell>
          <cell r="O1004">
            <v>570.95173261891171</v>
          </cell>
          <cell r="P1004">
            <v>148.75</v>
          </cell>
          <cell r="Q1004">
            <v>107.29500636830778</v>
          </cell>
          <cell r="R1004">
            <v>75.760902982124819</v>
          </cell>
          <cell r="S1004">
            <v>203.17768372277044</v>
          </cell>
          <cell r="T1004">
            <v>534.98359307320311</v>
          </cell>
          <cell r="U1004">
            <v>29.424134912456111</v>
          </cell>
        </row>
        <row r="1005">
          <cell r="I1005">
            <v>40057</v>
          </cell>
          <cell r="J1005">
            <v>3780</v>
          </cell>
          <cell r="K1005">
            <v>87.5</v>
          </cell>
          <cell r="L1005">
            <v>1047</v>
          </cell>
          <cell r="M1005">
            <v>2875</v>
          </cell>
          <cell r="N1005">
            <v>6.8303000000000003</v>
          </cell>
          <cell r="O1005">
            <v>553.41639459467376</v>
          </cell>
          <cell r="P1005">
            <v>148.75</v>
          </cell>
          <cell r="Q1005">
            <v>107.30128984085617</v>
          </cell>
          <cell r="R1005">
            <v>75.765339736175562</v>
          </cell>
          <cell r="S1005">
            <v>200.62825645555478</v>
          </cell>
          <cell r="T1005">
            <v>532.44488603258651</v>
          </cell>
          <cell r="U1005">
            <v>29.469565233738422</v>
          </cell>
        </row>
        <row r="1006">
          <cell r="I1006">
            <v>40058</v>
          </cell>
          <cell r="J1006">
            <v>3780</v>
          </cell>
          <cell r="K1006">
            <v>87.5</v>
          </cell>
          <cell r="L1006">
            <v>1047</v>
          </cell>
          <cell r="M1006">
            <v>2875</v>
          </cell>
          <cell r="N1006">
            <v>6.8309999999999995</v>
          </cell>
          <cell r="O1006">
            <v>553.35968379446649</v>
          </cell>
          <cell r="P1006">
            <v>148.75</v>
          </cell>
          <cell r="Q1006">
            <v>107.290294246816</v>
          </cell>
          <cell r="R1006">
            <v>75.757575757575765</v>
          </cell>
          <cell r="S1006">
            <v>200.62274217462624</v>
          </cell>
          <cell r="T1006">
            <v>532.42061217901801</v>
          </cell>
          <cell r="U1006">
            <v>29.504122732064161</v>
          </cell>
        </row>
        <row r="1007">
          <cell r="I1007">
            <v>40059</v>
          </cell>
          <cell r="J1007">
            <v>3700</v>
          </cell>
          <cell r="K1007">
            <v>87.5</v>
          </cell>
          <cell r="L1007">
            <v>1047</v>
          </cell>
          <cell r="M1007">
            <v>2875</v>
          </cell>
          <cell r="N1007">
            <v>6.8304</v>
          </cell>
          <cell r="O1007">
            <v>541.69594752869523</v>
          </cell>
          <cell r="P1007">
            <v>148.75</v>
          </cell>
          <cell r="Q1007">
            <v>107.29971890372451</v>
          </cell>
          <cell r="R1007">
            <v>75.764230498945892</v>
          </cell>
          <cell r="S1007">
            <v>198.92567494138819</v>
          </cell>
          <cell r="T1007">
            <v>530.7396243440586</v>
          </cell>
          <cell r="U1007">
            <v>28.118119147044126</v>
          </cell>
        </row>
        <row r="1008">
          <cell r="I1008">
            <v>40060</v>
          </cell>
          <cell r="J1008">
            <v>3700</v>
          </cell>
          <cell r="K1008">
            <v>82</v>
          </cell>
          <cell r="L1008">
            <v>1047</v>
          </cell>
          <cell r="M1008">
            <v>2875</v>
          </cell>
          <cell r="N1008">
            <v>6.8299000000000003</v>
          </cell>
          <cell r="O1008">
            <v>541.73560374236808</v>
          </cell>
          <cell r="P1008">
            <v>139.4</v>
          </cell>
          <cell r="Q1008">
            <v>107.30757404940042</v>
          </cell>
          <cell r="R1008">
            <v>75.769777009912289</v>
          </cell>
          <cell r="S1008">
            <v>200.28803671463197</v>
          </cell>
          <cell r="T1008">
            <v>522.76538777394467</v>
          </cell>
          <cell r="U1008">
            <v>25.68568375579855</v>
          </cell>
        </row>
        <row r="1009">
          <cell r="I1009">
            <v>40061</v>
          </cell>
          <cell r="J1009">
            <v>3700</v>
          </cell>
          <cell r="K1009">
            <v>82</v>
          </cell>
          <cell r="L1009">
            <v>1047</v>
          </cell>
          <cell r="M1009">
            <v>2875</v>
          </cell>
          <cell r="N1009">
            <v>6.8299000000000003</v>
          </cell>
          <cell r="O1009">
            <v>541.73560374236808</v>
          </cell>
          <cell r="P1009">
            <v>139.4</v>
          </cell>
          <cell r="Q1009">
            <v>107.30757404940042</v>
          </cell>
          <cell r="R1009">
            <v>75.769777009912289</v>
          </cell>
          <cell r="S1009">
            <v>200.28803671463197</v>
          </cell>
          <cell r="T1009">
            <v>522.76538777394467</v>
          </cell>
          <cell r="U1009">
            <v>23.25324836455286</v>
          </cell>
        </row>
        <row r="1010">
          <cell r="I1010">
            <v>40062</v>
          </cell>
          <cell r="J1010">
            <v>3700</v>
          </cell>
          <cell r="K1010">
            <v>82</v>
          </cell>
          <cell r="L1010">
            <v>1047</v>
          </cell>
          <cell r="M1010">
            <v>2875</v>
          </cell>
          <cell r="N1010">
            <v>6.8299000000000003</v>
          </cell>
          <cell r="O1010">
            <v>541.73560374236808</v>
          </cell>
          <cell r="P1010">
            <v>139.4</v>
          </cell>
          <cell r="Q1010">
            <v>107.30757404940042</v>
          </cell>
          <cell r="R1010">
            <v>75.769777009912289</v>
          </cell>
          <cell r="S1010">
            <v>200.28803671463197</v>
          </cell>
          <cell r="T1010">
            <v>522.76538777394467</v>
          </cell>
          <cell r="U1010">
            <v>20.82081297330717</v>
          </cell>
        </row>
        <row r="1011">
          <cell r="I1011">
            <v>40063</v>
          </cell>
          <cell r="J1011">
            <v>3700</v>
          </cell>
          <cell r="K1011">
            <v>82</v>
          </cell>
          <cell r="L1011">
            <v>1047</v>
          </cell>
          <cell r="M1011">
            <v>2875</v>
          </cell>
          <cell r="N1011">
            <v>6.8289999999999997</v>
          </cell>
          <cell r="O1011">
            <v>541.80699956069702</v>
          </cell>
          <cell r="P1011">
            <v>139.4</v>
          </cell>
          <cell r="Q1011">
            <v>107.32171621027969</v>
          </cell>
          <cell r="R1011">
            <v>75.77976277639479</v>
          </cell>
          <cell r="S1011">
            <v>200.29490469878959</v>
          </cell>
          <cell r="T1011">
            <v>522.79638368546398</v>
          </cell>
          <cell r="U1011">
            <v>18.39830959181063</v>
          </cell>
        </row>
        <row r="1012">
          <cell r="I1012">
            <v>40064</v>
          </cell>
          <cell r="J1012">
            <v>3540</v>
          </cell>
          <cell r="K1012">
            <v>82</v>
          </cell>
          <cell r="L1012">
            <v>1047</v>
          </cell>
          <cell r="M1012">
            <v>2750</v>
          </cell>
          <cell r="N1012">
            <v>6.8276000000000003</v>
          </cell>
          <cell r="O1012">
            <v>518.48380104282614</v>
          </cell>
          <cell r="P1012">
            <v>139.4</v>
          </cell>
          <cell r="Q1012">
            <v>107.34372253793427</v>
          </cell>
          <cell r="R1012">
            <v>72.499853535649422</v>
          </cell>
          <cell r="S1012">
            <v>197.37943439724035</v>
          </cell>
          <cell r="T1012">
            <v>516.62301047082406</v>
          </cell>
          <cell r="U1012">
            <v>15.668207021798708</v>
          </cell>
        </row>
        <row r="1013">
          <cell r="I1013">
            <v>40065</v>
          </cell>
          <cell r="J1013">
            <v>3540</v>
          </cell>
          <cell r="K1013">
            <v>82</v>
          </cell>
          <cell r="L1013">
            <v>1047</v>
          </cell>
          <cell r="M1013">
            <v>2750</v>
          </cell>
          <cell r="N1013">
            <v>6.8285999999999998</v>
          </cell>
          <cell r="O1013">
            <v>518.40787277040681</v>
          </cell>
          <cell r="P1013">
            <v>139.4</v>
          </cell>
          <cell r="Q1013">
            <v>107.32800281170373</v>
          </cell>
          <cell r="R1013">
            <v>72.489236446709427</v>
          </cell>
          <cell r="S1013">
            <v>197.37222880088797</v>
          </cell>
          <cell r="T1013">
            <v>516.58946805930111</v>
          </cell>
          <cell r="U1013">
            <v>12.936683178321005</v>
          </cell>
        </row>
        <row r="1014">
          <cell r="I1014">
            <v>40066</v>
          </cell>
          <cell r="J1014">
            <v>3600</v>
          </cell>
          <cell r="K1014">
            <v>82</v>
          </cell>
          <cell r="L1014">
            <v>1047</v>
          </cell>
          <cell r="M1014">
            <v>2750</v>
          </cell>
          <cell r="N1014">
            <v>6.8292000000000002</v>
          </cell>
          <cell r="O1014">
            <v>527.1481286241434</v>
          </cell>
          <cell r="P1014">
            <v>139.4</v>
          </cell>
          <cell r="Q1014">
            <v>107.31857318573185</v>
          </cell>
          <cell r="R1014">
            <v>72.482867685819713</v>
          </cell>
          <cell r="S1014">
            <v>198.64447599823984</v>
          </cell>
          <cell r="T1014">
            <v>517.84591686979138</v>
          </cell>
          <cell r="U1014">
            <v>12.700381545423284</v>
          </cell>
        </row>
        <row r="1015">
          <cell r="I1015">
            <v>40067</v>
          </cell>
          <cell r="J1015">
            <v>3580</v>
          </cell>
          <cell r="K1015">
            <v>83</v>
          </cell>
          <cell r="L1015">
            <v>1047</v>
          </cell>
          <cell r="M1015">
            <v>2750</v>
          </cell>
          <cell r="N1015">
            <v>6.8289999999999997</v>
          </cell>
          <cell r="O1015">
            <v>524.23488065602578</v>
          </cell>
          <cell r="P1015">
            <v>141.1</v>
          </cell>
          <cell r="Q1015">
            <v>107.32171621027969</v>
          </cell>
          <cell r="R1015">
            <v>72.484990481768932</v>
          </cell>
          <cell r="S1015">
            <v>197.9734098922018</v>
          </cell>
          <cell r="T1015">
            <v>518.88011658425035</v>
          </cell>
          <cell r="U1015">
            <v>10.755316988759319</v>
          </cell>
        </row>
        <row r="1016">
          <cell r="I1016">
            <v>40068</v>
          </cell>
          <cell r="J1016">
            <v>3580</v>
          </cell>
          <cell r="K1016">
            <v>83</v>
          </cell>
          <cell r="L1016">
            <v>1047</v>
          </cell>
          <cell r="M1016">
            <v>2750</v>
          </cell>
          <cell r="N1016">
            <v>6.8289999999999997</v>
          </cell>
          <cell r="O1016">
            <v>524.23488065602578</v>
          </cell>
          <cell r="P1016">
            <v>141.1</v>
          </cell>
          <cell r="Q1016">
            <v>107.32171621027969</v>
          </cell>
          <cell r="R1016">
            <v>72.484990481768932</v>
          </cell>
          <cell r="S1016">
            <v>197.9734098922018</v>
          </cell>
          <cell r="T1016">
            <v>518.88011658425035</v>
          </cell>
          <cell r="U1016">
            <v>8.8102524320953535</v>
          </cell>
        </row>
        <row r="1017">
          <cell r="I1017">
            <v>40069</v>
          </cell>
          <cell r="J1017">
            <v>3580</v>
          </cell>
          <cell r="K1017">
            <v>83</v>
          </cell>
          <cell r="L1017">
            <v>1047</v>
          </cell>
          <cell r="M1017">
            <v>2750</v>
          </cell>
          <cell r="N1017">
            <v>6.8289999999999997</v>
          </cell>
          <cell r="O1017">
            <v>524.23488065602578</v>
          </cell>
          <cell r="P1017">
            <v>141.1</v>
          </cell>
          <cell r="Q1017">
            <v>107.32171621027969</v>
          </cell>
          <cell r="R1017">
            <v>72.484990481768932</v>
          </cell>
          <cell r="S1017">
            <v>197.9734098922018</v>
          </cell>
          <cell r="T1017">
            <v>518.88011658425035</v>
          </cell>
          <cell r="U1017">
            <v>6.8651878754312747</v>
          </cell>
        </row>
        <row r="1018">
          <cell r="I1018">
            <v>40070</v>
          </cell>
          <cell r="J1018">
            <v>3580</v>
          </cell>
          <cell r="K1018">
            <v>83</v>
          </cell>
          <cell r="L1018">
            <v>1047</v>
          </cell>
          <cell r="M1018">
            <v>2750</v>
          </cell>
          <cell r="N1018">
            <v>6.8289999999999997</v>
          </cell>
          <cell r="O1018">
            <v>524.23488065602578</v>
          </cell>
          <cell r="P1018">
            <v>141.1</v>
          </cell>
          <cell r="Q1018">
            <v>107.32171621027969</v>
          </cell>
          <cell r="R1018">
            <v>72.484990481768932</v>
          </cell>
          <cell r="S1018">
            <v>197.9734098922018</v>
          </cell>
          <cell r="T1018">
            <v>518.88011658425035</v>
          </cell>
          <cell r="U1018">
            <v>4.9143519035086456</v>
          </cell>
        </row>
        <row r="1019">
          <cell r="I1019">
            <v>40071</v>
          </cell>
          <cell r="J1019">
            <v>3530</v>
          </cell>
          <cell r="K1019">
            <v>83</v>
          </cell>
          <cell r="L1019">
            <v>1047</v>
          </cell>
          <cell r="M1019">
            <v>2750</v>
          </cell>
          <cell r="N1019">
            <v>6.8289</v>
          </cell>
          <cell r="O1019">
            <v>516.92073393958026</v>
          </cell>
          <cell r="P1019">
            <v>141.1</v>
          </cell>
          <cell r="Q1019">
            <v>107.32328779159162</v>
          </cell>
          <cell r="R1019">
            <v>72.486051926371744</v>
          </cell>
          <cell r="S1019">
            <v>196.91028804929476</v>
          </cell>
          <cell r="T1019">
            <v>517.81962776725811</v>
          </cell>
          <cell r="U1019">
            <v>4.5201112749830372</v>
          </cell>
        </row>
        <row r="1020">
          <cell r="I1020">
            <v>40072</v>
          </cell>
          <cell r="J1020">
            <v>3520</v>
          </cell>
          <cell r="K1020">
            <v>83</v>
          </cell>
          <cell r="L1020">
            <v>1047</v>
          </cell>
          <cell r="M1020">
            <v>2750</v>
          </cell>
          <cell r="N1020">
            <v>6.8258999999999999</v>
          </cell>
          <cell r="O1020">
            <v>515.68291360846194</v>
          </cell>
          <cell r="P1020">
            <v>141.1</v>
          </cell>
          <cell r="Q1020">
            <v>107.37045664308003</v>
          </cell>
          <cell r="R1020">
            <v>72.517909726189956</v>
          </cell>
          <cell r="S1020">
            <v>196.71895130825862</v>
          </cell>
          <cell r="T1020">
            <v>517.70731767752864</v>
          </cell>
          <cell r="U1020">
            <v>3.9711385921011697</v>
          </cell>
        </row>
        <row r="1021">
          <cell r="I1021">
            <v>40073</v>
          </cell>
          <cell r="J1021">
            <v>3470</v>
          </cell>
          <cell r="K1021">
            <v>83</v>
          </cell>
          <cell r="L1021">
            <v>1047</v>
          </cell>
          <cell r="M1021">
            <v>2750</v>
          </cell>
          <cell r="N1021">
            <v>6.8266</v>
          </cell>
          <cell r="O1021">
            <v>508.30574517329273</v>
          </cell>
          <cell r="P1021">
            <v>141.1</v>
          </cell>
          <cell r="Q1021">
            <v>107.35944686959832</v>
          </cell>
          <cell r="R1021">
            <v>72.510473735095076</v>
          </cell>
          <cell r="S1021">
            <v>195.64973519372808</v>
          </cell>
          <cell r="T1021">
            <v>516.61965579842149</v>
          </cell>
          <cell r="U1021">
            <v>1.4545496807469362</v>
          </cell>
        </row>
        <row r="1022">
          <cell r="I1022">
            <v>40074</v>
          </cell>
          <cell r="J1022">
            <v>3500</v>
          </cell>
          <cell r="K1022">
            <v>85.5</v>
          </cell>
          <cell r="L1022">
            <v>1047</v>
          </cell>
          <cell r="M1022">
            <v>2750</v>
          </cell>
          <cell r="N1022">
            <v>6.8277999999999999</v>
          </cell>
          <cell r="O1022">
            <v>512.61021119540703</v>
          </cell>
          <cell r="P1022">
            <v>145.35</v>
          </cell>
          <cell r="Q1022">
            <v>107.34057822431824</v>
          </cell>
          <cell r="R1022">
            <v>72.497729869064713</v>
          </cell>
          <cell r="S1022">
            <v>195.66224233106334</v>
          </cell>
          <cell r="T1022">
            <v>520.85055042444628</v>
          </cell>
          <cell r="U1022">
            <v>-0.4876079336551129</v>
          </cell>
        </row>
        <row r="1023">
          <cell r="I1023">
            <v>40075</v>
          </cell>
          <cell r="J1023">
            <v>3500</v>
          </cell>
          <cell r="K1023">
            <v>85.5</v>
          </cell>
          <cell r="L1023">
            <v>1047</v>
          </cell>
          <cell r="M1023">
            <v>2750</v>
          </cell>
          <cell r="N1023">
            <v>6.8277999999999999</v>
          </cell>
          <cell r="O1023">
            <v>512.61021119540703</v>
          </cell>
          <cell r="P1023">
            <v>145.35</v>
          </cell>
          <cell r="Q1023">
            <v>107.34057822431824</v>
          </cell>
          <cell r="R1023">
            <v>72.497729869064713</v>
          </cell>
          <cell r="S1023">
            <v>195.66224233106334</v>
          </cell>
          <cell r="T1023">
            <v>520.85055042444628</v>
          </cell>
          <cell r="U1023">
            <v>-2.4297655480572757</v>
          </cell>
        </row>
        <row r="1024">
          <cell r="I1024">
            <v>40076</v>
          </cell>
          <cell r="J1024">
            <v>3500</v>
          </cell>
          <cell r="K1024">
            <v>85.5</v>
          </cell>
          <cell r="L1024">
            <v>1047</v>
          </cell>
          <cell r="M1024">
            <v>2750</v>
          </cell>
          <cell r="N1024">
            <v>6.8277999999999999</v>
          </cell>
          <cell r="O1024">
            <v>512.61021119540703</v>
          </cell>
          <cell r="P1024">
            <v>145.35</v>
          </cell>
          <cell r="Q1024">
            <v>107.34057822431824</v>
          </cell>
          <cell r="R1024">
            <v>72.497729869064713</v>
          </cell>
          <cell r="S1024">
            <v>195.66224233106334</v>
          </cell>
          <cell r="T1024">
            <v>520.85055042444628</v>
          </cell>
          <cell r="U1024">
            <v>-4.3719231624593249</v>
          </cell>
        </row>
        <row r="1025">
          <cell r="I1025">
            <v>40077</v>
          </cell>
          <cell r="J1025">
            <v>3480</v>
          </cell>
          <cell r="K1025">
            <v>85.5</v>
          </cell>
          <cell r="L1025">
            <v>1047</v>
          </cell>
          <cell r="M1025">
            <v>2750</v>
          </cell>
          <cell r="N1025">
            <v>6.8289</v>
          </cell>
          <cell r="O1025">
            <v>509.59891051267408</v>
          </cell>
          <cell r="P1025">
            <v>145.35</v>
          </cell>
          <cell r="Q1025">
            <v>107.32328779159162</v>
          </cell>
          <cell r="R1025">
            <v>72.486051926371744</v>
          </cell>
          <cell r="S1025">
            <v>195.22891199581267</v>
          </cell>
          <cell r="T1025">
            <v>520.38825171377607</v>
          </cell>
          <cell r="U1025">
            <v>-6.6782239157275853</v>
          </cell>
        </row>
        <row r="1026">
          <cell r="I1026">
            <v>40078</v>
          </cell>
          <cell r="J1026">
            <v>3480</v>
          </cell>
          <cell r="K1026">
            <v>85.5</v>
          </cell>
          <cell r="L1026">
            <v>1047</v>
          </cell>
          <cell r="M1026">
            <v>2750</v>
          </cell>
          <cell r="N1026">
            <v>6.8269000000000002</v>
          </cell>
          <cell r="O1026">
            <v>509.74820196575308</v>
          </cell>
          <cell r="P1026">
            <v>145.35</v>
          </cell>
          <cell r="Q1026">
            <v>107.35472908640817</v>
          </cell>
          <cell r="R1026">
            <v>72.507287348576952</v>
          </cell>
          <cell r="S1026">
            <v>195.2429500343851</v>
          </cell>
          <cell r="T1026">
            <v>520.45496646937022</v>
          </cell>
          <cell r="U1026">
            <v>-8.0793482980046178</v>
          </cell>
        </row>
        <row r="1027">
          <cell r="I1027">
            <v>40079</v>
          </cell>
          <cell r="J1027">
            <v>3420</v>
          </cell>
          <cell r="K1027">
            <v>85.5</v>
          </cell>
          <cell r="L1027">
            <v>1047</v>
          </cell>
          <cell r="M1027">
            <v>2750</v>
          </cell>
          <cell r="N1027">
            <v>6.8261000000000003</v>
          </cell>
          <cell r="O1027">
            <v>501.0181509207307</v>
          </cell>
          <cell r="P1027">
            <v>145.35</v>
          </cell>
          <cell r="Q1027">
            <v>107.36731076310043</v>
          </cell>
          <cell r="R1027">
            <v>72.515785001684705</v>
          </cell>
          <cell r="S1027">
            <v>193.97141827052201</v>
          </cell>
          <cell r="T1027">
            <v>519.20451403530717</v>
          </cell>
          <cell r="U1027">
            <v>-10.388199590220381</v>
          </cell>
        </row>
        <row r="1028">
          <cell r="I1028">
            <v>40080</v>
          </cell>
          <cell r="J1028">
            <v>3330</v>
          </cell>
          <cell r="K1028">
            <v>85.5</v>
          </cell>
          <cell r="L1028">
            <v>1047</v>
          </cell>
          <cell r="M1028">
            <v>2750</v>
          </cell>
          <cell r="N1028">
            <v>6.8273000000000001</v>
          </cell>
          <cell r="O1028">
            <v>487.74771871750181</v>
          </cell>
          <cell r="P1028">
            <v>145.35</v>
          </cell>
          <cell r="Q1028">
            <v>107.34843935377087</v>
          </cell>
          <cell r="R1028">
            <v>72.50303926881783</v>
          </cell>
          <cell r="S1028">
            <v>192.0478297573805</v>
          </cell>
          <cell r="T1028">
            <v>517.24930837996919</v>
          </cell>
          <cell r="U1028">
            <v>-13.415010881268586</v>
          </cell>
        </row>
        <row r="1029">
          <cell r="I1029">
            <v>40081</v>
          </cell>
          <cell r="J1029">
            <v>3350</v>
          </cell>
          <cell r="K1029">
            <v>89</v>
          </cell>
          <cell r="L1029">
            <v>1047</v>
          </cell>
          <cell r="M1029">
            <v>2750</v>
          </cell>
          <cell r="N1029">
            <v>6.8285999999999998</v>
          </cell>
          <cell r="O1029">
            <v>490.5837214070234</v>
          </cell>
          <cell r="P1029">
            <v>151.29999999999998</v>
          </cell>
          <cell r="Q1029">
            <v>107.32800281170373</v>
          </cell>
          <cell r="R1029">
            <v>72.489236446709427</v>
          </cell>
          <cell r="S1029">
            <v>191.60034356005445</v>
          </cell>
          <cell r="T1029">
            <v>522.71758281846758</v>
          </cell>
          <cell r="U1029">
            <v>-16.828371193040823</v>
          </cell>
        </row>
        <row r="1030">
          <cell r="I1030">
            <v>40082</v>
          </cell>
          <cell r="J1030">
            <v>3350</v>
          </cell>
          <cell r="K1030">
            <v>89</v>
          </cell>
          <cell r="L1030">
            <v>1047</v>
          </cell>
          <cell r="M1030">
            <v>2750</v>
          </cell>
          <cell r="N1030">
            <v>6.8285999999999998</v>
          </cell>
          <cell r="O1030">
            <v>490.5837214070234</v>
          </cell>
          <cell r="P1030">
            <v>151.29999999999998</v>
          </cell>
          <cell r="Q1030">
            <v>107.32800281170373</v>
          </cell>
          <cell r="R1030">
            <v>72.489236446709427</v>
          </cell>
          <cell r="S1030">
            <v>191.60034356005445</v>
          </cell>
          <cell r="T1030">
            <v>522.71758281846758</v>
          </cell>
          <cell r="U1030">
            <v>-20.241731504813004</v>
          </cell>
        </row>
        <row r="1031">
          <cell r="I1031">
            <v>40083</v>
          </cell>
          <cell r="J1031">
            <v>3350</v>
          </cell>
          <cell r="K1031">
            <v>89</v>
          </cell>
          <cell r="L1031">
            <v>1047</v>
          </cell>
          <cell r="M1031">
            <v>2750</v>
          </cell>
          <cell r="N1031">
            <v>6.8285999999999998</v>
          </cell>
          <cell r="O1031">
            <v>490.5837214070234</v>
          </cell>
          <cell r="P1031">
            <v>151.29999999999998</v>
          </cell>
          <cell r="Q1031">
            <v>107.32800281170373</v>
          </cell>
          <cell r="R1031">
            <v>72.489236446709427</v>
          </cell>
          <cell r="S1031">
            <v>191.60034356005445</v>
          </cell>
          <cell r="T1031">
            <v>522.71758281846758</v>
          </cell>
          <cell r="U1031">
            <v>-23.655091816585127</v>
          </cell>
        </row>
        <row r="1032">
          <cell r="I1032">
            <v>40084</v>
          </cell>
          <cell r="J1032">
            <v>3340</v>
          </cell>
          <cell r="K1032">
            <v>89</v>
          </cell>
          <cell r="L1032">
            <v>1047</v>
          </cell>
          <cell r="M1032">
            <v>2750</v>
          </cell>
          <cell r="N1032">
            <v>6.8273999999999999</v>
          </cell>
          <cell r="O1032">
            <v>489.205261153587</v>
          </cell>
          <cell r="P1032">
            <v>151.29999999999998</v>
          </cell>
          <cell r="Q1032">
            <v>107.34686703576764</v>
          </cell>
          <cell r="R1032">
            <v>72.501977326654355</v>
          </cell>
          <cell r="S1032">
            <v>191.39546226880174</v>
          </cell>
          <cell r="T1032">
            <v>522.54430663122366</v>
          </cell>
          <cell r="U1032">
            <v>-26.876478141804341</v>
          </cell>
        </row>
        <row r="1033">
          <cell r="I1033">
            <v>40085</v>
          </cell>
          <cell r="J1033">
            <v>3340</v>
          </cell>
          <cell r="K1033">
            <v>89</v>
          </cell>
          <cell r="L1033">
            <v>1047</v>
          </cell>
          <cell r="M1033">
            <v>2750</v>
          </cell>
          <cell r="N1033">
            <v>6.8280000000000003</v>
          </cell>
          <cell r="O1033">
            <v>489.16227299355592</v>
          </cell>
          <cell r="P1033">
            <v>151.29999999999998</v>
          </cell>
          <cell r="Q1033">
            <v>107.33743409490333</v>
          </cell>
          <cell r="R1033">
            <v>72.495606326889273</v>
          </cell>
          <cell r="S1033">
            <v>191.39151242495706</v>
          </cell>
          <cell r="T1033">
            <v>522.52455284674966</v>
          </cell>
          <cell r="U1033">
            <v>-30.112980334601104</v>
          </cell>
        </row>
        <row r="1034">
          <cell r="I1034">
            <v>40086</v>
          </cell>
          <cell r="J1034">
            <v>3340</v>
          </cell>
          <cell r="K1034">
            <v>89</v>
          </cell>
          <cell r="L1034">
            <v>1170</v>
          </cell>
          <cell r="M1034">
            <v>2750</v>
          </cell>
          <cell r="N1034">
            <v>6.8263999999999996</v>
          </cell>
          <cell r="O1034">
            <v>489.27692487987815</v>
          </cell>
          <cell r="P1034">
            <v>151.29999999999998</v>
          </cell>
          <cell r="Q1034">
            <v>119.97538966365873</v>
          </cell>
          <cell r="R1034">
            <v>72.512598148365171</v>
          </cell>
          <cell r="S1034">
            <v>189.56941820644039</v>
          </cell>
          <cell r="T1034">
            <v>533.35740601846419</v>
          </cell>
          <cell r="U1034">
            <v>-33.812140052316693</v>
          </cell>
        </row>
        <row r="1035">
          <cell r="I1035">
            <v>40087</v>
          </cell>
          <cell r="J1035">
            <v>3340</v>
          </cell>
          <cell r="K1035">
            <v>89</v>
          </cell>
          <cell r="L1035">
            <v>1170</v>
          </cell>
          <cell r="M1035">
            <v>2750</v>
          </cell>
          <cell r="N1035">
            <v>6.8265000000000002</v>
          </cell>
          <cell r="O1035">
            <v>489.26975756244047</v>
          </cell>
          <cell r="P1035">
            <v>151.29999999999998</v>
          </cell>
          <cell r="Q1035">
            <v>119.97363216875412</v>
          </cell>
          <cell r="R1035">
            <v>72.511535926170069</v>
          </cell>
          <cell r="S1035">
            <v>189.56878650382714</v>
          </cell>
          <cell r="T1035">
            <v>533.35395459875133</v>
          </cell>
          <cell r="U1035">
            <v>-35.895369677151336</v>
          </cell>
        </row>
        <row r="1036">
          <cell r="I1036">
            <v>40088</v>
          </cell>
          <cell r="J1036">
            <v>3340</v>
          </cell>
          <cell r="K1036">
            <v>91</v>
          </cell>
          <cell r="L1036">
            <v>1170</v>
          </cell>
          <cell r="M1036">
            <v>2750</v>
          </cell>
          <cell r="N1036">
            <v>6.8263999999999996</v>
          </cell>
          <cell r="O1036">
            <v>489.27692487987815</v>
          </cell>
          <cell r="P1036">
            <v>154.69999999999999</v>
          </cell>
          <cell r="Q1036">
            <v>119.97538966365873</v>
          </cell>
          <cell r="R1036">
            <v>72.512598148365171</v>
          </cell>
          <cell r="S1036">
            <v>189.07540111242326</v>
          </cell>
          <cell r="T1036">
            <v>536.2633889244471</v>
          </cell>
          <cell r="U1036">
            <v>-38.0171700533121</v>
          </cell>
        </row>
        <row r="1037">
          <cell r="I1037">
            <v>40089</v>
          </cell>
          <cell r="J1037">
            <v>3340</v>
          </cell>
          <cell r="K1037">
            <v>91</v>
          </cell>
          <cell r="L1037">
            <v>1170</v>
          </cell>
          <cell r="M1037">
            <v>2750</v>
          </cell>
          <cell r="N1037">
            <v>6.8263999999999996</v>
          </cell>
          <cell r="O1037">
            <v>489.27692487987815</v>
          </cell>
          <cell r="P1037">
            <v>154.69999999999999</v>
          </cell>
          <cell r="Q1037">
            <v>119.97538966365873</v>
          </cell>
          <cell r="R1037">
            <v>72.512598148365171</v>
          </cell>
          <cell r="S1037">
            <v>189.07540111242326</v>
          </cell>
          <cell r="T1037">
            <v>536.2633889244471</v>
          </cell>
          <cell r="U1037">
            <v>-40.138970429472749</v>
          </cell>
        </row>
        <row r="1038">
          <cell r="I1038">
            <v>40090</v>
          </cell>
          <cell r="J1038">
            <v>3340</v>
          </cell>
          <cell r="K1038">
            <v>91</v>
          </cell>
          <cell r="L1038">
            <v>1170</v>
          </cell>
          <cell r="M1038">
            <v>2750</v>
          </cell>
          <cell r="N1038">
            <v>6.8263999999999996</v>
          </cell>
          <cell r="O1038">
            <v>489.27692487987815</v>
          </cell>
          <cell r="P1038">
            <v>154.69999999999999</v>
          </cell>
          <cell r="Q1038">
            <v>119.97538966365873</v>
          </cell>
          <cell r="R1038">
            <v>72.512598148365171</v>
          </cell>
          <cell r="S1038">
            <v>189.07540111242326</v>
          </cell>
          <cell r="T1038">
            <v>536.2633889244471</v>
          </cell>
          <cell r="U1038">
            <v>-42.260770805633513</v>
          </cell>
        </row>
        <row r="1039">
          <cell r="I1039">
            <v>40091</v>
          </cell>
          <cell r="J1039">
            <v>3340</v>
          </cell>
          <cell r="K1039">
            <v>91</v>
          </cell>
          <cell r="L1039">
            <v>1170</v>
          </cell>
          <cell r="M1039">
            <v>2750</v>
          </cell>
          <cell r="N1039">
            <v>6.8263999999999996</v>
          </cell>
          <cell r="O1039">
            <v>489.27692487987815</v>
          </cell>
          <cell r="P1039">
            <v>154.69999999999999</v>
          </cell>
          <cell r="Q1039">
            <v>119.97538966365873</v>
          </cell>
          <cell r="R1039">
            <v>72.512598148365171</v>
          </cell>
          <cell r="S1039">
            <v>189.07540111242326</v>
          </cell>
          <cell r="T1039">
            <v>536.2633889244471</v>
          </cell>
          <cell r="U1039">
            <v>-44.210402029480917</v>
          </cell>
        </row>
        <row r="1040">
          <cell r="I1040">
            <v>40092</v>
          </cell>
          <cell r="J1040">
            <v>3340</v>
          </cell>
          <cell r="K1040">
            <v>91</v>
          </cell>
          <cell r="L1040">
            <v>1170</v>
          </cell>
          <cell r="M1040">
            <v>2750</v>
          </cell>
          <cell r="N1040">
            <v>6.8262999999999998</v>
          </cell>
          <cell r="O1040">
            <v>489.28409240730707</v>
          </cell>
          <cell r="P1040">
            <v>154.69999999999999</v>
          </cell>
          <cell r="Q1040">
            <v>119.97714721005522</v>
          </cell>
          <cell r="R1040">
            <v>72.513660401681733</v>
          </cell>
          <cell r="S1040">
            <v>189.07603283354439</v>
          </cell>
          <cell r="T1040">
            <v>536.26684044528133</v>
          </cell>
          <cell r="U1040">
            <v>-46.156183198735221</v>
          </cell>
        </row>
        <row r="1041">
          <cell r="I1041">
            <v>40093</v>
          </cell>
          <cell r="J1041">
            <v>3340</v>
          </cell>
          <cell r="K1041">
            <v>91</v>
          </cell>
          <cell r="L1041">
            <v>1170</v>
          </cell>
          <cell r="M1041">
            <v>2750</v>
          </cell>
          <cell r="N1041">
            <v>6.8265000000000002</v>
          </cell>
          <cell r="O1041">
            <v>489.26975756244047</v>
          </cell>
          <cell r="P1041">
            <v>154.69999999999999</v>
          </cell>
          <cell r="Q1041">
            <v>119.97363216875412</v>
          </cell>
          <cell r="R1041">
            <v>72.511535926170069</v>
          </cell>
          <cell r="S1041">
            <v>189.07476940981007</v>
          </cell>
          <cell r="T1041">
            <v>536.25993750473424</v>
          </cell>
          <cell r="U1041">
            <v>-46.571854456407777</v>
          </cell>
        </row>
        <row r="1042">
          <cell r="I1042">
            <v>40094</v>
          </cell>
          <cell r="J1042">
            <v>3340</v>
          </cell>
          <cell r="K1042">
            <v>91</v>
          </cell>
          <cell r="L1042">
            <v>1170</v>
          </cell>
          <cell r="M1042">
            <v>2750</v>
          </cell>
          <cell r="N1042">
            <v>6.8259999999999996</v>
          </cell>
          <cell r="O1042">
            <v>489.30559624963377</v>
          </cell>
          <cell r="P1042">
            <v>154.69999999999999</v>
          </cell>
          <cell r="Q1042">
            <v>119.98242015821857</v>
          </cell>
          <cell r="R1042">
            <v>72.516847348373872</v>
          </cell>
          <cell r="S1042">
            <v>189.07792810796326</v>
          </cell>
          <cell r="T1042">
            <v>536.27719561455569</v>
          </cell>
          <cell r="U1042">
            <v>-46.984340503352257</v>
          </cell>
        </row>
        <row r="1043">
          <cell r="I1043">
            <v>40095</v>
          </cell>
          <cell r="J1043">
            <v>3340</v>
          </cell>
          <cell r="K1043">
            <v>91</v>
          </cell>
          <cell r="L1043">
            <v>1170</v>
          </cell>
          <cell r="M1043">
            <v>2750</v>
          </cell>
          <cell r="N1043">
            <v>6.8254999999999999</v>
          </cell>
          <cell r="O1043">
            <v>489.34144018753204</v>
          </cell>
          <cell r="P1043">
            <v>154.69999999999999</v>
          </cell>
          <cell r="Q1043">
            <v>119.9912094352062</v>
          </cell>
          <cell r="R1043">
            <v>72.522159548751006</v>
          </cell>
          <cell r="S1043">
            <v>189.08108726889549</v>
          </cell>
          <cell r="T1043">
            <v>536.29445625285268</v>
          </cell>
          <cell r="U1043">
            <v>-46.979562220602531</v>
          </cell>
        </row>
        <row r="1044">
          <cell r="I1044">
            <v>40096</v>
          </cell>
          <cell r="J1044">
            <v>3340</v>
          </cell>
          <cell r="K1044">
            <v>91</v>
          </cell>
          <cell r="L1044">
            <v>1170</v>
          </cell>
          <cell r="M1044">
            <v>2750</v>
          </cell>
          <cell r="N1044">
            <v>6.8254999999999999</v>
          </cell>
          <cell r="O1044">
            <v>489.34144018753204</v>
          </cell>
          <cell r="P1044">
            <v>154.69999999999999</v>
          </cell>
          <cell r="Q1044">
            <v>119.9912094352062</v>
          </cell>
          <cell r="R1044">
            <v>72.522159548751006</v>
          </cell>
          <cell r="S1044">
            <v>189.08108726889549</v>
          </cell>
          <cell r="T1044">
            <v>536.29445625285268</v>
          </cell>
          <cell r="U1044">
            <v>-46.974783937852692</v>
          </cell>
        </row>
        <row r="1045">
          <cell r="I1045">
            <v>40097</v>
          </cell>
          <cell r="J1045">
            <v>3340</v>
          </cell>
          <cell r="K1045">
            <v>91</v>
          </cell>
          <cell r="L1045">
            <v>1170</v>
          </cell>
          <cell r="M1045">
            <v>2750</v>
          </cell>
          <cell r="N1045">
            <v>6.8254999999999999</v>
          </cell>
          <cell r="O1045">
            <v>489.34144018753204</v>
          </cell>
          <cell r="P1045">
            <v>154.69999999999999</v>
          </cell>
          <cell r="Q1045">
            <v>119.9912094352062</v>
          </cell>
          <cell r="R1045">
            <v>72.522159548751006</v>
          </cell>
          <cell r="S1045">
            <v>189.08108726889549</v>
          </cell>
          <cell r="T1045">
            <v>536.29445625285268</v>
          </cell>
          <cell r="U1045">
            <v>-46.970005655102966</v>
          </cell>
        </row>
        <row r="1046">
          <cell r="I1046">
            <v>40098</v>
          </cell>
          <cell r="J1046">
            <v>3340</v>
          </cell>
          <cell r="K1046">
            <v>91</v>
          </cell>
          <cell r="L1046">
            <v>1170</v>
          </cell>
          <cell r="M1046">
            <v>2750</v>
          </cell>
          <cell r="N1046">
            <v>6.8232999999999997</v>
          </cell>
          <cell r="O1046">
            <v>489.49921592191464</v>
          </cell>
          <cell r="P1046">
            <v>154.69999999999999</v>
          </cell>
          <cell r="Q1046">
            <v>120.02989755690062</v>
          </cell>
          <cell r="R1046">
            <v>72.54554247944543</v>
          </cell>
          <cell r="S1046">
            <v>189.09499307739031</v>
          </cell>
          <cell r="T1046">
            <v>536.37043311373634</v>
          </cell>
          <cell r="U1046">
            <v>-46.953541818996257</v>
          </cell>
        </row>
        <row r="1047">
          <cell r="I1047">
            <v>40099</v>
          </cell>
          <cell r="J1047">
            <v>3260</v>
          </cell>
          <cell r="K1047">
            <v>91</v>
          </cell>
          <cell r="L1047">
            <v>1170</v>
          </cell>
          <cell r="M1047">
            <v>2450</v>
          </cell>
          <cell r="N1047">
            <v>6.8266</v>
          </cell>
          <cell r="O1047">
            <v>477.54372601294932</v>
          </cell>
          <cell r="P1047">
            <v>154.69999999999999</v>
          </cell>
          <cell r="Q1047">
            <v>119.97187472533911</v>
          </cell>
          <cell r="R1047">
            <v>64.600240236721064</v>
          </cell>
          <cell r="S1047">
            <v>188.52074690483005</v>
          </cell>
          <cell r="T1047">
            <v>527.79286186689023</v>
          </cell>
          <cell r="U1047">
            <v>-47.420168649848677</v>
          </cell>
        </row>
        <row r="1048">
          <cell r="I1048">
            <v>40100</v>
          </cell>
          <cell r="J1048">
            <v>3260</v>
          </cell>
          <cell r="K1048">
            <v>91</v>
          </cell>
          <cell r="L1048">
            <v>1170</v>
          </cell>
          <cell r="M1048">
            <v>2450</v>
          </cell>
          <cell r="N1048">
            <v>6.8262999999999998</v>
          </cell>
          <cell r="O1048">
            <v>477.56471294844937</v>
          </cell>
          <cell r="P1048">
            <v>154.69999999999999</v>
          </cell>
          <cell r="Q1048">
            <v>119.97714721005522</v>
          </cell>
          <cell r="R1048">
            <v>64.603079266952818</v>
          </cell>
          <cell r="S1048">
            <v>188.52261769243165</v>
          </cell>
          <cell r="T1048">
            <v>527.8028441694396</v>
          </cell>
          <cell r="U1048">
            <v>-47.884161689662449</v>
          </cell>
        </row>
        <row r="1049">
          <cell r="I1049">
            <v>40101</v>
          </cell>
          <cell r="J1049">
            <v>3290</v>
          </cell>
          <cell r="K1049">
            <v>91</v>
          </cell>
          <cell r="L1049">
            <v>1170</v>
          </cell>
          <cell r="M1049">
            <v>2450</v>
          </cell>
          <cell r="N1049">
            <v>6.8284000000000002</v>
          </cell>
          <cell r="O1049">
            <v>481.81125886005503</v>
          </cell>
          <cell r="P1049">
            <v>154.69999999999999</v>
          </cell>
          <cell r="Q1049">
            <v>119.94024954601369</v>
          </cell>
          <cell r="R1049">
            <v>64.58321129400737</v>
          </cell>
          <cell r="S1049">
            <v>189.14788518239811</v>
          </cell>
          <cell r="T1049">
            <v>528.37134602241917</v>
          </cell>
          <cell r="U1049">
            <v>-47.825374232154161</v>
          </cell>
        </row>
        <row r="1050">
          <cell r="I1050">
            <v>40102</v>
          </cell>
          <cell r="J1050">
            <v>3320</v>
          </cell>
          <cell r="K1050">
            <v>90.5</v>
          </cell>
          <cell r="L1050">
            <v>1170</v>
          </cell>
          <cell r="M1050">
            <v>2450</v>
          </cell>
          <cell r="N1050">
            <v>6.8266999999999998</v>
          </cell>
          <cell r="O1050">
            <v>486.32575036254707</v>
          </cell>
          <cell r="P1050">
            <v>153.85</v>
          </cell>
          <cell r="Q1050">
            <v>119.97011733341145</v>
          </cell>
          <cell r="R1050">
            <v>64.599293948760007</v>
          </cell>
          <cell r="S1050">
            <v>189.92066465270415</v>
          </cell>
          <cell r="T1050">
            <v>528.34007593487559</v>
          </cell>
          <cell r="U1050">
            <v>-47.11984701886945</v>
          </cell>
        </row>
        <row r="1051">
          <cell r="I1051">
            <v>40103</v>
          </cell>
          <cell r="J1051">
            <v>3320</v>
          </cell>
          <cell r="K1051">
            <v>90.5</v>
          </cell>
          <cell r="L1051">
            <v>1170</v>
          </cell>
          <cell r="M1051">
            <v>2450</v>
          </cell>
          <cell r="N1051">
            <v>6.8266999999999998</v>
          </cell>
          <cell r="O1051">
            <v>486.32575036254707</v>
          </cell>
          <cell r="P1051">
            <v>153.85</v>
          </cell>
          <cell r="Q1051">
            <v>119.97011733341145</v>
          </cell>
          <cell r="R1051">
            <v>64.599293948760007</v>
          </cell>
          <cell r="S1051">
            <v>189.92066465270415</v>
          </cell>
          <cell r="T1051">
            <v>528.34007593487559</v>
          </cell>
          <cell r="U1051">
            <v>-46.41431980558491</v>
          </cell>
        </row>
        <row r="1052">
          <cell r="I1052">
            <v>40104</v>
          </cell>
          <cell r="J1052">
            <v>3320</v>
          </cell>
          <cell r="K1052">
            <v>90.5</v>
          </cell>
          <cell r="L1052">
            <v>1170</v>
          </cell>
          <cell r="M1052">
            <v>2450</v>
          </cell>
          <cell r="N1052">
            <v>6.8266999999999998</v>
          </cell>
          <cell r="O1052">
            <v>486.32575036254707</v>
          </cell>
          <cell r="P1052">
            <v>153.85</v>
          </cell>
          <cell r="Q1052">
            <v>119.97011733341145</v>
          </cell>
          <cell r="R1052">
            <v>64.599293948760007</v>
          </cell>
          <cell r="S1052">
            <v>189.92066465270415</v>
          </cell>
          <cell r="T1052">
            <v>528.34007593487559</v>
          </cell>
          <cell r="U1052">
            <v>-45.708792592300426</v>
          </cell>
        </row>
        <row r="1053">
          <cell r="I1053">
            <v>40105</v>
          </cell>
          <cell r="J1053">
            <v>3370</v>
          </cell>
          <cell r="K1053">
            <v>90.5</v>
          </cell>
          <cell r="L1053">
            <v>1170</v>
          </cell>
          <cell r="M1053">
            <v>2450</v>
          </cell>
          <cell r="N1053">
            <v>6.8268000000000004</v>
          </cell>
          <cell r="O1053">
            <v>493.64270229097087</v>
          </cell>
          <cell r="P1053">
            <v>153.85</v>
          </cell>
          <cell r="Q1053">
            <v>119.96835999296887</v>
          </cell>
          <cell r="R1053">
            <v>64.598347688521713</v>
          </cell>
          <cell r="S1053">
            <v>190.98420434496722</v>
          </cell>
          <cell r="T1053">
            <v>529.40091202645772</v>
          </cell>
          <cell r="U1053">
            <v>-44.121220098538231</v>
          </cell>
        </row>
        <row r="1054">
          <cell r="I1054">
            <v>40106</v>
          </cell>
          <cell r="J1054">
            <v>3400</v>
          </cell>
          <cell r="K1054">
            <v>90.5</v>
          </cell>
          <cell r="L1054">
            <v>1170</v>
          </cell>
          <cell r="M1054">
            <v>2450</v>
          </cell>
          <cell r="N1054">
            <v>6.8266</v>
          </cell>
          <cell r="O1054">
            <v>498.05173878651158</v>
          </cell>
          <cell r="P1054">
            <v>153.85</v>
          </cell>
          <cell r="Q1054">
            <v>119.97187472533911</v>
          </cell>
          <cell r="R1054">
            <v>64.600240236721064</v>
          </cell>
          <cell r="S1054">
            <v>191.62404790611686</v>
          </cell>
          <cell r="T1054">
            <v>530.04616286817702</v>
          </cell>
          <cell r="U1054">
            <v>-41.513404131070274</v>
          </cell>
        </row>
        <row r="1055">
          <cell r="I1055">
            <v>40107</v>
          </cell>
          <cell r="J1055">
            <v>3400</v>
          </cell>
          <cell r="K1055">
            <v>90.5</v>
          </cell>
          <cell r="L1055">
            <v>1170</v>
          </cell>
          <cell r="M1055">
            <v>2450</v>
          </cell>
          <cell r="N1055">
            <v>6.8273999999999999</v>
          </cell>
          <cell r="O1055">
            <v>497.9933796174239</v>
          </cell>
          <cell r="P1055">
            <v>153.85</v>
          </cell>
          <cell r="Q1055">
            <v>119.95781703137357</v>
          </cell>
          <cell r="R1055">
            <v>64.592670709201158</v>
          </cell>
          <cell r="S1055">
            <v>191.61871078552514</v>
          </cell>
          <cell r="T1055">
            <v>530.0191985260999</v>
          </cell>
          <cell r="U1055">
            <v>-38.911645229311148</v>
          </cell>
        </row>
        <row r="1056">
          <cell r="I1056">
            <v>40108</v>
          </cell>
          <cell r="J1056">
            <v>3480</v>
          </cell>
          <cell r="K1056">
            <v>90.5</v>
          </cell>
          <cell r="L1056">
            <v>1170</v>
          </cell>
          <cell r="M1056">
            <v>2450</v>
          </cell>
          <cell r="N1056">
            <v>6.8289999999999997</v>
          </cell>
          <cell r="O1056">
            <v>509.59144823546643</v>
          </cell>
          <cell r="P1056">
            <v>153.85</v>
          </cell>
          <cell r="Q1056">
            <v>119.92971152438132</v>
          </cell>
          <cell r="R1056">
            <v>64.577536974666856</v>
          </cell>
          <cell r="S1056">
            <v>193.31018286768472</v>
          </cell>
          <cell r="T1056">
            <v>531.6674313667329</v>
          </cell>
          <cell r="U1056">
            <v>-35.413916082011383</v>
          </cell>
        </row>
        <row r="1057">
          <cell r="I1057">
            <v>40109</v>
          </cell>
          <cell r="J1057">
            <v>3480</v>
          </cell>
          <cell r="K1057">
            <v>93.5</v>
          </cell>
          <cell r="L1057">
            <v>1170</v>
          </cell>
          <cell r="M1057">
            <v>2450</v>
          </cell>
          <cell r="N1057">
            <v>6.8285</v>
          </cell>
          <cell r="O1057">
            <v>509.62876180713187</v>
          </cell>
          <cell r="P1057">
            <v>158.94999999999999</v>
          </cell>
          <cell r="Q1057">
            <v>119.93849308047155</v>
          </cell>
          <cell r="R1057">
            <v>64.582265504869298</v>
          </cell>
          <cell r="S1057">
            <v>192.57261585273886</v>
          </cell>
          <cell r="T1057">
            <v>536.0433744380797</v>
          </cell>
          <cell r="U1057">
            <v>-33.185385661814223</v>
          </cell>
        </row>
        <row r="1058">
          <cell r="I1058">
            <v>40110</v>
          </cell>
          <cell r="J1058">
            <v>3480</v>
          </cell>
          <cell r="K1058">
            <v>93.5</v>
          </cell>
          <cell r="L1058">
            <v>1170</v>
          </cell>
          <cell r="M1058">
            <v>2450</v>
          </cell>
          <cell r="N1058">
            <v>6.8285</v>
          </cell>
          <cell r="O1058">
            <v>509.62876180713187</v>
          </cell>
          <cell r="P1058">
            <v>158.94999999999999</v>
          </cell>
          <cell r="Q1058">
            <v>119.93849308047155</v>
          </cell>
          <cell r="R1058">
            <v>64.582265504869298</v>
          </cell>
          <cell r="S1058">
            <v>192.57261585273886</v>
          </cell>
          <cell r="T1058">
            <v>536.0433744380797</v>
          </cell>
          <cell r="U1058">
            <v>-30.95685524161695</v>
          </cell>
        </row>
        <row r="1059">
          <cell r="I1059">
            <v>40111</v>
          </cell>
          <cell r="J1059">
            <v>3480</v>
          </cell>
          <cell r="K1059">
            <v>93.5</v>
          </cell>
          <cell r="L1059">
            <v>1170</v>
          </cell>
          <cell r="M1059">
            <v>2450</v>
          </cell>
          <cell r="N1059">
            <v>6.8285</v>
          </cell>
          <cell r="O1059">
            <v>509.62876180713187</v>
          </cell>
          <cell r="P1059">
            <v>158.94999999999999</v>
          </cell>
          <cell r="Q1059">
            <v>119.93849308047155</v>
          </cell>
          <cell r="R1059">
            <v>64.582265504869298</v>
          </cell>
          <cell r="S1059">
            <v>192.57261585273886</v>
          </cell>
          <cell r="T1059">
            <v>536.0433744380797</v>
          </cell>
          <cell r="U1059">
            <v>-28.728324821419847</v>
          </cell>
        </row>
        <row r="1060">
          <cell r="I1060">
            <v>40112</v>
          </cell>
          <cell r="J1060">
            <v>3550</v>
          </cell>
          <cell r="K1060">
            <v>93.5</v>
          </cell>
          <cell r="L1060">
            <v>1170</v>
          </cell>
          <cell r="M1060">
            <v>2450</v>
          </cell>
          <cell r="N1060">
            <v>6.8277000000000001</v>
          </cell>
          <cell r="O1060">
            <v>519.94082926900717</v>
          </cell>
          <cell r="P1060">
            <v>158.94999999999999</v>
          </cell>
          <cell r="Q1060">
            <v>119.95254624544134</v>
          </cell>
          <cell r="R1060">
            <v>64.589832593699199</v>
          </cell>
          <cell r="S1060">
            <v>194.06780903681823</v>
          </cell>
          <cell r="T1060">
            <v>537.56018787595872</v>
          </cell>
          <cell r="U1060">
            <v>-26.137060374486168</v>
          </cell>
        </row>
        <row r="1061">
          <cell r="I1061">
            <v>40113</v>
          </cell>
          <cell r="J1061">
            <v>3560</v>
          </cell>
          <cell r="K1061">
            <v>93.5</v>
          </cell>
          <cell r="L1061">
            <v>1170</v>
          </cell>
          <cell r="M1061">
            <v>2450</v>
          </cell>
          <cell r="N1061">
            <v>6.8293999999999997</v>
          </cell>
          <cell r="O1061">
            <v>521.27566111224996</v>
          </cell>
          <cell r="P1061">
            <v>158.94999999999999</v>
          </cell>
          <cell r="Q1061">
            <v>119.92268720531817</v>
          </cell>
          <cell r="R1061">
            <v>64.573754649017488</v>
          </cell>
          <cell r="S1061">
            <v>194.26843356738925</v>
          </cell>
          <cell r="T1061">
            <v>537.71487542172486</v>
          </cell>
          <cell r="U1061">
            <v>-23.914887549887567</v>
          </cell>
        </row>
        <row r="1062">
          <cell r="I1062">
            <v>40114</v>
          </cell>
          <cell r="J1062">
            <v>3560</v>
          </cell>
          <cell r="K1062">
            <v>93.5</v>
          </cell>
          <cell r="L1062">
            <v>1170</v>
          </cell>
          <cell r="M1062">
            <v>2450</v>
          </cell>
          <cell r="N1062">
            <v>6.8281000000000001</v>
          </cell>
          <cell r="O1062">
            <v>521.37490663581377</v>
          </cell>
          <cell r="P1062">
            <v>158.94999999999999</v>
          </cell>
          <cell r="Q1062">
            <v>119.94551925132906</v>
          </cell>
          <cell r="R1062">
            <v>64.586048827638734</v>
          </cell>
          <cell r="S1062">
            <v>194.27775004672117</v>
          </cell>
          <cell r="T1062">
            <v>537.75931812568899</v>
          </cell>
          <cell r="U1062">
            <v>-21.680400775773251</v>
          </cell>
        </row>
        <row r="1063">
          <cell r="I1063">
            <v>40115</v>
          </cell>
          <cell r="J1063">
            <v>3470</v>
          </cell>
          <cell r="K1063">
            <v>93.5</v>
          </cell>
          <cell r="L1063">
            <v>1170</v>
          </cell>
          <cell r="M1063">
            <v>2450</v>
          </cell>
          <cell r="N1063">
            <v>6.8280000000000003</v>
          </cell>
          <cell r="O1063">
            <v>508.20152314001172</v>
          </cell>
          <cell r="P1063">
            <v>158.94999999999999</v>
          </cell>
          <cell r="Q1063">
            <v>119.94727592267135</v>
          </cell>
          <cell r="R1063">
            <v>64.58699472759227</v>
          </cell>
          <cell r="S1063">
            <v>192.36327600278389</v>
          </cell>
          <cell r="T1063">
            <v>535.84754665304752</v>
          </cell>
          <cell r="U1063">
            <v>-22.476120830311629</v>
          </cell>
        </row>
        <row r="1064">
          <cell r="I1064">
            <v>40116</v>
          </cell>
          <cell r="J1064">
            <v>3470</v>
          </cell>
          <cell r="K1064">
            <v>93.5</v>
          </cell>
          <cell r="L1064">
            <v>1170</v>
          </cell>
          <cell r="M1064">
            <v>2450</v>
          </cell>
          <cell r="N1064">
            <v>6.8273999999999999</v>
          </cell>
          <cell r="O1064">
            <v>508.24618449190029</v>
          </cell>
          <cell r="P1064">
            <v>158.94999999999999</v>
          </cell>
          <cell r="Q1064">
            <v>119.95781703137357</v>
          </cell>
          <cell r="R1064">
            <v>64.592670709201158</v>
          </cell>
          <cell r="S1064">
            <v>192.36740892967981</v>
          </cell>
          <cell r="T1064">
            <v>535.86789667025459</v>
          </cell>
          <cell r="U1064">
            <v>-22.648563622798179</v>
          </cell>
        </row>
        <row r="1065">
          <cell r="I1065">
            <v>40117</v>
          </cell>
          <cell r="J1065">
            <v>3510</v>
          </cell>
          <cell r="K1065">
            <v>94.5</v>
          </cell>
          <cell r="L1065">
            <v>1182</v>
          </cell>
          <cell r="M1065">
            <v>2450</v>
          </cell>
          <cell r="N1065">
            <v>6.8274999999999997</v>
          </cell>
          <cell r="O1065">
            <v>514.09740021969981</v>
          </cell>
          <cell r="P1065">
            <v>160.65</v>
          </cell>
          <cell r="Q1065">
            <v>121.1863786158916</v>
          </cell>
          <cell r="R1065">
            <v>64.591724642987913</v>
          </cell>
          <cell r="S1065">
            <v>192.79220554131575</v>
          </cell>
          <cell r="T1065">
            <v>539.2203088001952</v>
          </cell>
          <cell r="U1065">
            <v>-22.464034472733601</v>
          </cell>
        </row>
        <row r="1066">
          <cell r="I1066">
            <v>40118</v>
          </cell>
          <cell r="J1066">
            <v>3510</v>
          </cell>
          <cell r="K1066">
            <v>94.5</v>
          </cell>
          <cell r="L1066">
            <v>1182</v>
          </cell>
          <cell r="M1066">
            <v>2450</v>
          </cell>
          <cell r="N1066">
            <v>6.8274999999999997</v>
          </cell>
          <cell r="O1066">
            <v>514.09740021969981</v>
          </cell>
          <cell r="P1066">
            <v>160.65</v>
          </cell>
          <cell r="Q1066">
            <v>121.1863786158916</v>
          </cell>
          <cell r="R1066">
            <v>64.591724642987913</v>
          </cell>
          <cell r="S1066">
            <v>192.79220554131575</v>
          </cell>
          <cell r="T1066">
            <v>539.2203088001952</v>
          </cell>
          <cell r="U1066">
            <v>-22.279505322668911</v>
          </cell>
        </row>
        <row r="1067">
          <cell r="I1067">
            <v>40119</v>
          </cell>
          <cell r="J1067">
            <v>3510</v>
          </cell>
          <cell r="K1067">
            <v>94.5</v>
          </cell>
          <cell r="L1067">
            <v>1182</v>
          </cell>
          <cell r="M1067">
            <v>2450</v>
          </cell>
          <cell r="N1067">
            <v>6.8278999999999996</v>
          </cell>
          <cell r="O1067">
            <v>514.06728276629713</v>
          </cell>
          <cell r="P1067">
            <v>160.65</v>
          </cell>
          <cell r="Q1067">
            <v>121.17927913414081</v>
          </cell>
          <cell r="R1067">
            <v>64.587940655252709</v>
          </cell>
          <cell r="S1067">
            <v>192.78941085989197</v>
          </cell>
          <cell r="T1067">
            <v>539.20663064928556</v>
          </cell>
          <cell r="U1067">
            <v>-23.353789504960105</v>
          </cell>
        </row>
        <row r="1068">
          <cell r="I1068">
            <v>40120</v>
          </cell>
          <cell r="J1068">
            <v>3530</v>
          </cell>
          <cell r="K1068">
            <v>94.5</v>
          </cell>
          <cell r="L1068">
            <v>1182</v>
          </cell>
          <cell r="M1068">
            <v>2450</v>
          </cell>
          <cell r="N1068">
            <v>6.8278999999999996</v>
          </cell>
          <cell r="O1068">
            <v>516.99644107265783</v>
          </cell>
          <cell r="P1068">
            <v>160.65</v>
          </cell>
          <cell r="Q1068">
            <v>121.17927913414081</v>
          </cell>
          <cell r="R1068">
            <v>64.587940655252709</v>
          </cell>
          <cell r="S1068">
            <v>193.21501505825205</v>
          </cell>
          <cell r="T1068">
            <v>539.63223484764558</v>
          </cell>
          <cell r="U1068">
            <v>-24.239015142890366</v>
          </cell>
        </row>
        <row r="1069">
          <cell r="I1069">
            <v>40121</v>
          </cell>
          <cell r="J1069">
            <v>3530</v>
          </cell>
          <cell r="K1069">
            <v>94.5</v>
          </cell>
          <cell r="L1069">
            <v>1182</v>
          </cell>
          <cell r="M1069">
            <v>2450</v>
          </cell>
          <cell r="N1069">
            <v>6.827</v>
          </cell>
          <cell r="O1069">
            <v>517.06459645525126</v>
          </cell>
          <cell r="P1069">
            <v>160.65</v>
          </cell>
          <cell r="Q1069">
            <v>121.19525413798154</v>
          </cell>
          <cell r="R1069">
            <v>64.59645525120844</v>
          </cell>
          <cell r="S1069">
            <v>193.2213596591713</v>
          </cell>
          <cell r="T1069">
            <v>539.66306904836131</v>
          </cell>
          <cell r="U1069">
            <v>-25.126738157638215</v>
          </cell>
        </row>
        <row r="1070">
          <cell r="I1070">
            <v>40122</v>
          </cell>
          <cell r="J1070">
            <v>3530</v>
          </cell>
          <cell r="K1070">
            <v>94.5</v>
          </cell>
          <cell r="L1070">
            <v>1182</v>
          </cell>
          <cell r="M1070">
            <v>2450</v>
          </cell>
          <cell r="N1070">
            <v>6.8274999999999997</v>
          </cell>
          <cell r="O1070">
            <v>517.02673013548156</v>
          </cell>
          <cell r="P1070">
            <v>160.65</v>
          </cell>
          <cell r="Q1070">
            <v>121.1863786158916</v>
          </cell>
          <cell r="R1070">
            <v>64.591724642987913</v>
          </cell>
          <cell r="S1070">
            <v>193.21783467437808</v>
          </cell>
          <cell r="T1070">
            <v>539.64593793325753</v>
          </cell>
          <cell r="U1070">
            <v>-24.40862162688677</v>
          </cell>
        </row>
        <row r="1071">
          <cell r="I1071">
            <v>40123</v>
          </cell>
          <cell r="J1071">
            <v>3530</v>
          </cell>
          <cell r="K1071">
            <v>94.5</v>
          </cell>
          <cell r="L1071">
            <v>1182</v>
          </cell>
          <cell r="M1071">
            <v>2450</v>
          </cell>
          <cell r="N1071">
            <v>6.8274999999999997</v>
          </cell>
          <cell r="O1071">
            <v>517.02673013548156</v>
          </cell>
          <cell r="P1071">
            <v>160.65</v>
          </cell>
          <cell r="Q1071">
            <v>121.1863786158916</v>
          </cell>
          <cell r="R1071">
            <v>64.591724642987913</v>
          </cell>
          <cell r="S1071">
            <v>193.21783467437808</v>
          </cell>
          <cell r="T1071">
            <v>539.64593793325753</v>
          </cell>
          <cell r="U1071">
            <v>-23.693978143946993</v>
          </cell>
        </row>
        <row r="1072">
          <cell r="I1072">
            <v>40124</v>
          </cell>
          <cell r="J1072">
            <v>3530</v>
          </cell>
          <cell r="K1072">
            <v>99.5</v>
          </cell>
          <cell r="L1072">
            <v>1182</v>
          </cell>
          <cell r="M1072">
            <v>2450</v>
          </cell>
          <cell r="N1072">
            <v>6.8273999999999999</v>
          </cell>
          <cell r="O1072">
            <v>517.03430295573719</v>
          </cell>
          <cell r="P1072">
            <v>169.15</v>
          </cell>
          <cell r="Q1072">
            <v>121.18815361631074</v>
          </cell>
          <cell r="R1072">
            <v>64.592670709201158</v>
          </cell>
          <cell r="S1072">
            <v>191.98349689498997</v>
          </cell>
          <cell r="T1072">
            <v>546.91432122050196</v>
          </cell>
          <cell r="U1072">
            <v>-24.37356524169968</v>
          </cell>
        </row>
        <row r="1073">
          <cell r="I1073">
            <v>40125</v>
          </cell>
          <cell r="J1073">
            <v>3530</v>
          </cell>
          <cell r="K1073">
            <v>99.5</v>
          </cell>
          <cell r="L1073">
            <v>1182</v>
          </cell>
          <cell r="M1073">
            <v>2450</v>
          </cell>
          <cell r="N1073">
            <v>6.8273999999999999</v>
          </cell>
          <cell r="O1073">
            <v>517.03430295573719</v>
          </cell>
          <cell r="P1073">
            <v>169.15</v>
          </cell>
          <cell r="Q1073">
            <v>121.18815361631074</v>
          </cell>
          <cell r="R1073">
            <v>64.592670709201158</v>
          </cell>
          <cell r="S1073">
            <v>191.98349689498997</v>
          </cell>
          <cell r="T1073">
            <v>546.91432122050196</v>
          </cell>
          <cell r="U1073">
            <v>-25.053152339452481</v>
          </cell>
        </row>
        <row r="1074">
          <cell r="I1074">
            <v>40126</v>
          </cell>
          <cell r="J1074">
            <v>3620</v>
          </cell>
          <cell r="K1074">
            <v>99.5</v>
          </cell>
          <cell r="L1074">
            <v>1182</v>
          </cell>
          <cell r="M1074">
            <v>2450</v>
          </cell>
          <cell r="N1074">
            <v>6.827</v>
          </cell>
          <cell r="O1074">
            <v>530.24754650651823</v>
          </cell>
          <cell r="P1074">
            <v>169.15</v>
          </cell>
          <cell r="Q1074">
            <v>121.19525413798154</v>
          </cell>
          <cell r="R1074">
            <v>64.59645525120844</v>
          </cell>
          <cell r="S1074">
            <v>193.90178829909894</v>
          </cell>
          <cell r="T1074">
            <v>548.84349768828895</v>
          </cell>
          <cell r="U1074">
            <v>-24.118381382135681</v>
          </cell>
        </row>
        <row r="1075">
          <cell r="I1075">
            <v>40127</v>
          </cell>
          <cell r="J1075">
            <v>3620</v>
          </cell>
          <cell r="K1075">
            <v>99.5</v>
          </cell>
          <cell r="L1075">
            <v>1182</v>
          </cell>
          <cell r="M1075">
            <v>2450</v>
          </cell>
          <cell r="N1075">
            <v>6.8266999999999998</v>
          </cell>
          <cell r="O1075">
            <v>530.27084828687362</v>
          </cell>
          <cell r="P1075">
            <v>169.15</v>
          </cell>
          <cell r="Q1075">
            <v>121.20058007529261</v>
          </cell>
          <cell r="R1075">
            <v>64.599293948760007</v>
          </cell>
          <cell r="S1075">
            <v>193.90398771340136</v>
          </cell>
          <cell r="T1075">
            <v>548.85386173745405</v>
          </cell>
          <cell r="U1075">
            <v>-23.539412764363306</v>
          </cell>
        </row>
        <row r="1076">
          <cell r="I1076">
            <v>40128</v>
          </cell>
          <cell r="J1076">
            <v>3620</v>
          </cell>
          <cell r="K1076">
            <v>99.5</v>
          </cell>
          <cell r="L1076">
            <v>1182</v>
          </cell>
          <cell r="M1076">
            <v>2450</v>
          </cell>
          <cell r="N1076">
            <v>6.8258999999999999</v>
          </cell>
          <cell r="O1076">
            <v>530.33299638142955</v>
          </cell>
          <cell r="P1076">
            <v>169.15</v>
          </cell>
          <cell r="Q1076">
            <v>121.21478486353448</v>
          </cell>
          <cell r="R1076">
            <v>64.606865028787411</v>
          </cell>
          <cell r="S1076">
            <v>193.9098537633746</v>
          </cell>
          <cell r="T1076">
            <v>548.88150365569652</v>
          </cell>
          <cell r="U1076">
            <v>-22.960846290242898</v>
          </cell>
        </row>
        <row r="1077">
          <cell r="I1077">
            <v>40129</v>
          </cell>
          <cell r="J1077">
            <v>3620</v>
          </cell>
          <cell r="K1077">
            <v>99.5</v>
          </cell>
          <cell r="L1077">
            <v>1182</v>
          </cell>
          <cell r="M1077">
            <v>2450</v>
          </cell>
          <cell r="N1077">
            <v>6.8266999999999998</v>
          </cell>
          <cell r="O1077">
            <v>530.27084828687362</v>
          </cell>
          <cell r="P1077">
            <v>169.15</v>
          </cell>
          <cell r="Q1077">
            <v>121.20058007529261</v>
          </cell>
          <cell r="R1077">
            <v>64.599293948760007</v>
          </cell>
          <cell r="S1077">
            <v>193.90398771340136</v>
          </cell>
          <cell r="T1077">
            <v>548.85386173745405</v>
          </cell>
          <cell r="U1077">
            <v>-22.384247097786215</v>
          </cell>
        </row>
        <row r="1078">
          <cell r="I1078">
            <v>40130</v>
          </cell>
          <cell r="J1078">
            <v>3640</v>
          </cell>
          <cell r="K1078">
            <v>104.5</v>
          </cell>
          <cell r="L1078">
            <v>1182</v>
          </cell>
          <cell r="M1078">
            <v>2450</v>
          </cell>
          <cell r="N1078">
            <v>6.8262999999999998</v>
          </cell>
          <cell r="O1078">
            <v>533.23176537802328</v>
          </cell>
          <cell r="P1078">
            <v>177.65</v>
          </cell>
          <cell r="Q1078">
            <v>121.20768205323529</v>
          </cell>
          <cell r="R1078">
            <v>64.603079266952818</v>
          </cell>
          <cell r="S1078">
            <v>193.09758178618114</v>
          </cell>
          <cell r="T1078">
            <v>556.55834310636919</v>
          </cell>
          <cell r="U1078">
            <v>-22.485299945010524</v>
          </cell>
        </row>
        <row r="1079">
          <cell r="I1079">
            <v>40131</v>
          </cell>
          <cell r="J1079">
            <v>3640</v>
          </cell>
          <cell r="K1079">
            <v>104.5</v>
          </cell>
          <cell r="L1079">
            <v>1182</v>
          </cell>
          <cell r="M1079">
            <v>2450</v>
          </cell>
          <cell r="N1079">
            <v>6.8262999999999998</v>
          </cell>
          <cell r="O1079">
            <v>533.23176537802328</v>
          </cell>
          <cell r="P1079">
            <v>177.65</v>
          </cell>
          <cell r="Q1079">
            <v>121.20768205323529</v>
          </cell>
          <cell r="R1079">
            <v>64.603079266952818</v>
          </cell>
          <cell r="S1079">
            <v>193.09758178618114</v>
          </cell>
          <cell r="T1079">
            <v>556.55834310636919</v>
          </cell>
          <cell r="U1079">
            <v>-21.549094154093495</v>
          </cell>
        </row>
        <row r="1080">
          <cell r="I1080">
            <v>40132</v>
          </cell>
          <cell r="J1080">
            <v>3640</v>
          </cell>
          <cell r="K1080">
            <v>104.5</v>
          </cell>
          <cell r="L1080">
            <v>1182</v>
          </cell>
          <cell r="M1080">
            <v>2450</v>
          </cell>
          <cell r="N1080">
            <v>6.8262999999999998</v>
          </cell>
          <cell r="O1080">
            <v>533.23176537802328</v>
          </cell>
          <cell r="P1080">
            <v>177.65</v>
          </cell>
          <cell r="Q1080">
            <v>121.20768205323529</v>
          </cell>
          <cell r="R1080">
            <v>64.603079266952818</v>
          </cell>
          <cell r="S1080">
            <v>193.09758178618114</v>
          </cell>
          <cell r="T1080">
            <v>556.55834310636919</v>
          </cell>
          <cell r="U1080">
            <v>-20.612888363176694</v>
          </cell>
        </row>
        <row r="1081">
          <cell r="I1081">
            <v>40133</v>
          </cell>
          <cell r="J1081">
            <v>3640</v>
          </cell>
          <cell r="K1081">
            <v>104.5</v>
          </cell>
          <cell r="L1081">
            <v>1182</v>
          </cell>
          <cell r="M1081">
            <v>2450</v>
          </cell>
          <cell r="N1081">
            <v>6.8269000000000002</v>
          </cell>
          <cell r="O1081">
            <v>533.1849009067073</v>
          </cell>
          <cell r="P1081">
            <v>177.65</v>
          </cell>
          <cell r="Q1081">
            <v>121.19702939840921</v>
          </cell>
          <cell r="R1081">
            <v>64.597401456004917</v>
          </cell>
          <cell r="S1081">
            <v>193.0931452212734</v>
          </cell>
          <cell r="T1081">
            <v>556.53757607568753</v>
          </cell>
          <cell r="U1081">
            <v>-21.2924203613494</v>
          </cell>
        </row>
        <row r="1082">
          <cell r="I1082">
            <v>40134</v>
          </cell>
          <cell r="J1082">
            <v>3660</v>
          </cell>
          <cell r="K1082">
            <v>104.5</v>
          </cell>
          <cell r="L1082">
            <v>1182</v>
          </cell>
          <cell r="M1082">
            <v>2550</v>
          </cell>
          <cell r="N1082">
            <v>6.8266</v>
          </cell>
          <cell r="O1082">
            <v>536.13804822312716</v>
          </cell>
          <cell r="P1082">
            <v>177.65</v>
          </cell>
          <cell r="Q1082">
            <v>121.20235549175284</v>
          </cell>
          <cell r="R1082">
            <v>67.236984736179068</v>
          </cell>
          <cell r="S1082">
            <v>193.13793193092584</v>
          </cell>
          <cell r="T1082">
            <v>559.22727215885777</v>
          </cell>
          <cell r="U1082">
            <v>-21.936164716370854</v>
          </cell>
        </row>
        <row r="1083">
          <cell r="I1083">
            <v>40135</v>
          </cell>
          <cell r="J1083">
            <v>3640</v>
          </cell>
          <cell r="K1083">
            <v>104.5</v>
          </cell>
          <cell r="L1083">
            <v>1182</v>
          </cell>
          <cell r="M1083">
            <v>2550</v>
          </cell>
          <cell r="N1083">
            <v>6.827</v>
          </cell>
          <cell r="O1083">
            <v>533.17709096235535</v>
          </cell>
          <cell r="P1083">
            <v>177.65</v>
          </cell>
          <cell r="Q1083">
            <v>121.19525413798154</v>
          </cell>
          <cell r="R1083">
            <v>67.233045261461839</v>
          </cell>
          <cell r="S1083">
            <v>192.70931159461117</v>
          </cell>
          <cell r="T1083">
            <v>558.7876109940546</v>
          </cell>
          <cell r="U1083">
            <v>-22.94502368171834</v>
          </cell>
        </row>
        <row r="1084">
          <cell r="I1084">
            <v>40136</v>
          </cell>
          <cell r="J1084">
            <v>3640</v>
          </cell>
          <cell r="K1084">
            <v>104.5</v>
          </cell>
          <cell r="L1084">
            <v>1182</v>
          </cell>
          <cell r="M1084">
            <v>2550</v>
          </cell>
          <cell r="N1084">
            <v>6.8284000000000002</v>
          </cell>
          <cell r="O1084">
            <v>533.06777576006095</v>
          </cell>
          <cell r="P1084">
            <v>177.65</v>
          </cell>
          <cell r="Q1084">
            <v>121.17040595161384</v>
          </cell>
          <cell r="R1084">
            <v>67.219260734579109</v>
          </cell>
          <cell r="S1084">
            <v>192.69904148936541</v>
          </cell>
          <cell r="T1084">
            <v>558.73870817555837</v>
          </cell>
          <cell r="U1084">
            <v>-23.957583533849402</v>
          </cell>
        </row>
        <row r="1085">
          <cell r="I1085">
            <v>40137</v>
          </cell>
          <cell r="J1085">
            <v>3700</v>
          </cell>
          <cell r="K1085">
            <v>104.5</v>
          </cell>
          <cell r="L1085">
            <v>1182</v>
          </cell>
          <cell r="M1085">
            <v>2550</v>
          </cell>
          <cell r="N1085">
            <v>6.8274999999999997</v>
          </cell>
          <cell r="O1085">
            <v>541.92603441962649</v>
          </cell>
          <cell r="P1085">
            <v>177.65</v>
          </cell>
          <cell r="Q1085">
            <v>121.1863786158916</v>
          </cell>
          <cell r="R1085">
            <v>67.228121567191508</v>
          </cell>
          <cell r="S1085">
            <v>193.98253061556613</v>
          </cell>
          <cell r="T1085">
            <v>560.0470307986493</v>
          </cell>
          <cell r="U1085">
            <v>-23.213929055374592</v>
          </cell>
        </row>
        <row r="1086">
          <cell r="I1086">
            <v>40138</v>
          </cell>
          <cell r="J1086">
            <v>3700</v>
          </cell>
          <cell r="K1086">
            <v>105.5</v>
          </cell>
          <cell r="L1086">
            <v>1182</v>
          </cell>
          <cell r="M1086">
            <v>2550</v>
          </cell>
          <cell r="N1086">
            <v>6.8277999999999999</v>
          </cell>
          <cell r="O1086">
            <v>541.902223263716</v>
          </cell>
          <cell r="P1086">
            <v>179.35</v>
          </cell>
          <cell r="Q1086">
            <v>121.1810539265942</v>
          </cell>
          <cell r="R1086">
            <v>67.225167696769091</v>
          </cell>
          <cell r="S1086">
            <v>193.7332651956068</v>
          </cell>
          <cell r="T1086">
            <v>561.48948681897014</v>
          </cell>
          <cell r="U1086">
            <v>-22.679741316361628</v>
          </cell>
        </row>
        <row r="1087">
          <cell r="I1087">
            <v>40139</v>
          </cell>
          <cell r="J1087">
            <v>3700</v>
          </cell>
          <cell r="K1087">
            <v>105.5</v>
          </cell>
          <cell r="L1087">
            <v>1182</v>
          </cell>
          <cell r="M1087">
            <v>2550</v>
          </cell>
          <cell r="N1087">
            <v>6.8277999999999999</v>
          </cell>
          <cell r="O1087">
            <v>541.902223263716</v>
          </cell>
          <cell r="P1087">
            <v>179.35</v>
          </cell>
          <cell r="Q1087">
            <v>121.1810539265942</v>
          </cell>
          <cell r="R1087">
            <v>67.225167696769091</v>
          </cell>
          <cell r="S1087">
            <v>193.7332651956068</v>
          </cell>
          <cell r="T1087">
            <v>561.48948681897014</v>
          </cell>
          <cell r="U1087">
            <v>-22.145553577348437</v>
          </cell>
        </row>
        <row r="1088">
          <cell r="I1088">
            <v>40140</v>
          </cell>
          <cell r="J1088">
            <v>3720</v>
          </cell>
          <cell r="K1088">
            <v>105.5</v>
          </cell>
          <cell r="L1088">
            <v>1182</v>
          </cell>
          <cell r="M1088">
            <v>2550</v>
          </cell>
          <cell r="N1088">
            <v>6.8311000000000002</v>
          </cell>
          <cell r="O1088">
            <v>544.5682247368652</v>
          </cell>
          <cell r="P1088">
            <v>179.35</v>
          </cell>
          <cell r="Q1088">
            <v>121.12251321163501</v>
          </cell>
          <cell r="R1088">
            <v>67.192692245758366</v>
          </cell>
          <cell r="S1088">
            <v>194.13385750214547</v>
          </cell>
          <cell r="T1088">
            <v>561.7990629595389</v>
          </cell>
          <cell r="U1088">
            <v>-21.271005442161822</v>
          </cell>
        </row>
        <row r="1089">
          <cell r="I1089">
            <v>40141</v>
          </cell>
          <cell r="J1089">
            <v>3750</v>
          </cell>
          <cell r="K1089">
            <v>105.5</v>
          </cell>
          <cell r="L1089">
            <v>1182</v>
          </cell>
          <cell r="M1089">
            <v>2550</v>
          </cell>
          <cell r="N1089">
            <v>6.8303000000000003</v>
          </cell>
          <cell r="O1089">
            <v>549.02420098677953</v>
          </cell>
          <cell r="P1089">
            <v>179.35</v>
          </cell>
          <cell r="Q1089">
            <v>121.13669970572302</v>
          </cell>
          <cell r="R1089">
            <v>67.200562200781803</v>
          </cell>
          <cell r="S1089">
            <v>194.77810225952709</v>
          </cell>
          <cell r="T1089">
            <v>562.46536416603192</v>
          </cell>
          <cell r="U1089">
            <v>-19.892711048379169</v>
          </cell>
        </row>
        <row r="1090">
          <cell r="I1090">
            <v>40142</v>
          </cell>
          <cell r="J1090">
            <v>3750</v>
          </cell>
          <cell r="K1090">
            <v>105.5</v>
          </cell>
          <cell r="L1090">
            <v>1182</v>
          </cell>
          <cell r="M1090">
            <v>2550</v>
          </cell>
          <cell r="N1090">
            <v>6.8273000000000001</v>
          </cell>
          <cell r="O1090">
            <v>549.26544900619569</v>
          </cell>
          <cell r="P1090">
            <v>179.35</v>
          </cell>
          <cell r="Q1090">
            <v>121.18992866872702</v>
          </cell>
          <cell r="R1090">
            <v>67.230090958358346</v>
          </cell>
          <cell r="S1090">
            <v>194.80113076448606</v>
          </cell>
          <cell r="T1090">
            <v>562.57115039157145</v>
          </cell>
          <cell r="U1090">
            <v>-18.134879813189968</v>
          </cell>
        </row>
        <row r="1091">
          <cell r="I1091">
            <v>40143</v>
          </cell>
          <cell r="J1091">
            <v>3750</v>
          </cell>
          <cell r="K1091">
            <v>105.5</v>
          </cell>
          <cell r="L1091">
            <v>1182</v>
          </cell>
          <cell r="M1091">
            <v>2550</v>
          </cell>
          <cell r="N1091">
            <v>6.8262</v>
          </cell>
          <cell r="O1091">
            <v>549.35395974334187</v>
          </cell>
          <cell r="P1091">
            <v>179.35</v>
          </cell>
          <cell r="Q1091">
            <v>121.20945767777093</v>
          </cell>
          <cell r="R1091">
            <v>67.240924672585038</v>
          </cell>
          <cell r="S1091">
            <v>194.80957962120306</v>
          </cell>
          <cell r="T1091">
            <v>562.60996197155896</v>
          </cell>
          <cell r="U1091">
            <v>-16.361318357864207</v>
          </cell>
        </row>
        <row r="1092">
          <cell r="I1092">
            <v>40144</v>
          </cell>
          <cell r="J1092">
            <v>3700</v>
          </cell>
          <cell r="K1092">
            <v>105.5</v>
          </cell>
          <cell r="L1092">
            <v>1182</v>
          </cell>
          <cell r="M1092">
            <v>2550</v>
          </cell>
          <cell r="N1092">
            <v>6.8292000000000002</v>
          </cell>
          <cell r="O1092">
            <v>541.79113219703629</v>
          </cell>
          <cell r="P1092">
            <v>179.35</v>
          </cell>
          <cell r="Q1092">
            <v>121.15621156211562</v>
          </cell>
          <cell r="R1092">
            <v>67.211386399578274</v>
          </cell>
          <cell r="S1092">
            <v>193.72273574359679</v>
          </cell>
          <cell r="T1092">
            <v>561.44033370529064</v>
          </cell>
          <cell r="U1092">
            <v>-16.579633376326001</v>
          </cell>
        </row>
        <row r="1093">
          <cell r="I1093">
            <v>40145</v>
          </cell>
          <cell r="J1093">
            <v>3700</v>
          </cell>
          <cell r="K1093">
            <v>107</v>
          </cell>
          <cell r="L1093">
            <v>1182</v>
          </cell>
          <cell r="M1093">
            <v>2550</v>
          </cell>
          <cell r="N1093">
            <v>6.8285</v>
          </cell>
          <cell r="O1093">
            <v>541.84667203631841</v>
          </cell>
          <cell r="P1093">
            <v>181.9</v>
          </cell>
          <cell r="Q1093">
            <v>121.1686314710405</v>
          </cell>
          <cell r="R1093">
            <v>67.218276341802735</v>
          </cell>
          <cell r="S1093">
            <v>193.35748710939384</v>
          </cell>
          <cell r="T1093">
            <v>563.6443949222371</v>
          </cell>
          <cell r="U1093">
            <v>-16.895413280706521</v>
          </cell>
        </row>
        <row r="1094">
          <cell r="I1094">
            <v>40146</v>
          </cell>
          <cell r="J1094">
            <v>3700</v>
          </cell>
          <cell r="K1094">
            <v>107</v>
          </cell>
          <cell r="L1094">
            <v>1182</v>
          </cell>
          <cell r="M1094">
            <v>2550</v>
          </cell>
          <cell r="N1094">
            <v>6.8285</v>
          </cell>
          <cell r="O1094">
            <v>541.84667203631841</v>
          </cell>
          <cell r="P1094">
            <v>181.9</v>
          </cell>
          <cell r="Q1094">
            <v>121.1686314710405</v>
          </cell>
          <cell r="R1094">
            <v>67.218276341802735</v>
          </cell>
          <cell r="S1094">
            <v>193.35748710939384</v>
          </cell>
          <cell r="T1094">
            <v>563.6443949222371</v>
          </cell>
          <cell r="U1094">
            <v>-17.211193185087154</v>
          </cell>
        </row>
        <row r="1095">
          <cell r="I1095">
            <v>40147</v>
          </cell>
          <cell r="J1095">
            <v>3640</v>
          </cell>
          <cell r="K1095">
            <v>107</v>
          </cell>
          <cell r="L1095">
            <v>1182</v>
          </cell>
          <cell r="M1095">
            <v>2550</v>
          </cell>
          <cell r="N1095">
            <v>6.8273000000000001</v>
          </cell>
          <cell r="O1095">
            <v>533.15366250201396</v>
          </cell>
          <cell r="P1095">
            <v>181.9</v>
          </cell>
          <cell r="Q1095">
            <v>121.18992866872702</v>
          </cell>
          <cell r="R1095">
            <v>67.230090958358346</v>
          </cell>
          <cell r="S1095">
            <v>192.08958913567341</v>
          </cell>
          <cell r="T1095">
            <v>562.40960876275881</v>
          </cell>
          <cell r="U1095">
            <v>-18.929065761954462</v>
          </cell>
        </row>
        <row r="1096">
          <cell r="I1096">
            <v>40148</v>
          </cell>
          <cell r="J1096">
            <v>3660</v>
          </cell>
          <cell r="K1096">
            <v>107</v>
          </cell>
          <cell r="L1096">
            <v>1182</v>
          </cell>
          <cell r="M1096">
            <v>2550</v>
          </cell>
          <cell r="N1096">
            <v>6.8261000000000003</v>
          </cell>
          <cell r="O1096">
            <v>536.17731940639601</v>
          </cell>
          <cell r="P1096">
            <v>181.9</v>
          </cell>
          <cell r="Q1096">
            <v>121.21123335433117</v>
          </cell>
          <cell r="R1096">
            <v>67.241909728834898</v>
          </cell>
          <cell r="S1096">
            <v>192.52411108970011</v>
          </cell>
          <cell r="T1096">
            <v>562.87725417286617</v>
          </cell>
          <cell r="U1096">
            <v>-20.823175988699973</v>
          </cell>
        </row>
        <row r="1097">
          <cell r="I1097">
            <v>40149</v>
          </cell>
          <cell r="J1097">
            <v>3660</v>
          </cell>
          <cell r="K1097">
            <v>107</v>
          </cell>
          <cell r="L1097">
            <v>1182</v>
          </cell>
          <cell r="M1097">
            <v>2550</v>
          </cell>
          <cell r="N1097">
            <v>6.8262999999999998</v>
          </cell>
          <cell r="O1097">
            <v>536.16161024273765</v>
          </cell>
          <cell r="P1097">
            <v>181.9</v>
          </cell>
          <cell r="Q1097">
            <v>121.20768205323529</v>
          </cell>
          <cell r="R1097">
            <v>67.239939645195776</v>
          </cell>
          <cell r="S1097">
            <v>192.52263081413003</v>
          </cell>
          <cell r="T1097">
            <v>562.87025251256114</v>
          </cell>
          <cell r="U1097">
            <v>-22.737881829335265</v>
          </cell>
        </row>
        <row r="1098">
          <cell r="I1098">
            <v>40150</v>
          </cell>
          <cell r="J1098">
            <v>3700</v>
          </cell>
          <cell r="K1098">
            <v>107</v>
          </cell>
          <cell r="L1098">
            <v>1182</v>
          </cell>
          <cell r="M1098">
            <v>2550</v>
          </cell>
          <cell r="N1098">
            <v>6.8269000000000002</v>
          </cell>
          <cell r="O1098">
            <v>541.97366300956514</v>
          </cell>
          <cell r="P1098">
            <v>181.9</v>
          </cell>
          <cell r="Q1098">
            <v>121.19702939840921</v>
          </cell>
          <cell r="R1098">
            <v>67.234030086862262</v>
          </cell>
          <cell r="S1098">
            <v>193.36952358899993</v>
          </cell>
          <cell r="T1098">
            <v>563.70058307427144</v>
          </cell>
          <cell r="U1098">
            <v>-23.948012948833934</v>
          </cell>
        </row>
        <row r="1099">
          <cell r="I1099">
            <v>40151</v>
          </cell>
          <cell r="J1099">
            <v>3660</v>
          </cell>
          <cell r="K1099">
            <v>107</v>
          </cell>
          <cell r="L1099">
            <v>1182</v>
          </cell>
          <cell r="M1099">
            <v>2550</v>
          </cell>
          <cell r="N1099">
            <v>6.827</v>
          </cell>
          <cell r="O1099">
            <v>536.10663541819247</v>
          </cell>
          <cell r="P1099">
            <v>181.9</v>
          </cell>
          <cell r="Q1099">
            <v>121.19525413798154</v>
          </cell>
          <cell r="R1099">
            <v>67.233045261461839</v>
          </cell>
          <cell r="S1099">
            <v>192.5174505326388</v>
          </cell>
          <cell r="T1099">
            <v>562.84574993208219</v>
          </cell>
          <cell r="U1099">
            <v>-24.960857663924571</v>
          </cell>
        </row>
        <row r="1100">
          <cell r="I1100">
            <v>40152</v>
          </cell>
          <cell r="J1100">
            <v>3660</v>
          </cell>
          <cell r="K1100">
            <v>107</v>
          </cell>
          <cell r="L1100">
            <v>1350</v>
          </cell>
          <cell r="M1100">
            <v>2550</v>
          </cell>
          <cell r="N1100">
            <v>6.827</v>
          </cell>
          <cell r="O1100">
            <v>536.10663541819247</v>
          </cell>
          <cell r="P1100">
            <v>181.9</v>
          </cell>
          <cell r="Q1100">
            <v>138.42097553830379</v>
          </cell>
          <cell r="R1100">
            <v>67.233045261461839</v>
          </cell>
          <cell r="S1100">
            <v>190.01456793601079</v>
          </cell>
          <cell r="T1100">
            <v>577.56858873577642</v>
          </cell>
          <cell r="U1100">
            <v>-27.77003343987667</v>
          </cell>
        </row>
        <row r="1101">
          <cell r="I1101">
            <v>40153</v>
          </cell>
          <cell r="J1101">
            <v>3660</v>
          </cell>
          <cell r="K1101">
            <v>107</v>
          </cell>
          <cell r="L1101">
            <v>1350</v>
          </cell>
          <cell r="M1101">
            <v>2550</v>
          </cell>
          <cell r="N1101">
            <v>6.827</v>
          </cell>
          <cell r="O1101">
            <v>536.10663541819247</v>
          </cell>
          <cell r="P1101">
            <v>181.9</v>
          </cell>
          <cell r="Q1101">
            <v>138.42097553830379</v>
          </cell>
          <cell r="R1101">
            <v>67.233045261461839</v>
          </cell>
          <cell r="S1101">
            <v>190.01456793601079</v>
          </cell>
          <cell r="T1101">
            <v>577.56858873577642</v>
          </cell>
          <cell r="U1101">
            <v>-30.579209215828769</v>
          </cell>
        </row>
        <row r="1102">
          <cell r="I1102">
            <v>40154</v>
          </cell>
          <cell r="J1102">
            <v>3800</v>
          </cell>
          <cell r="K1102">
            <v>107</v>
          </cell>
          <cell r="L1102">
            <v>1350</v>
          </cell>
          <cell r="M1102">
            <v>2550</v>
          </cell>
          <cell r="N1102">
            <v>6.8293999999999997</v>
          </cell>
          <cell r="O1102">
            <v>556.41784051307582</v>
          </cell>
          <cell r="P1102">
            <v>181.9</v>
          </cell>
          <cell r="Q1102">
            <v>138.37233139075175</v>
          </cell>
          <cell r="R1102">
            <v>67.209418104079433</v>
          </cell>
          <cell r="S1102">
            <v>192.97626963512954</v>
          </cell>
          <cell r="T1102">
            <v>580.4580191299608</v>
          </cell>
          <cell r="U1102">
            <v>-29.834099552420298</v>
          </cell>
        </row>
        <row r="1103">
          <cell r="I1103">
            <v>40155</v>
          </cell>
          <cell r="J1103">
            <v>3700</v>
          </cell>
          <cell r="K1103">
            <v>107</v>
          </cell>
          <cell r="L1103">
            <v>1350</v>
          </cell>
          <cell r="M1103">
            <v>2675</v>
          </cell>
          <cell r="N1103">
            <v>6.8274999999999997</v>
          </cell>
          <cell r="O1103">
            <v>541.92603441962649</v>
          </cell>
          <cell r="P1103">
            <v>181.9</v>
          </cell>
          <cell r="Q1103">
            <v>138.4108385206884</v>
          </cell>
          <cell r="R1103">
            <v>70.523617722445991</v>
          </cell>
          <cell r="S1103">
            <v>190.38347717094325</v>
          </cell>
          <cell r="T1103">
            <v>581.21793341407761</v>
          </cell>
          <cell r="U1103">
            <v>-31.632951584988973</v>
          </cell>
        </row>
        <row r="1104">
          <cell r="I1104">
            <v>40156</v>
          </cell>
          <cell r="J1104">
            <v>3770</v>
          </cell>
          <cell r="K1104">
            <v>107</v>
          </cell>
          <cell r="L1104">
            <v>1350</v>
          </cell>
          <cell r="M1104">
            <v>2675</v>
          </cell>
          <cell r="N1104">
            <v>6.8276000000000003</v>
          </cell>
          <cell r="O1104">
            <v>552.17060167555212</v>
          </cell>
          <cell r="P1104">
            <v>181.9</v>
          </cell>
          <cell r="Q1104">
            <v>138.40881129533071</v>
          </cell>
          <cell r="R1104">
            <v>70.522584802858987</v>
          </cell>
          <cell r="S1104">
            <v>191.87244867363387</v>
          </cell>
          <cell r="T1104">
            <v>582.70384477182358</v>
          </cell>
          <cell r="U1104">
            <v>-32.179323131624415</v>
          </cell>
        </row>
        <row r="1105">
          <cell r="I1105">
            <v>40157</v>
          </cell>
          <cell r="J1105">
            <v>3640</v>
          </cell>
          <cell r="K1105">
            <v>107</v>
          </cell>
          <cell r="L1105">
            <v>1350</v>
          </cell>
          <cell r="M1105">
            <v>2675</v>
          </cell>
          <cell r="N1105">
            <v>6.8266999999999998</v>
          </cell>
          <cell r="O1105">
            <v>533.20052148182867</v>
          </cell>
          <cell r="P1105">
            <v>181.9</v>
          </cell>
          <cell r="Q1105">
            <v>138.4270584616286</v>
          </cell>
          <cell r="R1105">
            <v>70.531882168544101</v>
          </cell>
          <cell r="S1105">
            <v>189.11211003827481</v>
          </cell>
          <cell r="T1105">
            <v>579.97105066844756</v>
          </cell>
          <cell r="U1105">
            <v>-35.756981577611896</v>
          </cell>
        </row>
        <row r="1106">
          <cell r="I1106">
            <v>40158</v>
          </cell>
          <cell r="J1106">
            <v>3680</v>
          </cell>
          <cell r="K1106">
            <v>107</v>
          </cell>
          <cell r="L1106">
            <v>1350</v>
          </cell>
          <cell r="M1106">
            <v>2675</v>
          </cell>
          <cell r="N1106">
            <v>6.8281000000000001</v>
          </cell>
          <cell r="O1106">
            <v>538.94934169095359</v>
          </cell>
          <cell r="P1106">
            <v>181.9</v>
          </cell>
          <cell r="Q1106">
            <v>138.39867605922583</v>
          </cell>
          <cell r="R1106">
            <v>70.517420658748406</v>
          </cell>
          <cell r="S1106">
            <v>189.95363388496281</v>
          </cell>
          <cell r="T1106">
            <v>580.76973060293699</v>
          </cell>
          <cell r="U1106">
            <v>-37.911449348768201</v>
          </cell>
        </row>
        <row r="1107">
          <cell r="I1107">
            <v>40159</v>
          </cell>
          <cell r="J1107">
            <v>3680</v>
          </cell>
          <cell r="K1107">
            <v>106</v>
          </cell>
          <cell r="L1107">
            <v>1350</v>
          </cell>
          <cell r="M1107">
            <v>2675</v>
          </cell>
          <cell r="N1107">
            <v>6.8276000000000003</v>
          </cell>
          <cell r="O1107">
            <v>538.98881012361585</v>
          </cell>
          <cell r="P1107">
            <v>180.2</v>
          </cell>
          <cell r="Q1107">
            <v>138.40881129533071</v>
          </cell>
          <cell r="R1107">
            <v>70.522584802858987</v>
          </cell>
          <cell r="S1107">
            <v>190.20415417463454</v>
          </cell>
          <cell r="T1107">
            <v>579.33555027282432</v>
          </cell>
          <cell r="U1107">
            <v>-37.75213318185763</v>
          </cell>
        </row>
        <row r="1108">
          <cell r="I1108">
            <v>40160</v>
          </cell>
          <cell r="J1108">
            <v>3680</v>
          </cell>
          <cell r="K1108">
            <v>106</v>
          </cell>
          <cell r="L1108">
            <v>1350</v>
          </cell>
          <cell r="M1108">
            <v>2675</v>
          </cell>
          <cell r="N1108">
            <v>6.8276000000000003</v>
          </cell>
          <cell r="O1108">
            <v>538.98881012361585</v>
          </cell>
          <cell r="P1108">
            <v>180.2</v>
          </cell>
          <cell r="Q1108">
            <v>138.40881129533071</v>
          </cell>
          <cell r="R1108">
            <v>70.522584802858987</v>
          </cell>
          <cell r="S1108">
            <v>190.20415417463454</v>
          </cell>
          <cell r="T1108">
            <v>579.33555027282432</v>
          </cell>
          <cell r="U1108">
            <v>-37.592817014946831</v>
          </cell>
        </row>
        <row r="1109">
          <cell r="I1109">
            <v>40161</v>
          </cell>
          <cell r="J1109">
            <v>3700</v>
          </cell>
          <cell r="K1109">
            <v>106</v>
          </cell>
          <cell r="L1109">
            <v>1350</v>
          </cell>
          <cell r="M1109">
            <v>2675</v>
          </cell>
          <cell r="N1109">
            <v>6.8281999999999998</v>
          </cell>
          <cell r="O1109">
            <v>541.87047831053576</v>
          </cell>
          <cell r="P1109">
            <v>180.2</v>
          </cell>
          <cell r="Q1109">
            <v>138.3966491901233</v>
          </cell>
          <cell r="R1109">
            <v>70.516387920681879</v>
          </cell>
          <cell r="S1109">
            <v>190.62552564440529</v>
          </cell>
          <cell r="T1109">
            <v>579.73856275521052</v>
          </cell>
          <cell r="U1109">
            <v>-39.5682321332024</v>
          </cell>
        </row>
        <row r="1110">
          <cell r="I1110">
            <v>40162</v>
          </cell>
          <cell r="J1110">
            <v>3700</v>
          </cell>
          <cell r="K1110">
            <v>106</v>
          </cell>
          <cell r="L1110">
            <v>1350</v>
          </cell>
          <cell r="M1110">
            <v>2675</v>
          </cell>
          <cell r="N1110">
            <v>6.8280000000000003</v>
          </cell>
          <cell r="O1110">
            <v>541.8863503222027</v>
          </cell>
          <cell r="P1110">
            <v>180.2</v>
          </cell>
          <cell r="Q1110">
            <v>138.40070298769771</v>
          </cell>
          <cell r="R1110">
            <v>70.518453427065026</v>
          </cell>
          <cell r="S1110">
            <v>190.62694270449981</v>
          </cell>
          <cell r="T1110">
            <v>579.74609911926245</v>
          </cell>
          <cell r="U1110">
            <v>-39.363639247860874</v>
          </cell>
        </row>
        <row r="1111">
          <cell r="I1111">
            <v>40163</v>
          </cell>
          <cell r="J1111">
            <v>3720</v>
          </cell>
          <cell r="K1111">
            <v>106</v>
          </cell>
          <cell r="L1111">
            <v>1350</v>
          </cell>
          <cell r="M1111">
            <v>2675</v>
          </cell>
          <cell r="N1111">
            <v>6.8280000000000003</v>
          </cell>
          <cell r="O1111">
            <v>544.81546572934974</v>
          </cell>
          <cell r="P1111">
            <v>180.2</v>
          </cell>
          <cell r="Q1111">
            <v>138.40070298769771</v>
          </cell>
          <cell r="R1111">
            <v>70.518453427065026</v>
          </cell>
          <cell r="S1111">
            <v>191.05254066964085</v>
          </cell>
          <cell r="T1111">
            <v>580.1716970844036</v>
          </cell>
          <cell r="U1111">
            <v>-40.052637570543993</v>
          </cell>
        </row>
        <row r="1112">
          <cell r="I1112">
            <v>40164</v>
          </cell>
          <cell r="J1112">
            <v>3720</v>
          </cell>
          <cell r="K1112">
            <v>106</v>
          </cell>
          <cell r="L1112">
            <v>1350</v>
          </cell>
          <cell r="M1112">
            <v>2675</v>
          </cell>
          <cell r="N1112">
            <v>6.8285</v>
          </cell>
          <cell r="O1112">
            <v>544.77557296624445</v>
          </cell>
          <cell r="P1112">
            <v>180.2</v>
          </cell>
          <cell r="Q1112">
            <v>138.39056893900562</v>
          </cell>
          <cell r="R1112">
            <v>70.513289887969535</v>
          </cell>
          <cell r="S1112">
            <v>191.04896701168866</v>
          </cell>
          <cell r="T1112">
            <v>580.15282583866383</v>
          </cell>
          <cell r="U1112">
            <v>-38.425026668515443</v>
          </cell>
        </row>
        <row r="1113">
          <cell r="I1113">
            <v>40165</v>
          </cell>
          <cell r="J1113">
            <v>3770</v>
          </cell>
          <cell r="K1113">
            <v>106</v>
          </cell>
          <cell r="L1113">
            <v>1350</v>
          </cell>
          <cell r="M1113">
            <v>2675</v>
          </cell>
          <cell r="N1113">
            <v>6.8280000000000003</v>
          </cell>
          <cell r="O1113">
            <v>552.13825424721733</v>
          </cell>
          <cell r="P1113">
            <v>180.2</v>
          </cell>
          <cell r="Q1113">
            <v>138.40070298769771</v>
          </cell>
          <cell r="R1113">
            <v>70.518453427065026</v>
          </cell>
          <cell r="S1113">
            <v>192.11653558249338</v>
          </cell>
          <cell r="T1113">
            <v>581.23569199725603</v>
          </cell>
          <cell r="U1113">
            <v>-36.607462216808926</v>
          </cell>
        </row>
        <row r="1114">
          <cell r="I1114">
            <v>40166</v>
          </cell>
          <cell r="J1114">
            <v>3770</v>
          </cell>
          <cell r="K1114">
            <v>111.5</v>
          </cell>
          <cell r="L1114">
            <v>1350</v>
          </cell>
          <cell r="M1114">
            <v>2675</v>
          </cell>
          <cell r="N1114">
            <v>6.8281000000000001</v>
          </cell>
          <cell r="O1114">
            <v>552.13016798230842</v>
          </cell>
          <cell r="P1114">
            <v>189.54999999999998</v>
          </cell>
          <cell r="Q1114">
            <v>138.39867605922583</v>
          </cell>
          <cell r="R1114">
            <v>70.517420658748406</v>
          </cell>
          <cell r="S1114">
            <v>190.75725821789473</v>
          </cell>
          <cell r="T1114">
            <v>589.22335493586888</v>
          </cell>
          <cell r="U1114">
            <v>-36.142668903145022</v>
          </cell>
        </row>
        <row r="1115">
          <cell r="I1115">
            <v>40167</v>
          </cell>
          <cell r="J1115">
            <v>3770</v>
          </cell>
          <cell r="K1115">
            <v>111.5</v>
          </cell>
          <cell r="L1115">
            <v>1350</v>
          </cell>
          <cell r="M1115">
            <v>2675</v>
          </cell>
          <cell r="N1115">
            <v>6.8281000000000001</v>
          </cell>
          <cell r="O1115">
            <v>552.13016798230842</v>
          </cell>
          <cell r="P1115">
            <v>189.54999999999998</v>
          </cell>
          <cell r="Q1115">
            <v>138.39867605922583</v>
          </cell>
          <cell r="R1115">
            <v>70.517420658748406</v>
          </cell>
          <cell r="S1115">
            <v>190.75725821789473</v>
          </cell>
          <cell r="T1115">
            <v>589.22335493586888</v>
          </cell>
          <cell r="U1115">
            <v>-35.677875589481118</v>
          </cell>
        </row>
        <row r="1116">
          <cell r="I1116">
            <v>40168</v>
          </cell>
          <cell r="J1116">
            <v>3830</v>
          </cell>
          <cell r="K1116">
            <v>111.5</v>
          </cell>
          <cell r="L1116">
            <v>1350</v>
          </cell>
          <cell r="M1116">
            <v>2675</v>
          </cell>
          <cell r="N1116">
            <v>6.8285</v>
          </cell>
          <cell r="O1116">
            <v>560.88452808083764</v>
          </cell>
          <cell r="P1116">
            <v>189.54999999999998</v>
          </cell>
          <cell r="Q1116">
            <v>138.39056893900562</v>
          </cell>
          <cell r="R1116">
            <v>70.513289887969535</v>
          </cell>
          <cell r="S1116">
            <v>192.03103741295433</v>
          </cell>
          <cell r="T1116">
            <v>590.48489623992953</v>
          </cell>
          <cell r="U1116">
            <v>-34.496773262969327</v>
          </cell>
        </row>
        <row r="1117">
          <cell r="I1117">
            <v>40169</v>
          </cell>
          <cell r="J1117">
            <v>3760</v>
          </cell>
          <cell r="K1117">
            <v>111.5</v>
          </cell>
          <cell r="L1117">
            <v>1350</v>
          </cell>
          <cell r="M1117">
            <v>2675</v>
          </cell>
          <cell r="N1117">
            <v>6.8277999999999999</v>
          </cell>
          <cell r="O1117">
            <v>550.68982688420874</v>
          </cell>
          <cell r="P1117">
            <v>189.54999999999998</v>
          </cell>
          <cell r="Q1117">
            <v>138.4047570227599</v>
          </cell>
          <cell r="R1117">
            <v>70.520519054453857</v>
          </cell>
          <cell r="S1117">
            <v>190.54664413434972</v>
          </cell>
          <cell r="T1117">
            <v>589.02192021156338</v>
          </cell>
          <cell r="U1117">
            <v>-34.564251053011276</v>
          </cell>
        </row>
        <row r="1118">
          <cell r="I1118">
            <v>40170</v>
          </cell>
          <cell r="J1118">
            <v>3800</v>
          </cell>
          <cell r="K1118">
            <v>111.5</v>
          </cell>
          <cell r="L1118">
            <v>1350</v>
          </cell>
          <cell r="M1118">
            <v>2675</v>
          </cell>
          <cell r="N1118">
            <v>6.8283000000000005</v>
          </cell>
          <cell r="O1118">
            <v>556.50747623859525</v>
          </cell>
          <cell r="P1118">
            <v>189.54999999999998</v>
          </cell>
          <cell r="Q1118">
            <v>138.39462238038749</v>
          </cell>
          <cell r="R1118">
            <v>70.515355212864108</v>
          </cell>
          <cell r="S1118">
            <v>191.39416646983625</v>
          </cell>
          <cell r="T1118">
            <v>589.85414406308792</v>
          </cell>
          <cell r="U1118">
            <v>-34.277170548645358</v>
          </cell>
        </row>
        <row r="1119">
          <cell r="I1119">
            <v>40171</v>
          </cell>
          <cell r="J1119">
            <v>3770</v>
          </cell>
          <cell r="K1119">
            <v>111.5</v>
          </cell>
          <cell r="L1119">
            <v>1350</v>
          </cell>
          <cell r="M1119">
            <v>2675</v>
          </cell>
          <cell r="N1119">
            <v>6.8277999999999999</v>
          </cell>
          <cell r="O1119">
            <v>552.15442748762416</v>
          </cell>
          <cell r="P1119">
            <v>189.54999999999998</v>
          </cell>
          <cell r="Q1119">
            <v>138.4047570227599</v>
          </cell>
          <cell r="R1119">
            <v>70.520519054453857</v>
          </cell>
          <cell r="S1119">
            <v>190.75944935023062</v>
          </cell>
          <cell r="T1119">
            <v>589.23472542744435</v>
          </cell>
          <cell r="U1119">
            <v>-34.520462701131237</v>
          </cell>
        </row>
        <row r="1120">
          <cell r="I1120">
            <v>40172</v>
          </cell>
          <cell r="J1120">
            <v>3800</v>
          </cell>
          <cell r="K1120">
            <v>111.5</v>
          </cell>
          <cell r="L1120">
            <v>1350</v>
          </cell>
          <cell r="M1120">
            <v>2675</v>
          </cell>
          <cell r="N1120">
            <v>6.8270999999999997</v>
          </cell>
          <cell r="O1120">
            <v>556.6052936092924</v>
          </cell>
          <cell r="P1120">
            <v>189.54999999999998</v>
          </cell>
          <cell r="Q1120">
            <v>138.41894801599508</v>
          </cell>
          <cell r="R1120">
            <v>70.527749703387968</v>
          </cell>
          <cell r="S1120">
            <v>191.40304384725175</v>
          </cell>
          <cell r="T1120">
            <v>589.89974156663482</v>
          </cell>
          <cell r="U1120">
            <v>-35.120035587888992</v>
          </cell>
        </row>
        <row r="1121">
          <cell r="I1121">
            <v>40173</v>
          </cell>
          <cell r="J1121">
            <v>3800</v>
          </cell>
          <cell r="K1121">
            <v>111.5</v>
          </cell>
          <cell r="L1121">
            <v>1350</v>
          </cell>
          <cell r="M1121">
            <v>2675</v>
          </cell>
          <cell r="N1121">
            <v>6.8270999999999997</v>
          </cell>
          <cell r="O1121">
            <v>556.6052936092924</v>
          </cell>
          <cell r="P1121">
            <v>189.54999999999998</v>
          </cell>
          <cell r="Q1121">
            <v>138.41894801599508</v>
          </cell>
          <cell r="R1121">
            <v>70.527749703387968</v>
          </cell>
          <cell r="S1121">
            <v>191.40304384725175</v>
          </cell>
          <cell r="T1121">
            <v>589.89974156663482</v>
          </cell>
          <cell r="U1121">
            <v>-34.57735858842932</v>
          </cell>
        </row>
        <row r="1122">
          <cell r="I1122">
            <v>40174</v>
          </cell>
          <cell r="J1122">
            <v>3800</v>
          </cell>
          <cell r="K1122">
            <v>111.5</v>
          </cell>
          <cell r="L1122">
            <v>1350</v>
          </cell>
          <cell r="M1122">
            <v>2675</v>
          </cell>
          <cell r="N1122">
            <v>6.8270999999999997</v>
          </cell>
          <cell r="O1122">
            <v>556.6052936092924</v>
          </cell>
          <cell r="P1122">
            <v>189.54999999999998</v>
          </cell>
          <cell r="Q1122">
            <v>138.41894801599508</v>
          </cell>
          <cell r="R1122">
            <v>70.527749703387968</v>
          </cell>
          <cell r="S1122">
            <v>191.40304384725175</v>
          </cell>
          <cell r="T1122">
            <v>589.89974156663482</v>
          </cell>
          <cell r="U1122">
            <v>-34.03468158896942</v>
          </cell>
        </row>
        <row r="1123">
          <cell r="I1123">
            <v>40175</v>
          </cell>
          <cell r="J1123">
            <v>3800</v>
          </cell>
          <cell r="K1123">
            <v>111.5</v>
          </cell>
          <cell r="L1123">
            <v>1350</v>
          </cell>
          <cell r="M1123">
            <v>2675</v>
          </cell>
          <cell r="N1123">
            <v>6.8301999999999996</v>
          </cell>
          <cell r="O1123">
            <v>556.35266902872536</v>
          </cell>
          <cell r="P1123">
            <v>189.54999999999998</v>
          </cell>
          <cell r="Q1123">
            <v>138.35612427161723</v>
          </cell>
          <cell r="R1123">
            <v>70.49573950982402</v>
          </cell>
          <cell r="S1123">
            <v>191.38011700174212</v>
          </cell>
          <cell r="T1123">
            <v>589.78198078318337</v>
          </cell>
          <cell r="U1123">
            <v>-34.581673531164711</v>
          </cell>
        </row>
        <row r="1124">
          <cell r="I1124">
            <v>40176</v>
          </cell>
          <cell r="J1124">
            <v>3830</v>
          </cell>
          <cell r="K1124">
            <v>111.5</v>
          </cell>
          <cell r="L1124">
            <v>1350</v>
          </cell>
          <cell r="M1124">
            <v>2675</v>
          </cell>
          <cell r="N1124">
            <v>6.8292000000000002</v>
          </cell>
          <cell r="O1124">
            <v>560.82703684179694</v>
          </cell>
          <cell r="P1124">
            <v>189.54999999999998</v>
          </cell>
          <cell r="Q1124">
            <v>138.37638376383762</v>
          </cell>
          <cell r="R1124">
            <v>70.506062203479175</v>
          </cell>
          <cell r="S1124">
            <v>192.0257952552663</v>
          </cell>
          <cell r="T1124">
            <v>590.45824122258318</v>
          </cell>
          <cell r="U1124">
            <v>-33.338689395940605</v>
          </cell>
        </row>
        <row r="1125">
          <cell r="I1125">
            <v>40177</v>
          </cell>
          <cell r="J1125">
            <v>3830</v>
          </cell>
          <cell r="K1125">
            <v>111.5</v>
          </cell>
          <cell r="L1125">
            <v>1350</v>
          </cell>
          <cell r="M1125">
            <v>2675</v>
          </cell>
          <cell r="N1125">
            <v>6.8254999999999999</v>
          </cell>
          <cell r="O1125">
            <v>561.13105267013407</v>
          </cell>
          <cell r="P1125">
            <v>189.54999999999998</v>
          </cell>
          <cell r="Q1125">
            <v>138.45139550216101</v>
          </cell>
          <cell r="R1125">
            <v>70.544282470148701</v>
          </cell>
          <cell r="S1125">
            <v>192.05351598173513</v>
          </cell>
          <cell r="T1125">
            <v>590.59919395404484</v>
          </cell>
          <cell r="U1125">
            <v>-32.784614175857428</v>
          </cell>
        </row>
        <row r="1126">
          <cell r="I1126">
            <v>40178</v>
          </cell>
          <cell r="J1126">
            <v>3830</v>
          </cell>
          <cell r="K1126">
            <v>111.5</v>
          </cell>
          <cell r="L1126">
            <v>1350</v>
          </cell>
          <cell r="M1126">
            <v>2675</v>
          </cell>
          <cell r="N1126">
            <v>6.827</v>
          </cell>
          <cell r="O1126">
            <v>561.00776329280802</v>
          </cell>
          <cell r="P1126">
            <v>189.54999999999998</v>
          </cell>
          <cell r="Q1126">
            <v>138.42097553830379</v>
          </cell>
          <cell r="R1126">
            <v>70.528782774278596</v>
          </cell>
          <cell r="S1126">
            <v>192.04227422789603</v>
          </cell>
          <cell r="T1126">
            <v>590.54203254047843</v>
          </cell>
          <cell r="U1126">
            <v>-31.706610076979018</v>
          </cell>
        </row>
        <row r="1127">
          <cell r="I1127">
            <v>40179</v>
          </cell>
          <cell r="J1127">
            <v>3830</v>
          </cell>
          <cell r="K1127">
            <v>111.5</v>
          </cell>
          <cell r="L1127">
            <v>1350</v>
          </cell>
          <cell r="M1127">
            <v>2675</v>
          </cell>
          <cell r="N1127">
            <v>6.827</v>
          </cell>
          <cell r="O1127">
            <v>561.00776329280802</v>
          </cell>
          <cell r="P1127">
            <v>189.54999999999998</v>
          </cell>
          <cell r="Q1127">
            <v>138.42097553830379</v>
          </cell>
          <cell r="R1127">
            <v>70.528782774278596</v>
          </cell>
          <cell r="S1127">
            <v>192.04227422789603</v>
          </cell>
          <cell r="T1127">
            <v>590.54203254047843</v>
          </cell>
          <cell r="U1127">
            <v>-31.169441689882888</v>
          </cell>
        </row>
        <row r="1128">
          <cell r="I1128">
            <v>40180</v>
          </cell>
          <cell r="J1128">
            <v>3830</v>
          </cell>
          <cell r="K1128">
            <v>111.5</v>
          </cell>
          <cell r="L1128">
            <v>1350</v>
          </cell>
          <cell r="M1128">
            <v>2675</v>
          </cell>
          <cell r="N1128">
            <v>6.827</v>
          </cell>
          <cell r="O1128">
            <v>561.00776329280802</v>
          </cell>
          <cell r="P1128">
            <v>189.54999999999998</v>
          </cell>
          <cell r="Q1128">
            <v>138.42097553830379</v>
          </cell>
          <cell r="R1128">
            <v>70.528782774278596</v>
          </cell>
          <cell r="S1128">
            <v>192.04227422789603</v>
          </cell>
          <cell r="T1128">
            <v>590.54203254047843</v>
          </cell>
          <cell r="U1128">
            <v>-30.632273302787098</v>
          </cell>
        </row>
        <row r="1129">
          <cell r="I1129">
            <v>40181</v>
          </cell>
          <cell r="J1129">
            <v>3830</v>
          </cell>
          <cell r="K1129">
            <v>111.5</v>
          </cell>
          <cell r="L1129">
            <v>1350</v>
          </cell>
          <cell r="M1129">
            <v>2675</v>
          </cell>
          <cell r="N1129">
            <v>6.827</v>
          </cell>
          <cell r="O1129">
            <v>561.00776329280802</v>
          </cell>
          <cell r="P1129">
            <v>189.54999999999998</v>
          </cell>
          <cell r="Q1129">
            <v>138.42097553830379</v>
          </cell>
          <cell r="R1129">
            <v>70.528782774278596</v>
          </cell>
          <cell r="S1129">
            <v>192.04227422789603</v>
          </cell>
          <cell r="T1129">
            <v>590.54203254047843</v>
          </cell>
          <cell r="U1129">
            <v>-30.095104915691081</v>
          </cell>
        </row>
        <row r="1130">
          <cell r="I1130">
            <v>40182</v>
          </cell>
          <cell r="J1130">
            <v>3880</v>
          </cell>
          <cell r="K1130">
            <v>111.5</v>
          </cell>
          <cell r="L1130">
            <v>1350</v>
          </cell>
          <cell r="M1130">
            <v>2675</v>
          </cell>
          <cell r="N1130">
            <v>6.8273000000000001</v>
          </cell>
          <cell r="O1130">
            <v>568.3066512384105</v>
          </cell>
          <cell r="P1130">
            <v>189.54999999999998</v>
          </cell>
          <cell r="Q1130">
            <v>138.41489314956132</v>
          </cell>
          <cell r="R1130">
            <v>70.525683652395529</v>
          </cell>
          <cell r="S1130">
            <v>193.1041304736728</v>
          </cell>
          <cell r="T1130">
            <v>591.59470727562962</v>
          </cell>
          <cell r="U1130">
            <v>-28.646354098942652</v>
          </cell>
        </row>
        <row r="1131">
          <cell r="I1131">
            <v>40183</v>
          </cell>
          <cell r="J1131">
            <v>3900</v>
          </cell>
          <cell r="K1131">
            <v>111.5</v>
          </cell>
          <cell r="L1131">
            <v>1350</v>
          </cell>
          <cell r="M1131">
            <v>2680</v>
          </cell>
          <cell r="N1131">
            <v>6.8272000000000004</v>
          </cell>
          <cell r="O1131">
            <v>571.24443402859151</v>
          </cell>
          <cell r="P1131">
            <v>189.54999999999998</v>
          </cell>
          <cell r="Q1131">
            <v>138.41692055308178</v>
          </cell>
          <cell r="R1131">
            <v>70.658542301382695</v>
          </cell>
          <cell r="S1131">
            <v>193.51138897401847</v>
          </cell>
          <cell r="T1131">
            <v>592.13685182848292</v>
          </cell>
          <cell r="U1131">
            <v>-27.397956015957561</v>
          </cell>
        </row>
        <row r="1132">
          <cell r="I1132">
            <v>40184</v>
          </cell>
          <cell r="J1132">
            <v>3900</v>
          </cell>
          <cell r="K1132">
            <v>111.5</v>
          </cell>
          <cell r="L1132">
            <v>1350</v>
          </cell>
          <cell r="M1132">
            <v>2680</v>
          </cell>
          <cell r="N1132">
            <v>6.8273999999999999</v>
          </cell>
          <cell r="O1132">
            <v>571.22770014939806</v>
          </cell>
          <cell r="P1132">
            <v>189.54999999999998</v>
          </cell>
          <cell r="Q1132">
            <v>138.41286580543104</v>
          </cell>
          <cell r="R1132">
            <v>70.656472449248611</v>
          </cell>
          <cell r="S1132">
            <v>193.50984745478814</v>
          </cell>
          <cell r="T1132">
            <v>592.12918570946772</v>
          </cell>
          <cell r="U1132">
            <v>-26.174148055408978</v>
          </cell>
        </row>
        <row r="1133">
          <cell r="I1133">
            <v>40185</v>
          </cell>
          <cell r="J1133">
            <v>3930</v>
          </cell>
          <cell r="K1133">
            <v>111.5</v>
          </cell>
          <cell r="L1133">
            <v>1350</v>
          </cell>
          <cell r="M1133">
            <v>2680</v>
          </cell>
          <cell r="N1133">
            <v>6.8274999999999997</v>
          </cell>
          <cell r="O1133">
            <v>575.61332845111679</v>
          </cell>
          <cell r="P1133">
            <v>189.54999999999998</v>
          </cell>
          <cell r="Q1133">
            <v>138.4108385206884</v>
          </cell>
          <cell r="R1133">
            <v>70.655437568656168</v>
          </cell>
          <cell r="S1133">
            <v>194.14752042863358</v>
          </cell>
          <cell r="T1133">
            <v>592.76379651797811</v>
          </cell>
          <cell r="U1133">
            <v>-24.405033601007517</v>
          </cell>
        </row>
        <row r="1134">
          <cell r="I1134">
            <v>40186</v>
          </cell>
          <cell r="J1134">
            <v>3930</v>
          </cell>
          <cell r="K1134">
            <v>111.5</v>
          </cell>
          <cell r="L1134">
            <v>1350</v>
          </cell>
          <cell r="M1134">
            <v>2680</v>
          </cell>
          <cell r="N1134">
            <v>6.8278999999999996</v>
          </cell>
          <cell r="O1134">
            <v>575.57960719987113</v>
          </cell>
          <cell r="P1134">
            <v>189.54999999999998</v>
          </cell>
          <cell r="Q1134">
            <v>138.40272997554152</v>
          </cell>
          <cell r="R1134">
            <v>70.651298349419307</v>
          </cell>
          <cell r="S1134">
            <v>194.14440034934591</v>
          </cell>
          <cell r="T1134">
            <v>592.74842867430675</v>
          </cell>
          <cell r="U1134">
            <v>-22.638541061974024</v>
          </cell>
        </row>
        <row r="1135">
          <cell r="I1135">
            <v>40187</v>
          </cell>
          <cell r="J1135">
            <v>3860</v>
          </cell>
          <cell r="K1135">
            <v>135</v>
          </cell>
          <cell r="L1135">
            <v>1350</v>
          </cell>
          <cell r="M1135">
            <v>2680</v>
          </cell>
          <cell r="N1135">
            <v>6.8274999999999997</v>
          </cell>
          <cell r="O1135">
            <v>565.3606737458806</v>
          </cell>
          <cell r="P1135">
            <v>229.5</v>
          </cell>
          <cell r="Q1135">
            <v>138.4108385206884</v>
          </cell>
          <cell r="R1135">
            <v>70.655437568656168</v>
          </cell>
          <cell r="S1135">
            <v>186.85311760821463</v>
          </cell>
          <cell r="T1135">
            <v>625.41939369755914</v>
          </cell>
          <cell r="U1135">
            <v>-26.99917687683228</v>
          </cell>
        </row>
        <row r="1136">
          <cell r="I1136">
            <v>40188</v>
          </cell>
          <cell r="J1136">
            <v>3860</v>
          </cell>
          <cell r="K1136">
            <v>135</v>
          </cell>
          <cell r="L1136">
            <v>1350</v>
          </cell>
          <cell r="M1136">
            <v>2680</v>
          </cell>
          <cell r="N1136">
            <v>6.8274999999999997</v>
          </cell>
          <cell r="O1136">
            <v>565.3606737458806</v>
          </cell>
          <cell r="P1136">
            <v>229.5</v>
          </cell>
          <cell r="Q1136">
            <v>138.4108385206884</v>
          </cell>
          <cell r="R1136">
            <v>70.655437568656168</v>
          </cell>
          <cell r="S1136">
            <v>186.85311760821463</v>
          </cell>
          <cell r="T1136">
            <v>625.41939369755914</v>
          </cell>
          <cell r="U1136">
            <v>-31.359812691690536</v>
          </cell>
        </row>
        <row r="1137">
          <cell r="I1137">
            <v>40189</v>
          </cell>
          <cell r="J1137">
            <v>3900</v>
          </cell>
          <cell r="K1137">
            <v>135</v>
          </cell>
          <cell r="L1137">
            <v>1350</v>
          </cell>
          <cell r="M1137">
            <v>2680</v>
          </cell>
          <cell r="N1137">
            <v>6.8262999999999998</v>
          </cell>
          <cell r="O1137">
            <v>571.31974861931064</v>
          </cell>
          <cell r="P1137">
            <v>229.5</v>
          </cell>
          <cell r="Q1137">
            <v>138.43516985775602</v>
          </cell>
          <cell r="R1137">
            <v>70.667858136911647</v>
          </cell>
          <cell r="S1137">
            <v>187.71362607366609</v>
          </cell>
          <cell r="T1137">
            <v>626.31665406833372</v>
          </cell>
          <cell r="U1137">
            <v>-35.889648321948243</v>
          </cell>
        </row>
        <row r="1138">
          <cell r="I1138">
            <v>40190</v>
          </cell>
          <cell r="J1138">
            <v>3900</v>
          </cell>
          <cell r="K1138">
            <v>135</v>
          </cell>
          <cell r="L1138">
            <v>1350</v>
          </cell>
          <cell r="M1138">
            <v>2685</v>
          </cell>
          <cell r="N1138">
            <v>6.8270999999999997</v>
          </cell>
          <cell r="O1138">
            <v>571.25280133585272</v>
          </cell>
          <cell r="P1138">
            <v>229.5</v>
          </cell>
          <cell r="Q1138">
            <v>138.41894801599508</v>
          </cell>
          <cell r="R1138">
            <v>70.791404842466051</v>
          </cell>
          <cell r="S1138">
            <v>187.68830447962102</v>
          </cell>
          <cell r="T1138">
            <v>626.3986573380821</v>
          </cell>
          <cell r="U1138">
            <v>-40.782996636567987</v>
          </cell>
        </row>
        <row r="1139">
          <cell r="I1139">
            <v>40191</v>
          </cell>
          <cell r="J1139">
            <v>3860</v>
          </cell>
          <cell r="K1139">
            <v>135</v>
          </cell>
          <cell r="L1139">
            <v>1350</v>
          </cell>
          <cell r="M1139">
            <v>2685</v>
          </cell>
          <cell r="N1139">
            <v>6.8266999999999998</v>
          </cell>
          <cell r="O1139">
            <v>565.42692662633488</v>
          </cell>
          <cell r="P1139">
            <v>229.5</v>
          </cell>
          <cell r="Q1139">
            <v>138.4270584616286</v>
          </cell>
          <cell r="R1139">
            <v>70.795552756090061</v>
          </cell>
          <cell r="S1139">
            <v>186.8400287345853</v>
          </cell>
          <cell r="T1139">
            <v>625.56263995230393</v>
          </cell>
          <cell r="U1139">
            <v>-46.387886317410789</v>
          </cell>
        </row>
        <row r="1140">
          <cell r="I1140">
            <v>40192</v>
          </cell>
          <cell r="J1140">
            <v>3880</v>
          </cell>
          <cell r="K1140">
            <v>135</v>
          </cell>
          <cell r="L1140">
            <v>1350</v>
          </cell>
          <cell r="M1140">
            <v>2685</v>
          </cell>
          <cell r="N1140">
            <v>6.8272000000000004</v>
          </cell>
          <cell r="O1140">
            <v>568.31497539254747</v>
          </cell>
          <cell r="P1140">
            <v>229.5</v>
          </cell>
          <cell r="Q1140">
            <v>138.41692055308178</v>
          </cell>
          <cell r="R1140">
            <v>70.790367940004685</v>
          </cell>
          <cell r="S1140">
            <v>187.26188613069093</v>
          </cell>
          <cell r="T1140">
            <v>625.96917462377746</v>
          </cell>
          <cell r="U1140">
            <v>-52.174133626606249</v>
          </cell>
        </row>
        <row r="1141">
          <cell r="I1141">
            <v>40193</v>
          </cell>
          <cell r="J1141">
            <v>3850</v>
          </cell>
          <cell r="K1141">
            <v>135</v>
          </cell>
          <cell r="L1141">
            <v>1350</v>
          </cell>
          <cell r="M1141">
            <v>2685</v>
          </cell>
          <cell r="N1141">
            <v>6.8269000000000002</v>
          </cell>
          <cell r="O1141">
            <v>563.94556826670964</v>
          </cell>
          <cell r="P1141">
            <v>229.5</v>
          </cell>
          <cell r="Q1141">
            <v>138.42300312001052</v>
          </cell>
          <cell r="R1141">
            <v>70.793478738519667</v>
          </cell>
          <cell r="S1141">
            <v>186.62567922170132</v>
          </cell>
          <cell r="T1141">
            <v>625.34216108023156</v>
          </cell>
          <cell r="U1141">
            <v>-58.492386675047328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harts"/>
      <sheetName val="Packaging market"/>
      <sheetName val="Top 10 Packaging"/>
      <sheetName val="Currency"/>
      <sheetName val="__FDSCACHE__"/>
      <sheetName val="Valuation"/>
      <sheetName val="Dividend yield"/>
      <sheetName val="outlooks"/>
      <sheetName val="#REF"/>
    </sheetNames>
    <sheetDataSet>
      <sheetData sheetId="0"/>
      <sheetData sheetId="1" refreshError="1">
        <row r="26">
          <cell r="I26" t="str">
            <v>June Y/E</v>
          </cell>
          <cell r="J26" t="str">
            <v>Currency</v>
          </cell>
          <cell r="K26" t="str">
            <v>AMC announced restructuring</v>
          </cell>
          <cell r="L26" t="str">
            <v>MS assumed restructuring</v>
          </cell>
        </row>
        <row r="27">
          <cell r="I27" t="str">
            <v>Australian Fibre</v>
          </cell>
          <cell r="J27" t="str">
            <v>AUD</v>
          </cell>
          <cell r="K27" t="str">
            <v>60-80</v>
          </cell>
          <cell r="L27">
            <v>40</v>
          </cell>
        </row>
        <row r="28">
          <cell r="I28" t="str">
            <v>European Food Flexibles</v>
          </cell>
          <cell r="J28" t="str">
            <v>EUR</v>
          </cell>
          <cell r="K28">
            <v>10</v>
          </cell>
          <cell r="L28">
            <v>5</v>
          </cell>
        </row>
        <row r="29">
          <cell r="I29" t="str">
            <v>Mexican PET</v>
          </cell>
          <cell r="J29" t="str">
            <v>USD</v>
          </cell>
          <cell r="K29">
            <v>15</v>
          </cell>
          <cell r="L29">
            <v>8</v>
          </cell>
        </row>
        <row r="32">
          <cell r="I32" t="str">
            <v>Assumption</v>
          </cell>
          <cell r="J32" t="str">
            <v>Change</v>
          </cell>
          <cell r="K32" t="str">
            <v>F2007e NPAT change (A$mn)</v>
          </cell>
        </row>
        <row r="33">
          <cell r="I33" t="str">
            <v>Flexible packaging prices</v>
          </cell>
          <cell r="J33" t="str">
            <v>+/-1.0%</v>
          </cell>
          <cell r="K33">
            <v>11.7</v>
          </cell>
        </row>
        <row r="34">
          <cell r="I34" t="str">
            <v>PET converting margins</v>
          </cell>
          <cell r="J34" t="str">
            <v>+/-1.0%</v>
          </cell>
          <cell r="K34">
            <v>8.3000000000000007</v>
          </cell>
        </row>
        <row r="35">
          <cell r="I35" t="str">
            <v>PET volumes</v>
          </cell>
          <cell r="J35" t="str">
            <v>+/-1.0%</v>
          </cell>
          <cell r="K35">
            <v>5.5</v>
          </cell>
        </row>
        <row r="36">
          <cell r="I36" t="str">
            <v>Australian corrugated box prices</v>
          </cell>
          <cell r="J36" t="str">
            <v>+/-1.0%</v>
          </cell>
          <cell r="K36">
            <v>4.3</v>
          </cell>
        </row>
        <row r="37">
          <cell r="I37" t="str">
            <v>Energy costs</v>
          </cell>
          <cell r="J37" t="str">
            <v>+/-1.0%</v>
          </cell>
          <cell r="K37">
            <v>1.7</v>
          </cell>
        </row>
        <row r="38">
          <cell r="I38" t="str">
            <v>A$/US$</v>
          </cell>
          <cell r="J38" t="str">
            <v>+/-1.0%</v>
          </cell>
          <cell r="K38">
            <v>1.5</v>
          </cell>
        </row>
        <row r="39">
          <cell r="I39" t="str">
            <v>A$/EUR</v>
          </cell>
          <cell r="J39" t="str">
            <v>+/-1.0%</v>
          </cell>
          <cell r="K39">
            <v>1.4</v>
          </cell>
        </row>
        <row r="47">
          <cell r="D47" t="str">
            <v>Imports</v>
          </cell>
          <cell r="E47" t="str">
            <v>Exports</v>
          </cell>
        </row>
        <row r="48">
          <cell r="C48">
            <v>36039</v>
          </cell>
          <cell r="D48">
            <v>480</v>
          </cell>
          <cell r="E48">
            <v>440</v>
          </cell>
        </row>
        <row r="49">
          <cell r="C49">
            <v>36130</v>
          </cell>
          <cell r="D49">
            <v>504</v>
          </cell>
          <cell r="E49">
            <v>419</v>
          </cell>
        </row>
        <row r="50">
          <cell r="C50">
            <v>36220</v>
          </cell>
          <cell r="D50">
            <v>515</v>
          </cell>
          <cell r="E50">
            <v>413</v>
          </cell>
        </row>
        <row r="51">
          <cell r="C51">
            <v>36312</v>
          </cell>
          <cell r="D51">
            <v>474</v>
          </cell>
          <cell r="E51">
            <v>487</v>
          </cell>
        </row>
        <row r="52">
          <cell r="C52">
            <v>36404</v>
          </cell>
          <cell r="D52">
            <v>489</v>
          </cell>
          <cell r="E52">
            <v>552</v>
          </cell>
        </row>
        <row r="53">
          <cell r="C53">
            <v>36495</v>
          </cell>
          <cell r="D53">
            <v>530</v>
          </cell>
          <cell r="E53">
            <v>513</v>
          </cell>
        </row>
        <row r="54">
          <cell r="C54">
            <v>36586</v>
          </cell>
          <cell r="D54">
            <v>502</v>
          </cell>
          <cell r="E54">
            <v>575</v>
          </cell>
        </row>
        <row r="55">
          <cell r="C55">
            <v>36678</v>
          </cell>
          <cell r="D55">
            <v>536</v>
          </cell>
          <cell r="E55">
            <v>620</v>
          </cell>
        </row>
        <row r="56">
          <cell r="C56">
            <v>36770</v>
          </cell>
          <cell r="D56">
            <v>507</v>
          </cell>
          <cell r="E56">
            <v>662</v>
          </cell>
        </row>
        <row r="57">
          <cell r="C57">
            <v>36861</v>
          </cell>
          <cell r="D57">
            <v>572</v>
          </cell>
          <cell r="E57">
            <v>653</v>
          </cell>
        </row>
        <row r="58">
          <cell r="C58">
            <v>36951</v>
          </cell>
          <cell r="D58">
            <v>618</v>
          </cell>
          <cell r="E58">
            <v>576</v>
          </cell>
        </row>
        <row r="59">
          <cell r="C59">
            <v>37043</v>
          </cell>
          <cell r="D59">
            <v>565</v>
          </cell>
          <cell r="E59">
            <v>547</v>
          </cell>
        </row>
        <row r="60">
          <cell r="C60">
            <v>37135</v>
          </cell>
          <cell r="D60">
            <v>486</v>
          </cell>
          <cell r="E60">
            <v>520</v>
          </cell>
        </row>
        <row r="61">
          <cell r="C61">
            <v>37226</v>
          </cell>
          <cell r="D61">
            <v>486</v>
          </cell>
          <cell r="E61">
            <v>571</v>
          </cell>
        </row>
        <row r="62">
          <cell r="C62">
            <v>37316</v>
          </cell>
          <cell r="D62">
            <v>523</v>
          </cell>
          <cell r="E62">
            <v>557</v>
          </cell>
        </row>
        <row r="63">
          <cell r="C63">
            <v>37408</v>
          </cell>
          <cell r="D63">
            <v>494</v>
          </cell>
          <cell r="E63">
            <v>543</v>
          </cell>
        </row>
        <row r="64">
          <cell r="C64">
            <v>37500</v>
          </cell>
          <cell r="D64">
            <v>595</v>
          </cell>
          <cell r="E64">
            <v>601</v>
          </cell>
        </row>
        <row r="65">
          <cell r="C65">
            <v>37591</v>
          </cell>
          <cell r="D65">
            <v>599</v>
          </cell>
          <cell r="E65">
            <v>545</v>
          </cell>
        </row>
        <row r="66">
          <cell r="C66">
            <v>37681</v>
          </cell>
          <cell r="D66">
            <v>633</v>
          </cell>
          <cell r="E66">
            <v>486</v>
          </cell>
        </row>
        <row r="67">
          <cell r="C67">
            <v>37773</v>
          </cell>
          <cell r="D67">
            <v>555</v>
          </cell>
          <cell r="E67">
            <v>435</v>
          </cell>
        </row>
        <row r="68">
          <cell r="C68">
            <v>37865</v>
          </cell>
          <cell r="D68">
            <v>614</v>
          </cell>
          <cell r="E68">
            <v>424</v>
          </cell>
        </row>
        <row r="69">
          <cell r="C69">
            <v>37956</v>
          </cell>
          <cell r="D69">
            <v>617</v>
          </cell>
          <cell r="E69">
            <v>448</v>
          </cell>
        </row>
        <row r="70">
          <cell r="C70">
            <v>38047</v>
          </cell>
          <cell r="D70">
            <v>631</v>
          </cell>
          <cell r="E70">
            <v>447</v>
          </cell>
        </row>
        <row r="71">
          <cell r="C71">
            <v>38139</v>
          </cell>
          <cell r="D71">
            <v>633</v>
          </cell>
          <cell r="E71">
            <v>474</v>
          </cell>
        </row>
        <row r="72">
          <cell r="C72">
            <v>38231</v>
          </cell>
          <cell r="D72">
            <v>604</v>
          </cell>
          <cell r="E72">
            <v>503</v>
          </cell>
        </row>
        <row r="73">
          <cell r="C73">
            <v>38322</v>
          </cell>
          <cell r="D73">
            <v>635</v>
          </cell>
          <cell r="E73">
            <v>517</v>
          </cell>
          <cell r="G73" t="str">
            <v>Source: ABS, AUSNEWZ, Morgan Stanely Research</v>
          </cell>
        </row>
        <row r="74">
          <cell r="C74">
            <v>38412</v>
          </cell>
          <cell r="D74">
            <v>638</v>
          </cell>
          <cell r="E74">
            <v>498</v>
          </cell>
          <cell r="G74" t="str">
            <v>Heading: Australian TWA corrugating medium prices</v>
          </cell>
        </row>
        <row r="75">
          <cell r="C75">
            <v>38504</v>
          </cell>
          <cell r="D75">
            <v>612</v>
          </cell>
          <cell r="E75">
            <v>471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sk-Reward_View_Chart"/>
      <sheetName val="Bear_to_Bull_Chart"/>
      <sheetName val="Bear_to_Bull_Data"/>
      <sheetName val="Comparative_Risk-Reward_Chart"/>
      <sheetName val="Comparative_Risk-Reward_Data"/>
      <sheetName val="Value_of_Growth_Chart"/>
      <sheetName val="Value_of_Growth_Data"/>
    </sheetNames>
    <sheetDataSet>
      <sheetData sheetId="0"/>
      <sheetData sheetId="1" refreshError="1"/>
      <sheetData sheetId="2"/>
      <sheetData sheetId="3" refreshError="1"/>
      <sheetData sheetId="4"/>
      <sheetData sheetId="5" refreshError="1"/>
      <sheetData sheetId="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NCM Summary"/>
      <sheetName val="MW-Cache"/>
      <sheetName val="__FDSCACHE__"/>
      <sheetName val="Inputs"/>
      <sheetName val="Sensitivities"/>
      <sheetName val="WACC"/>
      <sheetName val="Financials"/>
      <sheetName val="Fin Charts"/>
      <sheetName val="Ops Summary"/>
      <sheetName val="Charts Tables"/>
      <sheetName val="CVO"/>
      <sheetName val="Lihir"/>
      <sheetName val="Telfer"/>
      <sheetName val="G'wong"/>
      <sheetName val="H Valley"/>
      <sheetName val="Bonikro"/>
      <sheetName val="Mt Rawdon"/>
      <sheetName val="Cracow"/>
      <sheetName val="Golpu"/>
      <sheetName val="Projects"/>
      <sheetName val="X-check"/>
      <sheetName val="MWA RR"/>
      <sheetName val="BBB Chart"/>
      <sheetName val="mwareDates"/>
      <sheetName val="Notes"/>
      <sheetName val="mwareSettings"/>
      <sheetName val="__FDS_DOWNL_SCRATCH_SHEET_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>
        <row r="2">
          <cell r="B2" t="str">
            <v>Results Summary</v>
          </cell>
          <cell r="J2" t="str">
            <v>Waterfall Chart</v>
          </cell>
          <cell r="Q2" t="str">
            <v>Group production</v>
          </cell>
        </row>
        <row r="3">
          <cell r="K3" t="str">
            <v>Actual</v>
          </cell>
          <cell r="L3" t="str">
            <v>Base</v>
          </cell>
          <cell r="M3" t="str">
            <v>Invis</v>
          </cell>
          <cell r="N3" t="str">
            <v>Positive</v>
          </cell>
          <cell r="O3" t="str">
            <v>Negative</v>
          </cell>
        </row>
        <row r="4">
          <cell r="C4" t="str">
            <v>FY'10</v>
          </cell>
          <cell r="D4" t="str">
            <v>FY'11</v>
          </cell>
          <cell r="E4" t="str">
            <v>% chg</v>
          </cell>
          <cell r="F4" t="str">
            <v>Mse</v>
          </cell>
          <cell r="G4" t="str">
            <v>vs Mse</v>
          </cell>
          <cell r="H4" t="str">
            <v>Consensus</v>
          </cell>
          <cell r="J4" t="str">
            <v>FY10</v>
          </cell>
          <cell r="K4">
            <v>776</v>
          </cell>
          <cell r="L4">
            <v>776</v>
          </cell>
        </row>
        <row r="5">
          <cell r="B5" t="str">
            <v>Total sales revenue</v>
          </cell>
          <cell r="C5">
            <v>2802</v>
          </cell>
          <cell r="D5">
            <v>4102</v>
          </cell>
          <cell r="E5">
            <v>0.46395431834404</v>
          </cell>
          <cell r="F5">
            <v>4185</v>
          </cell>
          <cell r="G5">
            <v>-1.9832735961768266E-2</v>
          </cell>
          <cell r="H5">
            <v>4189</v>
          </cell>
          <cell r="J5" t="str">
            <v>Volume</v>
          </cell>
          <cell r="K5">
            <v>797</v>
          </cell>
          <cell r="M5">
            <v>776</v>
          </cell>
          <cell r="N5">
            <v>797</v>
          </cell>
          <cell r="O5">
            <v>0</v>
          </cell>
        </row>
        <row r="6">
          <cell r="B6" t="str">
            <v>Cost of Operations</v>
          </cell>
          <cell r="C6">
            <v>1374</v>
          </cell>
          <cell r="D6">
            <v>2043</v>
          </cell>
          <cell r="E6">
            <v>0.48689956331877737</v>
          </cell>
          <cell r="F6">
            <v>2087</v>
          </cell>
          <cell r="G6">
            <v>-2.1082894106372763E-2</v>
          </cell>
          <cell r="H6">
            <v>2041</v>
          </cell>
          <cell r="J6" t="str">
            <v>Price</v>
          </cell>
          <cell r="K6">
            <v>503</v>
          </cell>
          <cell r="M6">
            <v>1573</v>
          </cell>
          <cell r="N6">
            <v>503</v>
          </cell>
          <cell r="O6">
            <v>0</v>
          </cell>
        </row>
        <row r="7">
          <cell r="B7" t="str">
            <v>EBITDA</v>
          </cell>
          <cell r="C7">
            <v>1428</v>
          </cell>
          <cell r="D7">
            <v>2059</v>
          </cell>
          <cell r="E7">
            <v>0.4418767507002801</v>
          </cell>
          <cell r="F7">
            <v>2098</v>
          </cell>
          <cell r="G7">
            <v>-1.8589132507149664E-2</v>
          </cell>
          <cell r="H7">
            <v>2148</v>
          </cell>
          <cell r="J7" t="str">
            <v>Production Costs</v>
          </cell>
          <cell r="K7">
            <v>-716</v>
          </cell>
          <cell r="M7">
            <v>1360</v>
          </cell>
          <cell r="N7">
            <v>0</v>
          </cell>
          <cell r="O7">
            <v>716</v>
          </cell>
        </row>
        <row r="8">
          <cell r="B8" t="str">
            <v>EBIT</v>
          </cell>
          <cell r="C8">
            <v>1127</v>
          </cell>
          <cell r="D8">
            <v>1544</v>
          </cell>
          <cell r="E8">
            <v>0.37000887311446307</v>
          </cell>
          <cell r="F8">
            <v>1527</v>
          </cell>
          <cell r="G8">
            <v>1.1132940406024971E-2</v>
          </cell>
          <cell r="H8">
            <v>1593</v>
          </cell>
          <cell r="J8" t="str">
            <v>Deferred &amp; inv.</v>
          </cell>
          <cell r="K8">
            <v>134</v>
          </cell>
          <cell r="M8">
            <v>1360</v>
          </cell>
          <cell r="N8">
            <v>134</v>
          </cell>
          <cell r="O8">
            <v>0</v>
          </cell>
        </row>
        <row r="9">
          <cell r="B9" t="str">
            <v>NPAT</v>
          </cell>
          <cell r="C9">
            <v>764</v>
          </cell>
          <cell r="D9">
            <v>1058</v>
          </cell>
          <cell r="E9">
            <v>0.38481675392670156</v>
          </cell>
          <cell r="F9">
            <v>1023</v>
          </cell>
          <cell r="G9">
            <v>3.4213098729227731E-2</v>
          </cell>
          <cell r="H9">
            <v>1054</v>
          </cell>
          <cell r="J9" t="str">
            <v>TC &amp; Royalty</v>
          </cell>
          <cell r="K9">
            <v>-50</v>
          </cell>
          <cell r="M9">
            <v>1444</v>
          </cell>
          <cell r="N9">
            <v>0</v>
          </cell>
          <cell r="O9">
            <v>50</v>
          </cell>
        </row>
        <row r="10">
          <cell r="B10" t="str">
            <v>NPAT (ex abs)</v>
          </cell>
          <cell r="C10">
            <v>557</v>
          </cell>
          <cell r="D10">
            <v>908</v>
          </cell>
          <cell r="E10">
            <v>0.63016157989228017</v>
          </cell>
          <cell r="F10">
            <v>884</v>
          </cell>
          <cell r="G10">
            <v>2.7149321266968229E-2</v>
          </cell>
          <cell r="J10" t="str">
            <v>D&amp;A</v>
          </cell>
          <cell r="K10">
            <v>-200</v>
          </cell>
          <cell r="M10">
            <v>1244</v>
          </cell>
          <cell r="N10">
            <v>0</v>
          </cell>
          <cell r="O10">
            <v>200</v>
          </cell>
        </row>
        <row r="11">
          <cell r="B11" t="str">
            <v>Div - full year (unfranked)</v>
          </cell>
          <cell r="C11">
            <v>25</v>
          </cell>
          <cell r="D11">
            <v>30</v>
          </cell>
          <cell r="E11">
            <v>0.19999999999999996</v>
          </cell>
          <cell r="F11">
            <v>30</v>
          </cell>
          <cell r="G11">
            <v>0</v>
          </cell>
          <cell r="H11">
            <v>29.9</v>
          </cell>
          <cell r="J11" t="str">
            <v>Other Costs</v>
          </cell>
          <cell r="K11">
            <v>-78</v>
          </cell>
          <cell r="M11">
            <v>1166</v>
          </cell>
          <cell r="N11">
            <v>0</v>
          </cell>
          <cell r="O11">
            <v>78</v>
          </cell>
        </row>
        <row r="12">
          <cell r="J12" t="str">
            <v>Tax &amp; NCI</v>
          </cell>
          <cell r="K12">
            <v>-108</v>
          </cell>
          <cell r="M12">
            <v>1058</v>
          </cell>
          <cell r="N12">
            <v>0</v>
          </cell>
          <cell r="O12">
            <v>108</v>
          </cell>
        </row>
        <row r="13">
          <cell r="J13" t="str">
            <v>FY11</v>
          </cell>
          <cell r="K13">
            <v>1058</v>
          </cell>
          <cell r="L13">
            <v>1058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-Cache"/>
      <sheetName val="Summary"/>
      <sheetName val="Financials"/>
      <sheetName val="SOP"/>
      <sheetName val="DCF"/>
      <sheetName val="Assumptions"/>
      <sheetName val="Interim"/>
      <sheetName val="ConstructionMatAust"/>
      <sheetName val="BuildingProductsAust"/>
      <sheetName val="US"/>
      <sheetName val="Asia"/>
      <sheetName val="Earnings and Valuation changes"/>
      <sheetName val="Corporate"/>
      <sheetName val="mwareInputs"/>
      <sheetName val="mwareDates"/>
      <sheetName val="Open Platform"/>
      <sheetName val="MWA RR"/>
      <sheetName val="__FDSCACHE__"/>
      <sheetName val="mwareSettings"/>
    </sheetNames>
    <sheetDataSet>
      <sheetData sheetId="0" refreshError="1"/>
      <sheetData sheetId="1" refreshError="1">
        <row r="1">
          <cell r="B1" t="str">
            <v>Boral Limited</v>
          </cell>
          <cell r="M1" t="str">
            <v xml:space="preserve">Share Price </v>
          </cell>
          <cell r="N1">
            <v>3.08</v>
          </cell>
        </row>
        <row r="2">
          <cell r="M2" t="str">
            <v>Market Cap ($m)</v>
          </cell>
          <cell r="N2">
            <v>1846.1736616399999</v>
          </cell>
        </row>
        <row r="4">
          <cell r="B4" t="str">
            <v>Income statement ($m)</v>
          </cell>
          <cell r="I4" t="str">
            <v>Investment fundamentals ($m)</v>
          </cell>
        </row>
        <row r="5">
          <cell r="B5" t="str">
            <v>June Y/E</v>
          </cell>
          <cell r="C5">
            <v>39263</v>
          </cell>
          <cell r="D5">
            <v>39629</v>
          </cell>
          <cell r="E5">
            <v>39994</v>
          </cell>
          <cell r="F5">
            <v>40359</v>
          </cell>
          <cell r="G5">
            <v>40724</v>
          </cell>
          <cell r="I5" t="str">
            <v>June Y/E</v>
          </cell>
          <cell r="J5">
            <v>39263</v>
          </cell>
          <cell r="K5">
            <v>39629</v>
          </cell>
          <cell r="L5">
            <v>39994</v>
          </cell>
          <cell r="M5">
            <v>40359</v>
          </cell>
          <cell r="N5">
            <v>40724</v>
          </cell>
        </row>
        <row r="6">
          <cell r="B6" t="str">
            <v>Sales</v>
          </cell>
          <cell r="C6">
            <v>4889.1000000000004</v>
          </cell>
          <cell r="D6">
            <v>5178.6000000000004</v>
          </cell>
          <cell r="E6">
            <v>4815.3946530350859</v>
          </cell>
          <cell r="F6">
            <v>4575.6574321985136</v>
          </cell>
          <cell r="G6">
            <v>4514.3218716374322</v>
          </cell>
          <cell r="I6" t="str">
            <v>ModelWare NPAT</v>
          </cell>
          <cell r="J6">
            <v>298.09999999999997</v>
          </cell>
          <cell r="K6">
            <v>246.60000000000002</v>
          </cell>
          <cell r="L6">
            <v>108.40182795888123</v>
          </cell>
          <cell r="M6">
            <v>57.011948823737036</v>
          </cell>
          <cell r="N6">
            <v>116.13814736128921</v>
          </cell>
        </row>
        <row r="7">
          <cell r="B7" t="str">
            <v>EBITDA</v>
          </cell>
          <cell r="C7">
            <v>762.3</v>
          </cell>
          <cell r="D7">
            <v>689.4</v>
          </cell>
          <cell r="E7">
            <v>542.10004478950123</v>
          </cell>
          <cell r="F7">
            <v>500.00282568055303</v>
          </cell>
          <cell r="G7">
            <v>555.84375992294258</v>
          </cell>
          <cell r="I7" t="str">
            <v>Change (%)</v>
          </cell>
          <cell r="J7">
            <v>-17.742825607064006</v>
          </cell>
          <cell r="K7">
            <v>-17.276081851727586</v>
          </cell>
          <cell r="L7">
            <v>-56.041432295668578</v>
          </cell>
          <cell r="M7">
            <v>-47.406838152800646</v>
          </cell>
          <cell r="N7">
            <v>103.70843263111702</v>
          </cell>
        </row>
        <row r="8">
          <cell r="B8" t="str">
            <v>Depreciation</v>
          </cell>
          <cell r="C8">
            <v>-221.1</v>
          </cell>
          <cell r="D8">
            <v>-229.89999999999998</v>
          </cell>
          <cell r="E8">
            <v>-261.75529663999998</v>
          </cell>
          <cell r="F8">
            <v>-270.07420835275775</v>
          </cell>
          <cell r="G8">
            <v>-253.1441937122585</v>
          </cell>
          <cell r="I8" t="str">
            <v>ModelWare EPS</v>
          </cell>
          <cell r="J8">
            <v>49.873606962482683</v>
          </cell>
          <cell r="K8">
            <v>41.303922144739758</v>
          </cell>
          <cell r="L8">
            <v>18.506966338968954</v>
          </cell>
          <cell r="M8">
            <v>9.7333987596606484</v>
          </cell>
          <cell r="N8">
            <v>19.827754055041289</v>
          </cell>
        </row>
        <row r="9">
          <cell r="B9" t="str">
            <v>Amortisation</v>
          </cell>
          <cell r="C9">
            <v>-10.3</v>
          </cell>
          <cell r="D9">
            <v>-10.3</v>
          </cell>
          <cell r="E9">
            <v>-9.8000000000000007</v>
          </cell>
          <cell r="F9">
            <v>-8.8000000000000007</v>
          </cell>
          <cell r="G9">
            <v>-8.8000000000000007</v>
          </cell>
          <cell r="I9" t="str">
            <v>Change (%)</v>
          </cell>
          <cell r="J9">
            <v>-18.926478233126119</v>
          </cell>
          <cell r="K9">
            <v>-17.182805374773579</v>
          </cell>
          <cell r="L9">
            <v>-55.193198664970126</v>
          </cell>
          <cell r="M9">
            <v>-47.406838152800646</v>
          </cell>
          <cell r="N9">
            <v>103.70843263111702</v>
          </cell>
        </row>
        <row r="10">
          <cell r="B10" t="str">
            <v>EBIT</v>
          </cell>
          <cell r="C10">
            <v>530.9</v>
          </cell>
          <cell r="D10">
            <v>449.2</v>
          </cell>
          <cell r="E10">
            <v>270.54474814950123</v>
          </cell>
          <cell r="F10">
            <v>221.12861732779527</v>
          </cell>
          <cell r="G10">
            <v>293.8995662106841</v>
          </cell>
          <cell r="I10" t="str">
            <v>PE (x)</v>
          </cell>
          <cell r="J10">
            <v>17.584451043609526</v>
          </cell>
          <cell r="K10">
            <v>13.679088344687754</v>
          </cell>
          <cell r="L10">
            <v>16.642381812272699</v>
          </cell>
          <cell r="M10">
            <v>31.64362291170924</v>
          </cell>
          <cell r="N10">
            <v>15.533781544041782</v>
          </cell>
        </row>
        <row r="11">
          <cell r="B11" t="str">
            <v>Net interest</v>
          </cell>
          <cell r="C11">
            <v>-110.5</v>
          </cell>
          <cell r="D11">
            <v>-111.89999999999999</v>
          </cell>
          <cell r="E11">
            <v>-148.13496835443038</v>
          </cell>
          <cell r="F11">
            <v>-171.360148491171</v>
          </cell>
          <cell r="G11">
            <v>-155.18348919911443</v>
          </cell>
          <cell r="I11" t="str">
            <v>PEG (x)</v>
          </cell>
          <cell r="J11" t="str">
            <v>na</v>
          </cell>
          <cell r="K11" t="str">
            <v>na</v>
          </cell>
          <cell r="L11" t="str">
            <v>na</v>
          </cell>
          <cell r="M11" t="str">
            <v>na</v>
          </cell>
          <cell r="N11">
            <v>0.14978320614770313</v>
          </cell>
        </row>
        <row r="12">
          <cell r="B12" t="str">
            <v>Tax</v>
          </cell>
          <cell r="C12">
            <v>-122.3</v>
          </cell>
          <cell r="D12">
            <v>-90.1</v>
          </cell>
          <cell r="E12">
            <v>-13.407951836189625</v>
          </cell>
          <cell r="F12">
            <v>7.8434799871127723</v>
          </cell>
          <cell r="G12">
            <v>-21.977929650280466</v>
          </cell>
          <cell r="I12" t="str">
            <v>EV/EBITDA (x)</v>
          </cell>
          <cell r="J12">
            <v>8.8442866055489961</v>
          </cell>
          <cell r="K12">
            <v>7.0010215200899335</v>
          </cell>
          <cell r="L12">
            <v>7.477488018832914</v>
          </cell>
          <cell r="M12">
            <v>7.9738124200184641</v>
          </cell>
          <cell r="N12">
            <v>7.0445989788995416</v>
          </cell>
        </row>
        <row r="13">
          <cell r="B13" t="str">
            <v>Minorities</v>
          </cell>
          <cell r="C13">
            <v>0</v>
          </cell>
          <cell r="D13">
            <v>-0.6</v>
          </cell>
          <cell r="E13">
            <v>-0.6</v>
          </cell>
          <cell r="F13">
            <v>-0.6</v>
          </cell>
          <cell r="G13">
            <v>-0.6</v>
          </cell>
          <cell r="I13" t="str">
            <v>FCF yield (%)</v>
          </cell>
          <cell r="J13">
            <v>4.273704128673943</v>
          </cell>
          <cell r="K13">
            <v>10.620462201503518</v>
          </cell>
          <cell r="L13">
            <v>3.1084424169529203</v>
          </cell>
          <cell r="M13">
            <v>6.3233139695496012</v>
          </cell>
          <cell r="N13">
            <v>8.5271499612016406</v>
          </cell>
        </row>
        <row r="14">
          <cell r="B14" t="str">
            <v>NPAT</v>
          </cell>
          <cell r="C14">
            <v>298.09999999999997</v>
          </cell>
          <cell r="D14">
            <v>246.60000000000002</v>
          </cell>
          <cell r="E14">
            <v>108.40182795888123</v>
          </cell>
          <cell r="F14">
            <v>57.011948823737036</v>
          </cell>
          <cell r="G14">
            <v>116.13814736128921</v>
          </cell>
          <cell r="I14" t="str">
            <v xml:space="preserve">Dividend (c) </v>
          </cell>
          <cell r="J14">
            <v>34</v>
          </cell>
          <cell r="K14">
            <v>34</v>
          </cell>
          <cell r="L14">
            <v>15</v>
          </cell>
          <cell r="M14">
            <v>8</v>
          </cell>
          <cell r="N14">
            <v>14.000000000000002</v>
          </cell>
        </row>
        <row r="15">
          <cell r="B15" t="str">
            <v>Significant items pre tax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I15" t="str">
            <v>Franking (%)</v>
          </cell>
          <cell r="J15">
            <v>100</v>
          </cell>
          <cell r="K15">
            <v>100</v>
          </cell>
          <cell r="L15">
            <v>100</v>
          </cell>
          <cell r="M15">
            <v>100</v>
          </cell>
          <cell r="N15">
            <v>100</v>
          </cell>
        </row>
        <row r="16">
          <cell r="B16" t="str">
            <v>Significant items tax</v>
          </cell>
          <cell r="C16">
            <v>0</v>
          </cell>
          <cell r="D16">
            <v>28.1</v>
          </cell>
          <cell r="E16">
            <v>0</v>
          </cell>
          <cell r="F16">
            <v>0</v>
          </cell>
          <cell r="G16">
            <v>0</v>
          </cell>
          <cell r="I16" t="str">
            <v>Dividend yield (%)</v>
          </cell>
          <cell r="J16">
            <v>3.8768529076396807</v>
          </cell>
          <cell r="K16">
            <v>6.0176991150442474</v>
          </cell>
          <cell r="L16">
            <v>4.8701298701298699</v>
          </cell>
          <cell r="M16">
            <v>2.5974025974025974</v>
          </cell>
          <cell r="N16">
            <v>4.5454545454545459</v>
          </cell>
        </row>
        <row r="17">
          <cell r="B17" t="str">
            <v>Reported NPAT</v>
          </cell>
          <cell r="C17">
            <v>298.09999999999997</v>
          </cell>
          <cell r="D17">
            <v>274.70000000000005</v>
          </cell>
          <cell r="E17">
            <v>108.40182795888123</v>
          </cell>
          <cell r="F17">
            <v>57.011948823737036</v>
          </cell>
          <cell r="G17">
            <v>116.13814736128921</v>
          </cell>
          <cell r="I17" t="str">
            <v xml:space="preserve">Gross dividend yield (%) </v>
          </cell>
          <cell r="J17">
            <v>5.5383612966281168</v>
          </cell>
          <cell r="K17">
            <v>8.596713021491782</v>
          </cell>
          <cell r="L17">
            <v>6.9573283858998138</v>
          </cell>
          <cell r="M17">
            <v>3.710575139146568</v>
          </cell>
          <cell r="N17">
            <v>6.4935064935064943</v>
          </cell>
        </row>
        <row r="19">
          <cell r="B19" t="str">
            <v>Balance sheet ($m)</v>
          </cell>
          <cell r="I19" t="str">
            <v>Cash flow statement ($m)</v>
          </cell>
          <cell r="R19" t="str">
            <v>1H F2009</v>
          </cell>
          <cell r="S19" t="str">
            <v>2H F2009</v>
          </cell>
          <cell r="T19">
            <v>2009</v>
          </cell>
          <cell r="U19">
            <v>2010</v>
          </cell>
        </row>
        <row r="20">
          <cell r="B20" t="str">
            <v>June Y/E</v>
          </cell>
          <cell r="C20">
            <v>39263</v>
          </cell>
          <cell r="D20">
            <v>39629</v>
          </cell>
          <cell r="E20">
            <v>39994</v>
          </cell>
          <cell r="F20">
            <v>40359</v>
          </cell>
          <cell r="G20">
            <v>40724</v>
          </cell>
          <cell r="I20" t="str">
            <v>June Y/E</v>
          </cell>
          <cell r="J20">
            <v>39263</v>
          </cell>
          <cell r="K20">
            <v>39629</v>
          </cell>
          <cell r="L20">
            <v>39994</v>
          </cell>
          <cell r="M20">
            <v>40359</v>
          </cell>
          <cell r="N20">
            <v>40724</v>
          </cell>
          <cell r="Q20" t="str">
            <v>EBIT ex QEU and one-offs</v>
          </cell>
          <cell r="R20">
            <v>173.4</v>
          </cell>
          <cell r="S20">
            <v>102.14474814950123</v>
          </cell>
          <cell r="T20">
            <v>275.54474814950123</v>
          </cell>
          <cell r="U20">
            <v>186.12861732779527</v>
          </cell>
          <cell r="V20">
            <v>-0.32450675043601918</v>
          </cell>
        </row>
        <row r="21">
          <cell r="B21" t="str">
            <v>Cash</v>
          </cell>
          <cell r="C21">
            <v>35.700000000000003</v>
          </cell>
          <cell r="D21">
            <v>47.4</v>
          </cell>
          <cell r="E21">
            <v>47.399999999999174</v>
          </cell>
          <cell r="F21">
            <v>47.399999999999174</v>
          </cell>
          <cell r="G21">
            <v>47.399999999999174</v>
          </cell>
          <cell r="I21" t="str">
            <v>EBITDA</v>
          </cell>
          <cell r="J21">
            <v>762.3</v>
          </cell>
          <cell r="K21">
            <v>689.4</v>
          </cell>
          <cell r="L21">
            <v>542.10004478950123</v>
          </cell>
          <cell r="M21">
            <v>500.00282568055303</v>
          </cell>
          <cell r="N21">
            <v>555.84375992294258</v>
          </cell>
          <cell r="Q21" t="str">
            <v>QEU</v>
          </cell>
          <cell r="R21">
            <v>7</v>
          </cell>
          <cell r="S21">
            <v>28</v>
          </cell>
          <cell r="T21">
            <v>35</v>
          </cell>
          <cell r="U21">
            <v>35</v>
          </cell>
        </row>
        <row r="22">
          <cell r="B22" t="str">
            <v>Inventories</v>
          </cell>
          <cell r="C22">
            <v>584</v>
          </cell>
          <cell r="D22">
            <v>600.1</v>
          </cell>
          <cell r="E22">
            <v>637.16866801191031</v>
          </cell>
          <cell r="F22">
            <v>605.44685564144595</v>
          </cell>
          <cell r="G22">
            <v>597.33098970721028</v>
          </cell>
          <cell r="I22" t="str">
            <v>Net interest</v>
          </cell>
          <cell r="J22">
            <v>-108.60000000000001</v>
          </cell>
          <cell r="K22">
            <v>-114.1</v>
          </cell>
          <cell r="L22">
            <v>-148.13496835443038</v>
          </cell>
          <cell r="M22">
            <v>-171.360148491171</v>
          </cell>
          <cell r="N22">
            <v>-155.18348919911443</v>
          </cell>
          <cell r="Q22" t="str">
            <v>Plant One-offs</v>
          </cell>
          <cell r="R22">
            <v>-25</v>
          </cell>
          <cell r="S22">
            <v>-15</v>
          </cell>
          <cell r="T22">
            <v>-40</v>
          </cell>
          <cell r="U22">
            <v>0</v>
          </cell>
        </row>
        <row r="23">
          <cell r="B23" t="str">
            <v>Receivables</v>
          </cell>
          <cell r="C23">
            <v>837.4</v>
          </cell>
          <cell r="D23">
            <v>921.5</v>
          </cell>
          <cell r="E23">
            <v>938.81842167017317</v>
          </cell>
          <cell r="F23">
            <v>894.06026716330541</v>
          </cell>
          <cell r="G23">
            <v>882.60911874847648</v>
          </cell>
          <cell r="I23" t="str">
            <v>Tax</v>
          </cell>
          <cell r="J23">
            <v>-93.7</v>
          </cell>
          <cell r="K23">
            <v>-47.8</v>
          </cell>
          <cell r="L23">
            <v>-64.791624105942574</v>
          </cell>
          <cell r="M23">
            <v>-6.3949793344998351</v>
          </cell>
          <cell r="N23">
            <v>-1.9975851932269961</v>
          </cell>
          <cell r="Q23" t="str">
            <v>EBIT</v>
          </cell>
          <cell r="R23">
            <v>155.4</v>
          </cell>
          <cell r="S23">
            <v>115.14474814950123</v>
          </cell>
          <cell r="T23">
            <v>270.54474814950123</v>
          </cell>
          <cell r="U23">
            <v>221.12861732779527</v>
          </cell>
        </row>
        <row r="24">
          <cell r="B24" t="str">
            <v>PPE</v>
          </cell>
          <cell r="C24">
            <v>2989.6</v>
          </cell>
          <cell r="D24">
            <v>3088.9</v>
          </cell>
          <cell r="E24">
            <v>3058.6353700266668</v>
          </cell>
          <cell r="F24">
            <v>3031.6285204536425</v>
          </cell>
          <cell r="G24">
            <v>3027.8740584228135</v>
          </cell>
          <cell r="I24" t="str">
            <v>Working capital</v>
          </cell>
          <cell r="J24">
            <v>-85.200000000000045</v>
          </cell>
          <cell r="K24">
            <v>-30.800000000000068</v>
          </cell>
          <cell r="L24">
            <v>-23.371142761408692</v>
          </cell>
          <cell r="M24">
            <v>40.762997097877701</v>
          </cell>
          <cell r="N24">
            <v>10.429007512573094</v>
          </cell>
          <cell r="Q24" t="str">
            <v>Interest</v>
          </cell>
          <cell r="R24">
            <v>-69</v>
          </cell>
          <cell r="S24">
            <v>-79.134968354430384</v>
          </cell>
          <cell r="T24">
            <v>-148.13496835443038</v>
          </cell>
          <cell r="U24">
            <v>-171.360148491171</v>
          </cell>
        </row>
        <row r="25">
          <cell r="B25" t="str">
            <v>Intangibles</v>
          </cell>
          <cell r="C25">
            <v>340.3</v>
          </cell>
          <cell r="D25">
            <v>326.10000000000002</v>
          </cell>
          <cell r="E25">
            <v>334.53333333333336</v>
          </cell>
          <cell r="F25">
            <v>331.6</v>
          </cell>
          <cell r="G25">
            <v>328.66666666666669</v>
          </cell>
          <cell r="I25" t="str">
            <v>Other</v>
          </cell>
          <cell r="J25">
            <v>7.0999999999997385</v>
          </cell>
          <cell r="K25">
            <v>85.100000000000136</v>
          </cell>
          <cell r="L25">
            <v>0</v>
          </cell>
          <cell r="M25">
            <v>0</v>
          </cell>
          <cell r="N25">
            <v>0</v>
          </cell>
          <cell r="Q25" t="str">
            <v>Tax</v>
          </cell>
          <cell r="R25">
            <v>-11.5</v>
          </cell>
          <cell r="S25">
            <v>-1.9079518361896248</v>
          </cell>
          <cell r="T25">
            <v>-13.407951836189625</v>
          </cell>
          <cell r="U25">
            <v>7.8434799871127723</v>
          </cell>
        </row>
        <row r="26">
          <cell r="B26" t="str">
            <v>Other</v>
          </cell>
          <cell r="C26">
            <v>1029.6000000000001</v>
          </cell>
          <cell r="D26">
            <v>910.99000000000012</v>
          </cell>
          <cell r="E26">
            <v>1610.99</v>
          </cell>
          <cell r="F26">
            <v>1610.99</v>
          </cell>
          <cell r="G26">
            <v>1610.99</v>
          </cell>
          <cell r="I26" t="str">
            <v>Operating cashflow</v>
          </cell>
          <cell r="J26">
            <v>481.89999999999958</v>
          </cell>
          <cell r="K26">
            <v>581.80000000000007</v>
          </cell>
          <cell r="L26">
            <v>305.80230956771965</v>
          </cell>
          <cell r="M26">
            <v>363.01069495275988</v>
          </cell>
          <cell r="N26">
            <v>409.0916930431743</v>
          </cell>
          <cell r="Q26" t="str">
            <v>Minorities</v>
          </cell>
          <cell r="R26">
            <v>-0.1</v>
          </cell>
          <cell r="S26">
            <v>-0.5</v>
          </cell>
          <cell r="T26">
            <v>-0.6</v>
          </cell>
          <cell r="U26">
            <v>-0.6</v>
          </cell>
        </row>
        <row r="27">
          <cell r="B27" t="str">
            <v>Total assets</v>
          </cell>
          <cell r="C27">
            <v>5816.6</v>
          </cell>
          <cell r="D27">
            <v>5894.99</v>
          </cell>
          <cell r="E27">
            <v>6627.5457930420826</v>
          </cell>
          <cell r="F27">
            <v>6521.1256432583932</v>
          </cell>
          <cell r="G27">
            <v>6494.8708335451656</v>
          </cell>
          <cell r="I27" t="str">
            <v>Capex</v>
          </cell>
          <cell r="J27">
            <v>-403</v>
          </cell>
          <cell r="K27">
            <v>-390.2</v>
          </cell>
          <cell r="L27">
            <v>-249.72399999999999</v>
          </cell>
          <cell r="M27">
            <v>-248.9340254464</v>
          </cell>
          <cell r="N27">
            <v>-255.2563983480959</v>
          </cell>
          <cell r="Q27" t="str">
            <v>NPAT</v>
          </cell>
          <cell r="R27">
            <v>74.800000000000011</v>
          </cell>
          <cell r="S27">
            <v>33.601827958881216</v>
          </cell>
          <cell r="T27">
            <v>108.40182795888123</v>
          </cell>
          <cell r="U27">
            <v>57.011948823737036</v>
          </cell>
        </row>
        <row r="28">
          <cell r="B28" t="str">
            <v>Payables</v>
          </cell>
          <cell r="C28">
            <v>619.29999999999995</v>
          </cell>
          <cell r="D28">
            <v>686.4</v>
          </cell>
          <cell r="E28">
            <v>717.41594692067463</v>
          </cell>
          <cell r="F28">
            <v>681.69897714122021</v>
          </cell>
          <cell r="G28">
            <v>672.56097030472881</v>
          </cell>
          <cell r="I28" t="str">
            <v>Free cash flow</v>
          </cell>
          <cell r="J28">
            <v>78.899999999999579</v>
          </cell>
          <cell r="K28">
            <v>191.60000000000008</v>
          </cell>
          <cell r="L28">
            <v>56.078309567719657</v>
          </cell>
          <cell r="M28">
            <v>114.07666950635988</v>
          </cell>
          <cell r="N28">
            <v>153.8352946950784</v>
          </cell>
        </row>
        <row r="29">
          <cell r="B29" t="str">
            <v>Debt</v>
          </cell>
          <cell r="C29">
            <v>1518</v>
          </cell>
          <cell r="D29">
            <v>1562.5</v>
          </cell>
          <cell r="E29">
            <v>2294.2819798822802</v>
          </cell>
          <cell r="F29">
            <v>2227.0641314159202</v>
          </cell>
          <cell r="G29">
            <v>2155.2317735408419</v>
          </cell>
          <cell r="I29" t="str">
            <v>Acquisitions</v>
          </cell>
          <cell r="J29">
            <v>-14.5</v>
          </cell>
          <cell r="K29">
            <v>-105.8</v>
          </cell>
          <cell r="L29">
            <v>0</v>
          </cell>
          <cell r="M29">
            <v>0</v>
          </cell>
          <cell r="N29">
            <v>0</v>
          </cell>
        </row>
        <row r="30">
          <cell r="B30" t="str">
            <v>Provisions</v>
          </cell>
          <cell r="C30">
            <v>195.6</v>
          </cell>
          <cell r="D30">
            <v>194.8</v>
          </cell>
          <cell r="E30">
            <v>194.8</v>
          </cell>
          <cell r="F30">
            <v>194.8</v>
          </cell>
          <cell r="G30">
            <v>194.8</v>
          </cell>
          <cell r="I30" t="str">
            <v>Divestments</v>
          </cell>
          <cell r="J30">
            <v>19.5</v>
          </cell>
          <cell r="K30">
            <v>33.9</v>
          </cell>
          <cell r="L30">
            <v>0</v>
          </cell>
          <cell r="M30">
            <v>0</v>
          </cell>
          <cell r="N30">
            <v>0</v>
          </cell>
        </row>
        <row r="31">
          <cell r="B31" t="str">
            <v>Other</v>
          </cell>
          <cell r="C31">
            <v>496.40000000000003</v>
          </cell>
          <cell r="D31">
            <v>541.69999999999993</v>
          </cell>
          <cell r="E31">
            <v>490.316327730247</v>
          </cell>
          <cell r="F31">
            <v>476.0778684086344</v>
          </cell>
          <cell r="G31">
            <v>496.05821286568789</v>
          </cell>
          <cell r="I31" t="str">
            <v>Borrowings</v>
          </cell>
          <cell r="J31">
            <v>9.9000000000000057</v>
          </cell>
          <cell r="K31">
            <v>217.89999999999998</v>
          </cell>
          <cell r="L31">
            <v>31.781979882280339</v>
          </cell>
          <cell r="M31">
            <v>-67.217848466359868</v>
          </cell>
          <cell r="N31">
            <v>-71.832357875078387</v>
          </cell>
        </row>
        <row r="32">
          <cell r="B32" t="str">
            <v>Total liabilities</v>
          </cell>
          <cell r="C32">
            <v>2829.3</v>
          </cell>
          <cell r="D32">
            <v>2985.4</v>
          </cell>
          <cell r="E32">
            <v>3696.8142545332021</v>
          </cell>
          <cell r="F32">
            <v>3579.6409769657748</v>
          </cell>
          <cell r="G32">
            <v>3518.6509567112589</v>
          </cell>
          <cell r="I32" t="str">
            <v>Equity</v>
          </cell>
          <cell r="J32">
            <v>11.7</v>
          </cell>
          <cell r="K32">
            <v>-113.1</v>
          </cell>
          <cell r="L32">
            <v>0</v>
          </cell>
          <cell r="M32">
            <v>0</v>
          </cell>
          <cell r="N32">
            <v>0</v>
          </cell>
        </row>
        <row r="33">
          <cell r="B33" t="str">
            <v>Net assets</v>
          </cell>
          <cell r="C33">
            <v>2987.3</v>
          </cell>
          <cell r="D33">
            <v>2909.5899999999997</v>
          </cell>
          <cell r="E33">
            <v>2930.7315385088805</v>
          </cell>
          <cell r="F33">
            <v>2941.4846662926184</v>
          </cell>
          <cell r="G33">
            <v>2976.2198768339067</v>
          </cell>
          <cell r="I33" t="str">
            <v>Dividends</v>
          </cell>
          <cell r="J33">
            <v>-148.19999999999999</v>
          </cell>
          <cell r="K33">
            <v>-163.30000000000001</v>
          </cell>
          <cell r="L33">
            <v>-87.860289449999996</v>
          </cell>
          <cell r="M33">
            <v>-46.858821040000002</v>
          </cell>
          <cell r="N33">
            <v>-82.002936820000016</v>
          </cell>
        </row>
        <row r="34">
          <cell r="B34" t="str">
            <v>Equity</v>
          </cell>
          <cell r="C34">
            <v>1688.1</v>
          </cell>
          <cell r="D34">
            <v>1673.1</v>
          </cell>
          <cell r="E34">
            <v>1673.1</v>
          </cell>
          <cell r="F34">
            <v>1673.1</v>
          </cell>
          <cell r="G34">
            <v>1673.1</v>
          </cell>
          <cell r="I34" t="str">
            <v>Other</v>
          </cell>
          <cell r="J34">
            <v>2.1999999999999993</v>
          </cell>
          <cell r="K34">
            <v>-49.5</v>
          </cell>
          <cell r="L34">
            <v>0</v>
          </cell>
          <cell r="M34">
            <v>0</v>
          </cell>
          <cell r="N34">
            <v>0</v>
          </cell>
        </row>
        <row r="35">
          <cell r="B35" t="str">
            <v>Minorities</v>
          </cell>
          <cell r="C35">
            <v>2.9</v>
          </cell>
          <cell r="D35">
            <v>2</v>
          </cell>
          <cell r="E35">
            <v>2.6</v>
          </cell>
          <cell r="F35">
            <v>3.2</v>
          </cell>
          <cell r="G35">
            <v>3.8000000000000003</v>
          </cell>
          <cell r="I35" t="str">
            <v>Net free cash flow</v>
          </cell>
          <cell r="J35">
            <v>-40.500000000000398</v>
          </cell>
          <cell r="K35">
            <v>11.700000000000017</v>
          </cell>
          <cell r="L35">
            <v>0</v>
          </cell>
          <cell r="M35">
            <v>7.1054273576010019E-15</v>
          </cell>
          <cell r="N35">
            <v>0</v>
          </cell>
        </row>
        <row r="36">
          <cell r="B36" t="str">
            <v>Other</v>
          </cell>
          <cell r="C36">
            <v>1296.3</v>
          </cell>
          <cell r="D36">
            <v>1234.5</v>
          </cell>
          <cell r="E36">
            <v>1255.0415385088813</v>
          </cell>
          <cell r="F36">
            <v>1265.1946662926184</v>
          </cell>
          <cell r="G36">
            <v>1299.3298768339077</v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</row>
        <row r="37">
          <cell r="B37" t="str">
            <v>Total equity</v>
          </cell>
          <cell r="C37">
            <v>2987.3</v>
          </cell>
          <cell r="D37">
            <v>2909.6</v>
          </cell>
          <cell r="E37">
            <v>2930.7415385088811</v>
          </cell>
          <cell r="F37">
            <v>2941.4946662926186</v>
          </cell>
          <cell r="G37">
            <v>2976.2298768339078</v>
          </cell>
          <cell r="I37" t="str">
            <v>Divisonal summary ($m)</v>
          </cell>
        </row>
        <row r="38"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I38" t="str">
            <v>June Y/E</v>
          </cell>
          <cell r="J38">
            <v>39263</v>
          </cell>
          <cell r="K38">
            <v>39629</v>
          </cell>
          <cell r="L38">
            <v>39994</v>
          </cell>
          <cell r="M38">
            <v>40359</v>
          </cell>
          <cell r="N38">
            <v>40724</v>
          </cell>
        </row>
        <row r="39">
          <cell r="B39" t="str">
            <v>Ratios ($m)</v>
          </cell>
          <cell r="I39" t="str">
            <v>Sales</v>
          </cell>
        </row>
        <row r="40">
          <cell r="B40" t="str">
            <v>June Y/E</v>
          </cell>
          <cell r="C40">
            <v>39263</v>
          </cell>
          <cell r="D40">
            <v>39629</v>
          </cell>
          <cell r="E40">
            <v>39994</v>
          </cell>
          <cell r="F40">
            <v>40359</v>
          </cell>
          <cell r="G40">
            <v>40724</v>
          </cell>
          <cell r="I40" t="str">
            <v>Building products - Austraila</v>
          </cell>
          <cell r="J40">
            <v>1275.3</v>
          </cell>
          <cell r="K40">
            <v>1357.1</v>
          </cell>
          <cell r="L40">
            <v>1216.5853400010794</v>
          </cell>
          <cell r="M40">
            <v>1150.8276822504495</v>
          </cell>
          <cell r="N40">
            <v>1179.0737244025663</v>
          </cell>
        </row>
        <row r="41">
          <cell r="B41" t="str">
            <v>Working capital/sales (%)</v>
          </cell>
          <cell r="C41">
            <v>16.405882473256838</v>
          </cell>
          <cell r="D41">
            <v>16.127911018421965</v>
          </cell>
          <cell r="E41">
            <v>17.829715000000295</v>
          </cell>
          <cell r="F41">
            <v>17.873019512096437</v>
          </cell>
          <cell r="G41">
            <v>17.884837659085786</v>
          </cell>
          <cell r="I41" t="str">
            <v>Construction materials - Australia</v>
          </cell>
          <cell r="J41">
            <v>2548.8000000000002</v>
          </cell>
          <cell r="K41">
            <v>2960</v>
          </cell>
          <cell r="L41">
            <v>2996.2805590425214</v>
          </cell>
          <cell r="M41">
            <v>2806.0729002423777</v>
          </cell>
          <cell r="N41">
            <v>2673.0843539077982</v>
          </cell>
        </row>
        <row r="42">
          <cell r="B42" t="str">
            <v>Capex/depreciation (x)</v>
          </cell>
          <cell r="C42">
            <v>1.8227046585255542</v>
          </cell>
          <cell r="D42">
            <v>1.6972596781209222</v>
          </cell>
          <cell r="E42">
            <v>0.95403609098100883</v>
          </cell>
          <cell r="F42">
            <v>0.92172453995034775</v>
          </cell>
          <cell r="G42">
            <v>1.0083438794501378</v>
          </cell>
          <cell r="I42" t="str">
            <v>United States of America</v>
          </cell>
          <cell r="J42">
            <v>882.5</v>
          </cell>
          <cell r="K42">
            <v>670.8</v>
          </cell>
          <cell r="L42">
            <v>324.48855726110605</v>
          </cell>
          <cell r="M42">
            <v>281.12102206804263</v>
          </cell>
          <cell r="N42">
            <v>358.57977415970754</v>
          </cell>
        </row>
        <row r="43">
          <cell r="B43" t="str">
            <v>Capex/sales (%)</v>
          </cell>
          <cell r="C43">
            <v>8.2428258779734502</v>
          </cell>
          <cell r="D43">
            <v>7.5348549801104543</v>
          </cell>
          <cell r="E43">
            <v>5.1859508512475072</v>
          </cell>
          <cell r="F43">
            <v>5.4403990931373567</v>
          </cell>
          <cell r="G43">
            <v>5.6543685985667089</v>
          </cell>
          <cell r="I43" t="str">
            <v>Asia</v>
          </cell>
          <cell r="J43">
            <v>182.5</v>
          </cell>
          <cell r="K43">
            <v>190.7</v>
          </cell>
          <cell r="L43">
            <v>278.04019673037834</v>
          </cell>
          <cell r="M43">
            <v>337.63582763764407</v>
          </cell>
          <cell r="N43">
            <v>303.58401916735954</v>
          </cell>
        </row>
        <row r="44">
          <cell r="B44" t="str">
            <v>Average capital employed</v>
          </cell>
          <cell r="C44">
            <v>4401.4000000000005</v>
          </cell>
          <cell r="D44">
            <v>4447.1499999999996</v>
          </cell>
          <cell r="E44">
            <v>4801.1617591955819</v>
          </cell>
          <cell r="F44">
            <v>5149.3911580498516</v>
          </cell>
          <cell r="G44">
            <v>5102.6102240416458</v>
          </cell>
          <cell r="I44" t="str">
            <v>Other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B45" t="str">
            <v>ROFE (%)</v>
          </cell>
          <cell r="C45">
            <v>12.062071159176623</v>
          </cell>
          <cell r="D45">
            <v>10.100851106888681</v>
          </cell>
          <cell r="E45">
            <v>5.6349850665066974</v>
          </cell>
          <cell r="F45">
            <v>4.2942672354985723</v>
          </cell>
          <cell r="G45">
            <v>5.7597886827791811</v>
          </cell>
          <cell r="I45" t="str">
            <v>Total</v>
          </cell>
          <cell r="J45">
            <v>4889.1000000000004</v>
          </cell>
          <cell r="K45">
            <v>5178.6000000000004</v>
          </cell>
          <cell r="L45">
            <v>4815.3946530350859</v>
          </cell>
          <cell r="M45">
            <v>4575.6574321985136</v>
          </cell>
          <cell r="N45">
            <v>4514.3218716374322</v>
          </cell>
        </row>
        <row r="46">
          <cell r="B46" t="str">
            <v>Net debt</v>
          </cell>
          <cell r="C46">
            <v>1482.3</v>
          </cell>
          <cell r="D46">
            <v>1515.1</v>
          </cell>
          <cell r="E46">
            <v>2246.881979882281</v>
          </cell>
          <cell r="F46">
            <v>2179.664131415921</v>
          </cell>
          <cell r="G46">
            <v>2107.8317735408427</v>
          </cell>
          <cell r="I46" t="str">
            <v>EBIT</v>
          </cell>
        </row>
        <row r="47">
          <cell r="B47" t="str">
            <v>Gearing ND/E (%)</v>
          </cell>
          <cell r="C47">
            <v>49.620058246577173</v>
          </cell>
          <cell r="D47">
            <v>52.072449821281275</v>
          </cell>
          <cell r="E47">
            <v>76.665988807237568</v>
          </cell>
          <cell r="F47">
            <v>74.100563784571179</v>
          </cell>
          <cell r="G47">
            <v>70.822210002916137</v>
          </cell>
          <cell r="I47" t="str">
            <v>Building products - Austraila</v>
          </cell>
          <cell r="J47">
            <v>99.2</v>
          </cell>
          <cell r="K47">
            <v>114.4</v>
          </cell>
          <cell r="L47">
            <v>47.65807706321646</v>
          </cell>
          <cell r="M47">
            <v>38.413789829289385</v>
          </cell>
          <cell r="N47">
            <v>55.658111809725419</v>
          </cell>
          <cell r="P47">
            <v>-9.244287233927075</v>
          </cell>
        </row>
        <row r="48">
          <cell r="B48" t="str">
            <v>Interest cover (x)</v>
          </cell>
          <cell r="C48">
            <v>4.7113122171945703</v>
          </cell>
          <cell r="D48">
            <v>3.9222520107238608</v>
          </cell>
          <cell r="E48">
            <v>1.7601836422959813</v>
          </cell>
          <cell r="F48">
            <v>1.2390781590547879</v>
          </cell>
          <cell r="G48">
            <v>1.8371771873544847</v>
          </cell>
          <cell r="I48" t="str">
            <v>Construction materials - Australia</v>
          </cell>
          <cell r="J48">
            <v>318</v>
          </cell>
          <cell r="K48">
            <v>350.9</v>
          </cell>
          <cell r="L48">
            <v>324.65323281466527</v>
          </cell>
          <cell r="M48">
            <v>266.31109055498132</v>
          </cell>
          <cell r="N48">
            <v>249.17451155745405</v>
          </cell>
          <cell r="P48">
            <v>-58.342142259683953</v>
          </cell>
        </row>
        <row r="49">
          <cell r="B49" t="str">
            <v>Tax rate (%)</v>
          </cell>
          <cell r="C49">
            <v>29.091341579448144</v>
          </cell>
          <cell r="D49">
            <v>26.712125704120957</v>
          </cell>
          <cell r="E49">
            <v>10.953333841982396</v>
          </cell>
          <cell r="F49">
            <v>-15.759938311264282</v>
          </cell>
          <cell r="G49">
            <v>15.843822953879663</v>
          </cell>
          <cell r="I49" t="str">
            <v>United States of America</v>
          </cell>
          <cell r="J49">
            <v>94.5</v>
          </cell>
          <cell r="K49">
            <v>-25.9</v>
          </cell>
          <cell r="L49">
            <v>-105.99773905744942</v>
          </cell>
          <cell r="M49">
            <v>-93.72168450779975</v>
          </cell>
          <cell r="N49">
            <v>-23.255754771960007</v>
          </cell>
          <cell r="P49">
            <v>12.276054549649672</v>
          </cell>
        </row>
        <row r="50">
          <cell r="B50" t="str">
            <v>ROE (%)</v>
          </cell>
          <cell r="C50">
            <v>10.820326678765877</v>
          </cell>
          <cell r="D50">
            <v>8.2549459378033685</v>
          </cell>
          <cell r="E50">
            <v>3.7256608454385907</v>
          </cell>
          <cell r="F50">
            <v>1.9453079732422904</v>
          </cell>
          <cell r="G50">
            <v>3.9482698606306377</v>
          </cell>
          <cell r="I50" t="str">
            <v>Asia</v>
          </cell>
          <cell r="J50">
            <v>12.1</v>
          </cell>
          <cell r="K50">
            <v>6.6</v>
          </cell>
          <cell r="L50">
            <v>11.031493018673956</v>
          </cell>
          <cell r="M50">
            <v>12.292514398891033</v>
          </cell>
          <cell r="N50">
            <v>14.946679801140565</v>
          </cell>
          <cell r="P50">
            <v>1.2610213802170769</v>
          </cell>
        </row>
        <row r="51">
          <cell r="B51" t="str">
            <v>Payout ratio (%)</v>
          </cell>
          <cell r="C51">
            <v>68.172330157665215</v>
          </cell>
          <cell r="D51">
            <v>82.316637826439575</v>
          </cell>
          <cell r="E51">
            <v>81.050560774055356</v>
          </cell>
          <cell r="F51">
            <v>82.191228342101937</v>
          </cell>
          <cell r="G51">
            <v>70.608097927462651</v>
          </cell>
          <cell r="I51" t="str">
            <v>Other/Corporate</v>
          </cell>
          <cell r="J51">
            <v>7.0999999999999979</v>
          </cell>
          <cell r="K51">
            <v>3.1999999999999993</v>
          </cell>
          <cell r="L51">
            <v>-6.8003156896049575</v>
          </cell>
          <cell r="M51">
            <v>-2.1670929475667151</v>
          </cell>
          <cell r="N51">
            <v>-2.6239821856758532</v>
          </cell>
          <cell r="P51">
            <v>4.6332227420382424</v>
          </cell>
        </row>
        <row r="52">
          <cell r="I52" t="str">
            <v>Total</v>
          </cell>
          <cell r="J52">
            <v>530.9</v>
          </cell>
          <cell r="K52">
            <v>449.2</v>
          </cell>
          <cell r="L52">
            <v>270.54474814950129</v>
          </cell>
          <cell r="M52">
            <v>221.12861732779527</v>
          </cell>
          <cell r="N52">
            <v>293.89956621068416</v>
          </cell>
        </row>
        <row r="53">
          <cell r="B53" t="str">
            <v>Key assumptions</v>
          </cell>
          <cell r="I53" t="str">
            <v>Margin (%)</v>
          </cell>
        </row>
        <row r="54">
          <cell r="B54" t="str">
            <v>June Y/E</v>
          </cell>
          <cell r="C54">
            <v>39263</v>
          </cell>
          <cell r="D54">
            <v>39629</v>
          </cell>
          <cell r="E54">
            <v>39994</v>
          </cell>
          <cell r="F54">
            <v>40359</v>
          </cell>
          <cell r="G54">
            <v>40724</v>
          </cell>
          <cell r="I54" t="str">
            <v>Building products - Austraila</v>
          </cell>
          <cell r="J54">
            <v>7.778561907002274</v>
          </cell>
          <cell r="K54">
            <v>8.4297398865227322</v>
          </cell>
          <cell r="L54">
            <v>3.917364076010827</v>
          </cell>
          <cell r="M54">
            <v>3.337927165096604</v>
          </cell>
          <cell r="N54">
            <v>4.7204946270791712</v>
          </cell>
        </row>
        <row r="55">
          <cell r="B55" t="str">
            <v>Aust housing commencements (k)</v>
          </cell>
          <cell r="C55">
            <v>152.02699999999999</v>
          </cell>
          <cell r="D55">
            <v>158.626</v>
          </cell>
          <cell r="E55">
            <v>130.30585224999999</v>
          </cell>
          <cell r="F55">
            <v>125.09361815999996</v>
          </cell>
          <cell r="G55">
            <v>140.10485233919997</v>
          </cell>
          <cell r="I55" t="str">
            <v>Construction materials - Australia</v>
          </cell>
          <cell r="J55">
            <v>12.476459510357815</v>
          </cell>
          <cell r="K55">
            <v>11.85472972972973</v>
          </cell>
          <cell r="L55">
            <v>10.835208066043391</v>
          </cell>
          <cell r="M55">
            <v>9.4905264411333867</v>
          </cell>
          <cell r="N55">
            <v>9.3216104906373172</v>
          </cell>
        </row>
        <row r="56">
          <cell r="B56" t="str">
            <v>Aust non res (A$bn)</v>
          </cell>
          <cell r="C56">
            <v>27.2607</v>
          </cell>
          <cell r="D56">
            <v>29.761600000000001</v>
          </cell>
          <cell r="E56">
            <v>30.356832000000001</v>
          </cell>
          <cell r="F56">
            <v>27.321148800000003</v>
          </cell>
          <cell r="G56">
            <v>21.856919040000005</v>
          </cell>
          <cell r="I56" t="str">
            <v>United States of America</v>
          </cell>
          <cell r="J56">
            <v>10.708215297450426</v>
          </cell>
          <cell r="K56">
            <v>-3.8610614192009542</v>
          </cell>
          <cell r="L56">
            <v>-32.666094592715105</v>
          </cell>
          <cell r="M56">
            <v>-33.33855427045058</v>
          </cell>
          <cell r="N56">
            <v>-6.4855177140030627</v>
          </cell>
        </row>
        <row r="57">
          <cell r="B57" t="str">
            <v>Aust E&amp;C (A$bn)</v>
          </cell>
          <cell r="C57">
            <v>52.648899999999998</v>
          </cell>
          <cell r="D57">
            <v>57.833700000000007</v>
          </cell>
          <cell r="E57">
            <v>60.72538500000001</v>
          </cell>
          <cell r="F57">
            <v>57.689115750000006</v>
          </cell>
          <cell r="G57">
            <v>51.920204175000009</v>
          </cell>
          <cell r="I57" t="str">
            <v>Asia</v>
          </cell>
          <cell r="J57">
            <v>6.6301369863013697</v>
          </cell>
          <cell r="K57">
            <v>3.4609334032511798</v>
          </cell>
          <cell r="L57">
            <v>3.9675892724861779</v>
          </cell>
          <cell r="M57">
            <v>3.6407612559658653</v>
          </cell>
          <cell r="N57">
            <v>4.9234079719132948</v>
          </cell>
        </row>
        <row r="58">
          <cell r="B58" t="str">
            <v>US housing starts (m)</v>
          </cell>
          <cell r="C58">
            <v>1546.5</v>
          </cell>
          <cell r="D58">
            <v>1131.75</v>
          </cell>
          <cell r="E58">
            <v>639.16666666666663</v>
          </cell>
          <cell r="F58">
            <v>675</v>
          </cell>
          <cell r="G58">
            <v>813.3125</v>
          </cell>
          <cell r="I58" t="str">
            <v>Other/Corporate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B59" t="str">
            <v>A$/US$</v>
          </cell>
          <cell r="C59">
            <v>0.78625</v>
          </cell>
          <cell r="D59">
            <v>0.89681666666666693</v>
          </cell>
          <cell r="E59">
            <v>0.71720833333333334</v>
          </cell>
          <cell r="F59">
            <v>0.60833333333333317</v>
          </cell>
          <cell r="G59">
            <v>0.68333333333333346</v>
          </cell>
          <cell r="I59" t="str">
            <v>Total</v>
          </cell>
          <cell r="J59">
            <v>10.85884927696304</v>
          </cell>
          <cell r="K59">
            <v>8.6741590391225429</v>
          </cell>
          <cell r="L59">
            <v>5.6183297038588549</v>
          </cell>
          <cell r="M59">
            <v>4.8327179340772304</v>
          </cell>
          <cell r="N59">
            <v>6.5103812835587878</v>
          </cell>
        </row>
        <row r="60">
          <cell r="N60" t="str">
            <v>Michael Ward +612 9770 1504</v>
          </cell>
        </row>
        <row r="61">
          <cell r="N61" t="str">
            <v>Athlene Piech +612 9770 1603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">
          <cell r="A1" t="str">
            <v>BLD Earnings changes</v>
          </cell>
          <cell r="B1" t="str">
            <v>BLD.AX</v>
          </cell>
          <cell r="C1">
            <v>2009</v>
          </cell>
        </row>
        <row r="2">
          <cell r="A2" t="str">
            <v>June Y/E</v>
          </cell>
          <cell r="B2">
            <v>2009</v>
          </cell>
          <cell r="C2">
            <v>2010</v>
          </cell>
          <cell r="D2">
            <v>2011</v>
          </cell>
          <cell r="E2">
            <v>2012</v>
          </cell>
        </row>
        <row r="3">
          <cell r="A3" t="str">
            <v>EBIT</v>
          </cell>
          <cell r="B3">
            <v>293.95201676387001</v>
          </cell>
          <cell r="C3">
            <v>281.01234385024998</v>
          </cell>
          <cell r="D3">
            <v>358.10012813102202</v>
          </cell>
          <cell r="E3">
            <v>515.31668808335598</v>
          </cell>
          <cell r="F3" t="str">
            <v>mscalc:operatingIncome</v>
          </cell>
        </row>
        <row r="4">
          <cell r="A4" t="str">
            <v>Modelware NPAT</v>
          </cell>
          <cell r="B4">
            <v>115.84693388660899</v>
          </cell>
          <cell r="C4">
            <v>86.504025786829899</v>
          </cell>
          <cell r="D4">
            <v>154.845395191032</v>
          </cell>
          <cell r="E4">
            <v>269.05289887844401</v>
          </cell>
          <cell r="F4" t="str">
            <v>mscalc:netIncomeBeforeOperatingLeaseAdjustment</v>
          </cell>
        </row>
        <row r="5">
          <cell r="A5" t="str">
            <v>Modelware EPS</v>
          </cell>
          <cell r="B5">
            <v>0.19778036461944901</v>
          </cell>
          <cell r="C5">
            <v>0.147684510821111</v>
          </cell>
          <cell r="D5">
            <v>0.26436071886460999</v>
          </cell>
          <cell r="E5">
            <v>0.45934215655792598</v>
          </cell>
          <cell r="F5" t="str">
            <v>mscalc:dilutedEarningsPerShareBeforeOperatingLeaseAdjustments</v>
          </cell>
        </row>
        <row r="8">
          <cell r="A8" t="str">
            <v>June Y/E</v>
          </cell>
          <cell r="B8">
            <v>2009</v>
          </cell>
          <cell r="C8">
            <v>2010</v>
          </cell>
          <cell r="D8">
            <v>2011</v>
          </cell>
          <cell r="E8">
            <v>2012</v>
          </cell>
        </row>
        <row r="9">
          <cell r="A9" t="str">
            <v>EBIT</v>
          </cell>
        </row>
        <row r="10">
          <cell r="A10" t="str">
            <v>Old</v>
          </cell>
          <cell r="B10">
            <v>293.95201676387001</v>
          </cell>
          <cell r="C10">
            <v>281.01234385024998</v>
          </cell>
          <cell r="D10">
            <v>358.10012813102202</v>
          </cell>
          <cell r="E10">
            <v>515.31668808335598</v>
          </cell>
        </row>
        <row r="11">
          <cell r="A11" t="str">
            <v>New</v>
          </cell>
          <cell r="B11">
            <v>270.54474814950129</v>
          </cell>
          <cell r="C11">
            <v>221.12861732779527</v>
          </cell>
          <cell r="D11">
            <v>293.89956621068416</v>
          </cell>
          <cell r="E11">
            <v>450.81284673066682</v>
          </cell>
        </row>
        <row r="12">
          <cell r="A12" t="str">
            <v>% change</v>
          </cell>
          <cell r="B12">
            <v>-7.9629556116199929E-2</v>
          </cell>
          <cell r="C12">
            <v>-0.21309998593644142</v>
          </cell>
          <cell r="D12">
            <v>-0.17928103588069111</v>
          </cell>
          <cell r="E12">
            <v>-0.12517320483565486</v>
          </cell>
        </row>
        <row r="13">
          <cell r="A13" t="str">
            <v>ModelWare NPAT</v>
          </cell>
        </row>
        <row r="14">
          <cell r="A14" t="str">
            <v>Old</v>
          </cell>
          <cell r="B14">
            <v>115.84693388660899</v>
          </cell>
          <cell r="C14">
            <v>86.504025786829899</v>
          </cell>
          <cell r="D14">
            <v>154.845395191032</v>
          </cell>
          <cell r="E14">
            <v>269.05289887844401</v>
          </cell>
        </row>
        <row r="15">
          <cell r="A15" t="str">
            <v>New</v>
          </cell>
          <cell r="B15">
            <v>108.40182795888128</v>
          </cell>
          <cell r="C15">
            <v>57.011948823737036</v>
          </cell>
          <cell r="D15">
            <v>116.13814736128927</v>
          </cell>
          <cell r="E15">
            <v>239.71019967030699</v>
          </cell>
        </row>
        <row r="16">
          <cell r="A16" t="str">
            <v>% change</v>
          </cell>
          <cell r="B16">
            <v>-6.4266749908245102E-2</v>
          </cell>
          <cell r="C16">
            <v>-0.3409329993007445</v>
          </cell>
          <cell r="D16">
            <v>-0.24997351572508686</v>
          </cell>
          <cell r="E16">
            <v>-0.1090592196941681</v>
          </cell>
        </row>
        <row r="17">
          <cell r="A17" t="str">
            <v>Modelware EPS</v>
          </cell>
        </row>
        <row r="18">
          <cell r="A18" t="str">
            <v>Old</v>
          </cell>
          <cell r="B18">
            <v>19.7780364619449</v>
          </cell>
          <cell r="C18">
            <v>14.768451082111101</v>
          </cell>
          <cell r="D18">
            <v>26.436071886461001</v>
          </cell>
          <cell r="E18">
            <v>45.934215655792599</v>
          </cell>
        </row>
        <row r="19">
          <cell r="A19" t="str">
            <v>New</v>
          </cell>
          <cell r="B19">
            <v>18.506966338968954</v>
          </cell>
          <cell r="C19">
            <v>9.7333987596606484</v>
          </cell>
          <cell r="D19">
            <v>19.827754055041289</v>
          </cell>
          <cell r="E19">
            <v>40.924665939108223</v>
          </cell>
        </row>
        <row r="20">
          <cell r="A20" t="str">
            <v>% change</v>
          </cell>
          <cell r="B20">
            <v>-6.4266749908244103E-2</v>
          </cell>
          <cell r="C20">
            <v>-0.34093299930074372</v>
          </cell>
          <cell r="D20">
            <v>-0.24997351572508408</v>
          </cell>
          <cell r="E20">
            <v>-0.10905921969416799</v>
          </cell>
        </row>
        <row r="22">
          <cell r="A22" t="str">
            <v>Methodology</v>
          </cell>
          <cell r="B22" t="str">
            <v>Old</v>
          </cell>
          <cell r="C22" t="str">
            <v>$/share</v>
          </cell>
          <cell r="D22" t="str">
            <v>Change</v>
          </cell>
        </row>
        <row r="23">
          <cell r="A23" t="str">
            <v>P/E</v>
          </cell>
          <cell r="B23">
            <v>6.5160782535060546</v>
          </cell>
          <cell r="C23">
            <v>1.0998740598416534</v>
          </cell>
          <cell r="D23">
            <v>-0.83120613088864415</v>
          </cell>
        </row>
        <row r="24">
          <cell r="A24" t="str">
            <v>Sum-of-the-parts</v>
          </cell>
          <cell r="B24">
            <v>4.2262938732579567</v>
          </cell>
          <cell r="C24">
            <v>2.1881447297207419</v>
          </cell>
          <cell r="D24">
            <v>-0.48225447748290406</v>
          </cell>
        </row>
        <row r="25">
          <cell r="A25" t="str">
            <v>Discounted Cashflow</v>
          </cell>
          <cell r="B25">
            <v>7.6865782045739737</v>
          </cell>
          <cell r="C25">
            <v>4.0834036562358573</v>
          </cell>
          <cell r="D25">
            <v>-0.46876184076212379</v>
          </cell>
        </row>
        <row r="26">
          <cell r="A26" t="str">
            <v>Average</v>
          </cell>
          <cell r="B26">
            <v>5.3201272560646657</v>
          </cell>
          <cell r="C26">
            <v>2.4571408152660843</v>
          </cell>
          <cell r="D26">
            <v>-0.53814247347841682</v>
          </cell>
        </row>
        <row r="27">
          <cell r="A27" t="str">
            <v>Target Price</v>
          </cell>
          <cell r="B27">
            <v>5.3</v>
          </cell>
          <cell r="C27">
            <v>2.5499999999999998</v>
          </cell>
          <cell r="D27">
            <v>-0.51886792452830188</v>
          </cell>
        </row>
        <row r="30">
          <cell r="A30" t="str">
            <v>June Y/E</v>
          </cell>
          <cell r="B30">
            <v>2009</v>
          </cell>
          <cell r="C30">
            <v>2010</v>
          </cell>
          <cell r="D30">
            <v>2011</v>
          </cell>
          <cell r="E30">
            <v>2012</v>
          </cell>
        </row>
        <row r="31">
          <cell r="A31" t="str">
            <v>Australian commencements ('000 units)</v>
          </cell>
        </row>
        <row r="32">
          <cell r="A32" t="str">
            <v>Old</v>
          </cell>
          <cell r="B32">
            <v>142.33185</v>
          </cell>
          <cell r="C32">
            <v>148.91657085</v>
          </cell>
          <cell r="D32">
            <v>163.80822793499999</v>
          </cell>
          <cell r="E32">
            <v>163.80822793499999</v>
          </cell>
        </row>
        <row r="33">
          <cell r="A33" t="str">
            <v>New</v>
          </cell>
          <cell r="B33">
            <v>130.30585224999999</v>
          </cell>
          <cell r="C33">
            <v>125.09361815999996</v>
          </cell>
          <cell r="D33">
            <v>140.10485233919997</v>
          </cell>
          <cell r="E33">
            <v>154.11533757312</v>
          </cell>
        </row>
        <row r="34">
          <cell r="A34" t="str">
            <v>% change</v>
          </cell>
          <cell r="B34">
            <v>-8.4492668014924388E-2</v>
          </cell>
          <cell r="C34">
            <v>-0.15997516296555281</v>
          </cell>
          <cell r="D34">
            <v>-0.14470198411038093</v>
          </cell>
          <cell r="E34">
            <v>-5.9172182521418759E-2</v>
          </cell>
        </row>
        <row r="35">
          <cell r="A35" t="str">
            <v>Australian Alterations and Additions (A$bn)</v>
          </cell>
        </row>
        <row r="36">
          <cell r="A36" t="str">
            <v>Old</v>
          </cell>
          <cell r="B36">
            <v>29.061822752365931</v>
          </cell>
          <cell r="C36">
            <v>29.505505011617444</v>
          </cell>
          <cell r="D36">
            <v>30.479186677000815</v>
          </cell>
          <cell r="E36">
            <v>30.479186677000815</v>
          </cell>
        </row>
        <row r="37">
          <cell r="A37" t="str">
            <v>New</v>
          </cell>
          <cell r="B37">
            <v>28.71528852434281</v>
          </cell>
          <cell r="C37">
            <v>28.336246715821481</v>
          </cell>
          <cell r="D37">
            <v>29.458362085768016</v>
          </cell>
          <cell r="E37">
            <v>30.430488034598355</v>
          </cell>
        </row>
        <row r="38">
          <cell r="A38" t="str">
            <v>% change</v>
          </cell>
          <cell r="B38">
            <v>-1.192403625112981E-2</v>
          </cell>
          <cell r="C38">
            <v>-3.9628479340908851E-2</v>
          </cell>
          <cell r="D38">
            <v>-3.3492514155671338E-2</v>
          </cell>
          <cell r="E38">
            <v>-1.5977671228086798E-3</v>
          </cell>
        </row>
        <row r="39">
          <cell r="A39" t="str">
            <v>Australian Non-Residential Building (A$bn)</v>
          </cell>
        </row>
        <row r="40">
          <cell r="A40" t="str">
            <v>Old</v>
          </cell>
          <cell r="B40">
            <v>28.29327</v>
          </cell>
          <cell r="C40">
            <v>26.878606499999997</v>
          </cell>
          <cell r="D40">
            <v>26.072248304999999</v>
          </cell>
          <cell r="E40">
            <v>26.332970788049998</v>
          </cell>
        </row>
        <row r="41">
          <cell r="A41" t="str">
            <v>New</v>
          </cell>
          <cell r="B41">
            <v>30.356832000000001</v>
          </cell>
          <cell r="C41">
            <v>27.321148800000003</v>
          </cell>
          <cell r="D41">
            <v>21.856919040000005</v>
          </cell>
          <cell r="E41">
            <v>20.764073088000004</v>
          </cell>
        </row>
        <row r="42">
          <cell r="A42" t="str">
            <v>% change</v>
          </cell>
          <cell r="B42">
            <v>7.29347297078069E-2</v>
          </cell>
          <cell r="C42">
            <v>1.6464480775817192E-2</v>
          </cell>
          <cell r="D42">
            <v>-0.16167877874159398</v>
          </cell>
          <cell r="E42">
            <v>-0.21148003941041027</v>
          </cell>
        </row>
        <row r="43">
          <cell r="A43" t="str">
            <v>Australian Engineering &amp; Construction (A$bn)</v>
          </cell>
        </row>
        <row r="44">
          <cell r="A44" t="str">
            <v>Old</v>
          </cell>
          <cell r="B44">
            <v>62.568366698425002</v>
          </cell>
          <cell r="C44">
            <v>62.568366698425002</v>
          </cell>
          <cell r="D44">
            <v>60.065632030487997</v>
          </cell>
          <cell r="E44">
            <v>60.065632030487997</v>
          </cell>
        </row>
        <row r="45">
          <cell r="A45" t="str">
            <v>New</v>
          </cell>
          <cell r="B45">
            <v>60.72538500000001</v>
          </cell>
          <cell r="C45">
            <v>60.72538500000001</v>
          </cell>
          <cell r="D45">
            <v>57.689115750000006</v>
          </cell>
          <cell r="E45">
            <v>51.920204175000009</v>
          </cell>
        </row>
        <row r="46">
          <cell r="A46" t="str">
            <v>% change</v>
          </cell>
          <cell r="B46">
            <v>-2.9455486784688345E-2</v>
          </cell>
          <cell r="C46">
            <v>-2.9455486784688345E-2</v>
          </cell>
          <cell r="D46">
            <v>-3.9565325464014478E-2</v>
          </cell>
          <cell r="E46">
            <v>-0.13560879291761296</v>
          </cell>
        </row>
        <row r="47">
          <cell r="A47" t="str">
            <v>US Housing ('000 units)</v>
          </cell>
        </row>
        <row r="48">
          <cell r="A48" t="str">
            <v>Old</v>
          </cell>
          <cell r="B48">
            <v>866</v>
          </cell>
          <cell r="C48">
            <v>823.2</v>
          </cell>
          <cell r="D48">
            <v>948.64</v>
          </cell>
          <cell r="E48">
            <v>1215.9840000000002</v>
          </cell>
        </row>
        <row r="49">
          <cell r="A49" t="str">
            <v>New</v>
          </cell>
          <cell r="B49">
            <v>639.16666666666663</v>
          </cell>
          <cell r="C49">
            <v>675</v>
          </cell>
          <cell r="D49">
            <v>813.3125</v>
          </cell>
          <cell r="E49">
            <v>1064.6999999999998</v>
          </cell>
        </row>
        <row r="50">
          <cell r="A50" t="str">
            <v>% change</v>
          </cell>
          <cell r="B50">
            <v>-0.26193225558121636</v>
          </cell>
          <cell r="C50">
            <v>-0.18002915451895052</v>
          </cell>
          <cell r="D50">
            <v>-0.14265422077922074</v>
          </cell>
          <cell r="E50">
            <v>-0.12441282122133213</v>
          </cell>
        </row>
        <row r="51">
          <cell r="A51" t="str">
            <v>US Repair and Remodel (US$bn)</v>
          </cell>
        </row>
        <row r="52">
          <cell r="A52" t="str">
            <v>Old</v>
          </cell>
          <cell r="B52">
            <v>208.98147638935586</v>
          </cell>
          <cell r="C52">
            <v>199.16974616596281</v>
          </cell>
          <cell r="D52">
            <v>197.62017304422508</v>
          </cell>
          <cell r="E52">
            <v>203.5683445893186</v>
          </cell>
        </row>
        <row r="53">
          <cell r="A53" t="str">
            <v>New</v>
          </cell>
          <cell r="B53">
            <v>208.2494898902973</v>
          </cell>
          <cell r="C53">
            <v>193.77221091557374</v>
          </cell>
          <cell r="D53">
            <v>191.92241336983517</v>
          </cell>
          <cell r="E53">
            <v>201.46263430627752</v>
          </cell>
        </row>
        <row r="54">
          <cell r="A54" t="str">
            <v>% change</v>
          </cell>
          <cell r="B54">
            <v>-3.5026381845192356E-3</v>
          </cell>
          <cell r="C54">
            <v>-2.7100176378652696E-2</v>
          </cell>
          <cell r="D54">
            <v>-2.8831872711268303E-2</v>
          </cell>
          <cell r="E54">
            <v>-1.0343996692065094E-2</v>
          </cell>
        </row>
        <row r="55">
          <cell r="A55" t="str">
            <v>US Non-Residential (US$bn)</v>
          </cell>
        </row>
        <row r="56">
          <cell r="A56" t="str">
            <v>Old</v>
          </cell>
          <cell r="B56">
            <v>692.3241480833334</v>
          </cell>
          <cell r="C56">
            <v>684.62387950000004</v>
          </cell>
          <cell r="D56">
            <v>694.89323769250007</v>
          </cell>
          <cell r="E56">
            <v>726.3174737615501</v>
          </cell>
        </row>
        <row r="57">
          <cell r="A57" t="str">
            <v>New</v>
          </cell>
          <cell r="B57">
            <v>691.3695693333334</v>
          </cell>
          <cell r="C57">
            <v>659.93720025333346</v>
          </cell>
          <cell r="D57">
            <v>659.63570610093348</v>
          </cell>
          <cell r="E57">
            <v>689.46553753938952</v>
          </cell>
        </row>
        <row r="58">
          <cell r="A58" t="str">
            <v>% change</v>
          </cell>
          <cell r="B58">
            <v>-1.3788031988234417E-3</v>
          </cell>
          <cell r="C58">
            <v>-3.6058746978992251E-2</v>
          </cell>
          <cell r="D58">
            <v>-5.0738055400631921E-2</v>
          </cell>
          <cell r="E58">
            <v>-5.0738055400631921E-2</v>
          </cell>
        </row>
        <row r="59">
          <cell r="A59" t="str">
            <v>A$/US$</v>
          </cell>
        </row>
        <row r="60">
          <cell r="A60" t="str">
            <v>Old</v>
          </cell>
          <cell r="B60">
            <v>0.73012500000000002</v>
          </cell>
          <cell r="C60">
            <v>0.72499999999999998</v>
          </cell>
          <cell r="D60">
            <v>0.78749999999999998</v>
          </cell>
          <cell r="E60">
            <v>0.75</v>
          </cell>
        </row>
        <row r="61">
          <cell r="A61" t="str">
            <v>New</v>
          </cell>
          <cell r="B61">
            <v>0.71720833333333334</v>
          </cell>
          <cell r="C61">
            <v>0.60833333333333317</v>
          </cell>
          <cell r="D61">
            <v>0.68333333333333346</v>
          </cell>
          <cell r="E61">
            <v>0.75</v>
          </cell>
        </row>
        <row r="62">
          <cell r="A62" t="str">
            <v>% change</v>
          </cell>
          <cell r="B62">
            <v>-1.7691034640187175E-2</v>
          </cell>
          <cell r="C62">
            <v>-0.16091954022988531</v>
          </cell>
          <cell r="D62">
            <v>-0.1322751322751321</v>
          </cell>
          <cell r="E62">
            <v>0</v>
          </cell>
        </row>
        <row r="63">
          <cell r="A63" t="str">
            <v>Oil (US$/bbl)</v>
          </cell>
        </row>
        <row r="64">
          <cell r="A64" t="str">
            <v>Old</v>
          </cell>
          <cell r="B64">
            <v>87.75</v>
          </cell>
          <cell r="C64">
            <v>84</v>
          </cell>
          <cell r="D64">
            <v>86.5</v>
          </cell>
          <cell r="E64">
            <v>89</v>
          </cell>
        </row>
        <row r="65">
          <cell r="A65" t="str">
            <v>New</v>
          </cell>
          <cell r="B65">
            <v>87.75</v>
          </cell>
          <cell r="C65">
            <v>84</v>
          </cell>
          <cell r="D65">
            <v>86.5</v>
          </cell>
          <cell r="E65">
            <v>89</v>
          </cell>
        </row>
        <row r="66">
          <cell r="A66" t="str">
            <v>% change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</row>
        <row r="67">
          <cell r="A67" t="str">
            <v>Natural gas (US$/MMBtu)</v>
          </cell>
        </row>
        <row r="68">
          <cell r="A68" t="str">
            <v>Old</v>
          </cell>
          <cell r="B68">
            <v>8.375</v>
          </cell>
          <cell r="C68">
            <v>8.25</v>
          </cell>
          <cell r="D68">
            <v>8</v>
          </cell>
          <cell r="E68">
            <v>9</v>
          </cell>
        </row>
        <row r="69">
          <cell r="A69" t="str">
            <v>New</v>
          </cell>
          <cell r="B69">
            <v>8.375</v>
          </cell>
          <cell r="C69">
            <v>8.25</v>
          </cell>
          <cell r="D69">
            <v>8</v>
          </cell>
          <cell r="E69">
            <v>9</v>
          </cell>
        </row>
        <row r="70">
          <cell r="A70" t="str">
            <v>% change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sk-Reward_View_Chart"/>
      <sheetName val="Bear_to_Bull_Chart"/>
      <sheetName val="Bear_to_Bull_Data"/>
      <sheetName val="Comparative_Risk-Reward_Chart"/>
      <sheetName val="Comparative_Risk-Reward_Data"/>
      <sheetName val="Value_of_Growth_Chart"/>
      <sheetName val="Value_of_Growth_Data"/>
    </sheetNames>
    <sheetDataSet>
      <sheetData sheetId="0"/>
      <sheetData sheetId="1" refreshError="1"/>
      <sheetData sheetId="2"/>
      <sheetData sheetId="3" refreshError="1"/>
      <sheetData sheetId="4"/>
      <sheetData sheetId="5" refreshError="1"/>
      <sheetData sheetId="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areTaxoPres"/>
      <sheetName val="mwareValPrintout"/>
      <sheetName val="ZFX Summary"/>
      <sheetName val="Valuation"/>
      <sheetName val="Chart1"/>
      <sheetName val="Chart3"/>
      <sheetName val="Chart4"/>
      <sheetName val="Chart5"/>
      <sheetName val="Commodity"/>
      <sheetName val="P&amp;L"/>
      <sheetName val="CashFlow"/>
      <sheetName val="BalSheet"/>
      <sheetName val="Revisions"/>
      <sheetName val="sensitivity"/>
      <sheetName val="Prices"/>
      <sheetName val="Century"/>
      <sheetName val="Rosebery"/>
      <sheetName val="Hobart"/>
      <sheetName val="Budel"/>
      <sheetName val="Clarksville"/>
      <sheetName val="Port Pirie"/>
      <sheetName val="ARA"/>
      <sheetName val="BDT Input"/>
      <sheetName val="mwareSettings"/>
      <sheetName val="GE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9">
          <cell r="C9">
            <v>39081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>
        <row r="31">
          <cell r="G31">
            <v>0.11160000000000002</v>
          </cell>
        </row>
      </sheetData>
      <sheetData sheetId="23" refreshError="1"/>
      <sheetData sheetId="2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neral Sands"/>
      <sheetName val="production"/>
      <sheetName val="Resources"/>
      <sheetName val="CRT_minorities"/>
    </sheetNames>
    <sheetDataSet>
      <sheetData sheetId="0" refreshError="1"/>
      <sheetData sheetId="1" refreshError="1">
        <row r="2">
          <cell r="C2">
            <v>3</v>
          </cell>
          <cell r="D2">
            <v>4</v>
          </cell>
          <cell r="E2">
            <v>5</v>
          </cell>
          <cell r="F2">
            <v>6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</row>
        <row r="7">
          <cell r="A7" t="str">
            <v>Ilmenite</v>
          </cell>
          <cell r="B7" t="str">
            <v>Ilmenite (kt)</v>
          </cell>
          <cell r="C7">
            <v>130</v>
          </cell>
          <cell r="D7">
            <v>130</v>
          </cell>
          <cell r="E7">
            <v>140</v>
          </cell>
          <cell r="F7">
            <v>140</v>
          </cell>
          <cell r="G7">
            <v>540</v>
          </cell>
          <cell r="H7">
            <v>155</v>
          </cell>
          <cell r="I7">
            <v>155</v>
          </cell>
          <cell r="J7">
            <v>160</v>
          </cell>
          <cell r="K7">
            <v>160</v>
          </cell>
          <cell r="L7">
            <v>630</v>
          </cell>
          <cell r="M7">
            <v>160</v>
          </cell>
          <cell r="N7">
            <v>160</v>
          </cell>
          <cell r="O7">
            <v>160</v>
          </cell>
          <cell r="P7">
            <v>160</v>
          </cell>
          <cell r="Q7">
            <v>640</v>
          </cell>
          <cell r="R7">
            <v>160</v>
          </cell>
          <cell r="S7">
            <v>160</v>
          </cell>
          <cell r="T7">
            <v>160</v>
          </cell>
          <cell r="U7">
            <v>160</v>
          </cell>
          <cell r="V7">
            <v>640</v>
          </cell>
          <cell r="W7">
            <v>160</v>
          </cell>
          <cell r="X7">
            <v>160</v>
          </cell>
          <cell r="Y7">
            <v>160</v>
          </cell>
          <cell r="Z7">
            <v>160</v>
          </cell>
          <cell r="AA7">
            <v>640</v>
          </cell>
          <cell r="AB7">
            <v>160</v>
          </cell>
          <cell r="AC7">
            <v>160</v>
          </cell>
          <cell r="AD7">
            <v>160</v>
          </cell>
          <cell r="AE7">
            <v>160</v>
          </cell>
          <cell r="AF7">
            <v>640</v>
          </cell>
          <cell r="AG7">
            <v>160</v>
          </cell>
          <cell r="AH7">
            <v>160</v>
          </cell>
          <cell r="AI7">
            <v>160</v>
          </cell>
          <cell r="AJ7">
            <v>160</v>
          </cell>
          <cell r="AK7">
            <v>640</v>
          </cell>
          <cell r="AL7">
            <v>160</v>
          </cell>
          <cell r="AM7">
            <v>160</v>
          </cell>
          <cell r="AN7">
            <v>160</v>
          </cell>
          <cell r="AO7">
            <v>160</v>
          </cell>
          <cell r="AP7">
            <v>640</v>
          </cell>
          <cell r="AQ7">
            <v>160</v>
          </cell>
          <cell r="AR7">
            <v>160</v>
          </cell>
          <cell r="AS7">
            <v>160</v>
          </cell>
          <cell r="AT7">
            <v>160</v>
          </cell>
          <cell r="AU7">
            <v>640</v>
          </cell>
        </row>
        <row r="9">
          <cell r="A9" t="str">
            <v>synrutile</v>
          </cell>
          <cell r="B9" t="str">
            <v>Synrutile (kt)</v>
          </cell>
          <cell r="C9">
            <v>52</v>
          </cell>
          <cell r="D9">
            <v>40</v>
          </cell>
          <cell r="E9">
            <v>60</v>
          </cell>
          <cell r="F9">
            <v>50</v>
          </cell>
          <cell r="G9">
            <v>202</v>
          </cell>
          <cell r="H9">
            <v>50</v>
          </cell>
          <cell r="I9">
            <v>50</v>
          </cell>
          <cell r="J9">
            <v>65</v>
          </cell>
          <cell r="K9">
            <v>65</v>
          </cell>
          <cell r="L9">
            <v>230</v>
          </cell>
          <cell r="M9">
            <v>55</v>
          </cell>
          <cell r="N9">
            <v>55</v>
          </cell>
          <cell r="O9">
            <v>55</v>
          </cell>
          <cell r="P9">
            <v>55</v>
          </cell>
          <cell r="Q9">
            <v>220</v>
          </cell>
          <cell r="R9">
            <v>55</v>
          </cell>
          <cell r="S9">
            <v>50</v>
          </cell>
          <cell r="T9">
            <v>55</v>
          </cell>
          <cell r="U9">
            <v>55</v>
          </cell>
          <cell r="V9">
            <v>215</v>
          </cell>
          <cell r="W9">
            <v>55</v>
          </cell>
          <cell r="X9">
            <v>55</v>
          </cell>
          <cell r="Y9">
            <v>55</v>
          </cell>
          <cell r="Z9">
            <v>55</v>
          </cell>
          <cell r="AA9">
            <v>220</v>
          </cell>
          <cell r="AB9">
            <v>55</v>
          </cell>
          <cell r="AC9">
            <v>55</v>
          </cell>
          <cell r="AD9">
            <v>55</v>
          </cell>
          <cell r="AE9">
            <v>55</v>
          </cell>
          <cell r="AF9">
            <v>220</v>
          </cell>
          <cell r="AG9">
            <v>55</v>
          </cell>
          <cell r="AH9">
            <v>55</v>
          </cell>
          <cell r="AI9">
            <v>55</v>
          </cell>
          <cell r="AJ9">
            <v>55</v>
          </cell>
          <cell r="AK9">
            <v>220</v>
          </cell>
          <cell r="AL9">
            <v>55</v>
          </cell>
          <cell r="AM9">
            <v>55</v>
          </cell>
          <cell r="AN9">
            <v>55</v>
          </cell>
          <cell r="AO9">
            <v>55</v>
          </cell>
          <cell r="AP9">
            <v>220</v>
          </cell>
          <cell r="AQ9">
            <v>55</v>
          </cell>
          <cell r="AR9">
            <v>55</v>
          </cell>
          <cell r="AS9">
            <v>55</v>
          </cell>
          <cell r="AT9">
            <v>55</v>
          </cell>
          <cell r="AU9">
            <v>220</v>
          </cell>
        </row>
        <row r="10">
          <cell r="A10" t="str">
            <v>hyti91</v>
          </cell>
          <cell r="B10" t="str">
            <v>HYTI 91 (kt)</v>
          </cell>
          <cell r="C10">
            <v>2.71</v>
          </cell>
          <cell r="D10">
            <v>2.387</v>
          </cell>
          <cell r="E10">
            <v>2.8030000000000004</v>
          </cell>
          <cell r="F10">
            <v>2.4</v>
          </cell>
          <cell r="G10">
            <v>10.3</v>
          </cell>
          <cell r="H10">
            <v>3.0019999999999998</v>
          </cell>
          <cell r="I10">
            <v>2.6080000000000001</v>
          </cell>
          <cell r="J10">
            <v>3.3109999999999999</v>
          </cell>
          <cell r="K10">
            <v>3.4</v>
          </cell>
          <cell r="L10">
            <v>12.321</v>
          </cell>
          <cell r="M10">
            <v>2.6080000000000001</v>
          </cell>
          <cell r="N10">
            <v>2.6080000000000001</v>
          </cell>
          <cell r="O10">
            <v>2.6080000000000001</v>
          </cell>
          <cell r="P10">
            <v>2.6080000000000001</v>
          </cell>
          <cell r="Q10">
            <v>10.432</v>
          </cell>
          <cell r="R10">
            <v>2.6080000000000001</v>
          </cell>
          <cell r="S10">
            <v>2.6080000000000001</v>
          </cell>
          <cell r="T10">
            <v>2.6080000000000001</v>
          </cell>
          <cell r="U10">
            <v>2.6080000000000001</v>
          </cell>
          <cell r="V10">
            <v>10.432</v>
          </cell>
          <cell r="W10">
            <v>2.6080000000000001</v>
          </cell>
          <cell r="X10">
            <v>2.6080000000000001</v>
          </cell>
          <cell r="Y10">
            <v>2.6080000000000001</v>
          </cell>
          <cell r="Z10">
            <v>2.6080000000000001</v>
          </cell>
          <cell r="AA10">
            <v>10.432</v>
          </cell>
          <cell r="AB10">
            <v>2.6080000000000001</v>
          </cell>
          <cell r="AC10">
            <v>2.6080000000000001</v>
          </cell>
          <cell r="AD10">
            <v>2.6080000000000001</v>
          </cell>
          <cell r="AE10">
            <v>2.6080000000000001</v>
          </cell>
          <cell r="AF10">
            <v>10.432</v>
          </cell>
          <cell r="AG10">
            <v>2.6080000000000001</v>
          </cell>
          <cell r="AH10">
            <v>2.6080000000000001</v>
          </cell>
          <cell r="AI10">
            <v>2.6080000000000001</v>
          </cell>
          <cell r="AJ10">
            <v>2.6080000000000001</v>
          </cell>
          <cell r="AK10">
            <v>10.432</v>
          </cell>
          <cell r="AL10">
            <v>2.6080000000000001</v>
          </cell>
          <cell r="AM10">
            <v>2.6080000000000001</v>
          </cell>
          <cell r="AN10">
            <v>2.6080000000000001</v>
          </cell>
          <cell r="AO10">
            <v>2.6080000000000001</v>
          </cell>
          <cell r="AP10">
            <v>10.432</v>
          </cell>
          <cell r="AQ10">
            <v>2.6080000000000001</v>
          </cell>
          <cell r="AR10">
            <v>2.6080000000000001</v>
          </cell>
          <cell r="AS10">
            <v>2.6080000000000001</v>
          </cell>
          <cell r="AT10">
            <v>2.6080000000000001</v>
          </cell>
          <cell r="AU10">
            <v>10.432</v>
          </cell>
        </row>
        <row r="11">
          <cell r="A11" t="str">
            <v>hyti71</v>
          </cell>
          <cell r="B11" t="str">
            <v>HYTI 71 (kt)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</row>
        <row r="12">
          <cell r="A12" t="str">
            <v>zircon</v>
          </cell>
          <cell r="B12" t="str">
            <v>Zircon (kt)</v>
          </cell>
          <cell r="C12">
            <v>13.8</v>
          </cell>
          <cell r="D12">
            <v>13.8</v>
          </cell>
          <cell r="E12">
            <v>13.8</v>
          </cell>
          <cell r="F12">
            <v>13.8</v>
          </cell>
          <cell r="G12">
            <v>55.2</v>
          </cell>
          <cell r="H12">
            <v>13.78</v>
          </cell>
          <cell r="I12">
            <v>10</v>
          </cell>
          <cell r="J12">
            <v>10</v>
          </cell>
          <cell r="K12">
            <v>10</v>
          </cell>
          <cell r="L12">
            <v>43.78</v>
          </cell>
          <cell r="M12">
            <v>10</v>
          </cell>
          <cell r="N12">
            <v>10</v>
          </cell>
          <cell r="O12">
            <v>10</v>
          </cell>
          <cell r="P12">
            <v>10</v>
          </cell>
          <cell r="Q12">
            <v>40</v>
          </cell>
          <cell r="R12">
            <v>10</v>
          </cell>
          <cell r="S12">
            <v>10</v>
          </cell>
          <cell r="T12">
            <v>10</v>
          </cell>
          <cell r="U12">
            <v>10</v>
          </cell>
          <cell r="V12">
            <v>40</v>
          </cell>
          <cell r="W12">
            <v>10</v>
          </cell>
          <cell r="X12">
            <v>10</v>
          </cell>
          <cell r="Y12">
            <v>10</v>
          </cell>
          <cell r="Z12">
            <v>10</v>
          </cell>
          <cell r="AA12">
            <v>40</v>
          </cell>
          <cell r="AB12">
            <v>10</v>
          </cell>
          <cell r="AC12">
            <v>10</v>
          </cell>
          <cell r="AD12">
            <v>10</v>
          </cell>
          <cell r="AE12">
            <v>10</v>
          </cell>
          <cell r="AF12">
            <v>40</v>
          </cell>
          <cell r="AG12">
            <v>10</v>
          </cell>
          <cell r="AH12">
            <v>10</v>
          </cell>
          <cell r="AI12">
            <v>10</v>
          </cell>
          <cell r="AJ12">
            <v>10</v>
          </cell>
          <cell r="AK12">
            <v>40</v>
          </cell>
          <cell r="AL12">
            <v>10</v>
          </cell>
          <cell r="AM12">
            <v>10</v>
          </cell>
          <cell r="AN12">
            <v>10</v>
          </cell>
          <cell r="AO12">
            <v>10</v>
          </cell>
          <cell r="AP12">
            <v>40</v>
          </cell>
          <cell r="AQ12">
            <v>10</v>
          </cell>
          <cell r="AR12">
            <v>10</v>
          </cell>
          <cell r="AS12">
            <v>10</v>
          </cell>
          <cell r="AT12">
            <v>10</v>
          </cell>
          <cell r="AU12">
            <v>40</v>
          </cell>
        </row>
        <row r="13">
          <cell r="A13" t="str">
            <v>monazite</v>
          </cell>
          <cell r="B13" t="str">
            <v>Monazite (kt)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</row>
        <row r="16">
          <cell r="B16" t="str">
            <v>Rutile (kt)</v>
          </cell>
          <cell r="C16">
            <v>21.315000000000001</v>
          </cell>
          <cell r="D16">
            <v>19.760000000000002</v>
          </cell>
          <cell r="E16">
            <v>16.325000000000003</v>
          </cell>
          <cell r="F16">
            <v>21</v>
          </cell>
          <cell r="G16">
            <v>78.400000000000006</v>
          </cell>
          <cell r="H16">
            <v>25.283000000000001</v>
          </cell>
          <cell r="I16">
            <v>25.02</v>
          </cell>
          <cell r="J16">
            <v>21.815999999999999</v>
          </cell>
          <cell r="K16">
            <v>22.9</v>
          </cell>
          <cell r="L16">
            <v>95.019000000000005</v>
          </cell>
          <cell r="M16">
            <v>25</v>
          </cell>
          <cell r="N16">
            <v>25</v>
          </cell>
          <cell r="O16">
            <v>25</v>
          </cell>
          <cell r="P16">
            <v>25</v>
          </cell>
          <cell r="Q16">
            <v>100</v>
          </cell>
          <cell r="R16">
            <v>25</v>
          </cell>
          <cell r="S16">
            <v>25</v>
          </cell>
          <cell r="T16">
            <v>25</v>
          </cell>
          <cell r="U16">
            <v>25</v>
          </cell>
          <cell r="V16">
            <v>100</v>
          </cell>
          <cell r="W16">
            <v>25</v>
          </cell>
          <cell r="X16">
            <v>25</v>
          </cell>
          <cell r="Y16">
            <v>25</v>
          </cell>
          <cell r="Z16">
            <v>25</v>
          </cell>
          <cell r="AA16">
            <v>100</v>
          </cell>
          <cell r="AB16">
            <v>25</v>
          </cell>
          <cell r="AC16">
            <v>25</v>
          </cell>
          <cell r="AD16">
            <v>25</v>
          </cell>
          <cell r="AE16">
            <v>25</v>
          </cell>
          <cell r="AF16">
            <v>100</v>
          </cell>
          <cell r="AG16">
            <v>25</v>
          </cell>
          <cell r="AH16">
            <v>25</v>
          </cell>
          <cell r="AI16">
            <v>25</v>
          </cell>
          <cell r="AJ16">
            <v>25</v>
          </cell>
          <cell r="AK16">
            <v>100</v>
          </cell>
          <cell r="AL16">
            <v>25</v>
          </cell>
          <cell r="AM16">
            <v>25</v>
          </cell>
          <cell r="AN16">
            <v>25</v>
          </cell>
          <cell r="AO16">
            <v>25</v>
          </cell>
          <cell r="AP16">
            <v>100</v>
          </cell>
          <cell r="AQ16">
            <v>25</v>
          </cell>
          <cell r="AR16">
            <v>25</v>
          </cell>
          <cell r="AS16">
            <v>25</v>
          </cell>
          <cell r="AT16">
            <v>25</v>
          </cell>
          <cell r="AU16">
            <v>100</v>
          </cell>
        </row>
        <row r="17">
          <cell r="B17" t="str">
            <v>Ilmenite (kt)</v>
          </cell>
          <cell r="C17">
            <v>108.27799999999999</v>
          </cell>
          <cell r="D17">
            <v>112.79300000000001</v>
          </cell>
          <cell r="E17">
            <v>139.02900000000005</v>
          </cell>
          <cell r="F17">
            <v>132.80000000000001</v>
          </cell>
          <cell r="G17">
            <v>492.90000000000003</v>
          </cell>
          <cell r="H17">
            <v>139.56700000000001</v>
          </cell>
          <cell r="I17">
            <v>126.96699999999998</v>
          </cell>
          <cell r="J17">
            <v>132.27600000000001</v>
          </cell>
          <cell r="K17">
            <v>107</v>
          </cell>
          <cell r="L17">
            <v>505.81</v>
          </cell>
          <cell r="M17">
            <v>125</v>
          </cell>
          <cell r="N17">
            <v>125</v>
          </cell>
          <cell r="O17">
            <v>125</v>
          </cell>
          <cell r="P17">
            <v>125</v>
          </cell>
          <cell r="Q17">
            <v>500</v>
          </cell>
          <cell r="R17">
            <v>125</v>
          </cell>
          <cell r="S17">
            <v>125</v>
          </cell>
          <cell r="T17">
            <v>125</v>
          </cell>
          <cell r="U17">
            <v>125</v>
          </cell>
          <cell r="V17">
            <v>500</v>
          </cell>
          <cell r="W17">
            <v>125</v>
          </cell>
          <cell r="X17">
            <v>125</v>
          </cell>
          <cell r="Y17">
            <v>125</v>
          </cell>
          <cell r="Z17">
            <v>125</v>
          </cell>
          <cell r="AA17">
            <v>500</v>
          </cell>
          <cell r="AB17">
            <v>125</v>
          </cell>
          <cell r="AC17">
            <v>125</v>
          </cell>
          <cell r="AD17">
            <v>125</v>
          </cell>
          <cell r="AE17">
            <v>125</v>
          </cell>
          <cell r="AF17">
            <v>500</v>
          </cell>
          <cell r="AG17">
            <v>125</v>
          </cell>
          <cell r="AH17">
            <v>125</v>
          </cell>
          <cell r="AI17">
            <v>125</v>
          </cell>
          <cell r="AJ17">
            <v>125</v>
          </cell>
          <cell r="AK17">
            <v>500</v>
          </cell>
          <cell r="AL17">
            <v>125</v>
          </cell>
          <cell r="AM17">
            <v>125</v>
          </cell>
          <cell r="AN17">
            <v>125</v>
          </cell>
          <cell r="AO17">
            <v>125</v>
          </cell>
          <cell r="AP17">
            <v>500</v>
          </cell>
          <cell r="AQ17">
            <v>125</v>
          </cell>
          <cell r="AR17">
            <v>125</v>
          </cell>
          <cell r="AS17">
            <v>125</v>
          </cell>
          <cell r="AT17">
            <v>125</v>
          </cell>
          <cell r="AU17">
            <v>500</v>
          </cell>
        </row>
        <row r="19">
          <cell r="B19" t="str">
            <v>Synrutile (kt)</v>
          </cell>
          <cell r="C19">
            <v>50.55</v>
          </cell>
          <cell r="D19">
            <v>53.930999999999997</v>
          </cell>
          <cell r="E19">
            <v>45.71899999999998</v>
          </cell>
          <cell r="F19">
            <v>30.200000000000003</v>
          </cell>
          <cell r="G19">
            <v>180.39999999999998</v>
          </cell>
          <cell r="H19">
            <v>32.647000000000006</v>
          </cell>
          <cell r="I19">
            <v>47.090999999999994</v>
          </cell>
          <cell r="J19">
            <v>53.445999999999998</v>
          </cell>
          <cell r="K19">
            <v>42</v>
          </cell>
          <cell r="L19">
            <v>175.184</v>
          </cell>
          <cell r="M19">
            <v>50</v>
          </cell>
          <cell r="N19">
            <v>50</v>
          </cell>
          <cell r="O19">
            <v>50</v>
          </cell>
          <cell r="P19">
            <v>50</v>
          </cell>
          <cell r="Q19">
            <v>200</v>
          </cell>
          <cell r="R19">
            <v>50</v>
          </cell>
          <cell r="S19">
            <v>50</v>
          </cell>
          <cell r="T19">
            <v>50</v>
          </cell>
          <cell r="U19">
            <v>40</v>
          </cell>
          <cell r="V19">
            <v>190</v>
          </cell>
          <cell r="W19">
            <v>50</v>
          </cell>
          <cell r="X19">
            <v>50</v>
          </cell>
          <cell r="Y19">
            <v>50</v>
          </cell>
          <cell r="Z19">
            <v>50</v>
          </cell>
          <cell r="AA19">
            <v>200</v>
          </cell>
          <cell r="AB19">
            <v>50</v>
          </cell>
          <cell r="AC19">
            <v>50</v>
          </cell>
          <cell r="AD19">
            <v>50</v>
          </cell>
          <cell r="AE19">
            <v>50</v>
          </cell>
          <cell r="AF19">
            <v>200</v>
          </cell>
          <cell r="AG19">
            <v>50</v>
          </cell>
          <cell r="AH19">
            <v>50</v>
          </cell>
          <cell r="AI19">
            <v>50</v>
          </cell>
          <cell r="AJ19">
            <v>50</v>
          </cell>
          <cell r="AK19">
            <v>200</v>
          </cell>
          <cell r="AL19">
            <v>50</v>
          </cell>
          <cell r="AM19">
            <v>50</v>
          </cell>
          <cell r="AN19">
            <v>50</v>
          </cell>
          <cell r="AO19">
            <v>50</v>
          </cell>
          <cell r="AP19">
            <v>200</v>
          </cell>
          <cell r="AQ19">
            <v>50</v>
          </cell>
          <cell r="AR19">
            <v>50</v>
          </cell>
          <cell r="AS19">
            <v>50</v>
          </cell>
          <cell r="AT19">
            <v>50</v>
          </cell>
          <cell r="AU19">
            <v>200</v>
          </cell>
        </row>
        <row r="20">
          <cell r="B20" t="str">
            <v>Zircon (kt)</v>
          </cell>
          <cell r="C20">
            <v>44.572000000000003</v>
          </cell>
          <cell r="D20">
            <v>23.864000000000001</v>
          </cell>
          <cell r="E20">
            <v>43.364000000000019</v>
          </cell>
          <cell r="F20">
            <v>44.5</v>
          </cell>
          <cell r="G20">
            <v>156.30000000000001</v>
          </cell>
          <cell r="H20">
            <v>25.414000000000001</v>
          </cell>
          <cell r="I20">
            <v>50.293999999999997</v>
          </cell>
          <cell r="J20">
            <v>41.906999999999996</v>
          </cell>
          <cell r="K20">
            <v>33</v>
          </cell>
          <cell r="L20">
            <v>150.61500000000001</v>
          </cell>
          <cell r="M20">
            <v>50</v>
          </cell>
          <cell r="N20">
            <v>50</v>
          </cell>
          <cell r="O20">
            <v>50</v>
          </cell>
          <cell r="P20">
            <v>50</v>
          </cell>
          <cell r="Q20">
            <v>200</v>
          </cell>
          <cell r="R20">
            <v>50</v>
          </cell>
          <cell r="S20">
            <v>50</v>
          </cell>
          <cell r="T20">
            <v>50</v>
          </cell>
          <cell r="U20">
            <v>50</v>
          </cell>
          <cell r="V20">
            <v>200</v>
          </cell>
          <cell r="W20">
            <v>50</v>
          </cell>
          <cell r="X20">
            <v>50</v>
          </cell>
          <cell r="Y20">
            <v>50</v>
          </cell>
          <cell r="Z20">
            <v>50</v>
          </cell>
          <cell r="AA20">
            <v>200</v>
          </cell>
          <cell r="AB20">
            <v>50</v>
          </cell>
          <cell r="AC20">
            <v>50</v>
          </cell>
          <cell r="AD20">
            <v>50</v>
          </cell>
          <cell r="AE20">
            <v>50</v>
          </cell>
          <cell r="AF20">
            <v>200</v>
          </cell>
          <cell r="AG20">
            <v>50</v>
          </cell>
          <cell r="AH20">
            <v>50</v>
          </cell>
          <cell r="AI20">
            <v>50</v>
          </cell>
          <cell r="AJ20">
            <v>50</v>
          </cell>
          <cell r="AK20">
            <v>200</v>
          </cell>
          <cell r="AL20">
            <v>50</v>
          </cell>
          <cell r="AM20">
            <v>50</v>
          </cell>
          <cell r="AN20">
            <v>50</v>
          </cell>
          <cell r="AO20">
            <v>50</v>
          </cell>
          <cell r="AP20">
            <v>200</v>
          </cell>
          <cell r="AQ20">
            <v>35</v>
          </cell>
          <cell r="AR20">
            <v>35</v>
          </cell>
          <cell r="AS20">
            <v>35</v>
          </cell>
          <cell r="AT20">
            <v>35</v>
          </cell>
          <cell r="AU20">
            <v>140</v>
          </cell>
        </row>
        <row r="21">
          <cell r="B21" t="str">
            <v>Monazite (kt)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</row>
        <row r="34">
          <cell r="B34" t="str">
            <v>Rutile (kt)</v>
          </cell>
          <cell r="C34">
            <v>20.74</v>
          </cell>
          <cell r="D34">
            <v>16.36</v>
          </cell>
          <cell r="E34">
            <v>6.4190000000000005</v>
          </cell>
          <cell r="F34">
            <v>13.881</v>
          </cell>
          <cell r="G34">
            <v>57.4</v>
          </cell>
          <cell r="H34">
            <v>16.623999999999999</v>
          </cell>
          <cell r="I34">
            <v>19.898</v>
          </cell>
          <cell r="J34">
            <v>15.515000000000001</v>
          </cell>
          <cell r="K34">
            <v>16.8</v>
          </cell>
          <cell r="L34">
            <v>68.837000000000003</v>
          </cell>
          <cell r="M34">
            <v>15.3</v>
          </cell>
          <cell r="N34">
            <v>15.3</v>
          </cell>
          <cell r="O34">
            <v>16.8</v>
          </cell>
          <cell r="P34">
            <v>16.8</v>
          </cell>
          <cell r="Q34">
            <v>64.2</v>
          </cell>
          <cell r="R34">
            <v>16.8</v>
          </cell>
          <cell r="S34">
            <v>16.8</v>
          </cell>
          <cell r="T34">
            <v>16.8</v>
          </cell>
          <cell r="U34">
            <v>16.8</v>
          </cell>
          <cell r="V34">
            <v>67.2</v>
          </cell>
          <cell r="W34">
            <v>17.5</v>
          </cell>
          <cell r="X34">
            <v>17.5</v>
          </cell>
          <cell r="Y34">
            <v>17.5</v>
          </cell>
          <cell r="Z34">
            <v>17.5</v>
          </cell>
          <cell r="AA34">
            <v>70</v>
          </cell>
          <cell r="AB34">
            <v>8.75</v>
          </cell>
          <cell r="AC34">
            <v>8.75</v>
          </cell>
          <cell r="AD34">
            <v>17.5</v>
          </cell>
          <cell r="AE34">
            <v>17.5</v>
          </cell>
          <cell r="AF34">
            <v>52.5</v>
          </cell>
          <cell r="AG34">
            <v>17.5</v>
          </cell>
          <cell r="AH34">
            <v>17.5</v>
          </cell>
          <cell r="AI34">
            <v>17.5</v>
          </cell>
          <cell r="AJ34">
            <v>17.5</v>
          </cell>
          <cell r="AK34">
            <v>70</v>
          </cell>
          <cell r="AL34">
            <v>17.5</v>
          </cell>
          <cell r="AM34">
            <v>17.5</v>
          </cell>
          <cell r="AN34">
            <v>17.5</v>
          </cell>
          <cell r="AO34">
            <v>17.5</v>
          </cell>
          <cell r="AP34">
            <v>70</v>
          </cell>
          <cell r="AQ34">
            <v>17.5</v>
          </cell>
          <cell r="AR34">
            <v>17.5</v>
          </cell>
          <cell r="AS34">
            <v>17.5</v>
          </cell>
          <cell r="AT34">
            <v>17.5</v>
          </cell>
          <cell r="AU34">
            <v>70</v>
          </cell>
          <cell r="AV34">
            <v>17.5</v>
          </cell>
          <cell r="AW34">
            <v>17.5</v>
          </cell>
          <cell r="AX34">
            <v>17.5</v>
          </cell>
          <cell r="AY34">
            <v>17.5</v>
          </cell>
          <cell r="AZ34">
            <v>70</v>
          </cell>
          <cell r="BA34">
            <v>17.5</v>
          </cell>
          <cell r="BB34">
            <v>17.5</v>
          </cell>
          <cell r="BC34">
            <v>17.5</v>
          </cell>
          <cell r="BD34">
            <v>17.5</v>
          </cell>
          <cell r="BE34">
            <v>70</v>
          </cell>
          <cell r="BF34">
            <v>17.5</v>
          </cell>
          <cell r="BG34">
            <v>17.5</v>
          </cell>
          <cell r="BH34">
            <v>17.5</v>
          </cell>
          <cell r="BI34">
            <v>17.5</v>
          </cell>
          <cell r="BJ34">
            <v>70</v>
          </cell>
          <cell r="BK34">
            <v>17.5</v>
          </cell>
          <cell r="BL34">
            <v>17.5</v>
          </cell>
          <cell r="BM34">
            <v>17.5</v>
          </cell>
          <cell r="BN34">
            <v>17.5</v>
          </cell>
          <cell r="BO34">
            <v>70</v>
          </cell>
          <cell r="BP34">
            <v>17.5</v>
          </cell>
          <cell r="BQ34">
            <v>17.5</v>
          </cell>
          <cell r="BR34">
            <v>17.5</v>
          </cell>
          <cell r="BS34">
            <v>17.5</v>
          </cell>
          <cell r="BT34">
            <v>70</v>
          </cell>
          <cell r="BU34">
            <v>17.5</v>
          </cell>
          <cell r="BV34">
            <v>17.5</v>
          </cell>
          <cell r="BW34">
            <v>17.5</v>
          </cell>
          <cell r="BX34">
            <v>17.5</v>
          </cell>
          <cell r="BY34">
            <v>70</v>
          </cell>
          <cell r="BZ34">
            <v>17.5</v>
          </cell>
          <cell r="CA34">
            <v>17.5</v>
          </cell>
          <cell r="CB34">
            <v>17.5</v>
          </cell>
          <cell r="CC34">
            <v>17.5</v>
          </cell>
          <cell r="CD34">
            <v>70</v>
          </cell>
        </row>
        <row r="35">
          <cell r="B35" t="str">
            <v>Ilmenite (kt)</v>
          </cell>
          <cell r="C35">
            <v>25.148</v>
          </cell>
          <cell r="D35">
            <v>3.59</v>
          </cell>
          <cell r="E35">
            <v>12.618000000000002</v>
          </cell>
          <cell r="F35">
            <v>32.643999999999998</v>
          </cell>
          <cell r="G35">
            <v>74</v>
          </cell>
          <cell r="H35">
            <v>7.2649999999999997</v>
          </cell>
          <cell r="I35">
            <v>24.373999999999999</v>
          </cell>
          <cell r="J35">
            <v>7.2759999999999998</v>
          </cell>
          <cell r="K35">
            <v>24</v>
          </cell>
          <cell r="L35">
            <v>62.914999999999999</v>
          </cell>
          <cell r="M35">
            <v>20.2</v>
          </cell>
          <cell r="N35">
            <v>30.9</v>
          </cell>
          <cell r="O35">
            <v>21.5</v>
          </cell>
          <cell r="P35">
            <v>28</v>
          </cell>
          <cell r="Q35">
            <v>100.6</v>
          </cell>
          <cell r="R35">
            <v>28</v>
          </cell>
          <cell r="S35">
            <v>28</v>
          </cell>
          <cell r="T35">
            <v>28</v>
          </cell>
          <cell r="U35">
            <v>28</v>
          </cell>
          <cell r="V35">
            <v>112</v>
          </cell>
          <cell r="W35">
            <v>32</v>
          </cell>
          <cell r="X35">
            <v>32</v>
          </cell>
          <cell r="Y35">
            <v>32</v>
          </cell>
          <cell r="Z35">
            <v>32</v>
          </cell>
          <cell r="AA35">
            <v>128</v>
          </cell>
          <cell r="AB35">
            <v>16</v>
          </cell>
          <cell r="AC35">
            <v>16</v>
          </cell>
          <cell r="AD35">
            <v>32</v>
          </cell>
          <cell r="AE35">
            <v>32</v>
          </cell>
          <cell r="AF35">
            <v>96</v>
          </cell>
          <cell r="AG35">
            <v>32</v>
          </cell>
          <cell r="AH35">
            <v>32</v>
          </cell>
          <cell r="AI35">
            <v>32</v>
          </cell>
          <cell r="AJ35">
            <v>32</v>
          </cell>
          <cell r="AK35">
            <v>128</v>
          </cell>
          <cell r="AL35">
            <v>32</v>
          </cell>
          <cell r="AM35">
            <v>32</v>
          </cell>
          <cell r="AN35">
            <v>32</v>
          </cell>
          <cell r="AO35">
            <v>32</v>
          </cell>
          <cell r="AP35">
            <v>128</v>
          </cell>
          <cell r="AQ35">
            <v>32</v>
          </cell>
          <cell r="AR35">
            <v>32</v>
          </cell>
          <cell r="AS35">
            <v>32</v>
          </cell>
          <cell r="AT35">
            <v>32</v>
          </cell>
          <cell r="AU35">
            <v>128</v>
          </cell>
          <cell r="AV35">
            <v>32</v>
          </cell>
          <cell r="AW35">
            <v>32</v>
          </cell>
          <cell r="AX35">
            <v>32</v>
          </cell>
          <cell r="AY35">
            <v>32</v>
          </cell>
          <cell r="AZ35">
            <v>128</v>
          </cell>
          <cell r="BA35">
            <v>32</v>
          </cell>
          <cell r="BB35">
            <v>32</v>
          </cell>
          <cell r="BC35">
            <v>32</v>
          </cell>
          <cell r="BD35">
            <v>32</v>
          </cell>
          <cell r="BE35">
            <v>128</v>
          </cell>
          <cell r="BF35">
            <v>32</v>
          </cell>
          <cell r="BG35">
            <v>32</v>
          </cell>
          <cell r="BH35">
            <v>32</v>
          </cell>
          <cell r="BI35">
            <v>32</v>
          </cell>
          <cell r="BJ35">
            <v>128</v>
          </cell>
          <cell r="BK35">
            <v>32</v>
          </cell>
          <cell r="BL35">
            <v>32</v>
          </cell>
          <cell r="BM35">
            <v>32</v>
          </cell>
          <cell r="BN35">
            <v>32</v>
          </cell>
          <cell r="BO35">
            <v>128</v>
          </cell>
          <cell r="BP35">
            <v>32</v>
          </cell>
          <cell r="BQ35">
            <v>32</v>
          </cell>
          <cell r="BR35">
            <v>32</v>
          </cell>
          <cell r="BS35">
            <v>32</v>
          </cell>
          <cell r="BT35">
            <v>128</v>
          </cell>
          <cell r="BU35">
            <v>32</v>
          </cell>
          <cell r="BV35">
            <v>32</v>
          </cell>
          <cell r="BW35">
            <v>32</v>
          </cell>
          <cell r="BX35">
            <v>32</v>
          </cell>
          <cell r="BY35">
            <v>128</v>
          </cell>
          <cell r="BZ35">
            <v>32</v>
          </cell>
          <cell r="CA35">
            <v>32</v>
          </cell>
          <cell r="CB35">
            <v>32</v>
          </cell>
          <cell r="CC35">
            <v>32</v>
          </cell>
          <cell r="CD35">
            <v>128</v>
          </cell>
        </row>
        <row r="36">
          <cell r="B36" t="str">
            <v>Zircon (kt)</v>
          </cell>
          <cell r="C36">
            <v>14.831</v>
          </cell>
          <cell r="D36">
            <v>12.382999999999999</v>
          </cell>
          <cell r="E36">
            <v>4.7399999999999984</v>
          </cell>
          <cell r="F36">
            <v>9.3460000000000001</v>
          </cell>
          <cell r="G36">
            <v>41.3</v>
          </cell>
          <cell r="H36">
            <v>10.451000000000001</v>
          </cell>
          <cell r="I36">
            <v>12.657999999999999</v>
          </cell>
          <cell r="J36">
            <v>11.756</v>
          </cell>
          <cell r="K36">
            <v>11.4</v>
          </cell>
          <cell r="L36">
            <v>46.265000000000001</v>
          </cell>
          <cell r="M36">
            <v>10.6</v>
          </cell>
          <cell r="N36">
            <v>9.4</v>
          </cell>
          <cell r="O36">
            <v>12.3</v>
          </cell>
          <cell r="P36">
            <v>12.3</v>
          </cell>
          <cell r="Q36">
            <v>44.599999999999994</v>
          </cell>
          <cell r="R36">
            <v>12.3</v>
          </cell>
          <cell r="S36">
            <v>12.3</v>
          </cell>
          <cell r="T36">
            <v>12.3</v>
          </cell>
          <cell r="U36">
            <v>12.3</v>
          </cell>
          <cell r="V36">
            <v>49.2</v>
          </cell>
          <cell r="W36">
            <v>12.5</v>
          </cell>
          <cell r="X36">
            <v>12.5</v>
          </cell>
          <cell r="Y36">
            <v>12.5</v>
          </cell>
          <cell r="Z36">
            <v>12.5</v>
          </cell>
          <cell r="AA36">
            <v>50</v>
          </cell>
          <cell r="AB36">
            <v>6.25</v>
          </cell>
          <cell r="AC36">
            <v>6.25</v>
          </cell>
          <cell r="AD36">
            <v>12.5</v>
          </cell>
          <cell r="AE36">
            <v>12.5</v>
          </cell>
          <cell r="AF36">
            <v>37.5</v>
          </cell>
          <cell r="AG36">
            <v>12.5</v>
          </cell>
          <cell r="AH36">
            <v>12.5</v>
          </cell>
          <cell r="AI36">
            <v>12.5</v>
          </cell>
          <cell r="AJ36">
            <v>12.5</v>
          </cell>
          <cell r="AK36">
            <v>50</v>
          </cell>
          <cell r="AL36">
            <v>12.5</v>
          </cell>
          <cell r="AM36">
            <v>12.5</v>
          </cell>
          <cell r="AN36">
            <v>12.5</v>
          </cell>
          <cell r="AO36">
            <v>12.5</v>
          </cell>
          <cell r="AP36">
            <v>50</v>
          </cell>
          <cell r="AQ36">
            <v>12.5</v>
          </cell>
          <cell r="AR36">
            <v>12.5</v>
          </cell>
          <cell r="AS36">
            <v>12.5</v>
          </cell>
          <cell r="AT36">
            <v>12.5</v>
          </cell>
          <cell r="AU36">
            <v>50</v>
          </cell>
          <cell r="AV36">
            <v>12.5</v>
          </cell>
          <cell r="AW36">
            <v>12.5</v>
          </cell>
          <cell r="AX36">
            <v>12.5</v>
          </cell>
          <cell r="AY36">
            <v>12.5</v>
          </cell>
          <cell r="AZ36">
            <v>50</v>
          </cell>
          <cell r="BA36">
            <v>12.5</v>
          </cell>
          <cell r="BB36">
            <v>12.5</v>
          </cell>
          <cell r="BC36">
            <v>12.5</v>
          </cell>
          <cell r="BD36">
            <v>12.5</v>
          </cell>
          <cell r="BE36">
            <v>50</v>
          </cell>
          <cell r="BF36">
            <v>12.5</v>
          </cell>
          <cell r="BG36">
            <v>12.5</v>
          </cell>
          <cell r="BH36">
            <v>12.5</v>
          </cell>
          <cell r="BI36">
            <v>12.5</v>
          </cell>
          <cell r="BJ36">
            <v>50</v>
          </cell>
          <cell r="BK36">
            <v>12.5</v>
          </cell>
          <cell r="BL36">
            <v>12.5</v>
          </cell>
          <cell r="BM36">
            <v>12.5</v>
          </cell>
          <cell r="BN36">
            <v>12.5</v>
          </cell>
          <cell r="BO36">
            <v>50</v>
          </cell>
          <cell r="BP36">
            <v>12.5</v>
          </cell>
          <cell r="BQ36">
            <v>12.5</v>
          </cell>
          <cell r="BR36">
            <v>12.5</v>
          </cell>
          <cell r="BS36">
            <v>12.5</v>
          </cell>
          <cell r="BT36">
            <v>50</v>
          </cell>
          <cell r="BU36">
            <v>12.5</v>
          </cell>
          <cell r="BV36">
            <v>12.5</v>
          </cell>
          <cell r="BW36">
            <v>12.5</v>
          </cell>
          <cell r="BX36">
            <v>12.5</v>
          </cell>
          <cell r="BY36">
            <v>50</v>
          </cell>
          <cell r="BZ36">
            <v>12.5</v>
          </cell>
          <cell r="CA36">
            <v>12.5</v>
          </cell>
          <cell r="CB36">
            <v>12.5</v>
          </cell>
          <cell r="CC36">
            <v>12.5</v>
          </cell>
          <cell r="CD36">
            <v>50</v>
          </cell>
        </row>
        <row r="44">
          <cell r="B44" t="str">
            <v>Rutile (kt)</v>
          </cell>
          <cell r="C44">
            <v>8.8149999999999995</v>
          </cell>
          <cell r="D44">
            <v>8.9450000000000003</v>
          </cell>
          <cell r="E44">
            <v>9.9400000000000031</v>
          </cell>
          <cell r="F44">
            <v>8.9</v>
          </cell>
          <cell r="G44">
            <v>36.6</v>
          </cell>
          <cell r="H44">
            <v>10.962</v>
          </cell>
          <cell r="I44">
            <v>10.491</v>
          </cell>
          <cell r="J44">
            <v>8.6140000000000008</v>
          </cell>
          <cell r="K44">
            <v>7.5</v>
          </cell>
          <cell r="L44">
            <v>37.567</v>
          </cell>
          <cell r="M44">
            <v>7</v>
          </cell>
          <cell r="N44">
            <v>8</v>
          </cell>
          <cell r="O44">
            <v>12</v>
          </cell>
          <cell r="P44">
            <v>15</v>
          </cell>
          <cell r="Q44">
            <v>42</v>
          </cell>
          <cell r="R44">
            <v>17</v>
          </cell>
          <cell r="S44">
            <v>17</v>
          </cell>
          <cell r="T44">
            <v>17</v>
          </cell>
          <cell r="U44">
            <v>17</v>
          </cell>
          <cell r="V44">
            <v>68</v>
          </cell>
          <cell r="W44">
            <v>15</v>
          </cell>
          <cell r="X44">
            <v>15</v>
          </cell>
          <cell r="Y44">
            <v>15</v>
          </cell>
          <cell r="Z44">
            <v>15</v>
          </cell>
          <cell r="AA44">
            <v>60</v>
          </cell>
          <cell r="AB44">
            <v>17.5</v>
          </cell>
          <cell r="AC44">
            <v>17.5</v>
          </cell>
          <cell r="AD44">
            <v>19</v>
          </cell>
          <cell r="AE44">
            <v>19</v>
          </cell>
          <cell r="AF44">
            <v>73</v>
          </cell>
          <cell r="AG44">
            <v>21</v>
          </cell>
          <cell r="AH44">
            <v>21</v>
          </cell>
          <cell r="AI44">
            <v>21</v>
          </cell>
          <cell r="AJ44">
            <v>21</v>
          </cell>
          <cell r="AK44">
            <v>84</v>
          </cell>
          <cell r="AL44">
            <v>21</v>
          </cell>
          <cell r="AM44">
            <v>21</v>
          </cell>
          <cell r="AN44">
            <v>21</v>
          </cell>
          <cell r="AO44">
            <v>21</v>
          </cell>
          <cell r="AP44">
            <v>84</v>
          </cell>
          <cell r="AQ44">
            <v>21</v>
          </cell>
          <cell r="AR44">
            <v>21</v>
          </cell>
          <cell r="AS44">
            <v>21</v>
          </cell>
          <cell r="AT44">
            <v>21</v>
          </cell>
          <cell r="AU44">
            <v>84</v>
          </cell>
        </row>
        <row r="45">
          <cell r="B45" t="str">
            <v>Ilmenite (kt)</v>
          </cell>
          <cell r="C45">
            <v>21.574999999999999</v>
          </cell>
          <cell r="D45">
            <v>25.795500000000001</v>
          </cell>
          <cell r="E45">
            <v>22.029499999999992</v>
          </cell>
          <cell r="F45">
            <v>23.6</v>
          </cell>
          <cell r="G45">
            <v>93</v>
          </cell>
          <cell r="H45">
            <v>25.966000000000001</v>
          </cell>
          <cell r="I45">
            <v>23.512</v>
          </cell>
          <cell r="J45">
            <v>33.337000000000003</v>
          </cell>
          <cell r="K45">
            <v>27</v>
          </cell>
          <cell r="L45">
            <v>109.815</v>
          </cell>
          <cell r="M45">
            <v>34</v>
          </cell>
          <cell r="N45">
            <v>34</v>
          </cell>
          <cell r="O45">
            <v>34</v>
          </cell>
          <cell r="P45">
            <v>34</v>
          </cell>
          <cell r="Q45">
            <v>136</v>
          </cell>
          <cell r="R45">
            <v>34</v>
          </cell>
          <cell r="S45">
            <v>34</v>
          </cell>
          <cell r="T45">
            <v>34</v>
          </cell>
          <cell r="U45">
            <v>34</v>
          </cell>
          <cell r="V45">
            <v>136</v>
          </cell>
          <cell r="W45">
            <v>30</v>
          </cell>
          <cell r="X45">
            <v>30</v>
          </cell>
          <cell r="Y45">
            <v>30</v>
          </cell>
          <cell r="Z45">
            <v>30</v>
          </cell>
          <cell r="AA45">
            <v>120</v>
          </cell>
          <cell r="AB45">
            <v>35</v>
          </cell>
          <cell r="AC45">
            <v>35</v>
          </cell>
          <cell r="AD45">
            <v>38</v>
          </cell>
          <cell r="AE45">
            <v>38</v>
          </cell>
          <cell r="AF45">
            <v>146</v>
          </cell>
          <cell r="AG45">
            <v>42</v>
          </cell>
          <cell r="AH45">
            <v>42</v>
          </cell>
          <cell r="AI45">
            <v>42</v>
          </cell>
          <cell r="AJ45">
            <v>42</v>
          </cell>
          <cell r="AK45">
            <v>168</v>
          </cell>
          <cell r="AL45">
            <v>42</v>
          </cell>
          <cell r="AM45">
            <v>42</v>
          </cell>
          <cell r="AN45">
            <v>42</v>
          </cell>
          <cell r="AO45">
            <v>42</v>
          </cell>
          <cell r="AP45">
            <v>168</v>
          </cell>
          <cell r="AQ45">
            <v>42</v>
          </cell>
          <cell r="AR45">
            <v>42</v>
          </cell>
          <cell r="AS45">
            <v>42</v>
          </cell>
          <cell r="AT45">
            <v>42</v>
          </cell>
          <cell r="AU45">
            <v>168</v>
          </cell>
        </row>
        <row r="46">
          <cell r="B46" t="str">
            <v>Zircon (kt)</v>
          </cell>
          <cell r="C46">
            <v>7.3044999999999991</v>
          </cell>
          <cell r="D46">
            <v>7.1116499999999991</v>
          </cell>
          <cell r="E46">
            <v>6.478849999999996</v>
          </cell>
          <cell r="F46">
            <v>6.3350000000000009</v>
          </cell>
          <cell r="G46">
            <v>27.229999999999997</v>
          </cell>
          <cell r="H46">
            <v>5.4549999999999983</v>
          </cell>
          <cell r="I46">
            <v>5.9149999999999991</v>
          </cell>
          <cell r="J46">
            <v>7.8109999999999999</v>
          </cell>
          <cell r="K46">
            <v>5.5</v>
          </cell>
          <cell r="L46">
            <v>24.680999999999997</v>
          </cell>
          <cell r="M46">
            <v>10.199999999999999</v>
          </cell>
          <cell r="N46">
            <v>10.199999999999999</v>
          </cell>
          <cell r="O46">
            <v>10.199999999999999</v>
          </cell>
          <cell r="P46">
            <v>10.199999999999999</v>
          </cell>
          <cell r="Q46">
            <v>40.799999999999997</v>
          </cell>
          <cell r="R46">
            <v>10.199999999999999</v>
          </cell>
          <cell r="S46">
            <v>10.199999999999999</v>
          </cell>
          <cell r="T46">
            <v>10.199999999999999</v>
          </cell>
          <cell r="U46">
            <v>10.199999999999999</v>
          </cell>
          <cell r="V46">
            <v>40.799999999999997</v>
          </cell>
          <cell r="W46">
            <v>9</v>
          </cell>
          <cell r="X46">
            <v>9</v>
          </cell>
          <cell r="Y46">
            <v>9</v>
          </cell>
          <cell r="Z46">
            <v>9</v>
          </cell>
          <cell r="AA46">
            <v>36</v>
          </cell>
          <cell r="AB46">
            <v>10.5</v>
          </cell>
          <cell r="AC46">
            <v>10.5</v>
          </cell>
          <cell r="AD46">
            <v>11.4</v>
          </cell>
          <cell r="AE46">
            <v>11.4</v>
          </cell>
          <cell r="AF46">
            <v>43.8</v>
          </cell>
          <cell r="AG46">
            <v>12.6</v>
          </cell>
          <cell r="AH46">
            <v>12.6</v>
          </cell>
          <cell r="AI46">
            <v>12.6</v>
          </cell>
          <cell r="AJ46">
            <v>12.6</v>
          </cell>
          <cell r="AK46">
            <v>50.4</v>
          </cell>
          <cell r="AL46">
            <v>12.6</v>
          </cell>
          <cell r="AM46">
            <v>12.6</v>
          </cell>
          <cell r="AN46">
            <v>12.6</v>
          </cell>
          <cell r="AO46">
            <v>12.6</v>
          </cell>
          <cell r="AP46">
            <v>50.4</v>
          </cell>
          <cell r="AQ46">
            <v>12.6</v>
          </cell>
          <cell r="AR46">
            <v>12.6</v>
          </cell>
          <cell r="AS46">
            <v>12.6</v>
          </cell>
          <cell r="AT46">
            <v>12.6</v>
          </cell>
          <cell r="AU46">
            <v>50.4</v>
          </cell>
        </row>
        <row r="48">
          <cell r="B48" t="str">
            <v>Ilmenite (kt)</v>
          </cell>
          <cell r="C48">
            <v>21.574999999999999</v>
          </cell>
          <cell r="D48">
            <v>25.795500000000001</v>
          </cell>
          <cell r="E48">
            <v>22.029499999999992</v>
          </cell>
          <cell r="F48">
            <v>23.6</v>
          </cell>
          <cell r="G48">
            <v>93</v>
          </cell>
          <cell r="H48">
            <v>24</v>
          </cell>
          <cell r="I48">
            <v>25</v>
          </cell>
          <cell r="J48">
            <v>25</v>
          </cell>
          <cell r="K48">
            <v>25</v>
          </cell>
          <cell r="L48">
            <v>99</v>
          </cell>
          <cell r="M48">
            <v>25</v>
          </cell>
          <cell r="N48">
            <v>25</v>
          </cell>
          <cell r="O48">
            <v>25</v>
          </cell>
          <cell r="P48">
            <v>25</v>
          </cell>
          <cell r="Q48">
            <v>100</v>
          </cell>
          <cell r="R48">
            <v>25</v>
          </cell>
          <cell r="S48">
            <v>25</v>
          </cell>
          <cell r="T48">
            <v>35</v>
          </cell>
          <cell r="U48">
            <v>35</v>
          </cell>
          <cell r="V48">
            <v>120</v>
          </cell>
          <cell r="W48">
            <v>40</v>
          </cell>
          <cell r="X48">
            <v>40</v>
          </cell>
          <cell r="Y48">
            <v>40</v>
          </cell>
          <cell r="Z48">
            <v>40</v>
          </cell>
          <cell r="AA48">
            <v>160</v>
          </cell>
          <cell r="AB48">
            <v>40</v>
          </cell>
          <cell r="AC48">
            <v>40</v>
          </cell>
          <cell r="AD48">
            <v>40</v>
          </cell>
          <cell r="AE48">
            <v>40</v>
          </cell>
          <cell r="AF48">
            <v>160</v>
          </cell>
          <cell r="AG48">
            <v>40</v>
          </cell>
          <cell r="AH48">
            <v>40</v>
          </cell>
          <cell r="AI48">
            <v>40</v>
          </cell>
          <cell r="AJ48">
            <v>40</v>
          </cell>
          <cell r="AK48">
            <v>160</v>
          </cell>
          <cell r="AL48">
            <v>40</v>
          </cell>
          <cell r="AM48">
            <v>40</v>
          </cell>
          <cell r="AN48">
            <v>40</v>
          </cell>
          <cell r="AO48">
            <v>40</v>
          </cell>
          <cell r="AP48">
            <v>160</v>
          </cell>
          <cell r="AQ48">
            <v>40</v>
          </cell>
          <cell r="AR48">
            <v>40</v>
          </cell>
          <cell r="AS48">
            <v>40</v>
          </cell>
          <cell r="AT48">
            <v>40</v>
          </cell>
          <cell r="AU48">
            <v>160</v>
          </cell>
        </row>
        <row r="49">
          <cell r="B49" t="str">
            <v>Zircon (kt)</v>
          </cell>
          <cell r="C49">
            <v>13.565500000000002</v>
          </cell>
          <cell r="D49">
            <v>13.20735</v>
          </cell>
          <cell r="E49">
            <v>12.032149999999993</v>
          </cell>
          <cell r="F49">
            <v>11.765000000000001</v>
          </cell>
          <cell r="G49">
            <v>50.569999999999993</v>
          </cell>
          <cell r="H49">
            <v>12</v>
          </cell>
          <cell r="I49">
            <v>12.5</v>
          </cell>
          <cell r="J49">
            <v>12.5</v>
          </cell>
          <cell r="K49">
            <v>12.5</v>
          </cell>
          <cell r="L49">
            <v>49.5</v>
          </cell>
          <cell r="M49">
            <v>12.5</v>
          </cell>
          <cell r="N49">
            <v>12.5</v>
          </cell>
          <cell r="O49">
            <v>12.5</v>
          </cell>
          <cell r="P49">
            <v>12.5</v>
          </cell>
          <cell r="Q49">
            <v>50</v>
          </cell>
          <cell r="R49">
            <v>12.5</v>
          </cell>
          <cell r="S49">
            <v>12.5</v>
          </cell>
          <cell r="T49">
            <v>17.5</v>
          </cell>
          <cell r="U49">
            <v>17.5</v>
          </cell>
          <cell r="V49">
            <v>60</v>
          </cell>
          <cell r="W49">
            <v>19</v>
          </cell>
          <cell r="X49">
            <v>19</v>
          </cell>
          <cell r="Y49">
            <v>19</v>
          </cell>
          <cell r="Z49">
            <v>19</v>
          </cell>
          <cell r="AA49">
            <v>76</v>
          </cell>
          <cell r="AB49">
            <v>20</v>
          </cell>
          <cell r="AC49">
            <v>20</v>
          </cell>
          <cell r="AD49">
            <v>20</v>
          </cell>
          <cell r="AE49">
            <v>20</v>
          </cell>
          <cell r="AF49">
            <v>80</v>
          </cell>
          <cell r="AG49">
            <v>20</v>
          </cell>
          <cell r="AH49">
            <v>20</v>
          </cell>
          <cell r="AI49">
            <v>20</v>
          </cell>
          <cell r="AJ49">
            <v>20</v>
          </cell>
          <cell r="AK49">
            <v>80</v>
          </cell>
          <cell r="AL49">
            <v>20</v>
          </cell>
          <cell r="AM49">
            <v>20</v>
          </cell>
          <cell r="AN49">
            <v>20</v>
          </cell>
          <cell r="AO49">
            <v>20</v>
          </cell>
          <cell r="AP49">
            <v>80</v>
          </cell>
          <cell r="AQ49">
            <v>20</v>
          </cell>
          <cell r="AR49">
            <v>20</v>
          </cell>
          <cell r="AS49">
            <v>20</v>
          </cell>
          <cell r="AT49">
            <v>20</v>
          </cell>
          <cell r="AU49">
            <v>80</v>
          </cell>
        </row>
      </sheetData>
      <sheetData sheetId="2" refreshError="1"/>
      <sheetData sheetId="3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uation"/>
      <sheetName val="Financial Summary"/>
      <sheetName val="Model"/>
      <sheetName val="External links"/>
      <sheetName val="Forecast change table"/>
      <sheetName val="Growth capital"/>
      <sheetName val="Guidance"/>
      <sheetName val="Macro drivers"/>
      <sheetName val="MS ORA model v3"/>
    </sheetNames>
    <definedNames>
      <definedName name="code_yearnow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D6">
            <v>2.4760000000000004E-2</v>
          </cell>
        </row>
      </sheetData>
      <sheetData sheetId="8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Assumptions"/>
      <sheetName val="Revenue"/>
      <sheetName val="Expenses"/>
      <sheetName val="Assets"/>
      <sheetName val="Debt"/>
      <sheetName val="Profit&amp;Loss"/>
      <sheetName val="Tax"/>
      <sheetName val="Balance Sheet"/>
      <sheetName val="Cash Flow"/>
      <sheetName val="Bank"/>
      <sheetName val="FCF"/>
      <sheetName val="Changes"/>
    </sheetNames>
    <sheetDataSet>
      <sheetData sheetId="0"/>
      <sheetData sheetId="1" refreshError="1">
        <row r="16">
          <cell r="C16">
            <v>0.3</v>
          </cell>
        </row>
      </sheetData>
      <sheetData sheetId="2"/>
      <sheetData sheetId="3"/>
      <sheetData sheetId="4" refreshError="1">
        <row r="28">
          <cell r="B28" t="str">
            <v>Depreciation expense</v>
          </cell>
          <cell r="F28">
            <v>40</v>
          </cell>
          <cell r="G28">
            <v>41.02</v>
          </cell>
          <cell r="H28">
            <v>42.060400000000001</v>
          </cell>
          <cell r="I28">
            <v>43.121608000000002</v>
          </cell>
          <cell r="J28">
            <v>44.204040160000005</v>
          </cell>
          <cell r="K28">
            <v>45.308120963200004</v>
          </cell>
          <cell r="L28">
            <v>46.434283382464002</v>
          </cell>
          <cell r="M28">
            <v>47.582969050113284</v>
          </cell>
          <cell r="N28">
            <v>48.754628431115549</v>
          </cell>
          <cell r="O28">
            <v>49.949720999737863</v>
          </cell>
        </row>
        <row r="39">
          <cell r="B39" t="str">
            <v>Depreciation expense</v>
          </cell>
          <cell r="F39">
            <v>-40</v>
          </cell>
          <cell r="G39">
            <v>-37.020000000000003</v>
          </cell>
          <cell r="H39">
            <v>-34.358400000000003</v>
          </cell>
          <cell r="I39">
            <v>-31.983767999999998</v>
          </cell>
          <cell r="J39">
            <v>-29.867823360000003</v>
          </cell>
          <cell r="K39">
            <v>-27.9851218272</v>
          </cell>
          <cell r="L39">
            <v>-26.312772063744003</v>
          </cell>
          <cell r="M39">
            <v>-24.830180525018882</v>
          </cell>
          <cell r="N39">
            <v>-23.51882185351926</v>
          </cell>
          <cell r="O39">
            <v>-22.362032236789645</v>
          </cell>
        </row>
      </sheetData>
      <sheetData sheetId="5"/>
      <sheetData sheetId="6" refreshError="1">
        <row r="34">
          <cell r="A34" t="str">
            <v>Profit/(Loss) before tax</v>
          </cell>
          <cell r="F34">
            <v>-95.994777397260279</v>
          </cell>
          <cell r="G34">
            <v>10.223545376712245</v>
          </cell>
          <cell r="H34">
            <v>38.067349694712426</v>
          </cell>
          <cell r="I34">
            <v>150.89538267881412</v>
          </cell>
          <cell r="J34">
            <v>182.06261957740338</v>
          </cell>
          <cell r="K34">
            <v>214.9023391252467</v>
          </cell>
          <cell r="L34">
            <v>250.01502519486471</v>
          </cell>
          <cell r="M34">
            <v>287.53404792326393</v>
          </cell>
          <cell r="N34">
            <v>327.5987868992076</v>
          </cell>
          <cell r="O34">
            <v>370.35537072789117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wareTaxoPres"/>
      <sheetName val="DBTemplate"/>
      <sheetName val="BDT Input"/>
      <sheetName val="mwareValPrintout"/>
      <sheetName val="Chart2"/>
      <sheetName val="ZFX Summary"/>
      <sheetName val="Commodity"/>
      <sheetName val="P&amp;L"/>
      <sheetName val="CashFlow"/>
      <sheetName val="BalSheet"/>
      <sheetName val="Revisions"/>
      <sheetName val="sensitivity"/>
      <sheetName val="Prices"/>
      <sheetName val="Century"/>
      <sheetName val="Rosebery"/>
      <sheetName val="Hobart"/>
      <sheetName val="Budel"/>
      <sheetName val="Clarksville"/>
      <sheetName val="Port Pirie"/>
      <sheetName val="ARA"/>
      <sheetName val="Chart1"/>
      <sheetName val="Chart3"/>
      <sheetName val="Chart4"/>
      <sheetName val="Chart5"/>
      <sheetName val="Valuation"/>
      <sheetName val="mwareDates"/>
      <sheetName val="Client"/>
      <sheetName val="mwareSettings"/>
      <sheetName val="GE3"/>
    </sheetNames>
    <sheetDataSet>
      <sheetData sheetId="0" refreshError="1"/>
      <sheetData sheetId="1" refreshError="1"/>
      <sheetData sheetId="2" refreshError="1">
        <row r="318">
          <cell r="AZ318">
            <v>500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FOSHEET"/>
      <sheetName val="Sheet1"/>
      <sheetName val="Model"/>
      <sheetName val="Inputs, Sens, FX"/>
      <sheetName val="Fert Margins"/>
      <sheetName val="Louisiana"/>
      <sheetName val="Revisions"/>
      <sheetName val="Valuation"/>
      <sheetName val="DCF"/>
      <sheetName val="Charts"/>
      <sheetName val="Financial summary page"/>
      <sheetName val="EBIT by division"/>
      <sheetName val="NEW PROJECTS"/>
      <sheetName val="Louisiana Scenarios"/>
      <sheetName val="Spot inputs v Base case"/>
      <sheetName val="Credit scenarios"/>
      <sheetName val="Dyno Vol Drivers"/>
      <sheetName val="MW-Cache"/>
      <sheetName val="Modelware"/>
      <sheetName val="mwareDates"/>
      <sheetName val="MWA RR"/>
      <sheetName val="For initiation"/>
      <sheetName val="mwareSettings"/>
    </sheetNames>
    <sheetDataSet>
      <sheetData sheetId="0"/>
      <sheetData sheetId="1"/>
      <sheetData sheetId="2">
        <row r="641">
          <cell r="G641">
            <v>3.75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Case  Unlinked"/>
      <sheetName val="Acquistion - Unlinked"/>
      <sheetName val="Base Case"/>
      <sheetName val="Acquistion"/>
      <sheetName val="Sheet1"/>
      <sheetName val="Sheet2"/>
      <sheetName val="Sheet3"/>
    </sheetNames>
    <sheetDataSet>
      <sheetData sheetId="0" refreshError="1"/>
      <sheetData sheetId="1" refreshError="1"/>
      <sheetData sheetId="2" refreshError="1">
        <row r="1">
          <cell r="C1">
            <v>4</v>
          </cell>
          <cell r="D1">
            <v>5</v>
          </cell>
          <cell r="E1">
            <v>6</v>
          </cell>
          <cell r="F1">
            <v>7</v>
          </cell>
          <cell r="G1">
            <v>8</v>
          </cell>
          <cell r="W1">
            <v>0</v>
          </cell>
        </row>
        <row r="3">
          <cell r="B3" t="str">
            <v>Morgan Stanley</v>
          </cell>
        </row>
        <row r="4">
          <cell r="B4" t="str">
            <v>Oxiana</v>
          </cell>
          <cell r="I4" t="str">
            <v>Price:</v>
          </cell>
          <cell r="J4">
            <v>2.94</v>
          </cell>
          <cell r="Q4" t="str">
            <v>Price target:</v>
          </cell>
          <cell r="Y4">
            <v>3.945824868398299</v>
          </cell>
        </row>
        <row r="6">
          <cell r="Q6" t="str">
            <v>CASHFLOW ($M)</v>
          </cell>
          <cell r="R6" t="e">
            <v>#NAME?</v>
          </cell>
          <cell r="S6" t="e">
            <v>#NAME?</v>
          </cell>
          <cell r="T6" t="e">
            <v>#NAME?</v>
          </cell>
          <cell r="U6" t="e">
            <v>#NAME?</v>
          </cell>
          <cell r="V6" t="e">
            <v>#NAME?</v>
          </cell>
          <cell r="W6" t="e">
            <v>#REF!</v>
          </cell>
          <cell r="X6" t="e">
            <v>#REF!</v>
          </cell>
          <cell r="Y6" t="str">
            <v>2006e</v>
          </cell>
          <cell r="Z6" t="str">
            <v>2007e</v>
          </cell>
          <cell r="AA6" t="str">
            <v>2008e</v>
          </cell>
          <cell r="AB6" t="str">
            <v>2009e</v>
          </cell>
          <cell r="AC6" t="str">
            <v>2010e</v>
          </cell>
          <cell r="AD6" t="str">
            <v>2011e</v>
          </cell>
          <cell r="AL6" t="str">
            <v>1H-04</v>
          </cell>
          <cell r="AM6" t="str">
            <v>2H-04</v>
          </cell>
          <cell r="AQ6" t="str">
            <v>F1H-05</v>
          </cell>
          <cell r="AT6" t="str">
            <v>F2H-05</v>
          </cell>
          <cell r="AU6" t="str">
            <v>F2005</v>
          </cell>
          <cell r="AV6" t="str">
            <v>F1H-06</v>
          </cell>
          <cell r="AW6" t="str">
            <v>F2H-06</v>
          </cell>
          <cell r="AX6" t="str">
            <v>F2006</v>
          </cell>
          <cell r="AY6" t="str">
            <v>F1H-07</v>
          </cell>
          <cell r="AZ6" t="str">
            <v>F2H-07</v>
          </cell>
          <cell r="BA6" t="str">
            <v>F2007e</v>
          </cell>
          <cell r="BD6" t="str">
            <v>Zinifex</v>
          </cell>
        </row>
        <row r="7">
          <cell r="B7" t="str">
            <v xml:space="preserve">PRODUCTION   </v>
          </cell>
          <cell r="C7" t="e">
            <v>#NAME?</v>
          </cell>
          <cell r="D7" t="e">
            <v>#NAME?</v>
          </cell>
          <cell r="E7" t="e">
            <v>#NAME?</v>
          </cell>
          <cell r="F7" t="e">
            <v>#NAME?</v>
          </cell>
          <cell r="G7" t="e">
            <v>#REF!</v>
          </cell>
          <cell r="H7" t="e">
            <v>#REF!</v>
          </cell>
          <cell r="I7" t="str">
            <v>2006e</v>
          </cell>
          <cell r="J7" t="str">
            <v>2007e</v>
          </cell>
          <cell r="K7" t="str">
            <v>2008e</v>
          </cell>
          <cell r="L7" t="str">
            <v>2009e</v>
          </cell>
          <cell r="M7" t="str">
            <v>2010e</v>
          </cell>
          <cell r="N7" t="str">
            <v>2011e</v>
          </cell>
          <cell r="Q7" t="str">
            <v>EBITDA</v>
          </cell>
          <cell r="U7">
            <v>298</v>
          </cell>
          <cell r="W7">
            <v>132.30000000000001</v>
          </cell>
          <cell r="X7">
            <v>175.61500000000001</v>
          </cell>
          <cell r="Y7">
            <v>815.73970981110892</v>
          </cell>
          <cell r="Z7">
            <v>804.539084782842</v>
          </cell>
          <cell r="AA7">
            <v>896.84074365613299</v>
          </cell>
          <cell r="AB7">
            <v>997.82020728622615</v>
          </cell>
          <cell r="AC7">
            <v>1077.3737832851593</v>
          </cell>
          <cell r="AD7">
            <v>871.97529725979598</v>
          </cell>
          <cell r="AF7" t="str">
            <v>Metrics</v>
          </cell>
          <cell r="AL7">
            <v>93.800000000000011</v>
          </cell>
          <cell r="AM7">
            <v>208.20496803956604</v>
          </cell>
          <cell r="AO7" t="str">
            <v>EBITDA</v>
          </cell>
          <cell r="AQ7">
            <v>208.20496803956604</v>
          </cell>
          <cell r="AR7">
            <v>132.30000000000001</v>
          </cell>
          <cell r="AS7">
            <v>191</v>
          </cell>
          <cell r="AT7">
            <v>217.3</v>
          </cell>
          <cell r="AU7">
            <v>408.3</v>
          </cell>
          <cell r="AV7">
            <v>325.5</v>
          </cell>
          <cell r="AW7">
            <v>859.40000000000009</v>
          </cell>
          <cell r="AX7">
            <v>1184.9000000000001</v>
          </cell>
          <cell r="AY7">
            <v>1094.2300061792585</v>
          </cell>
          <cell r="AZ7">
            <v>1396.3166263001046</v>
          </cell>
          <cell r="BA7">
            <v>2490.5466324793633</v>
          </cell>
          <cell r="BG7" t="str">
            <v>Base Yr</v>
          </cell>
          <cell r="BH7">
            <v>2005</v>
          </cell>
        </row>
        <row r="8">
          <cell r="B8" t="str">
            <v>Copper Production (kt)</v>
          </cell>
          <cell r="H8">
            <v>53.546999999999997</v>
          </cell>
          <cell r="I8">
            <v>71.614000000000004</v>
          </cell>
          <cell r="J8">
            <v>73.021231690000022</v>
          </cell>
          <cell r="K8">
            <v>96.685280086666666</v>
          </cell>
          <cell r="L8">
            <v>158.31565045703704</v>
          </cell>
          <cell r="M8">
            <v>232.98975308641977</v>
          </cell>
          <cell r="N8">
            <v>237.28263368983957</v>
          </cell>
          <cell r="Q8" t="str">
            <v>- Interest Paid/(Received)</v>
          </cell>
          <cell r="U8">
            <v>0</v>
          </cell>
          <cell r="W8">
            <v>-4.8</v>
          </cell>
          <cell r="X8">
            <v>-34.176000000000002</v>
          </cell>
          <cell r="Y8">
            <v>-33.214269999999999</v>
          </cell>
          <cell r="Z8">
            <v>-47.086539311728203</v>
          </cell>
          <cell r="AA8">
            <v>-60.135097274511217</v>
          </cell>
          <cell r="AB8">
            <v>-43.615958118624746</v>
          </cell>
          <cell r="AC8">
            <v>-20.560061892772111</v>
          </cell>
          <cell r="AD8">
            <v>1.1351999607512084</v>
          </cell>
          <cell r="AF8" t="str">
            <v>Price/DCF Premium/(Discount)</v>
          </cell>
          <cell r="AH8">
            <v>-0.10589037332716289</v>
          </cell>
          <cell r="AL8" t="e">
            <v>#REF!</v>
          </cell>
          <cell r="AM8" t="e">
            <v>#REF!</v>
          </cell>
          <cell r="AO8" t="e">
            <v>#REF!</v>
          </cell>
          <cell r="AQ8" t="e">
            <v>#REF!</v>
          </cell>
          <cell r="AR8" t="e">
            <v>#REF!</v>
          </cell>
          <cell r="AS8" t="e">
            <v>#REF!</v>
          </cell>
          <cell r="AT8">
            <v>4.2</v>
          </cell>
          <cell r="AU8">
            <v>7.2</v>
          </cell>
          <cell r="AV8">
            <v>4.5</v>
          </cell>
          <cell r="AW8">
            <v>9.9</v>
          </cell>
          <cell r="AX8">
            <v>14.4</v>
          </cell>
          <cell r="AY8">
            <v>33.097349999999992</v>
          </cell>
          <cell r="AZ8">
            <v>17.933802477524448</v>
          </cell>
          <cell r="BA8">
            <v>51.031152477524444</v>
          </cell>
        </row>
        <row r="9">
          <cell r="B9" t="str">
            <v>Gold Production (000 oz)</v>
          </cell>
          <cell r="H9">
            <v>228.00200000000001</v>
          </cell>
          <cell r="I9">
            <v>223.72200000000001</v>
          </cell>
          <cell r="J9">
            <v>162.16824473130035</v>
          </cell>
          <cell r="K9">
            <v>196.11940778368992</v>
          </cell>
          <cell r="L9">
            <v>293.27650990807871</v>
          </cell>
          <cell r="M9">
            <v>425.9732589341798</v>
          </cell>
          <cell r="N9">
            <v>495.37902134403947</v>
          </cell>
          <cell r="Q9" t="str">
            <v>-Tax paid</v>
          </cell>
          <cell r="U9">
            <v>0</v>
          </cell>
          <cell r="W9">
            <v>-4.7</v>
          </cell>
          <cell r="X9">
            <v>0</v>
          </cell>
          <cell r="Y9">
            <v>-50.430999999999997</v>
          </cell>
          <cell r="Z9">
            <v>-131.99590628761308</v>
          </cell>
          <cell r="AA9">
            <v>-222.79561923933909</v>
          </cell>
          <cell r="AB9">
            <v>-243.46538500555815</v>
          </cell>
          <cell r="AC9">
            <v>-267.60050192090381</v>
          </cell>
          <cell r="AD9">
            <v>-209.74367840360156</v>
          </cell>
          <cell r="AF9" t="str">
            <v>Price Target Premium/(Discount)</v>
          </cell>
          <cell r="AH9">
            <v>0.34211730217629222</v>
          </cell>
          <cell r="AL9" t="e">
            <v>#REF!</v>
          </cell>
          <cell r="AM9" t="e">
            <v>#REF!</v>
          </cell>
          <cell r="AO9" t="str">
            <v>- Interest Paid/(Received)</v>
          </cell>
          <cell r="AQ9" t="e">
            <v>#REF!</v>
          </cell>
          <cell r="AR9">
            <v>-4.8</v>
          </cell>
          <cell r="AS9">
            <v>-7.4</v>
          </cell>
          <cell r="AT9">
            <v>-5.1999999999999993</v>
          </cell>
          <cell r="AU9">
            <v>-12.6</v>
          </cell>
          <cell r="AV9">
            <v>-6.5</v>
          </cell>
          <cell r="AW9">
            <v>-6.9</v>
          </cell>
          <cell r="AX9">
            <v>-13.4</v>
          </cell>
          <cell r="AY9">
            <v>-9.5104000000000006</v>
          </cell>
          <cell r="AZ9">
            <v>-9.5104000000000006</v>
          </cell>
          <cell r="BA9">
            <v>-19.020800000000001</v>
          </cell>
        </row>
        <row r="10">
          <cell r="B10" t="str">
            <v>Zinc Production (kt)</v>
          </cell>
          <cell r="H10">
            <v>72.760999999999996</v>
          </cell>
          <cell r="I10">
            <v>138.80699999999999</v>
          </cell>
          <cell r="J10">
            <v>146.47499999999999</v>
          </cell>
          <cell r="K10">
            <v>101.92000000000002</v>
          </cell>
          <cell r="L10">
            <v>114.66000000000001</v>
          </cell>
          <cell r="M10">
            <v>63.7</v>
          </cell>
          <cell r="N10">
            <v>63.7</v>
          </cell>
          <cell r="Q10" t="str">
            <v>-Wkg cap increase, other</v>
          </cell>
          <cell r="U10">
            <v>-298</v>
          </cell>
          <cell r="W10">
            <v>13.899999999999977</v>
          </cell>
          <cell r="X10">
            <v>36.748999999999967</v>
          </cell>
          <cell r="Y10">
            <v>19.729323057058082</v>
          </cell>
          <cell r="Z10">
            <v>-58.727403860842742</v>
          </cell>
          <cell r="AA10">
            <v>21.645840689041165</v>
          </cell>
          <cell r="AB10">
            <v>39.989595793557328</v>
          </cell>
          <cell r="AC10">
            <v>-30.996447183967575</v>
          </cell>
          <cell r="AD10">
            <v>-19.452406105382579</v>
          </cell>
          <cell r="AF10" t="str">
            <v>Mid Cycle PE</v>
          </cell>
          <cell r="AH10">
            <v>7.4092005993977699</v>
          </cell>
          <cell r="AL10">
            <v>26</v>
          </cell>
          <cell r="AM10" t="e">
            <v>#REF!</v>
          </cell>
          <cell r="AO10" t="str">
            <v>-Tax paid</v>
          </cell>
          <cell r="AQ10" t="e">
            <v>#REF!</v>
          </cell>
          <cell r="AR10">
            <v>-4.7</v>
          </cell>
          <cell r="AS10">
            <v>-2.5</v>
          </cell>
          <cell r="AT10">
            <v>-5</v>
          </cell>
          <cell r="AU10">
            <v>-7.5</v>
          </cell>
          <cell r="AV10">
            <v>-3.6</v>
          </cell>
          <cell r="AW10">
            <v>-40.199999999999996</v>
          </cell>
          <cell r="AX10">
            <v>-43.8</v>
          </cell>
          <cell r="AY10">
            <v>-108.74920961858849</v>
          </cell>
          <cell r="AZ10">
            <v>-370.29466867437867</v>
          </cell>
          <cell r="BA10">
            <v>-479.04387829296718</v>
          </cell>
          <cell r="BF10">
            <v>2005</v>
          </cell>
          <cell r="BG10">
            <v>2006</v>
          </cell>
          <cell r="BH10">
            <v>2007</v>
          </cell>
          <cell r="BI10">
            <v>2008</v>
          </cell>
          <cell r="BJ10">
            <v>2009</v>
          </cell>
        </row>
        <row r="11">
          <cell r="B11" t="str">
            <v>Silver Production (Moz)</v>
          </cell>
          <cell r="H11">
            <v>2.2754050000000001</v>
          </cell>
          <cell r="I11">
            <v>3.2678340000000001</v>
          </cell>
          <cell r="J11">
            <v>2.6955165817351743</v>
          </cell>
          <cell r="K11">
            <v>2.4468843270585836</v>
          </cell>
          <cell r="L11">
            <v>2.7007877125495185</v>
          </cell>
          <cell r="M11">
            <v>2.7789338145621736</v>
          </cell>
          <cell r="N11">
            <v>2.7787852339467958</v>
          </cell>
          <cell r="Q11" t="str">
            <v>OPERATIONS CASH FLOW</v>
          </cell>
          <cell r="U11">
            <v>0</v>
          </cell>
          <cell r="W11">
            <v>136.69999999999999</v>
          </cell>
          <cell r="X11">
            <v>178.18799999999999</v>
          </cell>
          <cell r="Y11">
            <v>751.82376286816702</v>
          </cell>
          <cell r="Z11">
            <v>566.72923532265804</v>
          </cell>
          <cell r="AA11">
            <v>635.55586783132389</v>
          </cell>
          <cell r="AB11">
            <v>750.72845995560056</v>
          </cell>
          <cell r="AC11">
            <v>758.21677228751582</v>
          </cell>
          <cell r="AD11">
            <v>643.91441271156305</v>
          </cell>
          <cell r="AF11" t="str">
            <v>Price Target Methodology</v>
          </cell>
          <cell r="AL11" t="e">
            <v>#REF!</v>
          </cell>
          <cell r="AM11" t="e">
            <v>#REF!</v>
          </cell>
          <cell r="AO11" t="str">
            <v>-Wkg cap increase, other</v>
          </cell>
          <cell r="AQ11" t="e">
            <v>#REF!</v>
          </cell>
          <cell r="AR11" t="e">
            <v>#REF!</v>
          </cell>
          <cell r="AS11" t="e">
            <v>#REF!</v>
          </cell>
          <cell r="AT11">
            <v>20.299999999999955</v>
          </cell>
          <cell r="AU11">
            <v>20.5</v>
          </cell>
          <cell r="AV11">
            <v>-130.29999999999998</v>
          </cell>
          <cell r="AW11">
            <v>-146.30000000000007</v>
          </cell>
          <cell r="AX11">
            <v>-276.60000000000014</v>
          </cell>
          <cell r="AY11">
            <v>-684.69976500568009</v>
          </cell>
          <cell r="AZ11">
            <v>-291.31620077159687</v>
          </cell>
          <cell r="BA11">
            <v>-976.01596577727651</v>
          </cell>
          <cell r="BD11" t="str">
            <v>NPAT ($m AUD)</v>
          </cell>
          <cell r="BF11">
            <v>80.302000000000007</v>
          </cell>
          <cell r="BG11">
            <v>502.51073020752915</v>
          </cell>
          <cell r="BH11">
            <v>436.30606738939593</v>
          </cell>
          <cell r="BI11">
            <v>492.83024217003594</v>
          </cell>
          <cell r="BJ11">
            <v>545.48992197476389</v>
          </cell>
        </row>
        <row r="12">
          <cell r="B12" t="str">
            <v>Lead Production (kt)</v>
          </cell>
          <cell r="H12">
            <v>6.3929999999999998</v>
          </cell>
          <cell r="I12">
            <v>11.63406</v>
          </cell>
          <cell r="J12">
            <v>12.16</v>
          </cell>
          <cell r="K12">
            <v>12.16</v>
          </cell>
          <cell r="L12">
            <v>12.16</v>
          </cell>
          <cell r="M12">
            <v>12.16</v>
          </cell>
          <cell r="N12">
            <v>12.16</v>
          </cell>
          <cell r="Q12" t="str">
            <v xml:space="preserve"> - Capex</v>
          </cell>
          <cell r="U12">
            <v>0</v>
          </cell>
          <cell r="W12">
            <v>-61.6</v>
          </cell>
          <cell r="X12">
            <v>-159.148</v>
          </cell>
          <cell r="Y12">
            <v>-261.58299999999997</v>
          </cell>
          <cell r="Z12">
            <v>-545</v>
          </cell>
          <cell r="AA12">
            <v>-300</v>
          </cell>
          <cell r="AB12">
            <v>-75</v>
          </cell>
          <cell r="AC12">
            <v>-75</v>
          </cell>
          <cell r="AD12">
            <v>-75</v>
          </cell>
          <cell r="AF12" t="str">
            <v>One Yr Forward PE</v>
          </cell>
          <cell r="AG12">
            <v>10</v>
          </cell>
          <cell r="AH12">
            <v>3.2788623034414375</v>
          </cell>
          <cell r="AL12">
            <v>101.8</v>
          </cell>
          <cell r="AM12">
            <v>140.9</v>
          </cell>
          <cell r="AO12" t="str">
            <v>OPERATIONS CASH FLOW</v>
          </cell>
          <cell r="AQ12">
            <v>140.9</v>
          </cell>
          <cell r="AR12">
            <v>136.69999999999999</v>
          </cell>
          <cell r="AS12">
            <v>184.3</v>
          </cell>
          <cell r="AT12">
            <v>231.59999999999997</v>
          </cell>
          <cell r="AU12">
            <v>415.9</v>
          </cell>
          <cell r="AV12">
            <v>189.6</v>
          </cell>
          <cell r="AW12">
            <v>675.9</v>
          </cell>
          <cell r="AX12">
            <v>865.5</v>
          </cell>
          <cell r="AY12">
            <v>324.36798155499002</v>
          </cell>
          <cell r="AZ12">
            <v>743.12915933165368</v>
          </cell>
          <cell r="BA12">
            <v>1067.497140886644</v>
          </cell>
          <cell r="BD12" t="str">
            <v>EBITDA ($m AUD)</v>
          </cell>
          <cell r="BF12">
            <v>175.61500000000001</v>
          </cell>
          <cell r="BG12">
            <v>815.73970981110892</v>
          </cell>
          <cell r="BH12">
            <v>804.539084782842</v>
          </cell>
          <cell r="BI12">
            <v>896.84074365613299</v>
          </cell>
          <cell r="BJ12">
            <v>997.82020728622615</v>
          </cell>
        </row>
        <row r="13">
          <cell r="Q13" t="str">
            <v>FREE CASH FLOW</v>
          </cell>
          <cell r="W13">
            <v>75.099999999999994</v>
          </cell>
          <cell r="X13">
            <v>19.039999999999992</v>
          </cell>
          <cell r="Y13">
            <v>490.24076286816705</v>
          </cell>
          <cell r="Z13">
            <v>21.729235322658042</v>
          </cell>
          <cell r="AA13">
            <v>335.55586783132389</v>
          </cell>
          <cell r="AB13">
            <v>675.72845995560056</v>
          </cell>
          <cell r="AC13">
            <v>683.21677228751582</v>
          </cell>
          <cell r="AD13">
            <v>568.91441271156305</v>
          </cell>
          <cell r="AF13" t="str">
            <v>Premium to DCF</v>
          </cell>
          <cell r="AG13">
            <v>0.2</v>
          </cell>
          <cell r="AH13">
            <v>3.945824868398299</v>
          </cell>
          <cell r="AL13">
            <v>-70.7</v>
          </cell>
          <cell r="AM13">
            <v>-0.3</v>
          </cell>
          <cell r="AO13" t="str">
            <v xml:space="preserve"> - Capex</v>
          </cell>
          <cell r="AQ13">
            <v>-0.3</v>
          </cell>
          <cell r="AR13">
            <v>-61.6</v>
          </cell>
          <cell r="AS13">
            <v>-145.4</v>
          </cell>
          <cell r="AT13">
            <v>-148.9</v>
          </cell>
          <cell r="AU13">
            <v>-294.3</v>
          </cell>
          <cell r="AV13">
            <v>-136.10000000000002</v>
          </cell>
          <cell r="AW13">
            <v>-224.7</v>
          </cell>
          <cell r="AX13">
            <v>-360.8</v>
          </cell>
          <cell r="AY13">
            <v>-258.3</v>
          </cell>
          <cell r="AZ13">
            <v>-258.3</v>
          </cell>
          <cell r="BA13">
            <v>-516.6</v>
          </cell>
          <cell r="BD13" t="str">
            <v xml:space="preserve">EV/EBITDA </v>
          </cell>
          <cell r="BF13">
            <v>16.532550044238025</v>
          </cell>
          <cell r="BG13">
            <v>5.2879118820573678</v>
          </cell>
          <cell r="BH13">
            <v>5.5057166341629449</v>
          </cell>
          <cell r="BI13">
            <v>4.6968469034154676</v>
          </cell>
          <cell r="BJ13">
            <v>3.6603114851943821</v>
          </cell>
        </row>
        <row r="14">
          <cell r="B14" t="str">
            <v xml:space="preserve">Earnings Ratios </v>
          </cell>
          <cell r="C14" t="e">
            <v>#NAME?</v>
          </cell>
          <cell r="D14" t="e">
            <v>#NAME?</v>
          </cell>
          <cell r="E14" t="e">
            <v>#NAME?</v>
          </cell>
          <cell r="F14" t="e">
            <v>#NAME?</v>
          </cell>
          <cell r="G14" t="e">
            <v>#REF!</v>
          </cell>
          <cell r="H14" t="e">
            <v>#REF!</v>
          </cell>
          <cell r="I14" t="str">
            <v>2006e</v>
          </cell>
          <cell r="J14" t="str">
            <v>2007e</v>
          </cell>
          <cell r="K14" t="str">
            <v>2008e</v>
          </cell>
          <cell r="L14" t="str">
            <v>2009e</v>
          </cell>
          <cell r="M14" t="str">
            <v>2010e</v>
          </cell>
          <cell r="N14" t="str">
            <v>2011e</v>
          </cell>
          <cell r="Q14" t="str">
            <v xml:space="preserve"> - Acquisitions</v>
          </cell>
          <cell r="U14">
            <v>0</v>
          </cell>
          <cell r="W14">
            <v>0</v>
          </cell>
          <cell r="X14">
            <v>-222.898</v>
          </cell>
          <cell r="Y14">
            <v>-1.87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F14" t="str">
            <v>Price target</v>
          </cell>
          <cell r="AH14">
            <v>3.945824868398299</v>
          </cell>
          <cell r="AL14" t="e">
            <v>#REF!</v>
          </cell>
          <cell r="AM14" t="e">
            <v>#REF!</v>
          </cell>
          <cell r="AO14" t="str">
            <v>FREE CASH FLOW</v>
          </cell>
          <cell r="AQ14">
            <v>140.6</v>
          </cell>
          <cell r="AR14">
            <v>75.099999999999994</v>
          </cell>
          <cell r="AS14">
            <v>38.900000000000006</v>
          </cell>
          <cell r="AT14">
            <v>82.69999999999996</v>
          </cell>
          <cell r="AU14">
            <v>121.59999999999997</v>
          </cell>
          <cell r="AV14">
            <v>53.499999999999972</v>
          </cell>
          <cell r="AW14">
            <v>451.2</v>
          </cell>
          <cell r="AX14">
            <v>504.7</v>
          </cell>
          <cell r="AY14">
            <v>66.067981554990013</v>
          </cell>
          <cell r="AZ14">
            <v>484.82915933165367</v>
          </cell>
          <cell r="BA14">
            <v>550.89714088664402</v>
          </cell>
          <cell r="BD14" t="str">
            <v>Net Debt ($m AUD)</v>
          </cell>
          <cell r="BF14">
            <v>-123.61784649816707</v>
          </cell>
          <cell r="BG14">
            <v>-51.985104257978264</v>
          </cell>
          <cell r="BH14">
            <v>-291.63340311387583</v>
          </cell>
          <cell r="BI14">
            <v>-874.14409328725674</v>
          </cell>
          <cell r="BJ14">
            <v>-1447.2894265372579</v>
          </cell>
        </row>
        <row r="15">
          <cell r="B15" t="str">
            <v>Net Profit (A$m)</v>
          </cell>
          <cell r="G15">
            <v>53.2</v>
          </cell>
          <cell r="H15">
            <v>80.302000000000007</v>
          </cell>
          <cell r="I15">
            <v>502.51073020752915</v>
          </cell>
          <cell r="J15">
            <v>436.30606738939593</v>
          </cell>
          <cell r="K15">
            <v>492.83024217003594</v>
          </cell>
          <cell r="L15">
            <v>545.48992197476389</v>
          </cell>
          <cell r="M15">
            <v>596.41718500362651</v>
          </cell>
          <cell r="N15">
            <v>465.46997739870386</v>
          </cell>
          <cell r="Q15" t="str">
            <v xml:space="preserve"> + Disposals</v>
          </cell>
          <cell r="U15">
            <v>0</v>
          </cell>
          <cell r="W15">
            <v>-5.6300000000000008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 t="str">
            <v>PE at Price Target</v>
          </cell>
          <cell r="AH15">
            <v>13.593169255105325</v>
          </cell>
          <cell r="AL15">
            <v>47.5</v>
          </cell>
          <cell r="AM15" t="e">
            <v>#REF!</v>
          </cell>
          <cell r="AO15" t="str">
            <v xml:space="preserve"> - Acquisitions</v>
          </cell>
          <cell r="AQ15" t="e">
            <v>#REF!</v>
          </cell>
          <cell r="AR15">
            <v>0</v>
          </cell>
          <cell r="AS15">
            <v>0</v>
          </cell>
          <cell r="AT15">
            <v>-0.5</v>
          </cell>
          <cell r="AU15">
            <v>-0.5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D15" t="str">
            <v>EPS ( A cents/share)</v>
          </cell>
          <cell r="BF15">
            <v>5</v>
          </cell>
          <cell r="BG15">
            <v>33.223104712221478</v>
          </cell>
          <cell r="BH15">
            <v>29.027997771132917</v>
          </cell>
          <cell r="BI15">
            <v>32.788623034414378</v>
          </cell>
          <cell r="BJ15">
            <v>36.292138530191245</v>
          </cell>
        </row>
        <row r="16">
          <cell r="B16" t="str">
            <v>Issued Shares (M)</v>
          </cell>
          <cell r="G16">
            <v>500</v>
          </cell>
          <cell r="H16">
            <v>1371.004136</v>
          </cell>
          <cell r="I16">
            <v>1379.7638790000001</v>
          </cell>
          <cell r="J16">
            <v>1393.5615177900002</v>
          </cell>
          <cell r="K16">
            <v>1400.5293253789503</v>
          </cell>
          <cell r="L16">
            <v>1407.5319720058451</v>
          </cell>
          <cell r="M16">
            <v>1414.5696318658743</v>
          </cell>
          <cell r="N16">
            <v>1421.6424800252037</v>
          </cell>
          <cell r="Q16" t="str">
            <v xml:space="preserve"> + Other</v>
          </cell>
          <cell r="U16" t="e">
            <v>#REF!</v>
          </cell>
          <cell r="W16">
            <v>80.900000000000006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L16" t="e">
            <v>#REF!</v>
          </cell>
          <cell r="AM16" t="e">
            <v>#REF!</v>
          </cell>
          <cell r="AO16" t="str">
            <v xml:space="preserve"> + Disposals</v>
          </cell>
          <cell r="AQ16" t="e">
            <v>#REF!</v>
          </cell>
          <cell r="AR16">
            <v>-5.6300000000000008</v>
          </cell>
          <cell r="AS16">
            <v>0.4</v>
          </cell>
          <cell r="AT16">
            <v>5.0999999999999996</v>
          </cell>
          <cell r="AU16">
            <v>5.5</v>
          </cell>
          <cell r="AV16">
            <v>2.5</v>
          </cell>
          <cell r="AW16">
            <v>3.2</v>
          </cell>
          <cell r="AX16">
            <v>5.7</v>
          </cell>
          <cell r="AY16">
            <v>0</v>
          </cell>
          <cell r="AZ16">
            <v>0</v>
          </cell>
          <cell r="BA16">
            <v>0</v>
          </cell>
          <cell r="BD16" t="str">
            <v>FCF (A cents/share)</v>
          </cell>
          <cell r="BF16">
            <v>1.3887631335344119</v>
          </cell>
          <cell r="BG16">
            <v>35.53077235385193</v>
          </cell>
          <cell r="BH16">
            <v>1.5592591389232437</v>
          </cell>
          <cell r="BI16">
            <v>23.959217543733359</v>
          </cell>
          <cell r="BJ16">
            <v>48.008036292961343</v>
          </cell>
        </row>
        <row r="17">
          <cell r="B17" t="str">
            <v>Modelware EPS (A$)</v>
          </cell>
          <cell r="G17">
            <v>-7.6390605604957718E-3</v>
          </cell>
          <cell r="H17">
            <v>0.05</v>
          </cell>
          <cell r="I17">
            <v>0.3322310471222148</v>
          </cell>
          <cell r="J17">
            <v>0.29027997771132918</v>
          </cell>
          <cell r="K17">
            <v>0.32788623034414377</v>
          </cell>
          <cell r="L17">
            <v>0.36292138530191242</v>
          </cell>
          <cell r="M17">
            <v>0.39680394133733771</v>
          </cell>
          <cell r="N17">
            <v>0.30968309808994543</v>
          </cell>
          <cell r="Q17" t="str">
            <v>INVESTING CASHFLOW</v>
          </cell>
          <cell r="U17">
            <v>0</v>
          </cell>
          <cell r="W17">
            <v>75.27000000000001</v>
          </cell>
          <cell r="X17">
            <v>-222.898</v>
          </cell>
          <cell r="Y17">
            <v>-1.87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L17">
            <v>-23.200000000000003</v>
          </cell>
          <cell r="AM17">
            <v>-0.3</v>
          </cell>
          <cell r="AO17" t="str">
            <v xml:space="preserve"> + Other</v>
          </cell>
          <cell r="AQ17" t="e">
            <v>#REF!</v>
          </cell>
          <cell r="AR17">
            <v>80.900000000000006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D17" t="str">
            <v>DPS (A cents/share)</v>
          </cell>
          <cell r="BF17">
            <v>1</v>
          </cell>
          <cell r="BG17">
            <v>6</v>
          </cell>
          <cell r="BH17">
            <v>6</v>
          </cell>
          <cell r="BI17">
            <v>6</v>
          </cell>
          <cell r="BJ17">
            <v>6</v>
          </cell>
        </row>
        <row r="18">
          <cell r="B18" t="str">
            <v>EPS Growth (%)</v>
          </cell>
          <cell r="G18" t="e">
            <v>#DIV/0!</v>
          </cell>
          <cell r="H18">
            <v>-7.5453074503123228</v>
          </cell>
          <cell r="I18">
            <v>5.6446209424442957</v>
          </cell>
          <cell r="J18">
            <v>-0.12627076781133417</v>
          </cell>
          <cell r="K18">
            <v>0.12955165881338315</v>
          </cell>
          <cell r="L18">
            <v>0.10685155921612299</v>
          </cell>
          <cell r="M18">
            <v>9.3360593802535474E-2</v>
          </cell>
          <cell r="N18">
            <v>-0.21955639592129861</v>
          </cell>
          <cell r="Q18" t="str">
            <v>Equity Raising / (Buy Back)</v>
          </cell>
          <cell r="U18">
            <v>0</v>
          </cell>
          <cell r="W18">
            <v>0</v>
          </cell>
          <cell r="X18">
            <v>3.65</v>
          </cell>
          <cell r="Y18">
            <v>3.4289999999999998</v>
          </cell>
          <cell r="Z18">
            <v>0.82785832739999998</v>
          </cell>
          <cell r="AA18">
            <v>0.41806845533700004</v>
          </cell>
          <cell r="AB18">
            <v>0.42015879761368508</v>
          </cell>
          <cell r="AC18">
            <v>0.42225959160175353</v>
          </cell>
          <cell r="AD18">
            <v>0.42437088955976227</v>
          </cell>
          <cell r="AL18" t="e">
            <v>#REF!</v>
          </cell>
          <cell r="AM18">
            <v>0</v>
          </cell>
          <cell r="AO18" t="str">
            <v>INVESTING CASHFLOW</v>
          </cell>
          <cell r="AQ18" t="e">
            <v>#REF!</v>
          </cell>
          <cell r="AR18">
            <v>75.27000000000001</v>
          </cell>
          <cell r="AS18">
            <v>0.4</v>
          </cell>
          <cell r="AT18">
            <v>4.5999999999999996</v>
          </cell>
          <cell r="AU18">
            <v>5</v>
          </cell>
          <cell r="AV18">
            <v>2.5</v>
          </cell>
          <cell r="AW18">
            <v>3.2</v>
          </cell>
          <cell r="AX18">
            <v>5.7</v>
          </cell>
          <cell r="AY18">
            <v>0</v>
          </cell>
          <cell r="AZ18">
            <v>0</v>
          </cell>
          <cell r="BA18">
            <v>0</v>
          </cell>
          <cell r="BD18" t="str">
            <v>ROE (%)</v>
          </cell>
          <cell r="BF18">
            <v>15.138695653813237</v>
          </cell>
          <cell r="BG18">
            <v>50.632397123498073</v>
          </cell>
          <cell r="BH18">
            <v>33.942269407428057</v>
          </cell>
          <cell r="BI18">
            <v>29.122935834380829</v>
          </cell>
          <cell r="BJ18">
            <v>25.137551107033079</v>
          </cell>
        </row>
        <row r="19">
          <cell r="B19" t="str">
            <v>CFPS (c) *</v>
          </cell>
          <cell r="G19">
            <v>27.339999999999996</v>
          </cell>
          <cell r="H19">
            <v>13.617384519758225</v>
          </cell>
          <cell r="I19">
            <v>54.713762671542497</v>
          </cell>
          <cell r="J19">
            <v>41.243560541602527</v>
          </cell>
          <cell r="K19">
            <v>46.252399344720999</v>
          </cell>
          <cell r="L19">
            <v>54.634052310456028</v>
          </cell>
          <cell r="M19">
            <v>55.179012132124548</v>
          </cell>
          <cell r="N19">
            <v>46.860690095085367</v>
          </cell>
          <cell r="Q19" t="str">
            <v>Debt Raised / (Retired)</v>
          </cell>
          <cell r="U19">
            <v>0</v>
          </cell>
          <cell r="W19">
            <v>-9.9999999999999982</v>
          </cell>
          <cell r="X19">
            <v>366.25299999999999</v>
          </cell>
          <cell r="Y19">
            <v>0</v>
          </cell>
          <cell r="Z19">
            <v>365.99999999999994</v>
          </cell>
          <cell r="AA19">
            <v>174.99999999999997</v>
          </cell>
          <cell r="AB19">
            <v>0</v>
          </cell>
          <cell r="AC19">
            <v>0</v>
          </cell>
          <cell r="AD19">
            <v>0</v>
          </cell>
          <cell r="AL19">
            <v>-40.299999999999997</v>
          </cell>
          <cell r="AM19">
            <v>-140.6</v>
          </cell>
          <cell r="AO19" t="str">
            <v>Equity Raising / (Buy Back)</v>
          </cell>
          <cell r="AQ19">
            <v>0</v>
          </cell>
          <cell r="AR19">
            <v>0</v>
          </cell>
          <cell r="AS19">
            <v>0</v>
          </cell>
          <cell r="AT19">
            <v>-16.7</v>
          </cell>
          <cell r="AU19">
            <v>-16.7</v>
          </cell>
          <cell r="AV19">
            <v>-11.008292950000145</v>
          </cell>
          <cell r="AW19">
            <v>-28.591707049999854</v>
          </cell>
          <cell r="AX19">
            <v>-39.6</v>
          </cell>
          <cell r="AY19">
            <v>0</v>
          </cell>
          <cell r="AZ19">
            <v>0</v>
          </cell>
          <cell r="BA19">
            <v>0</v>
          </cell>
          <cell r="BD19" t="str">
            <v>NPV ($AUD/share)</v>
          </cell>
          <cell r="BF19">
            <v>3.2881873903319159</v>
          </cell>
        </row>
        <row r="20">
          <cell r="B20" t="str">
            <v>P/E (x)</v>
          </cell>
          <cell r="G20">
            <v>17.100000000000001</v>
          </cell>
          <cell r="H20">
            <v>31.7</v>
          </cell>
          <cell r="I20">
            <v>8.8492632626188268</v>
          </cell>
          <cell r="J20">
            <v>10.128152906652426</v>
          </cell>
          <cell r="K20">
            <v>8.9665247513267836</v>
          </cell>
          <cell r="L20">
            <v>8.100927966959647</v>
          </cell>
          <cell r="M20">
            <v>7.4092005993977699</v>
          </cell>
          <cell r="N20">
            <v>9.4935759107721669</v>
          </cell>
          <cell r="Q20" t="str">
            <v>Dividend Paid</v>
          </cell>
          <cell r="U20">
            <v>0</v>
          </cell>
          <cell r="W20">
            <v>0</v>
          </cell>
          <cell r="X20">
            <v>0</v>
          </cell>
          <cell r="Y20">
            <v>-51.104916369999998</v>
          </cell>
          <cell r="Z20">
            <v>-82.992797321849991</v>
          </cell>
          <cell r="AA20">
            <v>-83.71820818123426</v>
          </cell>
          <cell r="AB20">
            <v>-84.136799222140439</v>
          </cell>
          <cell r="AC20">
            <v>-84.557483218251136</v>
          </cell>
          <cell r="AD20">
            <v>-84.980270634342389</v>
          </cell>
          <cell r="AL20" t="e">
            <v>#REF!</v>
          </cell>
          <cell r="AM20" t="e">
            <v>#REF!</v>
          </cell>
          <cell r="AO20" t="str">
            <v>Debt Raised / (Retired)</v>
          </cell>
          <cell r="AQ20">
            <v>-140.6</v>
          </cell>
          <cell r="AR20">
            <v>-9.9999999999999982</v>
          </cell>
          <cell r="AS20">
            <v>-11</v>
          </cell>
          <cell r="AT20">
            <v>-11.100000000000001</v>
          </cell>
          <cell r="AU20">
            <v>-22.1</v>
          </cell>
          <cell r="AV20">
            <v>-13.9</v>
          </cell>
          <cell r="AW20">
            <v>-14.299999999999983</v>
          </cell>
          <cell r="AX20">
            <v>-28.199999999999989</v>
          </cell>
          <cell r="AY20">
            <v>0</v>
          </cell>
          <cell r="AZ20">
            <v>0</v>
          </cell>
          <cell r="BA20">
            <v>0</v>
          </cell>
        </row>
        <row r="21">
          <cell r="B21" t="str">
            <v>P/CF (x)</v>
          </cell>
          <cell r="G21">
            <v>6.7</v>
          </cell>
          <cell r="H21">
            <v>21.590049070981213</v>
          </cell>
          <cell r="I21">
            <v>5.3734195135680931</v>
          </cell>
          <cell r="J21">
            <v>7.1283855258675146</v>
          </cell>
          <cell r="K21">
            <v>6.3564269997931593</v>
          </cell>
          <cell r="L21">
            <v>5.3812592617028594</v>
          </cell>
          <cell r="M21">
            <v>5.3281127849122321</v>
          </cell>
          <cell r="N21">
            <v>6.2739152881326001</v>
          </cell>
          <cell r="Q21" t="str">
            <v>Other</v>
          </cell>
          <cell r="U21">
            <v>0</v>
          </cell>
          <cell r="W21">
            <v>-33.1</v>
          </cell>
          <cell r="X21">
            <v>-8.4609999999999559</v>
          </cell>
          <cell r="Y21">
            <v>0</v>
          </cell>
          <cell r="Z21">
            <v>-11.197038568396749</v>
          </cell>
          <cell r="AA21">
            <v>-12.607429249529062</v>
          </cell>
          <cell r="AB21">
            <v>-9.501129357693074</v>
          </cell>
          <cell r="AC21">
            <v>-25.936215410865088</v>
          </cell>
          <cell r="AD21">
            <v>-31.5000774877102</v>
          </cell>
          <cell r="AF21" t="str">
            <v xml:space="preserve">Mid Cycle PE </v>
          </cell>
          <cell r="AH21">
            <v>7.4092005993977699</v>
          </cell>
          <cell r="AL21" t="e">
            <v>#REF!</v>
          </cell>
          <cell r="AM21" t="e">
            <v>#REF!</v>
          </cell>
          <cell r="AO21" t="str">
            <v>Dividend Paid</v>
          </cell>
          <cell r="AQ21" t="e">
            <v>#REF!</v>
          </cell>
          <cell r="AR21">
            <v>0</v>
          </cell>
          <cell r="AS21" t="e">
            <v>#REF!</v>
          </cell>
          <cell r="AT21">
            <v>-0.3</v>
          </cell>
          <cell r="AU21">
            <v>-0.3</v>
          </cell>
          <cell r="AV21" t="e">
            <v>#REF!</v>
          </cell>
          <cell r="AW21" t="e">
            <v>#REF!</v>
          </cell>
          <cell r="AX21">
            <v>-69.099999999999994</v>
          </cell>
          <cell r="AY21" t="e">
            <v>#REF!</v>
          </cell>
          <cell r="AZ21" t="e">
            <v>#REF!</v>
          </cell>
          <cell r="BA21">
            <v>-732.3618120000001</v>
          </cell>
        </row>
        <row r="22">
          <cell r="B22" t="str">
            <v>FCF Yield (%)</v>
          </cell>
          <cell r="G22">
            <v>0.08</v>
          </cell>
          <cell r="H22">
            <v>4.7236841276680685E-3</v>
          </cell>
          <cell r="I22">
            <v>0.12085296718997256</v>
          </cell>
          <cell r="J22">
            <v>5.3036025133443663E-3</v>
          </cell>
          <cell r="K22">
            <v>8.1493937223582849E-2</v>
          </cell>
          <cell r="L22">
            <v>0.16329264045224948</v>
          </cell>
          <cell r="M22">
            <v>0.16428081870676403</v>
          </cell>
          <cell r="N22">
            <v>0</v>
          </cell>
          <cell r="Q22" t="str">
            <v>FINANCING CASHFLOW</v>
          </cell>
          <cell r="U22">
            <v>0</v>
          </cell>
          <cell r="W22">
            <v>-43.1</v>
          </cell>
          <cell r="X22">
            <v>361.44200000000001</v>
          </cell>
          <cell r="Y22">
            <v>-47.675916369999996</v>
          </cell>
          <cell r="Z22">
            <v>272.63802243715321</v>
          </cell>
          <cell r="AA22">
            <v>79.092431024573642</v>
          </cell>
          <cell r="AB22">
            <v>-93.217769782219833</v>
          </cell>
          <cell r="AC22">
            <v>-110.07143903751447</v>
          </cell>
          <cell r="AD22">
            <v>-116.05597723249282</v>
          </cell>
          <cell r="AF22" t="str">
            <v>Mid Cycle PE at PT</v>
          </cell>
          <cell r="AH22">
            <v>9.9440163197467015</v>
          </cell>
          <cell r="AL22">
            <v>-65.099999999999994</v>
          </cell>
          <cell r="AM22">
            <v>-140.6</v>
          </cell>
          <cell r="AO22" t="str">
            <v>Other</v>
          </cell>
          <cell r="AQ22" t="e">
            <v>#REF!</v>
          </cell>
          <cell r="AR22">
            <v>-33.1</v>
          </cell>
          <cell r="AS22" t="e">
            <v>#REF!</v>
          </cell>
          <cell r="AT22">
            <v>4.6000000000000014</v>
          </cell>
          <cell r="AU22">
            <v>0</v>
          </cell>
          <cell r="AV22" t="e">
            <v>#REF!</v>
          </cell>
          <cell r="AW22" t="e">
            <v>#REF!</v>
          </cell>
          <cell r="AX22">
            <v>0</v>
          </cell>
          <cell r="AY22" t="e">
            <v>#REF!</v>
          </cell>
          <cell r="AZ22" t="e">
            <v>#REF!</v>
          </cell>
          <cell r="BA22">
            <v>0</v>
          </cell>
        </row>
        <row r="23">
          <cell r="B23" t="str">
            <v>Dividend (c)</v>
          </cell>
          <cell r="G23">
            <v>0</v>
          </cell>
          <cell r="H23">
            <v>1</v>
          </cell>
          <cell r="I23">
            <v>6</v>
          </cell>
          <cell r="J23">
            <v>6</v>
          </cell>
          <cell r="K23">
            <v>6</v>
          </cell>
          <cell r="L23">
            <v>6</v>
          </cell>
          <cell r="M23">
            <v>6</v>
          </cell>
          <cell r="N23">
            <v>6</v>
          </cell>
          <cell r="Q23" t="str">
            <v>FX Adjustments</v>
          </cell>
          <cell r="U23">
            <v>0</v>
          </cell>
          <cell r="W23">
            <v>0</v>
          </cell>
          <cell r="X23">
            <v>0</v>
          </cell>
          <cell r="Y23">
            <v>0.54100000000000004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L23">
            <v>-0.3</v>
          </cell>
          <cell r="AM23" t="e">
            <v>#REF!</v>
          </cell>
          <cell r="AO23" t="str">
            <v>FINANCING CASHFLOW</v>
          </cell>
          <cell r="AQ23">
            <v>-140.6</v>
          </cell>
          <cell r="AR23">
            <v>-43.1</v>
          </cell>
          <cell r="AS23">
            <v>-15.6</v>
          </cell>
          <cell r="AT23">
            <v>-23.5</v>
          </cell>
          <cell r="AU23">
            <v>-39.1</v>
          </cell>
          <cell r="AV23">
            <v>-44.708292950000143</v>
          </cell>
          <cell r="AW23">
            <v>-92.191707049999863</v>
          </cell>
          <cell r="AX23">
            <v>-136.9</v>
          </cell>
          <cell r="AY23">
            <v>-341.76884560000002</v>
          </cell>
          <cell r="AZ23">
            <v>-390.59296640000002</v>
          </cell>
          <cell r="BA23">
            <v>-732.3618120000001</v>
          </cell>
        </row>
        <row r="24">
          <cell r="B24" t="str">
            <v>Dividend Yield (%)</v>
          </cell>
          <cell r="G24">
            <v>0</v>
          </cell>
          <cell r="H24">
            <v>3.4013605442176869E-3</v>
          </cell>
          <cell r="I24">
            <v>2.0408163265306124E-2</v>
          </cell>
          <cell r="J24">
            <v>2.0408163265306124E-2</v>
          </cell>
          <cell r="K24">
            <v>2.0408163265306124E-2</v>
          </cell>
          <cell r="L24">
            <v>2.0408163265306124E-2</v>
          </cell>
          <cell r="M24">
            <v>2.0408163265306124E-2</v>
          </cell>
          <cell r="N24">
            <v>2.0408163265306124E-2</v>
          </cell>
          <cell r="Q24" t="str">
            <v>Increase in cash deposits</v>
          </cell>
          <cell r="U24">
            <v>0</v>
          </cell>
          <cell r="W24">
            <v>107.27000000000001</v>
          </cell>
          <cell r="X24">
            <v>157.584</v>
          </cell>
          <cell r="Y24">
            <v>441.23584649816706</v>
          </cell>
          <cell r="Z24">
            <v>294.36725775981125</v>
          </cell>
          <cell r="AA24">
            <v>414.64829885589756</v>
          </cell>
          <cell r="AB24">
            <v>582.51069017338068</v>
          </cell>
          <cell r="AC24">
            <v>573.14533325000139</v>
          </cell>
          <cell r="AD24">
            <v>452.85843547907024</v>
          </cell>
          <cell r="AF24" t="str">
            <v>Market Cap per oz of Reserve</v>
          </cell>
          <cell r="AH24" t="e">
            <v>#REF!</v>
          </cell>
          <cell r="AI24" t="str">
            <v>2007e</v>
          </cell>
          <cell r="AJ24" t="str">
            <v>Avg.</v>
          </cell>
          <cell r="AL24">
            <v>13.2</v>
          </cell>
          <cell r="AM24" t="e">
            <v>#REF!</v>
          </cell>
          <cell r="AO24" t="str">
            <v>FX Adjustments</v>
          </cell>
          <cell r="AQ24" t="e">
            <v>#REF!</v>
          </cell>
          <cell r="AR24" t="e">
            <v>#REF!</v>
          </cell>
          <cell r="AS24">
            <v>-2.2999999999999998</v>
          </cell>
          <cell r="AT24">
            <v>-7.1</v>
          </cell>
          <cell r="AU24">
            <v>-7.1</v>
          </cell>
          <cell r="AV24">
            <v>-0.4</v>
          </cell>
          <cell r="AW24">
            <v>5.3000000000000007</v>
          </cell>
          <cell r="AX24">
            <v>4.9000000000000004</v>
          </cell>
          <cell r="AY24">
            <v>0</v>
          </cell>
          <cell r="AZ24">
            <v>0</v>
          </cell>
          <cell r="BA24">
            <v>0</v>
          </cell>
        </row>
        <row r="25">
          <cell r="B25" t="str">
            <v>Franking (%)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0.3</v>
          </cell>
          <cell r="L25">
            <v>1</v>
          </cell>
          <cell r="M25">
            <v>1</v>
          </cell>
          <cell r="N25">
            <v>1</v>
          </cell>
          <cell r="AF25" t="str">
            <v>Market Cap per oz of Resource</v>
          </cell>
          <cell r="AH25" t="e">
            <v>#REF!</v>
          </cell>
          <cell r="AI25" t="e">
            <v>#DIV/0!</v>
          </cell>
          <cell r="AJ25" t="e">
            <v>#REF!</v>
          </cell>
          <cell r="AO25" t="str">
            <v>Increase in cash deposits</v>
          </cell>
          <cell r="AQ25" t="e">
            <v>#REF!</v>
          </cell>
          <cell r="AR25" t="e">
            <v>#REF!</v>
          </cell>
          <cell r="AS25">
            <v>21.400000000000002</v>
          </cell>
          <cell r="AT25">
            <v>56.699999999999953</v>
          </cell>
          <cell r="AU25">
            <v>80.399999999999977</v>
          </cell>
          <cell r="AV25">
            <v>10.891707049999829</v>
          </cell>
          <cell r="AW25">
            <v>367.50829295000011</v>
          </cell>
          <cell r="AX25">
            <v>378.4</v>
          </cell>
          <cell r="AY25">
            <v>-275.70086404501001</v>
          </cell>
          <cell r="AZ25">
            <v>94.236192931653648</v>
          </cell>
          <cell r="BA25">
            <v>-181.46467111335608</v>
          </cell>
        </row>
        <row r="26">
          <cell r="B26" t="str">
            <v>Enterprise Value (A$M)</v>
          </cell>
          <cell r="G26">
            <v>6136.1</v>
          </cell>
          <cell r="H26">
            <v>2903.3637760188608</v>
          </cell>
          <cell r="I26">
            <v>4313.5597041761921</v>
          </cell>
          <cell r="J26">
            <v>4429.5642219231249</v>
          </cell>
          <cell r="K26">
            <v>4212.323669698133</v>
          </cell>
          <cell r="L26">
            <v>3652.3327648888126</v>
          </cell>
          <cell r="M26">
            <v>3101.8198159296908</v>
          </cell>
          <cell r="N26">
            <v>2671.7069266629564</v>
          </cell>
          <cell r="Q26" t="str">
            <v>SUMMARY BALANCE SHEET ($M)</v>
          </cell>
          <cell r="R26" t="e">
            <v>#NAME?</v>
          </cell>
          <cell r="S26" t="e">
            <v>#NAME?</v>
          </cell>
          <cell r="T26" t="e">
            <v>#NAME?</v>
          </cell>
          <cell r="U26" t="e">
            <v>#NAME?</v>
          </cell>
          <cell r="V26" t="e">
            <v>#NAME?</v>
          </cell>
          <cell r="W26" t="e">
            <v>#REF!</v>
          </cell>
          <cell r="X26" t="e">
            <v>#REF!</v>
          </cell>
          <cell r="Y26" t="str">
            <v>2006e</v>
          </cell>
          <cell r="Z26" t="str">
            <v>2007e</v>
          </cell>
          <cell r="AA26" t="str">
            <v>2008e</v>
          </cell>
          <cell r="AB26" t="str">
            <v>2009e</v>
          </cell>
          <cell r="AC26" t="str">
            <v>2010e</v>
          </cell>
          <cell r="AD26" t="str">
            <v>2011e</v>
          </cell>
          <cell r="AF26" t="str">
            <v>EV per oz of Reserve</v>
          </cell>
          <cell r="AH26" t="e">
            <v>#REF!</v>
          </cell>
          <cell r="AJ26" t="e">
            <v>#REF!</v>
          </cell>
        </row>
        <row r="27">
          <cell r="B27" t="str">
            <v>EV/EBITDA** (x)</v>
          </cell>
          <cell r="G27">
            <v>7.1</v>
          </cell>
          <cell r="H27">
            <v>16.532550044238025</v>
          </cell>
          <cell r="I27">
            <v>5.2879118820573678</v>
          </cell>
          <cell r="J27">
            <v>5.5057166341629449</v>
          </cell>
          <cell r="K27">
            <v>4.6968469034154676</v>
          </cell>
          <cell r="L27">
            <v>3.6603114851943821</v>
          </cell>
          <cell r="M27">
            <v>2.8790563349996621</v>
          </cell>
          <cell r="N27">
            <v>3.0639708889218098</v>
          </cell>
          <cell r="Q27" t="str">
            <v>Cash &amp; short term deposits</v>
          </cell>
          <cell r="U27" t="e">
            <v>#NAME?</v>
          </cell>
          <cell r="W27">
            <v>143</v>
          </cell>
          <cell r="X27">
            <v>167.84899999999999</v>
          </cell>
          <cell r="Y27">
            <v>609.08484649816705</v>
          </cell>
          <cell r="Z27">
            <v>903.45210425797836</v>
          </cell>
          <cell r="AA27">
            <v>1318.1004031138759</v>
          </cell>
          <cell r="AB27">
            <v>1900.6110932872568</v>
          </cell>
          <cell r="AC27">
            <v>2473.756426537258</v>
          </cell>
          <cell r="AD27">
            <v>2926.6148620163285</v>
          </cell>
          <cell r="AF27" t="str">
            <v>EV per oz of Resource</v>
          </cell>
          <cell r="AH27" t="e">
            <v>#REF!</v>
          </cell>
        </row>
        <row r="28">
          <cell r="Q28" t="str">
            <v>Receivables</v>
          </cell>
          <cell r="U28" t="e">
            <v>#NAME?</v>
          </cell>
          <cell r="W28">
            <v>197.29999999999998</v>
          </cell>
          <cell r="X28">
            <v>25.187000000000001</v>
          </cell>
          <cell r="Y28">
            <v>50.867117934921353</v>
          </cell>
          <cell r="Z28">
            <v>67.693876885391219</v>
          </cell>
          <cell r="AA28">
            <v>77.927062075042741</v>
          </cell>
          <cell r="AB28">
            <v>92.58057743407737</v>
          </cell>
          <cell r="AC28">
            <v>102.15397663998834</v>
          </cell>
          <cell r="AD28">
            <v>89.952135557237057</v>
          </cell>
          <cell r="AY28">
            <v>1.86</v>
          </cell>
          <cell r="AZ28">
            <v>1.62</v>
          </cell>
        </row>
        <row r="29">
          <cell r="B29" t="str">
            <v xml:space="preserve">PROFIT AND LOSS ($M) </v>
          </cell>
          <cell r="C29" t="e">
            <v>#NAME?</v>
          </cell>
          <cell r="D29" t="e">
            <v>#NAME?</v>
          </cell>
          <cell r="E29" t="e">
            <v>#NAME?</v>
          </cell>
          <cell r="F29" t="e">
            <v>#NAME?</v>
          </cell>
          <cell r="G29" t="e">
            <v>#REF!</v>
          </cell>
          <cell r="H29" t="e">
            <v>#REF!</v>
          </cell>
          <cell r="I29" t="str">
            <v>2006e</v>
          </cell>
          <cell r="J29" t="str">
            <v>2007e</v>
          </cell>
          <cell r="K29" t="str">
            <v>2008e</v>
          </cell>
          <cell r="L29" t="str">
            <v>2009e</v>
          </cell>
          <cell r="M29" t="str">
            <v>2010e</v>
          </cell>
          <cell r="N29" t="str">
            <v>2011e</v>
          </cell>
          <cell r="Q29" t="str">
            <v>Inventories</v>
          </cell>
          <cell r="U29" t="e">
            <v>#NAME?</v>
          </cell>
          <cell r="W29">
            <v>242.6</v>
          </cell>
          <cell r="X29">
            <v>73.784999999999997</v>
          </cell>
          <cell r="Y29">
            <v>60.481235135982466</v>
          </cell>
          <cell r="Z29">
            <v>95.535986938689391</v>
          </cell>
          <cell r="AA29">
            <v>95.535986938689391</v>
          </cell>
          <cell r="AB29">
            <v>120.05831453768386</v>
          </cell>
          <cell r="AC29">
            <v>180.95480588505797</v>
          </cell>
          <cell r="AD29">
            <v>211.31899309222524</v>
          </cell>
          <cell r="AY29">
            <v>2.0699999999999998</v>
          </cell>
          <cell r="AZ29">
            <v>1.62</v>
          </cell>
        </row>
        <row r="30">
          <cell r="B30" t="str">
            <v>Total Sales Revenue</v>
          </cell>
          <cell r="C30" t="e">
            <v>#NAME?</v>
          </cell>
          <cell r="D30" t="e">
            <v>#NAME?</v>
          </cell>
          <cell r="E30">
            <v>0</v>
          </cell>
          <cell r="F30">
            <v>0</v>
          </cell>
          <cell r="G30">
            <v>486.7</v>
          </cell>
          <cell r="H30">
            <v>436.14400000000001</v>
          </cell>
          <cell r="I30">
            <v>1229.6454152190563</v>
          </cell>
          <cell r="J30">
            <v>1237.5774527655844</v>
          </cell>
          <cell r="K30">
            <v>1363.4247260240861</v>
          </cell>
          <cell r="L30">
            <v>1686.5865115115844</v>
          </cell>
          <cell r="M30">
            <v>1914.3015853610877</v>
          </cell>
          <cell r="N30">
            <v>1727.8559694444809</v>
          </cell>
          <cell r="Q30" t="str">
            <v>Property, Plant and equipment</v>
          </cell>
          <cell r="U30" t="e">
            <v>#NAME?</v>
          </cell>
          <cell r="W30">
            <v>986.8</v>
          </cell>
          <cell r="X30">
            <v>664.82799999999997</v>
          </cell>
          <cell r="Y30">
            <v>774.30746048536128</v>
          </cell>
          <cell r="Z30">
            <v>1181.8372534858004</v>
          </cell>
          <cell r="AA30">
            <v>1357.7836712353089</v>
          </cell>
          <cell r="AB30">
            <v>1260.1307054195681</v>
          </cell>
          <cell r="AC30">
            <v>1140.3186570968601</v>
          </cell>
          <cell r="AD30">
            <v>1011.3537545549848</v>
          </cell>
          <cell r="AY30">
            <v>-0.10144927536231874</v>
          </cell>
          <cell r="AZ30">
            <v>0</v>
          </cell>
        </row>
        <row r="31">
          <cell r="B31" t="str">
            <v>Cost of sales</v>
          </cell>
          <cell r="C31" t="e">
            <v>#NAME?</v>
          </cell>
          <cell r="D31" t="e">
            <v>#NAME?</v>
          </cell>
          <cell r="E31">
            <v>0</v>
          </cell>
          <cell r="F31">
            <v>0</v>
          </cell>
          <cell r="G31">
            <v>354.4</v>
          </cell>
          <cell r="H31">
            <v>260.529</v>
          </cell>
          <cell r="I31">
            <v>413.90570540794738</v>
          </cell>
          <cell r="J31">
            <v>433.03836798274244</v>
          </cell>
          <cell r="K31">
            <v>466.58398236795313</v>
          </cell>
          <cell r="L31">
            <v>688.76630422535823</v>
          </cell>
          <cell r="M31">
            <v>836.92780207592841</v>
          </cell>
          <cell r="N31">
            <v>855.88067218468495</v>
          </cell>
          <cell r="Q31" t="str">
            <v>Exploration, Evaluation &amp; Development</v>
          </cell>
          <cell r="X31">
            <v>103.072</v>
          </cell>
          <cell r="Y31">
            <v>123.973</v>
          </cell>
          <cell r="Z31">
            <v>163.97300000000001</v>
          </cell>
          <cell r="AA31">
            <v>193.97300000000001</v>
          </cell>
          <cell r="AB31">
            <v>223.97300000000001</v>
          </cell>
          <cell r="AC31">
            <v>253.97300000000001</v>
          </cell>
          <cell r="AD31">
            <v>283.97300000000001</v>
          </cell>
        </row>
        <row r="32">
          <cell r="B32" t="str">
            <v>EBITDA</v>
          </cell>
          <cell r="C32" t="e">
            <v>#NAME?</v>
          </cell>
          <cell r="D32" t="e">
            <v>#NAME?</v>
          </cell>
          <cell r="E32">
            <v>0</v>
          </cell>
          <cell r="F32">
            <v>0</v>
          </cell>
          <cell r="G32">
            <v>132.30000000000001</v>
          </cell>
          <cell r="H32">
            <v>175.61500000000001</v>
          </cell>
          <cell r="I32">
            <v>815.73970981110892</v>
          </cell>
          <cell r="J32">
            <v>804.539084782842</v>
          </cell>
          <cell r="K32">
            <v>896.84074365613299</v>
          </cell>
          <cell r="L32">
            <v>997.82020728622615</v>
          </cell>
          <cell r="M32">
            <v>1077.3737832851593</v>
          </cell>
          <cell r="N32">
            <v>871.97529725979598</v>
          </cell>
          <cell r="Q32" t="str">
            <v>Intangible Assets</v>
          </cell>
          <cell r="U32" t="e">
            <v>#NAME?</v>
          </cell>
          <cell r="W32">
            <v>0</v>
          </cell>
          <cell r="X32">
            <v>92.558999999999997</v>
          </cell>
          <cell r="Y32">
            <v>91.510999999999996</v>
          </cell>
          <cell r="Z32">
            <v>91.510999999999996</v>
          </cell>
          <cell r="AA32">
            <v>91.510999999999996</v>
          </cell>
          <cell r="AB32">
            <v>91.510999999999996</v>
          </cell>
          <cell r="AC32">
            <v>91.510999999999996</v>
          </cell>
          <cell r="AD32">
            <v>91.510999999999996</v>
          </cell>
        </row>
        <row r="33">
          <cell r="B33" t="str">
            <v>Depreciation</v>
          </cell>
          <cell r="C33" t="e">
            <v>#NAME?</v>
          </cell>
          <cell r="D33" t="e">
            <v>#NAME?</v>
          </cell>
          <cell r="E33">
            <v>0</v>
          </cell>
          <cell r="F33">
            <v>0</v>
          </cell>
          <cell r="G33">
            <v>49.6</v>
          </cell>
          <cell r="H33">
            <v>52.058</v>
          </cell>
          <cell r="I33">
            <v>100.19853951463882</v>
          </cell>
          <cell r="J33">
            <v>97.473014033048344</v>
          </cell>
          <cell r="K33">
            <v>94.053582250491431</v>
          </cell>
          <cell r="L33">
            <v>142.65296581574086</v>
          </cell>
          <cell r="M33">
            <v>164.81204832270797</v>
          </cell>
          <cell r="N33">
            <v>173.96490254187543</v>
          </cell>
          <cell r="Q33" t="str">
            <v>Other assets</v>
          </cell>
          <cell r="U33" t="e">
            <v>#NAME?</v>
          </cell>
          <cell r="W33">
            <v>79.500000000000455</v>
          </cell>
          <cell r="X33">
            <v>46.04099999999994</v>
          </cell>
          <cell r="Y33">
            <v>45.912999999999784</v>
          </cell>
          <cell r="Z33">
            <v>45.912999999999556</v>
          </cell>
          <cell r="AA33">
            <v>45.913000000000011</v>
          </cell>
          <cell r="AB33">
            <v>45.913000000000011</v>
          </cell>
          <cell r="AC33">
            <v>45.912999999998647</v>
          </cell>
          <cell r="AD33">
            <v>45.913000000000466</v>
          </cell>
        </row>
        <row r="34">
          <cell r="B34" t="str">
            <v>EBIT</v>
          </cell>
          <cell r="C34" t="e">
            <v>#NAME?</v>
          </cell>
          <cell r="D34" t="e">
            <v>#NAME?</v>
          </cell>
          <cell r="E34">
            <v>0</v>
          </cell>
          <cell r="F34">
            <v>0</v>
          </cell>
          <cell r="G34">
            <v>82.7</v>
          </cell>
          <cell r="H34">
            <v>126.03399999999999</v>
          </cell>
          <cell r="I34">
            <v>715.54117029647011</v>
          </cell>
          <cell r="J34">
            <v>707.06607074979365</v>
          </cell>
          <cell r="K34">
            <v>802.78716140564154</v>
          </cell>
          <cell r="L34">
            <v>855.16724147048535</v>
          </cell>
          <cell r="M34">
            <v>912.5617349624514</v>
          </cell>
          <cell r="N34">
            <v>698.01039471792058</v>
          </cell>
          <cell r="Q34" t="str">
            <v>Total assets</v>
          </cell>
          <cell r="U34">
            <v>0</v>
          </cell>
          <cell r="W34">
            <v>1649.2000000000003</v>
          </cell>
          <cell r="X34">
            <v>1173.3209999999999</v>
          </cell>
          <cell r="Y34">
            <v>1756.137660054432</v>
          </cell>
          <cell r="Z34">
            <v>2549.9162215678589</v>
          </cell>
          <cell r="AA34">
            <v>3180.744123362917</v>
          </cell>
          <cell r="AB34">
            <v>3734.7776906785862</v>
          </cell>
          <cell r="AC34">
            <v>4288.5808661591636</v>
          </cell>
          <cell r="AD34">
            <v>4660.636745220776</v>
          </cell>
        </row>
        <row r="35">
          <cell r="B35" t="str">
            <v>Net Interest benefit/(expense)</v>
          </cell>
          <cell r="G35">
            <v>5</v>
          </cell>
          <cell r="H35">
            <v>-34.528999999999996</v>
          </cell>
          <cell r="I35">
            <v>-36.996270000000003</v>
          </cell>
          <cell r="J35">
            <v>-47.086539311728203</v>
          </cell>
          <cell r="K35">
            <v>-60.135097274511217</v>
          </cell>
          <cell r="L35">
            <v>-43.615958118624746</v>
          </cell>
          <cell r="M35">
            <v>-20.560061892772111</v>
          </cell>
          <cell r="N35">
            <v>1.1351999607512084</v>
          </cell>
          <cell r="Q35" t="str">
            <v>Creditors</v>
          </cell>
          <cell r="U35" t="e">
            <v>#NAME?</v>
          </cell>
          <cell r="W35">
            <v>144</v>
          </cell>
          <cell r="X35">
            <v>87.355999999999995</v>
          </cell>
          <cell r="Y35">
            <v>80.641646847976617</v>
          </cell>
          <cell r="Z35">
            <v>76.428789550951493</v>
          </cell>
          <cell r="AA35">
            <v>96.046651630147082</v>
          </cell>
          <cell r="AB35">
            <v>144.76384470804641</v>
          </cell>
          <cell r="AC35">
            <v>169.05519447378018</v>
          </cell>
          <cell r="AD35">
            <v>168.26131140856987</v>
          </cell>
        </row>
        <row r="36">
          <cell r="B36" t="str">
            <v>Pre-tax profit</v>
          </cell>
          <cell r="G36">
            <v>77.7</v>
          </cell>
          <cell r="H36">
            <v>91.504999999999995</v>
          </cell>
          <cell r="I36">
            <v>678.54490029647013</v>
          </cell>
          <cell r="J36">
            <v>659.97953143806546</v>
          </cell>
          <cell r="K36">
            <v>742.65206413113037</v>
          </cell>
          <cell r="L36">
            <v>811.55128335186055</v>
          </cell>
          <cell r="M36">
            <v>892.00167306967933</v>
          </cell>
          <cell r="N36">
            <v>699.14559467867184</v>
          </cell>
          <cell r="Q36" t="str">
            <v>Borrowings</v>
          </cell>
          <cell r="U36" t="e">
            <v>#NAME?</v>
          </cell>
          <cell r="W36">
            <v>169.1</v>
          </cell>
          <cell r="X36">
            <v>484.61599999999999</v>
          </cell>
          <cell r="Y36">
            <v>485.46699999999998</v>
          </cell>
          <cell r="Z36">
            <v>851.4670000000001</v>
          </cell>
          <cell r="AA36">
            <v>1026.4670000000001</v>
          </cell>
          <cell r="AB36">
            <v>1026.4670000000001</v>
          </cell>
          <cell r="AC36">
            <v>1026.4670000000001</v>
          </cell>
          <cell r="AD36">
            <v>1026.4670000000001</v>
          </cell>
          <cell r="AU36" t="str">
            <v>F2005</v>
          </cell>
          <cell r="AV36" t="str">
            <v>F1H-06</v>
          </cell>
          <cell r="AW36" t="str">
            <v>F2H-06</v>
          </cell>
          <cell r="AX36" t="str">
            <v>F2006</v>
          </cell>
          <cell r="AY36" t="str">
            <v>F1H-07</v>
          </cell>
          <cell r="AZ36" t="str">
            <v>F2H-07</v>
          </cell>
          <cell r="BA36" t="str">
            <v>F2007e</v>
          </cell>
        </row>
        <row r="37">
          <cell r="B37" t="str">
            <v>Tax</v>
          </cell>
          <cell r="G37">
            <v>24.5</v>
          </cell>
          <cell r="H37">
            <v>11.2</v>
          </cell>
          <cell r="I37">
            <v>179.18417008894102</v>
          </cell>
          <cell r="J37">
            <v>197.99385943141965</v>
          </cell>
          <cell r="K37">
            <v>222.79561923933909</v>
          </cell>
          <cell r="L37">
            <v>243.46538500555815</v>
          </cell>
          <cell r="M37">
            <v>267.60050192090381</v>
          </cell>
          <cell r="N37">
            <v>209.74367840360156</v>
          </cell>
          <cell r="Q37" t="str">
            <v>Other current liabilities</v>
          </cell>
          <cell r="U37" t="e">
            <v>#NAME?</v>
          </cell>
          <cell r="W37">
            <v>54.3</v>
          </cell>
          <cell r="X37">
            <v>10.585000000000008</v>
          </cell>
          <cell r="Y37">
            <v>51.658308783995594</v>
          </cell>
          <cell r="Z37">
            <v>50.868398040803427</v>
          </cell>
          <cell r="AA37">
            <v>54.546747180652559</v>
          </cell>
          <cell r="AB37">
            <v>63.681220882758652</v>
          </cell>
          <cell r="AC37">
            <v>68.235848963833803</v>
          </cell>
          <cell r="AD37">
            <v>68.086995889106845</v>
          </cell>
          <cell r="AO37" t="str">
            <v>Total Sales Revenue</v>
          </cell>
          <cell r="AU37">
            <v>1917.4</v>
          </cell>
          <cell r="AV37">
            <v>1133.4000000000001</v>
          </cell>
          <cell r="AW37">
            <v>1929.2999999999997</v>
          </cell>
          <cell r="AX37">
            <v>3062.7</v>
          </cell>
          <cell r="AY37">
            <v>2902.7611465107761</v>
          </cell>
          <cell r="AZ37">
            <v>3673.1136736465851</v>
          </cell>
          <cell r="BA37">
            <v>6575.8748201573599</v>
          </cell>
        </row>
        <row r="38">
          <cell r="B38" t="str">
            <v>Minorities</v>
          </cell>
          <cell r="G38">
            <v>0</v>
          </cell>
          <cell r="H38">
            <v>0</v>
          </cell>
          <cell r="I38">
            <v>0</v>
          </cell>
          <cell r="J38">
            <v>25.679604617249883</v>
          </cell>
          <cell r="K38">
            <v>27.026202721755315</v>
          </cell>
          <cell r="L38">
            <v>22.595976371538502</v>
          </cell>
          <cell r="M38">
            <v>27.983986145149061</v>
          </cell>
          <cell r="N38">
            <v>23.931938876366402</v>
          </cell>
          <cell r="Q38" t="str">
            <v>Other liabilities</v>
          </cell>
          <cell r="U38" t="e">
            <v>#NAME?</v>
          </cell>
          <cell r="W38">
            <v>262.2</v>
          </cell>
          <cell r="X38">
            <v>60.322000000000003</v>
          </cell>
          <cell r="Y38">
            <v>146.0058905849308</v>
          </cell>
          <cell r="Z38">
            <v>210.1607186612888</v>
          </cell>
          <cell r="AA38">
            <v>218.74353332093676</v>
          </cell>
          <cell r="AB38">
            <v>240.05730529251775</v>
          </cell>
          <cell r="AC38">
            <v>250.68477081502635</v>
          </cell>
          <cell r="AD38">
            <v>250.33744697399686</v>
          </cell>
          <cell r="AO38" t="str">
            <v>Cost of sales</v>
          </cell>
          <cell r="AU38">
            <v>1509.1000000000001</v>
          </cell>
          <cell r="AV38">
            <v>807.90000000000009</v>
          </cell>
          <cell r="AW38">
            <v>1069.8999999999996</v>
          </cell>
          <cell r="AX38">
            <v>1877.7999999999997</v>
          </cell>
          <cell r="AY38">
            <v>1808.5311403315177</v>
          </cell>
          <cell r="AZ38">
            <v>2276.7970473464802</v>
          </cell>
          <cell r="BA38">
            <v>4085.3281876779974</v>
          </cell>
        </row>
        <row r="39">
          <cell r="B39" t="str">
            <v>Profit attributable</v>
          </cell>
          <cell r="G39">
            <v>53.2</v>
          </cell>
          <cell r="H39">
            <v>80.304999999999993</v>
          </cell>
          <cell r="I39">
            <v>499.36073020752912</v>
          </cell>
          <cell r="J39">
            <v>436.30606738939593</v>
          </cell>
          <cell r="K39">
            <v>492.83024217003594</v>
          </cell>
          <cell r="L39">
            <v>545.48992197476389</v>
          </cell>
          <cell r="M39">
            <v>596.41718500362651</v>
          </cell>
          <cell r="N39">
            <v>465.46997739870386</v>
          </cell>
          <cell r="Q39" t="str">
            <v>Total liabilities</v>
          </cell>
          <cell r="U39" t="e">
            <v>#NAME?</v>
          </cell>
          <cell r="W39">
            <v>629.6</v>
          </cell>
          <cell r="X39">
            <v>642.87900000000002</v>
          </cell>
          <cell r="Y39">
            <v>763.77284621690296</v>
          </cell>
          <cell r="Z39">
            <v>1188.9249062530439</v>
          </cell>
          <cell r="AA39">
            <v>1395.8039321317365</v>
          </cell>
          <cell r="AB39">
            <v>1474.9693708833229</v>
          </cell>
          <cell r="AC39">
            <v>1514.4428142526403</v>
          </cell>
          <cell r="AD39">
            <v>1513.1527542716735</v>
          </cell>
          <cell r="AO39" t="str">
            <v>EBITDA</v>
          </cell>
          <cell r="AU39">
            <v>408.3</v>
          </cell>
          <cell r="AV39">
            <v>325.5</v>
          </cell>
          <cell r="AW39">
            <v>859.40000000000009</v>
          </cell>
          <cell r="AX39">
            <v>1184.9000000000001</v>
          </cell>
          <cell r="AY39">
            <v>1094.2300061792585</v>
          </cell>
          <cell r="AZ39">
            <v>1396.3166263001046</v>
          </cell>
          <cell r="BA39">
            <v>2490.5466324793624</v>
          </cell>
        </row>
        <row r="40">
          <cell r="B40" t="str">
            <v>Abnormal items net of tax</v>
          </cell>
          <cell r="G40">
            <v>0</v>
          </cell>
          <cell r="H40">
            <v>0</v>
          </cell>
          <cell r="I40">
            <v>3.15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Q40" t="str">
            <v>Net assets</v>
          </cell>
          <cell r="U40" t="e">
            <v>#NAME?</v>
          </cell>
          <cell r="W40">
            <v>1019.6000000000003</v>
          </cell>
          <cell r="X40">
            <v>530.44199999999989</v>
          </cell>
          <cell r="Y40">
            <v>992.36481383752903</v>
          </cell>
          <cell r="Z40">
            <v>1360.991315314815</v>
          </cell>
          <cell r="AA40">
            <v>1784.9401912311805</v>
          </cell>
          <cell r="AB40">
            <v>2259.8083197952633</v>
          </cell>
          <cell r="AC40">
            <v>2774.1380519065233</v>
          </cell>
          <cell r="AD40">
            <v>3147.4839909491025</v>
          </cell>
          <cell r="AO40" t="str">
            <v>Depreciation</v>
          </cell>
          <cell r="AU40">
            <v>187.4</v>
          </cell>
          <cell r="AV40">
            <v>115</v>
          </cell>
          <cell r="AW40">
            <v>114.30000000000001</v>
          </cell>
          <cell r="AX40">
            <v>229.3</v>
          </cell>
          <cell r="AY40">
            <v>176.92855882352939</v>
          </cell>
          <cell r="AZ40">
            <v>170.42446652970011</v>
          </cell>
          <cell r="BA40">
            <v>347.3530253532295</v>
          </cell>
        </row>
        <row r="41">
          <cell r="B41" t="str">
            <v>Profit after abnormals</v>
          </cell>
          <cell r="G41">
            <v>53.2</v>
          </cell>
          <cell r="H41">
            <v>80.302000000000007</v>
          </cell>
          <cell r="I41">
            <v>502.51073020752915</v>
          </cell>
          <cell r="J41">
            <v>436.30606738939593</v>
          </cell>
          <cell r="K41">
            <v>492.83024217003594</v>
          </cell>
          <cell r="L41">
            <v>545.48992197476389</v>
          </cell>
          <cell r="M41">
            <v>596.41718500362651</v>
          </cell>
          <cell r="N41">
            <v>465.46997739870386</v>
          </cell>
          <cell r="Q41" t="str">
            <v>Minorities</v>
          </cell>
          <cell r="U41" t="e">
            <v>#NAME?</v>
          </cell>
          <cell r="W41">
            <v>0</v>
          </cell>
          <cell r="X41">
            <v>0</v>
          </cell>
          <cell r="Y41">
            <v>0</v>
          </cell>
          <cell r="Z41">
            <v>14.482566048853164</v>
          </cell>
          <cell r="AA41">
            <v>28.901339521079407</v>
          </cell>
          <cell r="AB41">
            <v>41.996186534924838</v>
          </cell>
          <cell r="AC41">
            <v>44.043957269208811</v>
          </cell>
          <cell r="AD41">
            <v>36.475818657865005</v>
          </cell>
          <cell r="AO41" t="str">
            <v>EBIT</v>
          </cell>
          <cell r="AU41">
            <v>220.9</v>
          </cell>
          <cell r="AV41">
            <v>210.5</v>
          </cell>
          <cell r="AW41">
            <v>745.1</v>
          </cell>
          <cell r="AX41">
            <v>955.6</v>
          </cell>
          <cell r="AY41">
            <v>917.30144735572901</v>
          </cell>
          <cell r="AZ41">
            <v>1225.8921597704045</v>
          </cell>
          <cell r="BA41">
            <v>2143.193607126133</v>
          </cell>
        </row>
        <row r="42">
          <cell r="Q42" t="str">
            <v>Total Shareholder equity</v>
          </cell>
          <cell r="U42" t="e">
            <v>#NAME?</v>
          </cell>
          <cell r="W42">
            <v>1019.6</v>
          </cell>
          <cell r="X42">
            <v>530.44200000000001</v>
          </cell>
          <cell r="Y42">
            <v>992.46877247752911</v>
          </cell>
          <cell r="Z42">
            <v>1361.0924669213282</v>
          </cell>
          <cell r="AA42">
            <v>1785.041342837693</v>
          </cell>
          <cell r="AB42">
            <v>2259.9094714017756</v>
          </cell>
          <cell r="AC42">
            <v>2774.239203513037</v>
          </cell>
          <cell r="AD42">
            <v>3147.5851425556143</v>
          </cell>
          <cell r="AO42" t="str">
            <v>Net Interest benefit/(expense)</v>
          </cell>
          <cell r="AU42">
            <v>14.1</v>
          </cell>
          <cell r="AV42">
            <v>7.8</v>
          </cell>
          <cell r="AW42">
            <v>1.6000000000000005</v>
          </cell>
          <cell r="AX42">
            <v>9.4</v>
          </cell>
          <cell r="AY42">
            <v>-23.586949999999991</v>
          </cell>
          <cell r="AZ42">
            <v>-8.4234024775244478</v>
          </cell>
          <cell r="BA42">
            <v>-32.010352477524435</v>
          </cell>
        </row>
        <row r="43">
          <cell r="B43" t="str">
            <v>Divisional Pre-Tax Profits</v>
          </cell>
          <cell r="C43" t="e">
            <v>#NAME?</v>
          </cell>
          <cell r="D43" t="e">
            <v>#NAME?</v>
          </cell>
          <cell r="E43" t="e">
            <v>#NAME?</v>
          </cell>
          <cell r="F43" t="e">
            <v>#NAME?</v>
          </cell>
          <cell r="G43" t="e">
            <v>#REF!</v>
          </cell>
          <cell r="H43" t="e">
            <v>#REF!</v>
          </cell>
          <cell r="I43" t="str">
            <v>2006e</v>
          </cell>
          <cell r="J43" t="str">
            <v>2007e</v>
          </cell>
          <cell r="K43" t="str">
            <v>2008e</v>
          </cell>
          <cell r="L43" t="str">
            <v>2009e</v>
          </cell>
          <cell r="M43" t="str">
            <v>2010e</v>
          </cell>
          <cell r="N43" t="str">
            <v>2011e</v>
          </cell>
          <cell r="Q43" t="str">
            <v>S/holder equity+Tot. liabilities</v>
          </cell>
          <cell r="U43" t="e">
            <v>#NAME?</v>
          </cell>
          <cell r="W43">
            <v>1649.2</v>
          </cell>
          <cell r="X43">
            <v>1173.3209999999999</v>
          </cell>
          <cell r="Y43">
            <v>1756.241618694432</v>
          </cell>
          <cell r="Z43">
            <v>2550.0173731743721</v>
          </cell>
          <cell r="AA43">
            <v>3180.8452749694297</v>
          </cell>
          <cell r="AB43">
            <v>3734.8788422850985</v>
          </cell>
          <cell r="AC43">
            <v>4288.6820177656773</v>
          </cell>
          <cell r="AD43">
            <v>4660.7378968272878</v>
          </cell>
          <cell r="AO43" t="str">
            <v>Pre-tax profit</v>
          </cell>
          <cell r="AU43">
            <v>206.8</v>
          </cell>
          <cell r="AV43">
            <v>202.7</v>
          </cell>
          <cell r="AW43">
            <v>743.5</v>
          </cell>
          <cell r="AX43">
            <v>946.2</v>
          </cell>
          <cell r="AY43">
            <v>940.88839735572901</v>
          </cell>
          <cell r="AZ43">
            <v>1234.3155622479289</v>
          </cell>
          <cell r="BA43">
            <v>2175.2039596036575</v>
          </cell>
        </row>
        <row r="44">
          <cell r="B44" t="str">
            <v>Sepon Gold</v>
          </cell>
          <cell r="C44" t="e">
            <v>#NAME?</v>
          </cell>
          <cell r="D44" t="e">
            <v>#NAME?</v>
          </cell>
          <cell r="E44">
            <v>0</v>
          </cell>
          <cell r="G44">
            <v>38.4</v>
          </cell>
          <cell r="H44">
            <v>28.472000000000001</v>
          </cell>
          <cell r="I44">
            <v>32.240518555244662</v>
          </cell>
          <cell r="J44">
            <v>7.1631366757284951</v>
          </cell>
          <cell r="K44">
            <v>19.843400260420839</v>
          </cell>
          <cell r="L44">
            <v>20.714695148389904</v>
          </cell>
          <cell r="M44">
            <v>49.925450512000239</v>
          </cell>
          <cell r="N44">
            <v>65.493031330879148</v>
          </cell>
          <cell r="Q44" t="str">
            <v>Gross debt/equity</v>
          </cell>
          <cell r="U44" t="e">
            <v>#NAME?</v>
          </cell>
          <cell r="W44">
            <v>0.16584935268732837</v>
          </cell>
          <cell r="X44">
            <v>0.9136078968105843</v>
          </cell>
          <cell r="Y44">
            <v>0.48915090677172074</v>
          </cell>
          <cell r="Z44">
            <v>0.62557616083640799</v>
          </cell>
          <cell r="AA44">
            <v>0.57503822201015142</v>
          </cell>
          <cell r="AB44">
            <v>0.45420713218361958</v>
          </cell>
          <cell r="AC44">
            <v>0.36999945740085366</v>
          </cell>
          <cell r="AD44">
            <v>0.32611254454155358</v>
          </cell>
          <cell r="AO44" t="str">
            <v>Tax</v>
          </cell>
          <cell r="AU44">
            <v>-28.3</v>
          </cell>
          <cell r="AV44">
            <v>-24.9</v>
          </cell>
          <cell r="AW44">
            <v>-109.1</v>
          </cell>
          <cell r="AX44">
            <v>-134</v>
          </cell>
          <cell r="AY44">
            <v>108.74920961858849</v>
          </cell>
          <cell r="AZ44">
            <v>370.29466867437867</v>
          </cell>
          <cell r="BA44">
            <v>479.04387829296718</v>
          </cell>
        </row>
        <row r="45">
          <cell r="B45" t="str">
            <v>Sepon Copper</v>
          </cell>
          <cell r="C45" t="e">
            <v>#NAME?</v>
          </cell>
          <cell r="D45" t="e">
            <v>#NAME?</v>
          </cell>
          <cell r="E45">
            <v>0</v>
          </cell>
          <cell r="G45">
            <v>11.5</v>
          </cell>
          <cell r="H45">
            <v>75.527000000000001</v>
          </cell>
          <cell r="I45">
            <v>421.93824572890907</v>
          </cell>
          <cell r="J45">
            <v>359.69038466689074</v>
          </cell>
          <cell r="K45">
            <v>366.24521005036934</v>
          </cell>
          <cell r="L45">
            <v>302.08496730216012</v>
          </cell>
          <cell r="M45">
            <v>349.84578013298631</v>
          </cell>
          <cell r="N45">
            <v>276.39180976006946</v>
          </cell>
          <cell r="Q45" t="str">
            <v>Net debt/equity</v>
          </cell>
          <cell r="U45" t="e">
            <v>#NAME?</v>
          </cell>
          <cell r="W45">
            <v>2.5598273832875631E-2</v>
          </cell>
          <cell r="X45">
            <v>0.5971755630210277</v>
          </cell>
          <cell r="Y45">
            <v>-0.12455590536070589</v>
          </cell>
          <cell r="Z45">
            <v>-3.8193660990251461E-2</v>
          </cell>
          <cell r="AA45">
            <v>-0.16337627376756669</v>
          </cell>
          <cell r="AB45">
            <v>-0.38680491601508404</v>
          </cell>
          <cell r="AC45">
            <v>-0.52168876595231806</v>
          </cell>
          <cell r="AD45">
            <v>-0.60368434083836853</v>
          </cell>
          <cell r="AO45" t="str">
            <v>Minorities</v>
          </cell>
          <cell r="AU45">
            <v>0.39999999999999997</v>
          </cell>
          <cell r="AV45">
            <v>0</v>
          </cell>
          <cell r="AW45">
            <v>0.3</v>
          </cell>
          <cell r="AX45">
            <v>0.3</v>
          </cell>
          <cell r="AY45">
            <v>0</v>
          </cell>
          <cell r="AZ45">
            <v>0</v>
          </cell>
          <cell r="BA45">
            <v>0</v>
          </cell>
        </row>
        <row r="46">
          <cell r="B46" t="str">
            <v>Golden Grove</v>
          </cell>
          <cell r="C46" t="e">
            <v>#NAME?</v>
          </cell>
          <cell r="D46" t="e">
            <v>#NAME?</v>
          </cell>
          <cell r="E46">
            <v>0</v>
          </cell>
          <cell r="G46">
            <v>15.6</v>
          </cell>
          <cell r="H46">
            <v>33.383000000000003</v>
          </cell>
          <cell r="I46">
            <v>300.17868153540985</v>
          </cell>
          <cell r="J46">
            <v>385.21254940717432</v>
          </cell>
          <cell r="K46">
            <v>385.29158027106462</v>
          </cell>
          <cell r="L46">
            <v>256.43809367645298</v>
          </cell>
          <cell r="M46">
            <v>238.03632100352229</v>
          </cell>
          <cell r="N46">
            <v>198.23320752900895</v>
          </cell>
          <cell r="Q46" t="str">
            <v>Net debt/(net debt + equity)</v>
          </cell>
          <cell r="U46" t="e">
            <v>#NAME?</v>
          </cell>
          <cell r="W46">
            <v>2.4959357368270051E-2</v>
          </cell>
          <cell r="X46">
            <v>0.37389475324270632</v>
          </cell>
          <cell r="Y46">
            <v>-0.14227739512255913</v>
          </cell>
          <cell r="Z46">
            <v>-3.9710344422947651E-2</v>
          </cell>
          <cell r="AA46">
            <v>-0.1952804691582187</v>
          </cell>
          <cell r="AB46">
            <v>-0.63080237614005241</v>
          </cell>
          <cell r="AC46">
            <v>-1.0906889255716536</v>
          </cell>
          <cell r="AD46">
            <v>-1.5232412015094385</v>
          </cell>
          <cell r="AO46" t="str">
            <v>Profit attributable</v>
          </cell>
          <cell r="AU46">
            <v>234.70000000000002</v>
          </cell>
          <cell r="AV46">
            <v>227.6</v>
          </cell>
          <cell r="AW46">
            <v>852.30000000000007</v>
          </cell>
          <cell r="AX46">
            <v>1079.9000000000001</v>
          </cell>
          <cell r="AY46">
            <v>832.13918773714056</v>
          </cell>
          <cell r="AZ46">
            <v>864.02089357355021</v>
          </cell>
          <cell r="BA46">
            <v>1696.1600813106902</v>
          </cell>
        </row>
        <row r="47">
          <cell r="B47" t="str">
            <v>Prominent Hill</v>
          </cell>
          <cell r="C47" t="e">
            <v>#NAME?</v>
          </cell>
          <cell r="D47" t="e">
            <v>#NAME?</v>
          </cell>
          <cell r="E47">
            <v>0</v>
          </cell>
          <cell r="G47">
            <v>2.8</v>
          </cell>
          <cell r="H47">
            <v>0</v>
          </cell>
          <cell r="I47">
            <v>0</v>
          </cell>
          <cell r="J47">
            <v>0</v>
          </cell>
          <cell r="K47">
            <v>76.406970823786637</v>
          </cell>
          <cell r="L47">
            <v>320.92948534348238</v>
          </cell>
          <cell r="M47">
            <v>319.75418331394224</v>
          </cell>
          <cell r="N47">
            <v>202.89234609796324</v>
          </cell>
          <cell r="Q47" t="str">
            <v>Current ratio</v>
          </cell>
          <cell r="U47" t="e">
            <v>#NAME?</v>
          </cell>
          <cell r="W47">
            <v>2.7000449034575666</v>
          </cell>
          <cell r="X47">
            <v>0.98029850958580655</v>
          </cell>
          <cell r="Y47">
            <v>2.2478430036158006</v>
          </cell>
          <cell r="Z47">
            <v>3.3647360085645301</v>
          </cell>
          <cell r="AA47">
            <v>4.3738236848911152</v>
          </cell>
          <cell r="AB47">
            <v>5.2926389253728443</v>
          </cell>
          <cell r="AC47">
            <v>6.4341749646620361</v>
          </cell>
          <cell r="AD47">
            <v>7.5459270426675884</v>
          </cell>
          <cell r="AO47" t="str">
            <v>Divisional Pre-Tax Profits</v>
          </cell>
        </row>
        <row r="48">
          <cell r="B48" t="str">
            <v>Corp. &amp; Inter Seg Elim</v>
          </cell>
          <cell r="C48" t="e">
            <v>#NAME?</v>
          </cell>
          <cell r="D48" t="e">
            <v>#NAME?</v>
          </cell>
          <cell r="E48">
            <v>0</v>
          </cell>
          <cell r="G48">
            <v>9.1</v>
          </cell>
          <cell r="H48">
            <v>-11.348000000000013</v>
          </cell>
          <cell r="I48">
            <v>-38.816275523093395</v>
          </cell>
          <cell r="J48">
            <v>-44.999999999999886</v>
          </cell>
          <cell r="K48">
            <v>-44.999999999999886</v>
          </cell>
          <cell r="L48">
            <v>-45</v>
          </cell>
          <cell r="M48">
            <v>-44.999999999999659</v>
          </cell>
          <cell r="N48">
            <v>-45.000000000000227</v>
          </cell>
          <cell r="Q48" t="str">
            <v>Debt cover - EBIT/interest</v>
          </cell>
          <cell r="W48">
            <v>16.54</v>
          </cell>
          <cell r="X48">
            <v>-3.7950617283950612</v>
          </cell>
          <cell r="Y48">
            <v>-15.5362109740887</v>
          </cell>
          <cell r="Z48">
            <v>-9.6664110718568796</v>
          </cell>
          <cell r="AA48">
            <v>-8.0563346443549211</v>
          </cell>
          <cell r="AB48">
            <v>-8.3311713038069932</v>
          </cell>
          <cell r="AC48">
            <v>-8.890317321087295</v>
          </cell>
          <cell r="AD48">
            <v>-6.8001250378036557</v>
          </cell>
          <cell r="AO48" t="str">
            <v>Sepon Gold</v>
          </cell>
          <cell r="AU48">
            <v>98.3</v>
          </cell>
          <cell r="AV48">
            <v>209</v>
          </cell>
          <cell r="AW48">
            <v>511.6</v>
          </cell>
          <cell r="AX48">
            <v>720.6</v>
          </cell>
          <cell r="AY48">
            <v>446.65126532098054</v>
          </cell>
          <cell r="AZ48">
            <v>791.09264164844024</v>
          </cell>
          <cell r="BA48">
            <v>1237.7439069694208</v>
          </cell>
        </row>
        <row r="49">
          <cell r="B49" t="str">
            <v>Net interest</v>
          </cell>
          <cell r="C49" t="e">
            <v>#NAME?</v>
          </cell>
          <cell r="D49" t="e">
            <v>#NAME?</v>
          </cell>
          <cell r="E49">
            <v>0</v>
          </cell>
          <cell r="G49">
            <v>-5</v>
          </cell>
          <cell r="H49">
            <v>-34.528999999999996</v>
          </cell>
          <cell r="I49">
            <v>-36.996270000000003</v>
          </cell>
          <cell r="J49">
            <v>-47.086539311728203</v>
          </cell>
          <cell r="K49">
            <v>-60.135097274511217</v>
          </cell>
          <cell r="L49">
            <v>-43.615958118624746</v>
          </cell>
          <cell r="M49">
            <v>-20.560061892772111</v>
          </cell>
          <cell r="N49">
            <v>1.1351999607512084</v>
          </cell>
          <cell r="Q49" t="str">
            <v>EBITDA/Sales</v>
          </cell>
          <cell r="U49" t="e">
            <v>#NAME?</v>
          </cell>
          <cell r="W49">
            <v>1.2370153621068032</v>
          </cell>
          <cell r="X49">
            <v>0.46378262178535778</v>
          </cell>
          <cell r="Y49">
            <v>0.68859398713856335</v>
          </cell>
          <cell r="Z49">
            <v>0.67462208254660327</v>
          </cell>
          <cell r="AA49">
            <v>0.68023659292305227</v>
          </cell>
          <cell r="AB49">
            <v>0.60783894134670147</v>
          </cell>
          <cell r="AC49">
            <v>0.57635097071671615</v>
          </cell>
          <cell r="AD49">
            <v>0.51815206594753282</v>
          </cell>
          <cell r="AO49" t="str">
            <v>Sepon Copper</v>
          </cell>
          <cell r="AU49">
            <v>42.4</v>
          </cell>
          <cell r="AV49">
            <v>13.7</v>
          </cell>
          <cell r="AW49">
            <v>102.2</v>
          </cell>
          <cell r="AX49">
            <v>115.9</v>
          </cell>
          <cell r="AY49">
            <v>80.361924737048724</v>
          </cell>
          <cell r="AZ49">
            <v>120.97048477638023</v>
          </cell>
          <cell r="BA49">
            <v>201.33240951342896</v>
          </cell>
        </row>
        <row r="50">
          <cell r="B50" t="str">
            <v>Pre-tax profit</v>
          </cell>
          <cell r="C50" t="e">
            <v>#NAME?</v>
          </cell>
          <cell r="D50" t="e">
            <v>#NAME?</v>
          </cell>
          <cell r="E50">
            <v>0</v>
          </cell>
          <cell r="G50">
            <v>72.399999999999991</v>
          </cell>
          <cell r="H50">
            <v>91.504999999999995</v>
          </cell>
          <cell r="I50">
            <v>678.54490029647013</v>
          </cell>
          <cell r="J50">
            <v>659.97953143806546</v>
          </cell>
          <cell r="K50">
            <v>742.65206413113037</v>
          </cell>
          <cell r="L50">
            <v>811.55128335186055</v>
          </cell>
          <cell r="M50">
            <v>892.00167306967933</v>
          </cell>
          <cell r="N50">
            <v>699.14559467867184</v>
          </cell>
          <cell r="Q50" t="str">
            <v>Book value per share (A$/share)</v>
          </cell>
          <cell r="U50" t="e">
            <v>#NAME?</v>
          </cell>
          <cell r="W50">
            <v>2.04</v>
          </cell>
          <cell r="X50">
            <v>0.40537144361178035</v>
          </cell>
          <cell r="Y50">
            <v>0.72219069933038105</v>
          </cell>
          <cell r="Z50">
            <v>0.99045759793605703</v>
          </cell>
          <cell r="AA50">
            <v>1.298985198783154</v>
          </cell>
          <cell r="AB50">
            <v>1.6445691423847171</v>
          </cell>
          <cell r="AC50">
            <v>2.0188711568661089</v>
          </cell>
          <cell r="AD50">
            <v>2.2905726128726513</v>
          </cell>
          <cell r="AO50" t="str">
            <v>Golden Grove</v>
          </cell>
          <cell r="AU50">
            <v>15.7</v>
          </cell>
          <cell r="AV50">
            <v>9.6</v>
          </cell>
          <cell r="AW50">
            <v>34.699999999999996</v>
          </cell>
          <cell r="AX50">
            <v>44.3</v>
          </cell>
          <cell r="AY50">
            <v>21.706016667412975</v>
          </cell>
          <cell r="AZ50">
            <v>64.027045020829362</v>
          </cell>
          <cell r="BA50">
            <v>85.733061688242344</v>
          </cell>
        </row>
        <row r="51">
          <cell r="Q51" t="str">
            <v>Price to book (X)</v>
          </cell>
          <cell r="U51" t="e">
            <v>#NAME?</v>
          </cell>
          <cell r="W51">
            <v>0.9</v>
          </cell>
          <cell r="X51">
            <v>4.2923595813679922</v>
          </cell>
          <cell r="Y51">
            <v>4.0709469157190519</v>
          </cell>
          <cell r="Z51">
            <v>2.9683249501305795</v>
          </cell>
          <cell r="AA51">
            <v>2.2633052345431603</v>
          </cell>
          <cell r="AB51">
            <v>1.7877022766807091</v>
          </cell>
          <cell r="AC51">
            <v>1.4562593506778105</v>
          </cell>
          <cell r="AD51">
            <v>1.283521851033087</v>
          </cell>
          <cell r="AO51" t="str">
            <v>Prominent Hill</v>
          </cell>
          <cell r="AU51">
            <v>11.399999999999999</v>
          </cell>
          <cell r="AV51">
            <v>10</v>
          </cell>
          <cell r="AW51">
            <v>105.5</v>
          </cell>
          <cell r="AX51">
            <v>115.5</v>
          </cell>
          <cell r="AY51">
            <v>167.95868840367714</v>
          </cell>
          <cell r="AZ51">
            <v>91.855563564954323</v>
          </cell>
          <cell r="BA51">
            <v>259.81425196863148</v>
          </cell>
        </row>
        <row r="52">
          <cell r="B52" t="str">
            <v>Profit Sensitivities</v>
          </cell>
          <cell r="F52" t="str">
            <v>2003A</v>
          </cell>
          <cell r="G52" t="str">
            <v>2004A</v>
          </cell>
          <cell r="H52" t="str">
            <v>2005E</v>
          </cell>
          <cell r="I52" t="str">
            <v>2006E</v>
          </cell>
          <cell r="J52" t="str">
            <v>2007E</v>
          </cell>
          <cell r="K52" t="str">
            <v>2008e</v>
          </cell>
          <cell r="L52" t="str">
            <v>2009e</v>
          </cell>
          <cell r="M52" t="str">
            <v>2010e</v>
          </cell>
          <cell r="N52" t="str">
            <v>2011e</v>
          </cell>
          <cell r="Q52" t="str">
            <v>ROA (NPAT/Assets) %</v>
          </cell>
          <cell r="U52" t="e">
            <v>#NAME?</v>
          </cell>
          <cell r="W52">
            <v>5.0145525103080277E-2</v>
          </cell>
          <cell r="X52">
            <v>6.8439923942382366E-2</v>
          </cell>
          <cell r="Y52">
            <v>0.28614540968955343</v>
          </cell>
          <cell r="Z52">
            <v>0.17110604015104694</v>
          </cell>
          <cell r="AA52">
            <v>0.15494180702878405</v>
          </cell>
          <cell r="AB52">
            <v>0.14605686526837203</v>
          </cell>
          <cell r="AC52">
            <v>0.13907098959236261</v>
          </cell>
          <cell r="AD52">
            <v>9.9872614589844935E-2</v>
          </cell>
          <cell r="AO52" t="e">
            <v>#REF!</v>
          </cell>
          <cell r="AU52">
            <v>38.1</v>
          </cell>
          <cell r="AV52">
            <v>13.7</v>
          </cell>
          <cell r="AW52">
            <v>86.6</v>
          </cell>
          <cell r="AX52">
            <v>100.3</v>
          </cell>
          <cell r="AY52">
            <v>147.22518953206972</v>
          </cell>
          <cell r="AZ52">
            <v>93.243967528340065</v>
          </cell>
          <cell r="BA52">
            <v>240.46915706040977</v>
          </cell>
        </row>
        <row r="53">
          <cell r="B53" t="str">
            <v>Currency (A$/US$ +0.01)</v>
          </cell>
          <cell r="H53" t="e">
            <v>#REF!</v>
          </cell>
          <cell r="I53">
            <v>8.9202346113947648</v>
          </cell>
          <cell r="J53">
            <v>7.4071803047698204</v>
          </cell>
          <cell r="K53">
            <v>8.8798241832439206</v>
          </cell>
          <cell r="L53">
            <v>10.378423173035923</v>
          </cell>
          <cell r="M53">
            <v>11.667002836534145</v>
          </cell>
          <cell r="N53">
            <v>9.1054377425411204</v>
          </cell>
          <cell r="Q53" t="str">
            <v>ROE (NPAT/Equity) %</v>
          </cell>
          <cell r="U53" t="e">
            <v>#DIV/0!</v>
          </cell>
          <cell r="W53">
            <v>8.111023930953315E-2</v>
          </cell>
          <cell r="X53">
            <v>0.15138695653813236</v>
          </cell>
          <cell r="Y53">
            <v>0.50632397123498074</v>
          </cell>
          <cell r="Z53">
            <v>0.33942269407428055</v>
          </cell>
          <cell r="AA53">
            <v>0.29122935834380831</v>
          </cell>
          <cell r="AB53">
            <v>0.25137551107033079</v>
          </cell>
          <cell r="AC53">
            <v>0.22507113674916437</v>
          </cell>
          <cell r="AD53">
            <v>0.15548488574886044</v>
          </cell>
          <cell r="AO53" t="e">
            <v>#REF!</v>
          </cell>
          <cell r="AU53">
            <v>-16.7</v>
          </cell>
          <cell r="AV53">
            <v>2</v>
          </cell>
          <cell r="AW53">
            <v>28.2</v>
          </cell>
          <cell r="AX53">
            <v>30.2</v>
          </cell>
          <cell r="AY53">
            <v>70.803794273487199</v>
          </cell>
          <cell r="AZ53">
            <v>83.368319483115712</v>
          </cell>
          <cell r="BA53">
            <v>154.17211375660293</v>
          </cell>
        </row>
        <row r="54">
          <cell r="B54" t="str">
            <v>Gold (US$/oz +5)</v>
          </cell>
          <cell r="H54">
            <v>1.3124447652692199</v>
          </cell>
          <cell r="I54">
            <v>1.0929321637025786</v>
          </cell>
          <cell r="J54">
            <v>0.73474285638777415</v>
          </cell>
          <cell r="K54">
            <v>0.91522390299055012</v>
          </cell>
          <cell r="L54">
            <v>1.4061202529839618</v>
          </cell>
          <cell r="M54">
            <v>2.0707033420411447</v>
          </cell>
          <cell r="N54">
            <v>2.4080924648668596</v>
          </cell>
          <cell r="Q54" t="str">
            <v>ROIC</v>
          </cell>
          <cell r="W54">
            <v>4.9000000000000004</v>
          </cell>
          <cell r="X54">
            <v>0.10896690671591776</v>
          </cell>
          <cell r="Y54">
            <v>0.35629921163050321</v>
          </cell>
          <cell r="Z54">
            <v>0.22369850705687463</v>
          </cell>
          <cell r="AA54">
            <v>0.19987527848370681</v>
          </cell>
          <cell r="AB54">
            <v>0.18215109383801203</v>
          </cell>
          <cell r="AC54">
            <v>0.1680722424383321</v>
          </cell>
          <cell r="AD54">
            <v>0.11705825888494738</v>
          </cell>
          <cell r="AO54" t="e">
            <v>#REF!</v>
          </cell>
          <cell r="AU54">
            <v>6.9</v>
          </cell>
          <cell r="AV54">
            <v>3.7</v>
          </cell>
          <cell r="AW54">
            <v>6.1000000000000005</v>
          </cell>
          <cell r="AX54">
            <v>9.8000000000000007</v>
          </cell>
          <cell r="AY54">
            <v>7.3945684210526332</v>
          </cell>
          <cell r="AZ54">
            <v>6.3341377483443688</v>
          </cell>
          <cell r="BA54">
            <v>13.728706169397002</v>
          </cell>
        </row>
        <row r="55">
          <cell r="B55" t="str">
            <v>Copper (US$/lb +0.1)</v>
          </cell>
          <cell r="H55">
            <v>13.590682328909782</v>
          </cell>
          <cell r="I55">
            <v>15.42574629622667</v>
          </cell>
          <cell r="J55">
            <v>14.587553070017428</v>
          </cell>
          <cell r="K55">
            <v>19.894401537235613</v>
          </cell>
          <cell r="L55">
            <v>33.468232125673374</v>
          </cell>
          <cell r="M55">
            <v>49.938570640912118</v>
          </cell>
          <cell r="N55">
            <v>50.858698322181311</v>
          </cell>
          <cell r="AO55" t="str">
            <v>Corp. &amp; Inter Seg Elim</v>
          </cell>
          <cell r="AU55">
            <v>24.5</v>
          </cell>
          <cell r="AV55">
            <v>-51.199999999999996</v>
          </cell>
          <cell r="AW55">
            <v>-130</v>
          </cell>
          <cell r="AX55">
            <v>-181.20000000000002</v>
          </cell>
          <cell r="AY55">
            <v>-9.8000000000000007</v>
          </cell>
          <cell r="AZ55">
            <v>-10</v>
          </cell>
          <cell r="BA55">
            <v>-19.8</v>
          </cell>
        </row>
        <row r="56">
          <cell r="B56" t="str">
            <v>Zinc (US$/lb +0.1)</v>
          </cell>
          <cell r="H56">
            <v>18.467358338166399</v>
          </cell>
          <cell r="I56">
            <v>29.899203593435853</v>
          </cell>
          <cell r="J56">
            <v>29.261514582524374</v>
          </cell>
          <cell r="K56">
            <v>20.971521237333377</v>
          </cell>
          <cell r="L56">
            <v>24.239343895890471</v>
          </cell>
          <cell r="M56">
            <v>13.6533341388889</v>
          </cell>
          <cell r="N56">
            <v>13.65333413888888</v>
          </cell>
          <cell r="Q56" t="str">
            <v>DCF Valuation</v>
          </cell>
          <cell r="Y56" t="str">
            <v>A$m</v>
          </cell>
          <cell r="Z56" t="str">
            <v>A$/share</v>
          </cell>
          <cell r="AO56" t="str">
            <v>Net interest</v>
          </cell>
          <cell r="AU56">
            <v>-14.1</v>
          </cell>
          <cell r="AV56">
            <v>-7.8</v>
          </cell>
          <cell r="AW56">
            <v>-1.6000000000000005</v>
          </cell>
          <cell r="AX56">
            <v>-9.4</v>
          </cell>
          <cell r="AY56">
            <v>23.586949999999991</v>
          </cell>
          <cell r="AZ56">
            <v>8.4234024775244478</v>
          </cell>
          <cell r="BA56">
            <v>32.010352477524435</v>
          </cell>
        </row>
        <row r="57">
          <cell r="Q57" t="str">
            <v>Sepon - Gold</v>
          </cell>
          <cell r="Y57">
            <v>607.99210515251707</v>
          </cell>
          <cell r="Z57">
            <v>0.44064938530871411</v>
          </cell>
          <cell r="AF57">
            <v>0.1400642147077964</v>
          </cell>
          <cell r="AO57" t="str">
            <v>Pre-tax profit</v>
          </cell>
          <cell r="AU57">
            <v>206.5</v>
          </cell>
          <cell r="AV57">
            <v>202.7</v>
          </cell>
          <cell r="AW57">
            <v>743.30000000000018</v>
          </cell>
          <cell r="AX57">
            <v>945.99999999999989</v>
          </cell>
          <cell r="AY57">
            <v>955.88839735572901</v>
          </cell>
          <cell r="AZ57">
            <v>1249.3155622479289</v>
          </cell>
          <cell r="BA57">
            <v>2205.2039596036575</v>
          </cell>
        </row>
        <row r="58">
          <cell r="Q58" t="str">
            <v>Sepon - Copper</v>
          </cell>
          <cell r="Y58">
            <v>1719.3215890238587</v>
          </cell>
          <cell r="Z58">
            <v>1.2460984195860794</v>
          </cell>
          <cell r="AF58">
            <v>0.39608315002113059</v>
          </cell>
        </row>
        <row r="59">
          <cell r="Q59" t="str">
            <v>Golden Grove</v>
          </cell>
          <cell r="Y59">
            <v>1256.6072831273946</v>
          </cell>
          <cell r="Z59">
            <v>0.91074081750722113</v>
          </cell>
          <cell r="AF59">
            <v>0.28948683842396999</v>
          </cell>
        </row>
        <row r="60">
          <cell r="Q60" t="str">
            <v>Prominent Hill</v>
          </cell>
          <cell r="Y60">
            <v>756.88874644270777</v>
          </cell>
          <cell r="Z60">
            <v>0.54856396660512063</v>
          </cell>
          <cell r="AF60">
            <v>0.17436579684710302</v>
          </cell>
        </row>
        <row r="61">
          <cell r="Q61" t="str">
            <v>Equity Investments</v>
          </cell>
          <cell r="Y61">
            <v>40.156495609756099</v>
          </cell>
          <cell r="Z61">
            <v>2.9103889600922143E-2</v>
          </cell>
        </row>
        <row r="62">
          <cell r="Q62" t="str">
            <v>Exploration</v>
          </cell>
          <cell r="Y62">
            <v>172.74472168905953</v>
          </cell>
          <cell r="Z62">
            <v>0.12395916468977219</v>
          </cell>
        </row>
        <row r="63">
          <cell r="Q63" t="str">
            <v>Corporate</v>
          </cell>
          <cell r="Y63">
            <v>-138.69625520110958</v>
          </cell>
          <cell r="Z63">
            <v>-0.10052173224133923</v>
          </cell>
        </row>
        <row r="64">
          <cell r="Q64" t="str">
            <v>Net (Debt)/Cash (Dec 06)</v>
          </cell>
          <cell r="Y64">
            <v>123.61784649816707</v>
          </cell>
          <cell r="Z64">
            <v>8.9593479275425394E-2</v>
          </cell>
        </row>
        <row r="65">
          <cell r="Q65" t="str">
            <v>Total Valuation</v>
          </cell>
          <cell r="Y65">
            <v>4538.6325323423507</v>
          </cell>
          <cell r="Z65">
            <v>3.2881873903319159</v>
          </cell>
        </row>
        <row r="68">
          <cell r="B68" t="str">
            <v>Source: Oxiana, e=MorganStanely Research Estimate</v>
          </cell>
        </row>
        <row r="69">
          <cell r="B69" t="str">
            <v>*CFPS defined as net earnings excluding goodwill and adding back depreciation and exploration written off in the period</v>
          </cell>
        </row>
        <row r="70">
          <cell r="B70" t="str">
            <v>** Non Modelware calculations</v>
          </cell>
        </row>
        <row r="71">
          <cell r="B71" t="str">
            <v>L:\Users\Mining&amp;Steel\Companies\OXR\Model\[OXR Model - WIP2.xls]Summary</v>
          </cell>
        </row>
        <row r="74">
          <cell r="B74" t="str">
            <v>Contribution to Revenue (prior to TC/RC's, royalties)</v>
          </cell>
        </row>
        <row r="75">
          <cell r="H75">
            <v>2005</v>
          </cell>
          <cell r="I75">
            <v>2006</v>
          </cell>
          <cell r="J75">
            <v>2007</v>
          </cell>
          <cell r="K75">
            <v>2008</v>
          </cell>
          <cell r="L75">
            <v>2009</v>
          </cell>
          <cell r="M75">
            <v>2010</v>
          </cell>
        </row>
        <row r="76">
          <cell r="B76" t="str">
            <v>Gold</v>
          </cell>
          <cell r="H76">
            <v>0.29305185649204241</v>
          </cell>
          <cell r="I76">
            <v>0.13118612035428831</v>
          </cell>
          <cell r="J76">
            <v>9.8397778742735781E-2</v>
          </cell>
          <cell r="K76">
            <v>0.11671928068909085</v>
          </cell>
          <cell r="L76">
            <v>0.12254096673718756</v>
          </cell>
          <cell r="M76">
            <v>0.14601687286131673</v>
          </cell>
        </row>
        <row r="77">
          <cell r="B77" t="str">
            <v>Copper</v>
          </cell>
          <cell r="H77">
            <v>0.5118319019300569</v>
          </cell>
          <cell r="I77">
            <v>0.45971785326524511</v>
          </cell>
          <cell r="J77">
            <v>0.44138449374921701</v>
          </cell>
          <cell r="K77">
            <v>0.58542228019848719</v>
          </cell>
          <cell r="L77">
            <v>0.66261447423480679</v>
          </cell>
          <cell r="M77">
            <v>0.75449508988019176</v>
          </cell>
        </row>
        <row r="78">
          <cell r="B78" t="str">
            <v>Zinc</v>
          </cell>
          <cell r="H78">
            <v>0.17611439803916301</v>
          </cell>
          <cell r="I78">
            <v>0.36167859031876348</v>
          </cell>
          <cell r="J78">
            <v>0.41928606237323385</v>
          </cell>
          <cell r="K78">
            <v>0.2623453420180758</v>
          </cell>
          <cell r="L78">
            <v>0.18830318099705728</v>
          </cell>
          <cell r="M78">
            <v>7.7938762224173119E-2</v>
          </cell>
        </row>
        <row r="79">
          <cell r="B79" t="str">
            <v xml:space="preserve">Lead </v>
          </cell>
          <cell r="H79">
            <v>5.8631526374623311E-3</v>
          </cell>
          <cell r="I79">
            <v>1.4015128780960838E-2</v>
          </cell>
          <cell r="J79">
            <v>1.2042428415441699E-2</v>
          </cell>
          <cell r="K79">
            <v>1.1045201619067422E-2</v>
          </cell>
          <cell r="L79">
            <v>7.8313947148918248E-3</v>
          </cell>
          <cell r="M79">
            <v>6.1262789182026179E-3</v>
          </cell>
        </row>
        <row r="80">
          <cell r="B80" t="str">
            <v>Silver</v>
          </cell>
          <cell r="H80">
            <v>1.3138690901275375E-2</v>
          </cell>
          <cell r="I80">
            <v>3.3402307280742324E-2</v>
          </cell>
          <cell r="J80">
            <v>2.8889236719371728E-2</v>
          </cell>
          <cell r="K80">
            <v>2.4467895475278671E-2</v>
          </cell>
          <cell r="L80">
            <v>1.8709983316056451E-2</v>
          </cell>
          <cell r="M80">
            <v>1.5422996116115835E-2</v>
          </cell>
        </row>
        <row r="83">
          <cell r="B83" t="str">
            <v>Template for Presentations</v>
          </cell>
        </row>
        <row r="85">
          <cell r="B85" t="str">
            <v>Year End December</v>
          </cell>
          <cell r="H85" t="str">
            <v>2005E</v>
          </cell>
          <cell r="I85" t="str">
            <v>2006E</v>
          </cell>
          <cell r="J85" t="str">
            <v>2007E</v>
          </cell>
          <cell r="K85" t="str">
            <v>2008e</v>
          </cell>
          <cell r="L85" t="str">
            <v>2009e</v>
          </cell>
          <cell r="M85" t="str">
            <v>2010e</v>
          </cell>
        </row>
        <row r="86">
          <cell r="B86" t="str">
            <v>Net Profit (A$m)</v>
          </cell>
          <cell r="H86">
            <v>80.302000000000007</v>
          </cell>
          <cell r="I86">
            <v>502.51073020752915</v>
          </cell>
          <cell r="J86">
            <v>436.30606738939593</v>
          </cell>
          <cell r="K86">
            <v>492.83024217003594</v>
          </cell>
          <cell r="L86">
            <v>545.48992197476389</v>
          </cell>
          <cell r="M86">
            <v>596.41718500362651</v>
          </cell>
        </row>
        <row r="87">
          <cell r="B87" t="str">
            <v>Issued Shares (M)</v>
          </cell>
          <cell r="H87">
            <v>1371.004136</v>
          </cell>
          <cell r="I87">
            <v>1379.7638790000001</v>
          </cell>
          <cell r="J87">
            <v>1393.5615177900002</v>
          </cell>
          <cell r="K87">
            <v>1400.5293253789503</v>
          </cell>
          <cell r="L87">
            <v>1407.5319720058451</v>
          </cell>
          <cell r="M87">
            <v>1414.5696318658743</v>
          </cell>
        </row>
        <row r="88">
          <cell r="B88" t="str">
            <v>Modelware EPS (A$)</v>
          </cell>
          <cell r="H88">
            <v>0.05</v>
          </cell>
          <cell r="I88">
            <v>0.3322310471222148</v>
          </cell>
          <cell r="J88">
            <v>0.29027997771132918</v>
          </cell>
          <cell r="K88">
            <v>0.32788623034414377</v>
          </cell>
          <cell r="L88">
            <v>0.36292138530191242</v>
          </cell>
          <cell r="M88">
            <v>0.39680394133733771</v>
          </cell>
        </row>
        <row r="89">
          <cell r="B89" t="str">
            <v xml:space="preserve">CFPS (c) </v>
          </cell>
          <cell r="H89">
            <v>13.617384519758225</v>
          </cell>
          <cell r="I89">
            <v>54.713762671542497</v>
          </cell>
          <cell r="J89">
            <v>41.243560541602527</v>
          </cell>
          <cell r="K89">
            <v>46.252399344720999</v>
          </cell>
          <cell r="L89">
            <v>54.634052310456028</v>
          </cell>
          <cell r="M89">
            <v>55.179012132124548</v>
          </cell>
        </row>
        <row r="90">
          <cell r="B90" t="str">
            <v>P/E (x)</v>
          </cell>
          <cell r="H90">
            <v>31.7</v>
          </cell>
          <cell r="I90">
            <v>8.8492632626188268</v>
          </cell>
          <cell r="J90">
            <v>10.128152906652426</v>
          </cell>
          <cell r="K90">
            <v>8.9665247513267836</v>
          </cell>
          <cell r="L90">
            <v>8.100927966959647</v>
          </cell>
          <cell r="M90">
            <v>7.4092005993977699</v>
          </cell>
        </row>
        <row r="91">
          <cell r="B91" t="str">
            <v>P/CF (x)</v>
          </cell>
          <cell r="H91">
            <v>21.590049070981213</v>
          </cell>
          <cell r="I91">
            <v>5.3734195135680931</v>
          </cell>
          <cell r="J91">
            <v>7.1283855258675146</v>
          </cell>
          <cell r="K91">
            <v>6.3564269997931593</v>
          </cell>
          <cell r="L91">
            <v>5.3812592617028594</v>
          </cell>
          <cell r="M91">
            <v>5.3281127849122321</v>
          </cell>
        </row>
        <row r="92">
          <cell r="B92" t="str">
            <v>Dividend (c)</v>
          </cell>
          <cell r="H92">
            <v>1</v>
          </cell>
          <cell r="I92">
            <v>6</v>
          </cell>
          <cell r="J92">
            <v>6</v>
          </cell>
          <cell r="K92">
            <v>6</v>
          </cell>
          <cell r="L92">
            <v>6</v>
          </cell>
          <cell r="M92">
            <v>6</v>
          </cell>
        </row>
        <row r="93">
          <cell r="B93" t="str">
            <v>Dividend Yield (%)</v>
          </cell>
          <cell r="H93">
            <v>3.4013605442176869E-3</v>
          </cell>
          <cell r="I93">
            <v>2.0408163265306124E-2</v>
          </cell>
          <cell r="J93">
            <v>2.0408163265306124E-2</v>
          </cell>
          <cell r="K93">
            <v>2.0408163265306124E-2</v>
          </cell>
          <cell r="L93">
            <v>2.0408163265306124E-2</v>
          </cell>
          <cell r="M93">
            <v>2.0408163265306124E-2</v>
          </cell>
        </row>
        <row r="94">
          <cell r="B94" t="str">
            <v>Enterprise Value (A$M)</v>
          </cell>
          <cell r="H94">
            <v>2903.3637760188608</v>
          </cell>
          <cell r="I94">
            <v>4313.5597041761921</v>
          </cell>
          <cell r="J94">
            <v>4429.5642219231249</v>
          </cell>
          <cell r="K94">
            <v>4212.323669698133</v>
          </cell>
          <cell r="L94">
            <v>3652.3327648888126</v>
          </cell>
          <cell r="M94">
            <v>3101.8198159296908</v>
          </cell>
        </row>
        <row r="95">
          <cell r="B95" t="str">
            <v>EV/EBITDA** (x)</v>
          </cell>
          <cell r="H95">
            <v>5.2879118820573678</v>
          </cell>
          <cell r="I95">
            <v>5.5057166341629449</v>
          </cell>
          <cell r="J95">
            <v>4.6968469034154676</v>
          </cell>
          <cell r="K95">
            <v>3.6603114851943821</v>
          </cell>
          <cell r="L95">
            <v>2.8790563349996621</v>
          </cell>
          <cell r="M95">
            <v>0</v>
          </cell>
        </row>
        <row r="96">
          <cell r="B96" t="str">
            <v>NPV A$/share</v>
          </cell>
          <cell r="I96">
            <v>3.2881873903319159</v>
          </cell>
        </row>
        <row r="98">
          <cell r="B98" t="str">
            <v>Year End Dec (A$ cps)</v>
          </cell>
          <cell r="I98">
            <v>2006</v>
          </cell>
          <cell r="J98">
            <v>2007</v>
          </cell>
          <cell r="K98">
            <v>2008</v>
          </cell>
        </row>
        <row r="99">
          <cell r="B99" t="str">
            <v>Revised Dividend</v>
          </cell>
          <cell r="I99">
            <v>6</v>
          </cell>
          <cell r="J99">
            <v>6</v>
          </cell>
          <cell r="K99">
            <v>6</v>
          </cell>
        </row>
        <row r="100">
          <cell r="B100" t="str">
            <v>Prior Dividend</v>
          </cell>
          <cell r="I100">
            <v>6</v>
          </cell>
          <cell r="J100">
            <v>6</v>
          </cell>
          <cell r="K100">
            <v>6</v>
          </cell>
        </row>
        <row r="101">
          <cell r="B101" t="str">
            <v>% Change</v>
          </cell>
          <cell r="I101">
            <v>0</v>
          </cell>
          <cell r="J101">
            <v>0</v>
          </cell>
          <cell r="K101">
            <v>0</v>
          </cell>
        </row>
        <row r="103">
          <cell r="B103" t="str">
            <v>Year End Dec (A$ cps)</v>
          </cell>
          <cell r="I103">
            <v>2006</v>
          </cell>
          <cell r="J103">
            <v>2007</v>
          </cell>
          <cell r="K103">
            <v>2008</v>
          </cell>
        </row>
        <row r="104">
          <cell r="B104" t="str">
            <v>Revised EPS</v>
          </cell>
          <cell r="I104">
            <v>33.223104712221478</v>
          </cell>
          <cell r="J104">
            <v>29.027997771132917</v>
          </cell>
          <cell r="K104">
            <v>32.788623034414378</v>
          </cell>
        </row>
        <row r="105">
          <cell r="B105" t="str">
            <v>Prior EPS</v>
          </cell>
          <cell r="I105">
            <v>32.298611831146076</v>
          </cell>
          <cell r="J105">
            <v>37.776515668695176</v>
          </cell>
          <cell r="K105">
            <v>30.723872249149565</v>
          </cell>
        </row>
        <row r="106">
          <cell r="B106" t="str">
            <v>% Change</v>
          </cell>
          <cell r="I106">
            <v>2.8623300775542981E-2</v>
          </cell>
          <cell r="J106">
            <v>-0.23158615194391852</v>
          </cell>
          <cell r="K106">
            <v>6.7203468642269337E-2</v>
          </cell>
        </row>
        <row r="108">
          <cell r="B108" t="str">
            <v>PROFIT AND LOSS</v>
          </cell>
          <cell r="I108">
            <v>2005</v>
          </cell>
          <cell r="J108">
            <v>2006</v>
          </cell>
          <cell r="K108" t="str">
            <v>% Chg</v>
          </cell>
        </row>
        <row r="109">
          <cell r="B109" t="str">
            <v>(A$m)</v>
          </cell>
          <cell r="I109" t="str">
            <v>Act.</v>
          </cell>
          <cell r="J109" t="str">
            <v>Est</v>
          </cell>
          <cell r="K109" t="str">
            <v>p.c.p.</v>
          </cell>
        </row>
        <row r="110">
          <cell r="B110" t="str">
            <v xml:space="preserve">Total Sales </v>
          </cell>
          <cell r="C110" t="e">
            <v>#REF!</v>
          </cell>
          <cell r="D110" t="e">
            <v>#REF!</v>
          </cell>
          <cell r="E110" t="e">
            <v>#REF!</v>
          </cell>
          <cell r="F110" t="e">
            <v>#REF!</v>
          </cell>
          <cell r="G110" t="e">
            <v>#REF!</v>
          </cell>
          <cell r="I110">
            <v>436.14400000000001</v>
          </cell>
          <cell r="J110">
            <v>1229.6454152190563</v>
          </cell>
          <cell r="K110">
            <v>1.8193564859749447</v>
          </cell>
        </row>
        <row r="111">
          <cell r="B111" t="str">
            <v>Cost of sales</v>
          </cell>
          <cell r="C111" t="e">
            <v>#REF!</v>
          </cell>
          <cell r="D111" t="e">
            <v>#REF!</v>
          </cell>
          <cell r="E111" t="e">
            <v>#REF!</v>
          </cell>
          <cell r="F111" t="e">
            <v>#REF!</v>
          </cell>
          <cell r="G111" t="e">
            <v>#REF!</v>
          </cell>
          <cell r="I111">
            <v>260.529</v>
          </cell>
          <cell r="J111">
            <v>413.90570540794738</v>
          </cell>
          <cell r="K111">
            <v>0.58871260169864925</v>
          </cell>
        </row>
        <row r="112">
          <cell r="B112" t="str">
            <v>EBITDA</v>
          </cell>
          <cell r="C112" t="e">
            <v>#REF!</v>
          </cell>
          <cell r="D112" t="e">
            <v>#REF!</v>
          </cell>
          <cell r="E112" t="e">
            <v>#REF!</v>
          </cell>
          <cell r="F112" t="e">
            <v>#REF!</v>
          </cell>
          <cell r="G112" t="e">
            <v>#REF!</v>
          </cell>
          <cell r="I112">
            <v>175.61500000000001</v>
          </cell>
          <cell r="J112">
            <v>815.73970981110892</v>
          </cell>
          <cell r="K112">
            <v>3.6450457524192634</v>
          </cell>
        </row>
        <row r="113">
          <cell r="B113" t="str">
            <v>Depreciation</v>
          </cell>
          <cell r="C113" t="e">
            <v>#REF!</v>
          </cell>
          <cell r="D113" t="e">
            <v>#REF!</v>
          </cell>
          <cell r="E113" t="e">
            <v>#REF!</v>
          </cell>
          <cell r="F113" t="e">
            <v>#REF!</v>
          </cell>
          <cell r="G113" t="e">
            <v>#REF!</v>
          </cell>
          <cell r="I113">
            <v>52.058</v>
          </cell>
          <cell r="J113">
            <v>100.19853951463882</v>
          </cell>
          <cell r="K113">
            <v>0.92474815618423345</v>
          </cell>
        </row>
        <row r="114">
          <cell r="B114" t="str">
            <v>EBIT</v>
          </cell>
          <cell r="C114" t="e">
            <v>#REF!</v>
          </cell>
          <cell r="D114" t="e">
            <v>#REF!</v>
          </cell>
          <cell r="E114" t="e">
            <v>#REF!</v>
          </cell>
          <cell r="F114" t="e">
            <v>#REF!</v>
          </cell>
          <cell r="G114" t="e">
            <v>#REF!</v>
          </cell>
          <cell r="I114">
            <v>126.03399999999999</v>
          </cell>
          <cell r="J114">
            <v>715.54117029647011</v>
          </cell>
          <cell r="K114">
            <v>4.6773661892542497</v>
          </cell>
        </row>
        <row r="115">
          <cell r="B115" t="str">
            <v>Interest expense</v>
          </cell>
          <cell r="C115" t="e">
            <v>#REF!</v>
          </cell>
          <cell r="D115" t="e">
            <v>#REF!</v>
          </cell>
          <cell r="E115" t="e">
            <v>#REF!</v>
          </cell>
          <cell r="F115" t="e">
            <v>#REF!</v>
          </cell>
          <cell r="G115" t="e">
            <v>#REF!</v>
          </cell>
          <cell r="I115">
            <v>-34.528999999999996</v>
          </cell>
          <cell r="J115">
            <v>-36.996270000000003</v>
          </cell>
          <cell r="K115">
            <v>7.145500883315492E-2</v>
          </cell>
        </row>
        <row r="116">
          <cell r="B116" t="str">
            <v>Pre-tax profit</v>
          </cell>
          <cell r="C116" t="e">
            <v>#REF!</v>
          </cell>
          <cell r="D116" t="e">
            <v>#REF!</v>
          </cell>
          <cell r="E116" t="e">
            <v>#REF!</v>
          </cell>
          <cell r="F116" t="e">
            <v>#REF!</v>
          </cell>
          <cell r="G116" t="e">
            <v>#REF!</v>
          </cell>
          <cell r="I116">
            <v>91.504999999999995</v>
          </cell>
          <cell r="J116">
            <v>678.54490029647013</v>
          </cell>
          <cell r="K116">
            <v>6.4153860477183775</v>
          </cell>
        </row>
        <row r="117">
          <cell r="B117" t="str">
            <v>Tax</v>
          </cell>
          <cell r="C117" t="e">
            <v>#REF!</v>
          </cell>
          <cell r="D117" t="e">
            <v>#REF!</v>
          </cell>
          <cell r="E117" t="e">
            <v>#REF!</v>
          </cell>
          <cell r="F117" t="e">
            <v>#REF!</v>
          </cell>
          <cell r="G117" t="e">
            <v>#REF!</v>
          </cell>
          <cell r="I117">
            <v>11.2</v>
          </cell>
          <cell r="J117">
            <v>179.18417008894102</v>
          </cell>
          <cell r="K117">
            <v>14.998586615084021</v>
          </cell>
        </row>
        <row r="118">
          <cell r="B118" t="str">
            <v>Abnormals</v>
          </cell>
          <cell r="I118">
            <v>0</v>
          </cell>
          <cell r="J118">
            <v>3.15</v>
          </cell>
          <cell r="K118">
            <v>0</v>
          </cell>
        </row>
        <row r="119">
          <cell r="B119" t="str">
            <v>Minorities</v>
          </cell>
          <cell r="I119">
            <v>0</v>
          </cell>
          <cell r="J119">
            <v>0</v>
          </cell>
          <cell r="K119">
            <v>0</v>
          </cell>
        </row>
        <row r="120">
          <cell r="B120" t="str">
            <v>Profit attributable</v>
          </cell>
          <cell r="C120" t="e">
            <v>#REF!</v>
          </cell>
          <cell r="D120" t="e">
            <v>#REF!</v>
          </cell>
          <cell r="E120" t="e">
            <v>#REF!</v>
          </cell>
          <cell r="F120" t="e">
            <v>#REF!</v>
          </cell>
          <cell r="G120" t="e">
            <v>#REF!</v>
          </cell>
          <cell r="I120">
            <v>80.304999999999993</v>
          </cell>
          <cell r="J120">
            <v>502.51073020752909</v>
          </cell>
          <cell r="K120">
            <v>5.2575273047447748</v>
          </cell>
        </row>
        <row r="122">
          <cell r="B122" t="str">
            <v>DIVISIONAL PROFITS</v>
          </cell>
          <cell r="I122">
            <v>2005</v>
          </cell>
          <cell r="J122">
            <v>2006</v>
          </cell>
        </row>
        <row r="123">
          <cell r="I123" t="str">
            <v>Act.</v>
          </cell>
          <cell r="J123" t="str">
            <v>Est.</v>
          </cell>
          <cell r="K123" t="str">
            <v>% Chg</v>
          </cell>
        </row>
        <row r="124">
          <cell r="B124" t="str">
            <v xml:space="preserve"> ($M, Pre-tax)</v>
          </cell>
          <cell r="C124" t="e">
            <v>#REF!</v>
          </cell>
          <cell r="D124" t="e">
            <v>#REF!</v>
          </cell>
          <cell r="E124" t="e">
            <v>#REF!</v>
          </cell>
          <cell r="F124" t="e">
            <v>#REF!</v>
          </cell>
          <cell r="G124" t="e">
            <v>#REF!</v>
          </cell>
          <cell r="I124" t="str">
            <v>A$m</v>
          </cell>
          <cell r="J124" t="str">
            <v>A$m</v>
          </cell>
          <cell r="K124" t="str">
            <v>p.c.p</v>
          </cell>
        </row>
        <row r="125">
          <cell r="B125" t="e">
            <v>#REF!</v>
          </cell>
          <cell r="C125" t="e">
            <v>#REF!</v>
          </cell>
          <cell r="D125" t="e">
            <v>#REF!</v>
          </cell>
          <cell r="E125" t="e">
            <v>#REF!</v>
          </cell>
          <cell r="F125" t="e">
            <v>#REF!</v>
          </cell>
          <cell r="G125" t="e">
            <v>#REF!</v>
          </cell>
          <cell r="I125" t="e">
            <v>#REF!</v>
          </cell>
          <cell r="J125" t="e">
            <v>#REF!</v>
          </cell>
          <cell r="K125" t="e">
            <v>#REF!</v>
          </cell>
        </row>
        <row r="126">
          <cell r="B126" t="e">
            <v>#REF!</v>
          </cell>
          <cell r="C126" t="e">
            <v>#REF!</v>
          </cell>
          <cell r="D126" t="e">
            <v>#REF!</v>
          </cell>
          <cell r="E126" t="e">
            <v>#REF!</v>
          </cell>
          <cell r="F126" t="e">
            <v>#REF!</v>
          </cell>
          <cell r="G126" t="e">
            <v>#REF!</v>
          </cell>
          <cell r="I126" t="e">
            <v>#REF!</v>
          </cell>
          <cell r="J126" t="e">
            <v>#REF!</v>
          </cell>
          <cell r="K126" t="e">
            <v>#REF!</v>
          </cell>
        </row>
        <row r="127">
          <cell r="B127" t="e">
            <v>#REF!</v>
          </cell>
          <cell r="C127" t="e">
            <v>#REF!</v>
          </cell>
          <cell r="D127" t="e">
            <v>#REF!</v>
          </cell>
          <cell r="E127" t="e">
            <v>#REF!</v>
          </cell>
          <cell r="F127" t="e">
            <v>#REF!</v>
          </cell>
          <cell r="G127" t="e">
            <v>#REF!</v>
          </cell>
          <cell r="I127" t="e">
            <v>#REF!</v>
          </cell>
          <cell r="J127" t="e">
            <v>#REF!</v>
          </cell>
          <cell r="K127" t="e">
            <v>#REF!</v>
          </cell>
        </row>
        <row r="128">
          <cell r="B128" t="e">
            <v>#REF!</v>
          </cell>
          <cell r="C128" t="e">
            <v>#REF!</v>
          </cell>
          <cell r="D128" t="e">
            <v>#REF!</v>
          </cell>
          <cell r="E128" t="e">
            <v>#REF!</v>
          </cell>
          <cell r="F128" t="e">
            <v>#REF!</v>
          </cell>
          <cell r="G128" t="e">
            <v>#REF!</v>
          </cell>
          <cell r="I128" t="e">
            <v>#REF!</v>
          </cell>
          <cell r="J128" t="e">
            <v>#REF!</v>
          </cell>
          <cell r="K128" t="e">
            <v>#REF!</v>
          </cell>
        </row>
        <row r="129">
          <cell r="B129" t="e">
            <v>#REF!</v>
          </cell>
          <cell r="C129" t="e">
            <v>#REF!</v>
          </cell>
          <cell r="D129" t="e">
            <v>#REF!</v>
          </cell>
          <cell r="E129" t="e">
            <v>#REF!</v>
          </cell>
          <cell r="F129" t="e">
            <v>#REF!</v>
          </cell>
          <cell r="G129" t="e">
            <v>#REF!</v>
          </cell>
          <cell r="I129" t="e">
            <v>#REF!</v>
          </cell>
          <cell r="J129" t="e">
            <v>#REF!</v>
          </cell>
          <cell r="K129" t="e">
            <v>#REF!</v>
          </cell>
        </row>
        <row r="130">
          <cell r="B130" t="e">
            <v>#REF!</v>
          </cell>
          <cell r="C130" t="e">
            <v>#REF!</v>
          </cell>
          <cell r="D130" t="e">
            <v>#REF!</v>
          </cell>
          <cell r="E130" t="e">
            <v>#REF!</v>
          </cell>
          <cell r="F130" t="e">
            <v>#REF!</v>
          </cell>
          <cell r="G130" t="e">
            <v>#REF!</v>
          </cell>
          <cell r="I130" t="e">
            <v>#REF!</v>
          </cell>
          <cell r="J130" t="e">
            <v>#REF!</v>
          </cell>
          <cell r="K130" t="e">
            <v>#REF!</v>
          </cell>
        </row>
        <row r="131">
          <cell r="B131" t="e">
            <v>#REF!</v>
          </cell>
          <cell r="C131" t="e">
            <v>#REF!</v>
          </cell>
          <cell r="D131" t="e">
            <v>#REF!</v>
          </cell>
          <cell r="E131" t="e">
            <v>#REF!</v>
          </cell>
          <cell r="F131" t="e">
            <v>#REF!</v>
          </cell>
          <cell r="G131" t="e">
            <v>#REF!</v>
          </cell>
          <cell r="I131" t="e">
            <v>#REF!</v>
          </cell>
          <cell r="J131" t="e">
            <v>#REF!</v>
          </cell>
          <cell r="K131" t="e">
            <v>#REF!</v>
          </cell>
        </row>
        <row r="132">
          <cell r="B132" t="str">
            <v>Exploration</v>
          </cell>
          <cell r="I132">
            <v>0</v>
          </cell>
          <cell r="J132" t="e">
            <v>#REF!</v>
          </cell>
          <cell r="K132">
            <v>0</v>
          </cell>
        </row>
        <row r="133">
          <cell r="B133" t="e">
            <v>#REF!</v>
          </cell>
          <cell r="C133" t="e">
            <v>#REF!</v>
          </cell>
          <cell r="D133" t="e">
            <v>#REF!</v>
          </cell>
          <cell r="E133" t="e">
            <v>#REF!</v>
          </cell>
          <cell r="F133" t="e">
            <v>#REF!</v>
          </cell>
          <cell r="G133" t="e">
            <v>#REF!</v>
          </cell>
          <cell r="I133" t="e">
            <v>#REF!</v>
          </cell>
          <cell r="J133" t="e">
            <v>#REF!</v>
          </cell>
          <cell r="K133" t="e">
            <v>#REF!</v>
          </cell>
        </row>
        <row r="134">
          <cell r="B134" t="e">
            <v>#REF!</v>
          </cell>
          <cell r="C134" t="e">
            <v>#REF!</v>
          </cell>
          <cell r="D134" t="e">
            <v>#REF!</v>
          </cell>
          <cell r="E134" t="e">
            <v>#REF!</v>
          </cell>
          <cell r="F134" t="e">
            <v>#REF!</v>
          </cell>
          <cell r="G134" t="e">
            <v>#REF!</v>
          </cell>
          <cell r="I134" t="e">
            <v>#REF!</v>
          </cell>
          <cell r="J134" t="e">
            <v>#REF!</v>
          </cell>
          <cell r="K134" t="e">
            <v>#REF!</v>
          </cell>
        </row>
        <row r="135">
          <cell r="B135" t="e">
            <v>#REF!</v>
          </cell>
          <cell r="C135" t="e">
            <v>#REF!</v>
          </cell>
          <cell r="D135" t="e">
            <v>#REF!</v>
          </cell>
          <cell r="E135" t="e">
            <v>#REF!</v>
          </cell>
          <cell r="F135" t="e">
            <v>#REF!</v>
          </cell>
          <cell r="G135" t="e">
            <v>#REF!</v>
          </cell>
          <cell r="I135" t="e">
            <v>#REF!</v>
          </cell>
          <cell r="J135" t="e">
            <v>#REF!</v>
          </cell>
          <cell r="K135" t="e">
            <v>#REF!</v>
          </cell>
        </row>
        <row r="138">
          <cell r="B138" t="str">
            <v>Year End Dec (A$/sh)</v>
          </cell>
          <cell r="I138">
            <v>2006</v>
          </cell>
          <cell r="J138">
            <v>2007</v>
          </cell>
          <cell r="K138">
            <v>2008</v>
          </cell>
        </row>
        <row r="139">
          <cell r="B139" t="str">
            <v>Forecast EPS</v>
          </cell>
          <cell r="I139">
            <v>0.3322310471222148</v>
          </cell>
          <cell r="J139">
            <v>0.29027997771132918</v>
          </cell>
          <cell r="K139">
            <v>0.32788623034414377</v>
          </cell>
        </row>
        <row r="140">
          <cell r="B140" t="str">
            <v>Forecast DPS</v>
          </cell>
          <cell r="I140">
            <v>0.06</v>
          </cell>
          <cell r="J140">
            <v>0.06</v>
          </cell>
          <cell r="K140">
            <v>0.06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Template"/>
      <sheetName val="mwareTaxoPres"/>
      <sheetName val="mwareValPrintout"/>
      <sheetName val="mwarePreview"/>
      <sheetName val="BDT Input"/>
      <sheetName val="MWA RR"/>
      <sheetName val="Summary - Recon"/>
      <sheetName val="MW-Cache"/>
      <sheetName val="P&amp;L - Recon"/>
      <sheetName val="Models - Recon"/>
      <sheetName val="CashFlow - Recon"/>
      <sheetName val="BalSheet - Recon"/>
      <sheetName val="Valuation - Recon"/>
      <sheetName val="Carbon"/>
      <sheetName val="Asia"/>
      <sheetName val="Report summary"/>
      <sheetName val="Resid Cash"/>
      <sheetName val="client1"/>
      <sheetName val="Inflators"/>
      <sheetName val="Scenario"/>
      <sheetName val="Divisional_summary"/>
      <sheetName val="Prices"/>
      <sheetName val="Sheet4"/>
      <sheetName val="Sheet1"/>
      <sheetName val="Report Charts"/>
      <sheetName val="Steel_model"/>
      <sheetName val="Prodn_charts"/>
      <sheetName val="mwareSettings"/>
      <sheetName val="mwareDates"/>
      <sheetName val="GE3"/>
      <sheetName val="Summary"/>
      <sheetName val="Models"/>
      <sheetName val="Models -reconstructed"/>
      <sheetName val="Chart1"/>
      <sheetName val="P&amp;L"/>
      <sheetName val="CashFlow"/>
      <sheetName val="BalSheet"/>
      <sheetName val="Revisions"/>
      <sheetName val="Chart6"/>
      <sheetName val="Valuation"/>
      <sheetName val="Chart5"/>
      <sheetName val="Summary Calendar Yr"/>
      <sheetName val="Chart4"/>
      <sheetName val="SENS"/>
      <sheetName val="Chart2"/>
      <sheetName val="Chart3"/>
      <sheetName val="Chart 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6">
          <cell r="C16">
            <v>0.1008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1.vml" Type="http://schemas.openxmlformats.org/officeDocument/2006/relationships/vmlDrawing"/>
<Relationship Id="rId4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01"/>
  <sheetViews>
    <sheetView showGridLines="0" tabSelected="1" workbookViewId="0">
      <selection activeCell="Z1" sqref="Z1"/>
    </sheetView>
  </sheetViews>
  <sheetFormatPr defaultRowHeight="12.75"/>
  <cols>
    <col min="1" max="1" width="25.7109375" style="1088" customWidth="1"/>
    <col min="2" max="5" width="9.140625" style="1088"/>
    <col min="6" max="6" width="18.7109375" style="1088" customWidth="1"/>
    <col min="7" max="256" width="9.140625" style="1088"/>
    <col min="257" max="257" width="100.7109375" style="1088" customWidth="1"/>
    <col min="258" max="512" width="9.140625" style="1088"/>
    <col min="513" max="513" width="100.7109375" style="1088" customWidth="1"/>
    <col min="514" max="768" width="9.140625" style="1088"/>
    <col min="769" max="769" width="100.7109375" style="1088" customWidth="1"/>
    <col min="770" max="1024" width="9.140625" style="1088"/>
    <col min="1025" max="1025" width="100.7109375" style="1088" customWidth="1"/>
    <col min="1026" max="1280" width="9.140625" style="1088"/>
    <col min="1281" max="1281" width="100.7109375" style="1088" customWidth="1"/>
    <col min="1282" max="1536" width="9.140625" style="1088"/>
    <col min="1537" max="1537" width="100.7109375" style="1088" customWidth="1"/>
    <col min="1538" max="1792" width="9.140625" style="1088"/>
    <col min="1793" max="1793" width="100.7109375" style="1088" customWidth="1"/>
    <col min="1794" max="2048" width="9.140625" style="1088"/>
    <col min="2049" max="2049" width="100.7109375" style="1088" customWidth="1"/>
    <col min="2050" max="2304" width="9.140625" style="1088"/>
    <col min="2305" max="2305" width="100.7109375" style="1088" customWidth="1"/>
    <col min="2306" max="2560" width="9.140625" style="1088"/>
    <col min="2561" max="2561" width="100.7109375" style="1088" customWidth="1"/>
    <col min="2562" max="2816" width="9.140625" style="1088"/>
    <col min="2817" max="2817" width="100.7109375" style="1088" customWidth="1"/>
    <col min="2818" max="3072" width="9.140625" style="1088"/>
    <col min="3073" max="3073" width="100.7109375" style="1088" customWidth="1"/>
    <col min="3074" max="3328" width="9.140625" style="1088"/>
    <col min="3329" max="3329" width="100.7109375" style="1088" customWidth="1"/>
    <col min="3330" max="3584" width="9.140625" style="1088"/>
    <col min="3585" max="3585" width="100.7109375" style="1088" customWidth="1"/>
    <col min="3586" max="3840" width="9.140625" style="1088"/>
    <col min="3841" max="3841" width="100.7109375" style="1088" customWidth="1"/>
    <col min="3842" max="4096" width="9.140625" style="1088"/>
    <col min="4097" max="4097" width="100.7109375" style="1088" customWidth="1"/>
    <col min="4098" max="4352" width="9.140625" style="1088"/>
    <col min="4353" max="4353" width="100.7109375" style="1088" customWidth="1"/>
    <col min="4354" max="4608" width="9.140625" style="1088"/>
    <col min="4609" max="4609" width="100.7109375" style="1088" customWidth="1"/>
    <col min="4610" max="4864" width="9.140625" style="1088"/>
    <col min="4865" max="4865" width="100.7109375" style="1088" customWidth="1"/>
    <col min="4866" max="5120" width="9.140625" style="1088"/>
    <col min="5121" max="5121" width="100.7109375" style="1088" customWidth="1"/>
    <col min="5122" max="5376" width="9.140625" style="1088"/>
    <col min="5377" max="5377" width="100.7109375" style="1088" customWidth="1"/>
    <col min="5378" max="5632" width="9.140625" style="1088"/>
    <col min="5633" max="5633" width="100.7109375" style="1088" customWidth="1"/>
    <col min="5634" max="5888" width="9.140625" style="1088"/>
    <col min="5889" max="5889" width="100.7109375" style="1088" customWidth="1"/>
    <col min="5890" max="6144" width="9.140625" style="1088"/>
    <col min="6145" max="6145" width="100.7109375" style="1088" customWidth="1"/>
    <col min="6146" max="6400" width="9.140625" style="1088"/>
    <col min="6401" max="6401" width="100.7109375" style="1088" customWidth="1"/>
    <col min="6402" max="6656" width="9.140625" style="1088"/>
    <col min="6657" max="6657" width="100.7109375" style="1088" customWidth="1"/>
    <col min="6658" max="6912" width="9.140625" style="1088"/>
    <col min="6913" max="6913" width="100.7109375" style="1088" customWidth="1"/>
    <col min="6914" max="7168" width="9.140625" style="1088"/>
    <col min="7169" max="7169" width="100.7109375" style="1088" customWidth="1"/>
    <col min="7170" max="7424" width="9.140625" style="1088"/>
    <col min="7425" max="7425" width="100.7109375" style="1088" customWidth="1"/>
    <col min="7426" max="7680" width="9.140625" style="1088"/>
    <col min="7681" max="7681" width="100.7109375" style="1088" customWidth="1"/>
    <col min="7682" max="7936" width="9.140625" style="1088"/>
    <col min="7937" max="7937" width="100.7109375" style="1088" customWidth="1"/>
    <col min="7938" max="8192" width="9.140625" style="1088"/>
    <col min="8193" max="8193" width="100.7109375" style="1088" customWidth="1"/>
    <col min="8194" max="8448" width="9.140625" style="1088"/>
    <col min="8449" max="8449" width="100.7109375" style="1088" customWidth="1"/>
    <col min="8450" max="8704" width="9.140625" style="1088"/>
    <col min="8705" max="8705" width="100.7109375" style="1088" customWidth="1"/>
    <col min="8706" max="8960" width="9.140625" style="1088"/>
    <col min="8961" max="8961" width="100.7109375" style="1088" customWidth="1"/>
    <col min="8962" max="9216" width="9.140625" style="1088"/>
    <col min="9217" max="9217" width="100.7109375" style="1088" customWidth="1"/>
    <col min="9218" max="9472" width="9.140625" style="1088"/>
    <col min="9473" max="9473" width="100.7109375" style="1088" customWidth="1"/>
    <col min="9474" max="9728" width="9.140625" style="1088"/>
    <col min="9729" max="9729" width="100.7109375" style="1088" customWidth="1"/>
    <col min="9730" max="9984" width="9.140625" style="1088"/>
    <col min="9985" max="9985" width="100.7109375" style="1088" customWidth="1"/>
    <col min="9986" max="10240" width="9.140625" style="1088"/>
    <col min="10241" max="10241" width="100.7109375" style="1088" customWidth="1"/>
    <col min="10242" max="10496" width="9.140625" style="1088"/>
    <col min="10497" max="10497" width="100.7109375" style="1088" customWidth="1"/>
    <col min="10498" max="10752" width="9.140625" style="1088"/>
    <col min="10753" max="10753" width="100.7109375" style="1088" customWidth="1"/>
    <col min="10754" max="11008" width="9.140625" style="1088"/>
    <col min="11009" max="11009" width="100.7109375" style="1088" customWidth="1"/>
    <col min="11010" max="11264" width="9.140625" style="1088"/>
    <col min="11265" max="11265" width="100.7109375" style="1088" customWidth="1"/>
    <col min="11266" max="11520" width="9.140625" style="1088"/>
    <col min="11521" max="11521" width="100.7109375" style="1088" customWidth="1"/>
    <col min="11522" max="11776" width="9.140625" style="1088"/>
    <col min="11777" max="11777" width="100.7109375" style="1088" customWidth="1"/>
    <col min="11778" max="12032" width="9.140625" style="1088"/>
    <col min="12033" max="12033" width="100.7109375" style="1088" customWidth="1"/>
    <col min="12034" max="12288" width="9.140625" style="1088"/>
    <col min="12289" max="12289" width="100.7109375" style="1088" customWidth="1"/>
    <col min="12290" max="12544" width="9.140625" style="1088"/>
    <col min="12545" max="12545" width="100.7109375" style="1088" customWidth="1"/>
    <col min="12546" max="12800" width="9.140625" style="1088"/>
    <col min="12801" max="12801" width="100.7109375" style="1088" customWidth="1"/>
    <col min="12802" max="13056" width="9.140625" style="1088"/>
    <col min="13057" max="13057" width="100.7109375" style="1088" customWidth="1"/>
    <col min="13058" max="13312" width="9.140625" style="1088"/>
    <col min="13313" max="13313" width="100.7109375" style="1088" customWidth="1"/>
    <col min="13314" max="13568" width="9.140625" style="1088"/>
    <col min="13569" max="13569" width="100.7109375" style="1088" customWidth="1"/>
    <col min="13570" max="13824" width="9.140625" style="1088"/>
    <col min="13825" max="13825" width="100.7109375" style="1088" customWidth="1"/>
    <col min="13826" max="14080" width="9.140625" style="1088"/>
    <col min="14081" max="14081" width="100.7109375" style="1088" customWidth="1"/>
    <col min="14082" max="14336" width="9.140625" style="1088"/>
    <col min="14337" max="14337" width="100.7109375" style="1088" customWidth="1"/>
    <col min="14338" max="14592" width="9.140625" style="1088"/>
    <col min="14593" max="14593" width="100.7109375" style="1088" customWidth="1"/>
    <col min="14594" max="14848" width="9.140625" style="1088"/>
    <col min="14849" max="14849" width="100.7109375" style="1088" customWidth="1"/>
    <col min="14850" max="15104" width="9.140625" style="1088"/>
    <col min="15105" max="15105" width="100.7109375" style="1088" customWidth="1"/>
    <col min="15106" max="15360" width="9.140625" style="1088"/>
    <col min="15361" max="15361" width="100.7109375" style="1088" customWidth="1"/>
    <col min="15362" max="15616" width="9.140625" style="1088"/>
    <col min="15617" max="15617" width="100.7109375" style="1088" customWidth="1"/>
    <col min="15618" max="15872" width="9.140625" style="1088"/>
    <col min="15873" max="15873" width="100.7109375" style="1088" customWidth="1"/>
    <col min="15874" max="16128" width="9.140625" style="1088"/>
    <col min="16129" max="16129" width="100.7109375" style="1088" customWidth="1"/>
    <col min="16130" max="16384" width="9.140625" style="1088"/>
  </cols>
  <sheetData>
    <row r="1" spans="1:8" ht="30" customHeight="1">
      <c r="A1" s="1086"/>
      <c r="B1" s="1087"/>
      <c r="C1" s="1087"/>
      <c r="D1" s="1087"/>
      <c r="E1" s="1087"/>
      <c r="F1" s="1087"/>
      <c r="G1" s="1087"/>
      <c r="H1" s="1087"/>
    </row>
    <row r="2" spans="1:8" ht="14.25">
      <c r="A2" s="1089" t="s">
        <v>777</v>
      </c>
      <c r="B2" s="1087"/>
      <c r="C2" s="1087"/>
      <c r="D2" s="1087"/>
      <c r="E2" s="1087"/>
      <c r="F2" s="1087"/>
      <c r="G2" s="1087"/>
      <c r="H2" s="1087"/>
    </row>
    <row r="3" spans="1:8" ht="14.25">
      <c r="A3" s="1089" t="s">
        <v>778</v>
      </c>
      <c r="B3" s="1087"/>
      <c r="C3" s="1087"/>
      <c r="D3" s="1087"/>
      <c r="E3" s="1087"/>
      <c r="F3" s="1087"/>
      <c r="G3" s="1087"/>
      <c r="H3" s="1087"/>
    </row>
    <row r="4" spans="1:8" ht="14.25">
      <c r="A4" s="1089" t="s">
        <v>539</v>
      </c>
      <c r="B4" s="1087"/>
      <c r="C4" s="1087"/>
      <c r="D4" s="1087"/>
      <c r="E4" s="1087"/>
      <c r="F4" s="1087"/>
      <c r="G4" s="1087"/>
      <c r="H4" s="1087"/>
    </row>
    <row r="5" spans="1:8" ht="14.25">
      <c r="A5" s="1089" t="s">
        <v>779</v>
      </c>
      <c r="B5" s="1087"/>
      <c r="C5" s="1087"/>
      <c r="D5" s="1087"/>
      <c r="E5" s="1087"/>
      <c r="F5" s="1087"/>
      <c r="G5" s="1087"/>
      <c r="H5" s="1087"/>
    </row>
    <row r="6" spans="1:8" ht="14.25">
      <c r="A6" s="1089"/>
      <c r="B6" s="1087"/>
      <c r="C6" s="1087"/>
      <c r="D6" s="1087"/>
      <c r="E6" s="1087"/>
      <c r="F6" s="1087"/>
      <c r="G6" s="1087"/>
      <c r="H6" s="1087"/>
    </row>
    <row r="7" spans="1:8">
      <c r="A7" s="1086" t="s">
        <v>780</v>
      </c>
      <c r="B7" s="1087"/>
      <c r="C7" s="1087"/>
      <c r="D7" s="1087"/>
      <c r="E7" s="1087"/>
      <c r="F7" s="1087"/>
      <c r="G7" s="1087"/>
      <c r="H7" s="1087"/>
    </row>
    <row r="8" spans="1:8">
      <c r="A8" s="1086" t="s">
        <v>781</v>
      </c>
      <c r="B8" s="1087"/>
      <c r="C8" s="1087"/>
      <c r="D8" s="1087"/>
      <c r="E8" s="1087"/>
      <c r="F8" s="1087"/>
      <c r="G8" s="1087"/>
      <c r="H8" s="1087"/>
    </row>
    <row r="9" spans="1:8">
      <c r="A9" s="1086"/>
      <c r="B9" s="1087"/>
      <c r="C9" s="1087"/>
      <c r="D9" s="1087"/>
      <c r="E9" s="1087"/>
      <c r="F9" s="1087"/>
      <c r="G9" s="1087"/>
      <c r="H9" s="1087"/>
    </row>
    <row r="10" spans="1:8">
      <c r="A10" s="1090" t="s">
        <v>782</v>
      </c>
      <c r="B10" s="1087"/>
      <c r="C10" s="1087"/>
      <c r="D10" s="1087"/>
      <c r="E10" s="1087"/>
      <c r="F10" s="1087"/>
      <c r="G10" s="1087"/>
      <c r="H10" s="1087"/>
    </row>
    <row r="11" spans="1:8">
      <c r="A11" s="1090" t="s">
        <v>783</v>
      </c>
      <c r="B11" s="1087"/>
      <c r="C11" s="1087"/>
      <c r="D11" s="1087"/>
      <c r="E11" s="1087"/>
      <c r="F11" s="1087"/>
      <c r="G11" s="1087"/>
      <c r="H11" s="1087"/>
    </row>
    <row r="12" spans="1:8">
      <c r="A12" s="1090" t="s">
        <v>784</v>
      </c>
      <c r="B12" s="1087"/>
      <c r="C12" s="1087"/>
      <c r="D12" s="1087"/>
      <c r="E12" s="1087"/>
      <c r="F12" s="1087"/>
      <c r="G12" s="1087"/>
      <c r="H12" s="1087"/>
    </row>
    <row r="13" spans="1:8">
      <c r="A13" s="1090" t="s">
        <v>785</v>
      </c>
      <c r="B13" s="1087"/>
      <c r="C13" s="1087"/>
      <c r="D13" s="1087"/>
      <c r="E13" s="1087"/>
      <c r="F13" s="1087"/>
      <c r="G13" s="1087"/>
      <c r="H13" s="1087"/>
    </row>
    <row r="14" spans="1:8">
      <c r="A14" s="1090" t="s">
        <v>786</v>
      </c>
      <c r="B14" s="1087"/>
      <c r="C14" s="1087"/>
      <c r="D14" s="1087"/>
      <c r="E14" s="1087"/>
      <c r="F14" s="1087"/>
      <c r="G14" s="1087"/>
      <c r="H14" s="1087"/>
    </row>
    <row r="15" spans="1:8">
      <c r="A15" s="1090" t="s">
        <v>787</v>
      </c>
      <c r="B15" s="1087"/>
      <c r="C15" s="1087"/>
      <c r="D15" s="1087"/>
      <c r="E15" s="1087"/>
      <c r="F15" s="1087"/>
      <c r="G15" s="1087"/>
      <c r="H15" s="1087"/>
    </row>
    <row r="16" spans="1:8">
      <c r="A16" s="1090"/>
      <c r="B16" s="1087"/>
      <c r="C16" s="1087"/>
      <c r="D16" s="1087"/>
      <c r="E16" s="1087"/>
      <c r="F16" s="1087"/>
      <c r="G16" s="1087"/>
      <c r="H16" s="1087"/>
    </row>
    <row r="17" spans="1:8">
      <c r="A17" s="1090" t="s">
        <v>774</v>
      </c>
      <c r="B17" s="1087"/>
      <c r="C17" s="1087"/>
      <c r="D17" s="1087"/>
      <c r="E17" s="1087"/>
      <c r="F17" s="1087"/>
      <c r="G17" s="1087"/>
      <c r="H17" s="1087"/>
    </row>
    <row r="18" spans="1:8">
      <c r="A18" s="1090"/>
      <c r="B18" s="1087"/>
      <c r="C18" s="1087"/>
      <c r="D18" s="1087"/>
      <c r="E18" s="1087"/>
      <c r="F18" s="1087"/>
      <c r="G18" s="1087"/>
      <c r="H18" s="1087"/>
    </row>
    <row r="19" spans="1:8">
      <c r="A19" s="1090" t="s">
        <v>775</v>
      </c>
      <c r="B19" s="1087"/>
      <c r="C19" s="1087"/>
      <c r="D19" s="1087"/>
      <c r="E19" s="1087"/>
      <c r="F19" s="1087"/>
      <c r="G19" s="1087"/>
      <c r="H19" s="1087"/>
    </row>
    <row r="20" spans="1:8">
      <c r="A20" s="1086"/>
      <c r="B20" s="1087"/>
      <c r="C20" s="1087"/>
      <c r="D20" s="1087"/>
      <c r="E20" s="1087"/>
      <c r="F20" s="1087"/>
      <c r="G20" s="1087"/>
      <c r="H20" s="1087"/>
    </row>
    <row r="21" spans="1:8">
      <c r="A21" s="1091" t="s">
        <v>776</v>
      </c>
      <c r="B21" s="1087"/>
      <c r="C21" s="1087"/>
      <c r="D21" s="1087"/>
      <c r="E21" s="1087"/>
      <c r="F21" s="1087"/>
      <c r="G21" s="1087"/>
      <c r="H21" s="1087"/>
    </row>
    <row r="22" spans="1:8" ht="15">
      <c r="A22" s="1092"/>
      <c r="B22" s="1092"/>
      <c r="C22" s="1092"/>
      <c r="D22" s="1092"/>
      <c r="E22" s="1092"/>
      <c r="F22" s="1092"/>
      <c r="G22" s="1092"/>
      <c r="H22" s="1092"/>
    </row>
    <row r="23" spans="1:8" ht="15">
      <c r="A23" s="1093" t="s">
        <v>1077</v>
      </c>
      <c r="B23" s="1092"/>
      <c r="C23" s="1092"/>
      <c r="D23" s="1092"/>
      <c r="E23" s="1092"/>
      <c r="F23" s="1092"/>
      <c r="G23" s="1092"/>
      <c r="H23" s="1092"/>
    </row>
    <row r="24" spans="1:8" ht="15">
      <c r="A24" s="1093" t="s">
        <v>1078</v>
      </c>
      <c r="B24" s="1092"/>
      <c r="C24" s="1092"/>
      <c r="D24" s="1092"/>
      <c r="E24" s="1092"/>
      <c r="F24" s="1092"/>
      <c r="G24" s="1092"/>
      <c r="H24" s="1092"/>
    </row>
    <row r="25" spans="1:8" ht="15">
      <c r="A25" s="1093" t="s">
        <v>1079</v>
      </c>
      <c r="B25" s="1092"/>
      <c r="C25" s="1092"/>
      <c r="D25" s="1092"/>
      <c r="E25" s="1092"/>
      <c r="F25" s="1092"/>
      <c r="G25" s="1092"/>
      <c r="H25" s="1092"/>
    </row>
    <row r="26" spans="1:8" ht="15">
      <c r="A26" s="1093" t="s">
        <v>1080</v>
      </c>
      <c r="B26" s="1092"/>
      <c r="C26" s="1092"/>
      <c r="D26" s="1092"/>
      <c r="E26" s="1092"/>
      <c r="F26" s="1092"/>
      <c r="G26" s="1092"/>
      <c r="H26" s="1092"/>
    </row>
    <row r="27" spans="1:8" ht="15">
      <c r="A27" s="1092"/>
      <c r="B27" s="1092"/>
      <c r="C27" s="1092"/>
      <c r="D27" s="1092"/>
      <c r="E27" s="1092"/>
      <c r="F27" s="1092"/>
      <c r="G27" s="1092"/>
      <c r="H27" s="1092"/>
    </row>
    <row r="28" spans="1:8" ht="15">
      <c r="A28" s="1092"/>
      <c r="B28" s="1092"/>
      <c r="C28" s="1092"/>
      <c r="D28" s="1092"/>
      <c r="E28" s="1092"/>
      <c r="F28" s="1092"/>
      <c r="G28" s="1092"/>
      <c r="H28" s="1092"/>
    </row>
    <row r="29" spans="1:8" ht="15">
      <c r="A29" s="1093" t="s">
        <v>1060</v>
      </c>
      <c r="B29" s="1092"/>
      <c r="C29" s="1092"/>
      <c r="D29" s="1092"/>
      <c r="E29" s="1092"/>
      <c r="F29" s="1092"/>
      <c r="G29" s="1092"/>
      <c r="H29" s="1092"/>
    </row>
    <row r="30" spans="1:8" ht="15">
      <c r="A30" s="1093" t="s">
        <v>1061</v>
      </c>
      <c r="B30" s="1092"/>
      <c r="C30" s="1092"/>
      <c r="D30" s="1092"/>
      <c r="E30" s="1092"/>
      <c r="F30" s="1092"/>
      <c r="G30" s="1092"/>
      <c r="H30" s="1092"/>
    </row>
    <row r="31" spans="1:8" ht="15">
      <c r="A31" s="1093" t="s">
        <v>1062</v>
      </c>
      <c r="B31" s="1092"/>
      <c r="C31" s="1092"/>
      <c r="D31" s="1092"/>
      <c r="E31" s="1092"/>
      <c r="F31" s="1092"/>
      <c r="G31" s="1092"/>
      <c r="H31" s="1092"/>
    </row>
    <row r="32" spans="1:8" ht="15">
      <c r="A32" s="1093" t="s">
        <v>1063</v>
      </c>
      <c r="B32" s="1092"/>
      <c r="C32" s="1092"/>
      <c r="D32" s="1092"/>
      <c r="E32" s="1092"/>
      <c r="F32" s="1092"/>
      <c r="G32" s="1092"/>
      <c r="H32" s="1092"/>
    </row>
    <row r="33" spans="1:8" ht="15">
      <c r="A33" s="1093" t="s">
        <v>1064</v>
      </c>
      <c r="B33" s="1092"/>
      <c r="C33" s="1092"/>
      <c r="D33" s="1092"/>
      <c r="E33" s="1092"/>
      <c r="F33" s="1092"/>
      <c r="G33" s="1092"/>
      <c r="H33" s="1092"/>
    </row>
    <row r="34" spans="1:8" ht="15">
      <c r="A34" s="1093" t="s">
        <v>1065</v>
      </c>
      <c r="B34" s="1092"/>
      <c r="C34" s="1092"/>
      <c r="D34" s="1092"/>
      <c r="E34" s="1092"/>
      <c r="F34" s="1092"/>
      <c r="G34" s="1092"/>
      <c r="H34" s="1092"/>
    </row>
    <row r="35" spans="1:8" ht="15">
      <c r="A35" s="1093" t="s">
        <v>1066</v>
      </c>
      <c r="B35" s="1092"/>
      <c r="C35" s="1092"/>
      <c r="D35" s="1092"/>
      <c r="E35" s="1092"/>
      <c r="F35" s="1092"/>
      <c r="G35" s="1092"/>
      <c r="H35" s="1092"/>
    </row>
    <row r="36" spans="1:8" ht="15">
      <c r="A36" s="1093" t="s">
        <v>1067</v>
      </c>
      <c r="B36" s="1092"/>
      <c r="C36" s="1092"/>
      <c r="D36" s="1092"/>
      <c r="E36" s="1092"/>
      <c r="F36" s="1092"/>
      <c r="G36" s="1092"/>
      <c r="H36" s="1092"/>
    </row>
    <row r="37" spans="1:8" ht="15">
      <c r="A37" s="1093" t="s">
        <v>1068</v>
      </c>
      <c r="B37" s="1092"/>
      <c r="C37" s="1092"/>
      <c r="D37" s="1092"/>
      <c r="E37" s="1092"/>
      <c r="F37" s="1092"/>
      <c r="G37" s="1092"/>
      <c r="H37" s="1092"/>
    </row>
    <row r="38" spans="1:8" ht="15">
      <c r="A38" s="1093" t="s">
        <v>1069</v>
      </c>
      <c r="B38" s="1092"/>
      <c r="C38" s="1092"/>
      <c r="D38" s="1092"/>
      <c r="E38" s="1092"/>
      <c r="F38" s="1092"/>
      <c r="G38" s="1092"/>
      <c r="H38" s="1092"/>
    </row>
    <row r="39" spans="1:8" ht="15">
      <c r="A39" s="1093" t="s">
        <v>1070</v>
      </c>
      <c r="B39" s="1092"/>
      <c r="C39" s="1092"/>
      <c r="D39" s="1092"/>
      <c r="E39" s="1092"/>
      <c r="F39" s="1092"/>
      <c r="G39" s="1092"/>
      <c r="H39" s="1092"/>
    </row>
    <row r="40" spans="1:8" ht="15">
      <c r="A40" s="1093" t="s">
        <v>1071</v>
      </c>
      <c r="B40" s="1092"/>
      <c r="C40" s="1092"/>
      <c r="D40" s="1092"/>
      <c r="E40" s="1092"/>
      <c r="F40" s="1092"/>
      <c r="G40" s="1092"/>
      <c r="H40" s="1092"/>
    </row>
    <row r="41" spans="1:8" ht="15">
      <c r="A41" s="1093" t="s">
        <v>1072</v>
      </c>
      <c r="B41" s="1092"/>
      <c r="C41" s="1092"/>
      <c r="D41" s="1092"/>
      <c r="E41" s="1092"/>
      <c r="F41" s="1092"/>
      <c r="G41" s="1092"/>
      <c r="H41" s="1092"/>
    </row>
    <row r="42" spans="1:8" ht="15">
      <c r="A42" s="1093" t="s">
        <v>1073</v>
      </c>
      <c r="B42" s="1092"/>
      <c r="C42" s="1092"/>
      <c r="D42" s="1092"/>
      <c r="E42" s="1092"/>
      <c r="F42" s="1092"/>
      <c r="G42" s="1092"/>
      <c r="H42" s="1092"/>
    </row>
    <row r="43" spans="1:8" ht="15">
      <c r="A43" s="1093" t="s">
        <v>1074</v>
      </c>
      <c r="B43" s="1092"/>
      <c r="C43" s="1092"/>
      <c r="D43" s="1092"/>
      <c r="E43" s="1092"/>
      <c r="F43" s="1092"/>
      <c r="G43" s="1092"/>
      <c r="H43" s="1092"/>
    </row>
    <row r="44" spans="1:8" ht="15">
      <c r="A44" s="1093" t="s">
        <v>1075</v>
      </c>
      <c r="B44" s="1092"/>
      <c r="C44" s="1092"/>
      <c r="D44" s="1092"/>
      <c r="E44" s="1092"/>
      <c r="F44" s="1092"/>
      <c r="G44" s="1092"/>
      <c r="H44" s="1092"/>
    </row>
    <row r="45" spans="1:8" ht="15">
      <c r="A45" s="1093" t="s">
        <v>1076</v>
      </c>
      <c r="B45" s="1092"/>
      <c r="C45" s="1092"/>
      <c r="D45" s="1092"/>
      <c r="E45" s="1092"/>
      <c r="F45" s="1092"/>
      <c r="G45" s="1092"/>
      <c r="H45" s="1092"/>
    </row>
    <row r="46" spans="1:8" ht="15">
      <c r="A46" s="1092"/>
      <c r="B46" s="1092"/>
      <c r="C46" s="1092"/>
      <c r="D46" s="1092"/>
      <c r="E46" s="1092"/>
      <c r="F46" s="1092"/>
      <c r="G46" s="1092"/>
      <c r="H46" s="1092"/>
    </row>
    <row r="47" spans="1:8" ht="15">
      <c r="A47" s="1093" t="s">
        <v>1056</v>
      </c>
      <c r="B47" s="1092"/>
      <c r="C47" s="1092"/>
      <c r="D47" s="1092"/>
      <c r="E47" s="1092"/>
      <c r="F47" s="1092"/>
      <c r="G47" s="1092"/>
      <c r="H47" s="1092"/>
    </row>
    <row r="48" spans="1:8" ht="15">
      <c r="A48" s="1093" t="s">
        <v>1057</v>
      </c>
      <c r="B48" s="1092"/>
      <c r="C48" s="1092"/>
      <c r="D48" s="1092"/>
      <c r="E48" s="1092"/>
      <c r="F48" s="1092"/>
      <c r="G48" s="1092"/>
      <c r="H48" s="1092"/>
    </row>
    <row r="49" spans="1:8" ht="15">
      <c r="A49" s="1093" t="s">
        <v>1058</v>
      </c>
      <c r="B49" s="1092"/>
      <c r="C49" s="1092"/>
      <c r="D49" s="1092"/>
      <c r="E49" s="1092"/>
      <c r="F49" s="1092"/>
      <c r="G49" s="1092"/>
      <c r="H49" s="1092"/>
    </row>
    <row r="50" spans="1:8" ht="15">
      <c r="A50" s="1093" t="s">
        <v>1059</v>
      </c>
      <c r="B50" s="1092"/>
      <c r="C50" s="1092"/>
      <c r="D50" s="1092"/>
      <c r="E50" s="1092"/>
      <c r="F50" s="1092"/>
      <c r="G50" s="1092"/>
      <c r="H50" s="1092"/>
    </row>
    <row r="51" spans="1:8" ht="15">
      <c r="A51" s="1092"/>
      <c r="B51" s="1092"/>
      <c r="C51" s="1092"/>
      <c r="D51" s="1092"/>
      <c r="E51" s="1092"/>
      <c r="F51" s="1092"/>
      <c r="G51" s="1092"/>
      <c r="H51" s="1092"/>
    </row>
    <row r="52" spans="1:8" ht="15">
      <c r="A52" s="1093" t="s">
        <v>1050</v>
      </c>
      <c r="B52" s="1092"/>
      <c r="C52" s="1092"/>
      <c r="D52" s="1092"/>
      <c r="E52" s="1092"/>
      <c r="F52" s="1092"/>
      <c r="G52" s="1092"/>
      <c r="H52" s="1092"/>
    </row>
    <row r="53" spans="1:8" ht="15">
      <c r="A53" s="1093" t="s">
        <v>1051</v>
      </c>
      <c r="B53" s="1092"/>
      <c r="C53" s="1092"/>
      <c r="D53" s="1092"/>
      <c r="E53" s="1092"/>
      <c r="F53" s="1092"/>
      <c r="G53" s="1092"/>
      <c r="H53" s="1092"/>
    </row>
    <row r="54" spans="1:8" ht="15">
      <c r="A54" s="1093" t="s">
        <v>1052</v>
      </c>
      <c r="B54" s="1092"/>
      <c r="C54" s="1092"/>
      <c r="D54" s="1092"/>
      <c r="E54" s="1092"/>
      <c r="F54" s="1092"/>
      <c r="G54" s="1092"/>
      <c r="H54" s="1092"/>
    </row>
    <row r="55" spans="1:8" ht="15">
      <c r="A55" s="1093" t="s">
        <v>1053</v>
      </c>
      <c r="B55" s="1092"/>
      <c r="C55" s="1092"/>
      <c r="D55" s="1092"/>
      <c r="E55" s="1092"/>
      <c r="F55" s="1092"/>
      <c r="G55" s="1092"/>
      <c r="H55" s="1092"/>
    </row>
    <row r="56" spans="1:8" ht="15">
      <c r="A56" s="1093" t="s">
        <v>1054</v>
      </c>
      <c r="B56" s="1092"/>
      <c r="C56" s="1092"/>
      <c r="D56" s="1092"/>
      <c r="E56" s="1092"/>
      <c r="F56" s="1092"/>
      <c r="G56" s="1092"/>
      <c r="H56" s="1092"/>
    </row>
    <row r="57" spans="1:8" ht="15">
      <c r="A57" s="1093" t="s">
        <v>1055</v>
      </c>
      <c r="B57" s="1092"/>
      <c r="C57" s="1092"/>
      <c r="D57" s="1092"/>
      <c r="E57" s="1092"/>
      <c r="F57" s="1092"/>
      <c r="G57" s="1092"/>
      <c r="H57" s="1092"/>
    </row>
    <row r="58" spans="1:8" ht="15">
      <c r="A58" s="1092"/>
      <c r="B58" s="1092"/>
      <c r="C58" s="1092"/>
      <c r="D58" s="1092"/>
      <c r="E58" s="1092"/>
      <c r="F58" s="1092"/>
      <c r="G58" s="1092"/>
      <c r="H58" s="1092"/>
    </row>
    <row r="59" spans="1:8" ht="15.75">
      <c r="A59" s="1094" t="s">
        <v>788</v>
      </c>
      <c r="B59" s="1092"/>
      <c r="C59" s="1092"/>
      <c r="D59" s="1092"/>
      <c r="E59" s="1092"/>
      <c r="F59" s="1092"/>
      <c r="G59" s="1092"/>
      <c r="H59" s="1092"/>
    </row>
    <row r="60" spans="1:8" ht="15">
      <c r="A60" s="1092"/>
      <c r="B60" s="1092"/>
      <c r="C60" s="1092"/>
      <c r="D60" s="1092"/>
      <c r="E60" s="1092"/>
      <c r="F60" s="1092"/>
      <c r="G60" s="1092"/>
      <c r="H60" s="1092"/>
    </row>
    <row r="61" spans="1:8" ht="15">
      <c r="A61" s="1093" t="s">
        <v>1046</v>
      </c>
      <c r="B61" s="1092"/>
      <c r="C61" s="1092"/>
      <c r="D61" s="1092"/>
      <c r="E61" s="1092"/>
      <c r="F61" s="1092"/>
      <c r="G61" s="1092"/>
      <c r="H61" s="1092"/>
    </row>
    <row r="62" spans="1:8" ht="15">
      <c r="A62" s="1093" t="s">
        <v>1047</v>
      </c>
      <c r="B62" s="1092"/>
      <c r="C62" s="1092"/>
      <c r="D62" s="1092"/>
      <c r="E62" s="1092"/>
      <c r="F62" s="1092"/>
      <c r="G62" s="1092"/>
      <c r="H62" s="1092"/>
    </row>
    <row r="63" spans="1:8" ht="15">
      <c r="A63" s="1093" t="s">
        <v>1048</v>
      </c>
      <c r="B63" s="1092"/>
      <c r="C63" s="1092"/>
      <c r="D63" s="1092"/>
      <c r="E63" s="1092"/>
      <c r="F63" s="1092"/>
      <c r="G63" s="1092"/>
      <c r="H63" s="1092"/>
    </row>
    <row r="64" spans="1:8" ht="15">
      <c r="A64" s="1093" t="s">
        <v>1049</v>
      </c>
      <c r="B64" s="1092"/>
      <c r="C64" s="1092"/>
      <c r="D64" s="1092"/>
      <c r="E64" s="1092"/>
      <c r="F64" s="1092"/>
      <c r="G64" s="1092"/>
      <c r="H64" s="1092"/>
    </row>
    <row r="65" spans="1:8" ht="15">
      <c r="A65" s="1092"/>
      <c r="B65" s="1092"/>
      <c r="C65" s="1092"/>
      <c r="D65" s="1092"/>
      <c r="E65" s="1092"/>
      <c r="F65" s="1092"/>
      <c r="G65" s="1092"/>
      <c r="H65" s="1092"/>
    </row>
    <row r="66" spans="1:8" ht="15">
      <c r="A66" s="1093" t="s">
        <v>789</v>
      </c>
      <c r="B66" s="1092"/>
      <c r="C66" s="1092"/>
      <c r="D66" s="1092"/>
      <c r="E66" s="1092"/>
      <c r="F66" s="1092"/>
      <c r="G66" s="1092"/>
      <c r="H66" s="1092"/>
    </row>
    <row r="67" spans="1:8" ht="15">
      <c r="A67" s="1092"/>
      <c r="B67" s="1092"/>
      <c r="C67" s="1092"/>
      <c r="D67" s="1092"/>
      <c r="E67" s="1092"/>
      <c r="F67" s="1092"/>
      <c r="G67" s="1092"/>
      <c r="H67" s="1092"/>
    </row>
    <row r="68" spans="1:8" ht="15.75">
      <c r="A68" s="1094" t="s">
        <v>790</v>
      </c>
      <c r="B68" s="1092"/>
      <c r="C68" s="1092"/>
      <c r="D68" s="1092"/>
      <c r="E68" s="1092"/>
      <c r="F68" s="1092"/>
      <c r="G68" s="1092"/>
      <c r="H68" s="1092"/>
    </row>
    <row r="69" spans="1:8" ht="15">
      <c r="A69" s="1092"/>
      <c r="B69" s="1092"/>
      <c r="C69" s="1092"/>
      <c r="D69" s="1092"/>
      <c r="E69" s="1092"/>
      <c r="F69" s="1092"/>
      <c r="G69" s="1092"/>
      <c r="H69" s="1092"/>
    </row>
    <row r="70" spans="1:8" ht="15">
      <c r="A70" s="1093" t="s">
        <v>1044</v>
      </c>
      <c r="B70" s="1092"/>
      <c r="C70" s="1092"/>
      <c r="D70" s="1092"/>
      <c r="E70" s="1092"/>
      <c r="F70" s="1092"/>
      <c r="G70" s="1092"/>
      <c r="H70" s="1092"/>
    </row>
    <row r="71" spans="1:8" ht="15">
      <c r="A71" s="1093" t="s">
        <v>1045</v>
      </c>
      <c r="B71" s="1092"/>
      <c r="C71" s="1092"/>
      <c r="D71" s="1092"/>
      <c r="E71" s="1092"/>
      <c r="F71" s="1092"/>
      <c r="G71" s="1092"/>
      <c r="H71" s="1092"/>
    </row>
    <row r="72" spans="1:8" ht="15">
      <c r="A72" s="1092"/>
      <c r="B72" s="1092"/>
      <c r="C72" s="1092"/>
      <c r="D72" s="1092"/>
      <c r="E72" s="1092"/>
      <c r="F72" s="1092"/>
      <c r="G72" s="1092"/>
      <c r="H72" s="1092"/>
    </row>
    <row r="73" spans="1:8" ht="15.75">
      <c r="A73" s="1094" t="s">
        <v>791</v>
      </c>
      <c r="B73" s="1092"/>
      <c r="C73" s="1092"/>
      <c r="D73" s="1092"/>
      <c r="E73" s="1092"/>
      <c r="F73" s="1092"/>
      <c r="G73" s="1092"/>
      <c r="H73" s="1092"/>
    </row>
    <row r="74" spans="1:8" ht="15">
      <c r="A74" s="1092"/>
      <c r="B74" s="1092"/>
      <c r="C74" s="1092"/>
      <c r="D74" s="1092"/>
      <c r="E74" s="1092"/>
      <c r="F74" s="1092"/>
      <c r="G74" s="1092"/>
      <c r="H74" s="1092"/>
    </row>
    <row r="75" spans="1:8" ht="15">
      <c r="A75" s="1093" t="s">
        <v>1042</v>
      </c>
      <c r="B75" s="1092"/>
      <c r="C75" s="1092"/>
      <c r="D75" s="1092"/>
      <c r="E75" s="1092"/>
      <c r="F75" s="1092"/>
      <c r="G75" s="1092"/>
      <c r="H75" s="1092"/>
    </row>
    <row r="76" spans="1:8" ht="15">
      <c r="A76" s="1093" t="s">
        <v>1043</v>
      </c>
      <c r="B76" s="1092"/>
      <c r="C76" s="1092"/>
      <c r="D76" s="1092"/>
      <c r="E76" s="1092"/>
      <c r="F76" s="1092"/>
      <c r="G76" s="1092"/>
      <c r="H76" s="1092"/>
    </row>
    <row r="77" spans="1:8" ht="15">
      <c r="A77" s="1092"/>
      <c r="B77" s="1092"/>
      <c r="C77" s="1092"/>
      <c r="D77" s="1092"/>
      <c r="E77" s="1092"/>
      <c r="F77" s="1092"/>
      <c r="G77" s="1092"/>
      <c r="H77" s="1092"/>
    </row>
    <row r="78" spans="1:8" ht="15">
      <c r="A78" s="1093" t="s">
        <v>1040</v>
      </c>
      <c r="B78" s="1092"/>
      <c r="C78" s="1092"/>
      <c r="D78" s="1092"/>
      <c r="E78" s="1092"/>
      <c r="F78" s="1092"/>
      <c r="G78" s="1092"/>
      <c r="H78" s="1092"/>
    </row>
    <row r="79" spans="1:8" ht="15">
      <c r="A79" s="1093" t="s">
        <v>1041</v>
      </c>
      <c r="B79" s="1092"/>
      <c r="C79" s="1092"/>
      <c r="D79" s="1092"/>
      <c r="E79" s="1092"/>
      <c r="F79" s="1092"/>
      <c r="G79" s="1092"/>
      <c r="H79" s="1092"/>
    </row>
    <row r="80" spans="1:8" ht="15">
      <c r="A80" s="1092"/>
      <c r="B80" s="1092"/>
      <c r="C80" s="1092"/>
      <c r="D80" s="1092"/>
      <c r="E80" s="1092"/>
      <c r="F80" s="1092"/>
      <c r="G80" s="1092"/>
      <c r="H80" s="1092"/>
    </row>
    <row r="81" spans="1:8" ht="15">
      <c r="A81" s="1093" t="s">
        <v>1037</v>
      </c>
      <c r="B81" s="1092"/>
      <c r="C81" s="1092"/>
      <c r="D81" s="1092"/>
      <c r="E81" s="1092"/>
      <c r="F81" s="1092"/>
      <c r="G81" s="1092"/>
      <c r="H81" s="1092"/>
    </row>
    <row r="82" spans="1:8" ht="15">
      <c r="A82" s="1093" t="s">
        <v>1038</v>
      </c>
      <c r="B82" s="1092"/>
      <c r="C82" s="1092"/>
      <c r="D82" s="1092"/>
      <c r="E82" s="1092"/>
      <c r="F82" s="1092"/>
      <c r="G82" s="1092"/>
      <c r="H82" s="1092"/>
    </row>
    <row r="83" spans="1:8" ht="15">
      <c r="A83" s="1093" t="s">
        <v>1039</v>
      </c>
      <c r="B83" s="1092"/>
      <c r="C83" s="1092"/>
      <c r="D83" s="1092"/>
      <c r="E83" s="1092"/>
      <c r="F83" s="1092"/>
      <c r="G83" s="1092"/>
      <c r="H83" s="1092"/>
    </row>
    <row r="84" spans="1:8" ht="15">
      <c r="A84" s="1092"/>
      <c r="B84" s="1092"/>
      <c r="C84" s="1092"/>
      <c r="D84" s="1092"/>
      <c r="E84" s="1092"/>
      <c r="F84" s="1092"/>
      <c r="G84" s="1092"/>
      <c r="H84" s="1092"/>
    </row>
    <row r="85" spans="1:8" ht="15">
      <c r="A85" s="1093" t="s">
        <v>1032</v>
      </c>
      <c r="B85" s="1092"/>
      <c r="C85" s="1092"/>
      <c r="D85" s="1092"/>
      <c r="E85" s="1092"/>
      <c r="F85" s="1092"/>
      <c r="G85" s="1092"/>
      <c r="H85" s="1092"/>
    </row>
    <row r="86" spans="1:8" ht="15">
      <c r="A86" s="1093" t="s">
        <v>1033</v>
      </c>
      <c r="B86" s="1092"/>
      <c r="C86" s="1092"/>
      <c r="D86" s="1092"/>
      <c r="E86" s="1092"/>
      <c r="F86" s="1092"/>
      <c r="G86" s="1092"/>
      <c r="H86" s="1092"/>
    </row>
    <row r="87" spans="1:8" ht="15">
      <c r="A87" s="1093" t="s">
        <v>1034</v>
      </c>
      <c r="B87" s="1092"/>
      <c r="C87" s="1092"/>
      <c r="D87" s="1092"/>
      <c r="E87" s="1092"/>
      <c r="F87" s="1092"/>
      <c r="G87" s="1092"/>
      <c r="H87" s="1092"/>
    </row>
    <row r="88" spans="1:8" ht="15">
      <c r="A88" s="1093" t="s">
        <v>1035</v>
      </c>
      <c r="B88" s="1092"/>
      <c r="C88" s="1092"/>
      <c r="D88" s="1092"/>
      <c r="E88" s="1092"/>
      <c r="F88" s="1092"/>
      <c r="G88" s="1092"/>
      <c r="H88" s="1092"/>
    </row>
    <row r="89" spans="1:8" ht="15">
      <c r="A89" s="1093" t="s">
        <v>1036</v>
      </c>
      <c r="B89" s="1092"/>
      <c r="C89" s="1092"/>
      <c r="D89" s="1092"/>
      <c r="E89" s="1092"/>
      <c r="F89" s="1092"/>
      <c r="G89" s="1092"/>
      <c r="H89" s="1092"/>
    </row>
    <row r="90" spans="1:8" ht="15">
      <c r="A90" s="1093" t="s">
        <v>919</v>
      </c>
      <c r="B90" s="1092"/>
      <c r="C90" s="1092"/>
      <c r="D90" s="1092"/>
      <c r="E90" s="1092"/>
      <c r="F90" s="1092"/>
      <c r="G90" s="1092"/>
      <c r="H90" s="1092"/>
    </row>
    <row r="91" spans="1:8" ht="15">
      <c r="A91" s="1092"/>
      <c r="B91" s="1092"/>
      <c r="C91" s="1092"/>
      <c r="D91" s="1092"/>
      <c r="E91" s="1092"/>
      <c r="F91" s="1092"/>
      <c r="G91" s="1092"/>
      <c r="H91" s="1092"/>
    </row>
    <row r="92" spans="1:8" ht="15">
      <c r="A92" s="1093" t="s">
        <v>1025</v>
      </c>
      <c r="B92" s="1092"/>
      <c r="C92" s="1092"/>
      <c r="D92" s="1092"/>
      <c r="E92" s="1092"/>
      <c r="F92" s="1092"/>
      <c r="G92" s="1092"/>
      <c r="H92" s="1092"/>
    </row>
    <row r="93" spans="1:8" ht="15">
      <c r="A93" s="1093" t="s">
        <v>1026</v>
      </c>
      <c r="B93" s="1092"/>
      <c r="C93" s="1092"/>
      <c r="D93" s="1092"/>
      <c r="E93" s="1092"/>
      <c r="F93" s="1092"/>
      <c r="G93" s="1092"/>
      <c r="H93" s="1092"/>
    </row>
    <row r="94" spans="1:8" ht="15">
      <c r="A94" s="1093" t="s">
        <v>1027</v>
      </c>
      <c r="B94" s="1092"/>
      <c r="C94" s="1092"/>
      <c r="D94" s="1092"/>
      <c r="E94" s="1092"/>
      <c r="F94" s="1092"/>
      <c r="G94" s="1092"/>
      <c r="H94" s="1092"/>
    </row>
    <row r="95" spans="1:8" ht="15">
      <c r="A95" s="1093" t="s">
        <v>1028</v>
      </c>
      <c r="B95" s="1092"/>
      <c r="C95" s="1092"/>
      <c r="D95" s="1092"/>
      <c r="E95" s="1092"/>
      <c r="F95" s="1092"/>
      <c r="G95" s="1092"/>
      <c r="H95" s="1092"/>
    </row>
    <row r="96" spans="1:8" ht="15">
      <c r="A96" s="1093" t="s">
        <v>1029</v>
      </c>
      <c r="B96" s="1092"/>
      <c r="C96" s="1092"/>
      <c r="D96" s="1092"/>
      <c r="E96" s="1092"/>
      <c r="F96" s="1092"/>
      <c r="G96" s="1092"/>
      <c r="H96" s="1092"/>
    </row>
    <row r="97" spans="1:8" ht="15">
      <c r="A97" s="1093" t="s">
        <v>1030</v>
      </c>
      <c r="B97" s="1092"/>
      <c r="C97" s="1092"/>
      <c r="D97" s="1092"/>
      <c r="E97" s="1092"/>
      <c r="F97" s="1092"/>
      <c r="G97" s="1092"/>
      <c r="H97" s="1092"/>
    </row>
    <row r="98" spans="1:8" ht="15">
      <c r="A98" s="1093" t="s">
        <v>1031</v>
      </c>
      <c r="B98" s="1092"/>
      <c r="C98" s="1092"/>
      <c r="D98" s="1092"/>
      <c r="E98" s="1092"/>
      <c r="F98" s="1092"/>
      <c r="G98" s="1092"/>
      <c r="H98" s="1092"/>
    </row>
    <row r="99" spans="1:8" ht="15">
      <c r="A99" s="1092"/>
      <c r="B99" s="1092"/>
      <c r="C99" s="1092"/>
      <c r="D99" s="1092"/>
      <c r="E99" s="1092"/>
      <c r="F99" s="1092"/>
      <c r="G99" s="1092"/>
      <c r="H99" s="1092"/>
    </row>
    <row r="100" spans="1:8" ht="15">
      <c r="A100" s="1093" t="s">
        <v>1023</v>
      </c>
      <c r="B100" s="1092"/>
      <c r="C100" s="1092"/>
      <c r="D100" s="1092"/>
      <c r="E100" s="1092"/>
      <c r="F100" s="1092"/>
      <c r="G100" s="1092"/>
      <c r="H100" s="1092"/>
    </row>
    <row r="101" spans="1:8" ht="15">
      <c r="A101" s="1093" t="s">
        <v>1024</v>
      </c>
      <c r="B101" s="1092"/>
      <c r="C101" s="1092"/>
      <c r="D101" s="1092"/>
      <c r="E101" s="1092"/>
      <c r="F101" s="1092"/>
      <c r="G101" s="1092"/>
      <c r="H101" s="1092"/>
    </row>
    <row r="102" spans="1:8" ht="15">
      <c r="A102" s="1092"/>
      <c r="B102" s="1092"/>
      <c r="C102" s="1092"/>
      <c r="D102" s="1092"/>
      <c r="E102" s="1092"/>
      <c r="F102" s="1092"/>
      <c r="G102" s="1092"/>
      <c r="H102" s="1092"/>
    </row>
    <row r="103" spans="1:8" ht="15.75">
      <c r="A103" s="1094" t="s">
        <v>792</v>
      </c>
      <c r="B103" s="1092"/>
      <c r="C103" s="1092"/>
      <c r="D103" s="1092"/>
      <c r="E103" s="1092"/>
      <c r="F103" s="1092"/>
      <c r="G103" s="1092"/>
      <c r="H103" s="1092"/>
    </row>
    <row r="104" spans="1:8" ht="15">
      <c r="A104" s="1092"/>
      <c r="B104" s="1092"/>
      <c r="C104" s="1092"/>
      <c r="D104" s="1092"/>
      <c r="E104" s="1092"/>
      <c r="F104" s="1092"/>
      <c r="G104" s="1092"/>
      <c r="H104" s="1092"/>
    </row>
    <row r="105" spans="1:8" ht="15">
      <c r="A105" s="1093" t="s">
        <v>1014</v>
      </c>
      <c r="B105" s="1092"/>
      <c r="C105" s="1092"/>
      <c r="D105" s="1092"/>
      <c r="E105" s="1092"/>
      <c r="F105" s="1092"/>
      <c r="G105" s="1092"/>
      <c r="H105" s="1092"/>
    </row>
    <row r="106" spans="1:8" ht="15">
      <c r="A106" s="1093" t="s">
        <v>1015</v>
      </c>
      <c r="B106" s="1092"/>
      <c r="C106" s="1092"/>
      <c r="D106" s="1092"/>
      <c r="E106" s="1092"/>
      <c r="F106" s="1092"/>
      <c r="G106" s="1092"/>
      <c r="H106" s="1092"/>
    </row>
    <row r="107" spans="1:8" ht="15">
      <c r="A107" s="1093" t="s">
        <v>1016</v>
      </c>
      <c r="B107" s="1092"/>
      <c r="C107" s="1092"/>
      <c r="D107" s="1092"/>
      <c r="E107" s="1092"/>
      <c r="F107" s="1092"/>
      <c r="G107" s="1092"/>
      <c r="H107" s="1092"/>
    </row>
    <row r="108" spans="1:8" ht="15">
      <c r="A108" s="1093" t="s">
        <v>1017</v>
      </c>
      <c r="B108" s="1092"/>
      <c r="C108" s="1092"/>
      <c r="D108" s="1092"/>
      <c r="E108" s="1092"/>
      <c r="F108" s="1092"/>
      <c r="G108" s="1092"/>
      <c r="H108" s="1092"/>
    </row>
    <row r="109" spans="1:8" ht="15">
      <c r="A109" s="1093" t="s">
        <v>1018</v>
      </c>
      <c r="B109" s="1092"/>
      <c r="C109" s="1092"/>
      <c r="D109" s="1092"/>
      <c r="E109" s="1092"/>
      <c r="F109" s="1092"/>
      <c r="G109" s="1092"/>
      <c r="H109" s="1092"/>
    </row>
    <row r="110" spans="1:8" ht="15">
      <c r="A110" s="1093" t="s">
        <v>1019</v>
      </c>
      <c r="B110" s="1092"/>
      <c r="C110" s="1092"/>
      <c r="D110" s="1092"/>
      <c r="E110" s="1092"/>
      <c r="F110" s="1092"/>
      <c r="G110" s="1092"/>
      <c r="H110" s="1092"/>
    </row>
    <row r="111" spans="1:8" ht="15">
      <c r="A111" s="1093" t="s">
        <v>1020</v>
      </c>
      <c r="B111" s="1092"/>
      <c r="C111" s="1092"/>
      <c r="D111" s="1092"/>
      <c r="E111" s="1092"/>
      <c r="F111" s="1092"/>
      <c r="G111" s="1092"/>
      <c r="H111" s="1092"/>
    </row>
    <row r="112" spans="1:8" ht="15">
      <c r="A112" s="1093" t="s">
        <v>1021</v>
      </c>
      <c r="B112" s="1092"/>
      <c r="C112" s="1092"/>
      <c r="D112" s="1092"/>
      <c r="E112" s="1092"/>
      <c r="F112" s="1092"/>
      <c r="G112" s="1092"/>
      <c r="H112" s="1092"/>
    </row>
    <row r="113" spans="1:8" ht="15">
      <c r="A113" s="1093" t="s">
        <v>1022</v>
      </c>
      <c r="B113" s="1092"/>
      <c r="C113" s="1092"/>
      <c r="D113" s="1092"/>
      <c r="E113" s="1092"/>
      <c r="F113" s="1092"/>
      <c r="G113" s="1092"/>
      <c r="H113" s="1092"/>
    </row>
    <row r="114" spans="1:8" ht="15">
      <c r="A114" s="1092"/>
      <c r="B114" s="1092"/>
      <c r="C114" s="1092"/>
      <c r="D114" s="1092"/>
      <c r="E114" s="1092"/>
      <c r="F114" s="1092"/>
      <c r="G114" s="1092"/>
      <c r="H114" s="1092"/>
    </row>
    <row r="115" spans="1:8" ht="15.75">
      <c r="A115" s="1095" t="s">
        <v>793</v>
      </c>
      <c r="B115" s="1095"/>
      <c r="C115" s="1095"/>
      <c r="D115" s="1095"/>
      <c r="E115" s="1095"/>
      <c r="F115" s="1095"/>
      <c r="G115" s="1095"/>
      <c r="H115" s="1095"/>
    </row>
    <row r="116" spans="1:8">
      <c r="A116" s="1096" t="s">
        <v>794</v>
      </c>
      <c r="B116" s="1096"/>
      <c r="C116" s="1096"/>
      <c r="D116" s="1096"/>
      <c r="E116" s="1096"/>
      <c r="F116" s="1096"/>
      <c r="G116" s="1096"/>
      <c r="H116" s="1096"/>
    </row>
    <row r="117" spans="1:8" ht="15">
      <c r="A117" s="1097"/>
      <c r="B117" s="1097"/>
      <c r="C117" s="1097"/>
      <c r="D117" s="1097"/>
      <c r="E117" s="1097"/>
      <c r="F117" s="1097"/>
      <c r="G117" s="1097"/>
      <c r="H117" s="1097"/>
    </row>
    <row r="118" spans="1:8">
      <c r="A118" s="1096" t="s">
        <v>1012</v>
      </c>
      <c r="B118" s="1096"/>
      <c r="C118" s="1096"/>
      <c r="D118" s="1096"/>
      <c r="E118" s="1096"/>
      <c r="F118" s="1096"/>
      <c r="G118" s="1096"/>
      <c r="H118" s="1096"/>
    </row>
    <row r="119" spans="1:8">
      <c r="A119" s="1093" t="s">
        <v>1013</v>
      </c>
      <c r="B119" s="1093"/>
      <c r="C119" s="1093"/>
      <c r="D119" s="1093"/>
      <c r="E119" s="1093"/>
      <c r="F119" s="1093"/>
      <c r="G119" s="1093"/>
      <c r="H119" s="1093"/>
    </row>
    <row r="120" spans="1:8" ht="15">
      <c r="A120" s="1097"/>
      <c r="B120" s="1097"/>
      <c r="C120" s="1097"/>
      <c r="D120" s="1097"/>
      <c r="E120" s="1097"/>
      <c r="F120" s="1097"/>
      <c r="G120" s="1097"/>
      <c r="H120" s="1097"/>
    </row>
    <row r="121" spans="1:8">
      <c r="A121" s="1096" t="s">
        <v>1005</v>
      </c>
      <c r="B121" s="1096"/>
      <c r="C121" s="1096"/>
      <c r="D121" s="1096"/>
      <c r="E121" s="1096"/>
      <c r="F121" s="1096"/>
      <c r="G121" s="1096"/>
      <c r="H121" s="1096"/>
    </row>
    <row r="122" spans="1:8">
      <c r="A122" s="1093" t="s">
        <v>1006</v>
      </c>
      <c r="B122" s="1093"/>
      <c r="C122" s="1093"/>
      <c r="D122" s="1093"/>
      <c r="E122" s="1093"/>
      <c r="F122" s="1093"/>
      <c r="G122" s="1093"/>
      <c r="H122" s="1093"/>
    </row>
    <row r="123" spans="1:8">
      <c r="A123" s="1093" t="s">
        <v>1007</v>
      </c>
      <c r="B123" s="1093"/>
      <c r="C123" s="1093"/>
      <c r="D123" s="1093"/>
      <c r="E123" s="1093"/>
      <c r="F123" s="1093"/>
      <c r="G123" s="1093"/>
      <c r="H123" s="1093"/>
    </row>
    <row r="124" spans="1:8">
      <c r="A124" s="1093" t="s">
        <v>1008</v>
      </c>
      <c r="B124" s="1093"/>
      <c r="C124" s="1093"/>
      <c r="D124" s="1093"/>
      <c r="E124" s="1093"/>
      <c r="F124" s="1093"/>
      <c r="G124" s="1093"/>
      <c r="H124" s="1093"/>
    </row>
    <row r="125" spans="1:8">
      <c r="A125" s="1093" t="s">
        <v>1009</v>
      </c>
      <c r="B125" s="1093"/>
      <c r="C125" s="1093"/>
      <c r="D125" s="1093"/>
      <c r="E125" s="1093"/>
      <c r="F125" s="1093"/>
      <c r="G125" s="1093"/>
      <c r="H125" s="1093"/>
    </row>
    <row r="126" spans="1:8">
      <c r="A126" s="1093" t="s">
        <v>1010</v>
      </c>
      <c r="B126" s="1093"/>
      <c r="C126" s="1093"/>
      <c r="D126" s="1093"/>
      <c r="E126" s="1093"/>
      <c r="F126" s="1093"/>
      <c r="G126" s="1093"/>
      <c r="H126" s="1093"/>
    </row>
    <row r="127" spans="1:8">
      <c r="A127" s="1093" t="s">
        <v>1011</v>
      </c>
      <c r="B127" s="1093"/>
      <c r="C127" s="1093"/>
      <c r="D127" s="1093"/>
      <c r="E127" s="1093"/>
      <c r="F127" s="1093"/>
      <c r="G127" s="1093"/>
      <c r="H127" s="1093"/>
    </row>
    <row r="128" spans="1:8" ht="15">
      <c r="A128" s="1098"/>
      <c r="B128" s="1098"/>
      <c r="C128" s="1098"/>
      <c r="D128" s="1098"/>
      <c r="E128" s="1098"/>
      <c r="F128" s="1098"/>
      <c r="G128" s="1098"/>
      <c r="H128" s="1098"/>
    </row>
    <row r="129" spans="1:8">
      <c r="A129" s="1099"/>
      <c r="B129" s="1100" t="s">
        <v>795</v>
      </c>
      <c r="C129" s="1101"/>
      <c r="D129" s="1100" t="s">
        <v>796</v>
      </c>
      <c r="E129" s="1102"/>
      <c r="F129" s="1101"/>
      <c r="G129" s="1100" t="s">
        <v>797</v>
      </c>
      <c r="H129" s="1101"/>
    </row>
    <row r="130" spans="1:8">
      <c r="A130" s="1099" t="s">
        <v>798</v>
      </c>
      <c r="B130" s="1099" t="s">
        <v>751</v>
      </c>
      <c r="C130" s="1099" t="s">
        <v>799</v>
      </c>
      <c r="D130" s="1099" t="s">
        <v>751</v>
      </c>
      <c r="E130" s="1099" t="s">
        <v>800</v>
      </c>
      <c r="F130" s="1099" t="s">
        <v>801</v>
      </c>
      <c r="G130" s="1099" t="s">
        <v>751</v>
      </c>
      <c r="H130" s="1099" t="s">
        <v>802</v>
      </c>
    </row>
    <row r="131" spans="1:8">
      <c r="A131" s="1099" t="s">
        <v>803</v>
      </c>
      <c r="B131" s="1099">
        <v>1189</v>
      </c>
      <c r="C131" s="1103">
        <v>0.38</v>
      </c>
      <c r="D131" s="1099">
        <v>315</v>
      </c>
      <c r="E131" s="1103">
        <v>0.41</v>
      </c>
      <c r="F131" s="1103">
        <v>0.26</v>
      </c>
      <c r="G131" s="1099">
        <v>555</v>
      </c>
      <c r="H131" s="1103">
        <v>0.39</v>
      </c>
    </row>
    <row r="132" spans="1:8">
      <c r="A132" s="1099" t="s">
        <v>804</v>
      </c>
      <c r="B132" s="1099">
        <v>1355</v>
      </c>
      <c r="C132" s="1103">
        <v>0.43</v>
      </c>
      <c r="D132" s="1099">
        <v>364</v>
      </c>
      <c r="E132" s="1103">
        <v>0.47</v>
      </c>
      <c r="F132" s="1103">
        <v>0.27</v>
      </c>
      <c r="G132" s="1099">
        <v>644</v>
      </c>
      <c r="H132" s="1103">
        <v>0.45</v>
      </c>
    </row>
    <row r="133" spans="1:8">
      <c r="A133" s="1099" t="s">
        <v>805</v>
      </c>
      <c r="B133" s="1099">
        <v>53</v>
      </c>
      <c r="C133" s="1103">
        <v>0.02</v>
      </c>
      <c r="D133" s="1099">
        <v>4</v>
      </c>
      <c r="E133" s="1103">
        <v>0.01</v>
      </c>
      <c r="F133" s="1103">
        <v>0.08</v>
      </c>
      <c r="G133" s="1099">
        <v>7</v>
      </c>
      <c r="H133" s="1103">
        <v>0</v>
      </c>
    </row>
    <row r="134" spans="1:8">
      <c r="A134" s="1099" t="s">
        <v>806</v>
      </c>
      <c r="B134" s="1099">
        <v>545</v>
      </c>
      <c r="C134" s="1103">
        <v>0.17</v>
      </c>
      <c r="D134" s="1099">
        <v>84</v>
      </c>
      <c r="E134" s="1103">
        <v>0.11</v>
      </c>
      <c r="F134" s="1103">
        <v>0.15</v>
      </c>
      <c r="G134" s="1099">
        <v>214</v>
      </c>
      <c r="H134" s="1103">
        <v>0.15</v>
      </c>
    </row>
    <row r="135" spans="1:8">
      <c r="A135" s="1099" t="s">
        <v>285</v>
      </c>
      <c r="B135" s="1104">
        <v>3142</v>
      </c>
      <c r="C135" s="1099"/>
      <c r="D135" s="1099">
        <v>767</v>
      </c>
      <c r="E135" s="1099"/>
      <c r="F135" s="1099"/>
      <c r="G135" s="1099">
        <v>1420</v>
      </c>
      <c r="H135" s="1099"/>
    </row>
    <row r="136" spans="1:8" ht="15">
      <c r="A136" s="1105"/>
      <c r="B136" s="1105"/>
      <c r="C136" s="1105"/>
      <c r="D136" s="1105"/>
      <c r="E136" s="1105"/>
      <c r="F136" s="1105"/>
      <c r="G136" s="1105"/>
      <c r="H136" s="1105"/>
    </row>
    <row r="137" spans="1:8">
      <c r="A137" s="1096" t="s">
        <v>1001</v>
      </c>
      <c r="B137" s="1096"/>
      <c r="C137" s="1096"/>
      <c r="D137" s="1096"/>
      <c r="E137" s="1096"/>
      <c r="F137" s="1096"/>
      <c r="G137" s="1096"/>
      <c r="H137" s="1096"/>
    </row>
    <row r="138" spans="1:8">
      <c r="A138" s="1093" t="s">
        <v>1002</v>
      </c>
      <c r="B138" s="1093"/>
      <c r="C138" s="1093"/>
      <c r="D138" s="1093"/>
      <c r="E138" s="1093"/>
      <c r="F138" s="1093"/>
      <c r="G138" s="1093"/>
      <c r="H138" s="1093"/>
    </row>
    <row r="139" spans="1:8">
      <c r="A139" s="1093" t="s">
        <v>1003</v>
      </c>
      <c r="B139" s="1093"/>
      <c r="C139" s="1093"/>
      <c r="D139" s="1093"/>
      <c r="E139" s="1093"/>
      <c r="F139" s="1093"/>
      <c r="G139" s="1093"/>
      <c r="H139" s="1093"/>
    </row>
    <row r="140" spans="1:8">
      <c r="A140" s="1093" t="s">
        <v>1004</v>
      </c>
      <c r="B140" s="1093"/>
      <c r="C140" s="1093"/>
      <c r="D140" s="1093"/>
      <c r="E140" s="1093"/>
      <c r="F140" s="1093"/>
      <c r="G140" s="1093"/>
      <c r="H140" s="1093"/>
    </row>
    <row r="141" spans="1:8" ht="15">
      <c r="A141" s="1092"/>
      <c r="B141" s="1092"/>
      <c r="C141" s="1092"/>
      <c r="D141" s="1092"/>
      <c r="E141" s="1092"/>
      <c r="F141" s="1092"/>
      <c r="G141" s="1092"/>
      <c r="H141" s="1092"/>
    </row>
    <row r="142" spans="1:8" ht="15.75">
      <c r="A142" s="1094" t="s">
        <v>807</v>
      </c>
      <c r="B142" s="1092"/>
      <c r="C142" s="1092"/>
      <c r="D142" s="1092"/>
      <c r="E142" s="1092"/>
      <c r="F142" s="1092"/>
      <c r="G142" s="1092"/>
      <c r="H142" s="1092"/>
    </row>
    <row r="143" spans="1:8" ht="15">
      <c r="A143" s="1092"/>
      <c r="B143" s="1092"/>
      <c r="C143" s="1092"/>
      <c r="D143" s="1092"/>
      <c r="E143" s="1092"/>
      <c r="F143" s="1092"/>
      <c r="G143" s="1092"/>
      <c r="H143" s="1092"/>
    </row>
    <row r="144" spans="1:8" ht="15">
      <c r="A144" s="1093" t="s">
        <v>999</v>
      </c>
      <c r="B144" s="1092"/>
      <c r="C144" s="1092"/>
      <c r="D144" s="1092"/>
      <c r="E144" s="1092"/>
      <c r="F144" s="1092"/>
      <c r="G144" s="1092"/>
      <c r="H144" s="1092"/>
    </row>
    <row r="145" spans="1:8" ht="15">
      <c r="A145" s="1093" t="s">
        <v>1000</v>
      </c>
      <c r="B145" s="1092"/>
      <c r="C145" s="1092"/>
      <c r="D145" s="1092"/>
      <c r="E145" s="1092"/>
      <c r="F145" s="1092"/>
      <c r="G145" s="1092"/>
      <c r="H145" s="1092"/>
    </row>
    <row r="146" spans="1:8" ht="15">
      <c r="A146" s="1092"/>
      <c r="B146" s="1092"/>
      <c r="C146" s="1092"/>
      <c r="D146" s="1092"/>
      <c r="E146" s="1092"/>
      <c r="F146" s="1092"/>
      <c r="G146" s="1092"/>
      <c r="H146" s="1092"/>
    </row>
    <row r="147" spans="1:8" ht="15">
      <c r="A147" s="1093" t="s">
        <v>996</v>
      </c>
      <c r="B147" s="1092"/>
      <c r="C147" s="1092"/>
      <c r="D147" s="1092"/>
      <c r="E147" s="1092"/>
      <c r="F147" s="1092"/>
      <c r="G147" s="1092"/>
      <c r="H147" s="1092"/>
    </row>
    <row r="148" spans="1:8" ht="15">
      <c r="A148" s="1093" t="s">
        <v>997</v>
      </c>
      <c r="B148" s="1092"/>
      <c r="C148" s="1092"/>
      <c r="D148" s="1092"/>
      <c r="E148" s="1092"/>
      <c r="F148" s="1092"/>
      <c r="G148" s="1092"/>
      <c r="H148" s="1092"/>
    </row>
    <row r="149" spans="1:8" ht="15">
      <c r="A149" s="1093" t="s">
        <v>998</v>
      </c>
      <c r="B149" s="1092"/>
      <c r="C149" s="1092"/>
      <c r="D149" s="1092"/>
      <c r="E149" s="1092"/>
      <c r="F149" s="1092"/>
      <c r="G149" s="1092"/>
      <c r="H149" s="1092"/>
    </row>
    <row r="150" spans="1:8" ht="15">
      <c r="A150" s="1092"/>
      <c r="B150" s="1092"/>
      <c r="C150" s="1092"/>
      <c r="D150" s="1092"/>
      <c r="E150" s="1092"/>
      <c r="F150" s="1092"/>
      <c r="G150" s="1092"/>
      <c r="H150" s="1092"/>
    </row>
    <row r="151" spans="1:8" ht="15">
      <c r="A151" s="1093" t="s">
        <v>993</v>
      </c>
      <c r="B151" s="1092"/>
      <c r="C151" s="1092"/>
      <c r="D151" s="1092"/>
      <c r="E151" s="1092"/>
      <c r="F151" s="1092"/>
      <c r="G151" s="1092"/>
      <c r="H151" s="1092"/>
    </row>
    <row r="152" spans="1:8" ht="15">
      <c r="A152" s="1093" t="s">
        <v>994</v>
      </c>
      <c r="B152" s="1092"/>
      <c r="C152" s="1092"/>
      <c r="D152" s="1092"/>
      <c r="E152" s="1092"/>
      <c r="F152" s="1092"/>
      <c r="G152" s="1092"/>
      <c r="H152" s="1092"/>
    </row>
    <row r="153" spans="1:8" ht="15">
      <c r="A153" s="1093" t="s">
        <v>995</v>
      </c>
      <c r="B153" s="1092"/>
      <c r="C153" s="1092"/>
      <c r="D153" s="1092"/>
      <c r="E153" s="1092"/>
      <c r="F153" s="1092"/>
      <c r="G153" s="1092"/>
      <c r="H153" s="1092"/>
    </row>
    <row r="154" spans="1:8" ht="15">
      <c r="A154" s="1092"/>
      <c r="B154" s="1092"/>
      <c r="C154" s="1092"/>
      <c r="D154" s="1092"/>
      <c r="E154" s="1092"/>
      <c r="F154" s="1092"/>
      <c r="G154" s="1092"/>
      <c r="H154" s="1092"/>
    </row>
    <row r="155" spans="1:8" ht="15">
      <c r="A155" s="1093" t="s">
        <v>990</v>
      </c>
      <c r="B155" s="1092"/>
      <c r="C155" s="1092"/>
      <c r="D155" s="1092"/>
      <c r="E155" s="1092"/>
      <c r="F155" s="1092"/>
      <c r="G155" s="1092"/>
      <c r="H155" s="1092"/>
    </row>
    <row r="156" spans="1:8" ht="15">
      <c r="A156" s="1093" t="s">
        <v>991</v>
      </c>
      <c r="B156" s="1092"/>
      <c r="C156" s="1092"/>
      <c r="D156" s="1092"/>
      <c r="E156" s="1092"/>
      <c r="F156" s="1092"/>
      <c r="G156" s="1092"/>
      <c r="H156" s="1092"/>
    </row>
    <row r="157" spans="1:8" ht="15">
      <c r="A157" s="1093" t="s">
        <v>992</v>
      </c>
      <c r="B157" s="1092"/>
      <c r="C157" s="1092"/>
      <c r="D157" s="1092"/>
      <c r="E157" s="1092"/>
      <c r="F157" s="1092"/>
      <c r="G157" s="1092"/>
      <c r="H157" s="1092"/>
    </row>
    <row r="158" spans="1:8" ht="15">
      <c r="A158" s="1092"/>
      <c r="B158" s="1092"/>
      <c r="C158" s="1092"/>
      <c r="D158" s="1092"/>
      <c r="E158" s="1092"/>
      <c r="F158" s="1092"/>
      <c r="G158" s="1092"/>
      <c r="H158" s="1092"/>
    </row>
    <row r="159" spans="1:8" ht="15">
      <c r="A159" s="1093" t="s">
        <v>988</v>
      </c>
      <c r="B159" s="1092"/>
      <c r="C159" s="1092"/>
      <c r="D159" s="1092"/>
      <c r="E159" s="1092"/>
      <c r="F159" s="1092"/>
      <c r="G159" s="1092"/>
      <c r="H159" s="1092"/>
    </row>
    <row r="160" spans="1:8" ht="15">
      <c r="A160" s="1093" t="s">
        <v>989</v>
      </c>
      <c r="B160" s="1092"/>
      <c r="C160" s="1092"/>
      <c r="D160" s="1092"/>
      <c r="E160" s="1092"/>
      <c r="F160" s="1092"/>
      <c r="G160" s="1092"/>
      <c r="H160" s="1092"/>
    </row>
    <row r="161" spans="1:8" ht="15">
      <c r="A161" s="1092"/>
      <c r="B161" s="1092"/>
      <c r="C161" s="1092"/>
      <c r="D161" s="1092"/>
      <c r="E161" s="1092"/>
      <c r="F161" s="1092"/>
      <c r="G161" s="1092"/>
      <c r="H161" s="1092"/>
    </row>
    <row r="162" spans="1:8" ht="15.75">
      <c r="A162" s="1094" t="s">
        <v>808</v>
      </c>
      <c r="B162" s="1092"/>
      <c r="C162" s="1092"/>
      <c r="D162" s="1092"/>
      <c r="E162" s="1092"/>
      <c r="F162" s="1092"/>
      <c r="G162" s="1092"/>
      <c r="H162" s="1092"/>
    </row>
    <row r="163" spans="1:8" ht="15">
      <c r="A163" s="1092"/>
      <c r="B163" s="1092"/>
      <c r="C163" s="1092"/>
      <c r="D163" s="1092"/>
      <c r="E163" s="1092"/>
      <c r="F163" s="1092"/>
      <c r="G163" s="1092"/>
      <c r="H163" s="1092"/>
    </row>
    <row r="164" spans="1:8" ht="15">
      <c r="A164" s="1093" t="s">
        <v>986</v>
      </c>
      <c r="B164" s="1092"/>
      <c r="C164" s="1092"/>
      <c r="D164" s="1092"/>
      <c r="E164" s="1092"/>
      <c r="F164" s="1092"/>
      <c r="G164" s="1092"/>
      <c r="H164" s="1092"/>
    </row>
    <row r="165" spans="1:8" ht="15">
      <c r="A165" s="1093" t="s">
        <v>987</v>
      </c>
      <c r="B165" s="1092"/>
      <c r="C165" s="1092"/>
      <c r="D165" s="1092"/>
      <c r="E165" s="1092"/>
      <c r="F165" s="1092"/>
      <c r="G165" s="1092"/>
      <c r="H165" s="1092"/>
    </row>
    <row r="166" spans="1:8" ht="15">
      <c r="A166" s="1092"/>
      <c r="B166" s="1092"/>
      <c r="C166" s="1092"/>
      <c r="D166" s="1092"/>
      <c r="E166" s="1092"/>
      <c r="F166" s="1092"/>
      <c r="G166" s="1092"/>
      <c r="H166" s="1092"/>
    </row>
    <row r="167" spans="1:8" ht="15">
      <c r="A167" s="1093" t="s">
        <v>984</v>
      </c>
      <c r="B167" s="1092"/>
      <c r="C167" s="1092"/>
      <c r="D167" s="1092"/>
      <c r="E167" s="1092"/>
      <c r="F167" s="1092"/>
      <c r="G167" s="1092"/>
      <c r="H167" s="1092"/>
    </row>
    <row r="168" spans="1:8" ht="15">
      <c r="A168" s="1093" t="s">
        <v>985</v>
      </c>
      <c r="B168" s="1092"/>
      <c r="C168" s="1092"/>
      <c r="D168" s="1092"/>
      <c r="E168" s="1092"/>
      <c r="F168" s="1092"/>
      <c r="G168" s="1092"/>
      <c r="H168" s="1092"/>
    </row>
    <row r="169" spans="1:8" ht="15">
      <c r="A169" s="1092"/>
      <c r="B169" s="1092"/>
      <c r="C169" s="1092"/>
      <c r="D169" s="1092"/>
      <c r="E169" s="1092"/>
      <c r="F169" s="1092"/>
      <c r="G169" s="1092"/>
      <c r="H169" s="1092"/>
    </row>
    <row r="170" spans="1:8" ht="15">
      <c r="A170" s="1093" t="s">
        <v>982</v>
      </c>
      <c r="B170" s="1092"/>
      <c r="C170" s="1092"/>
      <c r="D170" s="1092"/>
      <c r="E170" s="1092"/>
      <c r="F170" s="1092"/>
      <c r="G170" s="1092"/>
      <c r="H170" s="1092"/>
    </row>
    <row r="171" spans="1:8" ht="15">
      <c r="A171" s="1093" t="s">
        <v>983</v>
      </c>
      <c r="B171" s="1092"/>
      <c r="C171" s="1092"/>
      <c r="D171" s="1092"/>
      <c r="E171" s="1092"/>
      <c r="F171" s="1092"/>
      <c r="G171" s="1092"/>
      <c r="H171" s="1092"/>
    </row>
    <row r="172" spans="1:8" ht="15">
      <c r="A172" s="1092"/>
      <c r="B172" s="1092"/>
      <c r="C172" s="1092"/>
      <c r="D172" s="1092"/>
      <c r="E172" s="1092"/>
      <c r="F172" s="1092"/>
      <c r="G172" s="1092"/>
      <c r="H172" s="1092"/>
    </row>
    <row r="173" spans="1:8" ht="15">
      <c r="A173" s="1093" t="s">
        <v>979</v>
      </c>
      <c r="B173" s="1092"/>
      <c r="C173" s="1092"/>
      <c r="D173" s="1092"/>
      <c r="E173" s="1092"/>
      <c r="F173" s="1092"/>
      <c r="G173" s="1092"/>
      <c r="H173" s="1092"/>
    </row>
    <row r="174" spans="1:8" ht="15">
      <c r="A174" s="1093" t="s">
        <v>980</v>
      </c>
      <c r="B174" s="1092"/>
      <c r="C174" s="1092"/>
      <c r="D174" s="1092"/>
      <c r="E174" s="1092"/>
      <c r="F174" s="1092"/>
      <c r="G174" s="1092"/>
      <c r="H174" s="1092"/>
    </row>
    <row r="175" spans="1:8" ht="15">
      <c r="A175" s="1093" t="s">
        <v>981</v>
      </c>
      <c r="B175" s="1092"/>
      <c r="C175" s="1092"/>
      <c r="D175" s="1092"/>
      <c r="E175" s="1092"/>
      <c r="F175" s="1092"/>
      <c r="G175" s="1092"/>
      <c r="H175" s="1092"/>
    </row>
    <row r="176" spans="1:8" ht="15">
      <c r="A176" s="1092"/>
      <c r="B176" s="1092"/>
      <c r="C176" s="1092"/>
      <c r="D176" s="1092"/>
      <c r="E176" s="1092"/>
      <c r="F176" s="1092"/>
      <c r="G176" s="1092"/>
      <c r="H176" s="1092"/>
    </row>
    <row r="177" spans="1:8" ht="15">
      <c r="A177" s="1092"/>
      <c r="B177" s="1092"/>
      <c r="C177" s="1092"/>
      <c r="D177" s="1092"/>
      <c r="E177" s="1092"/>
      <c r="F177" s="1092"/>
      <c r="G177" s="1092"/>
      <c r="H177" s="1092"/>
    </row>
    <row r="178" spans="1:8" ht="15">
      <c r="A178" s="1093" t="s">
        <v>809</v>
      </c>
      <c r="B178" s="1092"/>
      <c r="C178" s="1092"/>
      <c r="D178" s="1092"/>
      <c r="E178" s="1092"/>
      <c r="F178" s="1092"/>
      <c r="G178" s="1092"/>
      <c r="H178" s="1092"/>
    </row>
    <row r="179" spans="1:8" ht="15">
      <c r="A179" s="1092"/>
      <c r="B179" s="1092"/>
      <c r="C179" s="1092"/>
      <c r="D179" s="1092"/>
      <c r="E179" s="1092"/>
      <c r="F179" s="1092"/>
      <c r="G179" s="1092"/>
      <c r="H179" s="1092"/>
    </row>
    <row r="180" spans="1:8" ht="15.75">
      <c r="A180" s="1094" t="s">
        <v>810</v>
      </c>
      <c r="B180" s="1092"/>
      <c r="C180" s="1092"/>
      <c r="D180" s="1092"/>
      <c r="E180" s="1092"/>
      <c r="F180" s="1092"/>
      <c r="G180" s="1092"/>
      <c r="H180" s="1092"/>
    </row>
    <row r="181" spans="1:8" ht="15">
      <c r="A181" s="1092"/>
      <c r="B181" s="1092"/>
      <c r="C181" s="1092"/>
      <c r="D181" s="1092"/>
      <c r="E181" s="1092"/>
      <c r="F181" s="1092"/>
      <c r="G181" s="1092"/>
      <c r="H181" s="1092"/>
    </row>
    <row r="182" spans="1:8" ht="15">
      <c r="A182" s="1092"/>
      <c r="B182" s="1092"/>
      <c r="C182" s="1092"/>
      <c r="D182" s="1092"/>
      <c r="E182" s="1092"/>
      <c r="F182" s="1092"/>
      <c r="G182" s="1092"/>
      <c r="H182" s="1092"/>
    </row>
    <row r="183" spans="1:8" ht="15">
      <c r="A183" s="1092"/>
      <c r="B183" s="1092"/>
      <c r="C183" s="1092"/>
      <c r="D183" s="1092"/>
      <c r="E183" s="1092"/>
      <c r="F183" s="1092"/>
      <c r="G183" s="1092"/>
      <c r="H183" s="1092"/>
    </row>
    <row r="184" spans="1:8" ht="15">
      <c r="A184" s="1092"/>
      <c r="B184" s="1092"/>
      <c r="C184" s="1092"/>
      <c r="D184" s="1092"/>
      <c r="E184" s="1092"/>
      <c r="F184" s="1092"/>
      <c r="G184" s="1092"/>
      <c r="H184" s="1092"/>
    </row>
    <row r="185" spans="1:8" ht="15">
      <c r="A185" s="1092"/>
      <c r="B185" s="1092"/>
      <c r="C185" s="1092"/>
      <c r="D185" s="1092"/>
      <c r="E185" s="1092"/>
      <c r="F185" s="1092"/>
      <c r="G185" s="1092"/>
      <c r="H185" s="1092"/>
    </row>
    <row r="186" spans="1:8" ht="15">
      <c r="A186" s="1092"/>
      <c r="B186" s="1092"/>
      <c r="C186" s="1092"/>
      <c r="D186" s="1092"/>
      <c r="E186" s="1092"/>
      <c r="F186" s="1092"/>
      <c r="G186" s="1092"/>
      <c r="H186" s="1092"/>
    </row>
    <row r="187" spans="1:8" ht="15">
      <c r="A187" s="1092"/>
      <c r="B187" s="1092"/>
      <c r="C187" s="1092"/>
      <c r="D187" s="1092"/>
      <c r="E187" s="1092"/>
      <c r="F187" s="1092"/>
      <c r="G187" s="1092"/>
      <c r="H187" s="1092"/>
    </row>
    <row r="188" spans="1:8" ht="15">
      <c r="A188" s="1092"/>
      <c r="B188" s="1092"/>
      <c r="C188" s="1092"/>
      <c r="D188" s="1092"/>
      <c r="E188" s="1092"/>
      <c r="F188" s="1092"/>
      <c r="G188" s="1092"/>
      <c r="H188" s="1092"/>
    </row>
    <row r="189" spans="1:8" ht="15">
      <c r="A189" s="1092"/>
      <c r="B189" s="1092"/>
      <c r="C189" s="1092"/>
      <c r="D189" s="1092"/>
      <c r="E189" s="1092"/>
      <c r="F189" s="1092"/>
      <c r="G189" s="1092"/>
      <c r="H189" s="1092"/>
    </row>
    <row r="190" spans="1:8" ht="15">
      <c r="A190" s="1092"/>
      <c r="B190" s="1092"/>
      <c r="C190" s="1092"/>
      <c r="D190" s="1092"/>
      <c r="E190" s="1092"/>
      <c r="F190" s="1092"/>
      <c r="G190" s="1092"/>
      <c r="H190" s="1092"/>
    </row>
    <row r="191" spans="1:8" ht="15">
      <c r="A191" s="1092"/>
      <c r="B191" s="1092"/>
      <c r="C191" s="1092"/>
      <c r="D191" s="1092"/>
      <c r="E191" s="1092"/>
      <c r="F191" s="1092"/>
      <c r="G191" s="1092"/>
      <c r="H191" s="1092"/>
    </row>
    <row r="192" spans="1:8" ht="15">
      <c r="A192" s="1092"/>
      <c r="B192" s="1092"/>
      <c r="C192" s="1092"/>
      <c r="D192" s="1092"/>
      <c r="E192" s="1092"/>
      <c r="F192" s="1092"/>
      <c r="G192" s="1092"/>
      <c r="H192" s="1092"/>
    </row>
    <row r="193" spans="1:8" ht="15">
      <c r="A193" s="1092"/>
      <c r="B193" s="1092"/>
      <c r="C193" s="1092"/>
      <c r="D193" s="1092"/>
      <c r="E193" s="1092"/>
      <c r="F193" s="1092"/>
      <c r="G193" s="1092"/>
      <c r="H193" s="1092"/>
    </row>
    <row r="194" spans="1:8" ht="15">
      <c r="A194" s="1092"/>
      <c r="B194" s="1092"/>
      <c r="C194" s="1092"/>
      <c r="D194" s="1092"/>
      <c r="E194" s="1092"/>
      <c r="F194" s="1092"/>
      <c r="G194" s="1092"/>
      <c r="H194" s="1092"/>
    </row>
    <row r="195" spans="1:8" ht="15">
      <c r="A195" s="1092"/>
      <c r="B195" s="1092"/>
      <c r="C195" s="1092"/>
      <c r="D195" s="1092"/>
      <c r="E195" s="1092"/>
      <c r="F195" s="1092"/>
      <c r="G195" s="1092"/>
      <c r="H195" s="1092"/>
    </row>
    <row r="196" spans="1:8" ht="15">
      <c r="A196" s="1092"/>
      <c r="B196" s="1092"/>
      <c r="C196" s="1092"/>
      <c r="D196" s="1092"/>
      <c r="E196" s="1092"/>
      <c r="F196" s="1092"/>
      <c r="G196" s="1092"/>
      <c r="H196" s="1092"/>
    </row>
    <row r="197" spans="1:8" ht="15">
      <c r="A197" s="1092"/>
      <c r="B197" s="1092"/>
      <c r="C197" s="1092"/>
      <c r="D197" s="1092"/>
      <c r="E197" s="1092"/>
      <c r="F197" s="1092"/>
      <c r="G197" s="1092"/>
      <c r="H197" s="1092"/>
    </row>
    <row r="198" spans="1:8" ht="15">
      <c r="A198" s="1092"/>
      <c r="B198" s="1092"/>
      <c r="C198" s="1092"/>
      <c r="D198" s="1092"/>
      <c r="E198" s="1092"/>
      <c r="F198" s="1092"/>
      <c r="G198" s="1092"/>
      <c r="H198" s="1092"/>
    </row>
    <row r="199" spans="1:8" ht="15">
      <c r="A199" s="1092"/>
      <c r="B199" s="1092"/>
      <c r="C199" s="1092"/>
      <c r="D199" s="1092"/>
      <c r="E199" s="1092"/>
      <c r="F199" s="1092"/>
      <c r="G199" s="1092"/>
      <c r="H199" s="1092"/>
    </row>
    <row r="200" spans="1:8" ht="15">
      <c r="A200" s="1092"/>
      <c r="B200" s="1092"/>
      <c r="C200" s="1092"/>
      <c r="D200" s="1092"/>
      <c r="E200" s="1092"/>
      <c r="F200" s="1092"/>
      <c r="G200" s="1092"/>
      <c r="H200" s="1092"/>
    </row>
    <row r="201" spans="1:8" ht="15">
      <c r="A201" s="1092"/>
      <c r="B201" s="1092"/>
      <c r="C201" s="1092"/>
      <c r="D201" s="1092"/>
      <c r="E201" s="1092"/>
      <c r="F201" s="1092"/>
      <c r="G201" s="1092"/>
      <c r="H201" s="1092"/>
    </row>
    <row r="202" spans="1:8" ht="15">
      <c r="A202" s="1092"/>
      <c r="B202" s="1092"/>
      <c r="C202" s="1092"/>
      <c r="D202" s="1092"/>
      <c r="E202" s="1092"/>
      <c r="F202" s="1092"/>
      <c r="G202" s="1092"/>
      <c r="H202" s="1092"/>
    </row>
    <row r="203" spans="1:8" ht="15">
      <c r="A203" s="1092"/>
      <c r="B203" s="1092"/>
      <c r="C203" s="1092"/>
      <c r="D203" s="1092"/>
      <c r="E203" s="1092"/>
      <c r="F203" s="1092"/>
      <c r="G203" s="1092"/>
      <c r="H203" s="1092"/>
    </row>
    <row r="204" spans="1:8" ht="15">
      <c r="A204" s="1092"/>
      <c r="B204" s="1092"/>
      <c r="C204" s="1092"/>
      <c r="D204" s="1092"/>
      <c r="E204" s="1092"/>
      <c r="F204" s="1092"/>
      <c r="G204" s="1092"/>
      <c r="H204" s="1092"/>
    </row>
    <row r="205" spans="1:8" ht="15">
      <c r="A205" s="1092"/>
      <c r="B205" s="1092"/>
      <c r="C205" s="1092"/>
      <c r="D205" s="1092"/>
      <c r="E205" s="1092"/>
      <c r="F205" s="1092"/>
      <c r="G205" s="1092"/>
      <c r="H205" s="1092"/>
    </row>
    <row r="206" spans="1:8" ht="15">
      <c r="A206" s="1092"/>
      <c r="B206" s="1092"/>
      <c r="C206" s="1092"/>
      <c r="D206" s="1092"/>
      <c r="E206" s="1092"/>
      <c r="F206" s="1092"/>
      <c r="G206" s="1092"/>
      <c r="H206" s="1092"/>
    </row>
    <row r="207" spans="1:8" ht="15.75">
      <c r="A207" s="1094" t="s">
        <v>811</v>
      </c>
      <c r="B207" s="1092"/>
      <c r="C207" s="1092"/>
      <c r="D207" s="1092"/>
      <c r="E207" s="1092"/>
      <c r="F207" s="1092"/>
      <c r="G207" s="1092"/>
      <c r="H207" s="1092"/>
    </row>
    <row r="208" spans="1:8" ht="15">
      <c r="A208" s="1092"/>
      <c r="B208" s="1092"/>
      <c r="C208" s="1092"/>
      <c r="D208" s="1092"/>
      <c r="E208" s="1092"/>
      <c r="F208" s="1092"/>
      <c r="G208" s="1092"/>
      <c r="H208" s="1092"/>
    </row>
    <row r="209" spans="1:8" ht="15">
      <c r="A209" s="1093" t="s">
        <v>974</v>
      </c>
      <c r="B209" s="1092"/>
      <c r="C209" s="1092"/>
      <c r="D209" s="1092"/>
      <c r="E209" s="1092"/>
      <c r="F209" s="1092"/>
      <c r="G209" s="1092"/>
      <c r="H209" s="1092"/>
    </row>
    <row r="210" spans="1:8" ht="15">
      <c r="A210" s="1093" t="s">
        <v>975</v>
      </c>
      <c r="B210" s="1092"/>
      <c r="C210" s="1092"/>
      <c r="D210" s="1092"/>
      <c r="E210" s="1092"/>
      <c r="F210" s="1092"/>
      <c r="G210" s="1092"/>
      <c r="H210" s="1092"/>
    </row>
    <row r="211" spans="1:8" ht="15">
      <c r="A211" s="1093" t="s">
        <v>976</v>
      </c>
      <c r="B211" s="1092"/>
      <c r="C211" s="1092"/>
      <c r="D211" s="1092"/>
      <c r="E211" s="1092"/>
      <c r="F211" s="1092"/>
      <c r="G211" s="1092"/>
      <c r="H211" s="1092"/>
    </row>
    <row r="212" spans="1:8" ht="15">
      <c r="A212" s="1093" t="s">
        <v>977</v>
      </c>
      <c r="B212" s="1092"/>
      <c r="C212" s="1092"/>
      <c r="D212" s="1092"/>
      <c r="E212" s="1092"/>
      <c r="F212" s="1092"/>
      <c r="G212" s="1092"/>
      <c r="H212" s="1092"/>
    </row>
    <row r="213" spans="1:8" ht="15">
      <c r="A213" s="1093" t="s">
        <v>978</v>
      </c>
      <c r="B213" s="1092"/>
      <c r="C213" s="1092"/>
      <c r="D213" s="1092"/>
      <c r="E213" s="1092"/>
      <c r="F213" s="1092"/>
      <c r="G213" s="1092"/>
      <c r="H213" s="1092"/>
    </row>
    <row r="214" spans="1:8" ht="15">
      <c r="A214" s="1092"/>
      <c r="B214" s="1092"/>
      <c r="C214" s="1092"/>
      <c r="D214" s="1092"/>
      <c r="E214" s="1092"/>
      <c r="F214" s="1092"/>
      <c r="G214" s="1092"/>
      <c r="H214" s="1092"/>
    </row>
    <row r="215" spans="1:8" ht="15">
      <c r="A215" s="1093" t="s">
        <v>971</v>
      </c>
      <c r="B215" s="1092"/>
      <c r="C215" s="1092"/>
      <c r="D215" s="1092"/>
      <c r="E215" s="1092"/>
      <c r="F215" s="1092"/>
      <c r="G215" s="1092"/>
      <c r="H215" s="1092"/>
    </row>
    <row r="216" spans="1:8" ht="15">
      <c r="A216" s="1093" t="s">
        <v>972</v>
      </c>
      <c r="B216" s="1092"/>
      <c r="C216" s="1092"/>
      <c r="D216" s="1092"/>
      <c r="E216" s="1092"/>
      <c r="F216" s="1092"/>
      <c r="G216" s="1092"/>
      <c r="H216" s="1092"/>
    </row>
    <row r="217" spans="1:8" ht="15">
      <c r="A217" s="1093" t="s">
        <v>973</v>
      </c>
      <c r="B217" s="1092"/>
      <c r="C217" s="1092"/>
      <c r="D217" s="1092"/>
      <c r="E217" s="1092"/>
      <c r="F217" s="1092"/>
      <c r="G217" s="1092"/>
      <c r="H217" s="1092"/>
    </row>
    <row r="218" spans="1:8" ht="15.75">
      <c r="A218" s="1094" t="s">
        <v>812</v>
      </c>
      <c r="B218" s="1092"/>
      <c r="C218" s="1092"/>
      <c r="D218" s="1092"/>
      <c r="E218" s="1092"/>
      <c r="F218" s="1092"/>
      <c r="G218" s="1092"/>
      <c r="H218" s="1092"/>
    </row>
    <row r="219" spans="1:8" ht="15">
      <c r="A219" s="1092"/>
      <c r="B219" s="1092"/>
      <c r="C219" s="1092"/>
      <c r="D219" s="1092"/>
      <c r="E219" s="1092"/>
      <c r="F219" s="1092"/>
      <c r="G219" s="1092"/>
      <c r="H219" s="1092"/>
    </row>
    <row r="220" spans="1:8" ht="15">
      <c r="A220" s="1093" t="s">
        <v>969</v>
      </c>
      <c r="B220" s="1092"/>
      <c r="C220" s="1092"/>
      <c r="D220" s="1092"/>
      <c r="E220" s="1092"/>
      <c r="F220" s="1092"/>
      <c r="G220" s="1092"/>
      <c r="H220" s="1092"/>
    </row>
    <row r="221" spans="1:8" ht="15">
      <c r="A221" s="1093" t="s">
        <v>970</v>
      </c>
      <c r="B221" s="1092"/>
      <c r="C221" s="1092"/>
      <c r="D221" s="1092"/>
      <c r="E221" s="1092"/>
      <c r="F221" s="1092"/>
      <c r="G221" s="1092"/>
      <c r="H221" s="1092"/>
    </row>
    <row r="222" spans="1:8" ht="15">
      <c r="A222" s="1092"/>
      <c r="B222" s="1092"/>
      <c r="C222" s="1092"/>
      <c r="D222" s="1092"/>
      <c r="E222" s="1092"/>
      <c r="F222" s="1092"/>
      <c r="G222" s="1092"/>
      <c r="H222" s="1092"/>
    </row>
    <row r="223" spans="1:8" ht="15">
      <c r="A223" s="1093" t="s">
        <v>962</v>
      </c>
      <c r="B223" s="1092"/>
      <c r="C223" s="1092"/>
      <c r="D223" s="1092"/>
      <c r="E223" s="1092"/>
      <c r="F223" s="1092"/>
      <c r="G223" s="1092"/>
      <c r="H223" s="1092"/>
    </row>
    <row r="224" spans="1:8" ht="15">
      <c r="A224" s="1093" t="s">
        <v>963</v>
      </c>
      <c r="B224" s="1092"/>
      <c r="C224" s="1092"/>
      <c r="D224" s="1092"/>
      <c r="E224" s="1092"/>
      <c r="F224" s="1092"/>
      <c r="G224" s="1092"/>
      <c r="H224" s="1092"/>
    </row>
    <row r="225" spans="1:8" ht="15">
      <c r="A225" s="1093" t="s">
        <v>964</v>
      </c>
      <c r="B225" s="1092"/>
      <c r="C225" s="1092"/>
      <c r="D225" s="1092"/>
      <c r="E225" s="1092"/>
      <c r="F225" s="1092"/>
      <c r="G225" s="1092"/>
      <c r="H225" s="1092"/>
    </row>
    <row r="226" spans="1:8" ht="15">
      <c r="A226" s="1093" t="s">
        <v>965</v>
      </c>
      <c r="B226" s="1092"/>
      <c r="C226" s="1092"/>
      <c r="D226" s="1092"/>
      <c r="E226" s="1092"/>
      <c r="F226" s="1092"/>
      <c r="G226" s="1092"/>
      <c r="H226" s="1092"/>
    </row>
    <row r="227" spans="1:8" ht="15">
      <c r="A227" s="1093" t="s">
        <v>966</v>
      </c>
      <c r="B227" s="1092"/>
      <c r="C227" s="1092"/>
      <c r="D227" s="1092"/>
      <c r="E227" s="1092"/>
      <c r="F227" s="1092"/>
      <c r="G227" s="1092"/>
      <c r="H227" s="1092"/>
    </row>
    <row r="228" spans="1:8" ht="15">
      <c r="A228" s="1093" t="s">
        <v>967</v>
      </c>
      <c r="B228" s="1092"/>
      <c r="C228" s="1092"/>
      <c r="D228" s="1092"/>
      <c r="E228" s="1092"/>
      <c r="F228" s="1092"/>
      <c r="G228" s="1092"/>
      <c r="H228" s="1092"/>
    </row>
    <row r="229" spans="1:8" ht="15">
      <c r="A229" s="1093" t="s">
        <v>968</v>
      </c>
      <c r="B229" s="1092"/>
      <c r="C229" s="1092"/>
      <c r="D229" s="1092"/>
      <c r="E229" s="1092"/>
      <c r="F229" s="1092"/>
      <c r="G229" s="1092"/>
      <c r="H229" s="1092"/>
    </row>
    <row r="230" spans="1:8" ht="15">
      <c r="A230" s="1092"/>
      <c r="B230" s="1092"/>
      <c r="C230" s="1092"/>
      <c r="D230" s="1092"/>
      <c r="E230" s="1092"/>
      <c r="F230" s="1092"/>
      <c r="G230" s="1092"/>
      <c r="H230" s="1092"/>
    </row>
    <row r="231" spans="1:8" ht="15">
      <c r="A231" s="1093" t="s">
        <v>959</v>
      </c>
      <c r="B231" s="1092"/>
      <c r="C231" s="1092"/>
      <c r="D231" s="1092"/>
      <c r="E231" s="1092"/>
      <c r="F231" s="1092"/>
      <c r="G231" s="1092"/>
      <c r="H231" s="1092"/>
    </row>
    <row r="232" spans="1:8" ht="15">
      <c r="A232" s="1093" t="s">
        <v>960</v>
      </c>
      <c r="B232" s="1092"/>
      <c r="C232" s="1092"/>
      <c r="D232" s="1092"/>
      <c r="E232" s="1092"/>
      <c r="F232" s="1092"/>
      <c r="G232" s="1092"/>
      <c r="H232" s="1092"/>
    </row>
    <row r="233" spans="1:8" ht="15">
      <c r="A233" s="1093" t="s">
        <v>961</v>
      </c>
      <c r="B233" s="1092"/>
      <c r="C233" s="1092"/>
      <c r="D233" s="1092"/>
      <c r="E233" s="1092"/>
      <c r="F233" s="1092"/>
      <c r="G233" s="1092"/>
      <c r="H233" s="1092"/>
    </row>
    <row r="234" spans="1:8" ht="15">
      <c r="A234" s="1092"/>
      <c r="B234" s="1092"/>
      <c r="C234" s="1092"/>
      <c r="D234" s="1092"/>
      <c r="E234" s="1092"/>
      <c r="F234" s="1092"/>
      <c r="G234" s="1092"/>
      <c r="H234" s="1092"/>
    </row>
    <row r="235" spans="1:8" ht="15">
      <c r="A235" s="1093" t="s">
        <v>954</v>
      </c>
      <c r="B235" s="1092"/>
      <c r="C235" s="1092"/>
      <c r="D235" s="1092"/>
      <c r="E235" s="1092"/>
      <c r="F235" s="1092"/>
      <c r="G235" s="1092"/>
      <c r="H235" s="1092"/>
    </row>
    <row r="236" spans="1:8" ht="15">
      <c r="A236" s="1093" t="s">
        <v>955</v>
      </c>
      <c r="B236" s="1092"/>
      <c r="C236" s="1092"/>
      <c r="D236" s="1092"/>
      <c r="E236" s="1092"/>
      <c r="F236" s="1092"/>
      <c r="G236" s="1092"/>
      <c r="H236" s="1092"/>
    </row>
    <row r="237" spans="1:8" ht="15">
      <c r="A237" s="1093" t="s">
        <v>956</v>
      </c>
      <c r="B237" s="1092"/>
      <c r="C237" s="1092"/>
      <c r="D237" s="1092"/>
      <c r="E237" s="1092"/>
      <c r="F237" s="1092"/>
      <c r="G237" s="1092"/>
      <c r="H237" s="1092"/>
    </row>
    <row r="238" spans="1:8" ht="15">
      <c r="A238" s="1093" t="s">
        <v>957</v>
      </c>
      <c r="B238" s="1092"/>
      <c r="C238" s="1092"/>
      <c r="D238" s="1092"/>
      <c r="E238" s="1092"/>
      <c r="F238" s="1092"/>
      <c r="G238" s="1092"/>
      <c r="H238" s="1092"/>
    </row>
    <row r="239" spans="1:8" ht="15">
      <c r="A239" s="1093" t="s">
        <v>958</v>
      </c>
      <c r="B239" s="1092"/>
      <c r="C239" s="1092"/>
      <c r="D239" s="1092"/>
      <c r="E239" s="1092"/>
      <c r="F239" s="1092"/>
      <c r="G239" s="1092"/>
      <c r="H239" s="1092"/>
    </row>
    <row r="240" spans="1:8" ht="15">
      <c r="A240" s="1092"/>
      <c r="B240" s="1092"/>
      <c r="C240" s="1092"/>
      <c r="D240" s="1092"/>
      <c r="E240" s="1092"/>
      <c r="F240" s="1092"/>
      <c r="G240" s="1092"/>
      <c r="H240" s="1092"/>
    </row>
    <row r="241" spans="1:8" ht="15">
      <c r="A241" s="1093" t="s">
        <v>948</v>
      </c>
      <c r="B241" s="1092"/>
      <c r="C241" s="1092"/>
      <c r="D241" s="1092"/>
      <c r="E241" s="1092"/>
      <c r="F241" s="1092"/>
      <c r="G241" s="1092"/>
      <c r="H241" s="1092"/>
    </row>
    <row r="242" spans="1:8" ht="15">
      <c r="A242" s="1093" t="s">
        <v>949</v>
      </c>
      <c r="B242" s="1092"/>
      <c r="C242" s="1092"/>
      <c r="D242" s="1092"/>
      <c r="E242" s="1092"/>
      <c r="F242" s="1092"/>
      <c r="G242" s="1092"/>
      <c r="H242" s="1092"/>
    </row>
    <row r="243" spans="1:8" ht="15">
      <c r="A243" s="1093" t="s">
        <v>950</v>
      </c>
      <c r="B243" s="1092"/>
      <c r="C243" s="1092"/>
      <c r="D243" s="1092"/>
      <c r="E243" s="1092"/>
      <c r="F243" s="1092"/>
      <c r="G243" s="1092"/>
      <c r="H243" s="1092"/>
    </row>
    <row r="244" spans="1:8" ht="15">
      <c r="A244" s="1093" t="s">
        <v>951</v>
      </c>
      <c r="B244" s="1092"/>
      <c r="C244" s="1092"/>
      <c r="D244" s="1092"/>
      <c r="E244" s="1092"/>
      <c r="F244" s="1092"/>
      <c r="G244" s="1092"/>
      <c r="H244" s="1092"/>
    </row>
    <row r="245" spans="1:8" ht="15">
      <c r="A245" s="1093" t="s">
        <v>952</v>
      </c>
      <c r="B245" s="1092"/>
      <c r="C245" s="1092"/>
      <c r="D245" s="1092"/>
      <c r="E245" s="1092"/>
      <c r="F245" s="1092"/>
      <c r="G245" s="1092"/>
      <c r="H245" s="1092"/>
    </row>
    <row r="246" spans="1:8" ht="15">
      <c r="A246" s="1093" t="s">
        <v>953</v>
      </c>
      <c r="B246" s="1092"/>
      <c r="C246" s="1092"/>
      <c r="D246" s="1092"/>
      <c r="E246" s="1092"/>
      <c r="F246" s="1092"/>
      <c r="G246" s="1092"/>
      <c r="H246" s="1092"/>
    </row>
    <row r="247" spans="1:8" ht="15">
      <c r="A247" s="1092"/>
      <c r="B247" s="1092"/>
      <c r="C247" s="1092"/>
      <c r="D247" s="1092"/>
      <c r="E247" s="1092"/>
      <c r="F247" s="1092"/>
      <c r="G247" s="1092"/>
      <c r="H247" s="1092"/>
    </row>
    <row r="248" spans="1:8" ht="15">
      <c r="A248" s="1093" t="s">
        <v>938</v>
      </c>
      <c r="B248" s="1092"/>
      <c r="C248" s="1092"/>
      <c r="D248" s="1092"/>
      <c r="E248" s="1092"/>
      <c r="F248" s="1092"/>
      <c r="G248" s="1092"/>
      <c r="H248" s="1092"/>
    </row>
    <row r="249" spans="1:8" ht="15">
      <c r="A249" s="1093" t="s">
        <v>939</v>
      </c>
      <c r="B249" s="1092"/>
      <c r="C249" s="1092"/>
      <c r="D249" s="1092"/>
      <c r="E249" s="1092"/>
      <c r="F249" s="1092"/>
      <c r="G249" s="1092"/>
      <c r="H249" s="1092"/>
    </row>
    <row r="250" spans="1:8" ht="15">
      <c r="A250" s="1093" t="s">
        <v>940</v>
      </c>
      <c r="B250" s="1092"/>
      <c r="C250" s="1092"/>
      <c r="D250" s="1092"/>
      <c r="E250" s="1092"/>
      <c r="F250" s="1092"/>
      <c r="G250" s="1092"/>
      <c r="H250" s="1092"/>
    </row>
    <row r="251" spans="1:8" ht="15">
      <c r="A251" s="1093" t="s">
        <v>941</v>
      </c>
      <c r="B251" s="1092"/>
      <c r="C251" s="1092"/>
      <c r="D251" s="1092"/>
      <c r="E251" s="1092"/>
      <c r="F251" s="1092"/>
      <c r="G251" s="1092"/>
      <c r="H251" s="1092"/>
    </row>
    <row r="252" spans="1:8" ht="15">
      <c r="A252" s="1093" t="s">
        <v>942</v>
      </c>
      <c r="B252" s="1092"/>
      <c r="C252" s="1092"/>
      <c r="D252" s="1092"/>
      <c r="E252" s="1092"/>
      <c r="F252" s="1092"/>
      <c r="G252" s="1092"/>
      <c r="H252" s="1092"/>
    </row>
    <row r="253" spans="1:8" ht="15">
      <c r="A253" s="1093" t="s">
        <v>943</v>
      </c>
      <c r="B253" s="1092"/>
      <c r="C253" s="1092"/>
      <c r="D253" s="1092"/>
      <c r="E253" s="1092"/>
      <c r="F253" s="1092"/>
      <c r="G253" s="1092"/>
      <c r="H253" s="1092"/>
    </row>
    <row r="254" spans="1:8" ht="15">
      <c r="A254" s="1093" t="s">
        <v>944</v>
      </c>
      <c r="B254" s="1092"/>
      <c r="C254" s="1092"/>
      <c r="D254" s="1092"/>
      <c r="E254" s="1092"/>
      <c r="F254" s="1092"/>
      <c r="G254" s="1092"/>
      <c r="H254" s="1092"/>
    </row>
    <row r="255" spans="1:8" ht="15">
      <c r="A255" s="1093" t="s">
        <v>945</v>
      </c>
      <c r="B255" s="1092"/>
      <c r="C255" s="1092"/>
      <c r="D255" s="1092"/>
      <c r="E255" s="1092"/>
      <c r="F255" s="1092"/>
      <c r="G255" s="1092"/>
      <c r="H255" s="1092"/>
    </row>
    <row r="256" spans="1:8" ht="15">
      <c r="A256" s="1093" t="s">
        <v>946</v>
      </c>
      <c r="B256" s="1092"/>
      <c r="C256" s="1092"/>
      <c r="D256" s="1092"/>
      <c r="E256" s="1092"/>
      <c r="F256" s="1092"/>
      <c r="G256" s="1092"/>
      <c r="H256" s="1092"/>
    </row>
    <row r="257" spans="1:8" ht="15">
      <c r="A257" s="1093" t="s">
        <v>947</v>
      </c>
      <c r="B257" s="1092"/>
      <c r="C257" s="1092"/>
      <c r="D257" s="1092"/>
      <c r="E257" s="1092"/>
      <c r="F257" s="1092"/>
      <c r="G257" s="1092"/>
      <c r="H257" s="1092"/>
    </row>
    <row r="258" spans="1:8" ht="15">
      <c r="A258" s="1092"/>
      <c r="B258" s="1092"/>
      <c r="C258" s="1092"/>
      <c r="D258" s="1092"/>
      <c r="E258" s="1092"/>
      <c r="F258" s="1092"/>
      <c r="G258" s="1092"/>
      <c r="H258" s="1092"/>
    </row>
    <row r="259" spans="1:8" ht="15">
      <c r="A259" s="1093" t="s">
        <v>936</v>
      </c>
      <c r="B259" s="1092"/>
      <c r="C259" s="1092"/>
      <c r="D259" s="1092"/>
      <c r="E259" s="1092"/>
      <c r="F259" s="1092"/>
      <c r="G259" s="1092"/>
      <c r="H259" s="1092"/>
    </row>
    <row r="260" spans="1:8" ht="15">
      <c r="A260" s="1093" t="s">
        <v>937</v>
      </c>
      <c r="B260" s="1092"/>
      <c r="C260" s="1092"/>
      <c r="D260" s="1092"/>
      <c r="E260" s="1092"/>
      <c r="F260" s="1092"/>
      <c r="G260" s="1092"/>
      <c r="H260" s="1092"/>
    </row>
    <row r="261" spans="1:8" ht="15">
      <c r="A261" s="1092"/>
      <c r="B261" s="1092"/>
      <c r="C261" s="1092"/>
      <c r="D261" s="1092"/>
      <c r="E261" s="1092"/>
      <c r="F261" s="1092"/>
      <c r="G261" s="1092"/>
      <c r="H261" s="1092"/>
    </row>
    <row r="262" spans="1:8" ht="15">
      <c r="A262" s="1093" t="s">
        <v>920</v>
      </c>
      <c r="B262" s="1092"/>
      <c r="C262" s="1092"/>
      <c r="D262" s="1092"/>
      <c r="E262" s="1092"/>
      <c r="F262" s="1092"/>
      <c r="G262" s="1092"/>
      <c r="H262" s="1092"/>
    </row>
    <row r="263" spans="1:8" ht="15">
      <c r="A263" s="1093" t="s">
        <v>921</v>
      </c>
      <c r="B263" s="1092"/>
      <c r="C263" s="1092"/>
      <c r="D263" s="1092"/>
      <c r="E263" s="1092"/>
      <c r="F263" s="1092"/>
      <c r="G263" s="1092"/>
      <c r="H263" s="1092"/>
    </row>
    <row r="264" spans="1:8" ht="15">
      <c r="A264" s="1093" t="s">
        <v>922</v>
      </c>
      <c r="B264" s="1092"/>
      <c r="C264" s="1092"/>
      <c r="D264" s="1092"/>
      <c r="E264" s="1092"/>
      <c r="F264" s="1092"/>
      <c r="G264" s="1092"/>
      <c r="H264" s="1092"/>
    </row>
    <row r="265" spans="1:8" ht="15">
      <c r="A265" s="1093" t="s">
        <v>923</v>
      </c>
      <c r="B265" s="1092"/>
      <c r="C265" s="1092"/>
      <c r="D265" s="1092"/>
      <c r="E265" s="1092"/>
      <c r="F265" s="1092"/>
      <c r="G265" s="1092"/>
      <c r="H265" s="1092"/>
    </row>
    <row r="266" spans="1:8" ht="15">
      <c r="A266" s="1093" t="s">
        <v>924</v>
      </c>
      <c r="B266" s="1092"/>
      <c r="C266" s="1092"/>
      <c r="D266" s="1092"/>
      <c r="E266" s="1092"/>
      <c r="F266" s="1092"/>
      <c r="G266" s="1092"/>
      <c r="H266" s="1092"/>
    </row>
    <row r="267" spans="1:8" ht="15">
      <c r="A267" s="1093" t="s">
        <v>925</v>
      </c>
      <c r="B267" s="1092"/>
      <c r="C267" s="1092"/>
      <c r="D267" s="1092"/>
      <c r="E267" s="1092"/>
      <c r="F267" s="1092"/>
      <c r="G267" s="1092"/>
      <c r="H267" s="1092"/>
    </row>
    <row r="268" spans="1:8" ht="15">
      <c r="A268" s="1093" t="s">
        <v>926</v>
      </c>
      <c r="B268" s="1092"/>
      <c r="C268" s="1092"/>
      <c r="D268" s="1092"/>
      <c r="E268" s="1092"/>
      <c r="F268" s="1092"/>
      <c r="G268" s="1092"/>
      <c r="H268" s="1092"/>
    </row>
    <row r="269" spans="1:8" ht="15">
      <c r="A269" s="1093" t="s">
        <v>927</v>
      </c>
      <c r="B269" s="1092"/>
      <c r="C269" s="1092"/>
      <c r="D269" s="1092"/>
      <c r="E269" s="1092"/>
      <c r="F269" s="1092"/>
      <c r="G269" s="1092"/>
      <c r="H269" s="1092"/>
    </row>
    <row r="270" spans="1:8" ht="15">
      <c r="A270" s="1093" t="s">
        <v>928</v>
      </c>
      <c r="B270" s="1092"/>
      <c r="C270" s="1092"/>
      <c r="D270" s="1092"/>
      <c r="E270" s="1092"/>
      <c r="F270" s="1092"/>
      <c r="G270" s="1092"/>
      <c r="H270" s="1092"/>
    </row>
    <row r="271" spans="1:8" ht="15">
      <c r="A271" s="1093" t="s">
        <v>929</v>
      </c>
      <c r="B271" s="1092"/>
      <c r="C271" s="1092"/>
      <c r="D271" s="1092"/>
      <c r="E271" s="1092"/>
      <c r="F271" s="1092"/>
      <c r="G271" s="1092"/>
      <c r="H271" s="1092"/>
    </row>
    <row r="272" spans="1:8" ht="15">
      <c r="A272" s="1093" t="s">
        <v>930</v>
      </c>
      <c r="B272" s="1092"/>
      <c r="C272" s="1092"/>
      <c r="D272" s="1092"/>
      <c r="E272" s="1092"/>
      <c r="F272" s="1092"/>
      <c r="G272" s="1092"/>
      <c r="H272" s="1092"/>
    </row>
    <row r="273" spans="1:8" ht="15">
      <c r="A273" s="1093" t="s">
        <v>931</v>
      </c>
      <c r="B273" s="1092"/>
      <c r="C273" s="1092"/>
      <c r="D273" s="1092"/>
      <c r="E273" s="1092"/>
      <c r="F273" s="1092"/>
      <c r="G273" s="1092"/>
      <c r="H273" s="1092"/>
    </row>
    <row r="274" spans="1:8" ht="15">
      <c r="A274" s="1093" t="s">
        <v>932</v>
      </c>
      <c r="B274" s="1092"/>
      <c r="C274" s="1092"/>
      <c r="D274" s="1092"/>
      <c r="E274" s="1092"/>
      <c r="F274" s="1092"/>
      <c r="G274" s="1092"/>
      <c r="H274" s="1092"/>
    </row>
    <row r="275" spans="1:8" ht="15">
      <c r="A275" s="1093" t="s">
        <v>933</v>
      </c>
      <c r="B275" s="1092"/>
      <c r="C275" s="1092"/>
      <c r="D275" s="1092"/>
      <c r="E275" s="1092"/>
      <c r="F275" s="1092"/>
      <c r="G275" s="1092"/>
      <c r="H275" s="1092"/>
    </row>
    <row r="276" spans="1:8" ht="15">
      <c r="A276" s="1093" t="s">
        <v>934</v>
      </c>
      <c r="B276" s="1092"/>
      <c r="C276" s="1092"/>
      <c r="D276" s="1092"/>
      <c r="E276" s="1092"/>
      <c r="F276" s="1092"/>
      <c r="G276" s="1092"/>
      <c r="H276" s="1092"/>
    </row>
    <row r="277" spans="1:8" ht="15">
      <c r="A277" s="1093" t="s">
        <v>935</v>
      </c>
      <c r="B277" s="1092"/>
      <c r="C277" s="1092"/>
      <c r="D277" s="1092"/>
      <c r="E277" s="1092"/>
      <c r="F277" s="1092"/>
      <c r="G277" s="1092"/>
      <c r="H277" s="1092"/>
    </row>
    <row r="278" spans="1:8" ht="15">
      <c r="A278" s="1092"/>
      <c r="B278" s="1092"/>
      <c r="C278" s="1092"/>
      <c r="D278" s="1092"/>
      <c r="E278" s="1092"/>
      <c r="F278" s="1092"/>
      <c r="G278" s="1092"/>
      <c r="H278" s="1092"/>
    </row>
    <row r="279" spans="1:8" ht="15">
      <c r="A279" s="1093" t="s">
        <v>913</v>
      </c>
      <c r="B279" s="1092"/>
      <c r="C279" s="1092"/>
      <c r="D279" s="1092"/>
      <c r="E279" s="1092"/>
      <c r="F279" s="1092"/>
      <c r="G279" s="1092"/>
      <c r="H279" s="1092"/>
    </row>
    <row r="280" spans="1:8" ht="15">
      <c r="A280" s="1093" t="s">
        <v>914</v>
      </c>
      <c r="B280" s="1092"/>
      <c r="C280" s="1092"/>
      <c r="D280" s="1092"/>
      <c r="E280" s="1092"/>
      <c r="F280" s="1092"/>
      <c r="G280" s="1092"/>
      <c r="H280" s="1092"/>
    </row>
    <row r="281" spans="1:8" ht="15">
      <c r="A281" s="1093" t="s">
        <v>915</v>
      </c>
      <c r="B281" s="1092"/>
      <c r="C281" s="1092"/>
      <c r="D281" s="1092"/>
      <c r="E281" s="1092"/>
      <c r="F281" s="1092"/>
      <c r="G281" s="1092"/>
      <c r="H281" s="1092"/>
    </row>
    <row r="282" spans="1:8" ht="15">
      <c r="A282" s="1093" t="s">
        <v>916</v>
      </c>
      <c r="B282" s="1092"/>
      <c r="C282" s="1092"/>
      <c r="D282" s="1092"/>
      <c r="E282" s="1092"/>
      <c r="F282" s="1092"/>
      <c r="G282" s="1092"/>
      <c r="H282" s="1092"/>
    </row>
    <row r="283" spans="1:8" ht="15">
      <c r="A283" s="1093" t="s">
        <v>917</v>
      </c>
      <c r="B283" s="1092"/>
      <c r="C283" s="1092"/>
      <c r="D283" s="1092"/>
      <c r="E283" s="1092"/>
      <c r="F283" s="1092"/>
      <c r="G283" s="1092"/>
      <c r="H283" s="1092"/>
    </row>
    <row r="284" spans="1:8" ht="15">
      <c r="A284" s="1093" t="s">
        <v>918</v>
      </c>
      <c r="B284" s="1092"/>
      <c r="C284" s="1092"/>
      <c r="D284" s="1092"/>
      <c r="E284" s="1092"/>
      <c r="F284" s="1092"/>
      <c r="G284" s="1092"/>
      <c r="H284" s="1092"/>
    </row>
    <row r="285" spans="1:8" ht="15">
      <c r="A285" s="1093" t="s">
        <v>919</v>
      </c>
      <c r="B285" s="1092"/>
      <c r="C285" s="1092"/>
      <c r="D285" s="1092"/>
      <c r="E285" s="1092"/>
      <c r="F285" s="1092"/>
      <c r="G285" s="1092"/>
      <c r="H285" s="1092"/>
    </row>
    <row r="286" spans="1:8" ht="15">
      <c r="A286" s="1092"/>
      <c r="B286" s="1092"/>
      <c r="C286" s="1092"/>
      <c r="D286" s="1092"/>
      <c r="E286" s="1092"/>
      <c r="F286" s="1092"/>
      <c r="G286" s="1092"/>
      <c r="H286" s="1092"/>
    </row>
    <row r="287" spans="1:8" ht="15">
      <c r="A287" s="1093" t="s">
        <v>904</v>
      </c>
      <c r="B287" s="1092"/>
      <c r="C287" s="1092"/>
      <c r="D287" s="1092"/>
      <c r="E287" s="1092"/>
      <c r="F287" s="1092"/>
      <c r="G287" s="1092"/>
      <c r="H287" s="1092"/>
    </row>
    <row r="288" spans="1:8" ht="15">
      <c r="A288" s="1093" t="s">
        <v>905</v>
      </c>
      <c r="B288" s="1092"/>
      <c r="C288" s="1092"/>
      <c r="D288" s="1092"/>
      <c r="E288" s="1092"/>
      <c r="F288" s="1092"/>
      <c r="G288" s="1092"/>
      <c r="H288" s="1092"/>
    </row>
    <row r="289" spans="1:8" ht="15">
      <c r="A289" s="1093" t="s">
        <v>906</v>
      </c>
      <c r="B289" s="1092"/>
      <c r="C289" s="1092"/>
      <c r="D289" s="1092"/>
      <c r="E289" s="1092"/>
      <c r="F289" s="1092"/>
      <c r="G289" s="1092"/>
      <c r="H289" s="1092"/>
    </row>
    <row r="290" spans="1:8" ht="15">
      <c r="A290" s="1093" t="s">
        <v>907</v>
      </c>
      <c r="B290" s="1092"/>
      <c r="C290" s="1092"/>
      <c r="D290" s="1092"/>
      <c r="E290" s="1092"/>
      <c r="F290" s="1092"/>
      <c r="G290" s="1092"/>
      <c r="H290" s="1092"/>
    </row>
    <row r="291" spans="1:8" ht="15">
      <c r="A291" s="1093" t="s">
        <v>908</v>
      </c>
      <c r="B291" s="1092"/>
      <c r="C291" s="1092"/>
      <c r="D291" s="1092"/>
      <c r="E291" s="1092"/>
      <c r="F291" s="1092"/>
      <c r="G291" s="1092"/>
      <c r="H291" s="1092"/>
    </row>
    <row r="292" spans="1:8" ht="15">
      <c r="A292" s="1093" t="s">
        <v>909</v>
      </c>
      <c r="B292" s="1092"/>
      <c r="C292" s="1092"/>
      <c r="D292" s="1092"/>
      <c r="E292" s="1092"/>
      <c r="F292" s="1092"/>
      <c r="G292" s="1092"/>
      <c r="H292" s="1092"/>
    </row>
    <row r="293" spans="1:8" ht="15">
      <c r="A293" s="1093" t="s">
        <v>910</v>
      </c>
      <c r="B293" s="1092"/>
      <c r="C293" s="1092"/>
      <c r="D293" s="1092"/>
      <c r="E293" s="1092"/>
      <c r="F293" s="1092"/>
      <c r="G293" s="1092"/>
      <c r="H293" s="1092"/>
    </row>
    <row r="294" spans="1:8" ht="15">
      <c r="A294" s="1093" t="s">
        <v>911</v>
      </c>
      <c r="B294" s="1092"/>
      <c r="C294" s="1092"/>
      <c r="D294" s="1092"/>
      <c r="E294" s="1092"/>
      <c r="F294" s="1092"/>
      <c r="G294" s="1092"/>
      <c r="H294" s="1092"/>
    </row>
    <row r="295" spans="1:8" ht="15">
      <c r="A295" s="1093" t="s">
        <v>912</v>
      </c>
      <c r="B295" s="1092"/>
      <c r="C295" s="1092"/>
      <c r="D295" s="1092"/>
      <c r="E295" s="1092"/>
      <c r="F295" s="1092"/>
      <c r="G295" s="1092"/>
      <c r="H295" s="1092"/>
    </row>
    <row r="296" spans="1:8" ht="15">
      <c r="A296" s="1092"/>
      <c r="B296" s="1092"/>
      <c r="C296" s="1092"/>
      <c r="D296" s="1092"/>
      <c r="E296" s="1092"/>
      <c r="F296" s="1092"/>
      <c r="G296" s="1092"/>
      <c r="H296" s="1092"/>
    </row>
    <row r="297" spans="1:8" ht="15">
      <c r="A297" s="1093" t="s">
        <v>897</v>
      </c>
      <c r="B297" s="1092"/>
      <c r="C297" s="1092"/>
      <c r="D297" s="1092"/>
      <c r="E297" s="1092"/>
      <c r="F297" s="1092"/>
      <c r="G297" s="1092"/>
      <c r="H297" s="1092"/>
    </row>
    <row r="298" spans="1:8" ht="15">
      <c r="A298" s="1093" t="s">
        <v>898</v>
      </c>
      <c r="B298" s="1092"/>
      <c r="C298" s="1092"/>
      <c r="D298" s="1092"/>
      <c r="E298" s="1092"/>
      <c r="F298" s="1092"/>
      <c r="G298" s="1092"/>
      <c r="H298" s="1092"/>
    </row>
    <row r="299" spans="1:8" ht="15">
      <c r="A299" s="1093" t="s">
        <v>899</v>
      </c>
      <c r="B299" s="1092"/>
      <c r="C299" s="1092"/>
      <c r="D299" s="1092"/>
      <c r="E299" s="1092"/>
      <c r="F299" s="1092"/>
      <c r="G299" s="1092"/>
      <c r="H299" s="1092"/>
    </row>
    <row r="300" spans="1:8" ht="15">
      <c r="A300" s="1093" t="s">
        <v>900</v>
      </c>
      <c r="B300" s="1092"/>
      <c r="C300" s="1092"/>
      <c r="D300" s="1092"/>
      <c r="E300" s="1092"/>
      <c r="F300" s="1092"/>
      <c r="G300" s="1092"/>
      <c r="H300" s="1092"/>
    </row>
    <row r="301" spans="1:8" ht="15">
      <c r="A301" s="1093" t="s">
        <v>901</v>
      </c>
      <c r="B301" s="1092"/>
      <c r="C301" s="1092"/>
      <c r="D301" s="1092"/>
      <c r="E301" s="1092"/>
      <c r="F301" s="1092"/>
      <c r="G301" s="1092"/>
      <c r="H301" s="1092"/>
    </row>
    <row r="302" spans="1:8" ht="15">
      <c r="A302" s="1093" t="s">
        <v>902</v>
      </c>
      <c r="B302" s="1092"/>
      <c r="C302" s="1092"/>
      <c r="D302" s="1092"/>
      <c r="E302" s="1092"/>
      <c r="F302" s="1092"/>
      <c r="G302" s="1092"/>
      <c r="H302" s="1092"/>
    </row>
    <row r="303" spans="1:8" ht="15">
      <c r="A303" s="1093" t="s">
        <v>903</v>
      </c>
      <c r="B303" s="1092"/>
      <c r="C303" s="1092"/>
      <c r="D303" s="1092"/>
      <c r="E303" s="1092"/>
      <c r="F303" s="1092"/>
      <c r="G303" s="1092"/>
      <c r="H303" s="1092"/>
    </row>
    <row r="304" spans="1:8" ht="15">
      <c r="A304" s="1092"/>
      <c r="B304" s="1092"/>
      <c r="C304" s="1092"/>
      <c r="D304" s="1092"/>
      <c r="E304" s="1092"/>
      <c r="F304" s="1092"/>
      <c r="G304" s="1092"/>
      <c r="H304" s="1092"/>
    </row>
    <row r="305" spans="1:8" ht="15">
      <c r="A305" s="1093" t="s">
        <v>894</v>
      </c>
      <c r="B305" s="1092"/>
      <c r="C305" s="1092"/>
      <c r="D305" s="1092"/>
      <c r="E305" s="1092"/>
      <c r="F305" s="1092"/>
      <c r="G305" s="1092"/>
      <c r="H305" s="1092"/>
    </row>
    <row r="306" spans="1:8" ht="15">
      <c r="A306" s="1093" t="s">
        <v>895</v>
      </c>
      <c r="B306" s="1092"/>
      <c r="C306" s="1092"/>
      <c r="D306" s="1092"/>
      <c r="E306" s="1092"/>
      <c r="F306" s="1092"/>
      <c r="G306" s="1092"/>
      <c r="H306" s="1092"/>
    </row>
    <row r="307" spans="1:8" ht="15">
      <c r="A307" s="1093" t="s">
        <v>896</v>
      </c>
      <c r="B307" s="1092"/>
      <c r="C307" s="1092"/>
      <c r="D307" s="1092"/>
      <c r="E307" s="1092"/>
      <c r="F307" s="1092"/>
      <c r="G307" s="1092"/>
      <c r="H307" s="1092"/>
    </row>
    <row r="308" spans="1:8" ht="15">
      <c r="A308" s="1092"/>
      <c r="B308" s="1092"/>
      <c r="C308" s="1092"/>
      <c r="D308" s="1092"/>
      <c r="E308" s="1092"/>
      <c r="F308" s="1092"/>
      <c r="G308" s="1092"/>
      <c r="H308" s="1092"/>
    </row>
    <row r="309" spans="1:8" ht="15">
      <c r="A309" s="1093" t="s">
        <v>892</v>
      </c>
      <c r="B309" s="1092"/>
      <c r="C309" s="1092"/>
      <c r="D309" s="1092"/>
      <c r="E309" s="1092"/>
      <c r="F309" s="1092"/>
      <c r="G309" s="1092"/>
      <c r="H309" s="1092"/>
    </row>
    <row r="310" spans="1:8" ht="15">
      <c r="A310" s="1093" t="s">
        <v>893</v>
      </c>
      <c r="B310" s="1092"/>
      <c r="C310" s="1092"/>
      <c r="D310" s="1092"/>
      <c r="E310" s="1092"/>
      <c r="F310" s="1092"/>
      <c r="G310" s="1092"/>
      <c r="H310" s="1092"/>
    </row>
    <row r="311" spans="1:8" ht="15">
      <c r="A311" s="1092"/>
      <c r="B311" s="1092"/>
      <c r="C311" s="1092"/>
      <c r="D311" s="1092"/>
      <c r="E311" s="1092"/>
      <c r="F311" s="1092"/>
      <c r="G311" s="1092"/>
      <c r="H311" s="1092"/>
    </row>
    <row r="312" spans="1:8" ht="15">
      <c r="A312" s="1093" t="s">
        <v>879</v>
      </c>
      <c r="B312" s="1092"/>
      <c r="C312" s="1092"/>
      <c r="D312" s="1092"/>
      <c r="E312" s="1092"/>
      <c r="F312" s="1092"/>
      <c r="G312" s="1092"/>
      <c r="H312" s="1092"/>
    </row>
    <row r="313" spans="1:8" ht="15">
      <c r="A313" s="1093" t="s">
        <v>880</v>
      </c>
      <c r="B313" s="1092"/>
      <c r="C313" s="1092"/>
      <c r="D313" s="1092"/>
      <c r="E313" s="1092"/>
      <c r="F313" s="1092"/>
      <c r="G313" s="1092"/>
      <c r="H313" s="1092"/>
    </row>
    <row r="314" spans="1:8" ht="15">
      <c r="A314" s="1093" t="s">
        <v>881</v>
      </c>
      <c r="B314" s="1092"/>
      <c r="C314" s="1092"/>
      <c r="D314" s="1092"/>
      <c r="E314" s="1092"/>
      <c r="F314" s="1092"/>
      <c r="G314" s="1092"/>
      <c r="H314" s="1092"/>
    </row>
    <row r="315" spans="1:8" ht="15">
      <c r="A315" s="1093" t="s">
        <v>882</v>
      </c>
      <c r="B315" s="1092"/>
      <c r="C315" s="1092"/>
      <c r="D315" s="1092"/>
      <c r="E315" s="1092"/>
      <c r="F315" s="1092"/>
      <c r="G315" s="1092"/>
      <c r="H315" s="1092"/>
    </row>
    <row r="316" spans="1:8" ht="15">
      <c r="A316" s="1093" t="s">
        <v>883</v>
      </c>
      <c r="B316" s="1092"/>
      <c r="C316" s="1092"/>
      <c r="D316" s="1092"/>
      <c r="E316" s="1092"/>
      <c r="F316" s="1092"/>
      <c r="G316" s="1092"/>
      <c r="H316" s="1092"/>
    </row>
    <row r="317" spans="1:8" ht="15">
      <c r="A317" s="1093" t="s">
        <v>884</v>
      </c>
      <c r="B317" s="1092"/>
      <c r="C317" s="1092"/>
      <c r="D317" s="1092"/>
      <c r="E317" s="1092"/>
      <c r="F317" s="1092"/>
      <c r="G317" s="1092"/>
      <c r="H317" s="1092"/>
    </row>
    <row r="318" spans="1:8" ht="15">
      <c r="A318" s="1093" t="s">
        <v>885</v>
      </c>
      <c r="B318" s="1092"/>
      <c r="C318" s="1092"/>
      <c r="D318" s="1092"/>
      <c r="E318" s="1092"/>
      <c r="F318" s="1092"/>
      <c r="G318" s="1092"/>
      <c r="H318" s="1092"/>
    </row>
    <row r="319" spans="1:8" ht="15">
      <c r="A319" s="1093" t="s">
        <v>886</v>
      </c>
      <c r="B319" s="1092"/>
      <c r="C319" s="1092"/>
      <c r="D319" s="1092"/>
      <c r="E319" s="1092"/>
      <c r="F319" s="1092"/>
      <c r="G319" s="1092"/>
      <c r="H319" s="1092"/>
    </row>
    <row r="320" spans="1:8" ht="15">
      <c r="A320" s="1093" t="s">
        <v>887</v>
      </c>
      <c r="B320" s="1092"/>
      <c r="C320" s="1092"/>
      <c r="D320" s="1092"/>
      <c r="E320" s="1092"/>
      <c r="F320" s="1092"/>
      <c r="G320" s="1092"/>
      <c r="H320" s="1092"/>
    </row>
    <row r="321" spans="1:8" ht="15">
      <c r="A321" s="1093" t="s">
        <v>888</v>
      </c>
      <c r="B321" s="1092"/>
      <c r="C321" s="1092"/>
      <c r="D321" s="1092"/>
      <c r="E321" s="1092"/>
      <c r="F321" s="1092"/>
      <c r="G321" s="1092"/>
      <c r="H321" s="1092"/>
    </row>
    <row r="322" spans="1:8" ht="15">
      <c r="A322" s="1093" t="s">
        <v>889</v>
      </c>
      <c r="B322" s="1092"/>
      <c r="C322" s="1092"/>
      <c r="D322" s="1092"/>
      <c r="E322" s="1092"/>
      <c r="F322" s="1092"/>
      <c r="G322" s="1092"/>
      <c r="H322" s="1092"/>
    </row>
    <row r="323" spans="1:8" ht="15">
      <c r="A323" s="1093" t="s">
        <v>890</v>
      </c>
      <c r="B323" s="1092"/>
      <c r="C323" s="1092"/>
      <c r="D323" s="1092"/>
      <c r="E323" s="1092"/>
      <c r="F323" s="1092"/>
      <c r="G323" s="1092"/>
      <c r="H323" s="1092"/>
    </row>
    <row r="324" spans="1:8" ht="15">
      <c r="A324" s="1093" t="s">
        <v>891</v>
      </c>
      <c r="B324" s="1092"/>
      <c r="C324" s="1092"/>
      <c r="D324" s="1092"/>
      <c r="E324" s="1092"/>
      <c r="F324" s="1092"/>
      <c r="G324" s="1092"/>
      <c r="H324" s="1092"/>
    </row>
    <row r="325" spans="1:8" ht="15">
      <c r="A325" s="1092"/>
      <c r="B325" s="1092"/>
      <c r="C325" s="1092"/>
      <c r="D325" s="1092"/>
      <c r="E325" s="1092"/>
      <c r="F325" s="1092"/>
      <c r="G325" s="1092"/>
      <c r="H325" s="1092"/>
    </row>
    <row r="326" spans="1:8" ht="15">
      <c r="A326" s="1093" t="s">
        <v>877</v>
      </c>
      <c r="B326" s="1092"/>
      <c r="C326" s="1092"/>
      <c r="D326" s="1092"/>
      <c r="E326" s="1092"/>
      <c r="F326" s="1092"/>
      <c r="G326" s="1092"/>
      <c r="H326" s="1092"/>
    </row>
    <row r="327" spans="1:8" ht="15">
      <c r="A327" s="1093" t="s">
        <v>878</v>
      </c>
      <c r="B327" s="1092"/>
      <c r="C327" s="1092"/>
      <c r="D327" s="1092"/>
      <c r="E327" s="1092"/>
      <c r="F327" s="1092"/>
      <c r="G327" s="1092"/>
      <c r="H327" s="1092"/>
    </row>
    <row r="328" spans="1:8" ht="15">
      <c r="A328" s="1092"/>
      <c r="B328" s="1092"/>
      <c r="C328" s="1092"/>
      <c r="D328" s="1092"/>
      <c r="E328" s="1092"/>
      <c r="F328" s="1092"/>
      <c r="G328" s="1092"/>
      <c r="H328" s="1092"/>
    </row>
    <row r="329" spans="1:8" ht="15">
      <c r="A329" s="1093" t="s">
        <v>869</v>
      </c>
      <c r="B329" s="1092"/>
      <c r="C329" s="1092"/>
      <c r="D329" s="1092"/>
      <c r="E329" s="1092"/>
      <c r="F329" s="1092"/>
      <c r="G329" s="1092"/>
      <c r="H329" s="1092"/>
    </row>
    <row r="330" spans="1:8" ht="15">
      <c r="A330" s="1093" t="s">
        <v>870</v>
      </c>
      <c r="B330" s="1092"/>
      <c r="C330" s="1092"/>
      <c r="D330" s="1092"/>
      <c r="E330" s="1092"/>
      <c r="F330" s="1092"/>
      <c r="G330" s="1092"/>
      <c r="H330" s="1092"/>
    </row>
    <row r="331" spans="1:8" ht="15">
      <c r="A331" s="1093" t="s">
        <v>871</v>
      </c>
      <c r="B331" s="1092"/>
      <c r="C331" s="1092"/>
      <c r="D331" s="1092"/>
      <c r="E331" s="1092"/>
      <c r="F331" s="1092"/>
      <c r="G331" s="1092"/>
      <c r="H331" s="1092"/>
    </row>
    <row r="332" spans="1:8" ht="15">
      <c r="A332" s="1093" t="s">
        <v>872</v>
      </c>
      <c r="B332" s="1092"/>
      <c r="C332" s="1092"/>
      <c r="D332" s="1092"/>
      <c r="E332" s="1092"/>
      <c r="F332" s="1092"/>
      <c r="G332" s="1092"/>
      <c r="H332" s="1092"/>
    </row>
    <row r="333" spans="1:8" ht="15">
      <c r="A333" s="1093" t="s">
        <v>873</v>
      </c>
      <c r="B333" s="1092"/>
      <c r="C333" s="1092"/>
      <c r="D333" s="1092"/>
      <c r="E333" s="1092"/>
      <c r="F333" s="1092"/>
      <c r="G333" s="1092"/>
      <c r="H333" s="1092"/>
    </row>
    <row r="334" spans="1:8" ht="15">
      <c r="A334" s="1093" t="s">
        <v>874</v>
      </c>
      <c r="B334" s="1092"/>
      <c r="C334" s="1092"/>
      <c r="D334" s="1092"/>
      <c r="E334" s="1092"/>
      <c r="F334" s="1092"/>
      <c r="G334" s="1092"/>
      <c r="H334" s="1092"/>
    </row>
    <row r="335" spans="1:8" ht="15">
      <c r="A335" s="1093" t="s">
        <v>875</v>
      </c>
      <c r="B335" s="1092"/>
      <c r="C335" s="1092"/>
      <c r="D335" s="1092"/>
      <c r="E335" s="1092"/>
      <c r="F335" s="1092"/>
      <c r="G335" s="1092"/>
      <c r="H335" s="1092"/>
    </row>
    <row r="336" spans="1:8" ht="15">
      <c r="A336" s="1093" t="s">
        <v>876</v>
      </c>
      <c r="B336" s="1092"/>
      <c r="C336" s="1092"/>
      <c r="D336" s="1092"/>
      <c r="E336" s="1092"/>
      <c r="F336" s="1092"/>
      <c r="G336" s="1092"/>
      <c r="H336" s="1092"/>
    </row>
    <row r="337" spans="1:8" ht="15">
      <c r="A337" s="1092"/>
      <c r="B337" s="1092"/>
      <c r="C337" s="1092"/>
      <c r="D337" s="1092"/>
      <c r="E337" s="1092"/>
      <c r="F337" s="1092"/>
      <c r="G337" s="1092"/>
      <c r="H337" s="1092"/>
    </row>
    <row r="338" spans="1:8" ht="15">
      <c r="A338" s="1093" t="s">
        <v>834</v>
      </c>
      <c r="B338" s="1092"/>
      <c r="C338" s="1092"/>
      <c r="D338" s="1092"/>
      <c r="E338" s="1092"/>
      <c r="F338" s="1092"/>
      <c r="G338" s="1092"/>
      <c r="H338" s="1092"/>
    </row>
    <row r="339" spans="1:8" ht="15">
      <c r="A339" s="1093" t="s">
        <v>835</v>
      </c>
      <c r="B339" s="1092"/>
      <c r="C339" s="1092"/>
      <c r="D339" s="1092"/>
      <c r="E339" s="1092"/>
      <c r="F339" s="1092"/>
      <c r="G339" s="1092"/>
      <c r="H339" s="1092"/>
    </row>
    <row r="340" spans="1:8" ht="15">
      <c r="A340" s="1093" t="s">
        <v>836</v>
      </c>
      <c r="B340" s="1092"/>
      <c r="C340" s="1092"/>
      <c r="D340" s="1092"/>
      <c r="E340" s="1092"/>
      <c r="F340" s="1092"/>
      <c r="G340" s="1092"/>
      <c r="H340" s="1092"/>
    </row>
    <row r="341" spans="1:8" ht="15">
      <c r="A341" s="1093" t="s">
        <v>837</v>
      </c>
      <c r="B341" s="1092"/>
      <c r="C341" s="1092"/>
      <c r="D341" s="1092"/>
      <c r="E341" s="1092"/>
      <c r="F341" s="1092"/>
      <c r="G341" s="1092"/>
      <c r="H341" s="1092"/>
    </row>
    <row r="342" spans="1:8" ht="15">
      <c r="A342" s="1093" t="s">
        <v>838</v>
      </c>
      <c r="B342" s="1092"/>
      <c r="C342" s="1092"/>
      <c r="D342" s="1092"/>
      <c r="E342" s="1092"/>
      <c r="F342" s="1092"/>
      <c r="G342" s="1092"/>
      <c r="H342" s="1092"/>
    </row>
    <row r="343" spans="1:8" ht="15">
      <c r="A343" s="1093" t="s">
        <v>839</v>
      </c>
      <c r="B343" s="1092"/>
      <c r="C343" s="1092"/>
      <c r="D343" s="1092"/>
      <c r="E343" s="1092"/>
      <c r="F343" s="1092"/>
      <c r="G343" s="1092"/>
      <c r="H343" s="1092"/>
    </row>
    <row r="344" spans="1:8" ht="15">
      <c r="A344" s="1093" t="s">
        <v>840</v>
      </c>
      <c r="B344" s="1092"/>
      <c r="C344" s="1092"/>
      <c r="D344" s="1092"/>
      <c r="E344" s="1092"/>
      <c r="F344" s="1092"/>
      <c r="G344" s="1092"/>
      <c r="H344" s="1092"/>
    </row>
    <row r="345" spans="1:8" ht="15">
      <c r="A345" s="1093" t="s">
        <v>841</v>
      </c>
      <c r="B345" s="1092"/>
      <c r="C345" s="1092"/>
      <c r="D345" s="1092"/>
      <c r="E345" s="1092"/>
      <c r="F345" s="1092"/>
      <c r="G345" s="1092"/>
      <c r="H345" s="1092"/>
    </row>
    <row r="346" spans="1:8" ht="15">
      <c r="A346" s="1093" t="s">
        <v>842</v>
      </c>
      <c r="B346" s="1092"/>
      <c r="C346" s="1092"/>
      <c r="D346" s="1092"/>
      <c r="E346" s="1092"/>
      <c r="F346" s="1092"/>
      <c r="G346" s="1092"/>
      <c r="H346" s="1092"/>
    </row>
    <row r="347" spans="1:8" ht="15">
      <c r="A347" s="1093" t="s">
        <v>843</v>
      </c>
      <c r="B347" s="1092"/>
      <c r="C347" s="1092"/>
      <c r="D347" s="1092"/>
      <c r="E347" s="1092"/>
      <c r="F347" s="1092"/>
      <c r="G347" s="1092"/>
      <c r="H347" s="1092"/>
    </row>
    <row r="348" spans="1:8" ht="15">
      <c r="A348" s="1093" t="s">
        <v>844</v>
      </c>
      <c r="B348" s="1092"/>
      <c r="C348" s="1092"/>
      <c r="D348" s="1092"/>
      <c r="E348" s="1092"/>
      <c r="F348" s="1092"/>
      <c r="G348" s="1092"/>
      <c r="H348" s="1092"/>
    </row>
    <row r="349" spans="1:8" ht="15">
      <c r="A349" s="1093" t="s">
        <v>845</v>
      </c>
      <c r="B349" s="1092"/>
      <c r="C349" s="1092"/>
      <c r="D349" s="1092"/>
      <c r="E349" s="1092"/>
      <c r="F349" s="1092"/>
      <c r="G349" s="1092"/>
      <c r="H349" s="1092"/>
    </row>
    <row r="350" spans="1:8" ht="15">
      <c r="A350" s="1093" t="s">
        <v>846</v>
      </c>
      <c r="B350" s="1092"/>
      <c r="C350" s="1092"/>
      <c r="D350" s="1092"/>
      <c r="E350" s="1092"/>
      <c r="F350" s="1092"/>
      <c r="G350" s="1092"/>
      <c r="H350" s="1092"/>
    </row>
    <row r="351" spans="1:8" ht="15">
      <c r="A351" s="1093" t="s">
        <v>847</v>
      </c>
      <c r="B351" s="1092"/>
      <c r="C351" s="1092"/>
      <c r="D351" s="1092"/>
      <c r="E351" s="1092"/>
      <c r="F351" s="1092"/>
      <c r="G351" s="1092"/>
      <c r="H351" s="1092"/>
    </row>
    <row r="352" spans="1:8" ht="15">
      <c r="A352" s="1093" t="s">
        <v>848</v>
      </c>
      <c r="B352" s="1092"/>
      <c r="C352" s="1092"/>
      <c r="D352" s="1092"/>
      <c r="E352" s="1092"/>
      <c r="F352" s="1092"/>
      <c r="G352" s="1092"/>
      <c r="H352" s="1092"/>
    </row>
    <row r="353" spans="1:8" ht="15">
      <c r="A353" s="1093" t="s">
        <v>849</v>
      </c>
      <c r="B353" s="1092"/>
      <c r="C353" s="1092"/>
      <c r="D353" s="1092"/>
      <c r="E353" s="1092"/>
      <c r="F353" s="1092"/>
      <c r="G353" s="1092"/>
      <c r="H353" s="1092"/>
    </row>
    <row r="354" spans="1:8" ht="15">
      <c r="A354" s="1093" t="s">
        <v>850</v>
      </c>
      <c r="B354" s="1092"/>
      <c r="C354" s="1092"/>
      <c r="D354" s="1092"/>
      <c r="E354" s="1092"/>
      <c r="F354" s="1092"/>
      <c r="G354" s="1092"/>
      <c r="H354" s="1092"/>
    </row>
    <row r="355" spans="1:8" ht="15">
      <c r="A355" s="1093" t="s">
        <v>851</v>
      </c>
      <c r="B355" s="1092"/>
      <c r="C355" s="1092"/>
      <c r="D355" s="1092"/>
      <c r="E355" s="1092"/>
      <c r="F355" s="1092"/>
      <c r="G355" s="1092"/>
      <c r="H355" s="1092"/>
    </row>
    <row r="356" spans="1:8" ht="15">
      <c r="A356" s="1093" t="s">
        <v>852</v>
      </c>
      <c r="B356" s="1092"/>
      <c r="C356" s="1092"/>
      <c r="D356" s="1092"/>
      <c r="E356" s="1092"/>
      <c r="F356" s="1092"/>
      <c r="G356" s="1092"/>
      <c r="H356" s="1092"/>
    </row>
    <row r="357" spans="1:8" ht="15">
      <c r="A357" s="1093" t="s">
        <v>853</v>
      </c>
      <c r="B357" s="1092"/>
      <c r="C357" s="1092"/>
      <c r="D357" s="1092"/>
      <c r="E357" s="1092"/>
      <c r="F357" s="1092"/>
      <c r="G357" s="1092"/>
      <c r="H357" s="1092"/>
    </row>
    <row r="358" spans="1:8" ht="15">
      <c r="A358" s="1093" t="s">
        <v>854</v>
      </c>
      <c r="B358" s="1092"/>
      <c r="C358" s="1092"/>
      <c r="D358" s="1092"/>
      <c r="E358" s="1092"/>
      <c r="F358" s="1092"/>
      <c r="G358" s="1092"/>
      <c r="H358" s="1092"/>
    </row>
    <row r="359" spans="1:8" ht="15">
      <c r="A359" s="1093" t="s">
        <v>855</v>
      </c>
      <c r="B359" s="1092"/>
      <c r="C359" s="1092"/>
      <c r="D359" s="1092"/>
      <c r="E359" s="1092"/>
      <c r="F359" s="1092"/>
      <c r="G359" s="1092"/>
      <c r="H359" s="1092"/>
    </row>
    <row r="360" spans="1:8" ht="15">
      <c r="A360" s="1093" t="s">
        <v>856</v>
      </c>
      <c r="B360" s="1092"/>
      <c r="C360" s="1092"/>
      <c r="D360" s="1092"/>
      <c r="E360" s="1092"/>
      <c r="F360" s="1092"/>
      <c r="G360" s="1092"/>
      <c r="H360" s="1092"/>
    </row>
    <row r="361" spans="1:8" ht="15">
      <c r="A361" s="1093" t="s">
        <v>857</v>
      </c>
      <c r="B361" s="1092"/>
      <c r="C361" s="1092"/>
      <c r="D361" s="1092"/>
      <c r="E361" s="1092"/>
      <c r="F361" s="1092"/>
      <c r="G361" s="1092"/>
      <c r="H361" s="1092"/>
    </row>
    <row r="362" spans="1:8" ht="15">
      <c r="A362" s="1093" t="s">
        <v>858</v>
      </c>
      <c r="B362" s="1092"/>
      <c r="C362" s="1092"/>
      <c r="D362" s="1092"/>
      <c r="E362" s="1092"/>
      <c r="F362" s="1092"/>
      <c r="G362" s="1092"/>
      <c r="H362" s="1092"/>
    </row>
    <row r="363" spans="1:8" ht="15">
      <c r="A363" s="1093" t="s">
        <v>859</v>
      </c>
      <c r="B363" s="1092"/>
      <c r="C363" s="1092"/>
      <c r="D363" s="1092"/>
      <c r="E363" s="1092"/>
      <c r="F363" s="1092"/>
      <c r="G363" s="1092"/>
      <c r="H363" s="1092"/>
    </row>
    <row r="364" spans="1:8" ht="15">
      <c r="A364" s="1093" t="s">
        <v>860</v>
      </c>
      <c r="B364" s="1092"/>
      <c r="C364" s="1092"/>
      <c r="D364" s="1092"/>
      <c r="E364" s="1092"/>
      <c r="F364" s="1092"/>
      <c r="G364" s="1092"/>
      <c r="H364" s="1092"/>
    </row>
    <row r="365" spans="1:8" ht="15">
      <c r="A365" s="1093" t="s">
        <v>861</v>
      </c>
      <c r="B365" s="1092"/>
      <c r="C365" s="1092"/>
      <c r="D365" s="1092"/>
      <c r="E365" s="1092"/>
      <c r="F365" s="1092"/>
      <c r="G365" s="1092"/>
      <c r="H365" s="1092"/>
    </row>
    <row r="366" spans="1:8" ht="15">
      <c r="A366" s="1093" t="s">
        <v>862</v>
      </c>
      <c r="B366" s="1092"/>
      <c r="C366" s="1092"/>
      <c r="D366" s="1092"/>
      <c r="E366" s="1092"/>
      <c r="F366" s="1092"/>
      <c r="G366" s="1092"/>
      <c r="H366" s="1092"/>
    </row>
    <row r="367" spans="1:8" ht="15">
      <c r="A367" s="1093" t="s">
        <v>863</v>
      </c>
      <c r="B367" s="1092"/>
      <c r="C367" s="1092"/>
      <c r="D367" s="1092"/>
      <c r="E367" s="1092"/>
      <c r="F367" s="1092"/>
      <c r="G367" s="1092"/>
      <c r="H367" s="1092"/>
    </row>
    <row r="368" spans="1:8" ht="15">
      <c r="A368" s="1093" t="s">
        <v>864</v>
      </c>
      <c r="B368" s="1092"/>
      <c r="C368" s="1092"/>
      <c r="D368" s="1092"/>
      <c r="E368" s="1092"/>
      <c r="F368" s="1092"/>
      <c r="G368" s="1092"/>
      <c r="H368" s="1092"/>
    </row>
    <row r="369" spans="1:8" ht="15">
      <c r="A369" s="1093" t="s">
        <v>865</v>
      </c>
      <c r="B369" s="1092"/>
      <c r="C369" s="1092"/>
      <c r="D369" s="1092"/>
      <c r="E369" s="1092"/>
      <c r="F369" s="1092"/>
      <c r="G369" s="1092"/>
      <c r="H369" s="1092"/>
    </row>
    <row r="370" spans="1:8" ht="15">
      <c r="A370" s="1093" t="s">
        <v>866</v>
      </c>
      <c r="B370" s="1092"/>
      <c r="C370" s="1092"/>
      <c r="D370" s="1092"/>
      <c r="E370" s="1092"/>
      <c r="F370" s="1092"/>
      <c r="G370" s="1092"/>
      <c r="H370" s="1092"/>
    </row>
    <row r="371" spans="1:8" ht="15">
      <c r="A371" s="1093" t="s">
        <v>867</v>
      </c>
      <c r="B371" s="1092"/>
      <c r="C371" s="1092"/>
      <c r="D371" s="1092"/>
      <c r="E371" s="1092"/>
      <c r="F371" s="1092"/>
      <c r="G371" s="1092"/>
      <c r="H371" s="1092"/>
    </row>
    <row r="372" spans="1:8" ht="15">
      <c r="A372" s="1093" t="s">
        <v>868</v>
      </c>
      <c r="B372" s="1092"/>
      <c r="C372" s="1092"/>
      <c r="D372" s="1092"/>
      <c r="E372" s="1092"/>
      <c r="F372" s="1092"/>
      <c r="G372" s="1092"/>
      <c r="H372" s="1092"/>
    </row>
    <row r="373" spans="1:8" ht="15">
      <c r="A373" s="1092"/>
      <c r="B373" s="1092"/>
      <c r="C373" s="1092"/>
      <c r="D373" s="1092"/>
      <c r="E373" s="1092"/>
      <c r="F373" s="1092"/>
      <c r="G373" s="1092"/>
      <c r="H373" s="1092"/>
    </row>
    <row r="374" spans="1:8" ht="15">
      <c r="A374" s="1093" t="s">
        <v>826</v>
      </c>
      <c r="B374" s="1092"/>
      <c r="C374" s="1092"/>
      <c r="D374" s="1092"/>
      <c r="E374" s="1092"/>
      <c r="F374" s="1092"/>
      <c r="G374" s="1092"/>
      <c r="H374" s="1092"/>
    </row>
    <row r="375" spans="1:8" ht="15">
      <c r="A375" s="1093" t="s">
        <v>830</v>
      </c>
      <c r="B375" s="1092"/>
      <c r="C375" s="1092"/>
      <c r="D375" s="1092"/>
      <c r="E375" s="1092"/>
      <c r="F375" s="1092"/>
      <c r="G375" s="1092"/>
      <c r="H375" s="1092"/>
    </row>
    <row r="376" spans="1:8" ht="15">
      <c r="A376" s="1093" t="s">
        <v>831</v>
      </c>
      <c r="B376" s="1092"/>
      <c r="C376" s="1092"/>
      <c r="D376" s="1092"/>
      <c r="E376" s="1092"/>
      <c r="F376" s="1092"/>
      <c r="G376" s="1092"/>
      <c r="H376" s="1092"/>
    </row>
    <row r="377" spans="1:8" ht="15">
      <c r="A377" s="1093" t="s">
        <v>832</v>
      </c>
      <c r="B377" s="1092"/>
      <c r="C377" s="1092"/>
      <c r="D377" s="1092"/>
      <c r="E377" s="1092"/>
      <c r="F377" s="1092"/>
      <c r="G377" s="1092"/>
      <c r="H377" s="1092"/>
    </row>
    <row r="378" spans="1:8" ht="15">
      <c r="A378" s="1093" t="s">
        <v>833</v>
      </c>
      <c r="B378" s="1092"/>
      <c r="C378" s="1092"/>
      <c r="D378" s="1092"/>
      <c r="E378" s="1092"/>
      <c r="F378" s="1092"/>
      <c r="G378" s="1092"/>
      <c r="H378" s="1092"/>
    </row>
    <row r="379" spans="1:8" ht="15">
      <c r="A379" s="1092"/>
      <c r="B379" s="1092"/>
      <c r="C379" s="1092"/>
      <c r="D379" s="1092"/>
      <c r="E379" s="1092"/>
      <c r="F379" s="1092"/>
      <c r="G379" s="1092"/>
      <c r="H379" s="1092"/>
    </row>
    <row r="380" spans="1:8" ht="15">
      <c r="A380" s="1093" t="s">
        <v>826</v>
      </c>
      <c r="B380" s="1092"/>
      <c r="C380" s="1092"/>
      <c r="D380" s="1092"/>
      <c r="E380" s="1092"/>
      <c r="F380" s="1092"/>
      <c r="G380" s="1092"/>
      <c r="H380" s="1092"/>
    </row>
    <row r="381" spans="1:8" ht="15">
      <c r="A381" s="1093" t="s">
        <v>827</v>
      </c>
      <c r="B381" s="1092"/>
      <c r="C381" s="1092"/>
      <c r="D381" s="1092"/>
      <c r="E381" s="1092"/>
      <c r="F381" s="1092"/>
      <c r="G381" s="1092"/>
      <c r="H381" s="1092"/>
    </row>
    <row r="382" spans="1:8" ht="15">
      <c r="A382" s="1093" t="s">
        <v>828</v>
      </c>
      <c r="B382" s="1092"/>
      <c r="C382" s="1092"/>
      <c r="D382" s="1092"/>
      <c r="E382" s="1092"/>
      <c r="F382" s="1092"/>
      <c r="G382" s="1092"/>
      <c r="H382" s="1092"/>
    </row>
    <row r="383" spans="1:8" ht="15">
      <c r="A383" s="1093" t="s">
        <v>829</v>
      </c>
      <c r="B383" s="1092"/>
      <c r="C383" s="1092"/>
      <c r="D383" s="1092"/>
      <c r="E383" s="1092"/>
      <c r="F383" s="1092"/>
      <c r="G383" s="1092"/>
      <c r="H383" s="1092"/>
    </row>
    <row r="384" spans="1:8" ht="15">
      <c r="A384" s="1092"/>
      <c r="B384" s="1092"/>
      <c r="C384" s="1092"/>
      <c r="D384" s="1092"/>
      <c r="E384" s="1092"/>
      <c r="F384" s="1092"/>
      <c r="G384" s="1092"/>
      <c r="H384" s="1092"/>
    </row>
    <row r="385" spans="1:8" ht="15">
      <c r="A385" s="1093" t="s">
        <v>820</v>
      </c>
      <c r="B385" s="1092"/>
      <c r="C385" s="1092"/>
      <c r="D385" s="1092"/>
      <c r="E385" s="1092"/>
      <c r="F385" s="1092"/>
      <c r="G385" s="1092"/>
      <c r="H385" s="1092"/>
    </row>
    <row r="386" spans="1:8" ht="15">
      <c r="A386" s="1093" t="s">
        <v>821</v>
      </c>
      <c r="B386" s="1092"/>
      <c r="C386" s="1092"/>
      <c r="D386" s="1092"/>
      <c r="E386" s="1092"/>
      <c r="F386" s="1092"/>
      <c r="G386" s="1092"/>
      <c r="H386" s="1092"/>
    </row>
    <row r="387" spans="1:8" ht="15">
      <c r="A387" s="1093" t="s">
        <v>822</v>
      </c>
      <c r="B387" s="1092"/>
      <c r="C387" s="1092"/>
      <c r="D387" s="1092"/>
      <c r="E387" s="1092"/>
      <c r="F387" s="1092"/>
      <c r="G387" s="1092"/>
      <c r="H387" s="1092"/>
    </row>
    <row r="388" spans="1:8" ht="15">
      <c r="A388" s="1093" t="s">
        <v>823</v>
      </c>
      <c r="B388" s="1092"/>
      <c r="C388" s="1092"/>
      <c r="D388" s="1092"/>
      <c r="E388" s="1092"/>
      <c r="F388" s="1092"/>
      <c r="G388" s="1092"/>
      <c r="H388" s="1092"/>
    </row>
    <row r="389" spans="1:8" ht="15">
      <c r="A389" s="1093" t="s">
        <v>824</v>
      </c>
      <c r="B389" s="1092"/>
      <c r="C389" s="1092"/>
      <c r="D389" s="1092"/>
      <c r="E389" s="1092"/>
      <c r="F389" s="1092"/>
      <c r="G389" s="1092"/>
      <c r="H389" s="1092"/>
    </row>
    <row r="390" spans="1:8" ht="15">
      <c r="A390" s="1093" t="s">
        <v>825</v>
      </c>
      <c r="B390" s="1092"/>
      <c r="C390" s="1092"/>
      <c r="D390" s="1092"/>
      <c r="E390" s="1092"/>
      <c r="F390" s="1092"/>
      <c r="G390" s="1092"/>
      <c r="H390" s="1092"/>
    </row>
    <row r="391" spans="1:8" ht="15">
      <c r="A391" s="1092"/>
      <c r="B391" s="1092"/>
      <c r="C391" s="1092"/>
      <c r="D391" s="1092"/>
      <c r="E391" s="1092"/>
      <c r="F391" s="1092"/>
      <c r="G391" s="1092"/>
      <c r="H391" s="1092"/>
    </row>
    <row r="392" spans="1:8" ht="15">
      <c r="A392" s="1093" t="s">
        <v>815</v>
      </c>
      <c r="B392" s="1092"/>
      <c r="C392" s="1092"/>
      <c r="D392" s="1092"/>
      <c r="E392" s="1092"/>
      <c r="F392" s="1092"/>
      <c r="G392" s="1092"/>
      <c r="H392" s="1092"/>
    </row>
    <row r="393" spans="1:8" ht="15">
      <c r="A393" s="1093" t="s">
        <v>816</v>
      </c>
      <c r="B393" s="1092"/>
      <c r="C393" s="1092"/>
      <c r="D393" s="1092"/>
      <c r="E393" s="1092"/>
      <c r="F393" s="1092"/>
      <c r="G393" s="1092"/>
      <c r="H393" s="1092"/>
    </row>
    <row r="394" spans="1:8" ht="15">
      <c r="A394" s="1093" t="s">
        <v>817</v>
      </c>
      <c r="B394" s="1092"/>
      <c r="C394" s="1092"/>
      <c r="D394" s="1092"/>
      <c r="E394" s="1092"/>
      <c r="F394" s="1092"/>
      <c r="G394" s="1092"/>
      <c r="H394" s="1092"/>
    </row>
    <row r="395" spans="1:8" ht="15">
      <c r="A395" s="1093" t="s">
        <v>818</v>
      </c>
      <c r="B395" s="1092"/>
      <c r="C395" s="1092"/>
      <c r="D395" s="1092"/>
      <c r="E395" s="1092"/>
      <c r="F395" s="1092"/>
      <c r="G395" s="1092"/>
      <c r="H395" s="1092"/>
    </row>
    <row r="396" spans="1:8" ht="15">
      <c r="A396" s="1093" t="s">
        <v>819</v>
      </c>
      <c r="B396" s="1092"/>
      <c r="C396" s="1092"/>
      <c r="D396" s="1092"/>
      <c r="E396" s="1092"/>
      <c r="F396" s="1092"/>
      <c r="G396" s="1092"/>
      <c r="H396" s="1092"/>
    </row>
    <row r="397" spans="1:8" ht="15">
      <c r="A397" s="1092"/>
      <c r="B397" s="1092"/>
      <c r="C397" s="1092"/>
      <c r="D397" s="1092"/>
      <c r="E397" s="1092"/>
      <c r="F397" s="1092"/>
      <c r="G397" s="1092"/>
      <c r="H397" s="1092"/>
    </row>
    <row r="398" spans="1:8" ht="15">
      <c r="A398" s="1093" t="s">
        <v>813</v>
      </c>
      <c r="B398" s="1092"/>
      <c r="C398" s="1092"/>
      <c r="D398" s="1092"/>
      <c r="E398" s="1092"/>
      <c r="F398" s="1092"/>
      <c r="G398" s="1092"/>
      <c r="H398" s="1092"/>
    </row>
    <row r="399" spans="1:8" ht="15">
      <c r="A399" s="1093" t="s">
        <v>814</v>
      </c>
      <c r="B399" s="1092"/>
      <c r="C399" s="1092"/>
      <c r="D399" s="1092"/>
      <c r="E399" s="1092"/>
      <c r="F399" s="1092"/>
      <c r="G399" s="1092"/>
      <c r="H399" s="1092"/>
    </row>
    <row r="401" spans="1:1">
      <c r="A401" s="1088" t="s">
        <v>1081</v>
      </c>
    </row>
  </sheetData>
  <mergeCells count="12">
    <mergeCell ref="A136:H136"/>
    <mergeCell ref="A137:H137"/>
    <mergeCell ref="B129:C129"/>
    <mergeCell ref="D129:F129"/>
    <mergeCell ref="G129:H129"/>
    <mergeCell ref="A115:H115"/>
    <mergeCell ref="A116:H116"/>
    <mergeCell ref="A117:H117"/>
    <mergeCell ref="A118:H118"/>
    <mergeCell ref="A120:H120"/>
    <mergeCell ref="A121:H121"/>
    <mergeCell ref="A128:H128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BX1483"/>
  <sheetViews>
    <sheetView showGridLines="0" view="pageBreakPreview" zoomScaleNormal="100" zoomScaleSheetLayoutView="100" workbookViewId="0">
      <pane xSplit="4" ySplit="5" topLeftCell="S6" activePane="bottomRight" state="frozen"/>
      <selection pane="topRight" activeCell="E1" sqref="E1"/>
      <selection pane="bottomLeft" activeCell="A6" sqref="A6"/>
      <selection pane="bottomRight" activeCell="C1" sqref="C1"/>
    </sheetView>
  </sheetViews>
  <sheetFormatPr defaultRowHeight="11.25" outlineLevelRow="2" outlineLevelCol="1"/>
  <cols>
    <col min="1" max="2" width="3.7109375" style="6" customWidth="1"/>
    <col min="3" max="3" width="27.28515625" style="6" customWidth="1"/>
    <col min="4" max="4" width="12.5703125" style="7" customWidth="1"/>
    <col min="5" max="6" width="7.140625" style="6" hidden="1" customWidth="1" outlineLevel="1"/>
    <col min="7" max="7" width="7.140625" style="6" customWidth="1" collapsed="1"/>
    <col min="8" max="9" width="7.140625" style="6" hidden="1" customWidth="1" outlineLevel="1"/>
    <col min="10" max="10" width="7.140625" style="6" customWidth="1" collapsed="1"/>
    <col min="11" max="12" width="7.140625" style="6" hidden="1" customWidth="1" outlineLevel="1"/>
    <col min="13" max="13" width="7.140625" style="6" customWidth="1" collapsed="1"/>
    <col min="14" max="15" width="7.140625" style="6" hidden="1" customWidth="1" outlineLevel="1"/>
    <col min="16" max="16" width="7.140625" style="6" customWidth="1" collapsed="1"/>
    <col min="17" max="18" width="7.140625" style="6" hidden="1" customWidth="1" outlineLevel="1"/>
    <col min="19" max="19" width="7.140625" style="6" customWidth="1" collapsed="1"/>
    <col min="20" max="21" width="7.140625" style="6" hidden="1" customWidth="1" outlineLevel="1"/>
    <col min="22" max="22" width="7.140625" style="6" customWidth="1" collapsed="1"/>
    <col min="23" max="24" width="7.140625" style="6" hidden="1" customWidth="1" outlineLevel="1"/>
    <col min="25" max="25" width="7.140625" style="6" customWidth="1" collapsed="1"/>
    <col min="26" max="27" width="7.140625" style="6" hidden="1" customWidth="1" outlineLevel="1"/>
    <col min="28" max="28" width="7.140625" style="6" customWidth="1" collapsed="1"/>
    <col min="29" max="30" width="7.140625" style="6" hidden="1" customWidth="1" outlineLevel="1"/>
    <col min="31" max="31" width="7.140625" style="130" customWidth="1" collapsed="1"/>
    <col min="32" max="32" width="7.140625" style="130" hidden="1" customWidth="1" outlineLevel="1"/>
    <col min="33" max="33" width="7.140625" style="931" hidden="1" customWidth="1" outlineLevel="1"/>
    <col min="34" max="34" width="7.140625" style="6" customWidth="1" collapsed="1"/>
    <col min="35" max="36" width="7.140625" style="6" hidden="1" customWidth="1" outlineLevel="1"/>
    <col min="37" max="37" width="7.140625" style="6" customWidth="1" collapsed="1"/>
    <col min="38" max="39" width="7.140625" style="6" hidden="1" customWidth="1" outlineLevel="1"/>
    <col min="40" max="40" width="7.140625" style="6" customWidth="1" collapsed="1"/>
    <col min="41" max="42" width="8" style="6" hidden="1" customWidth="1" outlineLevel="1"/>
    <col min="43" max="43" width="8" style="6" customWidth="1" collapsed="1"/>
    <col min="44" max="45" width="8" style="6" hidden="1" customWidth="1" outlineLevel="1"/>
    <col min="46" max="46" width="8" style="6" customWidth="1" collapsed="1"/>
    <col min="47" max="48" width="8" style="6" hidden="1" customWidth="1" outlineLevel="1"/>
    <col min="49" max="49" width="8" style="6" customWidth="1" collapsed="1"/>
    <col min="50" max="51" width="8" style="6" hidden="1" customWidth="1" outlineLevel="1"/>
    <col min="52" max="52" width="8" style="6" customWidth="1" collapsed="1"/>
    <col min="53" max="54" width="8" style="6" hidden="1" customWidth="1" outlineLevel="1"/>
    <col min="55" max="55" width="8" style="6" customWidth="1" collapsed="1"/>
    <col min="56" max="57" width="8" style="6" hidden="1" customWidth="1" outlineLevel="1"/>
    <col min="58" max="58" width="8" style="6" customWidth="1" collapsed="1"/>
    <col min="59" max="60" width="8" style="6" hidden="1" customWidth="1" outlineLevel="1"/>
    <col min="61" max="61" width="8" style="6" customWidth="1" collapsed="1"/>
    <col min="62" max="63" width="8" style="6" hidden="1" customWidth="1" outlineLevel="1"/>
    <col min="64" max="64" width="8" style="6" customWidth="1" collapsed="1"/>
    <col min="65" max="66" width="8" style="6" hidden="1" customWidth="1" outlineLevel="1"/>
    <col min="67" max="67" width="8" style="6" customWidth="1" collapsed="1"/>
    <col min="68" max="69" width="8" style="6" hidden="1" customWidth="1" outlineLevel="1"/>
    <col min="70" max="70" width="8" style="6" customWidth="1" collapsed="1"/>
    <col min="71" max="16384" width="9.140625" style="6"/>
  </cols>
  <sheetData>
    <row r="1" spans="1:71" ht="11.25" customHeight="1">
      <c r="A1" s="212" t="s">
        <v>497</v>
      </c>
      <c r="D1" s="860" t="str">
        <f>IF(AG1=4,"Constant FX",IF(AG1=1,"Base",""))</f>
        <v>Base</v>
      </c>
      <c r="AG1" s="68">
        <v>1</v>
      </c>
    </row>
    <row r="2" spans="1:71" ht="11.25" customHeight="1">
      <c r="A2" s="335"/>
      <c r="C2" s="411">
        <f>'Financial Summary'!AB3</f>
        <v>13.98</v>
      </c>
      <c r="D2" s="412" t="s">
        <v>758</v>
      </c>
      <c r="AH2" s="18"/>
      <c r="AK2" s="18"/>
      <c r="AL2" s="18"/>
    </row>
    <row r="3" spans="1:71" ht="11.25" customHeight="1">
      <c r="A3" s="335"/>
      <c r="C3" s="878">
        <f>'Financial Summary'!AB4</f>
        <v>14.799999999999999</v>
      </c>
      <c r="D3" s="412" t="s">
        <v>560</v>
      </c>
    </row>
    <row r="4" spans="1:71" ht="11.25" customHeight="1">
      <c r="A4" s="335" t="s">
        <v>496</v>
      </c>
    </row>
    <row r="5" spans="1:71" s="1" customFormat="1">
      <c r="D5" s="617" t="s">
        <v>0</v>
      </c>
      <c r="E5" s="2" t="s">
        <v>498</v>
      </c>
      <c r="F5" s="2" t="s">
        <v>499</v>
      </c>
      <c r="G5" s="2" t="s">
        <v>500</v>
      </c>
      <c r="H5" s="2" t="s">
        <v>501</v>
      </c>
      <c r="I5" s="2" t="s">
        <v>502</v>
      </c>
      <c r="J5" s="2" t="s">
        <v>503</v>
      </c>
      <c r="K5" s="2" t="s">
        <v>504</v>
      </c>
      <c r="L5" s="2" t="s">
        <v>505</v>
      </c>
      <c r="M5" s="2" t="s">
        <v>506</v>
      </c>
      <c r="N5" s="2" t="s">
        <v>507</v>
      </c>
      <c r="O5" s="2" t="s">
        <v>508</v>
      </c>
      <c r="P5" s="2" t="s">
        <v>509</v>
      </c>
      <c r="Q5" s="2" t="s">
        <v>1</v>
      </c>
      <c r="R5" s="2" t="s">
        <v>2</v>
      </c>
      <c r="S5" s="2" t="s">
        <v>3</v>
      </c>
      <c r="T5" s="2" t="s">
        <v>4</v>
      </c>
      <c r="U5" s="2" t="s">
        <v>5</v>
      </c>
      <c r="V5" s="2" t="s">
        <v>6</v>
      </c>
      <c r="W5" s="2" t="s">
        <v>7</v>
      </c>
      <c r="X5" s="2" t="s">
        <v>8</v>
      </c>
      <c r="Y5" s="2" t="s">
        <v>9</v>
      </c>
      <c r="Z5" s="2" t="s">
        <v>10</v>
      </c>
      <c r="AA5" s="2" t="s">
        <v>11</v>
      </c>
      <c r="AB5" s="2" t="s">
        <v>12</v>
      </c>
      <c r="AC5" s="10" t="s">
        <v>13</v>
      </c>
      <c r="AD5" s="10" t="s">
        <v>68</v>
      </c>
      <c r="AE5" s="821" t="s">
        <v>67</v>
      </c>
      <c r="AF5" s="821" t="s">
        <v>765</v>
      </c>
      <c r="AG5" s="932" t="s">
        <v>14</v>
      </c>
      <c r="AH5" s="2" t="s">
        <v>15</v>
      </c>
      <c r="AI5" s="2" t="s">
        <v>16</v>
      </c>
      <c r="AJ5" s="2" t="s">
        <v>17</v>
      </c>
      <c r="AK5" s="2" t="s">
        <v>18</v>
      </c>
      <c r="AL5" s="2" t="s">
        <v>19</v>
      </c>
      <c r="AM5" s="2" t="s">
        <v>20</v>
      </c>
      <c r="AN5" s="2" t="s">
        <v>21</v>
      </c>
      <c r="AO5" s="2" t="s">
        <v>22</v>
      </c>
      <c r="AP5" s="2" t="s">
        <v>23</v>
      </c>
      <c r="AQ5" s="2" t="s">
        <v>24</v>
      </c>
      <c r="AR5" s="2" t="s">
        <v>25</v>
      </c>
      <c r="AS5" s="2" t="s">
        <v>26</v>
      </c>
      <c r="AT5" s="2" t="s">
        <v>27</v>
      </c>
      <c r="AU5" s="2" t="s">
        <v>28</v>
      </c>
      <c r="AV5" s="2" t="s">
        <v>29</v>
      </c>
      <c r="AW5" s="2" t="s">
        <v>30</v>
      </c>
      <c r="AX5" s="2" t="s">
        <v>31</v>
      </c>
      <c r="AY5" s="2" t="s">
        <v>32</v>
      </c>
      <c r="AZ5" s="2" t="s">
        <v>33</v>
      </c>
      <c r="BA5" s="2" t="s">
        <v>34</v>
      </c>
      <c r="BB5" s="2" t="s">
        <v>35</v>
      </c>
      <c r="BC5" s="2" t="s">
        <v>36</v>
      </c>
      <c r="BD5" s="2" t="s">
        <v>37</v>
      </c>
      <c r="BE5" s="2" t="s">
        <v>38</v>
      </c>
      <c r="BF5" s="2" t="s">
        <v>39</v>
      </c>
      <c r="BG5" s="2" t="s">
        <v>40</v>
      </c>
      <c r="BH5" s="2" t="s">
        <v>41</v>
      </c>
      <c r="BI5" s="2" t="s">
        <v>42</v>
      </c>
      <c r="BJ5" s="2" t="s">
        <v>43</v>
      </c>
      <c r="BK5" s="2" t="s">
        <v>44</v>
      </c>
      <c r="BL5" s="2" t="s">
        <v>45</v>
      </c>
      <c r="BM5" s="2" t="s">
        <v>46</v>
      </c>
      <c r="BN5" s="2" t="s">
        <v>47</v>
      </c>
      <c r="BO5" s="2" t="s">
        <v>48</v>
      </c>
      <c r="BP5" s="2" t="s">
        <v>49</v>
      </c>
      <c r="BQ5" s="2" t="s">
        <v>50</v>
      </c>
      <c r="BR5" s="2" t="s">
        <v>51</v>
      </c>
      <c r="BS5" s="3"/>
    </row>
    <row r="6" spans="1:71">
      <c r="A6" s="4" t="s">
        <v>111</v>
      </c>
      <c r="B6" s="52"/>
      <c r="C6" s="52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2"/>
    </row>
    <row r="7" spans="1:71" outlineLevel="1">
      <c r="A7" s="52"/>
      <c r="B7" s="54" t="s">
        <v>101</v>
      </c>
      <c r="C7" s="52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2"/>
      <c r="AC7" s="343"/>
      <c r="AF7" s="343"/>
      <c r="AH7" s="20"/>
    </row>
    <row r="8" spans="1:71" outlineLevel="1">
      <c r="A8" s="52"/>
      <c r="B8" s="55"/>
      <c r="C8" s="55" t="s">
        <v>55</v>
      </c>
      <c r="D8" s="56" t="s">
        <v>58</v>
      </c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2"/>
      <c r="S8" s="18"/>
      <c r="T8" s="18">
        <f t="shared" ref="T8:AB8" si="0">T538</f>
        <v>4803.6000000000004</v>
      </c>
      <c r="U8" s="18">
        <f t="shared" si="0"/>
        <v>5167.7999999999993</v>
      </c>
      <c r="V8" s="18">
        <f t="shared" si="0"/>
        <v>9971.4</v>
      </c>
      <c r="W8" s="18">
        <f t="shared" si="0"/>
        <v>4809.2</v>
      </c>
      <c r="X8" s="18">
        <f t="shared" si="0"/>
        <v>4802.4000000000005</v>
      </c>
      <c r="Y8" s="18">
        <f t="shared" si="0"/>
        <v>9611.6</v>
      </c>
      <c r="Z8" s="18">
        <f t="shared" si="0"/>
        <v>4548.7</v>
      </c>
      <c r="AA8" s="18">
        <f t="shared" si="0"/>
        <v>4874.2</v>
      </c>
      <c r="AB8" s="18">
        <f t="shared" si="0"/>
        <v>9422.9</v>
      </c>
      <c r="AC8" s="18">
        <f t="shared" ref="AC8:AM8" si="1">AC538</f>
        <v>4468.5</v>
      </c>
      <c r="AD8" s="18">
        <f t="shared" si="1"/>
        <v>4635</v>
      </c>
      <c r="AE8" s="26">
        <f t="shared" si="1"/>
        <v>9103.5</v>
      </c>
      <c r="AF8" s="26">
        <f t="shared" ref="AF8" si="2">AF538</f>
        <v>4502.3999999999996</v>
      </c>
      <c r="AG8" s="933">
        <f t="shared" si="1"/>
        <v>4897.2702498281287</v>
      </c>
      <c r="AH8" s="18">
        <f>AH538</f>
        <v>9399.6702498281284</v>
      </c>
      <c r="AI8" s="18">
        <f>AI538</f>
        <v>4490.246091207493</v>
      </c>
      <c r="AJ8" s="18">
        <f t="shared" si="1"/>
        <v>5021.4927328589129</v>
      </c>
      <c r="AK8" s="18">
        <f>AK538</f>
        <v>9511.7388240664059</v>
      </c>
      <c r="AL8" s="18">
        <f>AL538</f>
        <v>4796.453564210884</v>
      </c>
      <c r="AM8" s="18">
        <f t="shared" si="1"/>
        <v>5238.8540183753439</v>
      </c>
      <c r="AN8" s="18">
        <f>AN538</f>
        <v>10035.307582586229</v>
      </c>
      <c r="AO8" s="18">
        <f>AO538</f>
        <v>4893.6924684510805</v>
      </c>
      <c r="AP8" s="18">
        <f t="shared" ref="AP8" si="3">AP538</f>
        <v>5325.4665691186783</v>
      </c>
      <c r="AQ8" s="18">
        <f>AQ538</f>
        <v>10219.15903756976</v>
      </c>
      <c r="AR8" s="18">
        <f>AR538</f>
        <v>4978.1199002042486</v>
      </c>
      <c r="AS8" s="18">
        <f t="shared" ref="AS8" si="4">AS538</f>
        <v>5419.8684614664789</v>
      </c>
      <c r="AT8" s="18">
        <f>AT538</f>
        <v>10397.988361670727</v>
      </c>
      <c r="AU8" s="18">
        <f>AU538</f>
        <v>5065.2549211200603</v>
      </c>
      <c r="AV8" s="18">
        <f t="shared" ref="AV8" si="5">AV538</f>
        <v>5517.2365912895184</v>
      </c>
      <c r="AW8" s="18">
        <f>AW538</f>
        <v>10582.491512409579</v>
      </c>
      <c r="AX8" s="18">
        <f>AX538</f>
        <v>5155.1867874302852</v>
      </c>
      <c r="AY8" s="18">
        <f t="shared" ref="AY8" si="6">AY538</f>
        <v>5617.6690588312458</v>
      </c>
      <c r="AZ8" s="18">
        <f>AZ538</f>
        <v>10772.855846261531</v>
      </c>
      <c r="BA8" s="18">
        <f>BA538</f>
        <v>5248.0082989027542</v>
      </c>
      <c r="BB8" s="18">
        <f t="shared" ref="BB8" si="7">BB538</f>
        <v>5721.267813593272</v>
      </c>
      <c r="BC8" s="18">
        <f>BC538</f>
        <v>10969.276112496027</v>
      </c>
      <c r="BD8" s="18">
        <f>BD538</f>
        <v>5343.8159448188335</v>
      </c>
      <c r="BE8" s="18">
        <f t="shared" ref="BE8" si="8">BE538</f>
        <v>5828.1388121690279</v>
      </c>
      <c r="BF8" s="18">
        <f>BF538</f>
        <v>11171.954756987861</v>
      </c>
      <c r="BG8" s="18">
        <f>BG538</f>
        <v>5442.7100564021621</v>
      </c>
      <c r="BH8" s="18">
        <f t="shared" ref="BH8" si="9">BH538</f>
        <v>5938.3921830074141</v>
      </c>
      <c r="BI8" s="18">
        <f>BI538</f>
        <v>11381.102239409574</v>
      </c>
      <c r="BJ8" s="18">
        <f>BJ538</f>
        <v>5544.7949659937221</v>
      </c>
      <c r="BK8" s="18">
        <f t="shared" ref="BK8" si="10">BK538</f>
        <v>6052.1423984221001</v>
      </c>
      <c r="BL8" s="18">
        <f>BL538</f>
        <v>11596.937364415822</v>
      </c>
      <c r="BM8" s="18">
        <f>BM538</f>
        <v>5650.1791732822485</v>
      </c>
      <c r="BN8" s="18">
        <f t="shared" ref="BN8" si="11">BN538</f>
        <v>6169.5084541770466</v>
      </c>
      <c r="BO8" s="18">
        <f>BO538</f>
        <v>11819.687627459294</v>
      </c>
      <c r="BP8" s="18">
        <f>BP538</f>
        <v>5758.9755189136049</v>
      </c>
      <c r="BQ8" s="18">
        <f t="shared" ref="BQ8" si="12">BQ538</f>
        <v>6290.6140569943982</v>
      </c>
      <c r="BR8" s="18">
        <f>BR538</f>
        <v>12049.589575908001</v>
      </c>
    </row>
    <row r="9" spans="1:71" outlineLevel="1">
      <c r="A9" s="52"/>
      <c r="B9" s="57"/>
      <c r="C9" s="57" t="s">
        <v>56</v>
      </c>
      <c r="D9" s="58" t="s">
        <v>58</v>
      </c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2"/>
      <c r="S9" s="18"/>
      <c r="T9" s="18">
        <f t="shared" ref="T9:AA9" si="13">T548</f>
        <v>678.19999999999993</v>
      </c>
      <c r="U9" s="18">
        <f t="shared" si="13"/>
        <v>779.99999999999989</v>
      </c>
      <c r="V9" s="18">
        <f t="shared" si="13"/>
        <v>1458.1999999999998</v>
      </c>
      <c r="W9" s="18">
        <f t="shared" si="13"/>
        <v>701.9</v>
      </c>
      <c r="X9" s="18">
        <f t="shared" si="13"/>
        <v>706.7</v>
      </c>
      <c r="Y9" s="18">
        <f t="shared" si="13"/>
        <v>1408.6000000000001</v>
      </c>
      <c r="Z9" s="18">
        <f t="shared" si="13"/>
        <v>664.30000000000007</v>
      </c>
      <c r="AA9" s="18">
        <f t="shared" si="13"/>
        <v>745</v>
      </c>
      <c r="AB9" s="18">
        <f t="shared" ref="AB9:BR9" si="14">AB548</f>
        <v>1409.3</v>
      </c>
      <c r="AC9" s="18">
        <f t="shared" si="14"/>
        <v>677.7</v>
      </c>
      <c r="AD9" s="18">
        <f t="shared" si="14"/>
        <v>769.29999999999984</v>
      </c>
      <c r="AE9" s="26">
        <f t="shared" si="14"/>
        <v>1447</v>
      </c>
      <c r="AF9" s="26">
        <f t="shared" ref="AF9" si="15">AF548</f>
        <v>695.19999999999993</v>
      </c>
      <c r="AG9" s="933">
        <f t="shared" si="14"/>
        <v>819.59027651098722</v>
      </c>
      <c r="AH9" s="18">
        <f t="shared" si="14"/>
        <v>1514.7902765109873</v>
      </c>
      <c r="AI9" s="18">
        <f t="shared" si="14"/>
        <v>745.98614725021605</v>
      </c>
      <c r="AJ9" s="18">
        <f t="shared" si="14"/>
        <v>872.16259252852728</v>
      </c>
      <c r="AK9" s="18">
        <f t="shared" si="14"/>
        <v>1618.1487397787434</v>
      </c>
      <c r="AL9" s="18">
        <f t="shared" si="14"/>
        <v>807.8244737239412</v>
      </c>
      <c r="AM9" s="18">
        <f t="shared" si="14"/>
        <v>912.12807989072053</v>
      </c>
      <c r="AN9" s="18">
        <f t="shared" si="14"/>
        <v>1719.9525536146616</v>
      </c>
      <c r="AO9" s="18">
        <f t="shared" si="14"/>
        <v>828.57366000872219</v>
      </c>
      <c r="AP9" s="18">
        <f t="shared" si="14"/>
        <v>936.38026465145936</v>
      </c>
      <c r="AQ9" s="18">
        <f t="shared" si="14"/>
        <v>1764.9539246601814</v>
      </c>
      <c r="AR9" s="18">
        <f t="shared" si="14"/>
        <v>841.48356815120212</v>
      </c>
      <c r="AS9" s="18">
        <f t="shared" si="14"/>
        <v>951.29339003970426</v>
      </c>
      <c r="AT9" s="18">
        <f t="shared" si="14"/>
        <v>1792.7769581909063</v>
      </c>
      <c r="AU9" s="18">
        <f t="shared" si="14"/>
        <v>854.77652706539425</v>
      </c>
      <c r="AV9" s="18">
        <f t="shared" si="14"/>
        <v>966.65002001719699</v>
      </c>
      <c r="AW9" s="18">
        <f t="shared" si="14"/>
        <v>1821.4265470825912</v>
      </c>
      <c r="AX9" s="18">
        <f t="shared" si="14"/>
        <v>868.46498535552189</v>
      </c>
      <c r="AY9" s="18">
        <f t="shared" si="14"/>
        <v>982.46467762485895</v>
      </c>
      <c r="AZ9" s="18">
        <f t="shared" si="14"/>
        <v>1850.9296629803807</v>
      </c>
      <c r="BA9" s="18">
        <f t="shared" si="14"/>
        <v>882.56189029950724</v>
      </c>
      <c r="BB9" s="18">
        <f t="shared" si="14"/>
        <v>998.75246337939052</v>
      </c>
      <c r="BC9" s="18">
        <f t="shared" si="14"/>
        <v>1881.3143536788978</v>
      </c>
      <c r="BD9" s="18">
        <f t="shared" si="14"/>
        <v>897.08070871964969</v>
      </c>
      <c r="BE9" s="18">
        <f t="shared" si="14"/>
        <v>1015.5290793767515</v>
      </c>
      <c r="BF9" s="18">
        <f t="shared" si="14"/>
        <v>1912.6097880964014</v>
      </c>
      <c r="BG9" s="18">
        <f t="shared" si="14"/>
        <v>912.03544879247409</v>
      </c>
      <c r="BH9" s="18">
        <f t="shared" si="14"/>
        <v>1032.8108544738482</v>
      </c>
      <c r="BI9" s="18">
        <f t="shared" si="14"/>
        <v>1944.8463032663221</v>
      </c>
      <c r="BJ9" s="18">
        <f t="shared" si="14"/>
        <v>927.44068284149739</v>
      </c>
      <c r="BK9" s="18">
        <f t="shared" si="14"/>
        <v>1050.6147705984542</v>
      </c>
      <c r="BL9" s="18">
        <f t="shared" si="14"/>
        <v>1978.0554534399519</v>
      </c>
      <c r="BM9" s="18">
        <f t="shared" si="14"/>
        <v>943.31157115875965</v>
      </c>
      <c r="BN9" s="18">
        <f t="shared" si="14"/>
        <v>1068.9584902398115</v>
      </c>
      <c r="BO9" s="18">
        <f t="shared" si="14"/>
        <v>2012.2700613985712</v>
      </c>
      <c r="BP9" s="18">
        <f t="shared" si="14"/>
        <v>959.66388690318445</v>
      </c>
      <c r="BQ9" s="18">
        <f t="shared" si="14"/>
        <v>1087.860385174861</v>
      </c>
      <c r="BR9" s="18">
        <f t="shared" si="14"/>
        <v>2047.5242720780457</v>
      </c>
    </row>
    <row r="10" spans="1:71" outlineLevel="1">
      <c r="A10" s="52"/>
      <c r="B10" s="57"/>
      <c r="C10" s="57" t="s">
        <v>65</v>
      </c>
      <c r="D10" s="58" t="s">
        <v>58</v>
      </c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2"/>
      <c r="S10" s="18"/>
      <c r="T10" s="18">
        <f t="shared" ref="T10:AB10" si="16">T553</f>
        <v>-186.5</v>
      </c>
      <c r="U10" s="18">
        <f t="shared" si="16"/>
        <v>-189.4</v>
      </c>
      <c r="V10" s="18">
        <f t="shared" si="16"/>
        <v>-375.90000000000003</v>
      </c>
      <c r="W10" s="18">
        <f t="shared" si="16"/>
        <v>-183.10000000000002</v>
      </c>
      <c r="X10" s="18">
        <f t="shared" si="16"/>
        <v>-172.2</v>
      </c>
      <c r="Y10" s="18">
        <f t="shared" si="16"/>
        <v>-355.29999999999995</v>
      </c>
      <c r="Z10" s="18">
        <f t="shared" si="16"/>
        <v>-175.3</v>
      </c>
      <c r="AA10" s="18">
        <f t="shared" si="16"/>
        <v>-178.70000000000002</v>
      </c>
      <c r="AB10" s="18">
        <f t="shared" si="16"/>
        <v>-354</v>
      </c>
      <c r="AC10" s="18">
        <f>AC553</f>
        <v>-182</v>
      </c>
      <c r="AD10" s="18">
        <f t="shared" ref="AD10:AM10" si="17">AD553</f>
        <v>-176.8</v>
      </c>
      <c r="AE10" s="26">
        <f t="shared" si="17"/>
        <v>-358.79999999999995</v>
      </c>
      <c r="AF10" s="26">
        <f>AF553</f>
        <v>-181.4</v>
      </c>
      <c r="AG10" s="933">
        <f t="shared" si="17"/>
        <v>-189.19801833333344</v>
      </c>
      <c r="AH10" s="18">
        <f>AH553</f>
        <v>-370.59801833333341</v>
      </c>
      <c r="AI10" s="18">
        <f>AI553</f>
        <v>-180.00826000000001</v>
      </c>
      <c r="AJ10" s="18">
        <f t="shared" si="17"/>
        <v>-193.64279876666677</v>
      </c>
      <c r="AK10" s="18">
        <f>AK553</f>
        <v>-373.65105876666678</v>
      </c>
      <c r="AL10" s="18">
        <f>AL553</f>
        <v>-192.39086</v>
      </c>
      <c r="AM10" s="18">
        <f t="shared" si="17"/>
        <v>-199.70455195833341</v>
      </c>
      <c r="AN10" s="18">
        <f>AN553</f>
        <v>-392.09541195833344</v>
      </c>
      <c r="AO10" s="18">
        <f>AO553</f>
        <v>-194.31476860000001</v>
      </c>
      <c r="AP10" s="18">
        <f t="shared" ref="AP10" si="18">AP553</f>
        <v>-201.70159747791681</v>
      </c>
      <c r="AQ10" s="18">
        <f>AQ553</f>
        <v>-396.01636607791676</v>
      </c>
      <c r="AR10" s="18">
        <f>AR553</f>
        <v>-196.25791628599998</v>
      </c>
      <c r="AS10" s="18">
        <f t="shared" ref="AS10" si="19">AS553</f>
        <v>-203.71861345269596</v>
      </c>
      <c r="AT10" s="18">
        <f>AT553</f>
        <v>-399.97652973869594</v>
      </c>
      <c r="AU10" s="18">
        <f>AU553</f>
        <v>-198.22049544886002</v>
      </c>
      <c r="AV10" s="18">
        <f t="shared" ref="AV10" si="20">AV553</f>
        <v>-205.75579958722292</v>
      </c>
      <c r="AW10" s="18">
        <f>AW553</f>
        <v>-403.97629503608289</v>
      </c>
      <c r="AX10" s="18">
        <f>AX553</f>
        <v>-200.20270040334862</v>
      </c>
      <c r="AY10" s="18">
        <f t="shared" ref="AY10" si="21">AY553</f>
        <v>-207.81335758309513</v>
      </c>
      <c r="AZ10" s="18">
        <f>AZ553</f>
        <v>-408.01605798644374</v>
      </c>
      <c r="BA10" s="18">
        <f>BA553</f>
        <v>-202.20472740738208</v>
      </c>
      <c r="BB10" s="18">
        <f t="shared" ref="BB10" si="22">BB553</f>
        <v>-209.8914911589261</v>
      </c>
      <c r="BC10" s="18">
        <f>BC553</f>
        <v>-412.09621856630815</v>
      </c>
      <c r="BD10" s="18">
        <f>BD553</f>
        <v>-204.22677468145591</v>
      </c>
      <c r="BE10" s="18">
        <f t="shared" ref="BE10" si="23">BE553</f>
        <v>-211.99040607051532</v>
      </c>
      <c r="BF10" s="18">
        <f>BF553</f>
        <v>-416.21718075197128</v>
      </c>
      <c r="BG10" s="18">
        <f>BG553</f>
        <v>-206.2690424282705</v>
      </c>
      <c r="BH10" s="18">
        <f t="shared" ref="BH10" si="24">BH553</f>
        <v>-214.11031013122047</v>
      </c>
      <c r="BI10" s="18">
        <f>BI553</f>
        <v>-420.379352559491</v>
      </c>
      <c r="BJ10" s="18">
        <f>BJ553</f>
        <v>-208.33173285255319</v>
      </c>
      <c r="BK10" s="18">
        <f t="shared" ref="BK10" si="25">BK553</f>
        <v>-216.25141323253271</v>
      </c>
      <c r="BL10" s="18">
        <f>BL553</f>
        <v>-424.5831460850859</v>
      </c>
      <c r="BM10" s="18">
        <f>BM553</f>
        <v>-210.41505018107875</v>
      </c>
      <c r="BN10" s="18">
        <f t="shared" ref="BN10" si="26">BN553</f>
        <v>-218.41392736485804</v>
      </c>
      <c r="BO10" s="18">
        <f>BO553</f>
        <v>-428.82897754593677</v>
      </c>
      <c r="BP10" s="18">
        <f>BP553</f>
        <v>-212.51920068288953</v>
      </c>
      <c r="BQ10" s="18">
        <f t="shared" ref="BQ10" si="27">BQ553</f>
        <v>-220.59806663850659</v>
      </c>
      <c r="BR10" s="18">
        <f>BR553</f>
        <v>-433.11726732139618</v>
      </c>
    </row>
    <row r="11" spans="1:71" s="8" customFormat="1" outlineLevel="1">
      <c r="A11" s="59"/>
      <c r="B11" s="55"/>
      <c r="C11" s="55" t="s">
        <v>57</v>
      </c>
      <c r="D11" s="56" t="s">
        <v>58</v>
      </c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9"/>
      <c r="S11" s="64"/>
      <c r="T11" s="64">
        <f t="shared" ref="T11:AB11" si="28">T9+T10</f>
        <v>491.69999999999993</v>
      </c>
      <c r="U11" s="64">
        <f t="shared" si="28"/>
        <v>590.59999999999991</v>
      </c>
      <c r="V11" s="64">
        <f t="shared" si="28"/>
        <v>1082.2999999999997</v>
      </c>
      <c r="W11" s="64">
        <f t="shared" si="28"/>
        <v>518.79999999999995</v>
      </c>
      <c r="X11" s="64">
        <f t="shared" si="28"/>
        <v>534.5</v>
      </c>
      <c r="Y11" s="64">
        <f t="shared" si="28"/>
        <v>1053.3000000000002</v>
      </c>
      <c r="Z11" s="64">
        <f t="shared" si="28"/>
        <v>489.00000000000006</v>
      </c>
      <c r="AA11" s="64">
        <f t="shared" si="28"/>
        <v>566.29999999999995</v>
      </c>
      <c r="AB11" s="64">
        <f t="shared" si="28"/>
        <v>1055.3</v>
      </c>
      <c r="AC11" s="64">
        <f>AC9+AC10</f>
        <v>495.70000000000005</v>
      </c>
      <c r="AD11" s="64">
        <f t="shared" ref="AD11:AE11" si="29">AD9+AD10</f>
        <v>592.49999999999977</v>
      </c>
      <c r="AE11" s="341">
        <f t="shared" si="29"/>
        <v>1088.2</v>
      </c>
      <c r="AF11" s="341">
        <f>AF9+AF10</f>
        <v>513.79999999999995</v>
      </c>
      <c r="AG11" s="934">
        <f t="shared" ref="AG11:BR11" si="30">AG9+AG10</f>
        <v>630.39225817765373</v>
      </c>
      <c r="AH11" s="64">
        <f t="shared" si="30"/>
        <v>1144.1922581776539</v>
      </c>
      <c r="AI11" s="64">
        <f t="shared" si="30"/>
        <v>565.9778872502161</v>
      </c>
      <c r="AJ11" s="64">
        <f t="shared" si="30"/>
        <v>678.51979376186046</v>
      </c>
      <c r="AK11" s="64">
        <f t="shared" si="30"/>
        <v>1244.4976810120766</v>
      </c>
      <c r="AL11" s="64">
        <f t="shared" si="30"/>
        <v>615.43361372394122</v>
      </c>
      <c r="AM11" s="64">
        <f t="shared" si="30"/>
        <v>712.42352793238706</v>
      </c>
      <c r="AN11" s="64">
        <f t="shared" si="30"/>
        <v>1327.8571416563282</v>
      </c>
      <c r="AO11" s="64">
        <f t="shared" si="30"/>
        <v>634.25889140872221</v>
      </c>
      <c r="AP11" s="64">
        <f t="shared" si="30"/>
        <v>734.67866717354252</v>
      </c>
      <c r="AQ11" s="64">
        <f t="shared" si="30"/>
        <v>1368.9375585822647</v>
      </c>
      <c r="AR11" s="64">
        <f t="shared" si="30"/>
        <v>645.22565186520217</v>
      </c>
      <c r="AS11" s="64">
        <f t="shared" si="30"/>
        <v>747.57477658700827</v>
      </c>
      <c r="AT11" s="64">
        <f t="shared" si="30"/>
        <v>1392.8004284522103</v>
      </c>
      <c r="AU11" s="64">
        <f t="shared" si="30"/>
        <v>656.55603161653426</v>
      </c>
      <c r="AV11" s="64">
        <f t="shared" si="30"/>
        <v>760.8942204299741</v>
      </c>
      <c r="AW11" s="64">
        <f t="shared" si="30"/>
        <v>1417.4502520465085</v>
      </c>
      <c r="AX11" s="64">
        <f t="shared" si="30"/>
        <v>668.26228495217333</v>
      </c>
      <c r="AY11" s="64">
        <f t="shared" si="30"/>
        <v>774.65132004176382</v>
      </c>
      <c r="AZ11" s="64">
        <f t="shared" si="30"/>
        <v>1442.913604993937</v>
      </c>
      <c r="BA11" s="64">
        <f t="shared" si="30"/>
        <v>680.35716289212519</v>
      </c>
      <c r="BB11" s="64">
        <f t="shared" si="30"/>
        <v>788.86097222046442</v>
      </c>
      <c r="BC11" s="64">
        <f t="shared" si="30"/>
        <v>1469.2181351125896</v>
      </c>
      <c r="BD11" s="64">
        <f t="shared" si="30"/>
        <v>692.85393403819376</v>
      </c>
      <c r="BE11" s="64">
        <f t="shared" si="30"/>
        <v>803.53867330623621</v>
      </c>
      <c r="BF11" s="64">
        <f t="shared" si="30"/>
        <v>1496.3926073444302</v>
      </c>
      <c r="BG11" s="64">
        <f t="shared" si="30"/>
        <v>705.76640636420359</v>
      </c>
      <c r="BH11" s="64">
        <f t="shared" si="30"/>
        <v>818.70054434262772</v>
      </c>
      <c r="BI11" s="64">
        <f t="shared" si="30"/>
        <v>1524.4669507068311</v>
      </c>
      <c r="BJ11" s="64">
        <f t="shared" si="30"/>
        <v>719.10894998894423</v>
      </c>
      <c r="BK11" s="64">
        <f t="shared" si="30"/>
        <v>834.3633573659215</v>
      </c>
      <c r="BL11" s="64">
        <f t="shared" si="30"/>
        <v>1553.472307354866</v>
      </c>
      <c r="BM11" s="64">
        <f t="shared" si="30"/>
        <v>732.89652097768089</v>
      </c>
      <c r="BN11" s="64">
        <f t="shared" si="30"/>
        <v>850.54456287495339</v>
      </c>
      <c r="BO11" s="64">
        <f t="shared" si="30"/>
        <v>1583.4410838526344</v>
      </c>
      <c r="BP11" s="64">
        <f t="shared" si="30"/>
        <v>747.14468622029494</v>
      </c>
      <c r="BQ11" s="64">
        <f t="shared" si="30"/>
        <v>867.26231853635443</v>
      </c>
      <c r="BR11" s="64">
        <f t="shared" si="30"/>
        <v>1614.4070047566495</v>
      </c>
    </row>
    <row r="12" spans="1:71" outlineLevel="1">
      <c r="A12" s="52"/>
      <c r="B12" s="57"/>
      <c r="C12" s="60" t="s">
        <v>103</v>
      </c>
      <c r="D12" s="58" t="s">
        <v>58</v>
      </c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2"/>
      <c r="S12" s="337"/>
      <c r="T12" s="337">
        <v>8.4</v>
      </c>
      <c r="U12" s="106">
        <f>V12-T12</f>
        <v>11.700000000000001</v>
      </c>
      <c r="V12" s="337">
        <v>20.100000000000001</v>
      </c>
      <c r="W12" s="337">
        <v>14.5</v>
      </c>
      <c r="X12" s="106">
        <f>Y12-W12</f>
        <v>6.1999999999999993</v>
      </c>
      <c r="Y12" s="337">
        <v>20.7</v>
      </c>
      <c r="Z12" s="337">
        <v>11.2</v>
      </c>
      <c r="AA12" s="106">
        <f>AB12-Z12</f>
        <v>6.1000000000000014</v>
      </c>
      <c r="AB12" s="337">
        <v>17.3</v>
      </c>
      <c r="AC12" s="346">
        <v>4.9000000000000004</v>
      </c>
      <c r="AD12" s="106">
        <f>AE12-AC12</f>
        <v>9.2999999999999989</v>
      </c>
      <c r="AE12" s="827">
        <v>14.2</v>
      </c>
      <c r="AF12" s="827">
        <v>6</v>
      </c>
      <c r="AG12" s="935">
        <f>AD12*(AG1459/AD1459)</f>
        <v>8.6490000000000009</v>
      </c>
      <c r="AH12" s="106">
        <f>AF12+AG12</f>
        <v>14.649000000000001</v>
      </c>
      <c r="AI12" s="106">
        <f>AF12*(AI1459/AF1459)</f>
        <v>6.093</v>
      </c>
      <c r="AJ12" s="106">
        <f>AG12*(AJ1459/AG1459)</f>
        <v>8.783059500000002</v>
      </c>
      <c r="AK12" s="106">
        <f>AI12+AJ12</f>
        <v>14.876059500000002</v>
      </c>
      <c r="AL12" s="106">
        <f>AI12*(AL1459/AI1459)</f>
        <v>6.1874415000000003</v>
      </c>
      <c r="AM12" s="106">
        <f>AJ12*(AM1459/AJ1459)</f>
        <v>8.919196922250002</v>
      </c>
      <c r="AN12" s="106">
        <f>AL12+AM12</f>
        <v>15.106638422250002</v>
      </c>
      <c r="AO12" s="106">
        <f>AL12*(AO1459/AL1459)</f>
        <v>6.0977235982500009</v>
      </c>
      <c r="AP12" s="106">
        <f>AM12*(AP1459/AM1459)</f>
        <v>8.7898685668773773</v>
      </c>
      <c r="AQ12" s="106">
        <f>AO12+AP12</f>
        <v>14.887592165127378</v>
      </c>
      <c r="AR12" s="106">
        <f>AO12*(AR1459/AO1459)</f>
        <v>6.1007724600491251</v>
      </c>
      <c r="AS12" s="106">
        <f>AP12*(AS1459/AP1459)</f>
        <v>8.794263501160815</v>
      </c>
      <c r="AT12" s="106">
        <f>AR12+AS12</f>
        <v>14.89503596120994</v>
      </c>
      <c r="AU12" s="106">
        <f>AR12*(AU1459/AR1459)</f>
        <v>6.1038228462791491</v>
      </c>
      <c r="AV12" s="106">
        <f>AS12*(AV1459/AS1459)</f>
        <v>8.7986606329113943</v>
      </c>
      <c r="AW12" s="106">
        <f>AU12+AV12</f>
        <v>14.902483479190543</v>
      </c>
      <c r="AX12" s="106">
        <f>AU12*(AX1459/AU1459)</f>
        <v>6.1068747577022879</v>
      </c>
      <c r="AY12" s="106">
        <f>AV12*(AY1459/AV1459)</f>
        <v>8.8030599632278488</v>
      </c>
      <c r="AZ12" s="106">
        <f>AX12+AY12</f>
        <v>14.909934720930137</v>
      </c>
      <c r="BA12" s="106">
        <f>AX12*(BA1459/AX1459)</f>
        <v>6.1099281950811388</v>
      </c>
      <c r="BB12" s="106">
        <f>AY12*(BB1459/AY1459)</f>
        <v>8.8074614932094626</v>
      </c>
      <c r="BC12" s="106">
        <f>BA12+BB12</f>
        <v>14.917389688290601</v>
      </c>
      <c r="BD12" s="106">
        <f>BA12*(BD1459/BA1459)</f>
        <v>6.112983159178679</v>
      </c>
      <c r="BE12" s="106">
        <f>BB12*(BE1459/BB1459)</f>
        <v>8.8118652239560671</v>
      </c>
      <c r="BF12" s="106">
        <f>BD12+BE12</f>
        <v>14.924848383134746</v>
      </c>
      <c r="BG12" s="106">
        <f>BD12*(BG1459/BD1459)</f>
        <v>6.1160396507582684</v>
      </c>
      <c r="BH12" s="106">
        <f>BE12*(BH1459/BE1459)</f>
        <v>8.8162711565680443</v>
      </c>
      <c r="BI12" s="106">
        <f>BG12+BH12</f>
        <v>14.932310807326314</v>
      </c>
      <c r="BJ12" s="106">
        <f>BG12*(BJ1459/BG1459)</f>
        <v>6.1190976705836473</v>
      </c>
      <c r="BK12" s="106">
        <f>BH12*(BK1459/BH1459)</f>
        <v>8.8206792921463286</v>
      </c>
      <c r="BL12" s="106">
        <f>BJ12+BK12</f>
        <v>14.939776962729976</v>
      </c>
      <c r="BM12" s="106">
        <f>BJ12*(BM1459/BJ1459)</f>
        <v>6.1221572194189386</v>
      </c>
      <c r="BN12" s="106">
        <f>BK12*(BN1459/BK1459)</f>
        <v>8.8250896317924017</v>
      </c>
      <c r="BO12" s="106">
        <f>BM12+BN12</f>
        <v>14.947246851211339</v>
      </c>
      <c r="BP12" s="106">
        <f>BM12*(BP1459/BM1459)</f>
        <v>6.1252182980286474</v>
      </c>
      <c r="BQ12" s="106">
        <f>BN12*(BQ1459/BN1459)</f>
        <v>8.8295021766082975</v>
      </c>
      <c r="BR12" s="106">
        <f>BP12+BQ12</f>
        <v>14.954720474636945</v>
      </c>
    </row>
    <row r="13" spans="1:71" outlineLevel="1">
      <c r="A13" s="52"/>
      <c r="B13" s="57"/>
      <c r="C13" s="57" t="s">
        <v>104</v>
      </c>
      <c r="D13" s="58" t="s">
        <v>58</v>
      </c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2"/>
      <c r="S13" s="18"/>
      <c r="T13" s="18">
        <f t="shared" ref="T13:AB13" si="31">T102</f>
        <v>-97.5</v>
      </c>
      <c r="U13" s="18">
        <f t="shared" si="31"/>
        <v>-95.7</v>
      </c>
      <c r="V13" s="18">
        <f t="shared" si="31"/>
        <v>-193.20000000000002</v>
      </c>
      <c r="W13" s="18">
        <f t="shared" si="31"/>
        <v>-91.8</v>
      </c>
      <c r="X13" s="18">
        <f t="shared" si="31"/>
        <v>-77.399999999999991</v>
      </c>
      <c r="Y13" s="18">
        <f t="shared" si="31"/>
        <v>-169.2</v>
      </c>
      <c r="Z13" s="18">
        <f t="shared" si="31"/>
        <v>-78.199999999999989</v>
      </c>
      <c r="AA13" s="18">
        <f t="shared" si="31"/>
        <v>-88.6</v>
      </c>
      <c r="AB13" s="18">
        <f t="shared" si="31"/>
        <v>-166.79999999999998</v>
      </c>
      <c r="AC13" s="18">
        <f>AC102</f>
        <v>-93.8</v>
      </c>
      <c r="AD13" s="18">
        <f>AD102</f>
        <v>-93.199999999999989</v>
      </c>
      <c r="AE13" s="26">
        <f>AE102</f>
        <v>-187</v>
      </c>
      <c r="AF13" s="537">
        <f>AF102</f>
        <v>-101.7</v>
      </c>
      <c r="AG13" s="935">
        <f t="shared" ref="AG13:AN13" si="32">AG103</f>
        <v>-98.803485577156749</v>
      </c>
      <c r="AH13" s="106">
        <f t="shared" si="32"/>
        <v>-200.50348557715677</v>
      </c>
      <c r="AI13" s="106">
        <f t="shared" si="32"/>
        <v>-97.999131692029991</v>
      </c>
      <c r="AJ13" s="106">
        <f t="shared" si="32"/>
        <v>-94.953765698227656</v>
      </c>
      <c r="AK13" s="106">
        <f t="shared" si="32"/>
        <v>-192.95289739025765</v>
      </c>
      <c r="AL13" s="106">
        <f t="shared" si="32"/>
        <v>-93.5833701617412</v>
      </c>
      <c r="AM13" s="106">
        <f t="shared" si="32"/>
        <v>-90.272580896013196</v>
      </c>
      <c r="AN13" s="106">
        <f t="shared" si="32"/>
        <v>-183.8559510577544</v>
      </c>
      <c r="AO13" s="106">
        <f t="shared" ref="AO13:BR13" si="33">AO103</f>
        <v>-86.486976165995301</v>
      </c>
      <c r="AP13" s="106">
        <f t="shared" si="33"/>
        <v>-83.111561508365853</v>
      </c>
      <c r="AQ13" s="106">
        <f t="shared" si="33"/>
        <v>-169.59853767436115</v>
      </c>
      <c r="AR13" s="106">
        <f t="shared" si="33"/>
        <v>-79.306976029053502</v>
      </c>
      <c r="AS13" s="106">
        <f t="shared" si="33"/>
        <v>-75.886586947132699</v>
      </c>
      <c r="AT13" s="106">
        <f t="shared" si="33"/>
        <v>-155.1935629761862</v>
      </c>
      <c r="AU13" s="106">
        <f t="shared" si="33"/>
        <v>-71.972392312056073</v>
      </c>
      <c r="AV13" s="106">
        <f t="shared" si="33"/>
        <v>-68.438174063530411</v>
      </c>
      <c r="AW13" s="106">
        <f t="shared" si="33"/>
        <v>-140.41056637558648</v>
      </c>
      <c r="AX13" s="106">
        <f t="shared" si="33"/>
        <v>-64.410395592634345</v>
      </c>
      <c r="AY13" s="106">
        <f t="shared" si="33"/>
        <v>-60.758693810828973</v>
      </c>
      <c r="AZ13" s="106">
        <f t="shared" si="33"/>
        <v>-125.16908940346332</v>
      </c>
      <c r="BA13" s="106">
        <f t="shared" si="33"/>
        <v>-56.613688377217684</v>
      </c>
      <c r="BB13" s="106">
        <f t="shared" si="33"/>
        <v>-53.787331027958018</v>
      </c>
      <c r="BC13" s="106">
        <f t="shared" si="33"/>
        <v>-110.4010194051757</v>
      </c>
      <c r="BD13" s="106">
        <f t="shared" si="33"/>
        <v>-50.396026031693651</v>
      </c>
      <c r="BE13" s="106">
        <f t="shared" si="33"/>
        <v>-48.980860449988811</v>
      </c>
      <c r="BF13" s="106">
        <f t="shared" si="33"/>
        <v>-99.376886481682462</v>
      </c>
      <c r="BG13" s="106">
        <f t="shared" si="33"/>
        <v>-46.719967846287318</v>
      </c>
      <c r="BH13" s="106">
        <f t="shared" si="33"/>
        <v>-45.474179022912587</v>
      </c>
      <c r="BI13" s="106">
        <f t="shared" si="33"/>
        <v>-92.194146869199898</v>
      </c>
      <c r="BJ13" s="106">
        <f t="shared" si="33"/>
        <v>-42.952101835954153</v>
      </c>
      <c r="BK13" s="106">
        <f t="shared" si="33"/>
        <v>-41.875237446352557</v>
      </c>
      <c r="BL13" s="106">
        <f t="shared" si="33"/>
        <v>-84.82733928230671</v>
      </c>
      <c r="BM13" s="106">
        <f t="shared" si="33"/>
        <v>-39.090453685562196</v>
      </c>
      <c r="BN13" s="106">
        <f t="shared" si="33"/>
        <v>-38.218311515699142</v>
      </c>
      <c r="BO13" s="106">
        <f t="shared" si="33"/>
        <v>-77.308765201261338</v>
      </c>
      <c r="BP13" s="106">
        <f t="shared" si="33"/>
        <v>-35.124759827875152</v>
      </c>
      <c r="BQ13" s="106">
        <f t="shared" si="33"/>
        <v>-34.419624682730564</v>
      </c>
      <c r="BR13" s="106">
        <f t="shared" si="33"/>
        <v>-69.54438451060571</v>
      </c>
    </row>
    <row r="14" spans="1:71" s="8" customFormat="1" outlineLevel="1">
      <c r="A14" s="59"/>
      <c r="B14" s="55"/>
      <c r="C14" s="55" t="s">
        <v>105</v>
      </c>
      <c r="D14" s="56" t="s">
        <v>58</v>
      </c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9"/>
      <c r="S14" s="64"/>
      <c r="T14" s="64">
        <f t="shared" ref="T14:AB14" si="34">T11+T13</f>
        <v>394.19999999999993</v>
      </c>
      <c r="U14" s="64">
        <f t="shared" si="34"/>
        <v>494.89999999999992</v>
      </c>
      <c r="V14" s="64">
        <f t="shared" si="34"/>
        <v>889.09999999999968</v>
      </c>
      <c r="W14" s="64">
        <f t="shared" si="34"/>
        <v>426.99999999999994</v>
      </c>
      <c r="X14" s="64">
        <f t="shared" si="34"/>
        <v>457.1</v>
      </c>
      <c r="Y14" s="64">
        <f t="shared" si="34"/>
        <v>884.10000000000014</v>
      </c>
      <c r="Z14" s="64">
        <f t="shared" si="34"/>
        <v>410.80000000000007</v>
      </c>
      <c r="AA14" s="64">
        <f t="shared" si="34"/>
        <v>477.69999999999993</v>
      </c>
      <c r="AB14" s="64">
        <f t="shared" si="34"/>
        <v>888.5</v>
      </c>
      <c r="AC14" s="64">
        <f>AC11+AC13</f>
        <v>401.90000000000003</v>
      </c>
      <c r="AD14" s="64">
        <f t="shared" ref="AD14:AE14" si="35">AD11+AD13</f>
        <v>499.29999999999978</v>
      </c>
      <c r="AE14" s="341">
        <f t="shared" si="35"/>
        <v>901.2</v>
      </c>
      <c r="AF14" s="424">
        <f>AF11+AF13</f>
        <v>412.09999999999997</v>
      </c>
      <c r="AG14" s="936">
        <f t="shared" ref="AG14:BR14" si="36">AG11+AG13</f>
        <v>531.58877260049701</v>
      </c>
      <c r="AH14" s="110">
        <f t="shared" si="36"/>
        <v>943.68877260049715</v>
      </c>
      <c r="AI14" s="110">
        <f t="shared" si="36"/>
        <v>467.97875555818609</v>
      </c>
      <c r="AJ14" s="110">
        <f t="shared" si="36"/>
        <v>583.56602806363276</v>
      </c>
      <c r="AK14" s="110">
        <f t="shared" si="36"/>
        <v>1051.5447836218189</v>
      </c>
      <c r="AL14" s="110">
        <f t="shared" si="36"/>
        <v>521.85024356220003</v>
      </c>
      <c r="AM14" s="110">
        <f t="shared" si="36"/>
        <v>622.15094703637385</v>
      </c>
      <c r="AN14" s="110">
        <f t="shared" si="36"/>
        <v>1144.0011905985739</v>
      </c>
      <c r="AO14" s="110">
        <f t="shared" si="36"/>
        <v>547.77191524272689</v>
      </c>
      <c r="AP14" s="110">
        <f t="shared" si="36"/>
        <v>651.56710566517665</v>
      </c>
      <c r="AQ14" s="110">
        <f t="shared" si="36"/>
        <v>1199.3390209079037</v>
      </c>
      <c r="AR14" s="110">
        <f t="shared" si="36"/>
        <v>565.91867583614862</v>
      </c>
      <c r="AS14" s="110">
        <f t="shared" si="36"/>
        <v>671.68818963987553</v>
      </c>
      <c r="AT14" s="110">
        <f t="shared" si="36"/>
        <v>1237.606865476024</v>
      </c>
      <c r="AU14" s="110">
        <f t="shared" si="36"/>
        <v>584.5836393044782</v>
      </c>
      <c r="AV14" s="110">
        <f t="shared" si="36"/>
        <v>692.45604636644373</v>
      </c>
      <c r="AW14" s="110">
        <f t="shared" si="36"/>
        <v>1277.0396856709219</v>
      </c>
      <c r="AX14" s="110">
        <f t="shared" si="36"/>
        <v>603.85188935953897</v>
      </c>
      <c r="AY14" s="110">
        <f t="shared" si="36"/>
        <v>713.89262623093487</v>
      </c>
      <c r="AZ14" s="110">
        <f t="shared" si="36"/>
        <v>1317.7445155904738</v>
      </c>
      <c r="BA14" s="110">
        <f t="shared" si="36"/>
        <v>623.74347451490746</v>
      </c>
      <c r="BB14" s="110">
        <f t="shared" si="36"/>
        <v>735.07364119250644</v>
      </c>
      <c r="BC14" s="110">
        <f t="shared" si="36"/>
        <v>1358.8171157074139</v>
      </c>
      <c r="BD14" s="110">
        <f t="shared" si="36"/>
        <v>642.45790800650013</v>
      </c>
      <c r="BE14" s="110">
        <f t="shared" si="36"/>
        <v>754.55781285624744</v>
      </c>
      <c r="BF14" s="110">
        <f t="shared" si="36"/>
        <v>1397.0157208627477</v>
      </c>
      <c r="BG14" s="110">
        <f t="shared" si="36"/>
        <v>659.04643851791627</v>
      </c>
      <c r="BH14" s="110">
        <f t="shared" si="36"/>
        <v>773.22636531971511</v>
      </c>
      <c r="BI14" s="110">
        <f t="shared" si="36"/>
        <v>1432.2728038376313</v>
      </c>
      <c r="BJ14" s="110">
        <f t="shared" si="36"/>
        <v>676.15684815299005</v>
      </c>
      <c r="BK14" s="110">
        <f t="shared" si="36"/>
        <v>792.48811991956893</v>
      </c>
      <c r="BL14" s="110">
        <f t="shared" si="36"/>
        <v>1468.6449680725593</v>
      </c>
      <c r="BM14" s="110">
        <f t="shared" si="36"/>
        <v>693.80606729211866</v>
      </c>
      <c r="BN14" s="110">
        <f t="shared" si="36"/>
        <v>812.32625135925423</v>
      </c>
      <c r="BO14" s="110">
        <f t="shared" si="36"/>
        <v>1506.132318651373</v>
      </c>
      <c r="BP14" s="110">
        <f t="shared" si="36"/>
        <v>712.01992639241985</v>
      </c>
      <c r="BQ14" s="110">
        <f t="shared" si="36"/>
        <v>832.84269385362381</v>
      </c>
      <c r="BR14" s="110">
        <f t="shared" si="36"/>
        <v>1544.8626202460437</v>
      </c>
    </row>
    <row r="15" spans="1:71" outlineLevel="1">
      <c r="A15" s="52"/>
      <c r="B15" s="57"/>
      <c r="C15" s="60" t="s">
        <v>106</v>
      </c>
      <c r="D15" s="58" t="s">
        <v>58</v>
      </c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2"/>
      <c r="S15" s="18"/>
      <c r="T15" s="337">
        <v>-80.400000000000006</v>
      </c>
      <c r="U15" s="106">
        <f>V15-T15</f>
        <v>-101.79999999999998</v>
      </c>
      <c r="V15" s="337">
        <v>-182.2</v>
      </c>
      <c r="W15" s="337">
        <v>-91.7</v>
      </c>
      <c r="X15" s="106">
        <f>Y15-W15</f>
        <v>-93.7</v>
      </c>
      <c r="Y15" s="346">
        <v>-185.4</v>
      </c>
      <c r="Z15" s="337">
        <v>-88.3</v>
      </c>
      <c r="AA15" s="106">
        <f>AB15-Z15</f>
        <v>-99.600000000000009</v>
      </c>
      <c r="AB15" s="346">
        <v>-187.9</v>
      </c>
      <c r="AC15" s="346">
        <v>-86</v>
      </c>
      <c r="AD15" s="106">
        <f>AE15-AC15</f>
        <v>-97</v>
      </c>
      <c r="AE15" s="827">
        <v>-183</v>
      </c>
      <c r="AF15" s="827">
        <v>-78.2</v>
      </c>
      <c r="AG15" s="935">
        <f>AG14*AG105</f>
        <v>-111.63364224610437</v>
      </c>
      <c r="AH15" s="106">
        <f>AF15+AG15</f>
        <v>-189.83364224610438</v>
      </c>
      <c r="AI15" s="106">
        <f>AI14*AI105</f>
        <v>-98.275538667219081</v>
      </c>
      <c r="AJ15" s="106">
        <f>AJ14*AJ105</f>
        <v>-122.54886589336287</v>
      </c>
      <c r="AK15" s="106">
        <f>AI15+AJ15</f>
        <v>-220.82440456058197</v>
      </c>
      <c r="AL15" s="106">
        <f>AL14*AL105</f>
        <v>-109.58855114806201</v>
      </c>
      <c r="AM15" s="106">
        <f>AM14*AM105</f>
        <v>-130.65169887763849</v>
      </c>
      <c r="AN15" s="106">
        <f>AL15+AM15</f>
        <v>-240.2402500257005</v>
      </c>
      <c r="AO15" s="106">
        <f>AO14*AO105</f>
        <v>-115.03210220097264</v>
      </c>
      <c r="AP15" s="106">
        <f>AP14*AP105</f>
        <v>-136.82909218968709</v>
      </c>
      <c r="AQ15" s="106">
        <f>AO15+AP15</f>
        <v>-251.86119439065973</v>
      </c>
      <c r="AR15" s="106">
        <f>AR14*AR105</f>
        <v>-118.84292192559121</v>
      </c>
      <c r="AS15" s="106">
        <f>AS14*AS105</f>
        <v>-141.05451982437387</v>
      </c>
      <c r="AT15" s="106">
        <f>AR15+AS15</f>
        <v>-259.89744174996508</v>
      </c>
      <c r="AU15" s="106">
        <f>AU14*AU105</f>
        <v>-122.76256425394041</v>
      </c>
      <c r="AV15" s="106">
        <f>AV14*AV105</f>
        <v>-145.41576973695317</v>
      </c>
      <c r="AW15" s="106">
        <f>AU15+AV15</f>
        <v>-268.17833399089358</v>
      </c>
      <c r="AX15" s="106">
        <f>AX14*AX105</f>
        <v>-126.80889676550318</v>
      </c>
      <c r="AY15" s="106">
        <f>AY14*AY105</f>
        <v>-149.91745150849633</v>
      </c>
      <c r="AZ15" s="106">
        <f>AX15+AY15</f>
        <v>-276.72634827399952</v>
      </c>
      <c r="BA15" s="106">
        <f>BA14*BA105</f>
        <v>-130.98612964813057</v>
      </c>
      <c r="BB15" s="106">
        <f>BB14*BB105</f>
        <v>-154.36546465042636</v>
      </c>
      <c r="BC15" s="106">
        <f>BA15+BB15</f>
        <v>-285.35159429855696</v>
      </c>
      <c r="BD15" s="106">
        <f>BD14*BD105</f>
        <v>-134.91616068136503</v>
      </c>
      <c r="BE15" s="106">
        <f>BE14*BE105</f>
        <v>-158.45714069981196</v>
      </c>
      <c r="BF15" s="106">
        <f>BD15+BE15</f>
        <v>-293.37330138117699</v>
      </c>
      <c r="BG15" s="106">
        <f>BG14*BG105</f>
        <v>-138.3997520887624</v>
      </c>
      <c r="BH15" s="106">
        <f>BH14*BH105</f>
        <v>-162.37753671714017</v>
      </c>
      <c r="BI15" s="106">
        <f>BG15+BH15</f>
        <v>-300.77728880590257</v>
      </c>
      <c r="BJ15" s="106">
        <f>BJ14*BJ105</f>
        <v>-141.99293811212792</v>
      </c>
      <c r="BK15" s="106">
        <f>BK14*BK105</f>
        <v>-166.42250518310948</v>
      </c>
      <c r="BL15" s="106">
        <f>BJ15+BK15</f>
        <v>-308.41544329523742</v>
      </c>
      <c r="BM15" s="106">
        <f>BM14*BM105</f>
        <v>-145.69927413134491</v>
      </c>
      <c r="BN15" s="106">
        <f>BN14*BN105</f>
        <v>-170.58851278544338</v>
      </c>
      <c r="BO15" s="106">
        <f>BM15+BN15</f>
        <v>-316.28778691678826</v>
      </c>
      <c r="BP15" s="106">
        <f>BP14*BP105</f>
        <v>-149.52418454240816</v>
      </c>
      <c r="BQ15" s="106">
        <f>BQ14*BQ105</f>
        <v>-174.896965709261</v>
      </c>
      <c r="BR15" s="106">
        <f>BP15+BQ15</f>
        <v>-324.42115025166913</v>
      </c>
    </row>
    <row r="16" spans="1:71" outlineLevel="1">
      <c r="A16" s="52"/>
      <c r="B16" s="57"/>
      <c r="C16" s="60" t="s">
        <v>107</v>
      </c>
      <c r="D16" s="58" t="s">
        <v>58</v>
      </c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2"/>
      <c r="S16" s="18"/>
      <c r="T16" s="337">
        <v>-12.7</v>
      </c>
      <c r="U16" s="106">
        <f>V16-T16</f>
        <v>-16.2</v>
      </c>
      <c r="V16" s="337">
        <v>-28.9</v>
      </c>
      <c r="W16" s="337">
        <v>-14</v>
      </c>
      <c r="X16" s="106">
        <f>Y16-W16</f>
        <v>-13.600000000000001</v>
      </c>
      <c r="Y16" s="337">
        <v>-27.6</v>
      </c>
      <c r="Z16" s="337">
        <v>-17</v>
      </c>
      <c r="AA16" s="106">
        <f>AB16-Z16</f>
        <v>-12.5</v>
      </c>
      <c r="AB16" s="337">
        <v>-29.5</v>
      </c>
      <c r="AC16" s="346">
        <v>-7.3</v>
      </c>
      <c r="AD16" s="106">
        <f>AE16-AC16</f>
        <v>-9.6999999999999993</v>
      </c>
      <c r="AE16" s="827">
        <v>-17</v>
      </c>
      <c r="AF16" s="827">
        <v>-4.2</v>
      </c>
      <c r="AG16" s="935">
        <f>AD16</f>
        <v>-9.6999999999999993</v>
      </c>
      <c r="AH16" s="106">
        <f>AF16+AG16</f>
        <v>-13.899999999999999</v>
      </c>
      <c r="AI16" s="106">
        <f>AF16</f>
        <v>-4.2</v>
      </c>
      <c r="AJ16" s="106">
        <f>AG16</f>
        <v>-9.6999999999999993</v>
      </c>
      <c r="AK16" s="106">
        <f>AI16+AJ16</f>
        <v>-13.899999999999999</v>
      </c>
      <c r="AL16" s="106">
        <f>AI16</f>
        <v>-4.2</v>
      </c>
      <c r="AM16" s="106">
        <f>AJ16</f>
        <v>-9.6999999999999993</v>
      </c>
      <c r="AN16" s="106">
        <f>AL16+AM16</f>
        <v>-13.899999999999999</v>
      </c>
      <c r="AO16" s="106">
        <f>AL16</f>
        <v>-4.2</v>
      </c>
      <c r="AP16" s="106">
        <f>AM16</f>
        <v>-9.6999999999999993</v>
      </c>
      <c r="AQ16" s="106">
        <f>AO16+AP16</f>
        <v>-13.899999999999999</v>
      </c>
      <c r="AR16" s="106">
        <f>AO16</f>
        <v>-4.2</v>
      </c>
      <c r="AS16" s="106">
        <f>AP16</f>
        <v>-9.6999999999999993</v>
      </c>
      <c r="AT16" s="106">
        <f>AR16+AS16</f>
        <v>-13.899999999999999</v>
      </c>
      <c r="AU16" s="106">
        <f>AR16</f>
        <v>-4.2</v>
      </c>
      <c r="AV16" s="106">
        <f>AS16</f>
        <v>-9.6999999999999993</v>
      </c>
      <c r="AW16" s="106">
        <f>AU16+AV16</f>
        <v>-13.899999999999999</v>
      </c>
      <c r="AX16" s="106">
        <f>AU16</f>
        <v>-4.2</v>
      </c>
      <c r="AY16" s="106">
        <f>AV16</f>
        <v>-9.6999999999999993</v>
      </c>
      <c r="AZ16" s="106">
        <f>AX16+AY16</f>
        <v>-13.899999999999999</v>
      </c>
      <c r="BA16" s="106">
        <f>AX16</f>
        <v>-4.2</v>
      </c>
      <c r="BB16" s="106">
        <f>AY16</f>
        <v>-9.6999999999999993</v>
      </c>
      <c r="BC16" s="106">
        <f>BA16+BB16</f>
        <v>-13.899999999999999</v>
      </c>
      <c r="BD16" s="106">
        <f>BA16</f>
        <v>-4.2</v>
      </c>
      <c r="BE16" s="106">
        <f>BB16</f>
        <v>-9.6999999999999993</v>
      </c>
      <c r="BF16" s="106">
        <f>BD16+BE16</f>
        <v>-13.899999999999999</v>
      </c>
      <c r="BG16" s="106">
        <f>BD16</f>
        <v>-4.2</v>
      </c>
      <c r="BH16" s="106">
        <f>BE16</f>
        <v>-9.6999999999999993</v>
      </c>
      <c r="BI16" s="106">
        <f>BG16+BH16</f>
        <v>-13.899999999999999</v>
      </c>
      <c r="BJ16" s="106">
        <f>BG16</f>
        <v>-4.2</v>
      </c>
      <c r="BK16" s="106">
        <f>BH16</f>
        <v>-9.6999999999999993</v>
      </c>
      <c r="BL16" s="106">
        <f>BJ16+BK16</f>
        <v>-13.899999999999999</v>
      </c>
      <c r="BM16" s="106">
        <f>BJ16</f>
        <v>-4.2</v>
      </c>
      <c r="BN16" s="106">
        <f>BK16</f>
        <v>-9.6999999999999993</v>
      </c>
      <c r="BO16" s="106">
        <f>BM16+BN16</f>
        <v>-13.899999999999999</v>
      </c>
      <c r="BP16" s="106">
        <f>BM16</f>
        <v>-4.2</v>
      </c>
      <c r="BQ16" s="106">
        <f>BN16</f>
        <v>-9.6999999999999993</v>
      </c>
      <c r="BR16" s="106">
        <f>BP16+BQ16</f>
        <v>-13.899999999999999</v>
      </c>
    </row>
    <row r="17" spans="1:70" s="8" customFormat="1" outlineLevel="1">
      <c r="A17" s="59"/>
      <c r="B17" s="55"/>
      <c r="C17" s="55" t="s">
        <v>108</v>
      </c>
      <c r="D17" s="56" t="s">
        <v>58</v>
      </c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9"/>
      <c r="S17" s="64"/>
      <c r="T17" s="64">
        <f t="shared" ref="T17:AB17" si="37">T14+T15+T16</f>
        <v>301.09999999999997</v>
      </c>
      <c r="U17" s="64">
        <f t="shared" si="37"/>
        <v>376.89999999999992</v>
      </c>
      <c r="V17" s="64">
        <f t="shared" si="37"/>
        <v>677.99999999999966</v>
      </c>
      <c r="W17" s="64">
        <f t="shared" si="37"/>
        <v>321.29999999999995</v>
      </c>
      <c r="X17" s="64">
        <f t="shared" si="37"/>
        <v>349.8</v>
      </c>
      <c r="Y17" s="64">
        <f t="shared" si="37"/>
        <v>671.10000000000014</v>
      </c>
      <c r="Z17" s="64">
        <f t="shared" si="37"/>
        <v>305.50000000000006</v>
      </c>
      <c r="AA17" s="64">
        <f t="shared" si="37"/>
        <v>365.59999999999991</v>
      </c>
      <c r="AB17" s="64">
        <f t="shared" si="37"/>
        <v>671.1</v>
      </c>
      <c r="AC17" s="64">
        <f>AC14+AC15+AC16</f>
        <v>308.60000000000002</v>
      </c>
      <c r="AD17" s="64">
        <f t="shared" ref="AD17:AE17" si="38">AD14+AD15+AD16</f>
        <v>392.5999999999998</v>
      </c>
      <c r="AE17" s="341">
        <f t="shared" si="38"/>
        <v>701.2</v>
      </c>
      <c r="AF17" s="341">
        <f>AF14+AF15+AF16</f>
        <v>329.7</v>
      </c>
      <c r="AG17" s="934">
        <f t="shared" ref="AG17:BR17" si="39">AG14+AG15+AG16</f>
        <v>410.25513035439263</v>
      </c>
      <c r="AH17" s="64">
        <f t="shared" si="39"/>
        <v>739.95513035439274</v>
      </c>
      <c r="AI17" s="64">
        <f t="shared" si="39"/>
        <v>365.50321689096705</v>
      </c>
      <c r="AJ17" s="64">
        <f t="shared" si="39"/>
        <v>451.31716217026991</v>
      </c>
      <c r="AK17" s="64">
        <f t="shared" si="39"/>
        <v>816.82037906123685</v>
      </c>
      <c r="AL17" s="64">
        <f t="shared" si="39"/>
        <v>408.06169241413801</v>
      </c>
      <c r="AM17" s="64">
        <f t="shared" si="39"/>
        <v>481.79924815873534</v>
      </c>
      <c r="AN17" s="64">
        <f t="shared" si="39"/>
        <v>889.86094057287335</v>
      </c>
      <c r="AO17" s="64">
        <f t="shared" si="39"/>
        <v>428.53981304175426</v>
      </c>
      <c r="AP17" s="64">
        <f t="shared" si="39"/>
        <v>505.03801347548955</v>
      </c>
      <c r="AQ17" s="64">
        <f t="shared" si="39"/>
        <v>933.57782651724392</v>
      </c>
      <c r="AR17" s="64">
        <f t="shared" si="39"/>
        <v>442.87575391055742</v>
      </c>
      <c r="AS17" s="64">
        <f t="shared" si="39"/>
        <v>520.93366981550162</v>
      </c>
      <c r="AT17" s="64">
        <f t="shared" si="39"/>
        <v>963.80942372605898</v>
      </c>
      <c r="AU17" s="64">
        <f t="shared" si="39"/>
        <v>457.6210750505378</v>
      </c>
      <c r="AV17" s="64">
        <f t="shared" si="39"/>
        <v>537.34027662949052</v>
      </c>
      <c r="AW17" s="64">
        <f t="shared" si="39"/>
        <v>994.96135168002832</v>
      </c>
      <c r="AX17" s="64">
        <f t="shared" si="39"/>
        <v>472.84299259403582</v>
      </c>
      <c r="AY17" s="64">
        <f t="shared" si="39"/>
        <v>554.27517472243846</v>
      </c>
      <c r="AZ17" s="64">
        <f t="shared" si="39"/>
        <v>1027.1181673164742</v>
      </c>
      <c r="BA17" s="64">
        <f t="shared" si="39"/>
        <v>488.55734486677687</v>
      </c>
      <c r="BB17" s="64">
        <f t="shared" si="39"/>
        <v>571.00817654208004</v>
      </c>
      <c r="BC17" s="64">
        <f t="shared" si="39"/>
        <v>1059.565521408857</v>
      </c>
      <c r="BD17" s="64">
        <f t="shared" si="39"/>
        <v>503.34174732513515</v>
      </c>
      <c r="BE17" s="64">
        <f t="shared" si="39"/>
        <v>586.40067215643546</v>
      </c>
      <c r="BF17" s="64">
        <f t="shared" si="39"/>
        <v>1089.7424194815706</v>
      </c>
      <c r="BG17" s="64">
        <f t="shared" si="39"/>
        <v>516.44668642915383</v>
      </c>
      <c r="BH17" s="64">
        <f t="shared" si="39"/>
        <v>601.14882860257489</v>
      </c>
      <c r="BI17" s="64">
        <f t="shared" si="39"/>
        <v>1117.5955150317286</v>
      </c>
      <c r="BJ17" s="64">
        <f t="shared" si="39"/>
        <v>529.96391004086206</v>
      </c>
      <c r="BK17" s="64">
        <f t="shared" si="39"/>
        <v>616.36561473645941</v>
      </c>
      <c r="BL17" s="64">
        <f t="shared" si="39"/>
        <v>1146.3295247773217</v>
      </c>
      <c r="BM17" s="64">
        <f t="shared" si="39"/>
        <v>543.90679316077376</v>
      </c>
      <c r="BN17" s="64">
        <f t="shared" si="39"/>
        <v>632.03773857381077</v>
      </c>
      <c r="BO17" s="64">
        <f t="shared" si="39"/>
        <v>1175.9445317345846</v>
      </c>
      <c r="BP17" s="64">
        <f t="shared" si="39"/>
        <v>558.29574185001161</v>
      </c>
      <c r="BQ17" s="64">
        <f t="shared" si="39"/>
        <v>648.24572814436283</v>
      </c>
      <c r="BR17" s="64">
        <f t="shared" si="39"/>
        <v>1206.5414699943744</v>
      </c>
    </row>
    <row r="18" spans="1:70" outlineLevel="1">
      <c r="A18" s="52"/>
      <c r="B18" s="57"/>
      <c r="C18" s="60" t="s">
        <v>109</v>
      </c>
      <c r="D18" s="58" t="s">
        <v>58</v>
      </c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2"/>
      <c r="S18" s="18"/>
      <c r="T18" s="337">
        <v>0</v>
      </c>
      <c r="U18" s="18">
        <f>+V18-T18</f>
        <v>0</v>
      </c>
      <c r="V18" s="337">
        <v>0</v>
      </c>
      <c r="W18" s="98">
        <v>0</v>
      </c>
      <c r="X18" s="347">
        <f>+Y18-W18</f>
        <v>9.1999999999999993</v>
      </c>
      <c r="Y18" s="98">
        <v>9.1999999999999993</v>
      </c>
      <c r="Z18" s="98">
        <v>0</v>
      </c>
      <c r="AA18" s="347">
        <f>+AB18-Z18</f>
        <v>-427</v>
      </c>
      <c r="AB18" s="98">
        <v>-427</v>
      </c>
      <c r="AC18" s="98">
        <v>-22</v>
      </c>
      <c r="AD18" s="347">
        <f>AE18-AC18</f>
        <v>-82.2</v>
      </c>
      <c r="AE18" s="345">
        <v>-104.2</v>
      </c>
      <c r="AF18" s="171">
        <f>AF114</f>
        <v>0</v>
      </c>
      <c r="AG18" s="937">
        <f t="shared" ref="AG18:BR18" si="40">AG114</f>
        <v>0</v>
      </c>
      <c r="AH18" s="347">
        <f t="shared" si="40"/>
        <v>0</v>
      </c>
      <c r="AI18" s="347">
        <f t="shared" si="40"/>
        <v>0</v>
      </c>
      <c r="AJ18" s="347">
        <f t="shared" si="40"/>
        <v>0</v>
      </c>
      <c r="AK18" s="347">
        <f t="shared" si="40"/>
        <v>0</v>
      </c>
      <c r="AL18" s="347">
        <f t="shared" si="40"/>
        <v>0</v>
      </c>
      <c r="AM18" s="347">
        <f t="shared" si="40"/>
        <v>0</v>
      </c>
      <c r="AN18" s="347">
        <f t="shared" si="40"/>
        <v>0</v>
      </c>
      <c r="AO18" s="347">
        <f t="shared" si="40"/>
        <v>0</v>
      </c>
      <c r="AP18" s="347">
        <f t="shared" si="40"/>
        <v>0</v>
      </c>
      <c r="AQ18" s="347">
        <f t="shared" si="40"/>
        <v>0</v>
      </c>
      <c r="AR18" s="347">
        <f t="shared" si="40"/>
        <v>0</v>
      </c>
      <c r="AS18" s="347">
        <f t="shared" si="40"/>
        <v>0</v>
      </c>
      <c r="AT18" s="347">
        <f t="shared" si="40"/>
        <v>0</v>
      </c>
      <c r="AU18" s="347">
        <f t="shared" si="40"/>
        <v>0</v>
      </c>
      <c r="AV18" s="347">
        <f t="shared" si="40"/>
        <v>0</v>
      </c>
      <c r="AW18" s="347">
        <f t="shared" si="40"/>
        <v>0</v>
      </c>
      <c r="AX18" s="347">
        <f t="shared" si="40"/>
        <v>0</v>
      </c>
      <c r="AY18" s="347">
        <f t="shared" si="40"/>
        <v>0</v>
      </c>
      <c r="AZ18" s="347">
        <f t="shared" si="40"/>
        <v>0</v>
      </c>
      <c r="BA18" s="347">
        <f t="shared" si="40"/>
        <v>0</v>
      </c>
      <c r="BB18" s="347">
        <f t="shared" si="40"/>
        <v>0</v>
      </c>
      <c r="BC18" s="347">
        <f t="shared" si="40"/>
        <v>0</v>
      </c>
      <c r="BD18" s="347">
        <f t="shared" si="40"/>
        <v>0</v>
      </c>
      <c r="BE18" s="347">
        <f t="shared" si="40"/>
        <v>0</v>
      </c>
      <c r="BF18" s="347">
        <f t="shared" si="40"/>
        <v>0</v>
      </c>
      <c r="BG18" s="347">
        <f t="shared" si="40"/>
        <v>0</v>
      </c>
      <c r="BH18" s="347">
        <f t="shared" si="40"/>
        <v>0</v>
      </c>
      <c r="BI18" s="347">
        <f t="shared" si="40"/>
        <v>0</v>
      </c>
      <c r="BJ18" s="347">
        <f t="shared" si="40"/>
        <v>0</v>
      </c>
      <c r="BK18" s="347">
        <f t="shared" si="40"/>
        <v>0</v>
      </c>
      <c r="BL18" s="347">
        <f t="shared" si="40"/>
        <v>0</v>
      </c>
      <c r="BM18" s="347">
        <f t="shared" si="40"/>
        <v>0</v>
      </c>
      <c r="BN18" s="347">
        <f t="shared" si="40"/>
        <v>0</v>
      </c>
      <c r="BO18" s="347">
        <f t="shared" si="40"/>
        <v>0</v>
      </c>
      <c r="BP18" s="347">
        <f t="shared" si="40"/>
        <v>0</v>
      </c>
      <c r="BQ18" s="347">
        <f t="shared" si="40"/>
        <v>0</v>
      </c>
      <c r="BR18" s="347">
        <f t="shared" si="40"/>
        <v>0</v>
      </c>
    </row>
    <row r="19" spans="1:70" s="8" customFormat="1" outlineLevel="1">
      <c r="A19" s="59"/>
      <c r="B19" s="55"/>
      <c r="C19" s="55" t="s">
        <v>110</v>
      </c>
      <c r="D19" s="56" t="s">
        <v>58</v>
      </c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9"/>
      <c r="S19" s="64"/>
      <c r="T19" s="64">
        <f t="shared" ref="T19:AB19" si="41">T17+T18</f>
        <v>301.09999999999997</v>
      </c>
      <c r="U19" s="64">
        <f t="shared" si="41"/>
        <v>376.89999999999992</v>
      </c>
      <c r="V19" s="64">
        <f t="shared" si="41"/>
        <v>677.99999999999966</v>
      </c>
      <c r="W19" s="64">
        <f>W17+W18</f>
        <v>321.29999999999995</v>
      </c>
      <c r="X19" s="64">
        <f>X17+X18</f>
        <v>359</v>
      </c>
      <c r="Y19" s="64">
        <f t="shared" si="41"/>
        <v>680.30000000000018</v>
      </c>
      <c r="Z19" s="64">
        <f t="shared" si="41"/>
        <v>305.50000000000006</v>
      </c>
      <c r="AA19" s="64">
        <f t="shared" si="41"/>
        <v>-61.400000000000091</v>
      </c>
      <c r="AB19" s="64">
        <f t="shared" si="41"/>
        <v>244.10000000000002</v>
      </c>
      <c r="AC19" s="64">
        <f>AC17+AC18</f>
        <v>286.60000000000002</v>
      </c>
      <c r="AD19" s="64">
        <f t="shared" ref="AD19:AE19" si="42">AD17+AD18</f>
        <v>310.39999999999981</v>
      </c>
      <c r="AE19" s="341">
        <f t="shared" si="42"/>
        <v>597</v>
      </c>
      <c r="AF19" s="341">
        <f>AF17+AF18</f>
        <v>329.7</v>
      </c>
      <c r="AG19" s="934">
        <f t="shared" ref="AG19:BR19" si="43">AG17+AG18</f>
        <v>410.25513035439263</v>
      </c>
      <c r="AH19" s="64">
        <f t="shared" si="43"/>
        <v>739.95513035439274</v>
      </c>
      <c r="AI19" s="64">
        <f t="shared" si="43"/>
        <v>365.50321689096705</v>
      </c>
      <c r="AJ19" s="64">
        <f t="shared" si="43"/>
        <v>451.31716217026991</v>
      </c>
      <c r="AK19" s="64">
        <f t="shared" si="43"/>
        <v>816.82037906123685</v>
      </c>
      <c r="AL19" s="64">
        <f t="shared" si="43"/>
        <v>408.06169241413801</v>
      </c>
      <c r="AM19" s="64">
        <f t="shared" si="43"/>
        <v>481.79924815873534</v>
      </c>
      <c r="AN19" s="64">
        <f t="shared" si="43"/>
        <v>889.86094057287335</v>
      </c>
      <c r="AO19" s="64">
        <f t="shared" si="43"/>
        <v>428.53981304175426</v>
      </c>
      <c r="AP19" s="64">
        <f t="shared" si="43"/>
        <v>505.03801347548955</v>
      </c>
      <c r="AQ19" s="64">
        <f t="shared" si="43"/>
        <v>933.57782651724392</v>
      </c>
      <c r="AR19" s="64">
        <f t="shared" si="43"/>
        <v>442.87575391055742</v>
      </c>
      <c r="AS19" s="64">
        <f t="shared" si="43"/>
        <v>520.93366981550162</v>
      </c>
      <c r="AT19" s="64">
        <f t="shared" si="43"/>
        <v>963.80942372605898</v>
      </c>
      <c r="AU19" s="64">
        <f t="shared" si="43"/>
        <v>457.6210750505378</v>
      </c>
      <c r="AV19" s="64">
        <f t="shared" si="43"/>
        <v>537.34027662949052</v>
      </c>
      <c r="AW19" s="64">
        <f t="shared" si="43"/>
        <v>994.96135168002832</v>
      </c>
      <c r="AX19" s="64">
        <f t="shared" si="43"/>
        <v>472.84299259403582</v>
      </c>
      <c r="AY19" s="64">
        <f t="shared" si="43"/>
        <v>554.27517472243846</v>
      </c>
      <c r="AZ19" s="64">
        <f t="shared" si="43"/>
        <v>1027.1181673164742</v>
      </c>
      <c r="BA19" s="64">
        <f t="shared" si="43"/>
        <v>488.55734486677687</v>
      </c>
      <c r="BB19" s="64">
        <f t="shared" si="43"/>
        <v>571.00817654208004</v>
      </c>
      <c r="BC19" s="64">
        <f t="shared" si="43"/>
        <v>1059.565521408857</v>
      </c>
      <c r="BD19" s="64">
        <f t="shared" si="43"/>
        <v>503.34174732513515</v>
      </c>
      <c r="BE19" s="64">
        <f t="shared" si="43"/>
        <v>586.40067215643546</v>
      </c>
      <c r="BF19" s="64">
        <f t="shared" si="43"/>
        <v>1089.7424194815706</v>
      </c>
      <c r="BG19" s="64">
        <f t="shared" si="43"/>
        <v>516.44668642915383</v>
      </c>
      <c r="BH19" s="64">
        <f t="shared" si="43"/>
        <v>601.14882860257489</v>
      </c>
      <c r="BI19" s="64">
        <f t="shared" si="43"/>
        <v>1117.5955150317286</v>
      </c>
      <c r="BJ19" s="64">
        <f t="shared" si="43"/>
        <v>529.96391004086206</v>
      </c>
      <c r="BK19" s="64">
        <f t="shared" si="43"/>
        <v>616.36561473645941</v>
      </c>
      <c r="BL19" s="64">
        <f t="shared" si="43"/>
        <v>1146.3295247773217</v>
      </c>
      <c r="BM19" s="64">
        <f t="shared" si="43"/>
        <v>543.90679316077376</v>
      </c>
      <c r="BN19" s="64">
        <f t="shared" si="43"/>
        <v>632.03773857381077</v>
      </c>
      <c r="BO19" s="64">
        <f t="shared" si="43"/>
        <v>1175.9445317345846</v>
      </c>
      <c r="BP19" s="64">
        <f t="shared" si="43"/>
        <v>558.29574185001161</v>
      </c>
      <c r="BQ19" s="64">
        <f t="shared" si="43"/>
        <v>648.24572814436283</v>
      </c>
      <c r="BR19" s="64">
        <f t="shared" si="43"/>
        <v>1206.5414699943744</v>
      </c>
    </row>
    <row r="20" spans="1:70" outlineLevel="1">
      <c r="B20" s="54" t="s">
        <v>112</v>
      </c>
      <c r="C20" s="30"/>
      <c r="D20" s="31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26"/>
      <c r="AG20" s="938"/>
    </row>
    <row r="21" spans="1:70" outlineLevel="1">
      <c r="B21" s="30"/>
      <c r="C21" s="84" t="s">
        <v>113</v>
      </c>
      <c r="D21" s="58" t="s">
        <v>58</v>
      </c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S21" s="25">
        <v>366</v>
      </c>
      <c r="T21" s="18"/>
      <c r="U21" s="18">
        <f>V21</f>
        <v>509.7</v>
      </c>
      <c r="V21" s="98">
        <v>509.7</v>
      </c>
      <c r="W21" s="98">
        <v>404.5</v>
      </c>
      <c r="X21" s="18">
        <f>Y21</f>
        <v>704.9</v>
      </c>
      <c r="Y21" s="25">
        <v>704.9</v>
      </c>
      <c r="Z21" s="98">
        <v>488.9</v>
      </c>
      <c r="AA21" s="18">
        <f>AB21</f>
        <v>515.70000000000005</v>
      </c>
      <c r="AB21" s="25">
        <v>515.70000000000005</v>
      </c>
      <c r="AC21" s="25">
        <v>386.6</v>
      </c>
      <c r="AD21" s="337">
        <f>AE21</f>
        <v>561.5</v>
      </c>
      <c r="AE21" s="25">
        <v>561.5</v>
      </c>
      <c r="AF21" s="25">
        <v>419.9</v>
      </c>
      <c r="AG21" s="939">
        <v>419.9</v>
      </c>
      <c r="AH21" s="118">
        <f>AG21</f>
        <v>419.9</v>
      </c>
      <c r="AI21" s="118">
        <f>IF(SUM(AI69,AI76,AI81:AI85)&gt;AH42,AH21+SUM(AI69,AI76,AI81:AI85)-AH42,AH21)</f>
        <v>419.9</v>
      </c>
      <c r="AJ21" s="118">
        <f>IF(SUM(AJ69,AJ76,AJ81:AJ85)&gt;AI42,AI21+SUM(AJ69,AJ76,AJ81:AJ85)-AI42,AI21)</f>
        <v>419.9</v>
      </c>
      <c r="AK21" s="118">
        <f>AJ21</f>
        <v>419.9</v>
      </c>
      <c r="AL21" s="118">
        <f>IF(SUM(AL69,AL76,AL81:AL85)&gt;AK42,AK21+SUM(AL69,AL76,AL81:AL85)-AK42,AK21)</f>
        <v>419.9</v>
      </c>
      <c r="AM21" s="118">
        <f>IF(SUM(AM69,AM76,AM81:AM85)&gt;AL42,AL21+SUM(AM69,AM76,AM81:AM85)-AL42,AL21)</f>
        <v>419.9</v>
      </c>
      <c r="AN21" s="118">
        <f>AM21</f>
        <v>419.9</v>
      </c>
      <c r="AO21" s="118">
        <f>IF(SUM(AO69,AO76,AO81:AO85)&gt;AN42,AN21+SUM(AO69,AO76,AO81:AO85)-AN42,AN21)</f>
        <v>419.9</v>
      </c>
      <c r="AP21" s="118">
        <f>IF(SUM(AP69,AP76,AP81:AP85)&gt;AO42,AO21+SUM(AP69,AP76,AP81:AP85)-AO42,AO21)</f>
        <v>419.9</v>
      </c>
      <c r="AQ21" s="118">
        <f>AP21</f>
        <v>419.9</v>
      </c>
      <c r="AR21" s="118">
        <f>IF(SUM(AR69,AR76,AR81:AR85)&gt;AQ42,AQ21+SUM(AR69,AR76,AR81:AR85)-AQ42,AQ21)</f>
        <v>419.9</v>
      </c>
      <c r="AS21" s="118">
        <f>IF(SUM(AS69,AS76,AS81:AS85)&gt;AR42,AR21+SUM(AS69,AS76,AS81:AS85)-AR42,AR21)</f>
        <v>419.9</v>
      </c>
      <c r="AT21" s="118">
        <f>AS21</f>
        <v>419.9</v>
      </c>
      <c r="AU21" s="118">
        <f>IF(SUM(AU69,AU76,AU81:AU85)&gt;AT42,AT21+SUM(AU69,AU76,AU81:AU85)-AT42,AT21)</f>
        <v>419.9</v>
      </c>
      <c r="AV21" s="118">
        <f>IF(SUM(AV69,AV76,AV81:AV85)&gt;AU42,AU21+SUM(AV69,AV76,AV81:AV85)-AU42,AU21)</f>
        <v>419.9</v>
      </c>
      <c r="AW21" s="118">
        <f>AV21</f>
        <v>419.9</v>
      </c>
      <c r="AX21" s="118">
        <f>IF(SUM(AX69,AX76,AX81:AX85)&gt;AW42,AW21+SUM(AX69,AX76,AX81:AX85)-AW42,AW21)</f>
        <v>419.9</v>
      </c>
      <c r="AY21" s="118">
        <f>IF(SUM(AY69,AY76,AY81:AY85)&gt;AX42,AX21+SUM(AY69,AY76,AY81:AY85)-AX42,AX21)</f>
        <v>419.9</v>
      </c>
      <c r="AZ21" s="118">
        <f>AY21</f>
        <v>419.9</v>
      </c>
      <c r="BA21" s="118">
        <f>IF(SUM(BA69,BA76,BA81:BA85)&gt;AZ42,AZ21+SUM(BA69,BA76,BA81:BA85)-AZ42,AZ21)</f>
        <v>419.9</v>
      </c>
      <c r="BB21" s="118">
        <f>IF(SUM(BB69,BB76,BB81:BB85)&gt;BA42,BA21+SUM(BB69,BB76,BB81:BB85)-BA42,BA21)</f>
        <v>558.81820226983177</v>
      </c>
      <c r="BC21" s="118">
        <f>BB21</f>
        <v>558.81820226983177</v>
      </c>
      <c r="BD21" s="118">
        <f>IF(SUM(BD69,BD76,BD81:BD85)&gt;BC42,BC21+SUM(BD69,BD76,BD81:BD85)-BC42,BC21)</f>
        <v>558.81820226983177</v>
      </c>
      <c r="BE21" s="118">
        <f>IF(SUM(BE69,BE76,BE81:BE85)&gt;BD42,BD21+SUM(BE69,BE76,BE81:BE85)-BD42,BD21)</f>
        <v>908.58607679918339</v>
      </c>
      <c r="BF21" s="118">
        <f>BE21</f>
        <v>908.58607679918339</v>
      </c>
      <c r="BG21" s="118">
        <f>IF(SUM(BG69,BG76,BG81:BG85)&gt;BF42,BF21+SUM(BG69,BG76,BG81:BG85)-BF42,BF21)</f>
        <v>908.58607679918339</v>
      </c>
      <c r="BH21" s="118">
        <f>IF(SUM(BH69,BH76,BH81:BH85)&gt;BG42,BG21+SUM(BH69,BH76,BH81:BH85)-BG42,BG21)</f>
        <v>1266.2483175760829</v>
      </c>
      <c r="BI21" s="118">
        <f>BH21</f>
        <v>1266.2483175760829</v>
      </c>
      <c r="BJ21" s="118">
        <f>IF(SUM(BJ69,BJ76,BJ81:BJ85)&gt;BI42,BI21+SUM(BJ69,BJ76,BJ81:BJ85)-BI42,BI21)</f>
        <v>1266.2483175760829</v>
      </c>
      <c r="BK21" s="118">
        <f>IF(SUM(BK69,BK76,BK81:BK85)&gt;BJ42,BJ21+SUM(BK69,BK76,BK81:BK85)-BJ42,BJ21)</f>
        <v>1632.8381381887762</v>
      </c>
      <c r="BL21" s="118">
        <f>BK21</f>
        <v>1632.8381381887762</v>
      </c>
      <c r="BM21" s="118">
        <f>IF(SUM(BM69,BM76,BM81:BM85)&gt;BL42,BL21+SUM(BM69,BM76,BM81:BM85)-BL42,BL21)</f>
        <v>1632.8381381887762</v>
      </c>
      <c r="BN21" s="118">
        <f>IF(SUM(BN69,BN76,BN81:BN85)&gt;BM42,BM21+SUM(BN69,BN76,BN81:BN85)-BM42,BM21)</f>
        <v>2002.2621249772926</v>
      </c>
      <c r="BO21" s="118">
        <f>BN21</f>
        <v>2002.2621249772926</v>
      </c>
      <c r="BP21" s="118">
        <f>IF(SUM(BP69,BP76,BP81:BP85)&gt;BO42,BO21+SUM(BP69,BP76,BP81:BP85)-BO42,BO21)</f>
        <v>2002.2621249772926</v>
      </c>
      <c r="BQ21" s="118">
        <f>IF(SUM(BQ69,BQ76,BQ81:BQ85)&gt;BP42,BP21+SUM(BQ69,BQ76,BQ81:BQ85)-BP42,BP21)</f>
        <v>2382.4017766377588</v>
      </c>
      <c r="BR21" s="118">
        <f>BQ21</f>
        <v>2382.4017766377588</v>
      </c>
    </row>
    <row r="22" spans="1:70" outlineLevel="1">
      <c r="B22" s="30"/>
      <c r="C22" s="84" t="s">
        <v>114</v>
      </c>
      <c r="D22" s="58" t="s">
        <v>58</v>
      </c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S22" s="25">
        <v>1781</v>
      </c>
      <c r="T22" s="18"/>
      <c r="U22" s="18">
        <f>V22</f>
        <v>1396.5</v>
      </c>
      <c r="V22" s="337">
        <v>1396.5</v>
      </c>
      <c r="W22" s="337">
        <v>1385.8</v>
      </c>
      <c r="X22" s="18">
        <f>Y22</f>
        <v>1468.5</v>
      </c>
      <c r="Y22" s="25">
        <v>1468.5</v>
      </c>
      <c r="Z22" s="337">
        <v>1422.2</v>
      </c>
      <c r="AA22" s="18">
        <f>AB22</f>
        <v>1411.6</v>
      </c>
      <c r="AB22" s="25">
        <v>1411.6</v>
      </c>
      <c r="AC22" s="25">
        <v>1385.1</v>
      </c>
      <c r="AD22" s="337">
        <f>AE22</f>
        <v>1405.2</v>
      </c>
      <c r="AE22" s="25">
        <v>1405.2</v>
      </c>
      <c r="AF22" s="25">
        <v>1375</v>
      </c>
      <c r="AG22" s="933">
        <f>AG8*AG118*2</f>
        <v>1484.7128705627802</v>
      </c>
      <c r="AH22" s="18">
        <f>AG22</f>
        <v>1484.7128705627802</v>
      </c>
      <c r="AI22" s="18">
        <f>AI8*AI118*2</f>
        <v>1371.2882852279458</v>
      </c>
      <c r="AJ22" s="18">
        <f>AJ8*AJ118*2</f>
        <v>1522.3735896900419</v>
      </c>
      <c r="AK22" s="18">
        <f>AJ22</f>
        <v>1522.3735896900419</v>
      </c>
      <c r="AL22" s="18">
        <f>AL8*AL118*2</f>
        <v>1464.8018058790792</v>
      </c>
      <c r="AM22" s="18">
        <f>AM8*AM118*2</f>
        <v>1588.2713412343112</v>
      </c>
      <c r="AN22" s="18">
        <f>AM22</f>
        <v>1588.2713412343112</v>
      </c>
      <c r="AO22" s="18">
        <f>AO8*AO118*2</f>
        <v>1494.4978553927319</v>
      </c>
      <c r="AP22" s="18">
        <f>AP8*AP118*2</f>
        <v>1614.5297999839411</v>
      </c>
      <c r="AQ22" s="18">
        <f>AP22</f>
        <v>1614.5297999839411</v>
      </c>
      <c r="AR22" s="18">
        <f>AR8*AR118*2</f>
        <v>1520.281374995745</v>
      </c>
      <c r="AS22" s="18">
        <f>AS8*AS118*2</f>
        <v>1643.1497652756625</v>
      </c>
      <c r="AT22" s="18">
        <f>AS22</f>
        <v>1643.1497652756625</v>
      </c>
      <c r="AU22" s="18">
        <f>AU8*AU118*2</f>
        <v>1546.8917725080144</v>
      </c>
      <c r="AV22" s="18">
        <f>AV8*AV118*2</f>
        <v>1672.669009294505</v>
      </c>
      <c r="AW22" s="18">
        <f>AV22</f>
        <v>1672.669009294505</v>
      </c>
      <c r="AX22" s="18">
        <f>AX8*AX118*2</f>
        <v>1574.3563061293182</v>
      </c>
      <c r="AY22" s="18">
        <f>AY8*AY118*2</f>
        <v>1703.1172732404889</v>
      </c>
      <c r="AZ22" s="18">
        <f>AY22</f>
        <v>1703.1172732404889</v>
      </c>
      <c r="BA22" s="18">
        <f>BA8*BA118*2</f>
        <v>1602.7033162294083</v>
      </c>
      <c r="BB22" s="18">
        <f>BB8*BB118*2</f>
        <v>1734.5254652990864</v>
      </c>
      <c r="BC22" s="18">
        <f>BB22</f>
        <v>1734.5254652990864</v>
      </c>
      <c r="BD22" s="18">
        <f>BD8*BD118*2</f>
        <v>1631.9622699284596</v>
      </c>
      <c r="BE22" s="18">
        <f>BE8*BE118*2</f>
        <v>1766.9257084918916</v>
      </c>
      <c r="BF22" s="18">
        <f>BE22</f>
        <v>1766.9257084918916</v>
      </c>
      <c r="BG22" s="18">
        <f>BG8*BG118*2</f>
        <v>1662.1638076476931</v>
      </c>
      <c r="BH22" s="18">
        <f>BH8*BH118*2</f>
        <v>1800.3513906282672</v>
      </c>
      <c r="BI22" s="18">
        <f>BH22</f>
        <v>1800.3513906282672</v>
      </c>
      <c r="BJ22" s="18">
        <f>BJ8*BJ118*2</f>
        <v>1693.3397917202756</v>
      </c>
      <c r="BK22" s="18">
        <f>BK8*BK118*2</f>
        <v>1834.8372164536645</v>
      </c>
      <c r="BL22" s="18">
        <f>BK22</f>
        <v>1834.8372164536645</v>
      </c>
      <c r="BM22" s="18">
        <f>BM8*BM118*2</f>
        <v>1725.5233571568701</v>
      </c>
      <c r="BN22" s="18">
        <f>BN8*BN118*2</f>
        <v>1876.7644717606577</v>
      </c>
      <c r="BO22" s="18">
        <f>BN22</f>
        <v>1876.7644717606577</v>
      </c>
      <c r="BP22" s="18">
        <f>BP8*BP118*2</f>
        <v>1758.7489646646693</v>
      </c>
      <c r="BQ22" s="18">
        <f>BQ8*BQ118*2</f>
        <v>1918.6372873832913</v>
      </c>
      <c r="BR22" s="18">
        <f>BQ22</f>
        <v>1918.6372873832913</v>
      </c>
    </row>
    <row r="23" spans="1:70" outlineLevel="1">
      <c r="B23" s="30"/>
      <c r="C23" s="84" t="s">
        <v>115</v>
      </c>
      <c r="D23" s="58" t="s">
        <v>58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S23" s="25">
        <v>1682.2</v>
      </c>
      <c r="T23" s="18"/>
      <c r="U23" s="18">
        <f>V23</f>
        <v>1329</v>
      </c>
      <c r="V23" s="337">
        <v>1329</v>
      </c>
      <c r="W23" s="337">
        <v>1241.4000000000001</v>
      </c>
      <c r="X23" s="18">
        <f>Y23</f>
        <v>1213.9000000000001</v>
      </c>
      <c r="Y23" s="25">
        <v>1213.9000000000001</v>
      </c>
      <c r="Z23" s="337">
        <v>1199.5999999999999</v>
      </c>
      <c r="AA23" s="18">
        <f>AB23</f>
        <v>1244.4000000000001</v>
      </c>
      <c r="AB23" s="25">
        <v>1244.4000000000001</v>
      </c>
      <c r="AC23" s="25">
        <v>1258.5999999999999</v>
      </c>
      <c r="AD23" s="337">
        <f>AE23</f>
        <v>1305.5</v>
      </c>
      <c r="AE23" s="25">
        <v>1305.5</v>
      </c>
      <c r="AF23" s="25">
        <v>1380.6</v>
      </c>
      <c r="AG23" s="933">
        <f>AG8*AG119*2</f>
        <v>1379.3713724165314</v>
      </c>
      <c r="AH23" s="18">
        <f>AG23</f>
        <v>1379.3713724165314</v>
      </c>
      <c r="AI23" s="18">
        <f>AI8*AI119*2</f>
        <v>1376.8731684259649</v>
      </c>
      <c r="AJ23" s="18">
        <f>AJ8*AJ119*2</f>
        <v>1414.3600351126886</v>
      </c>
      <c r="AK23" s="18">
        <f>AJ23</f>
        <v>1414.3600351126886</v>
      </c>
      <c r="AL23" s="18">
        <f>AL8*AL119*2</f>
        <v>1470.7675441430229</v>
      </c>
      <c r="AM23" s="18">
        <f>AM8*AM119*2</f>
        <v>1475.5822914755149</v>
      </c>
      <c r="AN23" s="18">
        <f>AM23</f>
        <v>1475.5822914755149</v>
      </c>
      <c r="AO23" s="18">
        <f>AO8*AO119*2</f>
        <v>1500.5845375674221</v>
      </c>
      <c r="AP23" s="18">
        <f>AP8*AP119*2</f>
        <v>1499.9776927690259</v>
      </c>
      <c r="AQ23" s="18">
        <f>AP23</f>
        <v>1499.9776927690259</v>
      </c>
      <c r="AR23" s="18">
        <f>AR8*AR119*2</f>
        <v>1526.4730664139092</v>
      </c>
      <c r="AS23" s="18">
        <f>AS8*AS119*2</f>
        <v>1526.5670499340861</v>
      </c>
      <c r="AT23" s="18">
        <f>AS23</f>
        <v>1526.5670499340861</v>
      </c>
      <c r="AU23" s="18">
        <f>AU8*AU119*2</f>
        <v>1553.1918408178649</v>
      </c>
      <c r="AV23" s="18">
        <f>AV8*AV119*2</f>
        <v>1553.991881322215</v>
      </c>
      <c r="AW23" s="18">
        <f>AV23</f>
        <v>1553.991881322215</v>
      </c>
      <c r="AX23" s="18">
        <f>AX8*AX119*2</f>
        <v>1580.7682299942812</v>
      </c>
      <c r="AY23" s="18">
        <f>AY8*AY119*2</f>
        <v>1582.279817972857</v>
      </c>
      <c r="AZ23" s="18">
        <f>AY23</f>
        <v>1582.279817972857</v>
      </c>
      <c r="BA23" s="18">
        <f>BA8*BA119*2</f>
        <v>1609.2306897355061</v>
      </c>
      <c r="BB23" s="18">
        <f>BB8*BB119*2</f>
        <v>1611.4595751124093</v>
      </c>
      <c r="BC23" s="18">
        <f>BB23</f>
        <v>1611.4595751124093</v>
      </c>
      <c r="BD23" s="18">
        <f>BD8*BD119*2</f>
        <v>1638.608807173259</v>
      </c>
      <c r="BE23" s="18">
        <f>BE8*BE119*2</f>
        <v>1641.5609966098525</v>
      </c>
      <c r="BF23" s="18">
        <f>BE23</f>
        <v>1641.5609966098525</v>
      </c>
      <c r="BG23" s="18">
        <f>BG8*BG119*2</f>
        <v>1668.9333475188398</v>
      </c>
      <c r="BH23" s="18">
        <f>BH8*BH119*2</f>
        <v>1672.6151013842891</v>
      </c>
      <c r="BI23" s="18">
        <f>BH23</f>
        <v>1672.6151013842891</v>
      </c>
      <c r="BJ23" s="18">
        <f>BJ8*BJ119*2</f>
        <v>1700.2363028720088</v>
      </c>
      <c r="BK23" s="18">
        <f>BK8*BK119*2</f>
        <v>1704.6541318533014</v>
      </c>
      <c r="BL23" s="18">
        <f>BK23</f>
        <v>1704.6541318533014</v>
      </c>
      <c r="BM23" s="18">
        <f>BM8*BM119*2</f>
        <v>1732.5509431932908</v>
      </c>
      <c r="BN23" s="18">
        <f>BN8*BN119*2</f>
        <v>1737.7116045152395</v>
      </c>
      <c r="BO23" s="18">
        <f>BN23</f>
        <v>1737.7116045152395</v>
      </c>
      <c r="BP23" s="18">
        <f>BP8*BP119*2</f>
        <v>1765.9118695389398</v>
      </c>
      <c r="BQ23" s="18">
        <f>BQ8*BQ119*2</f>
        <v>1771.8223627629316</v>
      </c>
      <c r="BR23" s="18">
        <f>BQ23</f>
        <v>1771.8223627629316</v>
      </c>
    </row>
    <row r="24" spans="1:70" outlineLevel="1">
      <c r="B24" s="30"/>
      <c r="C24" s="84" t="s">
        <v>118</v>
      </c>
      <c r="D24" s="58" t="s">
        <v>58</v>
      </c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S24" s="25">
        <v>34.1</v>
      </c>
      <c r="T24" s="18"/>
      <c r="U24" s="18">
        <f>V24</f>
        <v>8.4</v>
      </c>
      <c r="V24" s="337">
        <v>8.4</v>
      </c>
      <c r="W24" s="337">
        <v>9</v>
      </c>
      <c r="X24" s="18">
        <f>Y24</f>
        <v>12.2</v>
      </c>
      <c r="Y24" s="25">
        <v>12.2</v>
      </c>
      <c r="Z24" s="337">
        <v>7</v>
      </c>
      <c r="AA24" s="18">
        <f>AB24</f>
        <v>12.4</v>
      </c>
      <c r="AB24" s="25">
        <v>12.4</v>
      </c>
      <c r="AC24" s="25">
        <v>4.0999999999999996</v>
      </c>
      <c r="AD24" s="337">
        <f>AE24</f>
        <v>8.6999999999999993</v>
      </c>
      <c r="AE24" s="25">
        <v>8.6999999999999993</v>
      </c>
      <c r="AF24" s="25">
        <v>13.7</v>
      </c>
      <c r="AG24" s="940">
        <f>+AF24</f>
        <v>13.7</v>
      </c>
      <c r="AH24" s="118">
        <f>+AG24</f>
        <v>13.7</v>
      </c>
      <c r="AI24" s="118">
        <f>+AH24</f>
        <v>13.7</v>
      </c>
      <c r="AJ24" s="118">
        <f>+AG24</f>
        <v>13.7</v>
      </c>
      <c r="AK24" s="118">
        <f>+AJ24</f>
        <v>13.7</v>
      </c>
      <c r="AL24" s="118">
        <f>+AK24</f>
        <v>13.7</v>
      </c>
      <c r="AM24" s="118">
        <f>+AJ24</f>
        <v>13.7</v>
      </c>
      <c r="AN24" s="118">
        <f>+AK24</f>
        <v>13.7</v>
      </c>
      <c r="AO24" s="118">
        <f>+AN24</f>
        <v>13.7</v>
      </c>
      <c r="AP24" s="118">
        <f>+AM24</f>
        <v>13.7</v>
      </c>
      <c r="AQ24" s="118">
        <f>+AN24</f>
        <v>13.7</v>
      </c>
      <c r="AR24" s="118">
        <f>+AQ24</f>
        <v>13.7</v>
      </c>
      <c r="AS24" s="118">
        <f>+AP24</f>
        <v>13.7</v>
      </c>
      <c r="AT24" s="118">
        <f>+AQ24</f>
        <v>13.7</v>
      </c>
      <c r="AU24" s="118">
        <f>+AT24</f>
        <v>13.7</v>
      </c>
      <c r="AV24" s="118">
        <f>+AS24</f>
        <v>13.7</v>
      </c>
      <c r="AW24" s="118">
        <f>+AT24</f>
        <v>13.7</v>
      </c>
      <c r="AX24" s="118">
        <f>+AW24</f>
        <v>13.7</v>
      </c>
      <c r="AY24" s="118">
        <f>+AV24</f>
        <v>13.7</v>
      </c>
      <c r="AZ24" s="118">
        <f>+AW24</f>
        <v>13.7</v>
      </c>
      <c r="BA24" s="118">
        <f>+AZ24</f>
        <v>13.7</v>
      </c>
      <c r="BB24" s="118">
        <f>+AY24</f>
        <v>13.7</v>
      </c>
      <c r="BC24" s="118">
        <f>+AZ24</f>
        <v>13.7</v>
      </c>
      <c r="BD24" s="118">
        <f>+BC24</f>
        <v>13.7</v>
      </c>
      <c r="BE24" s="118">
        <f>+BB24</f>
        <v>13.7</v>
      </c>
      <c r="BF24" s="118">
        <f>+BC24</f>
        <v>13.7</v>
      </c>
      <c r="BG24" s="118">
        <f>+BF24</f>
        <v>13.7</v>
      </c>
      <c r="BH24" s="118">
        <f>+BE24</f>
        <v>13.7</v>
      </c>
      <c r="BI24" s="118">
        <f>+BF24</f>
        <v>13.7</v>
      </c>
      <c r="BJ24" s="118">
        <f>+BI24</f>
        <v>13.7</v>
      </c>
      <c r="BK24" s="118">
        <f>+BH24</f>
        <v>13.7</v>
      </c>
      <c r="BL24" s="118">
        <f>+BI24</f>
        <v>13.7</v>
      </c>
      <c r="BM24" s="118">
        <f>+BL24</f>
        <v>13.7</v>
      </c>
      <c r="BN24" s="118">
        <f>+BK24</f>
        <v>13.7</v>
      </c>
      <c r="BO24" s="118">
        <f>+BL24</f>
        <v>13.7</v>
      </c>
      <c r="BP24" s="118">
        <f>+BO24</f>
        <v>13.7</v>
      </c>
      <c r="BQ24" s="118">
        <f>+BN24</f>
        <v>13.7</v>
      </c>
      <c r="BR24" s="118">
        <f>+BO24</f>
        <v>13.7</v>
      </c>
    </row>
    <row r="25" spans="1:70" outlineLevel="1">
      <c r="B25" s="30"/>
      <c r="C25" s="84" t="s">
        <v>151</v>
      </c>
      <c r="D25" s="58" t="s">
        <v>58</v>
      </c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S25" s="25">
        <v>27.8</v>
      </c>
      <c r="T25" s="18"/>
      <c r="U25" s="18">
        <f>V25</f>
        <v>82.9</v>
      </c>
      <c r="V25" s="337">
        <v>82.9</v>
      </c>
      <c r="W25" s="337">
        <v>76.400000000000006</v>
      </c>
      <c r="X25" s="18">
        <f>Y25</f>
        <v>13.5</v>
      </c>
      <c r="Y25" s="25">
        <v>13.5</v>
      </c>
      <c r="Z25" s="337">
        <v>8.8000000000000007</v>
      </c>
      <c r="AA25" s="18">
        <f>AB25</f>
        <v>9</v>
      </c>
      <c r="AB25" s="25">
        <v>9</v>
      </c>
      <c r="AC25" s="25">
        <v>8.9</v>
      </c>
      <c r="AD25" s="337">
        <f>AE25</f>
        <v>5.6</v>
      </c>
      <c r="AE25" s="25">
        <v>5.6</v>
      </c>
      <c r="AF25" s="25">
        <v>12.6</v>
      </c>
      <c r="AG25" s="940">
        <f>AF25</f>
        <v>12.6</v>
      </c>
      <c r="AH25" s="118">
        <f>+AG25</f>
        <v>12.6</v>
      </c>
      <c r="AI25" s="118">
        <f>+AH25</f>
        <v>12.6</v>
      </c>
      <c r="AJ25" s="118">
        <f>AI25</f>
        <v>12.6</v>
      </c>
      <c r="AK25" s="118">
        <f>+AJ25</f>
        <v>12.6</v>
      </c>
      <c r="AL25" s="118">
        <f>+AK25</f>
        <v>12.6</v>
      </c>
      <c r="AM25" s="118">
        <f>AL25</f>
        <v>12.6</v>
      </c>
      <c r="AN25" s="118">
        <f>AM25</f>
        <v>12.6</v>
      </c>
      <c r="AO25" s="118">
        <f>+AN25</f>
        <v>12.6</v>
      </c>
      <c r="AP25" s="118">
        <f>AO25</f>
        <v>12.6</v>
      </c>
      <c r="AQ25" s="118">
        <f>AP25</f>
        <v>12.6</v>
      </c>
      <c r="AR25" s="118">
        <f>+AQ25</f>
        <v>12.6</v>
      </c>
      <c r="AS25" s="118">
        <f>AR25</f>
        <v>12.6</v>
      </c>
      <c r="AT25" s="118">
        <f>AS25</f>
        <v>12.6</v>
      </c>
      <c r="AU25" s="118">
        <f>+AT25</f>
        <v>12.6</v>
      </c>
      <c r="AV25" s="118">
        <f>AU25</f>
        <v>12.6</v>
      </c>
      <c r="AW25" s="118">
        <f>AV25</f>
        <v>12.6</v>
      </c>
      <c r="AX25" s="118">
        <f>+AW25</f>
        <v>12.6</v>
      </c>
      <c r="AY25" s="118">
        <f>AX25</f>
        <v>12.6</v>
      </c>
      <c r="AZ25" s="118">
        <f>AY25</f>
        <v>12.6</v>
      </c>
      <c r="BA25" s="118">
        <f>+AZ25</f>
        <v>12.6</v>
      </c>
      <c r="BB25" s="118">
        <f>BA25</f>
        <v>12.6</v>
      </c>
      <c r="BC25" s="118">
        <f>BB25</f>
        <v>12.6</v>
      </c>
      <c r="BD25" s="118">
        <f>+BC25</f>
        <v>12.6</v>
      </c>
      <c r="BE25" s="118">
        <f>BD25</f>
        <v>12.6</v>
      </c>
      <c r="BF25" s="118">
        <f>BE25</f>
        <v>12.6</v>
      </c>
      <c r="BG25" s="118">
        <f>+BF25</f>
        <v>12.6</v>
      </c>
      <c r="BH25" s="118">
        <f>BG25</f>
        <v>12.6</v>
      </c>
      <c r="BI25" s="118">
        <f>BH25</f>
        <v>12.6</v>
      </c>
      <c r="BJ25" s="118">
        <f>+BI25</f>
        <v>12.6</v>
      </c>
      <c r="BK25" s="118">
        <f>BJ25</f>
        <v>12.6</v>
      </c>
      <c r="BL25" s="118">
        <f>BK25</f>
        <v>12.6</v>
      </c>
      <c r="BM25" s="118">
        <f>+BL25</f>
        <v>12.6</v>
      </c>
      <c r="BN25" s="118">
        <f>BM25</f>
        <v>12.6</v>
      </c>
      <c r="BO25" s="118">
        <f>BN25</f>
        <v>12.6</v>
      </c>
      <c r="BP25" s="118">
        <f>+BO25</f>
        <v>12.6</v>
      </c>
      <c r="BQ25" s="118">
        <f>BP25</f>
        <v>12.6</v>
      </c>
      <c r="BR25" s="118">
        <f>BQ25</f>
        <v>12.6</v>
      </c>
    </row>
    <row r="26" spans="1:70" s="8" customFormat="1" outlineLevel="1">
      <c r="B26" s="85"/>
      <c r="C26" s="85" t="s">
        <v>116</v>
      </c>
      <c r="D26" s="56" t="s">
        <v>58</v>
      </c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S26" s="64">
        <f>S21+S22+S23+S24+S25</f>
        <v>3891.1</v>
      </c>
      <c r="T26" s="64"/>
      <c r="U26" s="64">
        <f t="shared" ref="U26:AB26" si="44">U21+U22+U23+U24+U25</f>
        <v>3326.5</v>
      </c>
      <c r="V26" s="64">
        <f t="shared" si="44"/>
        <v>3326.5</v>
      </c>
      <c r="W26" s="64">
        <f t="shared" si="44"/>
        <v>3117.1</v>
      </c>
      <c r="X26" s="64">
        <f t="shared" si="44"/>
        <v>3413</v>
      </c>
      <c r="Y26" s="64">
        <f t="shared" si="44"/>
        <v>3413</v>
      </c>
      <c r="Z26" s="64">
        <f t="shared" si="44"/>
        <v>3126.5</v>
      </c>
      <c r="AA26" s="64">
        <f t="shared" si="44"/>
        <v>3193.1</v>
      </c>
      <c r="AB26" s="64">
        <f t="shared" si="44"/>
        <v>3193.1</v>
      </c>
      <c r="AC26" s="64">
        <f t="shared" ref="AC26:AE26" si="45">AC21+AC22+AC23+AC24+AC25</f>
        <v>3043.2999999999997</v>
      </c>
      <c r="AD26" s="64">
        <f t="shared" si="45"/>
        <v>3286.4999999999995</v>
      </c>
      <c r="AE26" s="341">
        <f t="shared" si="45"/>
        <v>3286.4999999999995</v>
      </c>
      <c r="AF26" s="341">
        <f t="shared" ref="AF26:BR26" si="46">AF21+AF22+AF23+AF24+AF25</f>
        <v>3201.7999999999997</v>
      </c>
      <c r="AG26" s="934">
        <f t="shared" si="46"/>
        <v>3310.2842429793113</v>
      </c>
      <c r="AH26" s="64">
        <f t="shared" si="46"/>
        <v>3310.2842429793113</v>
      </c>
      <c r="AI26" s="64">
        <f t="shared" si="46"/>
        <v>3194.3614536539103</v>
      </c>
      <c r="AJ26" s="64">
        <f t="shared" si="46"/>
        <v>3382.9336248027298</v>
      </c>
      <c r="AK26" s="64">
        <f t="shared" si="46"/>
        <v>3382.9336248027298</v>
      </c>
      <c r="AL26" s="64">
        <f t="shared" si="46"/>
        <v>3381.7693500221017</v>
      </c>
      <c r="AM26" s="64">
        <f t="shared" si="46"/>
        <v>3510.0536327098257</v>
      </c>
      <c r="AN26" s="64">
        <f t="shared" si="46"/>
        <v>3510.0536327098257</v>
      </c>
      <c r="AO26" s="64">
        <f t="shared" si="46"/>
        <v>3441.2823929601536</v>
      </c>
      <c r="AP26" s="64">
        <f t="shared" si="46"/>
        <v>3560.7074927529666</v>
      </c>
      <c r="AQ26" s="64">
        <f t="shared" si="46"/>
        <v>3560.7074927529666</v>
      </c>
      <c r="AR26" s="64">
        <f t="shared" si="46"/>
        <v>3492.954441409654</v>
      </c>
      <c r="AS26" s="64">
        <f t="shared" si="46"/>
        <v>3615.9168152097486</v>
      </c>
      <c r="AT26" s="64">
        <f t="shared" si="46"/>
        <v>3615.9168152097486</v>
      </c>
      <c r="AU26" s="64">
        <f t="shared" si="46"/>
        <v>3546.2836133258788</v>
      </c>
      <c r="AV26" s="64">
        <f t="shared" si="46"/>
        <v>3672.8608906167196</v>
      </c>
      <c r="AW26" s="64">
        <f t="shared" si="46"/>
        <v>3672.8608906167196</v>
      </c>
      <c r="AX26" s="64">
        <f t="shared" si="46"/>
        <v>3601.324536123599</v>
      </c>
      <c r="AY26" s="64">
        <f t="shared" si="46"/>
        <v>3731.5970912133457</v>
      </c>
      <c r="AZ26" s="64">
        <f t="shared" si="46"/>
        <v>3731.5970912133457</v>
      </c>
      <c r="BA26" s="64">
        <f t="shared" si="46"/>
        <v>3658.1340059649142</v>
      </c>
      <c r="BB26" s="64">
        <f t="shared" si="46"/>
        <v>3931.1032426813272</v>
      </c>
      <c r="BC26" s="64">
        <f t="shared" si="46"/>
        <v>3931.1032426813272</v>
      </c>
      <c r="BD26" s="64">
        <f t="shared" si="46"/>
        <v>3855.6892793715501</v>
      </c>
      <c r="BE26" s="64">
        <f t="shared" si="46"/>
        <v>4343.3727819009273</v>
      </c>
      <c r="BF26" s="64">
        <f t="shared" si="46"/>
        <v>4343.3727819009273</v>
      </c>
      <c r="BG26" s="64">
        <f t="shared" si="46"/>
        <v>4265.9832319657162</v>
      </c>
      <c r="BH26" s="64">
        <f t="shared" si="46"/>
        <v>4765.5148095886389</v>
      </c>
      <c r="BI26" s="64">
        <f t="shared" si="46"/>
        <v>4765.5148095886389</v>
      </c>
      <c r="BJ26" s="64">
        <f t="shared" si="46"/>
        <v>4686.1244121683676</v>
      </c>
      <c r="BK26" s="64">
        <f t="shared" si="46"/>
        <v>5198.6294864957426</v>
      </c>
      <c r="BL26" s="64">
        <f t="shared" si="46"/>
        <v>5198.6294864957426</v>
      </c>
      <c r="BM26" s="64">
        <f t="shared" si="46"/>
        <v>5117.212438538937</v>
      </c>
      <c r="BN26" s="64">
        <f t="shared" si="46"/>
        <v>5643.03820125319</v>
      </c>
      <c r="BO26" s="64">
        <f t="shared" si="46"/>
        <v>5643.03820125319</v>
      </c>
      <c r="BP26" s="64">
        <f t="shared" si="46"/>
        <v>5553.2229591809019</v>
      </c>
      <c r="BQ26" s="64">
        <f t="shared" si="46"/>
        <v>6099.1614267839814</v>
      </c>
      <c r="BR26" s="64">
        <f t="shared" si="46"/>
        <v>6099.1614267839814</v>
      </c>
    </row>
    <row r="27" spans="1:70" outlineLevel="1">
      <c r="B27" s="30"/>
      <c r="C27" s="84" t="s">
        <v>117</v>
      </c>
      <c r="D27" s="58" t="s">
        <v>58</v>
      </c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S27" s="25">
        <v>463</v>
      </c>
      <c r="T27" s="18"/>
      <c r="U27" s="18">
        <f t="shared" ref="U27:U33" si="47">V27</f>
        <v>486.8</v>
      </c>
      <c r="V27" s="337">
        <v>486.8</v>
      </c>
      <c r="W27" s="337">
        <v>456.5</v>
      </c>
      <c r="X27" s="18">
        <f t="shared" ref="X27:X33" si="48">Y27</f>
        <v>458.2</v>
      </c>
      <c r="Y27" s="25">
        <v>458.2</v>
      </c>
      <c r="Z27" s="337">
        <v>448.7</v>
      </c>
      <c r="AA27" s="18">
        <f t="shared" ref="AA27:AA33" si="49">AB27</f>
        <v>446.5</v>
      </c>
      <c r="AB27" s="25">
        <v>446.5</v>
      </c>
      <c r="AC27" s="25">
        <v>424.9</v>
      </c>
      <c r="AD27" s="337">
        <f>AE27</f>
        <v>411.9</v>
      </c>
      <c r="AE27" s="25">
        <v>411.9</v>
      </c>
      <c r="AF27" s="25">
        <v>427.2</v>
      </c>
      <c r="AG27" s="940">
        <f>AF27-AG63-AG64</f>
        <v>434.17500000000001</v>
      </c>
      <c r="AH27" s="118">
        <f>AG27</f>
        <v>434.17500000000001</v>
      </c>
      <c r="AI27" s="118">
        <f>AH27-AI63-AI64</f>
        <v>435.69825000000003</v>
      </c>
      <c r="AJ27" s="118">
        <f>AI27-AJ63-AJ64</f>
        <v>442.7813625</v>
      </c>
      <c r="AK27" s="118">
        <f>AJ27</f>
        <v>442.7813625</v>
      </c>
      <c r="AL27" s="118">
        <f>AK27-AL63-AL64</f>
        <v>444.32822287499999</v>
      </c>
      <c r="AM27" s="118">
        <f>AL27-AM63-AM64</f>
        <v>451.52112361875004</v>
      </c>
      <c r="AN27" s="118">
        <f>AM27</f>
        <v>451.52112361875004</v>
      </c>
      <c r="AO27" s="118">
        <f>AN27-AO63-AO64</f>
        <v>453.04555451831254</v>
      </c>
      <c r="AP27" s="118">
        <f>AO27-AP63-AP64</f>
        <v>460.13415820127818</v>
      </c>
      <c r="AQ27" s="118">
        <f>AP27</f>
        <v>460.13415820127818</v>
      </c>
      <c r="AR27" s="118">
        <f>AQ27-AR63-AR64</f>
        <v>461.6593513162905</v>
      </c>
      <c r="AS27" s="118">
        <f>AR27-AS63-AS64</f>
        <v>468.75149930109757</v>
      </c>
      <c r="AT27" s="118">
        <f>AS27</f>
        <v>468.75149930109757</v>
      </c>
      <c r="AU27" s="118">
        <f>AT27-AU63-AU64</f>
        <v>470.27745501266736</v>
      </c>
      <c r="AV27" s="118">
        <f>AU27-AV63-AV64</f>
        <v>477.37314907146686</v>
      </c>
      <c r="AW27" s="118">
        <f>AV27</f>
        <v>477.37314907146686</v>
      </c>
      <c r="AX27" s="118">
        <f>AW27-AX63-AX64</f>
        <v>478.89986776089245</v>
      </c>
      <c r="AY27" s="118">
        <f>AX27-AY63-AY64</f>
        <v>485.99910966672132</v>
      </c>
      <c r="AZ27" s="118">
        <f>AY27</f>
        <v>485.99910966672132</v>
      </c>
      <c r="BA27" s="118">
        <f>AZ27-BA63-BA64</f>
        <v>487.52659171549158</v>
      </c>
      <c r="BB27" s="118">
        <f>BA27-BB63-BB64</f>
        <v>494.62938324227343</v>
      </c>
      <c r="BC27" s="118">
        <f>BB27</f>
        <v>494.62938324227343</v>
      </c>
      <c r="BD27" s="118">
        <f>BC27-BD63-BD64</f>
        <v>496.15762903206809</v>
      </c>
      <c r="BE27" s="118">
        <f>BD27-BE63-BE64</f>
        <v>503.26397195461334</v>
      </c>
      <c r="BF27" s="118">
        <f>BE27</f>
        <v>503.26397195461334</v>
      </c>
      <c r="BG27" s="118">
        <f>BF27-BG63-BG64</f>
        <v>504.79298186730296</v>
      </c>
      <c r="BH27" s="118">
        <f>BG27-BH63-BH64</f>
        <v>511.90287796130946</v>
      </c>
      <c r="BI27" s="118">
        <f>BH27</f>
        <v>511.90287796130946</v>
      </c>
      <c r="BJ27" s="118">
        <f>BI27-BJ63-BJ64</f>
        <v>513.43265237895537</v>
      </c>
      <c r="BK27" s="118">
        <f>BJ27-BK63-BK64</f>
        <v>520.54610342100887</v>
      </c>
      <c r="BL27" s="118">
        <f>BK27</f>
        <v>520.54610342100887</v>
      </c>
      <c r="BM27" s="118">
        <f>BL27-BM63-BM64</f>
        <v>522.07664272586362</v>
      </c>
      <c r="BN27" s="118">
        <f>BM27-BN63-BN64</f>
        <v>529.1936504934381</v>
      </c>
      <c r="BO27" s="118">
        <f>BN27</f>
        <v>529.1936504934381</v>
      </c>
      <c r="BP27" s="118">
        <f>BO27-BP63-BP64</f>
        <v>530.7249550679453</v>
      </c>
      <c r="BQ27" s="118">
        <f>BP27-BQ63-BQ64</f>
        <v>537.8455213394036</v>
      </c>
      <c r="BR27" s="118">
        <f>BQ27</f>
        <v>537.8455213394036</v>
      </c>
    </row>
    <row r="28" spans="1:70" outlineLevel="1">
      <c r="B28" s="30"/>
      <c r="C28" s="84" t="s">
        <v>118</v>
      </c>
      <c r="D28" s="58" t="s">
        <v>58</v>
      </c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S28" s="25">
        <v>0.4</v>
      </c>
      <c r="T28" s="18"/>
      <c r="U28" s="18">
        <f t="shared" si="47"/>
        <v>153.9</v>
      </c>
      <c r="V28" s="337">
        <v>153.9</v>
      </c>
      <c r="W28" s="337">
        <v>108.3</v>
      </c>
      <c r="X28" s="18">
        <f t="shared" si="48"/>
        <v>25.7</v>
      </c>
      <c r="Y28" s="25">
        <v>25.7</v>
      </c>
      <c r="Z28" s="337">
        <v>25.9</v>
      </c>
      <c r="AA28" s="18">
        <f t="shared" si="49"/>
        <v>44.3</v>
      </c>
      <c r="AB28" s="25">
        <v>44.3</v>
      </c>
      <c r="AC28" s="25">
        <v>28.8</v>
      </c>
      <c r="AD28" s="337">
        <f t="shared" ref="AD28:AD33" si="50">AE28</f>
        <v>26.8</v>
      </c>
      <c r="AE28" s="25">
        <v>26.8</v>
      </c>
      <c r="AF28" s="25">
        <v>24.2</v>
      </c>
      <c r="AG28" s="940">
        <f>+AF28</f>
        <v>24.2</v>
      </c>
      <c r="AH28" s="118">
        <f>+AG28</f>
        <v>24.2</v>
      </c>
      <c r="AI28" s="118">
        <f>+AH28</f>
        <v>24.2</v>
      </c>
      <c r="AJ28" s="118">
        <f>+AG28</f>
        <v>24.2</v>
      </c>
      <c r="AK28" s="118">
        <f>+AJ28</f>
        <v>24.2</v>
      </c>
      <c r="AL28" s="118">
        <f>+AK28</f>
        <v>24.2</v>
      </c>
      <c r="AM28" s="118">
        <f>+AJ28</f>
        <v>24.2</v>
      </c>
      <c r="AN28" s="118">
        <f>+AK28</f>
        <v>24.2</v>
      </c>
      <c r="AO28" s="118">
        <f>+AN28</f>
        <v>24.2</v>
      </c>
      <c r="AP28" s="118">
        <f>+AM28</f>
        <v>24.2</v>
      </c>
      <c r="AQ28" s="118">
        <f>+AN28</f>
        <v>24.2</v>
      </c>
      <c r="AR28" s="118">
        <f>+AQ28</f>
        <v>24.2</v>
      </c>
      <c r="AS28" s="118">
        <f>+AP28</f>
        <v>24.2</v>
      </c>
      <c r="AT28" s="118">
        <f>+AQ28</f>
        <v>24.2</v>
      </c>
      <c r="AU28" s="118">
        <f>+AT28</f>
        <v>24.2</v>
      </c>
      <c r="AV28" s="118">
        <f>+AS28</f>
        <v>24.2</v>
      </c>
      <c r="AW28" s="118">
        <f>+AT28</f>
        <v>24.2</v>
      </c>
      <c r="AX28" s="118">
        <f>+AW28</f>
        <v>24.2</v>
      </c>
      <c r="AY28" s="118">
        <f>+AV28</f>
        <v>24.2</v>
      </c>
      <c r="AZ28" s="118">
        <f>+AW28</f>
        <v>24.2</v>
      </c>
      <c r="BA28" s="118">
        <f>+AZ28</f>
        <v>24.2</v>
      </c>
      <c r="BB28" s="118">
        <f>+AY28</f>
        <v>24.2</v>
      </c>
      <c r="BC28" s="118">
        <f>+AZ28</f>
        <v>24.2</v>
      </c>
      <c r="BD28" s="118">
        <f>+BC28</f>
        <v>24.2</v>
      </c>
      <c r="BE28" s="118">
        <f>+BB28</f>
        <v>24.2</v>
      </c>
      <c r="BF28" s="118">
        <f>+BC28</f>
        <v>24.2</v>
      </c>
      <c r="BG28" s="118">
        <f>+BF28</f>
        <v>24.2</v>
      </c>
      <c r="BH28" s="118">
        <f>+BE28</f>
        <v>24.2</v>
      </c>
      <c r="BI28" s="118">
        <f>+BF28</f>
        <v>24.2</v>
      </c>
      <c r="BJ28" s="118">
        <f>+BI28</f>
        <v>24.2</v>
      </c>
      <c r="BK28" s="118">
        <f>+BH28</f>
        <v>24.2</v>
      </c>
      <c r="BL28" s="118">
        <f>+BI28</f>
        <v>24.2</v>
      </c>
      <c r="BM28" s="118">
        <f>+BL28</f>
        <v>24.2</v>
      </c>
      <c r="BN28" s="118">
        <f>+BK28</f>
        <v>24.2</v>
      </c>
      <c r="BO28" s="118">
        <f>+BL28</f>
        <v>24.2</v>
      </c>
      <c r="BP28" s="118">
        <f>+BO28</f>
        <v>24.2</v>
      </c>
      <c r="BQ28" s="118">
        <f>+BN28</f>
        <v>24.2</v>
      </c>
      <c r="BR28" s="118">
        <f>+BO28</f>
        <v>24.2</v>
      </c>
    </row>
    <row r="29" spans="1:70" outlineLevel="1">
      <c r="B29" s="30"/>
      <c r="C29" s="84" t="s">
        <v>119</v>
      </c>
      <c r="D29" s="58" t="s">
        <v>58</v>
      </c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S29" s="25">
        <v>4526.5</v>
      </c>
      <c r="T29" s="18"/>
      <c r="U29" s="18">
        <f t="shared" si="47"/>
        <v>2920.1</v>
      </c>
      <c r="V29" s="337">
        <v>2920.1</v>
      </c>
      <c r="W29" s="337">
        <v>2661.3</v>
      </c>
      <c r="X29" s="18">
        <f t="shared" si="48"/>
        <v>2566.6999999999998</v>
      </c>
      <c r="Y29" s="25">
        <v>2566.6999999999998</v>
      </c>
      <c r="Z29" s="337">
        <v>2484.6999999999998</v>
      </c>
      <c r="AA29" s="18">
        <f t="shared" si="49"/>
        <v>2690.9</v>
      </c>
      <c r="AB29" s="25">
        <v>2690.9</v>
      </c>
      <c r="AC29" s="25">
        <v>2684.1</v>
      </c>
      <c r="AD29" s="337">
        <f t="shared" si="50"/>
        <v>2765.3</v>
      </c>
      <c r="AE29" s="25">
        <v>2765.3</v>
      </c>
      <c r="AF29" s="25">
        <v>2780.2</v>
      </c>
      <c r="AG29" s="940">
        <f t="shared" ref="AG29:BR29" si="51">AG139</f>
        <v>2773.3096471052631</v>
      </c>
      <c r="AH29" s="118">
        <f t="shared" si="51"/>
        <v>2773.3096471052631</v>
      </c>
      <c r="AI29" s="118">
        <f t="shared" si="51"/>
        <v>2768.3636771052629</v>
      </c>
      <c r="AJ29" s="118">
        <f t="shared" si="51"/>
        <v>2762.5865286684211</v>
      </c>
      <c r="AK29" s="118">
        <f t="shared" si="51"/>
        <v>2762.5865286684211</v>
      </c>
      <c r="AL29" s="118">
        <f t="shared" si="51"/>
        <v>2757.996078668421</v>
      </c>
      <c r="AM29" s="118">
        <f t="shared" si="51"/>
        <v>2753.2987195039473</v>
      </c>
      <c r="AN29" s="118">
        <f t="shared" si="51"/>
        <v>2753.2987195039473</v>
      </c>
      <c r="AO29" s="118">
        <f t="shared" si="51"/>
        <v>2748.6623650039469</v>
      </c>
      <c r="AP29" s="118">
        <f t="shared" si="51"/>
        <v>2743.9180322478283</v>
      </c>
      <c r="AQ29" s="118">
        <f t="shared" si="51"/>
        <v>2743.9180322478287</v>
      </c>
      <c r="AR29" s="118">
        <f t="shared" si="51"/>
        <v>2739.2353142028287</v>
      </c>
      <c r="AS29" s="118">
        <f t="shared" si="51"/>
        <v>2734.4435381191493</v>
      </c>
      <c r="AT29" s="118">
        <f t="shared" si="51"/>
        <v>2734.4435381191488</v>
      </c>
      <c r="AU29" s="118">
        <f t="shared" si="51"/>
        <v>2729.7139928936986</v>
      </c>
      <c r="AV29" s="118">
        <f t="shared" si="51"/>
        <v>2724.8742990491819</v>
      </c>
      <c r="AW29" s="118">
        <f t="shared" si="51"/>
        <v>2724.8742990491824</v>
      </c>
      <c r="AX29" s="118">
        <f t="shared" si="51"/>
        <v>2720.0974583714778</v>
      </c>
      <c r="AY29" s="118">
        <f t="shared" si="51"/>
        <v>2715.2093675885162</v>
      </c>
      <c r="AZ29" s="118">
        <f t="shared" si="51"/>
        <v>2715.2093675885162</v>
      </c>
      <c r="BA29" s="118">
        <f t="shared" si="51"/>
        <v>2710.3847585040348</v>
      </c>
      <c r="BB29" s="118">
        <f t="shared" si="51"/>
        <v>2705.4477868132435</v>
      </c>
      <c r="BC29" s="118">
        <f t="shared" si="51"/>
        <v>2705.4477868132435</v>
      </c>
      <c r="BD29" s="118">
        <f t="shared" si="51"/>
        <v>2700.574931637917</v>
      </c>
      <c r="BE29" s="118">
        <f t="shared" si="51"/>
        <v>2695.588590230218</v>
      </c>
      <c r="BF29" s="118">
        <f t="shared" si="51"/>
        <v>2695.588590230218</v>
      </c>
      <c r="BG29" s="118">
        <f t="shared" si="51"/>
        <v>2690.6670065031385</v>
      </c>
      <c r="BH29" s="118">
        <f t="shared" si="51"/>
        <v>2685.6308016813623</v>
      </c>
      <c r="BI29" s="118">
        <f t="shared" si="51"/>
        <v>2685.6308016813623</v>
      </c>
      <c r="BJ29" s="118">
        <f t="shared" si="51"/>
        <v>2680.660002117012</v>
      </c>
      <c r="BK29" s="118">
        <f t="shared" si="51"/>
        <v>2675.5734352470181</v>
      </c>
      <c r="BL29" s="118">
        <f t="shared" si="51"/>
        <v>2675.5734352470181</v>
      </c>
      <c r="BM29" s="118">
        <f t="shared" si="51"/>
        <v>2670.5529276870243</v>
      </c>
      <c r="BN29" s="118">
        <f t="shared" si="51"/>
        <v>2665.4154951483306</v>
      </c>
      <c r="BO29" s="118">
        <f t="shared" si="51"/>
        <v>2665.4154951483306</v>
      </c>
      <c r="BP29" s="118">
        <f t="shared" si="51"/>
        <v>2660.3447825127364</v>
      </c>
      <c r="BQ29" s="118">
        <f t="shared" si="51"/>
        <v>2655.1559756486554</v>
      </c>
      <c r="BR29" s="118">
        <f t="shared" si="51"/>
        <v>2655.1559756486558</v>
      </c>
    </row>
    <row r="30" spans="1:70" outlineLevel="1">
      <c r="B30" s="30"/>
      <c r="C30" s="84" t="s">
        <v>120</v>
      </c>
      <c r="D30" s="58" t="s">
        <v>58</v>
      </c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S30" s="25">
        <v>164.2</v>
      </c>
      <c r="T30" s="18"/>
      <c r="U30" s="18">
        <f t="shared" si="47"/>
        <v>95.1</v>
      </c>
      <c r="V30" s="337">
        <v>95.1</v>
      </c>
      <c r="W30" s="337">
        <v>81.400000000000006</v>
      </c>
      <c r="X30" s="18">
        <f t="shared" si="48"/>
        <v>77.900000000000006</v>
      </c>
      <c r="Y30" s="25">
        <v>77.900000000000006</v>
      </c>
      <c r="Z30" s="337">
        <v>51.8</v>
      </c>
      <c r="AA30" s="18">
        <f t="shared" si="49"/>
        <v>47.5</v>
      </c>
      <c r="AB30" s="25">
        <v>47.5</v>
      </c>
      <c r="AC30" s="25">
        <v>69.5</v>
      </c>
      <c r="AD30" s="337">
        <f t="shared" si="50"/>
        <v>66.7</v>
      </c>
      <c r="AE30" s="25">
        <v>66.7</v>
      </c>
      <c r="AF30" s="25">
        <v>72.7</v>
      </c>
      <c r="AG30" s="940">
        <f t="shared" ref="AG30:AI33" si="52">+AF30</f>
        <v>72.7</v>
      </c>
      <c r="AH30" s="118">
        <f t="shared" si="52"/>
        <v>72.7</v>
      </c>
      <c r="AI30" s="118">
        <f t="shared" si="52"/>
        <v>72.7</v>
      </c>
      <c r="AJ30" s="118">
        <f>+AG30</f>
        <v>72.7</v>
      </c>
      <c r="AK30" s="118">
        <f t="shared" ref="AK30:AL33" si="53">+AJ30</f>
        <v>72.7</v>
      </c>
      <c r="AL30" s="118">
        <f t="shared" si="53"/>
        <v>72.7</v>
      </c>
      <c r="AM30" s="118">
        <f t="shared" ref="AM30:AN33" si="54">+AJ30</f>
        <v>72.7</v>
      </c>
      <c r="AN30" s="118">
        <f t="shared" si="54"/>
        <v>72.7</v>
      </c>
      <c r="AO30" s="118">
        <f t="shared" ref="AO30:AO33" si="55">+AN30</f>
        <v>72.7</v>
      </c>
      <c r="AP30" s="118">
        <f t="shared" ref="AP30:AP33" si="56">+AM30</f>
        <v>72.7</v>
      </c>
      <c r="AQ30" s="118">
        <f t="shared" ref="AQ30:AQ33" si="57">+AN30</f>
        <v>72.7</v>
      </c>
      <c r="AR30" s="118">
        <f t="shared" ref="AR30:AR33" si="58">+AQ30</f>
        <v>72.7</v>
      </c>
      <c r="AS30" s="118">
        <f t="shared" ref="AS30:AS33" si="59">+AP30</f>
        <v>72.7</v>
      </c>
      <c r="AT30" s="118">
        <f t="shared" ref="AT30:AT33" si="60">+AQ30</f>
        <v>72.7</v>
      </c>
      <c r="AU30" s="118">
        <f t="shared" ref="AU30:AU33" si="61">+AT30</f>
        <v>72.7</v>
      </c>
      <c r="AV30" s="118">
        <f t="shared" ref="AV30:AV33" si="62">+AS30</f>
        <v>72.7</v>
      </c>
      <c r="AW30" s="118">
        <f t="shared" ref="AW30:AW33" si="63">+AT30</f>
        <v>72.7</v>
      </c>
      <c r="AX30" s="118">
        <f t="shared" ref="AX30:AX33" si="64">+AW30</f>
        <v>72.7</v>
      </c>
      <c r="AY30" s="118">
        <f t="shared" ref="AY30:AY33" si="65">+AV30</f>
        <v>72.7</v>
      </c>
      <c r="AZ30" s="118">
        <f t="shared" ref="AZ30:AZ33" si="66">+AW30</f>
        <v>72.7</v>
      </c>
      <c r="BA30" s="118">
        <f t="shared" ref="BA30:BA33" si="67">+AZ30</f>
        <v>72.7</v>
      </c>
      <c r="BB30" s="118">
        <f t="shared" ref="BB30:BB33" si="68">+AY30</f>
        <v>72.7</v>
      </c>
      <c r="BC30" s="118">
        <f t="shared" ref="BC30:BC33" si="69">+AZ30</f>
        <v>72.7</v>
      </c>
      <c r="BD30" s="118">
        <f t="shared" ref="BD30:BD33" si="70">+BC30</f>
        <v>72.7</v>
      </c>
      <c r="BE30" s="118">
        <f t="shared" ref="BE30:BE33" si="71">+BB30</f>
        <v>72.7</v>
      </c>
      <c r="BF30" s="118">
        <f t="shared" ref="BF30:BF33" si="72">+BC30</f>
        <v>72.7</v>
      </c>
      <c r="BG30" s="118">
        <f t="shared" ref="BG30:BG33" si="73">+BF30</f>
        <v>72.7</v>
      </c>
      <c r="BH30" s="118">
        <f t="shared" ref="BH30:BH33" si="74">+BE30</f>
        <v>72.7</v>
      </c>
      <c r="BI30" s="118">
        <f t="shared" ref="BI30:BI33" si="75">+BF30</f>
        <v>72.7</v>
      </c>
      <c r="BJ30" s="118">
        <f t="shared" ref="BJ30:BJ33" si="76">+BI30</f>
        <v>72.7</v>
      </c>
      <c r="BK30" s="118">
        <f t="shared" ref="BK30:BK33" si="77">+BH30</f>
        <v>72.7</v>
      </c>
      <c r="BL30" s="118">
        <f t="shared" ref="BL30:BL33" si="78">+BI30</f>
        <v>72.7</v>
      </c>
      <c r="BM30" s="118">
        <f t="shared" ref="BM30:BM33" si="79">+BL30</f>
        <v>72.7</v>
      </c>
      <c r="BN30" s="118">
        <f t="shared" ref="BN30:BN33" si="80">+BK30</f>
        <v>72.7</v>
      </c>
      <c r="BO30" s="118">
        <f t="shared" ref="BO30:BO33" si="81">+BL30</f>
        <v>72.7</v>
      </c>
      <c r="BP30" s="118">
        <f t="shared" ref="BP30:BP33" si="82">+BO30</f>
        <v>72.7</v>
      </c>
      <c r="BQ30" s="118">
        <f t="shared" ref="BQ30:BQ33" si="83">+BN30</f>
        <v>72.7</v>
      </c>
      <c r="BR30" s="118">
        <f t="shared" ref="BR30:BR33" si="84">+BO30</f>
        <v>72.7</v>
      </c>
    </row>
    <row r="31" spans="1:70" outlineLevel="1">
      <c r="B31" s="30"/>
      <c r="C31" s="84" t="s">
        <v>121</v>
      </c>
      <c r="D31" s="58" t="s">
        <v>58</v>
      </c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S31" s="25">
        <v>2132.8000000000002</v>
      </c>
      <c r="T31" s="18"/>
      <c r="U31" s="18">
        <f t="shared" si="47"/>
        <v>1996.3</v>
      </c>
      <c r="V31" s="337">
        <v>1996.3</v>
      </c>
      <c r="W31" s="337">
        <v>1871.9</v>
      </c>
      <c r="X31" s="18">
        <f t="shared" si="48"/>
        <v>1845.3</v>
      </c>
      <c r="Y31" s="25">
        <v>1845.3</v>
      </c>
      <c r="Z31" s="337">
        <v>1899.7</v>
      </c>
      <c r="AA31" s="18">
        <f t="shared" si="49"/>
        <v>2102.1</v>
      </c>
      <c r="AB31" s="25">
        <v>2102.1</v>
      </c>
      <c r="AC31" s="25">
        <v>2248.6999999999998</v>
      </c>
      <c r="AD31" s="337">
        <f t="shared" si="50"/>
        <v>2409.3000000000002</v>
      </c>
      <c r="AE31" s="25">
        <v>2409.3000000000002</v>
      </c>
      <c r="AF31" s="25">
        <v>2434.1</v>
      </c>
      <c r="AG31" s="940">
        <f t="shared" si="52"/>
        <v>2434.1</v>
      </c>
      <c r="AH31" s="118">
        <f t="shared" si="52"/>
        <v>2434.1</v>
      </c>
      <c r="AI31" s="118">
        <f t="shared" si="52"/>
        <v>2434.1</v>
      </c>
      <c r="AJ31" s="118">
        <f>+AG31</f>
        <v>2434.1</v>
      </c>
      <c r="AK31" s="118">
        <f t="shared" si="53"/>
        <v>2434.1</v>
      </c>
      <c r="AL31" s="118">
        <f t="shared" si="53"/>
        <v>2434.1</v>
      </c>
      <c r="AM31" s="118">
        <f t="shared" si="54"/>
        <v>2434.1</v>
      </c>
      <c r="AN31" s="118">
        <f t="shared" si="54"/>
        <v>2434.1</v>
      </c>
      <c r="AO31" s="118">
        <f t="shared" si="55"/>
        <v>2434.1</v>
      </c>
      <c r="AP31" s="118">
        <f t="shared" si="56"/>
        <v>2434.1</v>
      </c>
      <c r="AQ31" s="118">
        <f t="shared" si="57"/>
        <v>2434.1</v>
      </c>
      <c r="AR31" s="118">
        <f t="shared" si="58"/>
        <v>2434.1</v>
      </c>
      <c r="AS31" s="118">
        <f t="shared" si="59"/>
        <v>2434.1</v>
      </c>
      <c r="AT31" s="118">
        <f t="shared" si="60"/>
        <v>2434.1</v>
      </c>
      <c r="AU31" s="118">
        <f t="shared" si="61"/>
        <v>2434.1</v>
      </c>
      <c r="AV31" s="118">
        <f t="shared" si="62"/>
        <v>2434.1</v>
      </c>
      <c r="AW31" s="118">
        <f t="shared" si="63"/>
        <v>2434.1</v>
      </c>
      <c r="AX31" s="118">
        <f t="shared" si="64"/>
        <v>2434.1</v>
      </c>
      <c r="AY31" s="118">
        <f t="shared" si="65"/>
        <v>2434.1</v>
      </c>
      <c r="AZ31" s="118">
        <f t="shared" si="66"/>
        <v>2434.1</v>
      </c>
      <c r="BA31" s="118">
        <f t="shared" si="67"/>
        <v>2434.1</v>
      </c>
      <c r="BB31" s="118">
        <f t="shared" si="68"/>
        <v>2434.1</v>
      </c>
      <c r="BC31" s="118">
        <f t="shared" si="69"/>
        <v>2434.1</v>
      </c>
      <c r="BD31" s="118">
        <f t="shared" si="70"/>
        <v>2434.1</v>
      </c>
      <c r="BE31" s="118">
        <f t="shared" si="71"/>
        <v>2434.1</v>
      </c>
      <c r="BF31" s="118">
        <f t="shared" si="72"/>
        <v>2434.1</v>
      </c>
      <c r="BG31" s="118">
        <f t="shared" si="73"/>
        <v>2434.1</v>
      </c>
      <c r="BH31" s="118">
        <f t="shared" si="74"/>
        <v>2434.1</v>
      </c>
      <c r="BI31" s="118">
        <f t="shared" si="75"/>
        <v>2434.1</v>
      </c>
      <c r="BJ31" s="118">
        <f t="shared" si="76"/>
        <v>2434.1</v>
      </c>
      <c r="BK31" s="118">
        <f t="shared" si="77"/>
        <v>2434.1</v>
      </c>
      <c r="BL31" s="118">
        <f t="shared" si="78"/>
        <v>2434.1</v>
      </c>
      <c r="BM31" s="118">
        <f t="shared" si="79"/>
        <v>2434.1</v>
      </c>
      <c r="BN31" s="118">
        <f t="shared" si="80"/>
        <v>2434.1</v>
      </c>
      <c r="BO31" s="118">
        <f t="shared" si="81"/>
        <v>2434.1</v>
      </c>
      <c r="BP31" s="118">
        <f t="shared" si="82"/>
        <v>2434.1</v>
      </c>
      <c r="BQ31" s="118">
        <f t="shared" si="83"/>
        <v>2434.1</v>
      </c>
      <c r="BR31" s="118">
        <f t="shared" si="84"/>
        <v>2434.1</v>
      </c>
    </row>
    <row r="32" spans="1:70" outlineLevel="1">
      <c r="B32" s="30"/>
      <c r="C32" s="84" t="s">
        <v>122</v>
      </c>
      <c r="D32" s="58" t="s">
        <v>58</v>
      </c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S32" s="25">
        <v>33</v>
      </c>
      <c r="T32" s="18"/>
      <c r="U32" s="18">
        <f t="shared" si="47"/>
        <v>41.4</v>
      </c>
      <c r="V32" s="337">
        <v>41.4</v>
      </c>
      <c r="W32" s="337">
        <v>44.5</v>
      </c>
      <c r="X32" s="18">
        <f t="shared" si="48"/>
        <v>20.8</v>
      </c>
      <c r="Y32" s="25">
        <v>20.8</v>
      </c>
      <c r="Z32" s="337">
        <v>45.5</v>
      </c>
      <c r="AA32" s="18">
        <f t="shared" si="49"/>
        <v>14.8</v>
      </c>
      <c r="AB32" s="25">
        <v>14.8</v>
      </c>
      <c r="AC32" s="25">
        <v>0.4</v>
      </c>
      <c r="AD32" s="337">
        <f t="shared" si="50"/>
        <v>24.5</v>
      </c>
      <c r="AE32" s="25">
        <v>24.5</v>
      </c>
      <c r="AF32" s="25">
        <v>20.8</v>
      </c>
      <c r="AG32" s="940">
        <f t="shared" si="52"/>
        <v>20.8</v>
      </c>
      <c r="AH32" s="118">
        <f t="shared" si="52"/>
        <v>20.8</v>
      </c>
      <c r="AI32" s="118">
        <f t="shared" si="52"/>
        <v>20.8</v>
      </c>
      <c r="AJ32" s="118">
        <f>+AG32</f>
        <v>20.8</v>
      </c>
      <c r="AK32" s="118">
        <f t="shared" si="53"/>
        <v>20.8</v>
      </c>
      <c r="AL32" s="118">
        <f t="shared" si="53"/>
        <v>20.8</v>
      </c>
      <c r="AM32" s="118">
        <f t="shared" si="54"/>
        <v>20.8</v>
      </c>
      <c r="AN32" s="118">
        <f t="shared" si="54"/>
        <v>20.8</v>
      </c>
      <c r="AO32" s="118">
        <f t="shared" si="55"/>
        <v>20.8</v>
      </c>
      <c r="AP32" s="118">
        <f t="shared" si="56"/>
        <v>20.8</v>
      </c>
      <c r="AQ32" s="118">
        <f t="shared" si="57"/>
        <v>20.8</v>
      </c>
      <c r="AR32" s="118">
        <f t="shared" si="58"/>
        <v>20.8</v>
      </c>
      <c r="AS32" s="118">
        <f t="shared" si="59"/>
        <v>20.8</v>
      </c>
      <c r="AT32" s="118">
        <f t="shared" si="60"/>
        <v>20.8</v>
      </c>
      <c r="AU32" s="118">
        <f t="shared" si="61"/>
        <v>20.8</v>
      </c>
      <c r="AV32" s="118">
        <f t="shared" si="62"/>
        <v>20.8</v>
      </c>
      <c r="AW32" s="118">
        <f t="shared" si="63"/>
        <v>20.8</v>
      </c>
      <c r="AX32" s="118">
        <f t="shared" si="64"/>
        <v>20.8</v>
      </c>
      <c r="AY32" s="118">
        <f t="shared" si="65"/>
        <v>20.8</v>
      </c>
      <c r="AZ32" s="118">
        <f t="shared" si="66"/>
        <v>20.8</v>
      </c>
      <c r="BA32" s="118">
        <f t="shared" si="67"/>
        <v>20.8</v>
      </c>
      <c r="BB32" s="118">
        <f t="shared" si="68"/>
        <v>20.8</v>
      </c>
      <c r="BC32" s="118">
        <f t="shared" si="69"/>
        <v>20.8</v>
      </c>
      <c r="BD32" s="118">
        <f t="shared" si="70"/>
        <v>20.8</v>
      </c>
      <c r="BE32" s="118">
        <f t="shared" si="71"/>
        <v>20.8</v>
      </c>
      <c r="BF32" s="118">
        <f t="shared" si="72"/>
        <v>20.8</v>
      </c>
      <c r="BG32" s="118">
        <f t="shared" si="73"/>
        <v>20.8</v>
      </c>
      <c r="BH32" s="118">
        <f t="shared" si="74"/>
        <v>20.8</v>
      </c>
      <c r="BI32" s="118">
        <f t="shared" si="75"/>
        <v>20.8</v>
      </c>
      <c r="BJ32" s="118">
        <f t="shared" si="76"/>
        <v>20.8</v>
      </c>
      <c r="BK32" s="118">
        <f t="shared" si="77"/>
        <v>20.8</v>
      </c>
      <c r="BL32" s="118">
        <f t="shared" si="78"/>
        <v>20.8</v>
      </c>
      <c r="BM32" s="118">
        <f t="shared" si="79"/>
        <v>20.8</v>
      </c>
      <c r="BN32" s="118">
        <f t="shared" si="80"/>
        <v>20.8</v>
      </c>
      <c r="BO32" s="118">
        <f t="shared" si="81"/>
        <v>20.8</v>
      </c>
      <c r="BP32" s="118">
        <f t="shared" si="82"/>
        <v>20.8</v>
      </c>
      <c r="BQ32" s="118">
        <f t="shared" si="83"/>
        <v>20.8</v>
      </c>
      <c r="BR32" s="118">
        <f t="shared" si="84"/>
        <v>20.8</v>
      </c>
    </row>
    <row r="33" spans="2:70" outlineLevel="1">
      <c r="B33" s="30"/>
      <c r="C33" s="84" t="s">
        <v>96</v>
      </c>
      <c r="D33" s="58" t="s">
        <v>58</v>
      </c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S33" s="25">
        <v>304.60000000000002</v>
      </c>
      <c r="T33" s="18"/>
      <c r="U33" s="18">
        <f t="shared" si="47"/>
        <v>113.8</v>
      </c>
      <c r="V33" s="337">
        <v>113.8</v>
      </c>
      <c r="W33" s="337">
        <v>97.2</v>
      </c>
      <c r="X33" s="18">
        <f t="shared" si="48"/>
        <v>139.5</v>
      </c>
      <c r="Y33" s="25">
        <v>139.5</v>
      </c>
      <c r="Z33" s="337">
        <v>94.3</v>
      </c>
      <c r="AA33" s="18">
        <f t="shared" si="49"/>
        <v>142.9</v>
      </c>
      <c r="AB33" s="25">
        <v>142.9</v>
      </c>
      <c r="AC33" s="25">
        <v>121.8</v>
      </c>
      <c r="AD33" s="337">
        <f t="shared" si="50"/>
        <v>92.3</v>
      </c>
      <c r="AE33" s="25">
        <v>92.3</v>
      </c>
      <c r="AF33" s="25">
        <v>99</v>
      </c>
      <c r="AG33" s="940">
        <f>+AF33+30</f>
        <v>129</v>
      </c>
      <c r="AH33" s="118">
        <f t="shared" si="52"/>
        <v>129</v>
      </c>
      <c r="AI33" s="118">
        <f t="shared" si="52"/>
        <v>129</v>
      </c>
      <c r="AJ33" s="118">
        <f>+AG33</f>
        <v>129</v>
      </c>
      <c r="AK33" s="118">
        <f t="shared" si="53"/>
        <v>129</v>
      </c>
      <c r="AL33" s="118">
        <f t="shared" si="53"/>
        <v>129</v>
      </c>
      <c r="AM33" s="118">
        <f t="shared" si="54"/>
        <v>129</v>
      </c>
      <c r="AN33" s="118">
        <f t="shared" si="54"/>
        <v>129</v>
      </c>
      <c r="AO33" s="118">
        <f t="shared" si="55"/>
        <v>129</v>
      </c>
      <c r="AP33" s="118">
        <f t="shared" si="56"/>
        <v>129</v>
      </c>
      <c r="AQ33" s="118">
        <f t="shared" si="57"/>
        <v>129</v>
      </c>
      <c r="AR33" s="118">
        <f t="shared" si="58"/>
        <v>129</v>
      </c>
      <c r="AS33" s="118">
        <f t="shared" si="59"/>
        <v>129</v>
      </c>
      <c r="AT33" s="118">
        <f t="shared" si="60"/>
        <v>129</v>
      </c>
      <c r="AU33" s="118">
        <f t="shared" si="61"/>
        <v>129</v>
      </c>
      <c r="AV33" s="118">
        <f t="shared" si="62"/>
        <v>129</v>
      </c>
      <c r="AW33" s="118">
        <f t="shared" si="63"/>
        <v>129</v>
      </c>
      <c r="AX33" s="118">
        <f t="shared" si="64"/>
        <v>129</v>
      </c>
      <c r="AY33" s="118">
        <f t="shared" si="65"/>
        <v>129</v>
      </c>
      <c r="AZ33" s="118">
        <f t="shared" si="66"/>
        <v>129</v>
      </c>
      <c r="BA33" s="118">
        <f t="shared" si="67"/>
        <v>129</v>
      </c>
      <c r="BB33" s="118">
        <f t="shared" si="68"/>
        <v>129</v>
      </c>
      <c r="BC33" s="118">
        <f t="shared" si="69"/>
        <v>129</v>
      </c>
      <c r="BD33" s="118">
        <f t="shared" si="70"/>
        <v>129</v>
      </c>
      <c r="BE33" s="118">
        <f t="shared" si="71"/>
        <v>129</v>
      </c>
      <c r="BF33" s="118">
        <f t="shared" si="72"/>
        <v>129</v>
      </c>
      <c r="BG33" s="118">
        <f t="shared" si="73"/>
        <v>129</v>
      </c>
      <c r="BH33" s="118">
        <f t="shared" si="74"/>
        <v>129</v>
      </c>
      <c r="BI33" s="118">
        <f t="shared" si="75"/>
        <v>129</v>
      </c>
      <c r="BJ33" s="118">
        <f t="shared" si="76"/>
        <v>129</v>
      </c>
      <c r="BK33" s="118">
        <f t="shared" si="77"/>
        <v>129</v>
      </c>
      <c r="BL33" s="118">
        <f t="shared" si="78"/>
        <v>129</v>
      </c>
      <c r="BM33" s="118">
        <f t="shared" si="79"/>
        <v>129</v>
      </c>
      <c r="BN33" s="118">
        <f t="shared" si="80"/>
        <v>129</v>
      </c>
      <c r="BO33" s="118">
        <f t="shared" si="81"/>
        <v>129</v>
      </c>
      <c r="BP33" s="118">
        <f t="shared" si="82"/>
        <v>129</v>
      </c>
      <c r="BQ33" s="118">
        <f t="shared" si="83"/>
        <v>129</v>
      </c>
      <c r="BR33" s="118">
        <f t="shared" si="84"/>
        <v>129</v>
      </c>
    </row>
    <row r="34" spans="2:70" s="8" customFormat="1" outlineLevel="1">
      <c r="B34" s="85"/>
      <c r="C34" s="85" t="s">
        <v>123</v>
      </c>
      <c r="D34" s="56" t="s">
        <v>58</v>
      </c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S34" s="64">
        <f>S27+S28+S29+S30+S31+S32+S33</f>
        <v>7624.5</v>
      </c>
      <c r="T34" s="64"/>
      <c r="U34" s="64">
        <f t="shared" ref="U34:AB34" si="85">U27+U28+U29+U30+U31+U32+U33</f>
        <v>5807.4</v>
      </c>
      <c r="V34" s="64">
        <f t="shared" si="85"/>
        <v>5807.4</v>
      </c>
      <c r="W34" s="64">
        <f t="shared" si="85"/>
        <v>5321.1</v>
      </c>
      <c r="X34" s="64">
        <f t="shared" si="85"/>
        <v>5134.1000000000004</v>
      </c>
      <c r="Y34" s="64">
        <f t="shared" si="85"/>
        <v>5134.1000000000004</v>
      </c>
      <c r="Z34" s="64">
        <f t="shared" si="85"/>
        <v>5050.6000000000004</v>
      </c>
      <c r="AA34" s="64">
        <f t="shared" si="85"/>
        <v>5489</v>
      </c>
      <c r="AB34" s="64">
        <f t="shared" si="85"/>
        <v>5489</v>
      </c>
      <c r="AC34" s="64">
        <f t="shared" ref="AC34:BR34" si="86">AC27+AC28+AC29+AC30+AC31+AC32+AC33</f>
        <v>5578.2</v>
      </c>
      <c r="AD34" s="64">
        <f t="shared" si="86"/>
        <v>5796.8</v>
      </c>
      <c r="AE34" s="341">
        <f t="shared" si="86"/>
        <v>5796.8</v>
      </c>
      <c r="AF34" s="341">
        <f t="shared" si="86"/>
        <v>5858.2</v>
      </c>
      <c r="AG34" s="934">
        <f t="shared" si="86"/>
        <v>5888.2846471052626</v>
      </c>
      <c r="AH34" s="64">
        <f t="shared" si="86"/>
        <v>5888.2846471052626</v>
      </c>
      <c r="AI34" s="64">
        <f t="shared" si="86"/>
        <v>5884.861927105263</v>
      </c>
      <c r="AJ34" s="64">
        <f t="shared" si="86"/>
        <v>5886.1678911684212</v>
      </c>
      <c r="AK34" s="64">
        <f t="shared" si="86"/>
        <v>5886.1678911684212</v>
      </c>
      <c r="AL34" s="64">
        <f t="shared" si="86"/>
        <v>5883.1243015434202</v>
      </c>
      <c r="AM34" s="64">
        <f t="shared" si="86"/>
        <v>5885.6198431226976</v>
      </c>
      <c r="AN34" s="64">
        <f t="shared" si="86"/>
        <v>5885.6198431226976</v>
      </c>
      <c r="AO34" s="64">
        <f t="shared" si="86"/>
        <v>5882.5079195222597</v>
      </c>
      <c r="AP34" s="64">
        <f t="shared" si="86"/>
        <v>5884.8521904491063</v>
      </c>
      <c r="AQ34" s="64">
        <f t="shared" si="86"/>
        <v>5884.8521904491072</v>
      </c>
      <c r="AR34" s="64">
        <f t="shared" si="86"/>
        <v>5881.6946655191196</v>
      </c>
      <c r="AS34" s="64">
        <f t="shared" si="86"/>
        <v>5883.9950374202463</v>
      </c>
      <c r="AT34" s="64">
        <f t="shared" si="86"/>
        <v>5883.9950374202463</v>
      </c>
      <c r="AU34" s="64">
        <f t="shared" si="86"/>
        <v>5880.7914479063656</v>
      </c>
      <c r="AV34" s="64">
        <f t="shared" si="86"/>
        <v>5883.0474481206484</v>
      </c>
      <c r="AW34" s="64">
        <f t="shared" si="86"/>
        <v>5883.0474481206493</v>
      </c>
      <c r="AX34" s="64">
        <f t="shared" si="86"/>
        <v>5879.7973261323705</v>
      </c>
      <c r="AY34" s="64">
        <f t="shared" si="86"/>
        <v>5882.0084772552373</v>
      </c>
      <c r="AZ34" s="64">
        <f t="shared" si="86"/>
        <v>5882.0084772552373</v>
      </c>
      <c r="BA34" s="64">
        <f t="shared" si="86"/>
        <v>5878.7113502195261</v>
      </c>
      <c r="BB34" s="64">
        <f t="shared" si="86"/>
        <v>5880.8771700555162</v>
      </c>
      <c r="BC34" s="64">
        <f t="shared" si="86"/>
        <v>5880.8771700555162</v>
      </c>
      <c r="BD34" s="64">
        <f t="shared" si="86"/>
        <v>5877.5325606699853</v>
      </c>
      <c r="BE34" s="64">
        <f t="shared" si="86"/>
        <v>5879.6525621848314</v>
      </c>
      <c r="BF34" s="64">
        <f t="shared" si="86"/>
        <v>5879.6525621848314</v>
      </c>
      <c r="BG34" s="64">
        <f t="shared" si="86"/>
        <v>5876.2599883704415</v>
      </c>
      <c r="BH34" s="64">
        <f t="shared" si="86"/>
        <v>5878.3336796426711</v>
      </c>
      <c r="BI34" s="64">
        <f t="shared" si="86"/>
        <v>5878.3336796426711</v>
      </c>
      <c r="BJ34" s="64">
        <f t="shared" si="86"/>
        <v>5874.8926544959677</v>
      </c>
      <c r="BK34" s="64">
        <f t="shared" si="86"/>
        <v>5876.9195386680267</v>
      </c>
      <c r="BL34" s="64">
        <f t="shared" si="86"/>
        <v>5876.9195386680267</v>
      </c>
      <c r="BM34" s="64">
        <f t="shared" si="86"/>
        <v>5873.4295704128881</v>
      </c>
      <c r="BN34" s="64">
        <f t="shared" si="86"/>
        <v>5875.4091456417691</v>
      </c>
      <c r="BO34" s="64">
        <f t="shared" si="86"/>
        <v>5875.4091456417691</v>
      </c>
      <c r="BP34" s="64">
        <f t="shared" si="86"/>
        <v>5871.8697375806814</v>
      </c>
      <c r="BQ34" s="64">
        <f t="shared" si="86"/>
        <v>5873.8014969880596</v>
      </c>
      <c r="BR34" s="64">
        <f t="shared" si="86"/>
        <v>5873.8014969880596</v>
      </c>
    </row>
    <row r="35" spans="2:70" s="8" customFormat="1" outlineLevel="1">
      <c r="B35" s="85"/>
      <c r="C35" s="85" t="s">
        <v>124</v>
      </c>
      <c r="D35" s="56" t="s">
        <v>58</v>
      </c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S35" s="64">
        <f>S26+S34</f>
        <v>11515.6</v>
      </c>
      <c r="T35" s="64"/>
      <c r="U35" s="64">
        <f>U26+U34</f>
        <v>9133.9</v>
      </c>
      <c r="V35" s="64">
        <v>9133.9</v>
      </c>
      <c r="W35" s="64">
        <f>W26+W34</f>
        <v>8438.2000000000007</v>
      </c>
      <c r="X35" s="64">
        <f>X26+X34</f>
        <v>8547.1</v>
      </c>
      <c r="Y35" s="64">
        <f>Y26+Y34</f>
        <v>8547.1</v>
      </c>
      <c r="Z35" s="64">
        <v>8177.1</v>
      </c>
      <c r="AA35" s="64">
        <f t="shared" ref="AA35:AE35" si="87">AA26+AA34</f>
        <v>8682.1</v>
      </c>
      <c r="AB35" s="64">
        <f t="shared" si="87"/>
        <v>8682.1</v>
      </c>
      <c r="AC35" s="64">
        <f t="shared" si="87"/>
        <v>8621.5</v>
      </c>
      <c r="AD35" s="64">
        <f t="shared" si="87"/>
        <v>9083.2999999999993</v>
      </c>
      <c r="AE35" s="341">
        <f t="shared" si="87"/>
        <v>9083.2999999999993</v>
      </c>
      <c r="AF35" s="341">
        <f t="shared" ref="AF35:BR35" si="88">AF26+AF34</f>
        <v>9060</v>
      </c>
      <c r="AG35" s="934">
        <f t="shared" si="88"/>
        <v>9198.5688900845744</v>
      </c>
      <c r="AH35" s="64">
        <f t="shared" si="88"/>
        <v>9198.5688900845744</v>
      </c>
      <c r="AI35" s="64">
        <f t="shared" si="88"/>
        <v>9079.2233807591729</v>
      </c>
      <c r="AJ35" s="64">
        <f t="shared" si="88"/>
        <v>9269.1015159711515</v>
      </c>
      <c r="AK35" s="64">
        <f t="shared" si="88"/>
        <v>9269.1015159711515</v>
      </c>
      <c r="AL35" s="64">
        <f t="shared" si="88"/>
        <v>9264.8936515655223</v>
      </c>
      <c r="AM35" s="64">
        <f t="shared" si="88"/>
        <v>9395.6734758325238</v>
      </c>
      <c r="AN35" s="64">
        <f t="shared" si="88"/>
        <v>9395.6734758325238</v>
      </c>
      <c r="AO35" s="64">
        <f t="shared" si="88"/>
        <v>9323.7903124824134</v>
      </c>
      <c r="AP35" s="64">
        <f t="shared" si="88"/>
        <v>9445.5596832020728</v>
      </c>
      <c r="AQ35" s="64">
        <f t="shared" si="88"/>
        <v>9445.5596832020747</v>
      </c>
      <c r="AR35" s="64">
        <f t="shared" si="88"/>
        <v>9374.6491069287731</v>
      </c>
      <c r="AS35" s="64">
        <f t="shared" si="88"/>
        <v>9499.9118526299953</v>
      </c>
      <c r="AT35" s="64">
        <f t="shared" si="88"/>
        <v>9499.9118526299953</v>
      </c>
      <c r="AU35" s="64">
        <f t="shared" si="88"/>
        <v>9427.0750612322445</v>
      </c>
      <c r="AV35" s="64">
        <f t="shared" si="88"/>
        <v>9555.9083387373685</v>
      </c>
      <c r="AW35" s="64">
        <f t="shared" si="88"/>
        <v>9555.9083387373685</v>
      </c>
      <c r="AX35" s="64">
        <f t="shared" si="88"/>
        <v>9481.12186225597</v>
      </c>
      <c r="AY35" s="64">
        <f t="shared" si="88"/>
        <v>9613.6055684685834</v>
      </c>
      <c r="AZ35" s="64">
        <f t="shared" si="88"/>
        <v>9613.6055684685834</v>
      </c>
      <c r="BA35" s="64">
        <f t="shared" si="88"/>
        <v>9536.8453561844399</v>
      </c>
      <c r="BB35" s="64">
        <f t="shared" si="88"/>
        <v>9811.9804127368443</v>
      </c>
      <c r="BC35" s="64">
        <f t="shared" si="88"/>
        <v>9811.9804127368443</v>
      </c>
      <c r="BD35" s="64">
        <f t="shared" si="88"/>
        <v>9733.221840041535</v>
      </c>
      <c r="BE35" s="64">
        <f t="shared" si="88"/>
        <v>10223.02534408576</v>
      </c>
      <c r="BF35" s="64">
        <f t="shared" si="88"/>
        <v>10223.02534408576</v>
      </c>
      <c r="BG35" s="64">
        <f t="shared" si="88"/>
        <v>10142.243220336157</v>
      </c>
      <c r="BH35" s="64">
        <f t="shared" si="88"/>
        <v>10643.84848923131</v>
      </c>
      <c r="BI35" s="64">
        <f t="shared" si="88"/>
        <v>10643.84848923131</v>
      </c>
      <c r="BJ35" s="64">
        <f t="shared" si="88"/>
        <v>10561.017066664335</v>
      </c>
      <c r="BK35" s="64">
        <f t="shared" si="88"/>
        <v>11075.549025163769</v>
      </c>
      <c r="BL35" s="64">
        <f t="shared" si="88"/>
        <v>11075.549025163769</v>
      </c>
      <c r="BM35" s="64">
        <f t="shared" si="88"/>
        <v>10990.642008951825</v>
      </c>
      <c r="BN35" s="64">
        <f t="shared" si="88"/>
        <v>11518.447346894958</v>
      </c>
      <c r="BO35" s="64">
        <f t="shared" si="88"/>
        <v>11518.447346894958</v>
      </c>
      <c r="BP35" s="64">
        <f t="shared" si="88"/>
        <v>11425.092696761583</v>
      </c>
      <c r="BQ35" s="64">
        <f t="shared" si="88"/>
        <v>11972.96292377204</v>
      </c>
      <c r="BR35" s="64">
        <f t="shared" si="88"/>
        <v>11972.96292377204</v>
      </c>
    </row>
    <row r="36" spans="2:70" outlineLevel="1">
      <c r="B36" s="30"/>
      <c r="C36" s="84" t="s">
        <v>125</v>
      </c>
      <c r="D36" s="58" t="s">
        <v>58</v>
      </c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S36" s="25">
        <v>2862.1</v>
      </c>
      <c r="T36" s="18"/>
      <c r="U36" s="18">
        <f>V36</f>
        <v>2490.3000000000002</v>
      </c>
      <c r="V36" s="337">
        <v>2490.3000000000002</v>
      </c>
      <c r="W36" s="337">
        <v>2060.3000000000002</v>
      </c>
      <c r="X36" s="18">
        <f>Y36</f>
        <v>2345.6999999999998</v>
      </c>
      <c r="Y36" s="25">
        <v>2345.6999999999998</v>
      </c>
      <c r="Z36" s="337">
        <v>2051.5</v>
      </c>
      <c r="AA36" s="18">
        <f>AB36</f>
        <v>2418.4</v>
      </c>
      <c r="AB36" s="25">
        <v>2418.4</v>
      </c>
      <c r="AC36" s="25">
        <v>2202</v>
      </c>
      <c r="AD36" s="337">
        <f>AE36</f>
        <v>2578.3000000000002</v>
      </c>
      <c r="AE36" s="25">
        <v>2578.3000000000002</v>
      </c>
      <c r="AF36" s="25">
        <v>2377.6</v>
      </c>
      <c r="AG36" s="933">
        <f>AG120*AG8*2</f>
        <v>2724.1924239766704</v>
      </c>
      <c r="AH36" s="18">
        <f t="shared" ref="AG36:AN37" si="89">AG36</f>
        <v>2724.1924239766704</v>
      </c>
      <c r="AI36" s="18">
        <f>AI120*AI8*2</f>
        <v>2371.1818377876102</v>
      </c>
      <c r="AJ36" s="18">
        <f>AJ120*AJ8*2</f>
        <v>2793.29335774113</v>
      </c>
      <c r="AK36" s="18">
        <f t="shared" si="89"/>
        <v>2793.29335774113</v>
      </c>
      <c r="AL36" s="18">
        <f>AL120*AL8*2</f>
        <v>2532.88201720589</v>
      </c>
      <c r="AM36" s="18">
        <f>AM120*AM8*2</f>
        <v>2914.2043830802918</v>
      </c>
      <c r="AN36" s="18">
        <f t="shared" si="89"/>
        <v>2914.2043830802918</v>
      </c>
      <c r="AO36" s="18">
        <f>AO120*AO8*2</f>
        <v>2584.2313461685521</v>
      </c>
      <c r="AP36" s="18">
        <f>AP120*AP8*2</f>
        <v>2962.3841327203218</v>
      </c>
      <c r="AQ36" s="18">
        <f t="shared" ref="AQ36:AQ37" si="90">AP36</f>
        <v>2962.3841327203218</v>
      </c>
      <c r="AR36" s="18">
        <f>AR120*AR8*2</f>
        <v>2628.8152706835513</v>
      </c>
      <c r="AS36" s="18">
        <f>AS120*AS8*2</f>
        <v>3014.8968401723896</v>
      </c>
      <c r="AT36" s="18">
        <f t="shared" ref="AT36:AT37" si="91">AS36</f>
        <v>3014.8968401723896</v>
      </c>
      <c r="AU36" s="18">
        <f>AU120*AU8*2</f>
        <v>2674.8290024109488</v>
      </c>
      <c r="AV36" s="18">
        <f>AV120*AV8*2</f>
        <v>3069.0595692172101</v>
      </c>
      <c r="AW36" s="18">
        <f t="shared" ref="AW36:AW37" si="92">AV36</f>
        <v>3069.0595692172101</v>
      </c>
      <c r="AX36" s="18">
        <f>AX120*AX8*2</f>
        <v>2722.3196752385943</v>
      </c>
      <c r="AY36" s="18">
        <f>AY120*AY8*2</f>
        <v>3124.926889834866</v>
      </c>
      <c r="AZ36" s="18">
        <f t="shared" ref="AZ36:AZ37" si="93">AY36</f>
        <v>3124.926889834866</v>
      </c>
      <c r="BA36" s="18">
        <f>BA120*BA8*2</f>
        <v>2771.3362943033026</v>
      </c>
      <c r="BB36" s="18">
        <f>BB120*BB8*2</f>
        <v>3182.5555132227692</v>
      </c>
      <c r="BC36" s="18">
        <f t="shared" ref="BC36:BC37" si="94">BB36</f>
        <v>3182.5555132227692</v>
      </c>
      <c r="BD36" s="18">
        <f>BD120*BD8*2</f>
        <v>2821.9298130777493</v>
      </c>
      <c r="BE36" s="18">
        <f>BE120*BE8*2</f>
        <v>3242.0043795933998</v>
      </c>
      <c r="BF36" s="18">
        <f t="shared" ref="BF36:BF37" si="95">BE36</f>
        <v>3242.0043795933998</v>
      </c>
      <c r="BG36" s="18">
        <f>BG120*BG8*2</f>
        <v>2874.1532138641128</v>
      </c>
      <c r="BH36" s="18">
        <f>BH120*BH8*2</f>
        <v>3303.3347498269727</v>
      </c>
      <c r="BI36" s="18">
        <f t="shared" ref="BI36:BI37" si="96">BH36</f>
        <v>3303.3347498269727</v>
      </c>
      <c r="BJ36" s="18">
        <f>BJ120*BJ8*2</f>
        <v>2928.061591850274</v>
      </c>
      <c r="BK36" s="18">
        <f>BK120*BK8*2</f>
        <v>3366.6103011546284</v>
      </c>
      <c r="BL36" s="18">
        <f t="shared" ref="BL36:BL37" si="97">BK36</f>
        <v>3366.6103011546284</v>
      </c>
      <c r="BM36" s="18">
        <f>BM120*BM8*2</f>
        <v>2983.7122428917633</v>
      </c>
      <c r="BN36" s="18">
        <f>BN120*BN8*2</f>
        <v>3431.8972270560262</v>
      </c>
      <c r="BO36" s="18">
        <f t="shared" ref="BO36:BO37" si="98">BN36</f>
        <v>3431.8972270560262</v>
      </c>
      <c r="BP36" s="18">
        <f>BP120*BP8*2</f>
        <v>3041.1647551903402</v>
      </c>
      <c r="BQ36" s="18">
        <f>BQ120*BQ8*2</f>
        <v>3499.2643415638963</v>
      </c>
      <c r="BR36" s="18">
        <f t="shared" ref="BR36:BR37" si="99">BQ36</f>
        <v>3499.2643415638963</v>
      </c>
    </row>
    <row r="37" spans="2:70" outlineLevel="1">
      <c r="B37" s="30"/>
      <c r="C37" s="84" t="s">
        <v>126</v>
      </c>
      <c r="D37" s="58" t="s">
        <v>58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S37" s="25">
        <v>1098.3</v>
      </c>
      <c r="T37" s="18"/>
      <c r="U37" s="18">
        <f>V37</f>
        <v>521.79999999999995</v>
      </c>
      <c r="V37" s="337">
        <v>521.79999999999995</v>
      </c>
      <c r="W37" s="337">
        <v>695</v>
      </c>
      <c r="X37" s="18">
        <f>Y37</f>
        <v>1012.7</v>
      </c>
      <c r="Y37" s="25">
        <v>1012.7</v>
      </c>
      <c r="Z37" s="337">
        <v>1395.3</v>
      </c>
      <c r="AA37" s="18">
        <f>AB37</f>
        <v>916.7</v>
      </c>
      <c r="AB37" s="25">
        <v>916.7</v>
      </c>
      <c r="AC37" s="25">
        <v>998.1</v>
      </c>
      <c r="AD37" s="337">
        <f>AE37</f>
        <v>1124.5999999999999</v>
      </c>
      <c r="AE37" s="25">
        <v>1124.5999999999999</v>
      </c>
      <c r="AF37" s="25">
        <v>2314.8000000000002</v>
      </c>
      <c r="AG37" s="933">
        <f t="shared" si="89"/>
        <v>2314.8000000000002</v>
      </c>
      <c r="AH37" s="18">
        <f t="shared" si="89"/>
        <v>2314.8000000000002</v>
      </c>
      <c r="AI37" s="18">
        <f t="shared" si="89"/>
        <v>2314.8000000000002</v>
      </c>
      <c r="AJ37" s="18">
        <f t="shared" si="89"/>
        <v>2314.8000000000002</v>
      </c>
      <c r="AK37" s="18">
        <f t="shared" si="89"/>
        <v>2314.8000000000002</v>
      </c>
      <c r="AL37" s="18">
        <f t="shared" si="89"/>
        <v>2314.8000000000002</v>
      </c>
      <c r="AM37" s="18">
        <f t="shared" si="89"/>
        <v>2314.8000000000002</v>
      </c>
      <c r="AN37" s="18">
        <f t="shared" si="89"/>
        <v>2314.8000000000002</v>
      </c>
      <c r="AO37" s="18">
        <f t="shared" ref="AO37" si="100">AN37</f>
        <v>2314.8000000000002</v>
      </c>
      <c r="AP37" s="18">
        <f t="shared" ref="AP37" si="101">AO37</f>
        <v>2314.8000000000002</v>
      </c>
      <c r="AQ37" s="18">
        <f t="shared" si="90"/>
        <v>2314.8000000000002</v>
      </c>
      <c r="AR37" s="18">
        <f t="shared" ref="AR37" si="102">AQ37</f>
        <v>2314.8000000000002</v>
      </c>
      <c r="AS37" s="18">
        <f t="shared" ref="AS37" si="103">AR37</f>
        <v>2314.8000000000002</v>
      </c>
      <c r="AT37" s="18">
        <f t="shared" si="91"/>
        <v>2314.8000000000002</v>
      </c>
      <c r="AU37" s="18">
        <f t="shared" ref="AU37" si="104">AT37</f>
        <v>2314.8000000000002</v>
      </c>
      <c r="AV37" s="18">
        <f t="shared" ref="AV37" si="105">AU37</f>
        <v>2314.8000000000002</v>
      </c>
      <c r="AW37" s="18">
        <f t="shared" si="92"/>
        <v>2314.8000000000002</v>
      </c>
      <c r="AX37" s="18">
        <f t="shared" ref="AX37" si="106">AW37</f>
        <v>2314.8000000000002</v>
      </c>
      <c r="AY37" s="18">
        <f t="shared" ref="AY37" si="107">AX37</f>
        <v>2314.8000000000002</v>
      </c>
      <c r="AZ37" s="18">
        <f t="shared" si="93"/>
        <v>2314.8000000000002</v>
      </c>
      <c r="BA37" s="18">
        <f t="shared" ref="BA37" si="108">AZ37</f>
        <v>2314.8000000000002</v>
      </c>
      <c r="BB37" s="18">
        <f t="shared" ref="BB37" si="109">BA37</f>
        <v>2314.8000000000002</v>
      </c>
      <c r="BC37" s="18">
        <f t="shared" si="94"/>
        <v>2314.8000000000002</v>
      </c>
      <c r="BD37" s="18">
        <f t="shared" ref="BD37" si="110">BC37</f>
        <v>2314.8000000000002</v>
      </c>
      <c r="BE37" s="18">
        <f t="shared" ref="BE37" si="111">BD37</f>
        <v>2314.8000000000002</v>
      </c>
      <c r="BF37" s="18">
        <f t="shared" si="95"/>
        <v>2314.8000000000002</v>
      </c>
      <c r="BG37" s="18">
        <f t="shared" ref="BG37" si="112">BF37</f>
        <v>2314.8000000000002</v>
      </c>
      <c r="BH37" s="18">
        <f t="shared" ref="BH37" si="113">BG37</f>
        <v>2314.8000000000002</v>
      </c>
      <c r="BI37" s="18">
        <f t="shared" si="96"/>
        <v>2314.8000000000002</v>
      </c>
      <c r="BJ37" s="18">
        <f t="shared" ref="BJ37" si="114">BI37</f>
        <v>2314.8000000000002</v>
      </c>
      <c r="BK37" s="18">
        <f t="shared" ref="BK37" si="115">BJ37</f>
        <v>2314.8000000000002</v>
      </c>
      <c r="BL37" s="18">
        <f t="shared" si="97"/>
        <v>2314.8000000000002</v>
      </c>
      <c r="BM37" s="18">
        <f t="shared" ref="BM37" si="116">BL37</f>
        <v>2314.8000000000002</v>
      </c>
      <c r="BN37" s="18">
        <f t="shared" ref="BN37" si="117">BM37</f>
        <v>2314.8000000000002</v>
      </c>
      <c r="BO37" s="18">
        <f t="shared" si="98"/>
        <v>2314.8000000000002</v>
      </c>
      <c r="BP37" s="18">
        <f t="shared" ref="BP37" si="118">BO37</f>
        <v>2314.8000000000002</v>
      </c>
      <c r="BQ37" s="18">
        <f t="shared" ref="BQ37" si="119">BP37</f>
        <v>2314.8000000000002</v>
      </c>
      <c r="BR37" s="18">
        <f t="shared" si="99"/>
        <v>2314.8000000000002</v>
      </c>
    </row>
    <row r="38" spans="2:70" outlineLevel="1">
      <c r="B38" s="30"/>
      <c r="C38" s="84" t="s">
        <v>545</v>
      </c>
      <c r="D38" s="58" t="s">
        <v>58</v>
      </c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S38" s="25">
        <v>83.5</v>
      </c>
      <c r="T38" s="18"/>
      <c r="U38" s="18">
        <f>V38</f>
        <v>62.9</v>
      </c>
      <c r="V38" s="337">
        <v>62.9</v>
      </c>
      <c r="W38" s="337">
        <v>15.9</v>
      </c>
      <c r="X38" s="18">
        <f>Y38</f>
        <v>102.1</v>
      </c>
      <c r="Y38" s="25">
        <v>102.1</v>
      </c>
      <c r="Z38" s="337">
        <v>15.4</v>
      </c>
      <c r="AA38" s="18">
        <f>AB38</f>
        <v>53.7</v>
      </c>
      <c r="AB38" s="25">
        <v>53.7</v>
      </c>
      <c r="AC38" s="25">
        <v>6.6</v>
      </c>
      <c r="AD38" s="337">
        <f>AE38</f>
        <v>44.3</v>
      </c>
      <c r="AE38" s="25">
        <v>44.3</v>
      </c>
      <c r="AF38" s="25">
        <v>7.8</v>
      </c>
      <c r="AG38" s="940">
        <f t="shared" ref="AG38:AI40" si="120">+AF38</f>
        <v>7.8</v>
      </c>
      <c r="AH38" s="118">
        <f t="shared" si="120"/>
        <v>7.8</v>
      </c>
      <c r="AI38" s="118">
        <f t="shared" si="120"/>
        <v>7.8</v>
      </c>
      <c r="AJ38" s="118">
        <f>+AG38</f>
        <v>7.8</v>
      </c>
      <c r="AK38" s="118">
        <f t="shared" ref="AK38:AL40" si="121">+AJ38</f>
        <v>7.8</v>
      </c>
      <c r="AL38" s="118">
        <f t="shared" si="121"/>
        <v>7.8</v>
      </c>
      <c r="AM38" s="118">
        <f t="shared" ref="AM38:AN40" si="122">+AJ38</f>
        <v>7.8</v>
      </c>
      <c r="AN38" s="118">
        <f t="shared" si="122"/>
        <v>7.8</v>
      </c>
      <c r="AO38" s="118">
        <f t="shared" ref="AO38:AO40" si="123">+AN38</f>
        <v>7.8</v>
      </c>
      <c r="AP38" s="118">
        <f t="shared" ref="AP38:AP40" si="124">+AM38</f>
        <v>7.8</v>
      </c>
      <c r="AQ38" s="118">
        <f t="shared" ref="AQ38:AQ40" si="125">+AN38</f>
        <v>7.8</v>
      </c>
      <c r="AR38" s="118">
        <f t="shared" ref="AR38:AR40" si="126">+AQ38</f>
        <v>7.8</v>
      </c>
      <c r="AS38" s="118">
        <f t="shared" ref="AS38:AS40" si="127">+AP38</f>
        <v>7.8</v>
      </c>
      <c r="AT38" s="118">
        <f t="shared" ref="AT38:AT40" si="128">+AQ38</f>
        <v>7.8</v>
      </c>
      <c r="AU38" s="118">
        <f t="shared" ref="AU38:AU40" si="129">+AT38</f>
        <v>7.8</v>
      </c>
      <c r="AV38" s="118">
        <f t="shared" ref="AV38:AV40" si="130">+AS38</f>
        <v>7.8</v>
      </c>
      <c r="AW38" s="118">
        <f t="shared" ref="AW38:AW40" si="131">+AT38</f>
        <v>7.8</v>
      </c>
      <c r="AX38" s="118">
        <f t="shared" ref="AX38:AX40" si="132">+AW38</f>
        <v>7.8</v>
      </c>
      <c r="AY38" s="118">
        <f t="shared" ref="AY38:AY40" si="133">+AV38</f>
        <v>7.8</v>
      </c>
      <c r="AZ38" s="118">
        <f t="shared" ref="AZ38:AZ40" si="134">+AW38</f>
        <v>7.8</v>
      </c>
      <c r="BA38" s="118">
        <f t="shared" ref="BA38:BA40" si="135">+AZ38</f>
        <v>7.8</v>
      </c>
      <c r="BB38" s="118">
        <f t="shared" ref="BB38:BB40" si="136">+AY38</f>
        <v>7.8</v>
      </c>
      <c r="BC38" s="118">
        <f t="shared" ref="BC38:BC40" si="137">+AZ38</f>
        <v>7.8</v>
      </c>
      <c r="BD38" s="118">
        <f t="shared" ref="BD38:BD40" si="138">+BC38</f>
        <v>7.8</v>
      </c>
      <c r="BE38" s="118">
        <f t="shared" ref="BE38:BE40" si="139">+BB38</f>
        <v>7.8</v>
      </c>
      <c r="BF38" s="118">
        <f t="shared" ref="BF38:BF40" si="140">+BC38</f>
        <v>7.8</v>
      </c>
      <c r="BG38" s="118">
        <f t="shared" ref="BG38:BG40" si="141">+BF38</f>
        <v>7.8</v>
      </c>
      <c r="BH38" s="118">
        <f t="shared" ref="BH38:BH40" si="142">+BE38</f>
        <v>7.8</v>
      </c>
      <c r="BI38" s="118">
        <f t="shared" ref="BI38:BI40" si="143">+BF38</f>
        <v>7.8</v>
      </c>
      <c r="BJ38" s="118">
        <f t="shared" ref="BJ38:BJ40" si="144">+BI38</f>
        <v>7.8</v>
      </c>
      <c r="BK38" s="118">
        <f t="shared" ref="BK38:BK40" si="145">+BH38</f>
        <v>7.8</v>
      </c>
      <c r="BL38" s="118">
        <f t="shared" ref="BL38:BL40" si="146">+BI38</f>
        <v>7.8</v>
      </c>
      <c r="BM38" s="118">
        <f t="shared" ref="BM38:BM40" si="147">+BL38</f>
        <v>7.8</v>
      </c>
      <c r="BN38" s="118">
        <f t="shared" ref="BN38:BN40" si="148">+BK38</f>
        <v>7.8</v>
      </c>
      <c r="BO38" s="118">
        <f t="shared" ref="BO38:BO40" si="149">+BL38</f>
        <v>7.8</v>
      </c>
      <c r="BP38" s="118">
        <f t="shared" ref="BP38:BP40" si="150">+BO38</f>
        <v>7.8</v>
      </c>
      <c r="BQ38" s="118">
        <f t="shared" ref="BQ38:BQ40" si="151">+BN38</f>
        <v>7.8</v>
      </c>
      <c r="BR38" s="118">
        <f t="shared" ref="BR38:BR40" si="152">+BO38</f>
        <v>7.8</v>
      </c>
    </row>
    <row r="39" spans="2:70" outlineLevel="1">
      <c r="B39" s="30"/>
      <c r="C39" s="84" t="s">
        <v>127</v>
      </c>
      <c r="D39" s="58" t="s">
        <v>58</v>
      </c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S39" s="25">
        <v>41.3</v>
      </c>
      <c r="T39" s="18"/>
      <c r="U39" s="18">
        <f>V39</f>
        <v>97.6</v>
      </c>
      <c r="V39" s="25">
        <v>97.6</v>
      </c>
      <c r="W39" s="337">
        <v>77.7</v>
      </c>
      <c r="X39" s="18">
        <f>Y39</f>
        <v>118.4</v>
      </c>
      <c r="Y39" s="25">
        <v>118.4</v>
      </c>
      <c r="Z39" s="337">
        <v>107.3</v>
      </c>
      <c r="AA39" s="18">
        <f>AB39</f>
        <v>77.099999999999994</v>
      </c>
      <c r="AB39" s="25">
        <v>77.099999999999994</v>
      </c>
      <c r="AC39" s="25">
        <v>56.6</v>
      </c>
      <c r="AD39" s="337">
        <f>AE39</f>
        <v>94.3</v>
      </c>
      <c r="AE39" s="25">
        <v>94.3</v>
      </c>
      <c r="AF39" s="25">
        <v>149</v>
      </c>
      <c r="AG39" s="940">
        <f t="shared" si="120"/>
        <v>149</v>
      </c>
      <c r="AH39" s="118">
        <f t="shared" si="120"/>
        <v>149</v>
      </c>
      <c r="AI39" s="118">
        <f t="shared" si="120"/>
        <v>149</v>
      </c>
      <c r="AJ39" s="118">
        <f>+AG39</f>
        <v>149</v>
      </c>
      <c r="AK39" s="118">
        <f t="shared" si="121"/>
        <v>149</v>
      </c>
      <c r="AL39" s="118">
        <f t="shared" si="121"/>
        <v>149</v>
      </c>
      <c r="AM39" s="118">
        <f t="shared" si="122"/>
        <v>149</v>
      </c>
      <c r="AN39" s="118">
        <f t="shared" si="122"/>
        <v>149</v>
      </c>
      <c r="AO39" s="118">
        <f t="shared" si="123"/>
        <v>149</v>
      </c>
      <c r="AP39" s="118">
        <f t="shared" si="124"/>
        <v>149</v>
      </c>
      <c r="AQ39" s="118">
        <f t="shared" si="125"/>
        <v>149</v>
      </c>
      <c r="AR39" s="118">
        <f t="shared" si="126"/>
        <v>149</v>
      </c>
      <c r="AS39" s="118">
        <f t="shared" si="127"/>
        <v>149</v>
      </c>
      <c r="AT39" s="118">
        <f t="shared" si="128"/>
        <v>149</v>
      </c>
      <c r="AU39" s="118">
        <f t="shared" si="129"/>
        <v>149</v>
      </c>
      <c r="AV39" s="118">
        <f t="shared" si="130"/>
        <v>149</v>
      </c>
      <c r="AW39" s="118">
        <f t="shared" si="131"/>
        <v>149</v>
      </c>
      <c r="AX39" s="118">
        <f t="shared" si="132"/>
        <v>149</v>
      </c>
      <c r="AY39" s="118">
        <f t="shared" si="133"/>
        <v>149</v>
      </c>
      <c r="AZ39" s="118">
        <f t="shared" si="134"/>
        <v>149</v>
      </c>
      <c r="BA39" s="118">
        <f t="shared" si="135"/>
        <v>149</v>
      </c>
      <c r="BB39" s="118">
        <f t="shared" si="136"/>
        <v>149</v>
      </c>
      <c r="BC39" s="118">
        <f t="shared" si="137"/>
        <v>149</v>
      </c>
      <c r="BD39" s="118">
        <f t="shared" si="138"/>
        <v>149</v>
      </c>
      <c r="BE39" s="118">
        <f t="shared" si="139"/>
        <v>149</v>
      </c>
      <c r="BF39" s="118">
        <f t="shared" si="140"/>
        <v>149</v>
      </c>
      <c r="BG39" s="118">
        <f t="shared" si="141"/>
        <v>149</v>
      </c>
      <c r="BH39" s="118">
        <f t="shared" si="142"/>
        <v>149</v>
      </c>
      <c r="BI39" s="118">
        <f t="shared" si="143"/>
        <v>149</v>
      </c>
      <c r="BJ39" s="118">
        <f t="shared" si="144"/>
        <v>149</v>
      </c>
      <c r="BK39" s="118">
        <f t="shared" si="145"/>
        <v>149</v>
      </c>
      <c r="BL39" s="118">
        <f t="shared" si="146"/>
        <v>149</v>
      </c>
      <c r="BM39" s="118">
        <f t="shared" si="147"/>
        <v>149</v>
      </c>
      <c r="BN39" s="118">
        <f t="shared" si="148"/>
        <v>149</v>
      </c>
      <c r="BO39" s="118">
        <f t="shared" si="149"/>
        <v>149</v>
      </c>
      <c r="BP39" s="118">
        <f t="shared" si="150"/>
        <v>149</v>
      </c>
      <c r="BQ39" s="118">
        <f t="shared" si="151"/>
        <v>149</v>
      </c>
      <c r="BR39" s="118">
        <f t="shared" si="152"/>
        <v>149</v>
      </c>
    </row>
    <row r="40" spans="2:70" outlineLevel="1">
      <c r="B40" s="30"/>
      <c r="C40" s="84" t="s">
        <v>128</v>
      </c>
      <c r="D40" s="58" t="s">
        <v>58</v>
      </c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S40" s="25">
        <v>273.39999999999998</v>
      </c>
      <c r="T40" s="18"/>
      <c r="U40" s="18">
        <f>V40</f>
        <v>123.4</v>
      </c>
      <c r="V40" s="25">
        <v>123.4</v>
      </c>
      <c r="W40" s="337">
        <v>106.2</v>
      </c>
      <c r="X40" s="18">
        <f>Y40</f>
        <v>95.5</v>
      </c>
      <c r="Y40" s="25">
        <v>95.5</v>
      </c>
      <c r="Z40" s="337">
        <v>96.5</v>
      </c>
      <c r="AA40" s="18">
        <f>AB40</f>
        <v>179.3</v>
      </c>
      <c r="AB40" s="25">
        <v>179.3</v>
      </c>
      <c r="AC40" s="25">
        <v>140.69999999999999</v>
      </c>
      <c r="AD40" s="337">
        <f>AE40</f>
        <v>170.9</v>
      </c>
      <c r="AE40" s="25">
        <v>170.9</v>
      </c>
      <c r="AF40" s="25">
        <v>132.69999999999999</v>
      </c>
      <c r="AG40" s="940">
        <f>+AF40</f>
        <v>132.69999999999999</v>
      </c>
      <c r="AH40" s="118">
        <f t="shared" si="120"/>
        <v>132.69999999999999</v>
      </c>
      <c r="AI40" s="118">
        <f t="shared" si="120"/>
        <v>132.69999999999999</v>
      </c>
      <c r="AJ40" s="118">
        <f>+AG40</f>
        <v>132.69999999999999</v>
      </c>
      <c r="AK40" s="118">
        <f t="shared" si="121"/>
        <v>132.69999999999999</v>
      </c>
      <c r="AL40" s="118">
        <f t="shared" si="121"/>
        <v>132.69999999999999</v>
      </c>
      <c r="AM40" s="118">
        <f t="shared" si="122"/>
        <v>132.69999999999999</v>
      </c>
      <c r="AN40" s="118">
        <f t="shared" si="122"/>
        <v>132.69999999999999</v>
      </c>
      <c r="AO40" s="118">
        <f t="shared" si="123"/>
        <v>132.69999999999999</v>
      </c>
      <c r="AP40" s="118">
        <f t="shared" si="124"/>
        <v>132.69999999999999</v>
      </c>
      <c r="AQ40" s="118">
        <f t="shared" si="125"/>
        <v>132.69999999999999</v>
      </c>
      <c r="AR40" s="118">
        <f t="shared" si="126"/>
        <v>132.69999999999999</v>
      </c>
      <c r="AS40" s="118">
        <f t="shared" si="127"/>
        <v>132.69999999999999</v>
      </c>
      <c r="AT40" s="118">
        <f t="shared" si="128"/>
        <v>132.69999999999999</v>
      </c>
      <c r="AU40" s="118">
        <f t="shared" si="129"/>
        <v>132.69999999999999</v>
      </c>
      <c r="AV40" s="118">
        <f t="shared" si="130"/>
        <v>132.69999999999999</v>
      </c>
      <c r="AW40" s="118">
        <f t="shared" si="131"/>
        <v>132.69999999999999</v>
      </c>
      <c r="AX40" s="118">
        <f t="shared" si="132"/>
        <v>132.69999999999999</v>
      </c>
      <c r="AY40" s="118">
        <f t="shared" si="133"/>
        <v>132.69999999999999</v>
      </c>
      <c r="AZ40" s="118">
        <f t="shared" si="134"/>
        <v>132.69999999999999</v>
      </c>
      <c r="BA40" s="118">
        <f t="shared" si="135"/>
        <v>132.69999999999999</v>
      </c>
      <c r="BB40" s="118">
        <f t="shared" si="136"/>
        <v>132.69999999999999</v>
      </c>
      <c r="BC40" s="118">
        <f t="shared" si="137"/>
        <v>132.69999999999999</v>
      </c>
      <c r="BD40" s="118">
        <f t="shared" si="138"/>
        <v>132.69999999999999</v>
      </c>
      <c r="BE40" s="118">
        <f t="shared" si="139"/>
        <v>132.69999999999999</v>
      </c>
      <c r="BF40" s="118">
        <f t="shared" si="140"/>
        <v>132.69999999999999</v>
      </c>
      <c r="BG40" s="118">
        <f t="shared" si="141"/>
        <v>132.69999999999999</v>
      </c>
      <c r="BH40" s="118">
        <f t="shared" si="142"/>
        <v>132.69999999999999</v>
      </c>
      <c r="BI40" s="118">
        <f t="shared" si="143"/>
        <v>132.69999999999999</v>
      </c>
      <c r="BJ40" s="118">
        <f t="shared" si="144"/>
        <v>132.69999999999999</v>
      </c>
      <c r="BK40" s="118">
        <f t="shared" si="145"/>
        <v>132.69999999999999</v>
      </c>
      <c r="BL40" s="118">
        <f t="shared" si="146"/>
        <v>132.69999999999999</v>
      </c>
      <c r="BM40" s="118">
        <f t="shared" si="147"/>
        <v>132.69999999999999</v>
      </c>
      <c r="BN40" s="118">
        <f t="shared" si="148"/>
        <v>132.69999999999999</v>
      </c>
      <c r="BO40" s="118">
        <f t="shared" si="149"/>
        <v>132.69999999999999</v>
      </c>
      <c r="BP40" s="118">
        <f t="shared" si="150"/>
        <v>132.69999999999999</v>
      </c>
      <c r="BQ40" s="118">
        <f t="shared" si="151"/>
        <v>132.69999999999999</v>
      </c>
      <c r="BR40" s="118">
        <f t="shared" si="152"/>
        <v>132.69999999999999</v>
      </c>
    </row>
    <row r="41" spans="2:70" s="8" customFormat="1" outlineLevel="1">
      <c r="B41" s="85"/>
      <c r="C41" s="85" t="s">
        <v>129</v>
      </c>
      <c r="D41" s="56" t="s">
        <v>58</v>
      </c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S41" s="64">
        <f>S36+S37+S38+S39+S40</f>
        <v>4358.5999999999995</v>
      </c>
      <c r="T41" s="64"/>
      <c r="U41" s="64">
        <f t="shared" ref="U41:AB41" si="153">U36+U37+U38+U39+U40</f>
        <v>3296.0000000000005</v>
      </c>
      <c r="V41" s="64">
        <f t="shared" si="153"/>
        <v>3296.0000000000005</v>
      </c>
      <c r="W41" s="64">
        <f t="shared" si="153"/>
        <v>2955.1</v>
      </c>
      <c r="X41" s="64">
        <f t="shared" si="153"/>
        <v>3674.3999999999996</v>
      </c>
      <c r="Y41" s="64">
        <f t="shared" si="153"/>
        <v>3674.3999999999996</v>
      </c>
      <c r="Z41" s="64">
        <f t="shared" si="153"/>
        <v>3666.0000000000005</v>
      </c>
      <c r="AA41" s="64">
        <f t="shared" si="153"/>
        <v>3645.2000000000003</v>
      </c>
      <c r="AB41" s="64">
        <f t="shared" si="153"/>
        <v>3645.2000000000003</v>
      </c>
      <c r="AC41" s="64">
        <f t="shared" ref="AC41:AN41" si="154">AC36+AC37+AC38+AC39+AC40</f>
        <v>3403.9999999999995</v>
      </c>
      <c r="AD41" s="64">
        <f t="shared" si="154"/>
        <v>4012.4000000000005</v>
      </c>
      <c r="AE41" s="341">
        <f t="shared" si="154"/>
        <v>4012.4000000000005</v>
      </c>
      <c r="AF41" s="341">
        <f>AF36+AF37+AF38+AF39+AF40</f>
        <v>4981.8999999999996</v>
      </c>
      <c r="AG41" s="934">
        <f t="shared" si="154"/>
        <v>5328.4924239766706</v>
      </c>
      <c r="AH41" s="64">
        <f t="shared" si="154"/>
        <v>5328.4924239766706</v>
      </c>
      <c r="AI41" s="64">
        <f>AI36+AI37+AI38+AI39+AI40</f>
        <v>4975.4818377876109</v>
      </c>
      <c r="AJ41" s="64">
        <f t="shared" si="154"/>
        <v>5397.5933577411306</v>
      </c>
      <c r="AK41" s="64">
        <f t="shared" si="154"/>
        <v>5397.5933577411306</v>
      </c>
      <c r="AL41" s="64">
        <f>AL36+AL37+AL38+AL39+AL40</f>
        <v>5137.1820172058906</v>
      </c>
      <c r="AM41" s="64">
        <f t="shared" si="154"/>
        <v>5518.5043830802915</v>
      </c>
      <c r="AN41" s="64">
        <f t="shared" si="154"/>
        <v>5518.5043830802915</v>
      </c>
      <c r="AO41" s="64">
        <f>AO36+AO37+AO38+AO39+AO40</f>
        <v>5188.5313461685528</v>
      </c>
      <c r="AP41" s="64">
        <f t="shared" ref="AP41:AQ41" si="155">AP36+AP37+AP38+AP39+AP40</f>
        <v>5566.6841327203219</v>
      </c>
      <c r="AQ41" s="64">
        <f t="shared" si="155"/>
        <v>5566.6841327203219</v>
      </c>
      <c r="AR41" s="64">
        <f>AR36+AR37+AR38+AR39+AR40</f>
        <v>5233.115270683551</v>
      </c>
      <c r="AS41" s="64">
        <f t="shared" ref="AS41:AT41" si="156">AS36+AS37+AS38+AS39+AS40</f>
        <v>5619.1968401723898</v>
      </c>
      <c r="AT41" s="64">
        <f t="shared" si="156"/>
        <v>5619.1968401723898</v>
      </c>
      <c r="AU41" s="64">
        <f>AU36+AU37+AU38+AU39+AU40</f>
        <v>5279.1290024109494</v>
      </c>
      <c r="AV41" s="64">
        <f t="shared" ref="AV41:AW41" si="157">AV36+AV37+AV38+AV39+AV40</f>
        <v>5673.3595692172103</v>
      </c>
      <c r="AW41" s="64">
        <f t="shared" si="157"/>
        <v>5673.3595692172103</v>
      </c>
      <c r="AX41" s="64">
        <f>AX36+AX37+AX38+AX39+AX40</f>
        <v>5326.6196752385949</v>
      </c>
      <c r="AY41" s="64">
        <f t="shared" ref="AY41:AZ41" si="158">AY36+AY37+AY38+AY39+AY40</f>
        <v>5729.2268898348666</v>
      </c>
      <c r="AZ41" s="64">
        <f t="shared" si="158"/>
        <v>5729.2268898348666</v>
      </c>
      <c r="BA41" s="64">
        <f>BA36+BA37+BA38+BA39+BA40</f>
        <v>5375.6362943033027</v>
      </c>
      <c r="BB41" s="64">
        <f t="shared" ref="BB41:BC41" si="159">BB36+BB37+BB38+BB39+BB40</f>
        <v>5786.8555132227693</v>
      </c>
      <c r="BC41" s="64">
        <f t="shared" si="159"/>
        <v>5786.8555132227693</v>
      </c>
      <c r="BD41" s="64">
        <f>BD36+BD37+BD38+BD39+BD40</f>
        <v>5426.229813077749</v>
      </c>
      <c r="BE41" s="64">
        <f t="shared" ref="BE41:BF41" si="160">BE36+BE37+BE38+BE39+BE40</f>
        <v>5846.3043795934</v>
      </c>
      <c r="BF41" s="64">
        <f t="shared" si="160"/>
        <v>5846.3043795934</v>
      </c>
      <c r="BG41" s="64">
        <f>BG36+BG37+BG38+BG39+BG40</f>
        <v>5478.4532138641134</v>
      </c>
      <c r="BH41" s="64">
        <f t="shared" ref="BH41:BI41" si="161">BH36+BH37+BH38+BH39+BH40</f>
        <v>5907.6347498269733</v>
      </c>
      <c r="BI41" s="64">
        <f t="shared" si="161"/>
        <v>5907.6347498269733</v>
      </c>
      <c r="BJ41" s="64">
        <f>BJ36+BJ37+BJ38+BJ39+BJ40</f>
        <v>5532.3615918502746</v>
      </c>
      <c r="BK41" s="64">
        <f t="shared" ref="BK41:BL41" si="162">BK36+BK37+BK38+BK39+BK40</f>
        <v>5970.9103011546285</v>
      </c>
      <c r="BL41" s="64">
        <f t="shared" si="162"/>
        <v>5970.9103011546285</v>
      </c>
      <c r="BM41" s="64">
        <f>BM36+BM37+BM38+BM39+BM40</f>
        <v>5588.0122428917639</v>
      </c>
      <c r="BN41" s="64">
        <f t="shared" ref="BN41:BO41" si="163">BN36+BN37+BN38+BN39+BN40</f>
        <v>6036.1972270560263</v>
      </c>
      <c r="BO41" s="64">
        <f t="shared" si="163"/>
        <v>6036.1972270560263</v>
      </c>
      <c r="BP41" s="64">
        <f>BP36+BP37+BP38+BP39+BP40</f>
        <v>5645.4647551903399</v>
      </c>
      <c r="BQ41" s="64">
        <f t="shared" ref="BQ41:BR41" si="164">BQ36+BQ37+BQ38+BQ39+BQ40</f>
        <v>6103.564341563897</v>
      </c>
      <c r="BR41" s="64">
        <f t="shared" si="164"/>
        <v>6103.564341563897</v>
      </c>
    </row>
    <row r="42" spans="2:70" outlineLevel="1">
      <c r="B42" s="30"/>
      <c r="C42" s="84" t="s">
        <v>126</v>
      </c>
      <c r="D42" s="58" t="s">
        <v>58</v>
      </c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S42" s="25">
        <v>2945.7</v>
      </c>
      <c r="T42" s="18"/>
      <c r="U42" s="18">
        <f t="shared" ref="U42:U47" si="165">V42</f>
        <v>3001.3</v>
      </c>
      <c r="V42" s="25">
        <v>3001.3</v>
      </c>
      <c r="W42" s="337">
        <v>2765.6</v>
      </c>
      <c r="X42" s="18">
        <f t="shared" ref="X42:X47" si="166">Y42</f>
        <v>2572.6</v>
      </c>
      <c r="Y42" s="25">
        <v>2572.6</v>
      </c>
      <c r="Z42" s="337">
        <v>2617.3000000000002</v>
      </c>
      <c r="AA42" s="18">
        <f t="shared" ref="AA42:AA47" si="167">AB42</f>
        <v>3428.4</v>
      </c>
      <c r="AB42" s="25">
        <v>3428.4</v>
      </c>
      <c r="AC42" s="25">
        <v>3673.7</v>
      </c>
      <c r="AD42" s="337">
        <f t="shared" ref="AD42:AD47" si="168">AE42</f>
        <v>3486.4</v>
      </c>
      <c r="AE42" s="25">
        <v>3486.4</v>
      </c>
      <c r="AF42" s="25">
        <v>2458.4</v>
      </c>
      <c r="AG42" s="940">
        <f>AF42+AG80</f>
        <v>2067.7764957464697</v>
      </c>
      <c r="AH42" s="118">
        <f>AG42</f>
        <v>2067.7764957464697</v>
      </c>
      <c r="AI42" s="118">
        <f>AH42+AI80</f>
        <v>2211.219728146516</v>
      </c>
      <c r="AJ42" s="118">
        <f>AI42+AJ80</f>
        <v>1781.1598977544327</v>
      </c>
      <c r="AK42" s="118">
        <f>AJ42</f>
        <v>1781.1598977544327</v>
      </c>
      <c r="AL42" s="118">
        <f>AK42+AL80</f>
        <v>1932.482233588059</v>
      </c>
      <c r="AM42" s="118">
        <f>AL42+AM80</f>
        <v>1478.0523104498388</v>
      </c>
      <c r="AN42" s="118">
        <f>AM42</f>
        <v>1478.0523104498388</v>
      </c>
      <c r="AO42" s="118">
        <f>AN42+AO80</f>
        <v>1631.6413951142465</v>
      </c>
      <c r="AP42" s="118">
        <f>AO42+AP80</f>
        <v>1169.4446892279293</v>
      </c>
      <c r="AQ42" s="118">
        <f>AP42</f>
        <v>1169.4446892279293</v>
      </c>
      <c r="AR42" s="118">
        <f>AQ42+AR80</f>
        <v>1329.1851728215538</v>
      </c>
      <c r="AS42" s="118">
        <f>AR42+AS80</f>
        <v>857.0094561086803</v>
      </c>
      <c r="AT42" s="118">
        <f>AS42</f>
        <v>857.0094561086803</v>
      </c>
      <c r="AU42" s="118">
        <f>AT42+AU80</f>
        <v>1017.4005098482013</v>
      </c>
      <c r="AV42" s="118">
        <f>AU42+AV80</f>
        <v>534.8866317837535</v>
      </c>
      <c r="AW42" s="118">
        <f>AV42</f>
        <v>534.8866317837535</v>
      </c>
      <c r="AX42" s="118">
        <f>AW42+AX80</f>
        <v>695.94913399594577</v>
      </c>
      <c r="AY42" s="118">
        <f>AX42+AY80</f>
        <v>202.7652044363457</v>
      </c>
      <c r="AZ42" s="118">
        <f>AY42</f>
        <v>202.7652044363457</v>
      </c>
      <c r="BA42" s="118">
        <f>AZ42+BA80</f>
        <v>364.52098960824969</v>
      </c>
      <c r="BB42" s="118">
        <f>BA42+BB80</f>
        <v>0</v>
      </c>
      <c r="BC42" s="118">
        <f>BB42</f>
        <v>0</v>
      </c>
      <c r="BD42" s="118">
        <f>BC42+BD80</f>
        <v>163.41119889696449</v>
      </c>
      <c r="BE42" s="118">
        <f>BD42+BE80</f>
        <v>0</v>
      </c>
      <c r="BF42" s="118">
        <f>BE42</f>
        <v>0</v>
      </c>
      <c r="BG42" s="118">
        <f>BF42+BG80</f>
        <v>166.004308821499</v>
      </c>
      <c r="BH42" s="118">
        <f>BG42+BH80</f>
        <v>0</v>
      </c>
      <c r="BI42" s="118">
        <f>BH42</f>
        <v>0</v>
      </c>
      <c r="BJ42" s="118">
        <f>BI42+BJ80</f>
        <v>167.90376761253137</v>
      </c>
      <c r="BK42" s="118">
        <f>BJ42+BK80</f>
        <v>0</v>
      </c>
      <c r="BL42" s="118">
        <f>BK42</f>
        <v>0</v>
      </c>
      <c r="BM42" s="118">
        <f>BL42+BM80</f>
        <v>169.87338389469488</v>
      </c>
      <c r="BN42" s="118">
        <f>BM42+BN80</f>
        <v>0</v>
      </c>
      <c r="BO42" s="118">
        <f>BN42</f>
        <v>0</v>
      </c>
      <c r="BP42" s="118">
        <f>BO42+BP80</f>
        <v>165.54412600870563</v>
      </c>
      <c r="BQ42" s="118">
        <f>BP42+BQ80</f>
        <v>0</v>
      </c>
      <c r="BR42" s="118">
        <f>BQ42</f>
        <v>0</v>
      </c>
    </row>
    <row r="43" spans="2:70" outlineLevel="1">
      <c r="B43" s="30"/>
      <c r="C43" s="84" t="s">
        <v>130</v>
      </c>
      <c r="D43" s="58" t="s">
        <v>58</v>
      </c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S43" s="25">
        <v>11.5</v>
      </c>
      <c r="T43" s="18"/>
      <c r="U43" s="18">
        <f t="shared" si="165"/>
        <v>0</v>
      </c>
      <c r="V43" s="25">
        <v>0</v>
      </c>
      <c r="W43" s="337">
        <v>0</v>
      </c>
      <c r="X43" s="18">
        <f t="shared" si="166"/>
        <v>0</v>
      </c>
      <c r="Y43" s="25">
        <v>0</v>
      </c>
      <c r="Z43" s="337">
        <v>0</v>
      </c>
      <c r="AA43" s="18">
        <f t="shared" si="167"/>
        <v>0</v>
      </c>
      <c r="AB43" s="25">
        <v>0</v>
      </c>
      <c r="AC43" s="25">
        <v>0</v>
      </c>
      <c r="AD43" s="337">
        <f t="shared" si="168"/>
        <v>0</v>
      </c>
      <c r="AE43" s="25">
        <v>0</v>
      </c>
      <c r="AF43" s="25">
        <f t="shared" ref="AF43:AI47" si="169">+AE43</f>
        <v>0</v>
      </c>
      <c r="AG43" s="940">
        <f t="shared" si="169"/>
        <v>0</v>
      </c>
      <c r="AH43" s="118">
        <f t="shared" si="169"/>
        <v>0</v>
      </c>
      <c r="AI43" s="118">
        <f t="shared" si="169"/>
        <v>0</v>
      </c>
      <c r="AJ43" s="118">
        <f>+AG43</f>
        <v>0</v>
      </c>
      <c r="AK43" s="118">
        <f t="shared" ref="AK43:AL47" si="170">+AJ43</f>
        <v>0</v>
      </c>
      <c r="AL43" s="118">
        <f t="shared" si="170"/>
        <v>0</v>
      </c>
      <c r="AM43" s="118">
        <f t="shared" ref="AM43:AN47" si="171">+AJ43</f>
        <v>0</v>
      </c>
      <c r="AN43" s="118">
        <f t="shared" si="171"/>
        <v>0</v>
      </c>
      <c r="AO43" s="118">
        <f t="shared" ref="AO43" si="172">+AN43</f>
        <v>0</v>
      </c>
      <c r="AP43" s="118">
        <f t="shared" ref="AP43" si="173">+AM43</f>
        <v>0</v>
      </c>
      <c r="AQ43" s="118">
        <f t="shared" ref="AQ43" si="174">+AN43</f>
        <v>0</v>
      </c>
      <c r="AR43" s="118">
        <f t="shared" ref="AR43" si="175">+AQ43</f>
        <v>0</v>
      </c>
      <c r="AS43" s="118">
        <f t="shared" ref="AS43" si="176">+AP43</f>
        <v>0</v>
      </c>
      <c r="AT43" s="118">
        <f t="shared" ref="AT43" si="177">+AQ43</f>
        <v>0</v>
      </c>
      <c r="AU43" s="118">
        <f t="shared" ref="AU43" si="178">+AT43</f>
        <v>0</v>
      </c>
      <c r="AV43" s="118">
        <f t="shared" ref="AV43" si="179">+AS43</f>
        <v>0</v>
      </c>
      <c r="AW43" s="118">
        <f t="shared" ref="AW43" si="180">+AT43</f>
        <v>0</v>
      </c>
      <c r="AX43" s="118">
        <f t="shared" ref="AX43" si="181">+AW43</f>
        <v>0</v>
      </c>
      <c r="AY43" s="118">
        <f t="shared" ref="AY43" si="182">+AV43</f>
        <v>0</v>
      </c>
      <c r="AZ43" s="118">
        <f t="shared" ref="AZ43" si="183">+AW43</f>
        <v>0</v>
      </c>
      <c r="BA43" s="118">
        <f t="shared" ref="BA43" si="184">+AZ43</f>
        <v>0</v>
      </c>
      <c r="BB43" s="118">
        <f t="shared" ref="BB43" si="185">+AY43</f>
        <v>0</v>
      </c>
      <c r="BC43" s="118">
        <f t="shared" ref="BC43" si="186">+AZ43</f>
        <v>0</v>
      </c>
      <c r="BD43" s="118">
        <f t="shared" ref="BD43" si="187">+BC43</f>
        <v>0</v>
      </c>
      <c r="BE43" s="118">
        <f t="shared" ref="BE43" si="188">+BB43</f>
        <v>0</v>
      </c>
      <c r="BF43" s="118">
        <f t="shared" ref="BF43" si="189">+BC43</f>
        <v>0</v>
      </c>
      <c r="BG43" s="118">
        <f t="shared" ref="BG43" si="190">+BF43</f>
        <v>0</v>
      </c>
      <c r="BH43" s="118">
        <f t="shared" ref="BH43" si="191">+BE43</f>
        <v>0</v>
      </c>
      <c r="BI43" s="118">
        <f t="shared" ref="BI43" si="192">+BF43</f>
        <v>0</v>
      </c>
      <c r="BJ43" s="118">
        <f t="shared" ref="BJ43" si="193">+BI43</f>
        <v>0</v>
      </c>
      <c r="BK43" s="118">
        <f t="shared" ref="BK43" si="194">+BH43</f>
        <v>0</v>
      </c>
      <c r="BL43" s="118">
        <f t="shared" ref="BL43" si="195">+BI43</f>
        <v>0</v>
      </c>
      <c r="BM43" s="118">
        <f t="shared" ref="BM43" si="196">+BL43</f>
        <v>0</v>
      </c>
      <c r="BN43" s="118">
        <f t="shared" ref="BN43" si="197">+BK43</f>
        <v>0</v>
      </c>
      <c r="BO43" s="118">
        <f t="shared" ref="BO43" si="198">+BL43</f>
        <v>0</v>
      </c>
      <c r="BP43" s="118">
        <f t="shared" ref="BP43" si="199">+BO43</f>
        <v>0</v>
      </c>
      <c r="BQ43" s="118">
        <f t="shared" ref="BQ43" si="200">+BN43</f>
        <v>0</v>
      </c>
      <c r="BR43" s="118">
        <f t="shared" ref="BR43" si="201">+BO43</f>
        <v>0</v>
      </c>
    </row>
    <row r="44" spans="2:70" outlineLevel="1">
      <c r="B44" s="30"/>
      <c r="C44" s="84" t="s">
        <v>131</v>
      </c>
      <c r="D44" s="58" t="s">
        <v>58</v>
      </c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S44" s="25">
        <v>261.10000000000002</v>
      </c>
      <c r="T44" s="18"/>
      <c r="U44" s="18">
        <f t="shared" si="165"/>
        <v>252.2</v>
      </c>
      <c r="V44" s="25">
        <v>252.2</v>
      </c>
      <c r="W44" s="337">
        <v>253.6</v>
      </c>
      <c r="X44" s="18">
        <f t="shared" si="166"/>
        <v>230</v>
      </c>
      <c r="Y44" s="25">
        <v>230</v>
      </c>
      <c r="Z44" s="337">
        <v>234.5</v>
      </c>
      <c r="AA44" s="18">
        <f t="shared" si="167"/>
        <v>211.6</v>
      </c>
      <c r="AB44" s="25">
        <v>211.6</v>
      </c>
      <c r="AC44" s="25">
        <v>233.6</v>
      </c>
      <c r="AD44" s="337">
        <f t="shared" si="168"/>
        <v>215.4</v>
      </c>
      <c r="AE44" s="25">
        <v>215.4</v>
      </c>
      <c r="AF44" s="25">
        <v>185.8</v>
      </c>
      <c r="AG44" s="940">
        <f>+AF44+(-AG15+AG61)</f>
        <v>191.38168211230521</v>
      </c>
      <c r="AH44" s="118">
        <f>+AG44</f>
        <v>191.38168211230521</v>
      </c>
      <c r="AI44" s="118">
        <f>+AH44+(-AI15+AI61)</f>
        <v>196.29545904566618</v>
      </c>
      <c r="AJ44" s="118">
        <f>+AI44+(-AJ15+AJ61)</f>
        <v>202.42290234033433</v>
      </c>
      <c r="AK44" s="118">
        <f>+AJ44</f>
        <v>202.42290234033433</v>
      </c>
      <c r="AL44" s="118">
        <f>+AK44+(-AL15+AL61)</f>
        <v>207.90232989773745</v>
      </c>
      <c r="AM44" s="118">
        <f>+AL44+(-AM15+AM61)</f>
        <v>220.96749978550127</v>
      </c>
      <c r="AN44" s="118">
        <f>+AM44</f>
        <v>220.96749978550127</v>
      </c>
      <c r="AO44" s="118">
        <f>+AN44+(-AO15+AO61)</f>
        <v>226.71910489554992</v>
      </c>
      <c r="AP44" s="118">
        <f>+AO44+(-AP15+AP61)</f>
        <v>233.56055950503429</v>
      </c>
      <c r="AQ44" s="118">
        <f>+AP44</f>
        <v>233.56055950503429</v>
      </c>
      <c r="AR44" s="118">
        <f>+AQ44+(-AR15+AR61)</f>
        <v>239.50270560131386</v>
      </c>
      <c r="AS44" s="118">
        <f>+AR44+(-AS15+AS61)</f>
        <v>246.55543159253256</v>
      </c>
      <c r="AT44" s="118">
        <f>+AS44</f>
        <v>246.55543159253256</v>
      </c>
      <c r="AU44" s="118">
        <f>+AT44+(-AU15+AU61)</f>
        <v>252.6935598052296</v>
      </c>
      <c r="AV44" s="118">
        <f>+AU44+(-AV15+AV61)</f>
        <v>259.96434829207726</v>
      </c>
      <c r="AW44" s="118">
        <f>+AV44</f>
        <v>259.96434829207726</v>
      </c>
      <c r="AX44" s="118">
        <f>+AW44+(-AX15+AX61)</f>
        <v>266.30479313035244</v>
      </c>
      <c r="AY44" s="118">
        <f>+AX44+(-AY15+AY61)</f>
        <v>273.80066570577725</v>
      </c>
      <c r="AZ44" s="118">
        <f>+AY44</f>
        <v>273.80066570577725</v>
      </c>
      <c r="BA44" s="118">
        <f>+AZ44+(-BA15+BA61)</f>
        <v>280.34997218818376</v>
      </c>
      <c r="BB44" s="118">
        <f>+BA44+(-BB15+BB61)</f>
        <v>288.06824542070507</v>
      </c>
      <c r="BC44" s="118">
        <f>+BB44</f>
        <v>288.06824542070507</v>
      </c>
      <c r="BD44" s="118">
        <f>+BC44+(-BD15+BD61)</f>
        <v>294.81405345477333</v>
      </c>
      <c r="BE44" s="118">
        <f>+BD44+(-BE15+BE61)</f>
        <v>302.73691048976394</v>
      </c>
      <c r="BF44" s="118">
        <f>+BE44</f>
        <v>302.73691048976394</v>
      </c>
      <c r="BG44" s="118">
        <f>+BF44+(-BG15+BG61)</f>
        <v>309.65689809420206</v>
      </c>
      <c r="BH44" s="118">
        <f>+BG44+(-BH15+BH61)</f>
        <v>317.77577493005907</v>
      </c>
      <c r="BI44" s="118">
        <f>+BH44</f>
        <v>317.77577493005907</v>
      </c>
      <c r="BJ44" s="118">
        <f>+BI44+(-BJ15+BJ61)</f>
        <v>324.87542183566546</v>
      </c>
      <c r="BK44" s="118">
        <f>+BJ44+(-BK15+BK61)</f>
        <v>333.19654709482097</v>
      </c>
      <c r="BL44" s="118">
        <f>+BK44</f>
        <v>333.19654709482097</v>
      </c>
      <c r="BM44" s="118">
        <f>+BL44+(-BM15+BM61)</f>
        <v>340.48151080138825</v>
      </c>
      <c r="BN44" s="118">
        <f>+BM44+(-BN15+BN61)</f>
        <v>349.01093644066043</v>
      </c>
      <c r="BO44" s="118">
        <f>+BN44</f>
        <v>349.01093644066043</v>
      </c>
      <c r="BP44" s="118">
        <f>+BO44+(-BP15+BP61)</f>
        <v>356.48714566778085</v>
      </c>
      <c r="BQ44" s="118">
        <f>+BP44+(-BQ15+BQ61)</f>
        <v>365.23199395324389</v>
      </c>
      <c r="BR44" s="118">
        <f>+BQ44</f>
        <v>365.23199395324389</v>
      </c>
    </row>
    <row r="45" spans="2:70" outlineLevel="1">
      <c r="B45" s="30"/>
      <c r="C45" s="84" t="s">
        <v>128</v>
      </c>
      <c r="D45" s="58" t="s">
        <v>58</v>
      </c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S45" s="25">
        <v>168.8</v>
      </c>
      <c r="T45" s="18"/>
      <c r="U45" s="18">
        <f t="shared" si="165"/>
        <v>126.7</v>
      </c>
      <c r="V45" s="25">
        <v>126.7</v>
      </c>
      <c r="W45" s="337">
        <v>95</v>
      </c>
      <c r="X45" s="18">
        <f t="shared" si="166"/>
        <v>85.8</v>
      </c>
      <c r="Y45" s="25">
        <v>85.8</v>
      </c>
      <c r="Z45" s="337">
        <v>83.3</v>
      </c>
      <c r="AA45" s="18">
        <f t="shared" si="167"/>
        <v>95.4</v>
      </c>
      <c r="AB45" s="25">
        <v>95.4</v>
      </c>
      <c r="AC45" s="25">
        <v>102.3</v>
      </c>
      <c r="AD45" s="337">
        <f t="shared" si="168"/>
        <v>111.4</v>
      </c>
      <c r="AE45" s="25">
        <v>111.4</v>
      </c>
      <c r="AF45" s="25">
        <v>118.1</v>
      </c>
      <c r="AG45" s="940">
        <f>+AF45</f>
        <v>118.1</v>
      </c>
      <c r="AH45" s="118">
        <f t="shared" si="169"/>
        <v>118.1</v>
      </c>
      <c r="AI45" s="118">
        <f t="shared" si="169"/>
        <v>118.1</v>
      </c>
      <c r="AJ45" s="118">
        <f>+AG45</f>
        <v>118.1</v>
      </c>
      <c r="AK45" s="118">
        <f t="shared" si="170"/>
        <v>118.1</v>
      </c>
      <c r="AL45" s="118">
        <f t="shared" si="170"/>
        <v>118.1</v>
      </c>
      <c r="AM45" s="118">
        <f t="shared" si="171"/>
        <v>118.1</v>
      </c>
      <c r="AN45" s="118">
        <f t="shared" si="171"/>
        <v>118.1</v>
      </c>
      <c r="AO45" s="118">
        <f t="shared" ref="AO45:AO47" si="202">+AN45</f>
        <v>118.1</v>
      </c>
      <c r="AP45" s="118">
        <f t="shared" ref="AP45:AP47" si="203">+AM45</f>
        <v>118.1</v>
      </c>
      <c r="AQ45" s="118">
        <f t="shared" ref="AQ45:AQ47" si="204">+AN45</f>
        <v>118.1</v>
      </c>
      <c r="AR45" s="118">
        <f t="shared" ref="AR45:AR47" si="205">+AQ45</f>
        <v>118.1</v>
      </c>
      <c r="AS45" s="118">
        <f t="shared" ref="AS45:AS47" si="206">+AP45</f>
        <v>118.1</v>
      </c>
      <c r="AT45" s="118">
        <f t="shared" ref="AT45:AT47" si="207">+AQ45</f>
        <v>118.1</v>
      </c>
      <c r="AU45" s="118">
        <f t="shared" ref="AU45:AU47" si="208">+AT45</f>
        <v>118.1</v>
      </c>
      <c r="AV45" s="118">
        <f t="shared" ref="AV45:AV47" si="209">+AS45</f>
        <v>118.1</v>
      </c>
      <c r="AW45" s="118">
        <f t="shared" ref="AW45:AW47" si="210">+AT45</f>
        <v>118.1</v>
      </c>
      <c r="AX45" s="118">
        <f t="shared" ref="AX45:AX47" si="211">+AW45</f>
        <v>118.1</v>
      </c>
      <c r="AY45" s="118">
        <f t="shared" ref="AY45:AY47" si="212">+AV45</f>
        <v>118.1</v>
      </c>
      <c r="AZ45" s="118">
        <f t="shared" ref="AZ45:AZ47" si="213">+AW45</f>
        <v>118.1</v>
      </c>
      <c r="BA45" s="118">
        <f t="shared" ref="BA45:BA47" si="214">+AZ45</f>
        <v>118.1</v>
      </c>
      <c r="BB45" s="118">
        <f t="shared" ref="BB45:BB47" si="215">+AY45</f>
        <v>118.1</v>
      </c>
      <c r="BC45" s="118">
        <f t="shared" ref="BC45:BC47" si="216">+AZ45</f>
        <v>118.1</v>
      </c>
      <c r="BD45" s="118">
        <f t="shared" ref="BD45:BD47" si="217">+BC45</f>
        <v>118.1</v>
      </c>
      <c r="BE45" s="118">
        <f t="shared" ref="BE45:BE47" si="218">+BB45</f>
        <v>118.1</v>
      </c>
      <c r="BF45" s="118">
        <f t="shared" ref="BF45:BF47" si="219">+BC45</f>
        <v>118.1</v>
      </c>
      <c r="BG45" s="118">
        <f t="shared" ref="BG45:BG47" si="220">+BF45</f>
        <v>118.1</v>
      </c>
      <c r="BH45" s="118">
        <f t="shared" ref="BH45:BH47" si="221">+BE45</f>
        <v>118.1</v>
      </c>
      <c r="BI45" s="118">
        <f t="shared" ref="BI45:BI47" si="222">+BF45</f>
        <v>118.1</v>
      </c>
      <c r="BJ45" s="118">
        <f t="shared" ref="BJ45:BJ47" si="223">+BI45</f>
        <v>118.1</v>
      </c>
      <c r="BK45" s="118">
        <f t="shared" ref="BK45:BK47" si="224">+BH45</f>
        <v>118.1</v>
      </c>
      <c r="BL45" s="118">
        <f t="shared" ref="BL45:BL47" si="225">+BI45</f>
        <v>118.1</v>
      </c>
      <c r="BM45" s="118">
        <f t="shared" ref="BM45:BM47" si="226">+BL45</f>
        <v>118.1</v>
      </c>
      <c r="BN45" s="118">
        <f t="shared" ref="BN45:BN47" si="227">+BK45</f>
        <v>118.1</v>
      </c>
      <c r="BO45" s="118">
        <f t="shared" ref="BO45:BO47" si="228">+BL45</f>
        <v>118.1</v>
      </c>
      <c r="BP45" s="118">
        <f t="shared" ref="BP45:BP47" si="229">+BO45</f>
        <v>118.1</v>
      </c>
      <c r="BQ45" s="118">
        <f t="shared" ref="BQ45:BQ47" si="230">+BN45</f>
        <v>118.1</v>
      </c>
      <c r="BR45" s="118">
        <f t="shared" ref="BR45:BR47" si="231">+BO45</f>
        <v>118.1</v>
      </c>
    </row>
    <row r="46" spans="2:70" outlineLevel="1">
      <c r="B46" s="30"/>
      <c r="C46" s="84" t="s">
        <v>132</v>
      </c>
      <c r="D46" s="58" t="s">
        <v>58</v>
      </c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S46" s="25">
        <v>316.10000000000002</v>
      </c>
      <c r="T46" s="18"/>
      <c r="U46" s="18">
        <f t="shared" si="165"/>
        <v>313.8</v>
      </c>
      <c r="V46" s="25">
        <v>313.8</v>
      </c>
      <c r="W46" s="337">
        <v>358.9</v>
      </c>
      <c r="X46" s="18">
        <f t="shared" si="166"/>
        <v>386.2</v>
      </c>
      <c r="Y46" s="25">
        <v>386.2</v>
      </c>
      <c r="Z46" s="337">
        <v>345</v>
      </c>
      <c r="AA46" s="18">
        <f t="shared" si="167"/>
        <v>446.4</v>
      </c>
      <c r="AB46" s="25">
        <v>446.4</v>
      </c>
      <c r="AC46" s="25">
        <v>356.1</v>
      </c>
      <c r="AD46" s="337">
        <f t="shared" si="168"/>
        <v>355.7</v>
      </c>
      <c r="AE46" s="25">
        <v>355.7</v>
      </c>
      <c r="AF46" s="25">
        <v>347.3</v>
      </c>
      <c r="AG46" s="940">
        <f t="shared" si="169"/>
        <v>347.3</v>
      </c>
      <c r="AH46" s="118">
        <f t="shared" si="169"/>
        <v>347.3</v>
      </c>
      <c r="AI46" s="118">
        <f t="shared" si="169"/>
        <v>347.3</v>
      </c>
      <c r="AJ46" s="118">
        <f>+AG46</f>
        <v>347.3</v>
      </c>
      <c r="AK46" s="118">
        <f t="shared" si="170"/>
        <v>347.3</v>
      </c>
      <c r="AL46" s="118">
        <f t="shared" si="170"/>
        <v>347.3</v>
      </c>
      <c r="AM46" s="118">
        <f t="shared" si="171"/>
        <v>347.3</v>
      </c>
      <c r="AN46" s="118">
        <f t="shared" si="171"/>
        <v>347.3</v>
      </c>
      <c r="AO46" s="118">
        <f t="shared" si="202"/>
        <v>347.3</v>
      </c>
      <c r="AP46" s="118">
        <f t="shared" si="203"/>
        <v>347.3</v>
      </c>
      <c r="AQ46" s="118">
        <f t="shared" si="204"/>
        <v>347.3</v>
      </c>
      <c r="AR46" s="118">
        <f t="shared" si="205"/>
        <v>347.3</v>
      </c>
      <c r="AS46" s="118">
        <f t="shared" si="206"/>
        <v>347.3</v>
      </c>
      <c r="AT46" s="118">
        <f t="shared" si="207"/>
        <v>347.3</v>
      </c>
      <c r="AU46" s="118">
        <f t="shared" si="208"/>
        <v>347.3</v>
      </c>
      <c r="AV46" s="118">
        <f t="shared" si="209"/>
        <v>347.3</v>
      </c>
      <c r="AW46" s="118">
        <f t="shared" si="210"/>
        <v>347.3</v>
      </c>
      <c r="AX46" s="118">
        <f t="shared" si="211"/>
        <v>347.3</v>
      </c>
      <c r="AY46" s="118">
        <f t="shared" si="212"/>
        <v>347.3</v>
      </c>
      <c r="AZ46" s="118">
        <f t="shared" si="213"/>
        <v>347.3</v>
      </c>
      <c r="BA46" s="118">
        <f t="shared" si="214"/>
        <v>347.3</v>
      </c>
      <c r="BB46" s="118">
        <f t="shared" si="215"/>
        <v>347.3</v>
      </c>
      <c r="BC46" s="118">
        <f t="shared" si="216"/>
        <v>347.3</v>
      </c>
      <c r="BD46" s="118">
        <f t="shared" si="217"/>
        <v>347.3</v>
      </c>
      <c r="BE46" s="118">
        <f t="shared" si="218"/>
        <v>347.3</v>
      </c>
      <c r="BF46" s="118">
        <f t="shared" si="219"/>
        <v>347.3</v>
      </c>
      <c r="BG46" s="118">
        <f t="shared" si="220"/>
        <v>347.3</v>
      </c>
      <c r="BH46" s="118">
        <f t="shared" si="221"/>
        <v>347.3</v>
      </c>
      <c r="BI46" s="118">
        <f t="shared" si="222"/>
        <v>347.3</v>
      </c>
      <c r="BJ46" s="118">
        <f t="shared" si="223"/>
        <v>347.3</v>
      </c>
      <c r="BK46" s="118">
        <f t="shared" si="224"/>
        <v>347.3</v>
      </c>
      <c r="BL46" s="118">
        <f t="shared" si="225"/>
        <v>347.3</v>
      </c>
      <c r="BM46" s="118">
        <f t="shared" si="226"/>
        <v>347.3</v>
      </c>
      <c r="BN46" s="118">
        <f t="shared" si="227"/>
        <v>347.3</v>
      </c>
      <c r="BO46" s="118">
        <f t="shared" si="228"/>
        <v>347.3</v>
      </c>
      <c r="BP46" s="118">
        <f t="shared" si="229"/>
        <v>347.3</v>
      </c>
      <c r="BQ46" s="118">
        <f t="shared" si="230"/>
        <v>347.3</v>
      </c>
      <c r="BR46" s="118">
        <f t="shared" si="231"/>
        <v>347.3</v>
      </c>
    </row>
    <row r="47" spans="2:70" outlineLevel="1">
      <c r="B47" s="30"/>
      <c r="C47" s="84" t="s">
        <v>133</v>
      </c>
      <c r="D47" s="58" t="s">
        <v>58</v>
      </c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S47" s="25">
        <v>20.399999999999999</v>
      </c>
      <c r="T47" s="18"/>
      <c r="U47" s="18">
        <f t="shared" si="165"/>
        <v>4.8</v>
      </c>
      <c r="V47" s="25">
        <v>4.8</v>
      </c>
      <c r="W47" s="337">
        <v>4.5999999999999996</v>
      </c>
      <c r="X47" s="18">
        <f t="shared" si="166"/>
        <v>11.1</v>
      </c>
      <c r="Y47" s="25">
        <v>11.1</v>
      </c>
      <c r="Z47" s="337">
        <v>11.8</v>
      </c>
      <c r="AA47" s="18">
        <f t="shared" si="167"/>
        <v>9.6</v>
      </c>
      <c r="AB47" s="25">
        <v>9.6</v>
      </c>
      <c r="AC47" s="25">
        <v>9.6999999999999993</v>
      </c>
      <c r="AD47" s="337">
        <f t="shared" si="168"/>
        <v>10.5</v>
      </c>
      <c r="AE47" s="25">
        <v>10.5</v>
      </c>
      <c r="AF47" s="25">
        <v>10.6</v>
      </c>
      <c r="AG47" s="940">
        <f t="shared" si="169"/>
        <v>10.6</v>
      </c>
      <c r="AH47" s="118">
        <f t="shared" si="169"/>
        <v>10.6</v>
      </c>
      <c r="AI47" s="118">
        <f t="shared" si="169"/>
        <v>10.6</v>
      </c>
      <c r="AJ47" s="118">
        <f>+AG47</f>
        <v>10.6</v>
      </c>
      <c r="AK47" s="118">
        <f t="shared" si="170"/>
        <v>10.6</v>
      </c>
      <c r="AL47" s="118">
        <f t="shared" si="170"/>
        <v>10.6</v>
      </c>
      <c r="AM47" s="118">
        <f t="shared" si="171"/>
        <v>10.6</v>
      </c>
      <c r="AN47" s="118">
        <f t="shared" si="171"/>
        <v>10.6</v>
      </c>
      <c r="AO47" s="118">
        <f t="shared" si="202"/>
        <v>10.6</v>
      </c>
      <c r="AP47" s="118">
        <f t="shared" si="203"/>
        <v>10.6</v>
      </c>
      <c r="AQ47" s="118">
        <f t="shared" si="204"/>
        <v>10.6</v>
      </c>
      <c r="AR47" s="118">
        <f t="shared" si="205"/>
        <v>10.6</v>
      </c>
      <c r="AS47" s="118">
        <f t="shared" si="206"/>
        <v>10.6</v>
      </c>
      <c r="AT47" s="118">
        <f t="shared" si="207"/>
        <v>10.6</v>
      </c>
      <c r="AU47" s="118">
        <f t="shared" si="208"/>
        <v>10.6</v>
      </c>
      <c r="AV47" s="118">
        <f t="shared" si="209"/>
        <v>10.6</v>
      </c>
      <c r="AW47" s="118">
        <f t="shared" si="210"/>
        <v>10.6</v>
      </c>
      <c r="AX47" s="118">
        <f t="shared" si="211"/>
        <v>10.6</v>
      </c>
      <c r="AY47" s="118">
        <f t="shared" si="212"/>
        <v>10.6</v>
      </c>
      <c r="AZ47" s="118">
        <f t="shared" si="213"/>
        <v>10.6</v>
      </c>
      <c r="BA47" s="118">
        <f t="shared" si="214"/>
        <v>10.6</v>
      </c>
      <c r="BB47" s="118">
        <f t="shared" si="215"/>
        <v>10.6</v>
      </c>
      <c r="BC47" s="118">
        <f t="shared" si="216"/>
        <v>10.6</v>
      </c>
      <c r="BD47" s="118">
        <f t="shared" si="217"/>
        <v>10.6</v>
      </c>
      <c r="BE47" s="118">
        <f t="shared" si="218"/>
        <v>10.6</v>
      </c>
      <c r="BF47" s="118">
        <f t="shared" si="219"/>
        <v>10.6</v>
      </c>
      <c r="BG47" s="118">
        <f t="shared" si="220"/>
        <v>10.6</v>
      </c>
      <c r="BH47" s="118">
        <f t="shared" si="221"/>
        <v>10.6</v>
      </c>
      <c r="BI47" s="118">
        <f t="shared" si="222"/>
        <v>10.6</v>
      </c>
      <c r="BJ47" s="118">
        <f t="shared" si="223"/>
        <v>10.6</v>
      </c>
      <c r="BK47" s="118">
        <f t="shared" si="224"/>
        <v>10.6</v>
      </c>
      <c r="BL47" s="118">
        <f t="shared" si="225"/>
        <v>10.6</v>
      </c>
      <c r="BM47" s="118">
        <f t="shared" si="226"/>
        <v>10.6</v>
      </c>
      <c r="BN47" s="118">
        <f t="shared" si="227"/>
        <v>10.6</v>
      </c>
      <c r="BO47" s="118">
        <f t="shared" si="228"/>
        <v>10.6</v>
      </c>
      <c r="BP47" s="118">
        <f t="shared" si="229"/>
        <v>10.6</v>
      </c>
      <c r="BQ47" s="118">
        <f t="shared" si="230"/>
        <v>10.6</v>
      </c>
      <c r="BR47" s="118">
        <f t="shared" si="231"/>
        <v>10.6</v>
      </c>
    </row>
    <row r="48" spans="2:70" s="8" customFormat="1" outlineLevel="1">
      <c r="B48" s="85"/>
      <c r="C48" s="85" t="s">
        <v>134</v>
      </c>
      <c r="D48" s="56" t="s">
        <v>58</v>
      </c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S48" s="64">
        <f>S42+S43+S44+S45+S46+S47</f>
        <v>3723.6</v>
      </c>
      <c r="T48" s="64"/>
      <c r="U48" s="64">
        <f t="shared" ref="U48:AB48" si="232">U42+U43+U44+U45+U46+U47</f>
        <v>3698.8</v>
      </c>
      <c r="V48" s="64">
        <f t="shared" si="232"/>
        <v>3698.8</v>
      </c>
      <c r="W48" s="64">
        <f t="shared" si="232"/>
        <v>3477.7</v>
      </c>
      <c r="X48" s="64">
        <f t="shared" si="232"/>
        <v>3285.7</v>
      </c>
      <c r="Y48" s="64">
        <f t="shared" si="232"/>
        <v>3285.7</v>
      </c>
      <c r="Z48" s="64">
        <f t="shared" si="232"/>
        <v>3291.9000000000005</v>
      </c>
      <c r="AA48" s="64">
        <f t="shared" si="232"/>
        <v>4191.4000000000005</v>
      </c>
      <c r="AB48" s="64">
        <f t="shared" si="232"/>
        <v>4191.4000000000005</v>
      </c>
      <c r="AC48" s="64">
        <f t="shared" ref="AC48:AE48" si="233">AC42+AC43+AC44+AC45+AC46+AC47</f>
        <v>4375.3999999999996</v>
      </c>
      <c r="AD48" s="64">
        <f t="shared" si="233"/>
        <v>4179.4000000000005</v>
      </c>
      <c r="AE48" s="341">
        <f t="shared" si="233"/>
        <v>4179.4000000000005</v>
      </c>
      <c r="AF48" s="341">
        <f t="shared" ref="AF48:BR48" si="234">AF42+AF43+AF44+AF45+AF46+AF47</f>
        <v>3120.2000000000003</v>
      </c>
      <c r="AG48" s="934">
        <f t="shared" si="234"/>
        <v>2735.1581778587747</v>
      </c>
      <c r="AH48" s="64">
        <f t="shared" si="234"/>
        <v>2735.1581778587747</v>
      </c>
      <c r="AI48" s="64">
        <f t="shared" si="234"/>
        <v>2883.5151871921821</v>
      </c>
      <c r="AJ48" s="64">
        <f t="shared" si="234"/>
        <v>2459.5828000947672</v>
      </c>
      <c r="AK48" s="64">
        <f t="shared" si="234"/>
        <v>2459.5828000947672</v>
      </c>
      <c r="AL48" s="64">
        <f t="shared" si="234"/>
        <v>2616.3845634857962</v>
      </c>
      <c r="AM48" s="64">
        <f t="shared" si="234"/>
        <v>2175.0198102353402</v>
      </c>
      <c r="AN48" s="64">
        <f t="shared" si="234"/>
        <v>2175.0198102353402</v>
      </c>
      <c r="AO48" s="64">
        <f t="shared" si="234"/>
        <v>2334.3605000097964</v>
      </c>
      <c r="AP48" s="64">
        <f t="shared" si="234"/>
        <v>1879.0052487329633</v>
      </c>
      <c r="AQ48" s="64">
        <f t="shared" si="234"/>
        <v>1879.0052487329633</v>
      </c>
      <c r="AR48" s="64">
        <f t="shared" si="234"/>
        <v>2044.6878784228675</v>
      </c>
      <c r="AS48" s="64">
        <f t="shared" si="234"/>
        <v>1579.5648877012127</v>
      </c>
      <c r="AT48" s="64">
        <f t="shared" si="234"/>
        <v>1579.5648877012127</v>
      </c>
      <c r="AU48" s="64">
        <f t="shared" si="234"/>
        <v>1746.0940696534306</v>
      </c>
      <c r="AV48" s="64">
        <f t="shared" si="234"/>
        <v>1270.8509800758306</v>
      </c>
      <c r="AW48" s="64">
        <f t="shared" si="234"/>
        <v>1270.8509800758306</v>
      </c>
      <c r="AX48" s="64">
        <f t="shared" si="234"/>
        <v>1438.2539271262981</v>
      </c>
      <c r="AY48" s="64">
        <f t="shared" si="234"/>
        <v>952.56587014212289</v>
      </c>
      <c r="AZ48" s="64">
        <f t="shared" si="234"/>
        <v>952.56587014212289</v>
      </c>
      <c r="BA48" s="64">
        <f t="shared" si="234"/>
        <v>1120.8709617964334</v>
      </c>
      <c r="BB48" s="64">
        <f t="shared" si="234"/>
        <v>764.06824542070501</v>
      </c>
      <c r="BC48" s="64">
        <f t="shared" si="234"/>
        <v>764.06824542070501</v>
      </c>
      <c r="BD48" s="64">
        <f t="shared" si="234"/>
        <v>934.22525235173782</v>
      </c>
      <c r="BE48" s="64">
        <f t="shared" si="234"/>
        <v>778.736910489764</v>
      </c>
      <c r="BF48" s="64">
        <f t="shared" si="234"/>
        <v>778.736910489764</v>
      </c>
      <c r="BG48" s="64">
        <f t="shared" si="234"/>
        <v>951.6612069157012</v>
      </c>
      <c r="BH48" s="64">
        <f t="shared" si="234"/>
        <v>793.77577493005913</v>
      </c>
      <c r="BI48" s="64">
        <f t="shared" si="234"/>
        <v>793.77577493005913</v>
      </c>
      <c r="BJ48" s="64">
        <f t="shared" si="234"/>
        <v>968.77918944819692</v>
      </c>
      <c r="BK48" s="64">
        <f t="shared" si="234"/>
        <v>809.19654709482109</v>
      </c>
      <c r="BL48" s="64">
        <f t="shared" si="234"/>
        <v>809.19654709482109</v>
      </c>
      <c r="BM48" s="64">
        <f t="shared" si="234"/>
        <v>986.35489469608308</v>
      </c>
      <c r="BN48" s="64">
        <f t="shared" si="234"/>
        <v>825.01093644066043</v>
      </c>
      <c r="BO48" s="64">
        <f t="shared" si="234"/>
        <v>825.01093644066043</v>
      </c>
      <c r="BP48" s="64">
        <f t="shared" si="234"/>
        <v>998.03127167648665</v>
      </c>
      <c r="BQ48" s="64">
        <f t="shared" si="234"/>
        <v>841.23199395324389</v>
      </c>
      <c r="BR48" s="64">
        <f t="shared" si="234"/>
        <v>841.23199395324389</v>
      </c>
    </row>
    <row r="49" spans="2:72" outlineLevel="1">
      <c r="B49" s="30"/>
      <c r="C49" s="85" t="s">
        <v>135</v>
      </c>
      <c r="D49" s="56" t="s">
        <v>58</v>
      </c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S49" s="64">
        <f>S41+S48</f>
        <v>8082.1999999999989</v>
      </c>
      <c r="T49" s="18"/>
      <c r="U49" s="64">
        <f t="shared" ref="U49:AE49" si="235">U41+U48</f>
        <v>6994.8000000000011</v>
      </c>
      <c r="V49" s="64">
        <f t="shared" si="235"/>
        <v>6994.8000000000011</v>
      </c>
      <c r="W49" s="64">
        <f t="shared" si="235"/>
        <v>6432.7999999999993</v>
      </c>
      <c r="X49" s="64">
        <f t="shared" si="235"/>
        <v>6960.0999999999995</v>
      </c>
      <c r="Y49" s="64">
        <f t="shared" si="235"/>
        <v>6960.0999999999995</v>
      </c>
      <c r="Z49" s="64">
        <f t="shared" si="235"/>
        <v>6957.9000000000015</v>
      </c>
      <c r="AA49" s="64">
        <f t="shared" si="235"/>
        <v>7836.6</v>
      </c>
      <c r="AB49" s="64">
        <f t="shared" si="235"/>
        <v>7836.6</v>
      </c>
      <c r="AC49" s="64">
        <f t="shared" si="235"/>
        <v>7779.4</v>
      </c>
      <c r="AD49" s="64">
        <f t="shared" si="235"/>
        <v>8191.8000000000011</v>
      </c>
      <c r="AE49" s="341">
        <f t="shared" si="235"/>
        <v>8191.8000000000011</v>
      </c>
      <c r="AF49" s="341">
        <f t="shared" ref="AF49:BR49" si="236">AF41+AF48</f>
        <v>8102.1</v>
      </c>
      <c r="AG49" s="934">
        <f t="shared" si="236"/>
        <v>8063.6506018354448</v>
      </c>
      <c r="AH49" s="64">
        <f t="shared" si="236"/>
        <v>8063.6506018354448</v>
      </c>
      <c r="AI49" s="64">
        <f t="shared" si="236"/>
        <v>7858.9970249797934</v>
      </c>
      <c r="AJ49" s="64">
        <f t="shared" si="236"/>
        <v>7857.1761578358983</v>
      </c>
      <c r="AK49" s="64">
        <f t="shared" si="236"/>
        <v>7857.1761578358983</v>
      </c>
      <c r="AL49" s="64">
        <f t="shared" si="236"/>
        <v>7753.5665806916868</v>
      </c>
      <c r="AM49" s="64">
        <f t="shared" si="236"/>
        <v>7693.5241933156321</v>
      </c>
      <c r="AN49" s="64">
        <f t="shared" si="236"/>
        <v>7693.5241933156321</v>
      </c>
      <c r="AO49" s="64">
        <f t="shared" si="236"/>
        <v>7522.8918461783487</v>
      </c>
      <c r="AP49" s="64">
        <f t="shared" si="236"/>
        <v>7445.689381453285</v>
      </c>
      <c r="AQ49" s="64">
        <f t="shared" si="236"/>
        <v>7445.689381453285</v>
      </c>
      <c r="AR49" s="64">
        <f t="shared" si="236"/>
        <v>7277.8031491064185</v>
      </c>
      <c r="AS49" s="64">
        <f t="shared" si="236"/>
        <v>7198.7617278736025</v>
      </c>
      <c r="AT49" s="64">
        <f t="shared" si="236"/>
        <v>7198.7617278736025</v>
      </c>
      <c r="AU49" s="64">
        <f t="shared" si="236"/>
        <v>7025.2230720643802</v>
      </c>
      <c r="AV49" s="64">
        <f t="shared" si="236"/>
        <v>6944.2105492930405</v>
      </c>
      <c r="AW49" s="64">
        <f t="shared" si="236"/>
        <v>6944.2105492930405</v>
      </c>
      <c r="AX49" s="64">
        <f t="shared" si="236"/>
        <v>6764.8736023648926</v>
      </c>
      <c r="AY49" s="64">
        <f t="shared" si="236"/>
        <v>6681.7927599769891</v>
      </c>
      <c r="AZ49" s="64">
        <f t="shared" si="236"/>
        <v>6681.7927599769891</v>
      </c>
      <c r="BA49" s="64">
        <f t="shared" si="236"/>
        <v>6496.507256099736</v>
      </c>
      <c r="BB49" s="64">
        <f t="shared" si="236"/>
        <v>6550.9237586434747</v>
      </c>
      <c r="BC49" s="64">
        <f t="shared" si="236"/>
        <v>6550.9237586434747</v>
      </c>
      <c r="BD49" s="64">
        <f t="shared" si="236"/>
        <v>6360.4550654294871</v>
      </c>
      <c r="BE49" s="64">
        <f t="shared" si="236"/>
        <v>6625.0412900831643</v>
      </c>
      <c r="BF49" s="64">
        <f t="shared" si="236"/>
        <v>6625.0412900831643</v>
      </c>
      <c r="BG49" s="64">
        <f t="shared" si="236"/>
        <v>6430.1144207798143</v>
      </c>
      <c r="BH49" s="64">
        <f t="shared" si="236"/>
        <v>6701.4105247570324</v>
      </c>
      <c r="BI49" s="64">
        <f t="shared" si="236"/>
        <v>6701.4105247570324</v>
      </c>
      <c r="BJ49" s="64">
        <f t="shared" si="236"/>
        <v>6501.1407812984717</v>
      </c>
      <c r="BK49" s="64">
        <f t="shared" si="236"/>
        <v>6780.1068482494493</v>
      </c>
      <c r="BL49" s="64">
        <f t="shared" si="236"/>
        <v>6780.1068482494493</v>
      </c>
      <c r="BM49" s="64">
        <f t="shared" si="236"/>
        <v>6574.3671375878466</v>
      </c>
      <c r="BN49" s="64">
        <f t="shared" si="236"/>
        <v>6861.2081634966871</v>
      </c>
      <c r="BO49" s="64">
        <f t="shared" si="236"/>
        <v>6861.2081634966871</v>
      </c>
      <c r="BP49" s="64">
        <f t="shared" si="236"/>
        <v>6643.4960268668265</v>
      </c>
      <c r="BQ49" s="64">
        <f t="shared" si="236"/>
        <v>6944.7963355171405</v>
      </c>
      <c r="BR49" s="64">
        <f t="shared" si="236"/>
        <v>6944.7963355171405</v>
      </c>
    </row>
    <row r="50" spans="2:72" s="8" customFormat="1" outlineLevel="1">
      <c r="B50" s="85"/>
      <c r="C50" s="85" t="s">
        <v>136</v>
      </c>
      <c r="D50" s="44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S50" s="64">
        <f>S35-S49</f>
        <v>3433.4000000000015</v>
      </c>
      <c r="T50" s="64"/>
      <c r="U50" s="64">
        <f t="shared" ref="U50:AE50" si="237">U35-U49</f>
        <v>2139.0999999999985</v>
      </c>
      <c r="V50" s="64">
        <f t="shared" si="237"/>
        <v>2139.0999999999985</v>
      </c>
      <c r="W50" s="64">
        <f t="shared" si="237"/>
        <v>2005.4000000000015</v>
      </c>
      <c r="X50" s="64">
        <f t="shared" si="237"/>
        <v>1587.0000000000009</v>
      </c>
      <c r="Y50" s="64">
        <f t="shared" si="237"/>
        <v>1587.0000000000009</v>
      </c>
      <c r="Z50" s="64">
        <f t="shared" si="237"/>
        <v>1219.1999999999989</v>
      </c>
      <c r="AA50" s="64">
        <f t="shared" si="237"/>
        <v>845.5</v>
      </c>
      <c r="AB50" s="64">
        <f t="shared" si="237"/>
        <v>845.5</v>
      </c>
      <c r="AC50" s="64">
        <f t="shared" si="237"/>
        <v>842.10000000000036</v>
      </c>
      <c r="AD50" s="64">
        <f t="shared" si="237"/>
        <v>891.49999999999818</v>
      </c>
      <c r="AE50" s="341">
        <f t="shared" si="237"/>
        <v>891.49999999999818</v>
      </c>
      <c r="AF50" s="341">
        <f t="shared" ref="AF50:BR50" si="238">AF35-AF49</f>
        <v>957.89999999999964</v>
      </c>
      <c r="AG50" s="934">
        <f t="shared" si="238"/>
        <v>1134.9182882491295</v>
      </c>
      <c r="AH50" s="64">
        <f t="shared" si="238"/>
        <v>1134.9182882491295</v>
      </c>
      <c r="AI50" s="64">
        <f t="shared" si="238"/>
        <v>1220.2263557793794</v>
      </c>
      <c r="AJ50" s="64">
        <f t="shared" si="238"/>
        <v>1411.9253581352532</v>
      </c>
      <c r="AK50" s="64">
        <f t="shared" si="238"/>
        <v>1411.9253581352532</v>
      </c>
      <c r="AL50" s="64">
        <f t="shared" si="238"/>
        <v>1511.3270708738355</v>
      </c>
      <c r="AM50" s="64">
        <f t="shared" si="238"/>
        <v>1702.1492825168916</v>
      </c>
      <c r="AN50" s="64">
        <f t="shared" si="238"/>
        <v>1702.1492825168916</v>
      </c>
      <c r="AO50" s="64">
        <f t="shared" si="238"/>
        <v>1800.8984663040646</v>
      </c>
      <c r="AP50" s="64">
        <f t="shared" si="238"/>
        <v>1999.8703017487878</v>
      </c>
      <c r="AQ50" s="64">
        <f t="shared" si="238"/>
        <v>1999.8703017487896</v>
      </c>
      <c r="AR50" s="64">
        <f t="shared" si="238"/>
        <v>2096.8459578223546</v>
      </c>
      <c r="AS50" s="64">
        <f t="shared" si="238"/>
        <v>2301.1501247563929</v>
      </c>
      <c r="AT50" s="64">
        <f t="shared" si="238"/>
        <v>2301.1501247563929</v>
      </c>
      <c r="AU50" s="64">
        <f t="shared" si="238"/>
        <v>2401.8519891678643</v>
      </c>
      <c r="AV50" s="64">
        <f t="shared" si="238"/>
        <v>2611.697789444328</v>
      </c>
      <c r="AW50" s="64">
        <f t="shared" si="238"/>
        <v>2611.697789444328</v>
      </c>
      <c r="AX50" s="64">
        <f t="shared" si="238"/>
        <v>2716.2482598910774</v>
      </c>
      <c r="AY50" s="64">
        <f t="shared" si="238"/>
        <v>2931.8128084915943</v>
      </c>
      <c r="AZ50" s="64">
        <f t="shared" si="238"/>
        <v>2931.8128084915943</v>
      </c>
      <c r="BA50" s="64">
        <f t="shared" si="238"/>
        <v>3040.3381000847039</v>
      </c>
      <c r="BB50" s="64">
        <f t="shared" si="238"/>
        <v>3261.0566540933696</v>
      </c>
      <c r="BC50" s="64">
        <f t="shared" si="238"/>
        <v>3261.0566540933696</v>
      </c>
      <c r="BD50" s="64">
        <f t="shared" si="238"/>
        <v>3372.7667746120478</v>
      </c>
      <c r="BE50" s="64">
        <f t="shared" si="238"/>
        <v>3597.9840540025953</v>
      </c>
      <c r="BF50" s="64">
        <f t="shared" si="238"/>
        <v>3597.9840540025953</v>
      </c>
      <c r="BG50" s="64">
        <f t="shared" si="238"/>
        <v>3712.1287995563425</v>
      </c>
      <c r="BH50" s="64">
        <f t="shared" si="238"/>
        <v>3942.4379644742776</v>
      </c>
      <c r="BI50" s="64">
        <f t="shared" si="238"/>
        <v>3942.4379644742776</v>
      </c>
      <c r="BJ50" s="64">
        <f t="shared" si="238"/>
        <v>4059.8762853658636</v>
      </c>
      <c r="BK50" s="64">
        <f t="shared" si="238"/>
        <v>4295.44217691432</v>
      </c>
      <c r="BL50" s="64">
        <f t="shared" si="238"/>
        <v>4295.44217691432</v>
      </c>
      <c r="BM50" s="64">
        <f t="shared" si="238"/>
        <v>4416.2748713639785</v>
      </c>
      <c r="BN50" s="64">
        <f t="shared" si="238"/>
        <v>4657.2391833982711</v>
      </c>
      <c r="BO50" s="64">
        <f t="shared" si="238"/>
        <v>4657.2391833982711</v>
      </c>
      <c r="BP50" s="64">
        <f t="shared" si="238"/>
        <v>4781.5966698947568</v>
      </c>
      <c r="BQ50" s="64">
        <f t="shared" si="238"/>
        <v>5028.1665882548996</v>
      </c>
      <c r="BR50" s="64">
        <f t="shared" si="238"/>
        <v>5028.1665882548996</v>
      </c>
    </row>
    <row r="51" spans="2:72" outlineLevel="1">
      <c r="B51" s="30"/>
      <c r="C51" s="84" t="s">
        <v>137</v>
      </c>
      <c r="D51" s="58" t="s">
        <v>58</v>
      </c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S51" s="25">
        <v>2755.5</v>
      </c>
      <c r="T51" s="18"/>
      <c r="U51" s="18">
        <f>V51</f>
        <v>2072</v>
      </c>
      <c r="V51" s="25">
        <v>2072</v>
      </c>
      <c r="W51" s="337">
        <v>2092.9</v>
      </c>
      <c r="X51" s="18">
        <f>Y51</f>
        <v>1680.6</v>
      </c>
      <c r="Y51" s="25">
        <v>1680.6</v>
      </c>
      <c r="Z51" s="337">
        <v>1513.8</v>
      </c>
      <c r="AA51" s="18">
        <f>AB51</f>
        <v>1445.1</v>
      </c>
      <c r="AB51" s="25">
        <v>1445.1</v>
      </c>
      <c r="AC51" s="25">
        <v>1465.1</v>
      </c>
      <c r="AD51" s="337">
        <f>AE51</f>
        <v>1416.9</v>
      </c>
      <c r="AE51" s="25">
        <v>1416.9</v>
      </c>
      <c r="AF51" s="25">
        <v>1431.7</v>
      </c>
      <c r="AG51" s="940">
        <f>+AF51+AG158</f>
        <v>1431.7</v>
      </c>
      <c r="AH51" s="118">
        <f t="shared" ref="AG51:AI52" si="239">+AG51</f>
        <v>1431.7</v>
      </c>
      <c r="AI51" s="118">
        <f>+AH51+AI158</f>
        <v>1431.7</v>
      </c>
      <c r="AJ51" s="118">
        <f>+AI51+AJ158</f>
        <v>1431.7</v>
      </c>
      <c r="AK51" s="118">
        <f>+AJ51</f>
        <v>1431.7</v>
      </c>
      <c r="AL51" s="118">
        <f>+AK51+AL158</f>
        <v>1431.7</v>
      </c>
      <c r="AM51" s="118">
        <f>+AL51+AM158</f>
        <v>1431.7</v>
      </c>
      <c r="AN51" s="118">
        <f>+AM51</f>
        <v>1431.7</v>
      </c>
      <c r="AO51" s="118">
        <f>+AN51+AO158</f>
        <v>1431.7</v>
      </c>
      <c r="AP51" s="118">
        <f>+AO51+AP158</f>
        <v>1431.7</v>
      </c>
      <c r="AQ51" s="118">
        <f>+AP51</f>
        <v>1431.7</v>
      </c>
      <c r="AR51" s="118">
        <f>+AQ51+AR158</f>
        <v>1431.7</v>
      </c>
      <c r="AS51" s="118">
        <f>+AR51+AS158</f>
        <v>1431.7</v>
      </c>
      <c r="AT51" s="118">
        <f>+AS51</f>
        <v>1431.7</v>
      </c>
      <c r="AU51" s="118">
        <f>+AT51+AU158</f>
        <v>1431.7</v>
      </c>
      <c r="AV51" s="118">
        <f>+AU51+AV158</f>
        <v>1431.7</v>
      </c>
      <c r="AW51" s="118">
        <f>+AV51</f>
        <v>1431.7</v>
      </c>
      <c r="AX51" s="118">
        <f>+AW51+AX158</f>
        <v>1431.7</v>
      </c>
      <c r="AY51" s="118">
        <f>+AX51+AY158</f>
        <v>1431.7</v>
      </c>
      <c r="AZ51" s="118">
        <f>+AY51</f>
        <v>1431.7</v>
      </c>
      <c r="BA51" s="118">
        <f>+AZ51+BA158</f>
        <v>1431.7</v>
      </c>
      <c r="BB51" s="118">
        <f>+BA51+BB158</f>
        <v>1431.7</v>
      </c>
      <c r="BC51" s="118">
        <f>+BB51</f>
        <v>1431.7</v>
      </c>
      <c r="BD51" s="118">
        <f>+BC51+BD158</f>
        <v>1431.7</v>
      </c>
      <c r="BE51" s="118">
        <f>+BD51+BE158</f>
        <v>1431.7</v>
      </c>
      <c r="BF51" s="118">
        <f>+BE51</f>
        <v>1431.7</v>
      </c>
      <c r="BG51" s="118">
        <f>+BF51+BG158</f>
        <v>1431.7</v>
      </c>
      <c r="BH51" s="118">
        <f>+BG51+BH158</f>
        <v>1431.7</v>
      </c>
      <c r="BI51" s="118">
        <f>+BH51</f>
        <v>1431.7</v>
      </c>
      <c r="BJ51" s="118">
        <f>+BI51+BJ158</f>
        <v>1431.7</v>
      </c>
      <c r="BK51" s="118">
        <f>+BJ51+BK158</f>
        <v>1431.7</v>
      </c>
      <c r="BL51" s="118">
        <f>+BK51</f>
        <v>1431.7</v>
      </c>
      <c r="BM51" s="118">
        <f>+BL51+BM158</f>
        <v>1431.7</v>
      </c>
      <c r="BN51" s="118">
        <f>+BM51+BN158</f>
        <v>1431.7</v>
      </c>
      <c r="BO51" s="118">
        <f>+BN51</f>
        <v>1431.7</v>
      </c>
      <c r="BP51" s="118">
        <f>+BO51+BP158</f>
        <v>1431.7</v>
      </c>
      <c r="BQ51" s="118">
        <f>+BP51+BQ158</f>
        <v>1431.7</v>
      </c>
      <c r="BR51" s="118">
        <f>+BQ51</f>
        <v>1431.7</v>
      </c>
    </row>
    <row r="52" spans="2:72" outlineLevel="1">
      <c r="B52" s="30"/>
      <c r="C52" s="84" t="s">
        <v>138</v>
      </c>
      <c r="D52" s="58" t="s">
        <v>58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S52" s="25">
        <v>253.2</v>
      </c>
      <c r="T52" s="18"/>
      <c r="U52" s="18">
        <f>V52</f>
        <v>-414.3</v>
      </c>
      <c r="V52" s="25">
        <v>-414.3</v>
      </c>
      <c r="W52" s="337">
        <v>-579.79999999999995</v>
      </c>
      <c r="X52" s="18">
        <f>Y52</f>
        <v>-666.5</v>
      </c>
      <c r="Y52" s="25">
        <v>-666.5</v>
      </c>
      <c r="Z52" s="337">
        <v>-913.3</v>
      </c>
      <c r="AA52" s="18">
        <f>AB52</f>
        <v>-800.2</v>
      </c>
      <c r="AB52" s="25">
        <v>-800.2</v>
      </c>
      <c r="AC52" s="25">
        <v>-858.8</v>
      </c>
      <c r="AD52" s="337">
        <f>AE52</f>
        <v>-881.7</v>
      </c>
      <c r="AE52" s="25">
        <v>-881.7</v>
      </c>
      <c r="AF52" s="25">
        <v>-881.3</v>
      </c>
      <c r="AG52" s="940">
        <f t="shared" si="239"/>
        <v>-881.3</v>
      </c>
      <c r="AH52" s="118">
        <f t="shared" si="239"/>
        <v>-881.3</v>
      </c>
      <c r="AI52" s="118">
        <f t="shared" si="239"/>
        <v>-881.3</v>
      </c>
      <c r="AJ52" s="118">
        <f>+AG52</f>
        <v>-881.3</v>
      </c>
      <c r="AK52" s="118">
        <f>+AJ52</f>
        <v>-881.3</v>
      </c>
      <c r="AL52" s="118">
        <f>+AK52</f>
        <v>-881.3</v>
      </c>
      <c r="AM52" s="118">
        <f>+AJ52</f>
        <v>-881.3</v>
      </c>
      <c r="AN52" s="118">
        <f>+AK52</f>
        <v>-881.3</v>
      </c>
      <c r="AO52" s="118">
        <f>+AN52</f>
        <v>-881.3</v>
      </c>
      <c r="AP52" s="118">
        <f>+AM52</f>
        <v>-881.3</v>
      </c>
      <c r="AQ52" s="118">
        <f>+AN52</f>
        <v>-881.3</v>
      </c>
      <c r="AR52" s="118">
        <f>+AQ52</f>
        <v>-881.3</v>
      </c>
      <c r="AS52" s="118">
        <f>+AP52</f>
        <v>-881.3</v>
      </c>
      <c r="AT52" s="118">
        <f>+AQ52</f>
        <v>-881.3</v>
      </c>
      <c r="AU52" s="118">
        <f>+AT52</f>
        <v>-881.3</v>
      </c>
      <c r="AV52" s="118">
        <f>+AS52</f>
        <v>-881.3</v>
      </c>
      <c r="AW52" s="118">
        <f>+AT52</f>
        <v>-881.3</v>
      </c>
      <c r="AX52" s="118">
        <f>+AW52</f>
        <v>-881.3</v>
      </c>
      <c r="AY52" s="118">
        <f>+AV52</f>
        <v>-881.3</v>
      </c>
      <c r="AZ52" s="118">
        <f>+AW52</f>
        <v>-881.3</v>
      </c>
      <c r="BA52" s="118">
        <f>+AZ52</f>
        <v>-881.3</v>
      </c>
      <c r="BB52" s="118">
        <f>+AY52</f>
        <v>-881.3</v>
      </c>
      <c r="BC52" s="118">
        <f>+AZ52</f>
        <v>-881.3</v>
      </c>
      <c r="BD52" s="118">
        <f>+BC52</f>
        <v>-881.3</v>
      </c>
      <c r="BE52" s="118">
        <f>+BB52</f>
        <v>-881.3</v>
      </c>
      <c r="BF52" s="118">
        <f>+BC52</f>
        <v>-881.3</v>
      </c>
      <c r="BG52" s="118">
        <f>+BF52</f>
        <v>-881.3</v>
      </c>
      <c r="BH52" s="118">
        <f>+BE52</f>
        <v>-881.3</v>
      </c>
      <c r="BI52" s="118">
        <f>+BF52</f>
        <v>-881.3</v>
      </c>
      <c r="BJ52" s="118">
        <f>+BI52</f>
        <v>-881.3</v>
      </c>
      <c r="BK52" s="118">
        <f>+BH52</f>
        <v>-881.3</v>
      </c>
      <c r="BL52" s="118">
        <f>+BI52</f>
        <v>-881.3</v>
      </c>
      <c r="BM52" s="118">
        <f>+BL52</f>
        <v>-881.3</v>
      </c>
      <c r="BN52" s="118">
        <f>+BK52</f>
        <v>-881.3</v>
      </c>
      <c r="BO52" s="118">
        <f>+BL52</f>
        <v>-881.3</v>
      </c>
      <c r="BP52" s="118">
        <f>+BO52</f>
        <v>-881.3</v>
      </c>
      <c r="BQ52" s="118">
        <f>+BN52</f>
        <v>-881.3</v>
      </c>
      <c r="BR52" s="118">
        <f>+BO52</f>
        <v>-881.3</v>
      </c>
    </row>
    <row r="53" spans="2:72" outlineLevel="1">
      <c r="B53" s="30"/>
      <c r="C53" s="84" t="s">
        <v>139</v>
      </c>
      <c r="D53" s="58" t="s">
        <v>58</v>
      </c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S53" s="25">
        <v>335.9</v>
      </c>
      <c r="T53" s="18"/>
      <c r="U53" s="18">
        <f>V53</f>
        <v>370.4</v>
      </c>
      <c r="V53" s="25">
        <v>370.4</v>
      </c>
      <c r="W53" s="337">
        <v>381.3</v>
      </c>
      <c r="X53" s="18">
        <f>Y53</f>
        <v>452.1</v>
      </c>
      <c r="Y53" s="25">
        <v>452.1</v>
      </c>
      <c r="Z53" s="337">
        <v>541.6</v>
      </c>
      <c r="AA53" s="18">
        <f>AB53</f>
        <v>139</v>
      </c>
      <c r="AB53" s="25">
        <v>139</v>
      </c>
      <c r="AC53" s="25">
        <v>171.8</v>
      </c>
      <c r="AD53" s="337">
        <f>AE53</f>
        <v>286.7</v>
      </c>
      <c r="AE53" s="25">
        <v>286.7</v>
      </c>
      <c r="AF53" s="25">
        <v>343</v>
      </c>
      <c r="AG53" s="940">
        <f>AF53+AG19+AG85</f>
        <v>510.31828824912941</v>
      </c>
      <c r="AH53" s="118">
        <f>AG53</f>
        <v>510.31828824912941</v>
      </c>
      <c r="AI53" s="118">
        <f>AH53+AI19+AI85</f>
        <v>591.42635577938177</v>
      </c>
      <c r="AJ53" s="118">
        <f>AI53+AJ19+AJ85</f>
        <v>773.4253581352549</v>
      </c>
      <c r="AK53" s="118">
        <f>AJ53</f>
        <v>773.4253581352549</v>
      </c>
      <c r="AL53" s="118">
        <f>AK53+AL19+AL85</f>
        <v>868.62707087383706</v>
      </c>
      <c r="AM53" s="118">
        <f>AL53+AM19+AM85</f>
        <v>1049.7492825168918</v>
      </c>
      <c r="AN53" s="118">
        <f>AM53</f>
        <v>1049.7492825168918</v>
      </c>
      <c r="AO53" s="118">
        <f>AN53+AO19+AO85</f>
        <v>1144.2984663040656</v>
      </c>
      <c r="AP53" s="118">
        <f>AO53+AP19+AP85</f>
        <v>1333.570301748789</v>
      </c>
      <c r="AQ53" s="118">
        <f>AP53</f>
        <v>1333.570301748789</v>
      </c>
      <c r="AR53" s="118">
        <f>AQ53+AR19+AR85</f>
        <v>1426.3459578223551</v>
      </c>
      <c r="AS53" s="118">
        <f>AR53+AS19+AS85</f>
        <v>1620.9501247563933</v>
      </c>
      <c r="AT53" s="118">
        <f>AS53</f>
        <v>1620.9501247563933</v>
      </c>
      <c r="AU53" s="118">
        <f>AT53+AU19+AU85</f>
        <v>1717.4519891678665</v>
      </c>
      <c r="AV53" s="118">
        <f>AU53+AV19+AV85</f>
        <v>1917.5977894443288</v>
      </c>
      <c r="AW53" s="118">
        <f>AV53</f>
        <v>1917.5977894443288</v>
      </c>
      <c r="AX53" s="118">
        <f>AW53+AX19+AX85</f>
        <v>2017.9482598910774</v>
      </c>
      <c r="AY53" s="118">
        <f>AX53+AY19+AY85</f>
        <v>2223.8128084915948</v>
      </c>
      <c r="AZ53" s="118">
        <f>AY53</f>
        <v>2223.8128084915948</v>
      </c>
      <c r="BA53" s="118">
        <f>AZ53+BA19+BA85</f>
        <v>2328.138100084705</v>
      </c>
      <c r="BB53" s="118">
        <f>BA53+BB19+BB85</f>
        <v>2539.1566540933704</v>
      </c>
      <c r="BC53" s="118">
        <f>BB53</f>
        <v>2539.1566540933704</v>
      </c>
      <c r="BD53" s="118">
        <f>BC53+BD19+BD85</f>
        <v>2646.6667746120488</v>
      </c>
      <c r="BE53" s="118">
        <f>BD53+BE19+BE85</f>
        <v>2862.1840540025951</v>
      </c>
      <c r="BF53" s="118">
        <f>BE53</f>
        <v>2862.1840540025951</v>
      </c>
      <c r="BG53" s="118">
        <f>BF53+BG19+BG85</f>
        <v>2972.1287995563439</v>
      </c>
      <c r="BH53" s="118">
        <f>BG53+BH19+BH85</f>
        <v>3192.7379644742787</v>
      </c>
      <c r="BI53" s="118">
        <f>BH53</f>
        <v>3192.7379644742787</v>
      </c>
      <c r="BJ53" s="118">
        <f>BI53+BJ19+BJ85</f>
        <v>3305.9762853658631</v>
      </c>
      <c r="BK53" s="118">
        <f>BJ53+BK19+BK85</f>
        <v>3531.8421769143188</v>
      </c>
      <c r="BL53" s="118">
        <f>BK53</f>
        <v>3531.8421769143188</v>
      </c>
      <c r="BM53" s="118">
        <f>BL53+BM19+BM85</f>
        <v>3648.4748713639774</v>
      </c>
      <c r="BN53" s="118">
        <f>BM53+BN19+BN85</f>
        <v>3879.7391833982711</v>
      </c>
      <c r="BO53" s="118">
        <f>BN53</f>
        <v>3879.7391833982711</v>
      </c>
      <c r="BP53" s="118">
        <f>BO53+BP19+BP85</f>
        <v>3999.8966698947561</v>
      </c>
      <c r="BQ53" s="118">
        <f>BP53+BQ19+BQ85</f>
        <v>4236.7665882548999</v>
      </c>
      <c r="BR53" s="118">
        <f>BQ53</f>
        <v>4236.7665882548999</v>
      </c>
    </row>
    <row r="54" spans="2:72" s="8" customFormat="1" outlineLevel="1">
      <c r="B54" s="85"/>
      <c r="C54" s="85" t="s">
        <v>140</v>
      </c>
      <c r="D54" s="56" t="s">
        <v>58</v>
      </c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S54" s="64">
        <f>S51+S52+S53</f>
        <v>3344.6</v>
      </c>
      <c r="T54" s="64"/>
      <c r="U54" s="64">
        <f t="shared" ref="U54:AB54" si="240">U51+U52+U53</f>
        <v>2028.1</v>
      </c>
      <c r="V54" s="64">
        <f t="shared" si="240"/>
        <v>2028.1</v>
      </c>
      <c r="W54" s="64">
        <f t="shared" si="240"/>
        <v>1894.4</v>
      </c>
      <c r="X54" s="64">
        <f t="shared" si="240"/>
        <v>1466.1999999999998</v>
      </c>
      <c r="Y54" s="64">
        <f t="shared" si="240"/>
        <v>1466.1999999999998</v>
      </c>
      <c r="Z54" s="64">
        <f t="shared" si="240"/>
        <v>1142.0999999999999</v>
      </c>
      <c r="AA54" s="64">
        <f t="shared" si="240"/>
        <v>783.89999999999986</v>
      </c>
      <c r="AB54" s="64">
        <f t="shared" si="240"/>
        <v>783.89999999999986</v>
      </c>
      <c r="AC54" s="64">
        <f t="shared" ref="AC54:AE54" si="241">AC51+AC52+AC53</f>
        <v>778.09999999999991</v>
      </c>
      <c r="AD54" s="64">
        <f t="shared" si="241"/>
        <v>821.90000000000009</v>
      </c>
      <c r="AE54" s="341">
        <f t="shared" si="241"/>
        <v>821.90000000000009</v>
      </c>
      <c r="AF54" s="341">
        <f t="shared" ref="AF54:BR54" si="242">AF51+AF52+AF53</f>
        <v>893.40000000000009</v>
      </c>
      <c r="AG54" s="934">
        <f t="shared" si="242"/>
        <v>1060.7182882491295</v>
      </c>
      <c r="AH54" s="64">
        <f t="shared" si="242"/>
        <v>1060.7182882491295</v>
      </c>
      <c r="AI54" s="64">
        <f t="shared" si="242"/>
        <v>1141.8263557793819</v>
      </c>
      <c r="AJ54" s="64">
        <f t="shared" si="242"/>
        <v>1323.8253581352551</v>
      </c>
      <c r="AK54" s="64">
        <f t="shared" si="242"/>
        <v>1323.8253581352551</v>
      </c>
      <c r="AL54" s="64">
        <f t="shared" si="242"/>
        <v>1419.0270708738371</v>
      </c>
      <c r="AM54" s="64">
        <f t="shared" si="242"/>
        <v>1600.1492825168918</v>
      </c>
      <c r="AN54" s="64">
        <f t="shared" si="242"/>
        <v>1600.1492825168918</v>
      </c>
      <c r="AO54" s="64">
        <f t="shared" si="242"/>
        <v>1694.6984663040657</v>
      </c>
      <c r="AP54" s="64">
        <f t="shared" si="242"/>
        <v>1883.9703017487891</v>
      </c>
      <c r="AQ54" s="64">
        <f t="shared" si="242"/>
        <v>1883.9703017487891</v>
      </c>
      <c r="AR54" s="64">
        <f t="shared" si="242"/>
        <v>1976.7459578223552</v>
      </c>
      <c r="AS54" s="64">
        <f t="shared" si="242"/>
        <v>2171.3501247563936</v>
      </c>
      <c r="AT54" s="64">
        <f t="shared" si="242"/>
        <v>2171.3501247563936</v>
      </c>
      <c r="AU54" s="64">
        <f t="shared" si="242"/>
        <v>2267.8519891678666</v>
      </c>
      <c r="AV54" s="64">
        <f t="shared" si="242"/>
        <v>2467.9977894443291</v>
      </c>
      <c r="AW54" s="64">
        <f t="shared" si="242"/>
        <v>2467.9977894443291</v>
      </c>
      <c r="AX54" s="64">
        <f t="shared" si="242"/>
        <v>2568.3482598910778</v>
      </c>
      <c r="AY54" s="64">
        <f t="shared" si="242"/>
        <v>2774.2128084915948</v>
      </c>
      <c r="AZ54" s="64">
        <f t="shared" si="242"/>
        <v>2774.2128084915948</v>
      </c>
      <c r="BA54" s="64">
        <f t="shared" si="242"/>
        <v>2878.5381000847051</v>
      </c>
      <c r="BB54" s="64">
        <f t="shared" si="242"/>
        <v>3089.5566540933705</v>
      </c>
      <c r="BC54" s="64">
        <f t="shared" si="242"/>
        <v>3089.5566540933705</v>
      </c>
      <c r="BD54" s="64">
        <f t="shared" si="242"/>
        <v>3197.0667746120489</v>
      </c>
      <c r="BE54" s="64">
        <f t="shared" si="242"/>
        <v>3412.5840540025952</v>
      </c>
      <c r="BF54" s="64">
        <f t="shared" si="242"/>
        <v>3412.5840540025952</v>
      </c>
      <c r="BG54" s="64">
        <f t="shared" si="242"/>
        <v>3522.528799556344</v>
      </c>
      <c r="BH54" s="64">
        <f t="shared" si="242"/>
        <v>3743.1379644742788</v>
      </c>
      <c r="BI54" s="64">
        <f t="shared" si="242"/>
        <v>3743.1379644742788</v>
      </c>
      <c r="BJ54" s="64">
        <f t="shared" si="242"/>
        <v>3856.3762853658632</v>
      </c>
      <c r="BK54" s="64">
        <f t="shared" si="242"/>
        <v>4082.2421769143189</v>
      </c>
      <c r="BL54" s="64">
        <f t="shared" si="242"/>
        <v>4082.2421769143189</v>
      </c>
      <c r="BM54" s="64">
        <f t="shared" si="242"/>
        <v>4198.8748713639779</v>
      </c>
      <c r="BN54" s="64">
        <f t="shared" si="242"/>
        <v>4430.1391833982707</v>
      </c>
      <c r="BO54" s="64">
        <f t="shared" si="242"/>
        <v>4430.1391833982707</v>
      </c>
      <c r="BP54" s="64">
        <f t="shared" si="242"/>
        <v>4550.2966698947566</v>
      </c>
      <c r="BQ54" s="64">
        <f t="shared" si="242"/>
        <v>4787.1665882549005</v>
      </c>
      <c r="BR54" s="64">
        <f t="shared" si="242"/>
        <v>4787.1665882549005</v>
      </c>
    </row>
    <row r="55" spans="2:72" outlineLevel="1">
      <c r="B55" s="30"/>
      <c r="C55" s="30" t="s">
        <v>141</v>
      </c>
      <c r="D55" s="58" t="s">
        <v>58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S55" s="25">
        <v>88.8</v>
      </c>
      <c r="T55" s="18"/>
      <c r="U55" s="18">
        <f>V55</f>
        <v>111</v>
      </c>
      <c r="V55" s="25">
        <v>111</v>
      </c>
      <c r="W55" s="337">
        <v>111</v>
      </c>
      <c r="X55" s="18">
        <f>Y55</f>
        <v>120.8</v>
      </c>
      <c r="Y55" s="25">
        <v>120.8</v>
      </c>
      <c r="Z55" s="337">
        <v>77.099999999999994</v>
      </c>
      <c r="AA55" s="18">
        <f>AB55</f>
        <v>61.6</v>
      </c>
      <c r="AB55" s="25">
        <v>61.6</v>
      </c>
      <c r="AC55" s="25">
        <v>64</v>
      </c>
      <c r="AD55" s="337">
        <f>AE55</f>
        <v>69.599999999999994</v>
      </c>
      <c r="AE55" s="25">
        <v>69.599999999999994</v>
      </c>
      <c r="AF55" s="25">
        <v>64.5</v>
      </c>
      <c r="AG55" s="940">
        <f>AF55-AG16</f>
        <v>74.2</v>
      </c>
      <c r="AH55" s="118">
        <f>AG55</f>
        <v>74.2</v>
      </c>
      <c r="AI55" s="118">
        <f>AH55-AI16</f>
        <v>78.400000000000006</v>
      </c>
      <c r="AJ55" s="118">
        <f>AI55-AJ16</f>
        <v>88.100000000000009</v>
      </c>
      <c r="AK55" s="118">
        <f>AJ55</f>
        <v>88.100000000000009</v>
      </c>
      <c r="AL55" s="118">
        <f>AK55-AL16</f>
        <v>92.300000000000011</v>
      </c>
      <c r="AM55" s="118">
        <f>AL55-AM16</f>
        <v>102.00000000000001</v>
      </c>
      <c r="AN55" s="118">
        <f>AM55</f>
        <v>102.00000000000001</v>
      </c>
      <c r="AO55" s="118">
        <f>AN55-AO16</f>
        <v>106.20000000000002</v>
      </c>
      <c r="AP55" s="118">
        <f>AO55-AP16</f>
        <v>115.90000000000002</v>
      </c>
      <c r="AQ55" s="118">
        <f>AP55</f>
        <v>115.90000000000002</v>
      </c>
      <c r="AR55" s="118">
        <f>AQ55-AR16</f>
        <v>120.10000000000002</v>
      </c>
      <c r="AS55" s="118">
        <f>AR55-AS16</f>
        <v>129.80000000000001</v>
      </c>
      <c r="AT55" s="118">
        <f>AS55</f>
        <v>129.80000000000001</v>
      </c>
      <c r="AU55" s="118">
        <f>AT55-AU16</f>
        <v>134</v>
      </c>
      <c r="AV55" s="118">
        <f>AU55-AV16</f>
        <v>143.69999999999999</v>
      </c>
      <c r="AW55" s="118">
        <f>AV55</f>
        <v>143.69999999999999</v>
      </c>
      <c r="AX55" s="118">
        <f>AW55-AX16</f>
        <v>147.89999999999998</v>
      </c>
      <c r="AY55" s="118">
        <f>AX55-AY16</f>
        <v>157.59999999999997</v>
      </c>
      <c r="AZ55" s="118">
        <f>AY55</f>
        <v>157.59999999999997</v>
      </c>
      <c r="BA55" s="118">
        <f>AZ55-BA16</f>
        <v>161.79999999999995</v>
      </c>
      <c r="BB55" s="118">
        <f>BA55-BB16</f>
        <v>171.49999999999994</v>
      </c>
      <c r="BC55" s="118">
        <f>BB55</f>
        <v>171.49999999999994</v>
      </c>
      <c r="BD55" s="118">
        <f>BC55-BD16</f>
        <v>175.69999999999993</v>
      </c>
      <c r="BE55" s="118">
        <f>BD55-BE16</f>
        <v>185.39999999999992</v>
      </c>
      <c r="BF55" s="118">
        <f>BE55</f>
        <v>185.39999999999992</v>
      </c>
      <c r="BG55" s="118">
        <f>BF55-BG16</f>
        <v>189.59999999999991</v>
      </c>
      <c r="BH55" s="118">
        <f>BG55-BH16</f>
        <v>199.2999999999999</v>
      </c>
      <c r="BI55" s="118">
        <f>BH55</f>
        <v>199.2999999999999</v>
      </c>
      <c r="BJ55" s="118">
        <f>BI55-BJ16</f>
        <v>203.49999999999989</v>
      </c>
      <c r="BK55" s="118">
        <f>BJ55-BK16</f>
        <v>213.19999999999987</v>
      </c>
      <c r="BL55" s="118">
        <f>BK55</f>
        <v>213.19999999999987</v>
      </c>
      <c r="BM55" s="118">
        <f>BL55-BM16</f>
        <v>217.39999999999986</v>
      </c>
      <c r="BN55" s="118">
        <f>BM55-BN16</f>
        <v>227.09999999999985</v>
      </c>
      <c r="BO55" s="118">
        <f>BN55</f>
        <v>227.09999999999985</v>
      </c>
      <c r="BP55" s="118">
        <f>BO55-BP16</f>
        <v>231.29999999999984</v>
      </c>
      <c r="BQ55" s="118">
        <f>BP55-BQ16</f>
        <v>240.99999999999983</v>
      </c>
      <c r="BR55" s="118">
        <f>BQ55</f>
        <v>240.99999999999983</v>
      </c>
    </row>
    <row r="56" spans="2:72" outlineLevel="1">
      <c r="B56" s="30"/>
      <c r="C56" s="85" t="s">
        <v>734</v>
      </c>
      <c r="D56" s="56" t="s">
        <v>58</v>
      </c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S56" s="64">
        <f>S54+S55</f>
        <v>3433.4</v>
      </c>
      <c r="T56" s="18"/>
      <c r="U56" s="64">
        <f t="shared" ref="U56:AB56" si="243">U54+U55</f>
        <v>2139.1</v>
      </c>
      <c r="V56" s="64">
        <f t="shared" si="243"/>
        <v>2139.1</v>
      </c>
      <c r="W56" s="64">
        <f t="shared" si="243"/>
        <v>2005.4</v>
      </c>
      <c r="X56" s="64">
        <f t="shared" si="243"/>
        <v>1586.9999999999998</v>
      </c>
      <c r="Y56" s="64">
        <f t="shared" si="243"/>
        <v>1586.9999999999998</v>
      </c>
      <c r="Z56" s="64">
        <f t="shared" si="243"/>
        <v>1219.1999999999998</v>
      </c>
      <c r="AA56" s="64">
        <f t="shared" si="243"/>
        <v>845.49999999999989</v>
      </c>
      <c r="AB56" s="64">
        <f t="shared" si="243"/>
        <v>845.49999999999989</v>
      </c>
      <c r="AC56" s="64">
        <f t="shared" ref="AC56:AE56" si="244">AC54+AC55</f>
        <v>842.09999999999991</v>
      </c>
      <c r="AD56" s="64">
        <f t="shared" si="244"/>
        <v>891.50000000000011</v>
      </c>
      <c r="AE56" s="341">
        <f t="shared" si="244"/>
        <v>891.50000000000011</v>
      </c>
      <c r="AF56" s="341">
        <f t="shared" ref="AF56:BR56" si="245">AF54+AF55</f>
        <v>957.90000000000009</v>
      </c>
      <c r="AG56" s="934">
        <f t="shared" si="245"/>
        <v>1134.9182882491295</v>
      </c>
      <c r="AH56" s="64">
        <f t="shared" si="245"/>
        <v>1134.9182882491295</v>
      </c>
      <c r="AI56" s="64">
        <f t="shared" si="245"/>
        <v>1220.2263557793819</v>
      </c>
      <c r="AJ56" s="64">
        <f t="shared" si="245"/>
        <v>1411.925358135255</v>
      </c>
      <c r="AK56" s="64">
        <f t="shared" si="245"/>
        <v>1411.925358135255</v>
      </c>
      <c r="AL56" s="64">
        <f t="shared" si="245"/>
        <v>1511.3270708738371</v>
      </c>
      <c r="AM56" s="64">
        <f t="shared" si="245"/>
        <v>1702.1492825168918</v>
      </c>
      <c r="AN56" s="64">
        <f t="shared" si="245"/>
        <v>1702.1492825168918</v>
      </c>
      <c r="AO56" s="64">
        <f t="shared" si="245"/>
        <v>1800.8984663040658</v>
      </c>
      <c r="AP56" s="64">
        <f t="shared" si="245"/>
        <v>1999.8703017487892</v>
      </c>
      <c r="AQ56" s="64">
        <f t="shared" si="245"/>
        <v>1999.8703017487892</v>
      </c>
      <c r="AR56" s="64">
        <f t="shared" si="245"/>
        <v>2096.8459578223551</v>
      </c>
      <c r="AS56" s="64">
        <f t="shared" si="245"/>
        <v>2301.1501247563938</v>
      </c>
      <c r="AT56" s="64">
        <f t="shared" si="245"/>
        <v>2301.1501247563938</v>
      </c>
      <c r="AU56" s="64">
        <f t="shared" si="245"/>
        <v>2401.8519891678666</v>
      </c>
      <c r="AV56" s="64">
        <f t="shared" si="245"/>
        <v>2611.6977894443289</v>
      </c>
      <c r="AW56" s="64">
        <f t="shared" si="245"/>
        <v>2611.6977894443289</v>
      </c>
      <c r="AX56" s="64">
        <f t="shared" si="245"/>
        <v>2716.2482598910779</v>
      </c>
      <c r="AY56" s="64">
        <f t="shared" si="245"/>
        <v>2931.8128084915948</v>
      </c>
      <c r="AZ56" s="64">
        <f t="shared" si="245"/>
        <v>2931.8128084915948</v>
      </c>
      <c r="BA56" s="64">
        <f t="shared" si="245"/>
        <v>3040.3381000847048</v>
      </c>
      <c r="BB56" s="64">
        <f t="shared" si="245"/>
        <v>3261.0566540933705</v>
      </c>
      <c r="BC56" s="64">
        <f t="shared" si="245"/>
        <v>3261.0566540933705</v>
      </c>
      <c r="BD56" s="64">
        <f t="shared" si="245"/>
        <v>3372.7667746120487</v>
      </c>
      <c r="BE56" s="64">
        <f t="shared" si="245"/>
        <v>3597.9840540025953</v>
      </c>
      <c r="BF56" s="64">
        <f t="shared" si="245"/>
        <v>3597.9840540025953</v>
      </c>
      <c r="BG56" s="64">
        <f t="shared" si="245"/>
        <v>3712.1287995563439</v>
      </c>
      <c r="BH56" s="64">
        <f t="shared" si="245"/>
        <v>3942.4379644742785</v>
      </c>
      <c r="BI56" s="64">
        <f t="shared" si="245"/>
        <v>3942.4379644742785</v>
      </c>
      <c r="BJ56" s="64">
        <f t="shared" si="245"/>
        <v>4059.8762853658632</v>
      </c>
      <c r="BK56" s="64">
        <f t="shared" si="245"/>
        <v>4295.4421769143191</v>
      </c>
      <c r="BL56" s="64">
        <f t="shared" si="245"/>
        <v>4295.4421769143191</v>
      </c>
      <c r="BM56" s="64">
        <f t="shared" si="245"/>
        <v>4416.2748713639776</v>
      </c>
      <c r="BN56" s="64">
        <f t="shared" si="245"/>
        <v>4657.2391833982701</v>
      </c>
      <c r="BO56" s="64">
        <f t="shared" si="245"/>
        <v>4657.2391833982701</v>
      </c>
      <c r="BP56" s="64">
        <f t="shared" si="245"/>
        <v>4781.5966698947568</v>
      </c>
      <c r="BQ56" s="64">
        <f t="shared" si="245"/>
        <v>5028.1665882549005</v>
      </c>
      <c r="BR56" s="64">
        <f t="shared" si="245"/>
        <v>5028.1665882549005</v>
      </c>
    </row>
    <row r="57" spans="2:72" outlineLevel="1">
      <c r="B57" s="30"/>
      <c r="C57" s="697" t="s">
        <v>533</v>
      </c>
      <c r="D57" s="31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S57" s="147">
        <f>S50-S56</f>
        <v>0</v>
      </c>
      <c r="T57" s="18"/>
      <c r="U57" s="147">
        <f t="shared" ref="U57:AE57" si="246">U50-U56</f>
        <v>0</v>
      </c>
      <c r="V57" s="147">
        <f t="shared" si="246"/>
        <v>0</v>
      </c>
      <c r="W57" s="147">
        <f t="shared" si="246"/>
        <v>0</v>
      </c>
      <c r="X57" s="147">
        <f t="shared" si="246"/>
        <v>0</v>
      </c>
      <c r="Y57" s="147">
        <f t="shared" si="246"/>
        <v>0</v>
      </c>
      <c r="Z57" s="147">
        <f t="shared" si="246"/>
        <v>0</v>
      </c>
      <c r="AA57" s="160">
        <f t="shared" si="246"/>
        <v>0</v>
      </c>
      <c r="AB57" s="160">
        <f t="shared" si="246"/>
        <v>0</v>
      </c>
      <c r="AC57" s="160">
        <f t="shared" si="246"/>
        <v>0</v>
      </c>
      <c r="AD57" s="160">
        <f t="shared" si="246"/>
        <v>-1.9326762412674725E-12</v>
      </c>
      <c r="AE57" s="160">
        <f t="shared" si="246"/>
        <v>-1.9326762412674725E-12</v>
      </c>
      <c r="AF57" s="160">
        <f t="shared" ref="AF57:BR57" si="247">AF50-AF56</f>
        <v>0</v>
      </c>
      <c r="AG57" s="941">
        <f t="shared" si="247"/>
        <v>0</v>
      </c>
      <c r="AH57" s="160">
        <f t="shared" si="247"/>
        <v>0</v>
      </c>
      <c r="AI57" s="160">
        <f t="shared" si="247"/>
        <v>-2.5011104298755527E-12</v>
      </c>
      <c r="AJ57" s="160">
        <f t="shared" si="247"/>
        <v>-1.8189894035458565E-12</v>
      </c>
      <c r="AK57" s="160">
        <f t="shared" si="247"/>
        <v>-1.8189894035458565E-12</v>
      </c>
      <c r="AL57" s="160">
        <f t="shared" si="247"/>
        <v>0</v>
      </c>
      <c r="AM57" s="160">
        <f t="shared" si="247"/>
        <v>0</v>
      </c>
      <c r="AN57" s="160">
        <f t="shared" si="247"/>
        <v>0</v>
      </c>
      <c r="AO57" s="160">
        <f t="shared" si="247"/>
        <v>0</v>
      </c>
      <c r="AP57" s="160">
        <f t="shared" si="247"/>
        <v>0</v>
      </c>
      <c r="AQ57" s="160">
        <f t="shared" si="247"/>
        <v>0</v>
      </c>
      <c r="AR57" s="160">
        <f t="shared" si="247"/>
        <v>0</v>
      </c>
      <c r="AS57" s="160">
        <f t="shared" si="247"/>
        <v>0</v>
      </c>
      <c r="AT57" s="160">
        <f t="shared" si="247"/>
        <v>0</v>
      </c>
      <c r="AU57" s="160">
        <f t="shared" si="247"/>
        <v>0</v>
      </c>
      <c r="AV57" s="160">
        <f t="shared" si="247"/>
        <v>0</v>
      </c>
      <c r="AW57" s="160">
        <f t="shared" si="247"/>
        <v>0</v>
      </c>
      <c r="AX57" s="160">
        <f t="shared" si="247"/>
        <v>0</v>
      </c>
      <c r="AY57" s="160">
        <f t="shared" si="247"/>
        <v>0</v>
      </c>
      <c r="AZ57" s="160">
        <f t="shared" si="247"/>
        <v>0</v>
      </c>
      <c r="BA57" s="160">
        <f t="shared" si="247"/>
        <v>0</v>
      </c>
      <c r="BB57" s="160">
        <f t="shared" si="247"/>
        <v>0</v>
      </c>
      <c r="BC57" s="160">
        <f t="shared" si="247"/>
        <v>0</v>
      </c>
      <c r="BD57" s="160">
        <f t="shared" si="247"/>
        <v>0</v>
      </c>
      <c r="BE57" s="160">
        <f t="shared" si="247"/>
        <v>0</v>
      </c>
      <c r="BF57" s="160">
        <f t="shared" si="247"/>
        <v>0</v>
      </c>
      <c r="BG57" s="160">
        <f t="shared" si="247"/>
        <v>0</v>
      </c>
      <c r="BH57" s="160">
        <f t="shared" si="247"/>
        <v>0</v>
      </c>
      <c r="BI57" s="160">
        <f t="shared" si="247"/>
        <v>0</v>
      </c>
      <c r="BJ57" s="160">
        <f t="shared" si="247"/>
        <v>0</v>
      </c>
      <c r="BK57" s="160">
        <f t="shared" si="247"/>
        <v>0</v>
      </c>
      <c r="BL57" s="160">
        <f t="shared" si="247"/>
        <v>0</v>
      </c>
      <c r="BM57" s="160">
        <f t="shared" si="247"/>
        <v>0</v>
      </c>
      <c r="BN57" s="160">
        <f t="shared" si="247"/>
        <v>0</v>
      </c>
      <c r="BO57" s="160">
        <f t="shared" si="247"/>
        <v>0</v>
      </c>
      <c r="BP57" s="160">
        <f t="shared" si="247"/>
        <v>0</v>
      </c>
      <c r="BQ57" s="160">
        <f t="shared" si="247"/>
        <v>0</v>
      </c>
      <c r="BR57" s="160">
        <f t="shared" si="247"/>
        <v>0</v>
      </c>
      <c r="BS57" s="147"/>
      <c r="BT57" s="147"/>
    </row>
    <row r="58" spans="2:72" outlineLevel="1">
      <c r="B58" s="54" t="s">
        <v>142</v>
      </c>
      <c r="C58" s="62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AF58" s="360"/>
      <c r="AG58" s="942"/>
    </row>
    <row r="59" spans="2:72" outlineLevel="1">
      <c r="B59" s="55"/>
      <c r="C59" s="60" t="s">
        <v>143</v>
      </c>
      <c r="D59" s="58" t="s">
        <v>58</v>
      </c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T59" s="42"/>
      <c r="U59" s="42"/>
      <c r="V59" s="23">
        <f t="shared" ref="V59:AE59" si="248">V9</f>
        <v>1458.1999999999998</v>
      </c>
      <c r="W59" s="23">
        <f t="shared" si="248"/>
        <v>701.9</v>
      </c>
      <c r="X59" s="23">
        <f t="shared" si="248"/>
        <v>706.7</v>
      </c>
      <c r="Y59" s="23">
        <f t="shared" si="248"/>
        <v>1408.6000000000001</v>
      </c>
      <c r="Z59" s="23">
        <f t="shared" si="248"/>
        <v>664.30000000000007</v>
      </c>
      <c r="AA59" s="23">
        <f t="shared" si="248"/>
        <v>745</v>
      </c>
      <c r="AB59" s="23">
        <f t="shared" si="248"/>
        <v>1409.3</v>
      </c>
      <c r="AC59" s="23">
        <f t="shared" si="248"/>
        <v>677.7</v>
      </c>
      <c r="AD59" s="23">
        <f t="shared" si="248"/>
        <v>769.29999999999984</v>
      </c>
      <c r="AE59" s="19">
        <f t="shared" si="248"/>
        <v>1447</v>
      </c>
      <c r="AF59" s="19">
        <f t="shared" ref="AF59:AK59" si="249">AF9</f>
        <v>695.19999999999993</v>
      </c>
      <c r="AG59" s="943">
        <f t="shared" ref="AG59" si="250">AG9</f>
        <v>819.59027651098722</v>
      </c>
      <c r="AH59" s="23">
        <f t="shared" si="249"/>
        <v>1514.7902765109873</v>
      </c>
      <c r="AI59" s="23">
        <f t="shared" si="249"/>
        <v>745.98614725021605</v>
      </c>
      <c r="AJ59" s="23">
        <f t="shared" si="249"/>
        <v>872.16259252852728</v>
      </c>
      <c r="AK59" s="23">
        <f t="shared" si="249"/>
        <v>1618.1487397787434</v>
      </c>
      <c r="AL59" s="23">
        <f t="shared" ref="AL59:BR59" si="251">AL9</f>
        <v>807.8244737239412</v>
      </c>
      <c r="AM59" s="23">
        <f t="shared" si="251"/>
        <v>912.12807989072053</v>
      </c>
      <c r="AN59" s="23">
        <f t="shared" si="251"/>
        <v>1719.9525536146616</v>
      </c>
      <c r="AO59" s="23">
        <f t="shared" si="251"/>
        <v>828.57366000872219</v>
      </c>
      <c r="AP59" s="23">
        <f t="shared" si="251"/>
        <v>936.38026465145936</v>
      </c>
      <c r="AQ59" s="23">
        <f t="shared" si="251"/>
        <v>1764.9539246601814</v>
      </c>
      <c r="AR59" s="23">
        <f t="shared" si="251"/>
        <v>841.48356815120212</v>
      </c>
      <c r="AS59" s="23">
        <f t="shared" si="251"/>
        <v>951.29339003970426</v>
      </c>
      <c r="AT59" s="23">
        <f t="shared" si="251"/>
        <v>1792.7769581909063</v>
      </c>
      <c r="AU59" s="23">
        <f t="shared" si="251"/>
        <v>854.77652706539425</v>
      </c>
      <c r="AV59" s="23">
        <f t="shared" si="251"/>
        <v>966.65002001719699</v>
      </c>
      <c r="AW59" s="23">
        <f t="shared" si="251"/>
        <v>1821.4265470825912</v>
      </c>
      <c r="AX59" s="23">
        <f t="shared" si="251"/>
        <v>868.46498535552189</v>
      </c>
      <c r="AY59" s="23">
        <f t="shared" si="251"/>
        <v>982.46467762485895</v>
      </c>
      <c r="AZ59" s="23">
        <f t="shared" si="251"/>
        <v>1850.9296629803807</v>
      </c>
      <c r="BA59" s="23">
        <f t="shared" si="251"/>
        <v>882.56189029950724</v>
      </c>
      <c r="BB59" s="23">
        <f t="shared" si="251"/>
        <v>998.75246337939052</v>
      </c>
      <c r="BC59" s="23">
        <f t="shared" si="251"/>
        <v>1881.3143536788978</v>
      </c>
      <c r="BD59" s="23">
        <f t="shared" si="251"/>
        <v>897.08070871964969</v>
      </c>
      <c r="BE59" s="23">
        <f t="shared" si="251"/>
        <v>1015.5290793767515</v>
      </c>
      <c r="BF59" s="23">
        <f t="shared" si="251"/>
        <v>1912.6097880964014</v>
      </c>
      <c r="BG59" s="23">
        <f t="shared" si="251"/>
        <v>912.03544879247409</v>
      </c>
      <c r="BH59" s="23">
        <f t="shared" si="251"/>
        <v>1032.8108544738482</v>
      </c>
      <c r="BI59" s="23">
        <f t="shared" si="251"/>
        <v>1944.8463032663221</v>
      </c>
      <c r="BJ59" s="23">
        <f t="shared" si="251"/>
        <v>927.44068284149739</v>
      </c>
      <c r="BK59" s="23">
        <f t="shared" si="251"/>
        <v>1050.6147705984542</v>
      </c>
      <c r="BL59" s="23">
        <f t="shared" si="251"/>
        <v>1978.0554534399519</v>
      </c>
      <c r="BM59" s="23">
        <f t="shared" si="251"/>
        <v>943.31157115875965</v>
      </c>
      <c r="BN59" s="23">
        <f t="shared" si="251"/>
        <v>1068.9584902398115</v>
      </c>
      <c r="BO59" s="23">
        <f t="shared" si="251"/>
        <v>2012.2700613985712</v>
      </c>
      <c r="BP59" s="23">
        <f t="shared" si="251"/>
        <v>959.66388690318445</v>
      </c>
      <c r="BQ59" s="23">
        <f t="shared" si="251"/>
        <v>1087.860385174861</v>
      </c>
      <c r="BR59" s="23">
        <f t="shared" si="251"/>
        <v>2047.5242720780457</v>
      </c>
    </row>
    <row r="60" spans="2:72" outlineLevel="1">
      <c r="B60" s="55"/>
      <c r="C60" s="60" t="s">
        <v>144</v>
      </c>
      <c r="D60" s="58" t="s">
        <v>58</v>
      </c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T60" s="98"/>
      <c r="U60" s="42"/>
      <c r="V60" s="337">
        <f>42.7-237</f>
        <v>-194.3</v>
      </c>
      <c r="W60" s="337">
        <f>11-83.8</f>
        <v>-72.8</v>
      </c>
      <c r="X60" s="23">
        <f>Y60-W60</f>
        <v>-93.000000000000014</v>
      </c>
      <c r="Y60" s="337">
        <f>22.5-188.3</f>
        <v>-165.8</v>
      </c>
      <c r="Z60" s="337">
        <f>13.5-70.3</f>
        <v>-56.8</v>
      </c>
      <c r="AA60" s="23">
        <f>AB60-Z60</f>
        <v>-96.600000000000009</v>
      </c>
      <c r="AB60" s="25">
        <f>30.5-183.9</f>
        <v>-153.4</v>
      </c>
      <c r="AC60" s="25">
        <f>5.9-83.4</f>
        <v>-77.5</v>
      </c>
      <c r="AD60" s="23">
        <f>AE60-AC60</f>
        <v>-99.199999999999989</v>
      </c>
      <c r="AE60" s="25">
        <f>11.3-188</f>
        <v>-176.7</v>
      </c>
      <c r="AF60" s="25">
        <f>3.6-84.3</f>
        <v>-80.7</v>
      </c>
      <c r="AG60" s="933">
        <f t="shared" ref="AG60" si="252">AG13</f>
        <v>-98.803485577156749</v>
      </c>
      <c r="AH60" s="18">
        <f>AF60+AG60</f>
        <v>-179.50348557715677</v>
      </c>
      <c r="AI60" s="18">
        <f t="shared" ref="AI60:AK60" si="253">AI13</f>
        <v>-97.999131692029991</v>
      </c>
      <c r="AJ60" s="18">
        <f t="shared" si="253"/>
        <v>-94.953765698227656</v>
      </c>
      <c r="AK60" s="18">
        <f t="shared" si="253"/>
        <v>-192.95289739025765</v>
      </c>
      <c r="AL60" s="18">
        <f t="shared" ref="AL60:BR60" si="254">AL13</f>
        <v>-93.5833701617412</v>
      </c>
      <c r="AM60" s="18">
        <f t="shared" si="254"/>
        <v>-90.272580896013196</v>
      </c>
      <c r="AN60" s="18">
        <f t="shared" si="254"/>
        <v>-183.8559510577544</v>
      </c>
      <c r="AO60" s="18">
        <f t="shared" si="254"/>
        <v>-86.486976165995301</v>
      </c>
      <c r="AP60" s="18">
        <f t="shared" si="254"/>
        <v>-83.111561508365853</v>
      </c>
      <c r="AQ60" s="18">
        <f t="shared" si="254"/>
        <v>-169.59853767436115</v>
      </c>
      <c r="AR60" s="18">
        <f t="shared" si="254"/>
        <v>-79.306976029053502</v>
      </c>
      <c r="AS60" s="18">
        <f t="shared" si="254"/>
        <v>-75.886586947132699</v>
      </c>
      <c r="AT60" s="18">
        <f t="shared" si="254"/>
        <v>-155.1935629761862</v>
      </c>
      <c r="AU60" s="18">
        <f t="shared" si="254"/>
        <v>-71.972392312056073</v>
      </c>
      <c r="AV60" s="18">
        <f t="shared" si="254"/>
        <v>-68.438174063530411</v>
      </c>
      <c r="AW60" s="18">
        <f t="shared" si="254"/>
        <v>-140.41056637558648</v>
      </c>
      <c r="AX60" s="18">
        <f t="shared" si="254"/>
        <v>-64.410395592634345</v>
      </c>
      <c r="AY60" s="18">
        <f t="shared" si="254"/>
        <v>-60.758693810828973</v>
      </c>
      <c r="AZ60" s="18">
        <f t="shared" si="254"/>
        <v>-125.16908940346332</v>
      </c>
      <c r="BA60" s="18">
        <f t="shared" si="254"/>
        <v>-56.613688377217684</v>
      </c>
      <c r="BB60" s="18">
        <f t="shared" si="254"/>
        <v>-53.787331027958018</v>
      </c>
      <c r="BC60" s="18">
        <f t="shared" si="254"/>
        <v>-110.4010194051757</v>
      </c>
      <c r="BD60" s="18">
        <f t="shared" si="254"/>
        <v>-50.396026031693651</v>
      </c>
      <c r="BE60" s="18">
        <f t="shared" si="254"/>
        <v>-48.980860449988811</v>
      </c>
      <c r="BF60" s="18">
        <f t="shared" si="254"/>
        <v>-99.376886481682462</v>
      </c>
      <c r="BG60" s="18">
        <f t="shared" si="254"/>
        <v>-46.719967846287318</v>
      </c>
      <c r="BH60" s="18">
        <f t="shared" si="254"/>
        <v>-45.474179022912587</v>
      </c>
      <c r="BI60" s="18">
        <f t="shared" si="254"/>
        <v>-92.194146869199898</v>
      </c>
      <c r="BJ60" s="18">
        <f t="shared" si="254"/>
        <v>-42.952101835954153</v>
      </c>
      <c r="BK60" s="18">
        <f t="shared" si="254"/>
        <v>-41.875237446352557</v>
      </c>
      <c r="BL60" s="18">
        <f t="shared" si="254"/>
        <v>-84.82733928230671</v>
      </c>
      <c r="BM60" s="18">
        <f t="shared" si="254"/>
        <v>-39.090453685562196</v>
      </c>
      <c r="BN60" s="18">
        <f t="shared" si="254"/>
        <v>-38.218311515699142</v>
      </c>
      <c r="BO60" s="18">
        <f t="shared" si="254"/>
        <v>-77.308765201261338</v>
      </c>
      <c r="BP60" s="18">
        <f t="shared" si="254"/>
        <v>-35.124759827875152</v>
      </c>
      <c r="BQ60" s="18">
        <f t="shared" si="254"/>
        <v>-34.419624682730564</v>
      </c>
      <c r="BR60" s="18">
        <f t="shared" si="254"/>
        <v>-69.54438451060571</v>
      </c>
    </row>
    <row r="61" spans="2:72" outlineLevel="1">
      <c r="B61" s="55"/>
      <c r="C61" s="60" t="s">
        <v>145</v>
      </c>
      <c r="D61" s="58" t="s">
        <v>58</v>
      </c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T61" s="98"/>
      <c r="U61" s="42"/>
      <c r="V61" s="337">
        <v>-136.9</v>
      </c>
      <c r="W61" s="337">
        <v>-69.8</v>
      </c>
      <c r="X61" s="23">
        <f>Y61-W61</f>
        <v>-84.899999999999991</v>
      </c>
      <c r="Y61" s="337">
        <v>-154.69999999999999</v>
      </c>
      <c r="Z61" s="337">
        <v>-91.4</v>
      </c>
      <c r="AA61" s="23">
        <f>AB61-Z61</f>
        <v>-78.900000000000006</v>
      </c>
      <c r="AB61" s="25">
        <v>-170.3</v>
      </c>
      <c r="AC61" s="25">
        <v>-86.1</v>
      </c>
      <c r="AD61" s="23">
        <f>AE61-AC61</f>
        <v>-74.099999999999994</v>
      </c>
      <c r="AE61" s="25">
        <v>-160.19999999999999</v>
      </c>
      <c r="AF61" s="25">
        <v>-66.599999999999994</v>
      </c>
      <c r="AG61" s="933">
        <f>AG15*0.95</f>
        <v>-106.05196013379916</v>
      </c>
      <c r="AH61" s="18">
        <f>AF61+AG61</f>
        <v>-172.65196013379915</v>
      </c>
      <c r="AI61" s="18">
        <f>AI15*0.95</f>
        <v>-93.361761733858117</v>
      </c>
      <c r="AJ61" s="18">
        <f>AJ15*0.95</f>
        <v>-116.42142259869472</v>
      </c>
      <c r="AK61" s="18">
        <f>AI61+AJ61</f>
        <v>-209.78318433255282</v>
      </c>
      <c r="AL61" s="18">
        <f>AL15*0.95</f>
        <v>-104.10912359065891</v>
      </c>
      <c r="AM61" s="18">
        <f>AM15*0.9</f>
        <v>-117.58652898987465</v>
      </c>
      <c r="AN61" s="18">
        <f>AL61+AM61</f>
        <v>-221.69565258053356</v>
      </c>
      <c r="AO61" s="18">
        <f>AO15*0.95</f>
        <v>-109.280497090924</v>
      </c>
      <c r="AP61" s="18">
        <f>AP15*0.95</f>
        <v>-129.98763758020272</v>
      </c>
      <c r="AQ61" s="18">
        <f>AO61+AP61</f>
        <v>-239.26813467112672</v>
      </c>
      <c r="AR61" s="18">
        <f>AR15*0.95</f>
        <v>-112.90077582931164</v>
      </c>
      <c r="AS61" s="18">
        <f>AS15*0.95</f>
        <v>-134.00179383315518</v>
      </c>
      <c r="AT61" s="18">
        <f>AR61+AS61</f>
        <v>-246.90256966246682</v>
      </c>
      <c r="AU61" s="18">
        <f>AU15*0.95</f>
        <v>-116.62443604124338</v>
      </c>
      <c r="AV61" s="18">
        <f>AV15*0.95</f>
        <v>-138.1449812501055</v>
      </c>
      <c r="AW61" s="18">
        <f>AU61+AV61</f>
        <v>-254.76941729134887</v>
      </c>
      <c r="AX61" s="18">
        <f>AX15*0.95</f>
        <v>-120.46845192722802</v>
      </c>
      <c r="AY61" s="18">
        <f>AY15*0.95</f>
        <v>-142.42157893307152</v>
      </c>
      <c r="AZ61" s="18">
        <f>AX61+AY61</f>
        <v>-262.89003086029953</v>
      </c>
      <c r="BA61" s="18">
        <f>BA15*0.95</f>
        <v>-124.43682316572404</v>
      </c>
      <c r="BB61" s="18">
        <f>BB15*0.95</f>
        <v>-146.64719141790505</v>
      </c>
      <c r="BC61" s="18">
        <f>BA61+BB61</f>
        <v>-271.08401458362908</v>
      </c>
      <c r="BD61" s="18">
        <f>BD15*0.95</f>
        <v>-128.17035264729677</v>
      </c>
      <c r="BE61" s="18">
        <f>BE15*0.95</f>
        <v>-150.53428366482134</v>
      </c>
      <c r="BF61" s="18">
        <f>BD61+BE61</f>
        <v>-278.70463631211811</v>
      </c>
      <c r="BG61" s="18">
        <f>BG15*0.95</f>
        <v>-131.47976448432428</v>
      </c>
      <c r="BH61" s="18">
        <f>BH15*0.95</f>
        <v>-154.25865988128317</v>
      </c>
      <c r="BI61" s="18">
        <f>BG61+BH61</f>
        <v>-285.73842436560744</v>
      </c>
      <c r="BJ61" s="18">
        <f>BJ15*0.95</f>
        <v>-134.89329120652152</v>
      </c>
      <c r="BK61" s="18">
        <f>BK15*0.95</f>
        <v>-158.101379923954</v>
      </c>
      <c r="BL61" s="18">
        <f>BJ61+BK61</f>
        <v>-292.99467113047552</v>
      </c>
      <c r="BM61" s="18">
        <f>BM15*0.95</f>
        <v>-138.41431042477765</v>
      </c>
      <c r="BN61" s="18">
        <f>BN15*0.95</f>
        <v>-162.05908714617121</v>
      </c>
      <c r="BO61" s="18">
        <f>BM61+BN61</f>
        <v>-300.47339757094886</v>
      </c>
      <c r="BP61" s="18">
        <f>BP15*0.95</f>
        <v>-142.04797531528774</v>
      </c>
      <c r="BQ61" s="18">
        <f>BQ15*0.95</f>
        <v>-166.15211742379793</v>
      </c>
      <c r="BR61" s="18">
        <f>BP61+BQ61</f>
        <v>-308.20009273908568</v>
      </c>
    </row>
    <row r="62" spans="2:72" outlineLevel="1">
      <c r="B62" s="55"/>
      <c r="C62" s="60" t="s">
        <v>146</v>
      </c>
      <c r="D62" s="58" t="s">
        <v>58</v>
      </c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T62" s="42"/>
      <c r="U62" s="42"/>
      <c r="V62" s="23">
        <v>0</v>
      </c>
      <c r="W62" s="23">
        <v>0</v>
      </c>
      <c r="X62" s="23">
        <f>X124</f>
        <v>230.19999999999959</v>
      </c>
      <c r="Y62" s="23">
        <v>0</v>
      </c>
      <c r="Z62" s="23">
        <v>0</v>
      </c>
      <c r="AA62" s="23">
        <f t="shared" ref="AA62:AF62" si="255">AA124</f>
        <v>332.70000000000005</v>
      </c>
      <c r="AB62" s="23">
        <f t="shared" si="255"/>
        <v>99.100000000000364</v>
      </c>
      <c r="AC62" s="23">
        <f t="shared" si="255"/>
        <v>-204.09999999999991</v>
      </c>
      <c r="AD62" s="23">
        <f t="shared" si="255"/>
        <v>309.29999999999995</v>
      </c>
      <c r="AE62" s="26">
        <f t="shared" si="255"/>
        <v>105.20000000000005</v>
      </c>
      <c r="AF62" s="19">
        <f t="shared" si="255"/>
        <v>-245.60000000000014</v>
      </c>
      <c r="AG62" s="933">
        <f>AG124</f>
        <v>238.10818099735889</v>
      </c>
      <c r="AH62" s="18">
        <f t="shared" ref="AH62:AK62" si="256">AH124</f>
        <v>-7.4918190026412503</v>
      </c>
      <c r="AI62" s="18">
        <f>AI124</f>
        <v>-237.08779686365938</v>
      </c>
      <c r="AJ62" s="18">
        <f>AJ124</f>
        <v>233.53934880470001</v>
      </c>
      <c r="AK62" s="18">
        <f t="shared" si="256"/>
        <v>-3.5484480589593659</v>
      </c>
      <c r="AL62" s="18">
        <f>AL124</f>
        <v>-259.24706575461164</v>
      </c>
      <c r="AM62" s="18">
        <f t="shared" ref="AM62" si="257">AM124</f>
        <v>253.0380831866778</v>
      </c>
      <c r="AN62" s="18">
        <f t="shared" ref="AN62" si="258">AN124</f>
        <v>-6.2089825679338446</v>
      </c>
      <c r="AO62" s="18">
        <f>AO124</f>
        <v>-261.20179716206758</v>
      </c>
      <c r="AP62" s="18">
        <f>AP124</f>
        <v>258.72768675895668</v>
      </c>
      <c r="AQ62" s="18">
        <f t="shared" ref="AQ62" si="259">AQ124</f>
        <v>-2.4741104031108989</v>
      </c>
      <c r="AR62" s="18">
        <f>AR124</f>
        <v>-265.81581069345771</v>
      </c>
      <c r="AS62" s="18">
        <f>AS124</f>
        <v>263.11919568874396</v>
      </c>
      <c r="AT62" s="18">
        <f t="shared" ref="AT62" si="260">AT124</f>
        <v>-2.6966150047137489</v>
      </c>
      <c r="AU62" s="18">
        <f>AU124</f>
        <v>-270.43463587757151</v>
      </c>
      <c r="AV62" s="18">
        <f>AV124</f>
        <v>267.65328951542051</v>
      </c>
      <c r="AW62" s="18">
        <f t="shared" ref="AW62" si="261">AW124</f>
        <v>-2.7813463621509982</v>
      </c>
      <c r="AX62" s="18">
        <f>AX124</f>
        <v>-275.20353948549518</v>
      </c>
      <c r="AY62" s="18">
        <f>AY124</f>
        <v>272.33465950652521</v>
      </c>
      <c r="AZ62" s="18">
        <f t="shared" ref="AZ62" si="262">AZ124</f>
        <v>-2.8688799789699715</v>
      </c>
      <c r="BA62" s="18">
        <f>BA124</f>
        <v>-280.12751028313187</v>
      </c>
      <c r="BB62" s="18">
        <f>BB124</f>
        <v>277.16818447288529</v>
      </c>
      <c r="BC62" s="18">
        <f t="shared" ref="BC62" si="263">BC124</f>
        <v>-2.9593258102465825</v>
      </c>
      <c r="BD62" s="18">
        <f>BD124</f>
        <v>-285.21173683524285</v>
      </c>
      <c r="BE62" s="18">
        <f>BE124</f>
        <v>282.1589385156251</v>
      </c>
      <c r="BF62" s="18">
        <f t="shared" ref="BF62" si="264">BF124</f>
        <v>-3.0527983196177502</v>
      </c>
      <c r="BG62" s="18">
        <f>BG124</f>
        <v>-290.4616157940759</v>
      </c>
      <c r="BH62" s="18">
        <f>BH124</f>
        <v>287.31219911683661</v>
      </c>
      <c r="BI62" s="18">
        <f t="shared" ref="BI62" si="265">BI124</f>
        <v>-3.1494166772392873</v>
      </c>
      <c r="BJ62" s="18">
        <f>BJ124</f>
        <v>-295.88276055642677</v>
      </c>
      <c r="BK62" s="18">
        <f>BK124</f>
        <v>292.63345558967285</v>
      </c>
      <c r="BL62" s="18">
        <f t="shared" ref="BL62" si="266">BL124</f>
        <v>-3.2493049667539253</v>
      </c>
      <c r="BM62" s="18">
        <f>BM124</f>
        <v>-301.48101030606017</v>
      </c>
      <c r="BN62" s="18">
        <f>BN124</f>
        <v>291.78320823852664</v>
      </c>
      <c r="BO62" s="18">
        <f t="shared" ref="BO62" si="267">BO124</f>
        <v>-9.6978020675335301</v>
      </c>
      <c r="BP62" s="18">
        <f>BP124</f>
        <v>-300.91722979339784</v>
      </c>
      <c r="BQ62" s="18">
        <f>BQ124</f>
        <v>292.30077043094229</v>
      </c>
      <c r="BR62" s="18">
        <f t="shared" ref="BR62" si="268">BR124</f>
        <v>-8.6164593624555437</v>
      </c>
    </row>
    <row r="63" spans="2:72" outlineLevel="1">
      <c r="B63" s="55"/>
      <c r="C63" s="60" t="s">
        <v>147</v>
      </c>
      <c r="D63" s="58" t="s">
        <v>58</v>
      </c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T63" s="42"/>
      <c r="U63" s="42"/>
      <c r="V63" s="23">
        <v>0</v>
      </c>
      <c r="W63" s="23">
        <v>0</v>
      </c>
      <c r="X63" s="23">
        <f>-X12</f>
        <v>-6.1999999999999993</v>
      </c>
      <c r="Y63" s="23">
        <f>-X12</f>
        <v>-6.1999999999999993</v>
      </c>
      <c r="Z63" s="23">
        <f>-Y12</f>
        <v>-20.7</v>
      </c>
      <c r="AA63" s="23">
        <f t="shared" ref="AA63:AK63" si="269">-AA12</f>
        <v>-6.1000000000000014</v>
      </c>
      <c r="AB63" s="23">
        <f t="shared" si="269"/>
        <v>-17.3</v>
      </c>
      <c r="AC63" s="23">
        <f t="shared" si="269"/>
        <v>-4.9000000000000004</v>
      </c>
      <c r="AD63" s="23">
        <f t="shared" si="269"/>
        <v>-9.2999999999999989</v>
      </c>
      <c r="AE63" s="26">
        <f t="shared" si="269"/>
        <v>-14.2</v>
      </c>
      <c r="AF63" s="19">
        <f t="shared" si="269"/>
        <v>-6</v>
      </c>
      <c r="AG63" s="933">
        <f t="shared" ref="AG63" si="270">-AG12</f>
        <v>-8.6490000000000009</v>
      </c>
      <c r="AH63" s="18">
        <f t="shared" si="269"/>
        <v>-14.649000000000001</v>
      </c>
      <c r="AI63" s="18">
        <f t="shared" si="269"/>
        <v>-6.093</v>
      </c>
      <c r="AJ63" s="18">
        <f t="shared" si="269"/>
        <v>-8.783059500000002</v>
      </c>
      <c r="AK63" s="18">
        <f t="shared" si="269"/>
        <v>-14.876059500000002</v>
      </c>
      <c r="AL63" s="18">
        <f t="shared" ref="AL63:BR63" si="271">-AL12</f>
        <v>-6.1874415000000003</v>
      </c>
      <c r="AM63" s="18">
        <f t="shared" si="271"/>
        <v>-8.919196922250002</v>
      </c>
      <c r="AN63" s="18">
        <f t="shared" si="271"/>
        <v>-15.106638422250002</v>
      </c>
      <c r="AO63" s="18">
        <f t="shared" si="271"/>
        <v>-6.0977235982500009</v>
      </c>
      <c r="AP63" s="18">
        <f t="shared" si="271"/>
        <v>-8.7898685668773773</v>
      </c>
      <c r="AQ63" s="18">
        <f t="shared" si="271"/>
        <v>-14.887592165127378</v>
      </c>
      <c r="AR63" s="18">
        <f t="shared" si="271"/>
        <v>-6.1007724600491251</v>
      </c>
      <c r="AS63" s="18">
        <f t="shared" si="271"/>
        <v>-8.794263501160815</v>
      </c>
      <c r="AT63" s="18">
        <f t="shared" si="271"/>
        <v>-14.89503596120994</v>
      </c>
      <c r="AU63" s="18">
        <f t="shared" si="271"/>
        <v>-6.1038228462791491</v>
      </c>
      <c r="AV63" s="18">
        <f t="shared" si="271"/>
        <v>-8.7986606329113943</v>
      </c>
      <c r="AW63" s="18">
        <f t="shared" si="271"/>
        <v>-14.902483479190543</v>
      </c>
      <c r="AX63" s="18">
        <f t="shared" si="271"/>
        <v>-6.1068747577022879</v>
      </c>
      <c r="AY63" s="18">
        <f t="shared" si="271"/>
        <v>-8.8030599632278488</v>
      </c>
      <c r="AZ63" s="18">
        <f t="shared" si="271"/>
        <v>-14.909934720930137</v>
      </c>
      <c r="BA63" s="18">
        <f t="shared" si="271"/>
        <v>-6.1099281950811388</v>
      </c>
      <c r="BB63" s="18">
        <f t="shared" si="271"/>
        <v>-8.8074614932094626</v>
      </c>
      <c r="BC63" s="18">
        <f t="shared" si="271"/>
        <v>-14.917389688290601</v>
      </c>
      <c r="BD63" s="18">
        <f t="shared" si="271"/>
        <v>-6.112983159178679</v>
      </c>
      <c r="BE63" s="18">
        <f t="shared" si="271"/>
        <v>-8.8118652239560671</v>
      </c>
      <c r="BF63" s="18">
        <f t="shared" si="271"/>
        <v>-14.924848383134746</v>
      </c>
      <c r="BG63" s="18">
        <f t="shared" si="271"/>
        <v>-6.1160396507582684</v>
      </c>
      <c r="BH63" s="18">
        <f t="shared" si="271"/>
        <v>-8.8162711565680443</v>
      </c>
      <c r="BI63" s="18">
        <f t="shared" si="271"/>
        <v>-14.932310807326314</v>
      </c>
      <c r="BJ63" s="18">
        <f t="shared" si="271"/>
        <v>-6.1190976705836473</v>
      </c>
      <c r="BK63" s="18">
        <f t="shared" si="271"/>
        <v>-8.8206792921463286</v>
      </c>
      <c r="BL63" s="18">
        <f t="shared" si="271"/>
        <v>-14.939776962729976</v>
      </c>
      <c r="BM63" s="18">
        <f t="shared" si="271"/>
        <v>-6.1221572194189386</v>
      </c>
      <c r="BN63" s="18">
        <f t="shared" si="271"/>
        <v>-8.8250896317924017</v>
      </c>
      <c r="BO63" s="18">
        <f t="shared" si="271"/>
        <v>-14.947246851211339</v>
      </c>
      <c r="BP63" s="18">
        <f t="shared" si="271"/>
        <v>-6.1252182980286474</v>
      </c>
      <c r="BQ63" s="18">
        <f t="shared" si="271"/>
        <v>-8.8295021766082975</v>
      </c>
      <c r="BR63" s="18">
        <f t="shared" si="271"/>
        <v>-14.954720474636945</v>
      </c>
    </row>
    <row r="64" spans="2:72" outlineLevel="1">
      <c r="B64" s="55"/>
      <c r="C64" s="60" t="s">
        <v>148</v>
      </c>
      <c r="D64" s="58" t="s">
        <v>58</v>
      </c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T64" s="98"/>
      <c r="U64" s="42"/>
      <c r="V64" s="337">
        <v>10.7</v>
      </c>
      <c r="W64" s="337">
        <v>11.9</v>
      </c>
      <c r="X64" s="23">
        <f>Y64-W64</f>
        <v>19.899999999999999</v>
      </c>
      <c r="Y64" s="337">
        <v>31.8</v>
      </c>
      <c r="Z64" s="337">
        <v>15.2</v>
      </c>
      <c r="AA64" s="23">
        <f>AB64-Z64</f>
        <v>4.4000000000000021</v>
      </c>
      <c r="AB64" s="25">
        <v>19.600000000000001</v>
      </c>
      <c r="AC64" s="25">
        <v>5.0999999999999996</v>
      </c>
      <c r="AD64" s="23">
        <f>AE64-AC64</f>
        <v>1.8000000000000007</v>
      </c>
      <c r="AE64" s="25">
        <v>6.9</v>
      </c>
      <c r="AF64" s="25">
        <v>4.5</v>
      </c>
      <c r="AG64" s="933">
        <f>AD64*(AG12/AD12)</f>
        <v>1.674000000000001</v>
      </c>
      <c r="AH64" s="18">
        <f>AF64+AG64</f>
        <v>6.1740000000000013</v>
      </c>
      <c r="AI64" s="18">
        <f>AF64*(AI12/AF12)</f>
        <v>4.56975</v>
      </c>
      <c r="AJ64" s="18">
        <f>AG64*(AJ12/AG12)</f>
        <v>1.6999470000000012</v>
      </c>
      <c r="AK64" s="18">
        <f>AI64+AJ64</f>
        <v>6.2696970000000007</v>
      </c>
      <c r="AL64" s="18">
        <f>AI64*(AL12/AI12)</f>
        <v>4.6405811250000006</v>
      </c>
      <c r="AM64" s="18">
        <f>AJ64*(AM12/AJ12)</f>
        <v>1.7262961785000013</v>
      </c>
      <c r="AN64" s="18">
        <f>AL64+AM64</f>
        <v>6.3668773035000017</v>
      </c>
      <c r="AO64" s="18">
        <f>AL64*(AO12/AL12)</f>
        <v>4.5732926986875011</v>
      </c>
      <c r="AP64" s="18">
        <f>AM64*(AP12/AM12)</f>
        <v>1.7012648839117512</v>
      </c>
      <c r="AQ64" s="18">
        <f>AO64+AP64</f>
        <v>6.2745575825992521</v>
      </c>
      <c r="AR64" s="18">
        <f>AO64*(AR12/AO12)</f>
        <v>4.5755793450368447</v>
      </c>
      <c r="AS64" s="18">
        <f>AP64*(AS12/AP12)</f>
        <v>1.7021155163537069</v>
      </c>
      <c r="AT64" s="18">
        <f>AR64+AS64</f>
        <v>6.2776948613905521</v>
      </c>
      <c r="AU64" s="18">
        <f>AR64*(AU12/AR12)</f>
        <v>4.5778671347093631</v>
      </c>
      <c r="AV64" s="18">
        <f>AS64*(AV12/AS12)</f>
        <v>1.7029665741118838</v>
      </c>
      <c r="AW64" s="18">
        <f>AU64+AV64</f>
        <v>6.2808337088212465</v>
      </c>
      <c r="AX64" s="18">
        <f>AU64*(AX12/AU12)</f>
        <v>4.5801560682767173</v>
      </c>
      <c r="AY64" s="18">
        <f>AV64*(AY12/AV12)</f>
        <v>1.7038180573989397</v>
      </c>
      <c r="AZ64" s="18">
        <f>AX64+AY64</f>
        <v>6.2839741256756572</v>
      </c>
      <c r="BA64" s="18">
        <f>AX64*(BA12/AX12)</f>
        <v>4.582446146310855</v>
      </c>
      <c r="BB64" s="18">
        <f>AY64*(BB12/AY12)</f>
        <v>1.704669966427639</v>
      </c>
      <c r="BC64" s="18">
        <f>BA64+BB64</f>
        <v>6.2871161127384942</v>
      </c>
      <c r="BD64" s="18">
        <f>BA64*(BD12/BA12)</f>
        <v>4.5847373693840101</v>
      </c>
      <c r="BE64" s="18">
        <f>BB64*(BE12/BB12)</f>
        <v>1.7055223014108527</v>
      </c>
      <c r="BF64" s="18">
        <f>BD64+BE64</f>
        <v>6.290259670794863</v>
      </c>
      <c r="BG64" s="18">
        <f>BD64*(BG12/BD12)</f>
        <v>4.5870297380687015</v>
      </c>
      <c r="BH64" s="18">
        <f>BE64*(BH12/BE12)</f>
        <v>1.7063750625615581</v>
      </c>
      <c r="BI64" s="18">
        <f>BG64+BH64</f>
        <v>6.2934048006302596</v>
      </c>
      <c r="BJ64" s="18">
        <f>BG64*(BJ12/BG12)</f>
        <v>4.5893232529377359</v>
      </c>
      <c r="BK64" s="18">
        <f>BH64*(BK12/BH12)</f>
        <v>1.7072282500928389</v>
      </c>
      <c r="BL64" s="18">
        <f>BJ64+BK64</f>
        <v>6.2965515030305745</v>
      </c>
      <c r="BM64" s="18">
        <f>BJ64*(BM12/BJ12)</f>
        <v>4.5916179145642042</v>
      </c>
      <c r="BN64" s="18">
        <f>BK64*(BN12/BK12)</f>
        <v>1.7080818642178852</v>
      </c>
      <c r="BO64" s="18">
        <f>BM64+BN64</f>
        <v>6.2996997787820899</v>
      </c>
      <c r="BP64" s="18">
        <f>BM64*(BP12/BM12)</f>
        <v>4.593913723521486</v>
      </c>
      <c r="BQ64" s="18">
        <f>BN64*(BQ12/BN12)</f>
        <v>1.7089359051499942</v>
      </c>
      <c r="BR64" s="18">
        <f>BP64+BQ64</f>
        <v>6.3028496286714804</v>
      </c>
    </row>
    <row r="65" spans="2:70" outlineLevel="1">
      <c r="B65" s="55"/>
      <c r="C65" s="60" t="s">
        <v>149</v>
      </c>
      <c r="D65" s="58" t="s">
        <v>58</v>
      </c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T65" s="42"/>
      <c r="U65" s="42"/>
      <c r="V65" s="23">
        <f>(V40+V45)-(S40+S45)</f>
        <v>-192.09999999999997</v>
      </c>
      <c r="W65" s="23">
        <f>(W40+W45)-(V40+V45)</f>
        <v>-48.900000000000034</v>
      </c>
      <c r="X65" s="23">
        <f>(X40+X45)-(W40+W45)</f>
        <v>-19.899999999999977</v>
      </c>
      <c r="Y65" s="23">
        <f>(Y40+Y45)-(V40+V45)</f>
        <v>-68.800000000000011</v>
      </c>
      <c r="Z65" s="23">
        <f>(Z40+Z45)-(Y40+Y45)</f>
        <v>-1.5</v>
      </c>
      <c r="AA65" s="23">
        <f>(AA40+AA45)-(Z40+Z45)</f>
        <v>94.900000000000034</v>
      </c>
      <c r="AB65" s="23">
        <f>(AB40+AB45)-(Y40+Y45)</f>
        <v>93.400000000000034</v>
      </c>
      <c r="AC65" s="23">
        <f>(AC40+AC45)-(AB40+AB45)</f>
        <v>-31.700000000000045</v>
      </c>
      <c r="AD65" s="23">
        <f>(AD40+AD45)-(AC40+AC45)</f>
        <v>39.300000000000011</v>
      </c>
      <c r="AE65" s="26">
        <f>(AE40+AE45)-(AB40+AB45)</f>
        <v>7.5999999999999659</v>
      </c>
      <c r="AF65" s="19">
        <f>(AF40+AF45)-(AE40+AE45)</f>
        <v>-31.500000000000028</v>
      </c>
      <c r="AG65" s="933">
        <f>(AG40+AG45)-(AF40+AF45)</f>
        <v>0</v>
      </c>
      <c r="AH65" s="18">
        <f>(AH40+AH45)-(AE40+AE45)</f>
        <v>-31.500000000000028</v>
      </c>
      <c r="AI65" s="18">
        <f>(AI40+AI45)-(AH40+AH45)</f>
        <v>0</v>
      </c>
      <c r="AJ65" s="18">
        <f>(AJ40+AJ45)-(AI40+AI45)</f>
        <v>0</v>
      </c>
      <c r="AK65" s="18">
        <f>(AK40+AK45)-(AH40+AH45)</f>
        <v>0</v>
      </c>
      <c r="AL65" s="18">
        <f>(AL40+AL45)-(AK40+AK45)</f>
        <v>0</v>
      </c>
      <c r="AM65" s="18">
        <f>(AM40+AM45)-(AL40+AL45)</f>
        <v>0</v>
      </c>
      <c r="AN65" s="18">
        <f>(AN40+AN45)-(AK40+AK45)</f>
        <v>0</v>
      </c>
      <c r="AO65" s="18">
        <f>(AO40+AO45)-(AN40+AN45)</f>
        <v>0</v>
      </c>
      <c r="AP65" s="18">
        <f>(AP40+AP45)-(AO40+AO45)</f>
        <v>0</v>
      </c>
      <c r="AQ65" s="18">
        <f>(AQ40+AQ45)-(AN40+AN45)</f>
        <v>0</v>
      </c>
      <c r="AR65" s="18">
        <f>(AR40+AR45)-(AQ40+AQ45)</f>
        <v>0</v>
      </c>
      <c r="AS65" s="18">
        <f>(AS40+AS45)-(AR40+AR45)</f>
        <v>0</v>
      </c>
      <c r="AT65" s="18">
        <f>(AT40+AT45)-(AQ40+AQ45)</f>
        <v>0</v>
      </c>
      <c r="AU65" s="18">
        <f>(AU40+AU45)-(AT40+AT45)</f>
        <v>0</v>
      </c>
      <c r="AV65" s="18">
        <f>(AV40+AV45)-(AU40+AU45)</f>
        <v>0</v>
      </c>
      <c r="AW65" s="18">
        <f>(AW40+AW45)-(AT40+AT45)</f>
        <v>0</v>
      </c>
      <c r="AX65" s="18">
        <f>(AX40+AX45)-(AW40+AW45)</f>
        <v>0</v>
      </c>
      <c r="AY65" s="18">
        <f>(AY40+AY45)-(AX40+AX45)</f>
        <v>0</v>
      </c>
      <c r="AZ65" s="18">
        <f>(AZ40+AZ45)-(AW40+AW45)</f>
        <v>0</v>
      </c>
      <c r="BA65" s="18">
        <f>(BA40+BA45)-(AZ40+AZ45)</f>
        <v>0</v>
      </c>
      <c r="BB65" s="18">
        <f>(BB40+BB45)-(BA40+BA45)</f>
        <v>0</v>
      </c>
      <c r="BC65" s="18">
        <f>(BC40+BC45)-(AZ40+AZ45)</f>
        <v>0</v>
      </c>
      <c r="BD65" s="18">
        <f>(BD40+BD45)-(BC40+BC45)</f>
        <v>0</v>
      </c>
      <c r="BE65" s="18">
        <f>(BE40+BE45)-(BD40+BD45)</f>
        <v>0</v>
      </c>
      <c r="BF65" s="18">
        <f>(BF40+BF45)-(BC40+BC45)</f>
        <v>0</v>
      </c>
      <c r="BG65" s="18">
        <f>(BG40+BG45)-(BF40+BF45)</f>
        <v>0</v>
      </c>
      <c r="BH65" s="18">
        <f>(BH40+BH45)-(BG40+BG45)</f>
        <v>0</v>
      </c>
      <c r="BI65" s="18">
        <f>(BI40+BI45)-(BF40+BF45)</f>
        <v>0</v>
      </c>
      <c r="BJ65" s="18">
        <f>(BJ40+BJ45)-(BI40+BI45)</f>
        <v>0</v>
      </c>
      <c r="BK65" s="18">
        <f>(BK40+BK45)-(BJ40+BJ45)</f>
        <v>0</v>
      </c>
      <c r="BL65" s="18">
        <f>(BL40+BL45)-(BI40+BI45)</f>
        <v>0</v>
      </c>
      <c r="BM65" s="18">
        <f>(BM40+BM45)-(BL40+BL45)</f>
        <v>0</v>
      </c>
      <c r="BN65" s="18">
        <f>(BN40+BN45)-(BM40+BM45)</f>
        <v>0</v>
      </c>
      <c r="BO65" s="18">
        <f>(BO40+BO45)-(BL40+BL45)</f>
        <v>0</v>
      </c>
      <c r="BP65" s="18">
        <f>(BP40+BP45)-(BO40+BO45)</f>
        <v>0</v>
      </c>
      <c r="BQ65" s="18">
        <f>(BQ40+BQ45)-(BP40+BP45)</f>
        <v>0</v>
      </c>
      <c r="BR65" s="18">
        <f>(BR40+BR45)-(BO40+BO45)</f>
        <v>0</v>
      </c>
    </row>
    <row r="66" spans="2:70" outlineLevel="1">
      <c r="B66" s="55"/>
      <c r="C66" s="60" t="s">
        <v>328</v>
      </c>
      <c r="D66" s="58" t="s">
        <v>58</v>
      </c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T66" s="98"/>
      <c r="U66" s="376"/>
      <c r="V66" s="337">
        <v>0</v>
      </c>
      <c r="W66" s="337">
        <v>0</v>
      </c>
      <c r="X66" s="19">
        <f>Y66-W66</f>
        <v>0</v>
      </c>
      <c r="Y66" s="337">
        <v>0</v>
      </c>
      <c r="Z66" s="337">
        <v>0</v>
      </c>
      <c r="AA66" s="19">
        <f>AB66-Z66</f>
        <v>0</v>
      </c>
      <c r="AB66" s="337">
        <v>0</v>
      </c>
      <c r="AC66" s="25">
        <v>-36.200000000000003</v>
      </c>
      <c r="AD66" s="19">
        <f>AE66-AC66</f>
        <v>-61.899999999999991</v>
      </c>
      <c r="AE66" s="25">
        <v>-98.1</v>
      </c>
      <c r="AF66" s="25">
        <f>AF107</f>
        <v>-34</v>
      </c>
      <c r="AG66" s="944">
        <f t="shared" ref="AG66:AK66" si="272">AG115</f>
        <v>-30</v>
      </c>
      <c r="AH66" s="161">
        <f t="shared" si="272"/>
        <v>-64</v>
      </c>
      <c r="AI66" s="161">
        <f t="shared" si="272"/>
        <v>0</v>
      </c>
      <c r="AJ66" s="161">
        <f t="shared" si="272"/>
        <v>0</v>
      </c>
      <c r="AK66" s="161">
        <f t="shared" si="272"/>
        <v>0</v>
      </c>
      <c r="AL66" s="161">
        <f t="shared" ref="AL66:BR66" si="273">AL115</f>
        <v>0</v>
      </c>
      <c r="AM66" s="161">
        <f t="shared" si="273"/>
        <v>0</v>
      </c>
      <c r="AN66" s="161">
        <f t="shared" si="273"/>
        <v>0</v>
      </c>
      <c r="AO66" s="161">
        <f t="shared" si="273"/>
        <v>0</v>
      </c>
      <c r="AP66" s="161">
        <f t="shared" si="273"/>
        <v>0</v>
      </c>
      <c r="AQ66" s="161">
        <f t="shared" si="273"/>
        <v>0</v>
      </c>
      <c r="AR66" s="161">
        <f t="shared" si="273"/>
        <v>0</v>
      </c>
      <c r="AS66" s="161">
        <f t="shared" si="273"/>
        <v>0</v>
      </c>
      <c r="AT66" s="161">
        <f t="shared" si="273"/>
        <v>0</v>
      </c>
      <c r="AU66" s="161">
        <f t="shared" si="273"/>
        <v>0</v>
      </c>
      <c r="AV66" s="161">
        <f t="shared" si="273"/>
        <v>0</v>
      </c>
      <c r="AW66" s="161">
        <f t="shared" si="273"/>
        <v>0</v>
      </c>
      <c r="AX66" s="161">
        <f t="shared" si="273"/>
        <v>0</v>
      </c>
      <c r="AY66" s="161">
        <f t="shared" si="273"/>
        <v>0</v>
      </c>
      <c r="AZ66" s="161">
        <f t="shared" si="273"/>
        <v>0</v>
      </c>
      <c r="BA66" s="161">
        <f t="shared" si="273"/>
        <v>0</v>
      </c>
      <c r="BB66" s="161">
        <f t="shared" si="273"/>
        <v>0</v>
      </c>
      <c r="BC66" s="161">
        <f t="shared" si="273"/>
        <v>0</v>
      </c>
      <c r="BD66" s="161">
        <f t="shared" si="273"/>
        <v>0</v>
      </c>
      <c r="BE66" s="161">
        <f t="shared" si="273"/>
        <v>0</v>
      </c>
      <c r="BF66" s="161">
        <f t="shared" si="273"/>
        <v>0</v>
      </c>
      <c r="BG66" s="161">
        <f t="shared" si="273"/>
        <v>0</v>
      </c>
      <c r="BH66" s="161">
        <f t="shared" si="273"/>
        <v>0</v>
      </c>
      <c r="BI66" s="161">
        <f t="shared" si="273"/>
        <v>0</v>
      </c>
      <c r="BJ66" s="161">
        <f t="shared" si="273"/>
        <v>0</v>
      </c>
      <c r="BK66" s="161">
        <f t="shared" si="273"/>
        <v>0</v>
      </c>
      <c r="BL66" s="161">
        <f t="shared" si="273"/>
        <v>0</v>
      </c>
      <c r="BM66" s="161">
        <f t="shared" si="273"/>
        <v>0</v>
      </c>
      <c r="BN66" s="161">
        <f t="shared" si="273"/>
        <v>0</v>
      </c>
      <c r="BO66" s="161">
        <f t="shared" si="273"/>
        <v>0</v>
      </c>
      <c r="BP66" s="161">
        <f t="shared" si="273"/>
        <v>0</v>
      </c>
      <c r="BQ66" s="161">
        <f t="shared" si="273"/>
        <v>0</v>
      </c>
      <c r="BR66" s="161">
        <f t="shared" si="273"/>
        <v>0</v>
      </c>
    </row>
    <row r="67" spans="2:70" outlineLevel="1">
      <c r="B67" s="55"/>
      <c r="C67" s="60" t="s">
        <v>329</v>
      </c>
      <c r="D67" s="58" t="s">
        <v>58</v>
      </c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T67" s="98"/>
      <c r="U67" s="42"/>
      <c r="V67" s="337">
        <v>0</v>
      </c>
      <c r="W67" s="337">
        <v>0</v>
      </c>
      <c r="X67" s="23"/>
      <c r="Y67" s="337">
        <v>0</v>
      </c>
      <c r="Z67" s="337">
        <v>0</v>
      </c>
      <c r="AA67" s="19">
        <f>AB67-Z67</f>
        <v>384.7</v>
      </c>
      <c r="AB67" s="337">
        <v>384.7</v>
      </c>
      <c r="AC67" s="337">
        <v>0</v>
      </c>
      <c r="AD67" s="19">
        <f>AE67-AC67</f>
        <v>0</v>
      </c>
      <c r="AE67" s="337">
        <v>0</v>
      </c>
      <c r="AF67" s="25">
        <v>0</v>
      </c>
      <c r="AG67" s="945">
        <v>0</v>
      </c>
      <c r="AH67" s="18">
        <f>AF67+AG67</f>
        <v>0</v>
      </c>
      <c r="AI67" s="434">
        <v>0</v>
      </c>
      <c r="AJ67" s="434">
        <v>0</v>
      </c>
      <c r="AK67" s="18">
        <f>AI67+AJ67</f>
        <v>0</v>
      </c>
      <c r="AL67" s="434">
        <v>0</v>
      </c>
      <c r="AM67" s="434">
        <v>0</v>
      </c>
      <c r="AN67" s="18">
        <f>AL67+AM67</f>
        <v>0</v>
      </c>
      <c r="AO67" s="434">
        <v>0</v>
      </c>
      <c r="AP67" s="434">
        <v>0</v>
      </c>
      <c r="AQ67" s="18">
        <f>AO67+AP67</f>
        <v>0</v>
      </c>
      <c r="AR67" s="434">
        <v>0</v>
      </c>
      <c r="AS67" s="434">
        <v>0</v>
      </c>
      <c r="AT67" s="18">
        <f>AR67+AS67</f>
        <v>0</v>
      </c>
      <c r="AU67" s="434">
        <v>0</v>
      </c>
      <c r="AV67" s="434">
        <v>0</v>
      </c>
      <c r="AW67" s="18">
        <f>AU67+AV67</f>
        <v>0</v>
      </c>
      <c r="AX67" s="434">
        <v>0</v>
      </c>
      <c r="AY67" s="434">
        <v>0</v>
      </c>
      <c r="AZ67" s="18">
        <f>AX67+AY67</f>
        <v>0</v>
      </c>
      <c r="BA67" s="434">
        <v>0</v>
      </c>
      <c r="BB67" s="434">
        <v>0</v>
      </c>
      <c r="BC67" s="18">
        <f>BA67+BB67</f>
        <v>0</v>
      </c>
      <c r="BD67" s="434">
        <v>0</v>
      </c>
      <c r="BE67" s="434">
        <v>0</v>
      </c>
      <c r="BF67" s="18">
        <f>BD67+BE67</f>
        <v>0</v>
      </c>
      <c r="BG67" s="434">
        <v>0</v>
      </c>
      <c r="BH67" s="434">
        <v>0</v>
      </c>
      <c r="BI67" s="18">
        <f>BG67+BH67</f>
        <v>0</v>
      </c>
      <c r="BJ67" s="434">
        <v>0</v>
      </c>
      <c r="BK67" s="434">
        <v>0</v>
      </c>
      <c r="BL67" s="18">
        <f>BJ67+BK67</f>
        <v>0</v>
      </c>
      <c r="BM67" s="434">
        <v>0</v>
      </c>
      <c r="BN67" s="434">
        <v>0</v>
      </c>
      <c r="BO67" s="18">
        <f>BM67+BN67</f>
        <v>0</v>
      </c>
      <c r="BP67" s="434">
        <v>0</v>
      </c>
      <c r="BQ67" s="434">
        <v>0</v>
      </c>
      <c r="BR67" s="18">
        <f>BP67+BQ67</f>
        <v>0</v>
      </c>
    </row>
    <row r="68" spans="2:70" outlineLevel="1">
      <c r="B68" s="55"/>
      <c r="C68" s="60" t="s">
        <v>96</v>
      </c>
      <c r="D68" s="58" t="s">
        <v>58</v>
      </c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T68" s="42"/>
      <c r="U68" s="42"/>
      <c r="V68" s="23">
        <f t="shared" ref="V68:AF68" si="274">V69-SUM(V59:V67)</f>
        <v>148.5</v>
      </c>
      <c r="W68" s="23">
        <f t="shared" si="274"/>
        <v>-317.29999999999995</v>
      </c>
      <c r="X68" s="23">
        <f t="shared" si="274"/>
        <v>44.500000000000341</v>
      </c>
      <c r="Y68" s="23">
        <f t="shared" si="274"/>
        <v>-42.600000000000136</v>
      </c>
      <c r="Z68" s="23">
        <f t="shared" si="274"/>
        <v>-245.90000000000015</v>
      </c>
      <c r="AA68" s="23">
        <f t="shared" si="274"/>
        <v>-543.90000000000009</v>
      </c>
      <c r="AB68" s="23">
        <f t="shared" si="274"/>
        <v>-565.70000000000027</v>
      </c>
      <c r="AC68" s="23">
        <f t="shared" si="274"/>
        <v>-27.400000000000119</v>
      </c>
      <c r="AD68" s="23">
        <f t="shared" si="274"/>
        <v>-62.699999999999818</v>
      </c>
      <c r="AE68" s="19">
        <f t="shared" si="274"/>
        <v>-90.099999999999909</v>
      </c>
      <c r="AF68" s="19">
        <f t="shared" si="274"/>
        <v>-57.199999999999733</v>
      </c>
      <c r="AG68" s="945">
        <v>0</v>
      </c>
      <c r="AH68" s="18">
        <f>AF68+AG68</f>
        <v>-57.199999999999733</v>
      </c>
      <c r="AI68" s="434">
        <v>0</v>
      </c>
      <c r="AJ68" s="434">
        <v>0</v>
      </c>
      <c r="AK68" s="18">
        <f>AI68+AJ68</f>
        <v>0</v>
      </c>
      <c r="AL68" s="434">
        <v>0</v>
      </c>
      <c r="AM68" s="434">
        <v>0</v>
      </c>
      <c r="AN68" s="18">
        <f>AL68+AM68</f>
        <v>0</v>
      </c>
      <c r="AO68" s="434">
        <v>0</v>
      </c>
      <c r="AP68" s="434">
        <v>0</v>
      </c>
      <c r="AQ68" s="18">
        <f>AO68+AP68</f>
        <v>0</v>
      </c>
      <c r="AR68" s="434">
        <v>0</v>
      </c>
      <c r="AS68" s="434">
        <v>0</v>
      </c>
      <c r="AT68" s="18">
        <f>AR68+AS68</f>
        <v>0</v>
      </c>
      <c r="AU68" s="434">
        <v>0</v>
      </c>
      <c r="AV68" s="434">
        <v>0</v>
      </c>
      <c r="AW68" s="18">
        <f>AU68+AV68</f>
        <v>0</v>
      </c>
      <c r="AX68" s="434">
        <v>0</v>
      </c>
      <c r="AY68" s="434">
        <v>0</v>
      </c>
      <c r="AZ68" s="18">
        <f>AX68+AY68</f>
        <v>0</v>
      </c>
      <c r="BA68" s="434">
        <v>0</v>
      </c>
      <c r="BB68" s="434">
        <v>0</v>
      </c>
      <c r="BC68" s="18">
        <f>BA68+BB68</f>
        <v>0</v>
      </c>
      <c r="BD68" s="434">
        <v>0</v>
      </c>
      <c r="BE68" s="434">
        <v>0</v>
      </c>
      <c r="BF68" s="18">
        <f>BD68+BE68</f>
        <v>0</v>
      </c>
      <c r="BG68" s="434">
        <v>0</v>
      </c>
      <c r="BH68" s="434">
        <v>0</v>
      </c>
      <c r="BI68" s="18">
        <f>BG68+BH68</f>
        <v>0</v>
      </c>
      <c r="BJ68" s="434">
        <v>0</v>
      </c>
      <c r="BK68" s="434">
        <v>0</v>
      </c>
      <c r="BL68" s="18">
        <f>BJ68+BK68</f>
        <v>0</v>
      </c>
      <c r="BM68" s="434">
        <v>0</v>
      </c>
      <c r="BN68" s="434">
        <v>0</v>
      </c>
      <c r="BO68" s="18">
        <f>BM68+BN68</f>
        <v>0</v>
      </c>
      <c r="BP68" s="434">
        <v>0</v>
      </c>
      <c r="BQ68" s="434">
        <v>0</v>
      </c>
      <c r="BR68" s="18">
        <f>BP68+BQ68</f>
        <v>0</v>
      </c>
    </row>
    <row r="69" spans="2:70" s="8" customFormat="1" outlineLevel="1">
      <c r="B69" s="55"/>
      <c r="C69" s="55" t="s">
        <v>150</v>
      </c>
      <c r="D69" s="56" t="s">
        <v>58</v>
      </c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T69" s="377"/>
      <c r="U69" s="378"/>
      <c r="V69" s="344">
        <v>1094.0999999999999</v>
      </c>
      <c r="W69" s="344">
        <v>205</v>
      </c>
      <c r="X69" s="339">
        <f t="shared" ref="X69:X75" si="275">Y69-W69</f>
        <v>797.3</v>
      </c>
      <c r="Y69" s="344">
        <v>1002.3</v>
      </c>
      <c r="Z69" s="344">
        <v>263.2</v>
      </c>
      <c r="AA69" s="339">
        <f t="shared" ref="AA69:AA75" si="276">AB69-Z69</f>
        <v>836.2</v>
      </c>
      <c r="AB69" s="344">
        <v>1099.4000000000001</v>
      </c>
      <c r="AC69" s="344">
        <v>214.9</v>
      </c>
      <c r="AD69" s="339">
        <f t="shared" ref="AD69:AD75" si="277">AE69-AC69</f>
        <v>812.50000000000011</v>
      </c>
      <c r="AE69" s="109">
        <v>1027.4000000000001</v>
      </c>
      <c r="AF69" s="901">
        <v>178.1</v>
      </c>
      <c r="AG69" s="934">
        <f t="shared" ref="AG69" si="278">AG59+AG60+AG61+AG62+AG63+AG64+AG65+AG66+AG67+AG68</f>
        <v>815.86801179739018</v>
      </c>
      <c r="AH69" s="64">
        <f t="shared" ref="AH69:AK69" si="279">AH59+AH60+AH61+AH62+AH63+AH64+AH65+AH66+AH67+AH68</f>
        <v>993.96801179739043</v>
      </c>
      <c r="AI69" s="64">
        <f t="shared" si="279"/>
        <v>316.01420696066856</v>
      </c>
      <c r="AJ69" s="64">
        <f t="shared" si="279"/>
        <v>887.24364053630484</v>
      </c>
      <c r="AK69" s="64">
        <f t="shared" si="279"/>
        <v>1203.2578474969735</v>
      </c>
      <c r="AL69" s="64">
        <f t="shared" ref="AL69:BR69" si="280">AL59+AL60+AL61+AL62+AL63+AL64+AL65+AL66+AL67+AL68</f>
        <v>349.33805384192948</v>
      </c>
      <c r="AM69" s="64">
        <f t="shared" si="280"/>
        <v>950.11415244776049</v>
      </c>
      <c r="AN69" s="64">
        <f t="shared" si="280"/>
        <v>1299.4522062896899</v>
      </c>
      <c r="AO69" s="64">
        <f t="shared" si="280"/>
        <v>370.07995869017282</v>
      </c>
      <c r="AP69" s="64">
        <f t="shared" si="280"/>
        <v>974.92014863888176</v>
      </c>
      <c r="AQ69" s="64">
        <f t="shared" si="280"/>
        <v>1345.0001073290546</v>
      </c>
      <c r="AR69" s="64">
        <f t="shared" si="280"/>
        <v>381.93481248436689</v>
      </c>
      <c r="AS69" s="64">
        <f t="shared" si="280"/>
        <v>997.43205696335326</v>
      </c>
      <c r="AT69" s="64">
        <f t="shared" si="280"/>
        <v>1379.3668694477201</v>
      </c>
      <c r="AU69" s="64">
        <f t="shared" si="280"/>
        <v>394.21910712295352</v>
      </c>
      <c r="AV69" s="64">
        <f t="shared" si="280"/>
        <v>1020.6244601601821</v>
      </c>
      <c r="AW69" s="64">
        <f t="shared" si="280"/>
        <v>1414.8435672831356</v>
      </c>
      <c r="AX69" s="64">
        <f t="shared" si="280"/>
        <v>406.85587966073876</v>
      </c>
      <c r="AY69" s="64">
        <f t="shared" si="280"/>
        <v>1044.5198224816547</v>
      </c>
      <c r="AZ69" s="64">
        <f t="shared" si="280"/>
        <v>1451.3757021423937</v>
      </c>
      <c r="BA69" s="64">
        <f t="shared" si="280"/>
        <v>419.85638642466336</v>
      </c>
      <c r="BB69" s="64">
        <f t="shared" si="280"/>
        <v>1068.383333879631</v>
      </c>
      <c r="BC69" s="64">
        <f t="shared" si="280"/>
        <v>1488.2397203042942</v>
      </c>
      <c r="BD69" s="64">
        <f t="shared" si="280"/>
        <v>431.77434741562178</v>
      </c>
      <c r="BE69" s="64">
        <f t="shared" si="280"/>
        <v>1091.0665308550213</v>
      </c>
      <c r="BF69" s="64">
        <f t="shared" si="280"/>
        <v>1522.8408782706433</v>
      </c>
      <c r="BG69" s="64">
        <f t="shared" si="280"/>
        <v>441.84509075509698</v>
      </c>
      <c r="BH69" s="64">
        <f t="shared" si="280"/>
        <v>1113.2803185924824</v>
      </c>
      <c r="BI69" s="64">
        <f t="shared" si="280"/>
        <v>1555.1254093475795</v>
      </c>
      <c r="BJ69" s="64">
        <f t="shared" si="280"/>
        <v>452.18275482494897</v>
      </c>
      <c r="BK69" s="64">
        <f t="shared" si="280"/>
        <v>1136.158157775767</v>
      </c>
      <c r="BL69" s="64">
        <f t="shared" si="280"/>
        <v>1588.3409126007164</v>
      </c>
      <c r="BM69" s="64">
        <f t="shared" si="280"/>
        <v>462.7952574375048</v>
      </c>
      <c r="BN69" s="64">
        <f t="shared" si="280"/>
        <v>1153.347292048893</v>
      </c>
      <c r="BO69" s="64">
        <f t="shared" si="280"/>
        <v>1616.1425494863981</v>
      </c>
      <c r="BP69" s="64">
        <f t="shared" si="280"/>
        <v>480.0426173921166</v>
      </c>
      <c r="BQ69" s="64">
        <f t="shared" si="280"/>
        <v>1172.4688472278167</v>
      </c>
      <c r="BR69" s="64">
        <f t="shared" si="280"/>
        <v>1652.5114646199333</v>
      </c>
    </row>
    <row r="70" spans="2:70" outlineLevel="1">
      <c r="B70" s="55"/>
      <c r="C70" s="60" t="s">
        <v>331</v>
      </c>
      <c r="D70" s="58" t="s">
        <v>58</v>
      </c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62"/>
      <c r="T70" s="98"/>
      <c r="U70" s="42"/>
      <c r="V70" s="98">
        <v>0.8</v>
      </c>
      <c r="W70" s="337">
        <v>-1</v>
      </c>
      <c r="X70" s="23">
        <f t="shared" si="275"/>
        <v>2.8</v>
      </c>
      <c r="Y70" s="337">
        <v>1.8</v>
      </c>
      <c r="Z70" s="337">
        <v>2</v>
      </c>
      <c r="AA70" s="23">
        <f t="shared" si="276"/>
        <v>0.29999999999999982</v>
      </c>
      <c r="AB70" s="25">
        <v>2.2999999999999998</v>
      </c>
      <c r="AC70" s="25">
        <v>-1.1000000000000001</v>
      </c>
      <c r="AD70" s="23">
        <f t="shared" si="277"/>
        <v>1.1000000000000001</v>
      </c>
      <c r="AE70" s="25">
        <v>0</v>
      </c>
      <c r="AF70" s="25">
        <v>-1.3</v>
      </c>
      <c r="AG70" s="945">
        <v>0</v>
      </c>
      <c r="AH70" s="18">
        <f t="shared" ref="AH70:AH75" si="281">AF70+AG70</f>
        <v>-1.3</v>
      </c>
      <c r="AI70" s="434">
        <v>0</v>
      </c>
      <c r="AJ70" s="434">
        <v>0</v>
      </c>
      <c r="AK70" s="18">
        <f t="shared" ref="AK70:AK75" si="282">AI70+AJ70</f>
        <v>0</v>
      </c>
      <c r="AL70" s="434">
        <v>0</v>
      </c>
      <c r="AM70" s="434">
        <v>0</v>
      </c>
      <c r="AN70" s="18">
        <f t="shared" ref="AN70:AN71" si="283">AL70+AM70</f>
        <v>0</v>
      </c>
      <c r="AO70" s="434">
        <v>0</v>
      </c>
      <c r="AP70" s="434">
        <v>0</v>
      </c>
      <c r="AQ70" s="18">
        <f t="shared" ref="AQ70:AQ71" si="284">AO70+AP70</f>
        <v>0</v>
      </c>
      <c r="AR70" s="434">
        <v>0</v>
      </c>
      <c r="AS70" s="434">
        <v>0</v>
      </c>
      <c r="AT70" s="18">
        <f t="shared" ref="AT70:AT71" si="285">AR70+AS70</f>
        <v>0</v>
      </c>
      <c r="AU70" s="434">
        <v>0</v>
      </c>
      <c r="AV70" s="434">
        <v>0</v>
      </c>
      <c r="AW70" s="18">
        <f t="shared" ref="AW70:AW71" si="286">AU70+AV70</f>
        <v>0</v>
      </c>
      <c r="AX70" s="434">
        <v>0</v>
      </c>
      <c r="AY70" s="434">
        <v>0</v>
      </c>
      <c r="AZ70" s="18">
        <f t="shared" ref="AZ70:AZ71" si="287">AX70+AY70</f>
        <v>0</v>
      </c>
      <c r="BA70" s="434">
        <v>0</v>
      </c>
      <c r="BB70" s="434">
        <v>0</v>
      </c>
      <c r="BC70" s="18">
        <f t="shared" ref="BC70:BC71" si="288">BA70+BB70</f>
        <v>0</v>
      </c>
      <c r="BD70" s="434">
        <v>0</v>
      </c>
      <c r="BE70" s="434">
        <v>0</v>
      </c>
      <c r="BF70" s="18">
        <f t="shared" ref="BF70:BF71" si="289">BD70+BE70</f>
        <v>0</v>
      </c>
      <c r="BG70" s="434">
        <v>0</v>
      </c>
      <c r="BH70" s="434">
        <v>0</v>
      </c>
      <c r="BI70" s="18">
        <f t="shared" ref="BI70:BI71" si="290">BG70+BH70</f>
        <v>0</v>
      </c>
      <c r="BJ70" s="434">
        <v>0</v>
      </c>
      <c r="BK70" s="434">
        <v>0</v>
      </c>
      <c r="BL70" s="18">
        <f t="shared" ref="BL70:BL71" si="291">BJ70+BK70</f>
        <v>0</v>
      </c>
      <c r="BM70" s="434">
        <v>0</v>
      </c>
      <c r="BN70" s="434">
        <v>0</v>
      </c>
      <c r="BO70" s="18">
        <f t="shared" ref="BO70:BO71" si="292">BM70+BN70</f>
        <v>0</v>
      </c>
      <c r="BP70" s="434">
        <v>0</v>
      </c>
      <c r="BQ70" s="434">
        <v>0</v>
      </c>
      <c r="BR70" s="18">
        <f t="shared" ref="BR70:BR71" si="293">BP70+BQ70</f>
        <v>0</v>
      </c>
    </row>
    <row r="71" spans="2:70" outlineLevel="1">
      <c r="B71" s="55"/>
      <c r="C71" s="60" t="s">
        <v>310</v>
      </c>
      <c r="D71" s="58" t="s">
        <v>58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62"/>
      <c r="T71" s="98"/>
      <c r="U71" s="42"/>
      <c r="V71" s="98">
        <f>-111.1-61.5-59.8</f>
        <v>-232.39999999999998</v>
      </c>
      <c r="W71" s="337">
        <v>-41.7</v>
      </c>
      <c r="X71" s="23">
        <f t="shared" si="275"/>
        <v>-56.7</v>
      </c>
      <c r="Y71" s="337">
        <v>-98.4</v>
      </c>
      <c r="Z71" s="337">
        <v>-137.6</v>
      </c>
      <c r="AA71" s="23">
        <f t="shared" si="276"/>
        <v>-360.5</v>
      </c>
      <c r="AB71" s="25">
        <v>-498.1</v>
      </c>
      <c r="AC71" s="25">
        <v>-299.8</v>
      </c>
      <c r="AD71" s="23">
        <f t="shared" si="277"/>
        <v>-36.399999999999977</v>
      </c>
      <c r="AE71" s="25">
        <v>-336.2</v>
      </c>
      <c r="AF71" s="25">
        <v>-12.2</v>
      </c>
      <c r="AG71" s="946">
        <v>0</v>
      </c>
      <c r="AH71" s="347">
        <f t="shared" si="281"/>
        <v>-12.2</v>
      </c>
      <c r="AI71" s="435">
        <v>0</v>
      </c>
      <c r="AJ71" s="435">
        <v>0</v>
      </c>
      <c r="AK71" s="347">
        <f t="shared" si="282"/>
        <v>0</v>
      </c>
      <c r="AL71" s="435">
        <v>0</v>
      </c>
      <c r="AM71" s="435">
        <v>0</v>
      </c>
      <c r="AN71" s="347">
        <f t="shared" si="283"/>
        <v>0</v>
      </c>
      <c r="AO71" s="435">
        <v>0</v>
      </c>
      <c r="AP71" s="435">
        <v>0</v>
      </c>
      <c r="AQ71" s="347">
        <f t="shared" si="284"/>
        <v>0</v>
      </c>
      <c r="AR71" s="435">
        <v>0</v>
      </c>
      <c r="AS71" s="435">
        <v>0</v>
      </c>
      <c r="AT71" s="347">
        <f t="shared" si="285"/>
        <v>0</v>
      </c>
      <c r="AU71" s="435">
        <v>0</v>
      </c>
      <c r="AV71" s="435">
        <v>0</v>
      </c>
      <c r="AW71" s="347">
        <f t="shared" si="286"/>
        <v>0</v>
      </c>
      <c r="AX71" s="435">
        <v>0</v>
      </c>
      <c r="AY71" s="435">
        <v>0</v>
      </c>
      <c r="AZ71" s="347">
        <f t="shared" si="287"/>
        <v>0</v>
      </c>
      <c r="BA71" s="435">
        <v>0</v>
      </c>
      <c r="BB71" s="435">
        <v>0</v>
      </c>
      <c r="BC71" s="347">
        <f t="shared" si="288"/>
        <v>0</v>
      </c>
      <c r="BD71" s="435">
        <v>0</v>
      </c>
      <c r="BE71" s="435">
        <v>0</v>
      </c>
      <c r="BF71" s="347">
        <f t="shared" si="289"/>
        <v>0</v>
      </c>
      <c r="BG71" s="435">
        <v>0</v>
      </c>
      <c r="BH71" s="435">
        <v>0</v>
      </c>
      <c r="BI71" s="347">
        <f t="shared" si="290"/>
        <v>0</v>
      </c>
      <c r="BJ71" s="435">
        <v>0</v>
      </c>
      <c r="BK71" s="435">
        <v>0</v>
      </c>
      <c r="BL71" s="347">
        <f t="shared" si="291"/>
        <v>0</v>
      </c>
      <c r="BM71" s="435">
        <v>0</v>
      </c>
      <c r="BN71" s="435">
        <v>0</v>
      </c>
      <c r="BO71" s="347">
        <f t="shared" si="292"/>
        <v>0</v>
      </c>
      <c r="BP71" s="435">
        <v>0</v>
      </c>
      <c r="BQ71" s="435">
        <v>0</v>
      </c>
      <c r="BR71" s="347">
        <f t="shared" si="293"/>
        <v>0</v>
      </c>
    </row>
    <row r="72" spans="2:70" outlineLevel="1">
      <c r="B72" s="55"/>
      <c r="C72" s="60" t="s">
        <v>330</v>
      </c>
      <c r="D72" s="58" t="s">
        <v>58</v>
      </c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62"/>
      <c r="T72" s="98"/>
      <c r="U72" s="42"/>
      <c r="V72" s="98">
        <v>-332.6</v>
      </c>
      <c r="W72" s="337">
        <v>-156.30000000000001</v>
      </c>
      <c r="X72" s="23">
        <f t="shared" si="275"/>
        <v>-166.7</v>
      </c>
      <c r="Y72" s="337">
        <v>-323</v>
      </c>
      <c r="Z72" s="337">
        <v>-162.19999999999999</v>
      </c>
      <c r="AA72" s="23">
        <f t="shared" si="276"/>
        <v>-186.7</v>
      </c>
      <c r="AB72" s="25">
        <v>-348.9</v>
      </c>
      <c r="AC72" s="25">
        <v>-203.8</v>
      </c>
      <c r="AD72" s="23">
        <f t="shared" si="277"/>
        <v>-175.39999999999998</v>
      </c>
      <c r="AE72" s="25">
        <v>-379.2</v>
      </c>
      <c r="AF72" s="25">
        <v>-187.1</v>
      </c>
      <c r="AG72" s="935">
        <f>-AG134</f>
        <v>-182.30766543859659</v>
      </c>
      <c r="AH72" s="106">
        <f>AF72+AG72</f>
        <v>-369.40766543859661</v>
      </c>
      <c r="AI72" s="106">
        <f>-AI134</f>
        <v>-175.06229000000002</v>
      </c>
      <c r="AJ72" s="106">
        <f>-AJ134</f>
        <v>-187.86565032982463</v>
      </c>
      <c r="AK72" s="106">
        <f>AI72+AJ72</f>
        <v>-362.92794032982465</v>
      </c>
      <c r="AL72" s="106">
        <f>-AL134</f>
        <v>-187.80040999999997</v>
      </c>
      <c r="AM72" s="106">
        <f>-AM134</f>
        <v>-195.00719279385976</v>
      </c>
      <c r="AN72" s="106">
        <f>AL72+AM72</f>
        <v>-382.8076027938597</v>
      </c>
      <c r="AO72" s="106">
        <f>-AO134</f>
        <v>-189.6784141</v>
      </c>
      <c r="AP72" s="106">
        <f>-AP134</f>
        <v>-196.95726472179834</v>
      </c>
      <c r="AQ72" s="106">
        <f>AO72+AP72</f>
        <v>-386.63567882179836</v>
      </c>
      <c r="AR72" s="106">
        <f>-AR134</f>
        <v>-191.57519824099998</v>
      </c>
      <c r="AS72" s="106">
        <f>-AS134</f>
        <v>-198.92683736901634</v>
      </c>
      <c r="AT72" s="106">
        <f>AR72+AS72</f>
        <v>-390.50203561001632</v>
      </c>
      <c r="AU72" s="106">
        <f>-AU134</f>
        <v>-193.49095022340998</v>
      </c>
      <c r="AV72" s="106">
        <f>-AV134</f>
        <v>-200.91610574270649</v>
      </c>
      <c r="AW72" s="106">
        <f>AU72+AV72</f>
        <v>-394.40705596611645</v>
      </c>
      <c r="AX72" s="106">
        <f>-AX134</f>
        <v>-195.4258597256441</v>
      </c>
      <c r="AY72" s="106">
        <f>-AY134</f>
        <v>-202.92526680013353</v>
      </c>
      <c r="AZ72" s="106">
        <f>AX72+AY72</f>
        <v>-398.35112652577766</v>
      </c>
      <c r="BA72" s="106">
        <f>-BA134</f>
        <v>-197.38011832290053</v>
      </c>
      <c r="BB72" s="106">
        <f>-BB134</f>
        <v>-204.95451946813489</v>
      </c>
      <c r="BC72" s="106">
        <f>BA72+BB72</f>
        <v>-402.33463779103545</v>
      </c>
      <c r="BD72" s="106">
        <f>-BD134</f>
        <v>-199.35391950612956</v>
      </c>
      <c r="BE72" s="106">
        <f>-BE134</f>
        <v>-207.00406466281621</v>
      </c>
      <c r="BF72" s="106">
        <f>BD72+BE72</f>
        <v>-406.35798416894579</v>
      </c>
      <c r="BG72" s="106">
        <f>-BG134</f>
        <v>-201.34745870119085</v>
      </c>
      <c r="BH72" s="106">
        <f>-BH134</f>
        <v>-209.07410530944438</v>
      </c>
      <c r="BI72" s="106">
        <f>BG72+BH72</f>
        <v>-410.42156401063522</v>
      </c>
      <c r="BJ72" s="106">
        <f>-BJ134</f>
        <v>-203.36093328820274</v>
      </c>
      <c r="BK72" s="106">
        <f>-BK134</f>
        <v>-211.16484636253884</v>
      </c>
      <c r="BL72" s="106">
        <f>BJ72+BK72</f>
        <v>-414.52577965074158</v>
      </c>
      <c r="BM72" s="106">
        <f>-BM134</f>
        <v>-205.39454262108478</v>
      </c>
      <c r="BN72" s="106">
        <f>-BN134</f>
        <v>-213.27649482616422</v>
      </c>
      <c r="BO72" s="106">
        <f>BM72+BN72</f>
        <v>-418.67103744724898</v>
      </c>
      <c r="BP72" s="106">
        <f>-BP134</f>
        <v>-207.44848804729563</v>
      </c>
      <c r="BQ72" s="106">
        <f>-BQ134</f>
        <v>-215.40925977442586</v>
      </c>
      <c r="BR72" s="106">
        <f>BP72+BQ72</f>
        <v>-422.85774782172149</v>
      </c>
    </row>
    <row r="73" spans="2:70" outlineLevel="1">
      <c r="B73" s="55"/>
      <c r="C73" s="60" t="s">
        <v>311</v>
      </c>
      <c r="D73" s="58" t="s">
        <v>58</v>
      </c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62"/>
      <c r="T73" s="98"/>
      <c r="U73" s="42"/>
      <c r="V73" s="98">
        <v>71.900000000000006</v>
      </c>
      <c r="W73" s="337">
        <v>68.8</v>
      </c>
      <c r="X73" s="23">
        <f>Y73-W73</f>
        <v>14.700000000000003</v>
      </c>
      <c r="Y73" s="337">
        <v>83.5</v>
      </c>
      <c r="Z73" s="337">
        <v>1.5</v>
      </c>
      <c r="AA73" s="23">
        <f>AB73-Z73</f>
        <v>28.9</v>
      </c>
      <c r="AB73" s="25">
        <v>30.4</v>
      </c>
      <c r="AC73" s="25">
        <v>45.8</v>
      </c>
      <c r="AD73" s="23">
        <f>AE73-AC73</f>
        <v>37</v>
      </c>
      <c r="AE73" s="25">
        <v>82.8</v>
      </c>
      <c r="AF73" s="25">
        <v>107</v>
      </c>
      <c r="AG73" s="945">
        <v>0</v>
      </c>
      <c r="AH73" s="18">
        <f>AF73+AG73</f>
        <v>107</v>
      </c>
      <c r="AI73" s="434">
        <v>0</v>
      </c>
      <c r="AJ73" s="434">
        <v>0</v>
      </c>
      <c r="AK73" s="18">
        <f>AI73+AJ73</f>
        <v>0</v>
      </c>
      <c r="AL73" s="434">
        <v>0</v>
      </c>
      <c r="AM73" s="434">
        <v>0</v>
      </c>
      <c r="AN73" s="18">
        <f>AL73+AM73</f>
        <v>0</v>
      </c>
      <c r="AO73" s="434">
        <v>0</v>
      </c>
      <c r="AP73" s="434">
        <v>0</v>
      </c>
      <c r="AQ73" s="18">
        <f>AO73+AP73</f>
        <v>0</v>
      </c>
      <c r="AR73" s="434">
        <v>0</v>
      </c>
      <c r="AS73" s="434">
        <v>0</v>
      </c>
      <c r="AT73" s="18">
        <f>AR73+AS73</f>
        <v>0</v>
      </c>
      <c r="AU73" s="434">
        <v>0</v>
      </c>
      <c r="AV73" s="434">
        <v>0</v>
      </c>
      <c r="AW73" s="18">
        <f>AU73+AV73</f>
        <v>0</v>
      </c>
      <c r="AX73" s="434">
        <v>0</v>
      </c>
      <c r="AY73" s="434">
        <v>0</v>
      </c>
      <c r="AZ73" s="18">
        <f>AX73+AY73</f>
        <v>0</v>
      </c>
      <c r="BA73" s="434">
        <v>0</v>
      </c>
      <c r="BB73" s="434">
        <v>0</v>
      </c>
      <c r="BC73" s="18">
        <f>BA73+BB73</f>
        <v>0</v>
      </c>
      <c r="BD73" s="434">
        <v>0</v>
      </c>
      <c r="BE73" s="434">
        <v>0</v>
      </c>
      <c r="BF73" s="18">
        <f>BD73+BE73</f>
        <v>0</v>
      </c>
      <c r="BG73" s="434">
        <v>0</v>
      </c>
      <c r="BH73" s="434">
        <v>0</v>
      </c>
      <c r="BI73" s="18">
        <f>BG73+BH73</f>
        <v>0</v>
      </c>
      <c r="BJ73" s="434">
        <v>0</v>
      </c>
      <c r="BK73" s="434">
        <v>0</v>
      </c>
      <c r="BL73" s="18">
        <f>BJ73+BK73</f>
        <v>0</v>
      </c>
      <c r="BM73" s="434">
        <v>0</v>
      </c>
      <c r="BN73" s="434">
        <v>0</v>
      </c>
      <c r="BO73" s="18">
        <f>BM73+BN73</f>
        <v>0</v>
      </c>
      <c r="BP73" s="434">
        <v>0</v>
      </c>
      <c r="BQ73" s="434">
        <v>0</v>
      </c>
      <c r="BR73" s="18">
        <f>BP73+BQ73</f>
        <v>0</v>
      </c>
    </row>
    <row r="74" spans="2:70" outlineLevel="1">
      <c r="B74" s="55"/>
      <c r="C74" s="60" t="s">
        <v>312</v>
      </c>
      <c r="D74" s="58" t="s">
        <v>58</v>
      </c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62"/>
      <c r="T74" s="98"/>
      <c r="U74" s="42"/>
      <c r="V74" s="98">
        <v>23.4</v>
      </c>
      <c r="W74" s="337">
        <v>0.8</v>
      </c>
      <c r="X74" s="23">
        <f t="shared" si="275"/>
        <v>0</v>
      </c>
      <c r="Y74" s="337">
        <v>0.8</v>
      </c>
      <c r="Z74" s="337">
        <v>0</v>
      </c>
      <c r="AA74" s="23">
        <f t="shared" si="276"/>
        <v>1.5</v>
      </c>
      <c r="AB74" s="25">
        <v>1.5</v>
      </c>
      <c r="AC74" s="25">
        <v>0</v>
      </c>
      <c r="AD74" s="23">
        <f t="shared" si="277"/>
        <v>0</v>
      </c>
      <c r="AE74" s="25">
        <v>0</v>
      </c>
      <c r="AF74" s="25">
        <v>0</v>
      </c>
      <c r="AG74" s="935">
        <f>-AG135</f>
        <v>0</v>
      </c>
      <c r="AH74" s="106">
        <f t="shared" si="281"/>
        <v>0</v>
      </c>
      <c r="AI74" s="106">
        <f>-AI135</f>
        <v>0</v>
      </c>
      <c r="AJ74" s="106">
        <f>-AJ135</f>
        <v>0</v>
      </c>
      <c r="AK74" s="106">
        <f t="shared" si="282"/>
        <v>0</v>
      </c>
      <c r="AL74" s="106">
        <f>-AL135</f>
        <v>0</v>
      </c>
      <c r="AM74" s="106">
        <f>-AM135</f>
        <v>0</v>
      </c>
      <c r="AN74" s="106">
        <f t="shared" ref="AN74:AN75" si="294">AL74+AM74</f>
        <v>0</v>
      </c>
      <c r="AO74" s="106">
        <f>-AO135</f>
        <v>0</v>
      </c>
      <c r="AP74" s="106">
        <f>-AP135</f>
        <v>0</v>
      </c>
      <c r="AQ74" s="106">
        <f t="shared" ref="AQ74:AQ75" si="295">AO74+AP74</f>
        <v>0</v>
      </c>
      <c r="AR74" s="106">
        <f>-AR135</f>
        <v>0</v>
      </c>
      <c r="AS74" s="106">
        <f>-AS135</f>
        <v>0</v>
      </c>
      <c r="AT74" s="106">
        <f t="shared" ref="AT74:AT75" si="296">AR74+AS74</f>
        <v>0</v>
      </c>
      <c r="AU74" s="106">
        <f>-AU135</f>
        <v>0</v>
      </c>
      <c r="AV74" s="106">
        <f>-AV135</f>
        <v>0</v>
      </c>
      <c r="AW74" s="106">
        <f t="shared" ref="AW74:AW75" si="297">AU74+AV74</f>
        <v>0</v>
      </c>
      <c r="AX74" s="106">
        <f>-AX135</f>
        <v>0</v>
      </c>
      <c r="AY74" s="106">
        <f>-AY135</f>
        <v>0</v>
      </c>
      <c r="AZ74" s="106">
        <f t="shared" ref="AZ74:AZ75" si="298">AX74+AY74</f>
        <v>0</v>
      </c>
      <c r="BA74" s="106">
        <f>-BA135</f>
        <v>0</v>
      </c>
      <c r="BB74" s="106">
        <f>-BB135</f>
        <v>0</v>
      </c>
      <c r="BC74" s="106">
        <f t="shared" ref="BC74:BC75" si="299">BA74+BB74</f>
        <v>0</v>
      </c>
      <c r="BD74" s="106">
        <f>-BD135</f>
        <v>0</v>
      </c>
      <c r="BE74" s="106">
        <f>-BE135</f>
        <v>0</v>
      </c>
      <c r="BF74" s="106">
        <f t="shared" ref="BF74:BF75" si="300">BD74+BE74</f>
        <v>0</v>
      </c>
      <c r="BG74" s="106">
        <f>-BG135</f>
        <v>0</v>
      </c>
      <c r="BH74" s="106">
        <f>-BH135</f>
        <v>0</v>
      </c>
      <c r="BI74" s="106">
        <f t="shared" ref="BI74:BI75" si="301">BG74+BH74</f>
        <v>0</v>
      </c>
      <c r="BJ74" s="106">
        <f>-BJ135</f>
        <v>0</v>
      </c>
      <c r="BK74" s="106">
        <f>-BK135</f>
        <v>0</v>
      </c>
      <c r="BL74" s="106">
        <f t="shared" ref="BL74:BL75" si="302">BJ74+BK74</f>
        <v>0</v>
      </c>
      <c r="BM74" s="106">
        <f>-BM135</f>
        <v>0</v>
      </c>
      <c r="BN74" s="106">
        <f>-BN135</f>
        <v>0</v>
      </c>
      <c r="BO74" s="106">
        <f t="shared" ref="BO74:BO75" si="303">BM74+BN74</f>
        <v>0</v>
      </c>
      <c r="BP74" s="106">
        <f>-BP135</f>
        <v>0</v>
      </c>
      <c r="BQ74" s="106">
        <f>-BQ135</f>
        <v>0</v>
      </c>
      <c r="BR74" s="106">
        <f t="shared" ref="BR74:BR75" si="304">BP74+BQ74</f>
        <v>0</v>
      </c>
    </row>
    <row r="75" spans="2:70" outlineLevel="1">
      <c r="B75" s="55"/>
      <c r="C75" s="60" t="s">
        <v>332</v>
      </c>
      <c r="D75" s="58" t="s">
        <v>58</v>
      </c>
      <c r="E75" s="58"/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62"/>
      <c r="T75" s="98"/>
      <c r="U75" s="42"/>
      <c r="V75" s="98">
        <v>0</v>
      </c>
      <c r="W75" s="337">
        <v>0</v>
      </c>
      <c r="X75" s="23">
        <f t="shared" si="275"/>
        <v>0</v>
      </c>
      <c r="Y75" s="337">
        <v>0</v>
      </c>
      <c r="Z75" s="337">
        <v>0</v>
      </c>
      <c r="AA75" s="23">
        <f t="shared" si="276"/>
        <v>-184.2</v>
      </c>
      <c r="AB75" s="25">
        <v>-184.2</v>
      </c>
      <c r="AC75" s="25">
        <v>0</v>
      </c>
      <c r="AD75" s="23">
        <f t="shared" si="277"/>
        <v>0</v>
      </c>
      <c r="AE75" s="25">
        <v>0</v>
      </c>
      <c r="AF75" s="25">
        <v>0</v>
      </c>
      <c r="AG75" s="945">
        <v>0</v>
      </c>
      <c r="AH75" s="18">
        <f t="shared" si="281"/>
        <v>0</v>
      </c>
      <c r="AI75" s="434">
        <v>0</v>
      </c>
      <c r="AJ75" s="434">
        <v>0</v>
      </c>
      <c r="AK75" s="18">
        <f t="shared" si="282"/>
        <v>0</v>
      </c>
      <c r="AL75" s="434">
        <v>0</v>
      </c>
      <c r="AM75" s="434">
        <v>0</v>
      </c>
      <c r="AN75" s="18">
        <f t="shared" si="294"/>
        <v>0</v>
      </c>
      <c r="AO75" s="434">
        <v>0</v>
      </c>
      <c r="AP75" s="434">
        <v>0</v>
      </c>
      <c r="AQ75" s="18">
        <f t="shared" si="295"/>
        <v>0</v>
      </c>
      <c r="AR75" s="434">
        <v>0</v>
      </c>
      <c r="AS75" s="434">
        <v>0</v>
      </c>
      <c r="AT75" s="18">
        <f t="shared" si="296"/>
        <v>0</v>
      </c>
      <c r="AU75" s="434">
        <v>0</v>
      </c>
      <c r="AV75" s="434">
        <v>0</v>
      </c>
      <c r="AW75" s="18">
        <f t="shared" si="297"/>
        <v>0</v>
      </c>
      <c r="AX75" s="434">
        <v>0</v>
      </c>
      <c r="AY75" s="434">
        <v>0</v>
      </c>
      <c r="AZ75" s="18">
        <f t="shared" si="298"/>
        <v>0</v>
      </c>
      <c r="BA75" s="434">
        <v>0</v>
      </c>
      <c r="BB75" s="434">
        <v>0</v>
      </c>
      <c r="BC75" s="18">
        <f t="shared" si="299"/>
        <v>0</v>
      </c>
      <c r="BD75" s="434">
        <v>0</v>
      </c>
      <c r="BE75" s="434">
        <v>0</v>
      </c>
      <c r="BF75" s="18">
        <f t="shared" si="300"/>
        <v>0</v>
      </c>
      <c r="BG75" s="434">
        <v>0</v>
      </c>
      <c r="BH75" s="434">
        <v>0</v>
      </c>
      <c r="BI75" s="18">
        <f t="shared" si="301"/>
        <v>0</v>
      </c>
      <c r="BJ75" s="434">
        <v>0</v>
      </c>
      <c r="BK75" s="434">
        <v>0</v>
      </c>
      <c r="BL75" s="18">
        <f t="shared" si="302"/>
        <v>0</v>
      </c>
      <c r="BM75" s="434">
        <v>0</v>
      </c>
      <c r="BN75" s="434">
        <v>0</v>
      </c>
      <c r="BO75" s="18">
        <f t="shared" si="303"/>
        <v>0</v>
      </c>
      <c r="BP75" s="434">
        <v>0</v>
      </c>
      <c r="BQ75" s="434">
        <v>0</v>
      </c>
      <c r="BR75" s="18">
        <f t="shared" si="304"/>
        <v>0</v>
      </c>
    </row>
    <row r="76" spans="2:70" s="8" customFormat="1" outlineLevel="1">
      <c r="B76" s="55"/>
      <c r="C76" s="55" t="s">
        <v>313</v>
      </c>
      <c r="D76" s="56" t="s">
        <v>58</v>
      </c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78"/>
      <c r="T76" s="379"/>
      <c r="U76" s="378"/>
      <c r="V76" s="379">
        <f t="shared" ref="V76:AJ76" si="305">V70+V71+V72+V74+V73+V75</f>
        <v>-468.90000000000009</v>
      </c>
      <c r="W76" s="64">
        <f t="shared" si="305"/>
        <v>-129.39999999999998</v>
      </c>
      <c r="X76" s="339">
        <f t="shared" si="305"/>
        <v>-205.89999999999998</v>
      </c>
      <c r="Y76" s="64">
        <f t="shared" si="305"/>
        <v>-335.3</v>
      </c>
      <c r="Z76" s="64">
        <f t="shared" si="305"/>
        <v>-296.29999999999995</v>
      </c>
      <c r="AA76" s="339">
        <f t="shared" si="305"/>
        <v>-700.7</v>
      </c>
      <c r="AB76" s="64">
        <f t="shared" si="305"/>
        <v>-997</v>
      </c>
      <c r="AC76" s="64">
        <f t="shared" si="305"/>
        <v>-458.90000000000003</v>
      </c>
      <c r="AD76" s="339">
        <f t="shared" si="305"/>
        <v>-173.69999999999996</v>
      </c>
      <c r="AE76" s="341">
        <f t="shared" si="305"/>
        <v>-632.6</v>
      </c>
      <c r="AF76" s="341">
        <f>AF70+AF71+AF72+AF74+AF73+AF75</f>
        <v>-93.6</v>
      </c>
      <c r="AG76" s="934">
        <f t="shared" ref="AG76" si="306">AG70+AG71+AG72+AG74+AG73+AG75</f>
        <v>-182.30766543859659</v>
      </c>
      <c r="AH76" s="64">
        <f>AH70+AH71+AH72+AH74+AH73+AH75</f>
        <v>-275.90766543859661</v>
      </c>
      <c r="AI76" s="64">
        <f>AI70+AI71+AI72+AI74+AI73+AI75</f>
        <v>-175.06229000000002</v>
      </c>
      <c r="AJ76" s="64">
        <f t="shared" si="305"/>
        <v>-187.86565032982463</v>
      </c>
      <c r="AK76" s="64">
        <f>AK70+AK71+AK72+AK74+AK73+AK75</f>
        <v>-362.92794032982465</v>
      </c>
      <c r="AL76" s="64">
        <f>AL70+AL71+AL72+AL74+AL73+AL75</f>
        <v>-187.80040999999997</v>
      </c>
      <c r="AM76" s="64">
        <f t="shared" ref="AM76" si="307">AM70+AM71+AM72+AM74+AM73+AM75</f>
        <v>-195.00719279385976</v>
      </c>
      <c r="AN76" s="64">
        <f>AN70+AN71+AN72+AN74+AN73+AN75</f>
        <v>-382.8076027938597</v>
      </c>
      <c r="AO76" s="64">
        <f>AO70+AO71+AO72+AO74+AO73+AO75</f>
        <v>-189.6784141</v>
      </c>
      <c r="AP76" s="64">
        <f t="shared" ref="AP76" si="308">AP70+AP71+AP72+AP74+AP73+AP75</f>
        <v>-196.95726472179834</v>
      </c>
      <c r="AQ76" s="64">
        <f>AQ70+AQ71+AQ72+AQ74+AQ73+AQ75</f>
        <v>-386.63567882179836</v>
      </c>
      <c r="AR76" s="64">
        <f>AR70+AR71+AR72+AR74+AR73+AR75</f>
        <v>-191.57519824099998</v>
      </c>
      <c r="AS76" s="64">
        <f t="shared" ref="AS76" si="309">AS70+AS71+AS72+AS74+AS73+AS75</f>
        <v>-198.92683736901634</v>
      </c>
      <c r="AT76" s="64">
        <f>AT70+AT71+AT72+AT74+AT73+AT75</f>
        <v>-390.50203561001632</v>
      </c>
      <c r="AU76" s="64">
        <f>AU70+AU71+AU72+AU74+AU73+AU75</f>
        <v>-193.49095022340998</v>
      </c>
      <c r="AV76" s="64">
        <f t="shared" ref="AV76" si="310">AV70+AV71+AV72+AV74+AV73+AV75</f>
        <v>-200.91610574270649</v>
      </c>
      <c r="AW76" s="64">
        <f>AW70+AW71+AW72+AW74+AW73+AW75</f>
        <v>-394.40705596611645</v>
      </c>
      <c r="AX76" s="64">
        <f>AX70+AX71+AX72+AX74+AX73+AX75</f>
        <v>-195.4258597256441</v>
      </c>
      <c r="AY76" s="64">
        <f t="shared" ref="AY76" si="311">AY70+AY71+AY72+AY74+AY73+AY75</f>
        <v>-202.92526680013353</v>
      </c>
      <c r="AZ76" s="64">
        <f>AZ70+AZ71+AZ72+AZ74+AZ73+AZ75</f>
        <v>-398.35112652577766</v>
      </c>
      <c r="BA76" s="64">
        <f>BA70+BA71+BA72+BA74+BA73+BA75</f>
        <v>-197.38011832290053</v>
      </c>
      <c r="BB76" s="64">
        <f t="shared" ref="BB76" si="312">BB70+BB71+BB72+BB74+BB73+BB75</f>
        <v>-204.95451946813489</v>
      </c>
      <c r="BC76" s="64">
        <f>BC70+BC71+BC72+BC74+BC73+BC75</f>
        <v>-402.33463779103545</v>
      </c>
      <c r="BD76" s="64">
        <f>BD70+BD71+BD72+BD74+BD73+BD75</f>
        <v>-199.35391950612956</v>
      </c>
      <c r="BE76" s="64">
        <f t="shared" ref="BE76" si="313">BE70+BE71+BE72+BE74+BE73+BE75</f>
        <v>-207.00406466281621</v>
      </c>
      <c r="BF76" s="64">
        <f>BF70+BF71+BF72+BF74+BF73+BF75</f>
        <v>-406.35798416894579</v>
      </c>
      <c r="BG76" s="64">
        <f>BG70+BG71+BG72+BG74+BG73+BG75</f>
        <v>-201.34745870119085</v>
      </c>
      <c r="BH76" s="64">
        <f t="shared" ref="BH76" si="314">BH70+BH71+BH72+BH74+BH73+BH75</f>
        <v>-209.07410530944438</v>
      </c>
      <c r="BI76" s="64">
        <f>BI70+BI71+BI72+BI74+BI73+BI75</f>
        <v>-410.42156401063522</v>
      </c>
      <c r="BJ76" s="64">
        <f>BJ70+BJ71+BJ72+BJ74+BJ73+BJ75</f>
        <v>-203.36093328820274</v>
      </c>
      <c r="BK76" s="64">
        <f t="shared" ref="BK76" si="315">BK70+BK71+BK72+BK74+BK73+BK75</f>
        <v>-211.16484636253884</v>
      </c>
      <c r="BL76" s="64">
        <f>BL70+BL71+BL72+BL74+BL73+BL75</f>
        <v>-414.52577965074158</v>
      </c>
      <c r="BM76" s="64">
        <f>BM70+BM71+BM72+BM74+BM73+BM75</f>
        <v>-205.39454262108478</v>
      </c>
      <c r="BN76" s="64">
        <f t="shared" ref="BN76" si="316">BN70+BN71+BN72+BN74+BN73+BN75</f>
        <v>-213.27649482616422</v>
      </c>
      <c r="BO76" s="64">
        <f>BO70+BO71+BO72+BO74+BO73+BO75</f>
        <v>-418.67103744724898</v>
      </c>
      <c r="BP76" s="64">
        <f>BP70+BP71+BP72+BP74+BP73+BP75</f>
        <v>-207.44848804729563</v>
      </c>
      <c r="BQ76" s="64">
        <f t="shared" ref="BQ76" si="317">BQ70+BQ71+BQ72+BQ74+BQ73+BQ75</f>
        <v>-215.40925977442586</v>
      </c>
      <c r="BR76" s="64">
        <f>BR70+BR71+BR72+BR74+BR73+BR75</f>
        <v>-422.85774782172149</v>
      </c>
    </row>
    <row r="77" spans="2:70" s="8" customFormat="1" outlineLevel="1">
      <c r="B77" s="55"/>
      <c r="C77" s="55" t="s">
        <v>314</v>
      </c>
      <c r="D77" s="56" t="s">
        <v>58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78"/>
      <c r="T77" s="379"/>
      <c r="U77" s="378"/>
      <c r="V77" s="64">
        <f t="shared" ref="V77:AE77" si="318">V69+V76</f>
        <v>625.19999999999982</v>
      </c>
      <c r="W77" s="64">
        <f t="shared" si="318"/>
        <v>75.600000000000023</v>
      </c>
      <c r="X77" s="339">
        <f t="shared" si="318"/>
        <v>591.4</v>
      </c>
      <c r="Y77" s="64">
        <f t="shared" si="318"/>
        <v>667</v>
      </c>
      <c r="Z77" s="64">
        <f t="shared" si="318"/>
        <v>-33.099999999999966</v>
      </c>
      <c r="AA77" s="339">
        <f t="shared" si="318"/>
        <v>135.5</v>
      </c>
      <c r="AB77" s="64">
        <f t="shared" si="318"/>
        <v>102.40000000000009</v>
      </c>
      <c r="AC77" s="64">
        <f t="shared" si="318"/>
        <v>-244.00000000000003</v>
      </c>
      <c r="AD77" s="339">
        <f t="shared" si="318"/>
        <v>638.80000000000018</v>
      </c>
      <c r="AE77" s="341">
        <f t="shared" si="318"/>
        <v>394.80000000000007</v>
      </c>
      <c r="AF77" s="341">
        <f t="shared" ref="AF77:AK77" si="319">AF69+AF76</f>
        <v>84.5</v>
      </c>
      <c r="AG77" s="934">
        <f t="shared" ref="AG77" si="320">AG69+AG76</f>
        <v>633.56034635879359</v>
      </c>
      <c r="AH77" s="64">
        <f t="shared" si="319"/>
        <v>718.06034635879382</v>
      </c>
      <c r="AI77" s="64">
        <f t="shared" si="319"/>
        <v>140.95191696066854</v>
      </c>
      <c r="AJ77" s="64">
        <f t="shared" si="319"/>
        <v>699.37799020648026</v>
      </c>
      <c r="AK77" s="64">
        <f t="shared" si="319"/>
        <v>840.3299071671488</v>
      </c>
      <c r="AL77" s="64">
        <f t="shared" ref="AL77:BR77" si="321">AL69+AL76</f>
        <v>161.53764384192951</v>
      </c>
      <c r="AM77" s="64">
        <f t="shared" si="321"/>
        <v>755.10695965390073</v>
      </c>
      <c r="AN77" s="64">
        <f t="shared" si="321"/>
        <v>916.64460349583021</v>
      </c>
      <c r="AO77" s="64">
        <f t="shared" si="321"/>
        <v>180.40154459017282</v>
      </c>
      <c r="AP77" s="64">
        <f t="shared" si="321"/>
        <v>777.96288391708345</v>
      </c>
      <c r="AQ77" s="64">
        <f t="shared" si="321"/>
        <v>958.36442850725621</v>
      </c>
      <c r="AR77" s="64">
        <f t="shared" si="321"/>
        <v>190.35961424336691</v>
      </c>
      <c r="AS77" s="64">
        <f t="shared" si="321"/>
        <v>798.50521959433695</v>
      </c>
      <c r="AT77" s="64">
        <f t="shared" si="321"/>
        <v>988.86483383770383</v>
      </c>
      <c r="AU77" s="64">
        <f t="shared" si="321"/>
        <v>200.72815689954354</v>
      </c>
      <c r="AV77" s="64">
        <f t="shared" si="321"/>
        <v>819.70835441747568</v>
      </c>
      <c r="AW77" s="64">
        <f t="shared" si="321"/>
        <v>1020.4365113170192</v>
      </c>
      <c r="AX77" s="64">
        <f t="shared" si="321"/>
        <v>211.43001993509466</v>
      </c>
      <c r="AY77" s="64">
        <f t="shared" si="321"/>
        <v>841.59455568152123</v>
      </c>
      <c r="AZ77" s="64">
        <f t="shared" si="321"/>
        <v>1053.0245756166159</v>
      </c>
      <c r="BA77" s="64">
        <f t="shared" si="321"/>
        <v>222.47626810176283</v>
      </c>
      <c r="BB77" s="64">
        <f t="shared" si="321"/>
        <v>863.42881441149609</v>
      </c>
      <c r="BC77" s="64">
        <f t="shared" si="321"/>
        <v>1085.9050825132588</v>
      </c>
      <c r="BD77" s="64">
        <f t="shared" si="321"/>
        <v>232.42042790949222</v>
      </c>
      <c r="BE77" s="64">
        <f t="shared" si="321"/>
        <v>884.06246619220508</v>
      </c>
      <c r="BF77" s="64">
        <f t="shared" si="321"/>
        <v>1116.4828941016976</v>
      </c>
      <c r="BG77" s="64">
        <f t="shared" si="321"/>
        <v>240.49763205390613</v>
      </c>
      <c r="BH77" s="64">
        <f t="shared" si="321"/>
        <v>904.2062132830381</v>
      </c>
      <c r="BI77" s="64">
        <f t="shared" si="321"/>
        <v>1144.7038453369444</v>
      </c>
      <c r="BJ77" s="64">
        <f t="shared" si="321"/>
        <v>248.82182153674623</v>
      </c>
      <c r="BK77" s="64">
        <f t="shared" si="321"/>
        <v>924.99331141322818</v>
      </c>
      <c r="BL77" s="64">
        <f t="shared" si="321"/>
        <v>1173.8151329499747</v>
      </c>
      <c r="BM77" s="64">
        <f t="shared" si="321"/>
        <v>257.40071481642002</v>
      </c>
      <c r="BN77" s="64">
        <f t="shared" si="321"/>
        <v>940.07079722272874</v>
      </c>
      <c r="BO77" s="64">
        <f t="shared" si="321"/>
        <v>1197.4715120391493</v>
      </c>
      <c r="BP77" s="64">
        <f t="shared" si="321"/>
        <v>272.594129344821</v>
      </c>
      <c r="BQ77" s="64">
        <f t="shared" si="321"/>
        <v>957.0595874533908</v>
      </c>
      <c r="BR77" s="64">
        <f t="shared" si="321"/>
        <v>1229.6537167982119</v>
      </c>
    </row>
    <row r="78" spans="2:70" outlineLevel="1">
      <c r="B78" s="55"/>
      <c r="C78" s="83" t="s">
        <v>316</v>
      </c>
      <c r="D78" s="58" t="s">
        <v>58</v>
      </c>
      <c r="E78" s="58"/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62"/>
      <c r="T78" s="98"/>
      <c r="U78" s="42"/>
      <c r="V78" s="337">
        <v>-9154.2000000000007</v>
      </c>
      <c r="W78" s="337">
        <v>-2414.6999999999998</v>
      </c>
      <c r="X78" s="23">
        <f>Y78-W78</f>
        <v>-3284</v>
      </c>
      <c r="Y78" s="337">
        <v>-5698.7</v>
      </c>
      <c r="Z78" s="337">
        <v>-3126</v>
      </c>
      <c r="AA78" s="23">
        <f>AB78-Z78</f>
        <v>-1910.1999999999998</v>
      </c>
      <c r="AB78" s="337">
        <v>-5036.2</v>
      </c>
      <c r="AC78" s="337">
        <v>-3254.4</v>
      </c>
      <c r="AD78" s="23">
        <f>AE78-AC78</f>
        <v>-490.69999999999982</v>
      </c>
      <c r="AE78" s="25">
        <v>-3745.1</v>
      </c>
      <c r="AF78" s="25">
        <v>-2276.5</v>
      </c>
      <c r="AG78" s="933">
        <f t="shared" ref="AG78" si="322">+AG80-AG79</f>
        <v>-390.62350425353043</v>
      </c>
      <c r="AH78" s="18">
        <f>AF78+AG78</f>
        <v>-2667.1235042535304</v>
      </c>
      <c r="AI78" s="18">
        <f t="shared" ref="AI78:AK78" si="323">+AI80-AI79</f>
        <v>0</v>
      </c>
      <c r="AJ78" s="18">
        <f t="shared" si="323"/>
        <v>-430.05983039208343</v>
      </c>
      <c r="AK78" s="18">
        <f t="shared" si="323"/>
        <v>-286.61659799203733</v>
      </c>
      <c r="AL78" s="18">
        <f t="shared" ref="AL78:BR78" si="324">+AL80-AL79</f>
        <v>0</v>
      </c>
      <c r="AM78" s="18">
        <f t="shared" si="324"/>
        <v>-454.42992313822009</v>
      </c>
      <c r="AN78" s="18">
        <f t="shared" si="324"/>
        <v>-303.10758730459372</v>
      </c>
      <c r="AO78" s="18">
        <f t="shared" si="324"/>
        <v>0</v>
      </c>
      <c r="AP78" s="18">
        <f t="shared" si="324"/>
        <v>-462.19670588631715</v>
      </c>
      <c r="AQ78" s="18">
        <f t="shared" si="324"/>
        <v>-308.60762122190931</v>
      </c>
      <c r="AR78" s="18">
        <f t="shared" si="324"/>
        <v>0</v>
      </c>
      <c r="AS78" s="18">
        <f t="shared" si="324"/>
        <v>-472.17571671287357</v>
      </c>
      <c r="AT78" s="18">
        <f t="shared" si="324"/>
        <v>-312.43523311924912</v>
      </c>
      <c r="AU78" s="18">
        <f t="shared" si="324"/>
        <v>0</v>
      </c>
      <c r="AV78" s="18">
        <f t="shared" si="324"/>
        <v>-482.51387806444774</v>
      </c>
      <c r="AW78" s="18">
        <f t="shared" si="324"/>
        <v>-322.12282432492668</v>
      </c>
      <c r="AX78" s="18">
        <f t="shared" si="324"/>
        <v>0</v>
      </c>
      <c r="AY78" s="18">
        <f t="shared" si="324"/>
        <v>-493.18392955960007</v>
      </c>
      <c r="AZ78" s="18">
        <f t="shared" si="324"/>
        <v>-332.12142734740792</v>
      </c>
      <c r="BA78" s="18">
        <f t="shared" si="324"/>
        <v>0</v>
      </c>
      <c r="BB78" s="18">
        <f t="shared" si="324"/>
        <v>-364.52098960824969</v>
      </c>
      <c r="BC78" s="18">
        <f t="shared" si="324"/>
        <v>-202.76520443634558</v>
      </c>
      <c r="BD78" s="18">
        <f t="shared" si="324"/>
        <v>0</v>
      </c>
      <c r="BE78" s="18">
        <f t="shared" si="324"/>
        <v>-163.41119889696438</v>
      </c>
      <c r="BF78" s="18">
        <f t="shared" si="324"/>
        <v>0</v>
      </c>
      <c r="BG78" s="18">
        <f t="shared" si="324"/>
        <v>0</v>
      </c>
      <c r="BH78" s="18">
        <f t="shared" si="324"/>
        <v>-166.00430882149897</v>
      </c>
      <c r="BI78" s="18">
        <f t="shared" si="324"/>
        <v>0</v>
      </c>
      <c r="BJ78" s="18">
        <f t="shared" si="324"/>
        <v>0</v>
      </c>
      <c r="BK78" s="18">
        <f t="shared" si="324"/>
        <v>-167.90376761253128</v>
      </c>
      <c r="BL78" s="18">
        <f t="shared" si="324"/>
        <v>0</v>
      </c>
      <c r="BM78" s="18">
        <f t="shared" si="324"/>
        <v>0</v>
      </c>
      <c r="BN78" s="18">
        <f t="shared" si="324"/>
        <v>-169.87338389469471</v>
      </c>
      <c r="BO78" s="18">
        <f t="shared" si="324"/>
        <v>0</v>
      </c>
      <c r="BP78" s="18">
        <f t="shared" si="324"/>
        <v>0</v>
      </c>
      <c r="BQ78" s="18">
        <f t="shared" si="324"/>
        <v>-165.54412600870546</v>
      </c>
      <c r="BR78" s="18">
        <f t="shared" si="324"/>
        <v>0</v>
      </c>
    </row>
    <row r="79" spans="2:70" outlineLevel="1">
      <c r="B79" s="55"/>
      <c r="C79" s="83" t="s">
        <v>315</v>
      </c>
      <c r="D79" s="58" t="s">
        <v>58</v>
      </c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62"/>
      <c r="T79" s="98"/>
      <c r="U79" s="42"/>
      <c r="V79" s="337">
        <v>9118.1</v>
      </c>
      <c r="W79" s="337">
        <v>2503.3000000000002</v>
      </c>
      <c r="X79" s="23">
        <f>Y79-W79</f>
        <v>3580.7</v>
      </c>
      <c r="Y79" s="337">
        <v>6084</v>
      </c>
      <c r="Z79" s="337">
        <v>3594</v>
      </c>
      <c r="AA79" s="23">
        <f>AB79-Z79</f>
        <v>2107.1999999999998</v>
      </c>
      <c r="AB79" s="337">
        <v>5701.2</v>
      </c>
      <c r="AC79" s="337">
        <v>3701.5</v>
      </c>
      <c r="AD79" s="23">
        <f>AE79-AC79</f>
        <v>258</v>
      </c>
      <c r="AE79" s="25">
        <v>3959.5</v>
      </c>
      <c r="AF79" s="25">
        <v>2328.4</v>
      </c>
      <c r="AG79" s="933">
        <f t="shared" ref="AG79:BR79" si="325">IF(AG80&gt;0,AG80,0)</f>
        <v>0</v>
      </c>
      <c r="AH79" s="18">
        <f t="shared" si="325"/>
        <v>0</v>
      </c>
      <c r="AI79" s="18">
        <f t="shared" si="325"/>
        <v>143.4432324000461</v>
      </c>
      <c r="AJ79" s="18">
        <f t="shared" si="325"/>
        <v>0</v>
      </c>
      <c r="AK79" s="18">
        <f t="shared" si="325"/>
        <v>0</v>
      </c>
      <c r="AL79" s="18">
        <f t="shared" si="325"/>
        <v>151.32233583362634</v>
      </c>
      <c r="AM79" s="18">
        <f t="shared" si="325"/>
        <v>0</v>
      </c>
      <c r="AN79" s="18">
        <f t="shared" si="325"/>
        <v>0</v>
      </c>
      <c r="AO79" s="18">
        <f t="shared" si="325"/>
        <v>153.58908466440772</v>
      </c>
      <c r="AP79" s="18">
        <f t="shared" si="325"/>
        <v>0</v>
      </c>
      <c r="AQ79" s="18">
        <f t="shared" si="325"/>
        <v>0</v>
      </c>
      <c r="AR79" s="18">
        <f t="shared" si="325"/>
        <v>159.74048359362442</v>
      </c>
      <c r="AS79" s="18">
        <f t="shared" si="325"/>
        <v>0</v>
      </c>
      <c r="AT79" s="18">
        <f t="shared" si="325"/>
        <v>0</v>
      </c>
      <c r="AU79" s="18">
        <f t="shared" si="325"/>
        <v>160.391053739521</v>
      </c>
      <c r="AV79" s="18">
        <f t="shared" si="325"/>
        <v>0</v>
      </c>
      <c r="AW79" s="18">
        <f t="shared" si="325"/>
        <v>0</v>
      </c>
      <c r="AX79" s="18">
        <f t="shared" si="325"/>
        <v>161.06250221219227</v>
      </c>
      <c r="AY79" s="18">
        <f t="shared" si="325"/>
        <v>0</v>
      </c>
      <c r="AZ79" s="18">
        <f t="shared" si="325"/>
        <v>0</v>
      </c>
      <c r="BA79" s="18">
        <f t="shared" si="325"/>
        <v>161.75578517190397</v>
      </c>
      <c r="BB79" s="18">
        <f t="shared" si="325"/>
        <v>0</v>
      </c>
      <c r="BC79" s="18">
        <f t="shared" si="325"/>
        <v>0</v>
      </c>
      <c r="BD79" s="18">
        <f t="shared" si="325"/>
        <v>163.41119889696449</v>
      </c>
      <c r="BE79" s="18">
        <f t="shared" si="325"/>
        <v>0</v>
      </c>
      <c r="BF79" s="18">
        <f t="shared" si="325"/>
        <v>0</v>
      </c>
      <c r="BG79" s="18">
        <f t="shared" si="325"/>
        <v>166.004308821499</v>
      </c>
      <c r="BH79" s="18">
        <f t="shared" si="325"/>
        <v>0</v>
      </c>
      <c r="BI79" s="18">
        <f t="shared" si="325"/>
        <v>0</v>
      </c>
      <c r="BJ79" s="18">
        <f t="shared" si="325"/>
        <v>167.90376761253137</v>
      </c>
      <c r="BK79" s="18">
        <f t="shared" si="325"/>
        <v>0</v>
      </c>
      <c r="BL79" s="18">
        <f t="shared" si="325"/>
        <v>0</v>
      </c>
      <c r="BM79" s="18">
        <f t="shared" si="325"/>
        <v>169.87338389469488</v>
      </c>
      <c r="BN79" s="18">
        <f t="shared" si="325"/>
        <v>0</v>
      </c>
      <c r="BO79" s="18">
        <f t="shared" si="325"/>
        <v>0</v>
      </c>
      <c r="BP79" s="18">
        <f t="shared" si="325"/>
        <v>165.54412600870563</v>
      </c>
      <c r="BQ79" s="18">
        <f t="shared" si="325"/>
        <v>0</v>
      </c>
      <c r="BR79" s="18">
        <f t="shared" si="325"/>
        <v>0</v>
      </c>
    </row>
    <row r="80" spans="2:70" outlineLevel="1">
      <c r="B80" s="55"/>
      <c r="C80" s="60" t="s">
        <v>317</v>
      </c>
      <c r="D80" s="58" t="s">
        <v>58</v>
      </c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62"/>
      <c r="T80" s="118"/>
      <c r="U80" s="118"/>
      <c r="V80" s="118">
        <f t="shared" ref="V80:AF80" si="326">+V78+V79</f>
        <v>-36.100000000000364</v>
      </c>
      <c r="W80" s="118">
        <f t="shared" si="326"/>
        <v>88.600000000000364</v>
      </c>
      <c r="X80" s="118">
        <f t="shared" si="326"/>
        <v>296.69999999999982</v>
      </c>
      <c r="Y80" s="118">
        <f t="shared" si="326"/>
        <v>385.30000000000018</v>
      </c>
      <c r="Z80" s="118">
        <f t="shared" si="326"/>
        <v>468</v>
      </c>
      <c r="AA80" s="118">
        <f t="shared" si="326"/>
        <v>197</v>
      </c>
      <c r="AB80" s="118">
        <f t="shared" si="326"/>
        <v>665</v>
      </c>
      <c r="AC80" s="118">
        <f t="shared" si="326"/>
        <v>447.09999999999991</v>
      </c>
      <c r="AD80" s="118">
        <f t="shared" si="326"/>
        <v>-232.69999999999982</v>
      </c>
      <c r="AE80" s="118">
        <f t="shared" si="326"/>
        <v>214.40000000000009</v>
      </c>
      <c r="AF80" s="118">
        <f t="shared" si="326"/>
        <v>51.900000000000091</v>
      </c>
      <c r="AG80" s="933">
        <f t="shared" ref="AG80" si="327">AG87-SUM(AG69,AG76,AG81:AG85)</f>
        <v>-390.62350425353043</v>
      </c>
      <c r="AH80" s="18">
        <f t="shared" ref="AH80:AH85" si="328">AF80+AG80</f>
        <v>-338.72350425353034</v>
      </c>
      <c r="AI80" s="18">
        <f t="shared" ref="AI80:AK80" si="329">AI87-SUM(AI69,AI76,AI81:AI85)</f>
        <v>143.4432324000461</v>
      </c>
      <c r="AJ80" s="18">
        <f t="shared" si="329"/>
        <v>-430.05983039208343</v>
      </c>
      <c r="AK80" s="18">
        <f t="shared" si="329"/>
        <v>-286.61659799203733</v>
      </c>
      <c r="AL80" s="18">
        <f t="shared" ref="AL80:BR80" si="330">AL87-SUM(AL69,AL76,AL81:AL85)</f>
        <v>151.32233583362634</v>
      </c>
      <c r="AM80" s="18">
        <f t="shared" si="330"/>
        <v>-454.42992313822009</v>
      </c>
      <c r="AN80" s="18">
        <f t="shared" si="330"/>
        <v>-303.10758730459372</v>
      </c>
      <c r="AO80" s="18">
        <f t="shared" si="330"/>
        <v>153.58908466440772</v>
      </c>
      <c r="AP80" s="18">
        <f t="shared" si="330"/>
        <v>-462.19670588631715</v>
      </c>
      <c r="AQ80" s="18">
        <f t="shared" si="330"/>
        <v>-308.60762122190931</v>
      </c>
      <c r="AR80" s="18">
        <f t="shared" si="330"/>
        <v>159.74048359362442</v>
      </c>
      <c r="AS80" s="18">
        <f t="shared" si="330"/>
        <v>-472.17571671287357</v>
      </c>
      <c r="AT80" s="18">
        <f t="shared" si="330"/>
        <v>-312.43523311924912</v>
      </c>
      <c r="AU80" s="18">
        <f t="shared" si="330"/>
        <v>160.391053739521</v>
      </c>
      <c r="AV80" s="18">
        <f t="shared" si="330"/>
        <v>-482.51387806444774</v>
      </c>
      <c r="AW80" s="18">
        <f t="shared" si="330"/>
        <v>-322.12282432492668</v>
      </c>
      <c r="AX80" s="18">
        <f t="shared" si="330"/>
        <v>161.06250221219227</v>
      </c>
      <c r="AY80" s="18">
        <f t="shared" si="330"/>
        <v>-493.18392955960007</v>
      </c>
      <c r="AZ80" s="18">
        <f t="shared" si="330"/>
        <v>-332.12142734740792</v>
      </c>
      <c r="BA80" s="18">
        <f t="shared" si="330"/>
        <v>161.75578517190397</v>
      </c>
      <c r="BB80" s="18">
        <f t="shared" si="330"/>
        <v>-364.52098960824969</v>
      </c>
      <c r="BC80" s="18">
        <f t="shared" si="330"/>
        <v>-202.76520443634558</v>
      </c>
      <c r="BD80" s="18">
        <f t="shared" si="330"/>
        <v>163.41119889696449</v>
      </c>
      <c r="BE80" s="18">
        <f t="shared" si="330"/>
        <v>-163.41119889696438</v>
      </c>
      <c r="BF80" s="18">
        <f t="shared" si="330"/>
        <v>0</v>
      </c>
      <c r="BG80" s="18">
        <f t="shared" si="330"/>
        <v>166.004308821499</v>
      </c>
      <c r="BH80" s="18">
        <f t="shared" si="330"/>
        <v>-166.00430882149897</v>
      </c>
      <c r="BI80" s="18">
        <f t="shared" si="330"/>
        <v>0</v>
      </c>
      <c r="BJ80" s="18">
        <f t="shared" si="330"/>
        <v>167.90376761253137</v>
      </c>
      <c r="BK80" s="18">
        <f t="shared" si="330"/>
        <v>-167.90376761253128</v>
      </c>
      <c r="BL80" s="18">
        <f t="shared" si="330"/>
        <v>0</v>
      </c>
      <c r="BM80" s="18">
        <f t="shared" si="330"/>
        <v>169.87338389469488</v>
      </c>
      <c r="BN80" s="18">
        <f t="shared" si="330"/>
        <v>-169.87338389469471</v>
      </c>
      <c r="BO80" s="18">
        <f t="shared" si="330"/>
        <v>0</v>
      </c>
      <c r="BP80" s="18">
        <f t="shared" si="330"/>
        <v>165.54412600870563</v>
      </c>
      <c r="BQ80" s="18">
        <f t="shared" si="330"/>
        <v>-165.54412600870546</v>
      </c>
      <c r="BR80" s="18">
        <f t="shared" si="330"/>
        <v>0</v>
      </c>
    </row>
    <row r="81" spans="1:72" outlineLevel="1">
      <c r="B81" s="55"/>
      <c r="C81" s="60" t="s">
        <v>337</v>
      </c>
      <c r="D81" s="58" t="s">
        <v>58</v>
      </c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62"/>
      <c r="T81" s="98"/>
      <c r="U81" s="42"/>
      <c r="V81" s="337">
        <v>46.7</v>
      </c>
      <c r="W81" s="337">
        <v>0</v>
      </c>
      <c r="X81" s="23">
        <f>Y81-W81</f>
        <v>45.9</v>
      </c>
      <c r="Y81" s="337">
        <v>45.9</v>
      </c>
      <c r="Z81" s="337">
        <v>-222.2</v>
      </c>
      <c r="AA81" s="23">
        <f>AB81-Z81</f>
        <v>261.7</v>
      </c>
      <c r="AB81" s="337">
        <v>39.5</v>
      </c>
      <c r="AC81" s="337">
        <v>17.3</v>
      </c>
      <c r="AD81" s="23">
        <f>AE81-AC81</f>
        <v>6.5</v>
      </c>
      <c r="AE81" s="25">
        <v>23.8</v>
      </c>
      <c r="AF81" s="25">
        <v>26.4</v>
      </c>
      <c r="AG81" s="945">
        <v>0</v>
      </c>
      <c r="AH81" s="18">
        <f t="shared" si="328"/>
        <v>26.4</v>
      </c>
      <c r="AI81" s="434">
        <v>0</v>
      </c>
      <c r="AJ81" s="434">
        <v>0</v>
      </c>
      <c r="AK81" s="18">
        <f>AI81+AJ81</f>
        <v>0</v>
      </c>
      <c r="AL81" s="434">
        <v>0</v>
      </c>
      <c r="AM81" s="434">
        <v>0</v>
      </c>
      <c r="AN81" s="18">
        <f>AL81+AM81</f>
        <v>0</v>
      </c>
      <c r="AO81" s="434">
        <v>0</v>
      </c>
      <c r="AP81" s="434">
        <v>0</v>
      </c>
      <c r="AQ81" s="18">
        <f>AO81+AP81</f>
        <v>0</v>
      </c>
      <c r="AR81" s="434">
        <v>0</v>
      </c>
      <c r="AS81" s="434">
        <v>0</v>
      </c>
      <c r="AT81" s="18">
        <f>AR81+AS81</f>
        <v>0</v>
      </c>
      <c r="AU81" s="434">
        <v>0</v>
      </c>
      <c r="AV81" s="434">
        <v>0</v>
      </c>
      <c r="AW81" s="18">
        <f>AU81+AV81</f>
        <v>0</v>
      </c>
      <c r="AX81" s="434">
        <v>0</v>
      </c>
      <c r="AY81" s="434">
        <v>0</v>
      </c>
      <c r="AZ81" s="18">
        <f>AX81+AY81</f>
        <v>0</v>
      </c>
      <c r="BA81" s="434">
        <v>0</v>
      </c>
      <c r="BB81" s="434">
        <v>0</v>
      </c>
      <c r="BC81" s="18">
        <f>BA81+BB81</f>
        <v>0</v>
      </c>
      <c r="BD81" s="434">
        <v>0</v>
      </c>
      <c r="BE81" s="434">
        <v>0</v>
      </c>
      <c r="BF81" s="18">
        <f>BD81+BE81</f>
        <v>0</v>
      </c>
      <c r="BG81" s="434">
        <v>0</v>
      </c>
      <c r="BH81" s="434">
        <v>0</v>
      </c>
      <c r="BI81" s="18">
        <f>BG81+BH81</f>
        <v>0</v>
      </c>
      <c r="BJ81" s="434">
        <v>0</v>
      </c>
      <c r="BK81" s="434">
        <v>0</v>
      </c>
      <c r="BL81" s="18">
        <f>BJ81+BK81</f>
        <v>0</v>
      </c>
      <c r="BM81" s="434">
        <v>0</v>
      </c>
      <c r="BN81" s="434">
        <v>0</v>
      </c>
      <c r="BO81" s="18">
        <f>BM81+BN81</f>
        <v>0</v>
      </c>
      <c r="BP81" s="434">
        <v>0</v>
      </c>
      <c r="BQ81" s="434">
        <v>0</v>
      </c>
      <c r="BR81" s="18">
        <f>BP81+BQ81</f>
        <v>0</v>
      </c>
    </row>
    <row r="82" spans="1:72" outlineLevel="1">
      <c r="B82" s="55"/>
      <c r="C82" s="60" t="s">
        <v>335</v>
      </c>
      <c r="D82" s="58" t="s">
        <v>58</v>
      </c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62"/>
      <c r="T82" s="98"/>
      <c r="U82" s="42"/>
      <c r="V82" s="337">
        <v>-67.8</v>
      </c>
      <c r="W82" s="337">
        <v>-65.5</v>
      </c>
      <c r="X82" s="23">
        <f t="shared" ref="X82:X90" si="331">Y82-W82</f>
        <v>-277.5</v>
      </c>
      <c r="Y82" s="337">
        <v>-343</v>
      </c>
      <c r="Z82" s="337">
        <v>-73.7</v>
      </c>
      <c r="AA82" s="23">
        <f t="shared" ref="AA82:AA90" si="332">AB82-Z82</f>
        <v>-222.2</v>
      </c>
      <c r="AB82" s="337">
        <v>-295.89999999999998</v>
      </c>
      <c r="AC82" s="337">
        <v>-43.6</v>
      </c>
      <c r="AD82" s="23">
        <f t="shared" ref="AD82:AD90" si="333">AE82-AC82</f>
        <v>0</v>
      </c>
      <c r="AE82" s="25">
        <v>-43.6</v>
      </c>
      <c r="AF82" s="25">
        <v>-39</v>
      </c>
      <c r="AG82" s="945">
        <v>0</v>
      </c>
      <c r="AH82" s="18">
        <f t="shared" si="328"/>
        <v>-39</v>
      </c>
      <c r="AI82" s="434">
        <v>0</v>
      </c>
      <c r="AJ82" s="434">
        <v>0</v>
      </c>
      <c r="AK82" s="18">
        <f>AI82+AJ82</f>
        <v>0</v>
      </c>
      <c r="AL82" s="434">
        <v>0</v>
      </c>
      <c r="AM82" s="434">
        <v>0</v>
      </c>
      <c r="AN82" s="18">
        <f>AL82+AM82</f>
        <v>0</v>
      </c>
      <c r="AO82" s="434">
        <v>0</v>
      </c>
      <c r="AP82" s="434">
        <v>0</v>
      </c>
      <c r="AQ82" s="18">
        <f>AO82+AP82</f>
        <v>0</v>
      </c>
      <c r="AR82" s="434">
        <v>0</v>
      </c>
      <c r="AS82" s="434">
        <v>0</v>
      </c>
      <c r="AT82" s="18">
        <f>AR82+AS82</f>
        <v>0</v>
      </c>
      <c r="AU82" s="434">
        <v>0</v>
      </c>
      <c r="AV82" s="434">
        <v>0</v>
      </c>
      <c r="AW82" s="18">
        <f>AU82+AV82</f>
        <v>0</v>
      </c>
      <c r="AX82" s="434">
        <v>0</v>
      </c>
      <c r="AY82" s="434">
        <v>0</v>
      </c>
      <c r="AZ82" s="18">
        <f>AX82+AY82</f>
        <v>0</v>
      </c>
      <c r="BA82" s="434">
        <v>0</v>
      </c>
      <c r="BB82" s="434">
        <v>0</v>
      </c>
      <c r="BC82" s="18">
        <f>BA82+BB82</f>
        <v>0</v>
      </c>
      <c r="BD82" s="434">
        <v>0</v>
      </c>
      <c r="BE82" s="434">
        <v>0</v>
      </c>
      <c r="BF82" s="18">
        <f>BD82+BE82</f>
        <v>0</v>
      </c>
      <c r="BG82" s="434">
        <v>0</v>
      </c>
      <c r="BH82" s="434">
        <v>0</v>
      </c>
      <c r="BI82" s="18">
        <f>BG82+BH82</f>
        <v>0</v>
      </c>
      <c r="BJ82" s="434">
        <v>0</v>
      </c>
      <c r="BK82" s="434">
        <v>0</v>
      </c>
      <c r="BL82" s="18">
        <f>BJ82+BK82</f>
        <v>0</v>
      </c>
      <c r="BM82" s="434">
        <v>0</v>
      </c>
      <c r="BN82" s="434">
        <v>0</v>
      </c>
      <c r="BO82" s="18">
        <f>BM82+BN82</f>
        <v>0</v>
      </c>
      <c r="BP82" s="434">
        <v>0</v>
      </c>
      <c r="BQ82" s="434">
        <v>0</v>
      </c>
      <c r="BR82" s="18">
        <f>BP82+BQ82</f>
        <v>0</v>
      </c>
    </row>
    <row r="83" spans="1:72" outlineLevel="1">
      <c r="B83" s="55"/>
      <c r="C83" s="60" t="s">
        <v>336</v>
      </c>
      <c r="D83" s="58" t="s">
        <v>58</v>
      </c>
      <c r="E83" s="58"/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62"/>
      <c r="T83" s="98"/>
      <c r="U83" s="42"/>
      <c r="V83" s="337">
        <v>-54.6</v>
      </c>
      <c r="W83" s="337">
        <v>-19.600000000000001</v>
      </c>
      <c r="X83" s="23">
        <f t="shared" si="331"/>
        <v>-58.1</v>
      </c>
      <c r="Y83" s="337">
        <v>-77.7</v>
      </c>
      <c r="Z83" s="337">
        <v>-17.3</v>
      </c>
      <c r="AA83" s="23">
        <f t="shared" si="332"/>
        <v>-35.900000000000006</v>
      </c>
      <c r="AB83" s="337">
        <v>-53.2</v>
      </c>
      <c r="AC83" s="337">
        <v>-22.1</v>
      </c>
      <c r="AD83" s="23">
        <f t="shared" si="333"/>
        <v>-18.100000000000001</v>
      </c>
      <c r="AE83" s="25">
        <v>-40.200000000000003</v>
      </c>
      <c r="AF83" s="25">
        <v>-32</v>
      </c>
      <c r="AG83" s="945">
        <v>0</v>
      </c>
      <c r="AH83" s="18">
        <f t="shared" si="328"/>
        <v>-32</v>
      </c>
      <c r="AI83" s="434">
        <v>0</v>
      </c>
      <c r="AJ83" s="434">
        <v>0</v>
      </c>
      <c r="AK83" s="18">
        <f>AI83+AJ83</f>
        <v>0</v>
      </c>
      <c r="AL83" s="434">
        <v>0</v>
      </c>
      <c r="AM83" s="434">
        <v>0</v>
      </c>
      <c r="AN83" s="18">
        <f>AL83+AM83</f>
        <v>0</v>
      </c>
      <c r="AO83" s="434">
        <v>0</v>
      </c>
      <c r="AP83" s="434">
        <v>0</v>
      </c>
      <c r="AQ83" s="18">
        <f>AO83+AP83</f>
        <v>0</v>
      </c>
      <c r="AR83" s="434">
        <v>0</v>
      </c>
      <c r="AS83" s="434">
        <v>0</v>
      </c>
      <c r="AT83" s="18">
        <f>AR83+AS83</f>
        <v>0</v>
      </c>
      <c r="AU83" s="434">
        <v>0</v>
      </c>
      <c r="AV83" s="434">
        <v>0</v>
      </c>
      <c r="AW83" s="18">
        <f>AU83+AV83</f>
        <v>0</v>
      </c>
      <c r="AX83" s="434">
        <v>0</v>
      </c>
      <c r="AY83" s="434">
        <v>0</v>
      </c>
      <c r="AZ83" s="18">
        <f>AX83+AY83</f>
        <v>0</v>
      </c>
      <c r="BA83" s="434">
        <v>0</v>
      </c>
      <c r="BB83" s="434">
        <v>0</v>
      </c>
      <c r="BC83" s="18">
        <f>BA83+BB83</f>
        <v>0</v>
      </c>
      <c r="BD83" s="434">
        <v>0</v>
      </c>
      <c r="BE83" s="434">
        <v>0</v>
      </c>
      <c r="BF83" s="18">
        <f>BD83+BE83</f>
        <v>0</v>
      </c>
      <c r="BG83" s="434">
        <v>0</v>
      </c>
      <c r="BH83" s="434">
        <v>0</v>
      </c>
      <c r="BI83" s="18">
        <f>BG83+BH83</f>
        <v>0</v>
      </c>
      <c r="BJ83" s="434">
        <v>0</v>
      </c>
      <c r="BK83" s="434">
        <v>0</v>
      </c>
      <c r="BL83" s="18">
        <f>BJ83+BK83</f>
        <v>0</v>
      </c>
      <c r="BM83" s="434">
        <v>0</v>
      </c>
      <c r="BN83" s="434">
        <v>0</v>
      </c>
      <c r="BO83" s="18">
        <f>BM83+BN83</f>
        <v>0</v>
      </c>
      <c r="BP83" s="434">
        <v>0</v>
      </c>
      <c r="BQ83" s="434">
        <v>0</v>
      </c>
      <c r="BR83" s="18">
        <f>BP83+BQ83</f>
        <v>0</v>
      </c>
    </row>
    <row r="84" spans="1:72" outlineLevel="1">
      <c r="B84" s="55"/>
      <c r="C84" s="60" t="s">
        <v>338</v>
      </c>
      <c r="D84" s="58" t="s">
        <v>58</v>
      </c>
      <c r="E84" s="58"/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62"/>
      <c r="T84" s="98"/>
      <c r="U84" s="42"/>
      <c r="V84" s="337">
        <f>3.5-3.1+83</f>
        <v>83.4</v>
      </c>
      <c r="W84" s="98">
        <f>29.9-1.2-1.5</f>
        <v>27.2</v>
      </c>
      <c r="X84" s="23">
        <f t="shared" si="331"/>
        <v>-30.9</v>
      </c>
      <c r="Y84" s="337">
        <f>-1.5-2.2</f>
        <v>-3.7</v>
      </c>
      <c r="Z84" s="98">
        <f>-0.8+32.9</f>
        <v>32.1</v>
      </c>
      <c r="AA84" s="23">
        <f t="shared" si="332"/>
        <v>-34.1</v>
      </c>
      <c r="AB84" s="337">
        <v>-2</v>
      </c>
      <c r="AC84" s="337">
        <f>-0.5-0.8</f>
        <v>-1.3</v>
      </c>
      <c r="AD84" s="23">
        <f t="shared" si="333"/>
        <v>-0.99999999999999978</v>
      </c>
      <c r="AE84" s="25">
        <f>-0.6-1.7</f>
        <v>-2.2999999999999998</v>
      </c>
      <c r="AF84" s="25">
        <f>-0.6-0.2</f>
        <v>-0.8</v>
      </c>
      <c r="AG84" s="945">
        <v>0</v>
      </c>
      <c r="AH84" s="18">
        <f t="shared" si="328"/>
        <v>-0.8</v>
      </c>
      <c r="AI84" s="434">
        <v>0</v>
      </c>
      <c r="AJ84" s="434">
        <v>0</v>
      </c>
      <c r="AK84" s="18">
        <f>AI84+AJ84</f>
        <v>0</v>
      </c>
      <c r="AL84" s="434">
        <v>0</v>
      </c>
      <c r="AM84" s="434">
        <v>0</v>
      </c>
      <c r="AN84" s="18">
        <f>AL84+AM84</f>
        <v>0</v>
      </c>
      <c r="AO84" s="434">
        <v>0</v>
      </c>
      <c r="AP84" s="434">
        <v>0</v>
      </c>
      <c r="AQ84" s="18">
        <f>AO84+AP84</f>
        <v>0</v>
      </c>
      <c r="AR84" s="434">
        <v>0</v>
      </c>
      <c r="AS84" s="434">
        <v>0</v>
      </c>
      <c r="AT84" s="18">
        <f>AR84+AS84</f>
        <v>0</v>
      </c>
      <c r="AU84" s="434">
        <v>0</v>
      </c>
      <c r="AV84" s="434">
        <v>0</v>
      </c>
      <c r="AW84" s="18">
        <f>AU84+AV84</f>
        <v>0</v>
      </c>
      <c r="AX84" s="434">
        <v>0</v>
      </c>
      <c r="AY84" s="434">
        <v>0</v>
      </c>
      <c r="AZ84" s="18">
        <f>AX84+AY84</f>
        <v>0</v>
      </c>
      <c r="BA84" s="434">
        <v>0</v>
      </c>
      <c r="BB84" s="434">
        <v>0</v>
      </c>
      <c r="BC84" s="18">
        <f>BA84+BB84</f>
        <v>0</v>
      </c>
      <c r="BD84" s="434">
        <v>0</v>
      </c>
      <c r="BE84" s="434">
        <v>0</v>
      </c>
      <c r="BF84" s="18">
        <f>BD84+BE84</f>
        <v>0</v>
      </c>
      <c r="BG84" s="434">
        <v>0</v>
      </c>
      <c r="BH84" s="434">
        <v>0</v>
      </c>
      <c r="BI84" s="18">
        <f>BG84+BH84</f>
        <v>0</v>
      </c>
      <c r="BJ84" s="434">
        <v>0</v>
      </c>
      <c r="BK84" s="434">
        <v>0</v>
      </c>
      <c r="BL84" s="18">
        <f>BJ84+BK84</f>
        <v>0</v>
      </c>
      <c r="BM84" s="434">
        <v>0</v>
      </c>
      <c r="BN84" s="434">
        <v>0</v>
      </c>
      <c r="BO84" s="18">
        <f>BM84+BN84</f>
        <v>0</v>
      </c>
      <c r="BP84" s="434">
        <v>0</v>
      </c>
      <c r="BQ84" s="434">
        <v>0</v>
      </c>
      <c r="BR84" s="18">
        <f>BP84+BQ84</f>
        <v>0</v>
      </c>
    </row>
    <row r="85" spans="1:72" outlineLevel="1">
      <c r="B85" s="55"/>
      <c r="C85" s="60" t="s">
        <v>324</v>
      </c>
      <c r="D85" s="58" t="s">
        <v>58</v>
      </c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62"/>
      <c r="T85" s="98"/>
      <c r="U85" s="42"/>
      <c r="V85" s="337">
        <v>-460.2</v>
      </c>
      <c r="W85" s="337">
        <v>-253.2</v>
      </c>
      <c r="X85" s="23">
        <f t="shared" si="331"/>
        <v>-226.90000000000003</v>
      </c>
      <c r="Y85" s="337">
        <v>-480.1</v>
      </c>
      <c r="Z85" s="337">
        <v>-257.39999999999998</v>
      </c>
      <c r="AA85" s="23">
        <f t="shared" si="332"/>
        <v>-222.90000000000003</v>
      </c>
      <c r="AB85" s="337">
        <v>-480.3</v>
      </c>
      <c r="AC85" s="337">
        <v>-258</v>
      </c>
      <c r="AD85" s="23">
        <f t="shared" si="333"/>
        <v>-231.10000000000002</v>
      </c>
      <c r="AE85" s="25">
        <v>-489.1</v>
      </c>
      <c r="AF85" s="25">
        <v>-282.2</v>
      </c>
      <c r="AG85" s="935">
        <f>AG187</f>
        <v>-242.93684210526317</v>
      </c>
      <c r="AH85" s="106">
        <f t="shared" si="328"/>
        <v>-525.13684210526321</v>
      </c>
      <c r="AI85" s="106">
        <f>AI187</f>
        <v>-284.39514936071464</v>
      </c>
      <c r="AJ85" s="106">
        <f>AJ187</f>
        <v>-269.31815981439684</v>
      </c>
      <c r="AK85" s="106">
        <f>AI85+AJ85</f>
        <v>-553.71330917511148</v>
      </c>
      <c r="AL85" s="106">
        <f>AL187</f>
        <v>-312.85997967555585</v>
      </c>
      <c r="AM85" s="106">
        <f>AM187</f>
        <v>-300.67703651568064</v>
      </c>
      <c r="AN85" s="106">
        <f>AL85+AM85</f>
        <v>-613.53701619123649</v>
      </c>
      <c r="AO85" s="106">
        <f>AO187</f>
        <v>-333.99062925458054</v>
      </c>
      <c r="AP85" s="106">
        <f>AP187</f>
        <v>-315.7661780307663</v>
      </c>
      <c r="AQ85" s="106">
        <f>AO85+AP85</f>
        <v>-649.75680728534689</v>
      </c>
      <c r="AR85" s="106">
        <f>AR187</f>
        <v>-350.10009783699132</v>
      </c>
      <c r="AS85" s="106">
        <f>AS187</f>
        <v>-326.32950288146338</v>
      </c>
      <c r="AT85" s="106">
        <f>AR85+AS85</f>
        <v>-676.42960071845471</v>
      </c>
      <c r="AU85" s="106">
        <f>AU187</f>
        <v>-361.11921063906453</v>
      </c>
      <c r="AV85" s="106">
        <f>AV187</f>
        <v>-337.19447635302794</v>
      </c>
      <c r="AW85" s="106">
        <f>AU85+AV85</f>
        <v>-698.31368699209247</v>
      </c>
      <c r="AX85" s="106">
        <f>AX187</f>
        <v>-372.49252214728693</v>
      </c>
      <c r="AY85" s="106">
        <f>AY187</f>
        <v>-348.41062612192115</v>
      </c>
      <c r="AZ85" s="106">
        <f>AX85+AY85</f>
        <v>-720.90314826920803</v>
      </c>
      <c r="BA85" s="106">
        <f>BA187</f>
        <v>-384.23205327366679</v>
      </c>
      <c r="BB85" s="106">
        <f>BB187</f>
        <v>-359.9896225334146</v>
      </c>
      <c r="BC85" s="106">
        <f>BA85+BB85</f>
        <v>-744.2216758070814</v>
      </c>
      <c r="BD85" s="106">
        <f>BD187</f>
        <v>-395.83162680645671</v>
      </c>
      <c r="BE85" s="106">
        <f>BE187</f>
        <v>-370.88339276588908</v>
      </c>
      <c r="BF85" s="106">
        <f>BD85+BE85</f>
        <v>-766.7150195723458</v>
      </c>
      <c r="BG85" s="106">
        <f>BG187</f>
        <v>-406.50194087540513</v>
      </c>
      <c r="BH85" s="106">
        <f>BH187</f>
        <v>-380.53966368463972</v>
      </c>
      <c r="BI85" s="106">
        <f>BG85+BH85</f>
        <v>-787.04160456004479</v>
      </c>
      <c r="BJ85" s="106">
        <f>BJ187</f>
        <v>-416.7255891492776</v>
      </c>
      <c r="BK85" s="106">
        <f>BK187</f>
        <v>-390.49972318800366</v>
      </c>
      <c r="BL85" s="106">
        <f>BJ85+BK85</f>
        <v>-807.22531233728125</v>
      </c>
      <c r="BM85" s="106">
        <f>BM187</f>
        <v>-427.2740987111149</v>
      </c>
      <c r="BN85" s="106">
        <f>BN187</f>
        <v>-400.77342653951757</v>
      </c>
      <c r="BO85" s="106">
        <f>BM85+BN85</f>
        <v>-828.04752525063248</v>
      </c>
      <c r="BP85" s="106">
        <f>BP187</f>
        <v>-438.13825535352663</v>
      </c>
      <c r="BQ85" s="106">
        <f>BQ187</f>
        <v>-411.37580978421914</v>
      </c>
      <c r="BR85" s="106">
        <f>BP85+BQ85</f>
        <v>-849.51406513774577</v>
      </c>
    </row>
    <row r="86" spans="1:72" s="8" customFormat="1" outlineLevel="1">
      <c r="B86" s="55"/>
      <c r="C86" s="55" t="s">
        <v>318</v>
      </c>
      <c r="D86" s="56" t="s">
        <v>58</v>
      </c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78"/>
      <c r="T86" s="379"/>
      <c r="U86" s="378"/>
      <c r="V86" s="379">
        <f t="shared" ref="V86:AE86" si="334">V80+V81+V82+V83+V84+V85</f>
        <v>-488.60000000000036</v>
      </c>
      <c r="W86" s="64">
        <f t="shared" si="334"/>
        <v>-222.49999999999963</v>
      </c>
      <c r="X86" s="339">
        <f t="shared" si="334"/>
        <v>-250.80000000000024</v>
      </c>
      <c r="Y86" s="64">
        <f t="shared" si="334"/>
        <v>-473.29999999999984</v>
      </c>
      <c r="Z86" s="64">
        <f t="shared" si="334"/>
        <v>-70.499999999999972</v>
      </c>
      <c r="AA86" s="339">
        <f t="shared" si="334"/>
        <v>-56.400000000000034</v>
      </c>
      <c r="AB86" s="64">
        <f t="shared" si="334"/>
        <v>-126.89999999999998</v>
      </c>
      <c r="AC86" s="64">
        <f t="shared" si="334"/>
        <v>139.39999999999986</v>
      </c>
      <c r="AD86" s="339">
        <f t="shared" si="334"/>
        <v>-476.39999999999986</v>
      </c>
      <c r="AE86" s="341">
        <f t="shared" si="334"/>
        <v>-336.99999999999994</v>
      </c>
      <c r="AF86" s="341">
        <f t="shared" ref="AF86:AK86" si="335">AF80+AF81+AF82+AF83+AF84+AF85</f>
        <v>-275.69999999999987</v>
      </c>
      <c r="AG86" s="934">
        <f t="shared" ref="AG86" si="336">AG80+AG81+AG82+AG83+AG84+AG85</f>
        <v>-633.56034635879359</v>
      </c>
      <c r="AH86" s="64">
        <f t="shared" si="335"/>
        <v>-909.26034635879364</v>
      </c>
      <c r="AI86" s="64">
        <f t="shared" si="335"/>
        <v>-140.95191696066854</v>
      </c>
      <c r="AJ86" s="64">
        <f t="shared" si="335"/>
        <v>-699.37799020648026</v>
      </c>
      <c r="AK86" s="64">
        <f t="shared" si="335"/>
        <v>-840.3299071671488</v>
      </c>
      <c r="AL86" s="64">
        <f t="shared" ref="AL86:BR86" si="337">AL80+AL81+AL82+AL83+AL84+AL85</f>
        <v>-161.53764384192951</v>
      </c>
      <c r="AM86" s="64">
        <f t="shared" si="337"/>
        <v>-755.10695965390073</v>
      </c>
      <c r="AN86" s="64">
        <f t="shared" si="337"/>
        <v>-916.64460349583021</v>
      </c>
      <c r="AO86" s="64">
        <f t="shared" si="337"/>
        <v>-180.40154459017282</v>
      </c>
      <c r="AP86" s="64">
        <f t="shared" si="337"/>
        <v>-777.96288391708345</v>
      </c>
      <c r="AQ86" s="64">
        <f t="shared" si="337"/>
        <v>-958.36442850725621</v>
      </c>
      <c r="AR86" s="64">
        <f t="shared" si="337"/>
        <v>-190.35961424336691</v>
      </c>
      <c r="AS86" s="64">
        <f t="shared" si="337"/>
        <v>-798.50521959433695</v>
      </c>
      <c r="AT86" s="64">
        <f t="shared" si="337"/>
        <v>-988.86483383770383</v>
      </c>
      <c r="AU86" s="64">
        <f t="shared" si="337"/>
        <v>-200.72815689954354</v>
      </c>
      <c r="AV86" s="64">
        <f t="shared" si="337"/>
        <v>-819.70835441747568</v>
      </c>
      <c r="AW86" s="64">
        <f t="shared" si="337"/>
        <v>-1020.4365113170192</v>
      </c>
      <c r="AX86" s="64">
        <f t="shared" si="337"/>
        <v>-211.43001993509466</v>
      </c>
      <c r="AY86" s="64">
        <f t="shared" si="337"/>
        <v>-841.59455568152123</v>
      </c>
      <c r="AZ86" s="64">
        <f t="shared" si="337"/>
        <v>-1053.0245756166159</v>
      </c>
      <c r="BA86" s="64">
        <f t="shared" si="337"/>
        <v>-222.47626810176283</v>
      </c>
      <c r="BB86" s="64">
        <f t="shared" si="337"/>
        <v>-724.5106121416643</v>
      </c>
      <c r="BC86" s="64">
        <f t="shared" si="337"/>
        <v>-946.98688024342698</v>
      </c>
      <c r="BD86" s="64">
        <f t="shared" si="337"/>
        <v>-232.42042790949222</v>
      </c>
      <c r="BE86" s="64">
        <f t="shared" si="337"/>
        <v>-534.29459166285346</v>
      </c>
      <c r="BF86" s="64">
        <f t="shared" si="337"/>
        <v>-766.7150195723458</v>
      </c>
      <c r="BG86" s="64">
        <f t="shared" si="337"/>
        <v>-240.49763205390613</v>
      </c>
      <c r="BH86" s="64">
        <f t="shared" si="337"/>
        <v>-546.54397250613874</v>
      </c>
      <c r="BI86" s="64">
        <f t="shared" si="337"/>
        <v>-787.04160456004479</v>
      </c>
      <c r="BJ86" s="64">
        <f t="shared" si="337"/>
        <v>-248.82182153674623</v>
      </c>
      <c r="BK86" s="64">
        <f t="shared" si="337"/>
        <v>-558.40349080053488</v>
      </c>
      <c r="BL86" s="64">
        <f t="shared" si="337"/>
        <v>-807.22531233728125</v>
      </c>
      <c r="BM86" s="64">
        <f t="shared" si="337"/>
        <v>-257.40071481642002</v>
      </c>
      <c r="BN86" s="64">
        <f t="shared" si="337"/>
        <v>-570.64681043421228</v>
      </c>
      <c r="BO86" s="64">
        <f t="shared" si="337"/>
        <v>-828.04752525063248</v>
      </c>
      <c r="BP86" s="64">
        <f t="shared" si="337"/>
        <v>-272.594129344821</v>
      </c>
      <c r="BQ86" s="64">
        <f t="shared" si="337"/>
        <v>-576.91993579292466</v>
      </c>
      <c r="BR86" s="64">
        <f t="shared" si="337"/>
        <v>-849.51406513774577</v>
      </c>
    </row>
    <row r="87" spans="1:72" outlineLevel="1">
      <c r="B87" s="55"/>
      <c r="C87" s="60" t="s">
        <v>319</v>
      </c>
      <c r="D87" s="58" t="s">
        <v>58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62"/>
      <c r="T87" s="380"/>
      <c r="U87" s="42"/>
      <c r="V87" s="23">
        <f>155.8+40.6</f>
        <v>196.4</v>
      </c>
      <c r="W87" s="23">
        <f>SUM(W69,W76,W86)</f>
        <v>-146.89999999999961</v>
      </c>
      <c r="X87" s="23">
        <f t="shared" si="331"/>
        <v>340.5999999999998</v>
      </c>
      <c r="Y87" s="23">
        <f>SUM(Y69,Y76,Y86)</f>
        <v>193.70000000000016</v>
      </c>
      <c r="Z87" s="23">
        <f>SUM(Z69,Z76,Z86)</f>
        <v>-103.59999999999994</v>
      </c>
      <c r="AA87" s="23">
        <f t="shared" si="332"/>
        <v>79.100000000000051</v>
      </c>
      <c r="AB87" s="23">
        <f>SUM(AB69,AB76,AB86)</f>
        <v>-24.499999999999886</v>
      </c>
      <c r="AC87" s="23">
        <f>SUM(AC69,AC76,AC86)</f>
        <v>-104.60000000000016</v>
      </c>
      <c r="AD87" s="23">
        <f t="shared" si="333"/>
        <v>162.40000000000029</v>
      </c>
      <c r="AE87" s="19">
        <f>SUM(AE69,AE76,AE86)</f>
        <v>57.800000000000125</v>
      </c>
      <c r="AF87" s="19">
        <f>SUM(AF69,AF76,AF86)</f>
        <v>-191.19999999999987</v>
      </c>
      <c r="AG87" s="940">
        <f t="shared" ref="AG87" si="338">AG91-AG88</f>
        <v>0</v>
      </c>
      <c r="AH87" s="142">
        <f>SUM(AH69,AH76,AH86)</f>
        <v>-191.19999999999982</v>
      </c>
      <c r="AI87" s="142">
        <f t="shared" ref="AI87:AK87" si="339">AI91-AI88</f>
        <v>0</v>
      </c>
      <c r="AJ87" s="142">
        <f t="shared" si="339"/>
        <v>0</v>
      </c>
      <c r="AK87" s="142">
        <f t="shared" si="339"/>
        <v>0</v>
      </c>
      <c r="AL87" s="142">
        <f t="shared" ref="AL87:BR87" si="340">AL91-AL88</f>
        <v>0</v>
      </c>
      <c r="AM87" s="142">
        <f t="shared" si="340"/>
        <v>0</v>
      </c>
      <c r="AN87" s="142">
        <f t="shared" si="340"/>
        <v>0</v>
      </c>
      <c r="AO87" s="142">
        <f t="shared" si="340"/>
        <v>0</v>
      </c>
      <c r="AP87" s="142">
        <f t="shared" si="340"/>
        <v>0</v>
      </c>
      <c r="AQ87" s="142">
        <f t="shared" si="340"/>
        <v>0</v>
      </c>
      <c r="AR87" s="142">
        <f t="shared" si="340"/>
        <v>0</v>
      </c>
      <c r="AS87" s="142">
        <f t="shared" si="340"/>
        <v>0</v>
      </c>
      <c r="AT87" s="142">
        <f t="shared" si="340"/>
        <v>0</v>
      </c>
      <c r="AU87" s="142">
        <f t="shared" si="340"/>
        <v>0</v>
      </c>
      <c r="AV87" s="142">
        <f t="shared" si="340"/>
        <v>0</v>
      </c>
      <c r="AW87" s="142">
        <f t="shared" si="340"/>
        <v>0</v>
      </c>
      <c r="AX87" s="142">
        <f t="shared" si="340"/>
        <v>0</v>
      </c>
      <c r="AY87" s="142">
        <f t="shared" si="340"/>
        <v>0</v>
      </c>
      <c r="AZ87" s="142">
        <f t="shared" si="340"/>
        <v>0</v>
      </c>
      <c r="BA87" s="142">
        <f t="shared" si="340"/>
        <v>0</v>
      </c>
      <c r="BB87" s="142">
        <f t="shared" si="340"/>
        <v>138.9182022698318</v>
      </c>
      <c r="BC87" s="142">
        <f t="shared" si="340"/>
        <v>138.9182022698318</v>
      </c>
      <c r="BD87" s="142">
        <f t="shared" si="340"/>
        <v>0</v>
      </c>
      <c r="BE87" s="142">
        <f t="shared" si="340"/>
        <v>349.76787452935162</v>
      </c>
      <c r="BF87" s="142">
        <f t="shared" si="340"/>
        <v>349.76787452935162</v>
      </c>
      <c r="BG87" s="142">
        <f t="shared" si="340"/>
        <v>0</v>
      </c>
      <c r="BH87" s="142">
        <f t="shared" si="340"/>
        <v>357.66224077689947</v>
      </c>
      <c r="BI87" s="142">
        <f t="shared" si="340"/>
        <v>357.66224077689947</v>
      </c>
      <c r="BJ87" s="142">
        <f t="shared" si="340"/>
        <v>0</v>
      </c>
      <c r="BK87" s="142">
        <f t="shared" si="340"/>
        <v>366.5898206126933</v>
      </c>
      <c r="BL87" s="142">
        <f t="shared" si="340"/>
        <v>366.5898206126933</v>
      </c>
      <c r="BM87" s="142">
        <f t="shared" si="340"/>
        <v>0</v>
      </c>
      <c r="BN87" s="142">
        <f t="shared" si="340"/>
        <v>369.42398678851646</v>
      </c>
      <c r="BO87" s="142">
        <f t="shared" si="340"/>
        <v>369.42398678851646</v>
      </c>
      <c r="BP87" s="142">
        <f t="shared" si="340"/>
        <v>0</v>
      </c>
      <c r="BQ87" s="142">
        <f t="shared" si="340"/>
        <v>380.13965166046614</v>
      </c>
      <c r="BR87" s="142">
        <f t="shared" si="340"/>
        <v>380.13965166046614</v>
      </c>
    </row>
    <row r="88" spans="1:72" outlineLevel="1">
      <c r="B88" s="55"/>
      <c r="C88" s="60" t="s">
        <v>320</v>
      </c>
      <c r="D88" s="58" t="s">
        <v>58</v>
      </c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62"/>
      <c r="T88" s="98"/>
      <c r="U88" s="42"/>
      <c r="V88" s="337">
        <v>339.7</v>
      </c>
      <c r="W88" s="337">
        <v>505.1</v>
      </c>
      <c r="X88" s="23">
        <f>W91</f>
        <v>404.50000000000034</v>
      </c>
      <c r="Y88" s="337">
        <v>505.2</v>
      </c>
      <c r="Z88" s="337">
        <v>697.5</v>
      </c>
      <c r="AA88" s="23">
        <f>Z91</f>
        <v>488.90000000000009</v>
      </c>
      <c r="AB88" s="25">
        <v>697.5</v>
      </c>
      <c r="AC88" s="25">
        <v>513.4</v>
      </c>
      <c r="AD88" s="23">
        <f>AC91</f>
        <v>386.5999999999998</v>
      </c>
      <c r="AE88" s="25">
        <v>513.4</v>
      </c>
      <c r="AF88" s="25">
        <v>557.70000000000005</v>
      </c>
      <c r="AG88" s="933">
        <f>AF91</f>
        <v>419.90000000000015</v>
      </c>
      <c r="AH88" s="347">
        <f>AE91</f>
        <v>561.5</v>
      </c>
      <c r="AI88" s="18">
        <f>AH91</f>
        <v>419.9</v>
      </c>
      <c r="AJ88" s="18">
        <f>AI91</f>
        <v>419.9</v>
      </c>
      <c r="AK88" s="18">
        <f>AH91</f>
        <v>419.9</v>
      </c>
      <c r="AL88" s="18">
        <f>AK91</f>
        <v>419.9</v>
      </c>
      <c r="AM88" s="18">
        <f>AL91</f>
        <v>419.9</v>
      </c>
      <c r="AN88" s="18">
        <f>AK91</f>
        <v>419.9</v>
      </c>
      <c r="AO88" s="18">
        <f>AN91</f>
        <v>419.9</v>
      </c>
      <c r="AP88" s="18">
        <f>AO91</f>
        <v>419.9</v>
      </c>
      <c r="AQ88" s="18">
        <f>AN91</f>
        <v>419.9</v>
      </c>
      <c r="AR88" s="18">
        <f>AQ91</f>
        <v>419.9</v>
      </c>
      <c r="AS88" s="18">
        <f>AR91</f>
        <v>419.9</v>
      </c>
      <c r="AT88" s="18">
        <f>AQ91</f>
        <v>419.9</v>
      </c>
      <c r="AU88" s="18">
        <f>AT91</f>
        <v>419.9</v>
      </c>
      <c r="AV88" s="18">
        <f>AU91</f>
        <v>419.9</v>
      </c>
      <c r="AW88" s="18">
        <f>AT91</f>
        <v>419.9</v>
      </c>
      <c r="AX88" s="18">
        <f>AW91</f>
        <v>419.9</v>
      </c>
      <c r="AY88" s="18">
        <f>AX91</f>
        <v>419.9</v>
      </c>
      <c r="AZ88" s="18">
        <f>AW91</f>
        <v>419.9</v>
      </c>
      <c r="BA88" s="18">
        <f>AZ91</f>
        <v>419.9</v>
      </c>
      <c r="BB88" s="18">
        <f>BA91</f>
        <v>419.9</v>
      </c>
      <c r="BC88" s="18">
        <f>AZ91</f>
        <v>419.9</v>
      </c>
      <c r="BD88" s="18">
        <f>BC91</f>
        <v>558.81820226983177</v>
      </c>
      <c r="BE88" s="18">
        <f>BD91</f>
        <v>558.81820226983177</v>
      </c>
      <c r="BF88" s="18">
        <f>BC91</f>
        <v>558.81820226983177</v>
      </c>
      <c r="BG88" s="18">
        <f>BF91</f>
        <v>908.58607679918339</v>
      </c>
      <c r="BH88" s="18">
        <f>BG91</f>
        <v>908.58607679918339</v>
      </c>
      <c r="BI88" s="18">
        <f>BF91</f>
        <v>908.58607679918339</v>
      </c>
      <c r="BJ88" s="18">
        <f>BI91</f>
        <v>1266.2483175760829</v>
      </c>
      <c r="BK88" s="18">
        <f>BJ91</f>
        <v>1266.2483175760829</v>
      </c>
      <c r="BL88" s="18">
        <f>BI91</f>
        <v>1266.2483175760829</v>
      </c>
      <c r="BM88" s="18">
        <f>BL91</f>
        <v>1632.8381381887762</v>
      </c>
      <c r="BN88" s="18">
        <f>BM91</f>
        <v>1632.8381381887762</v>
      </c>
      <c r="BO88" s="18">
        <f>BL91</f>
        <v>1632.8381381887762</v>
      </c>
      <c r="BP88" s="18">
        <f>BO91</f>
        <v>2002.2621249772926</v>
      </c>
      <c r="BQ88" s="18">
        <f>BP91</f>
        <v>2002.2621249772926</v>
      </c>
      <c r="BR88" s="18">
        <f>BO91</f>
        <v>2002.2621249772926</v>
      </c>
    </row>
    <row r="89" spans="1:72" outlineLevel="1">
      <c r="B89" s="55"/>
      <c r="C89" s="60" t="s">
        <v>321</v>
      </c>
      <c r="D89" s="58" t="s">
        <v>58</v>
      </c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62"/>
      <c r="T89" s="98"/>
      <c r="U89" s="42"/>
      <c r="V89" s="337">
        <v>28.9</v>
      </c>
      <c r="W89" s="337">
        <v>-7.1</v>
      </c>
      <c r="X89" s="23">
        <f t="shared" si="331"/>
        <v>5.6999999999999993</v>
      </c>
      <c r="Y89" s="337">
        <v>-1.4</v>
      </c>
      <c r="Z89" s="337">
        <v>-140.1</v>
      </c>
      <c r="AA89" s="23">
        <f t="shared" si="332"/>
        <v>-19.5</v>
      </c>
      <c r="AB89" s="25">
        <v>-159.6</v>
      </c>
      <c r="AC89" s="25">
        <v>-30.6</v>
      </c>
      <c r="AD89" s="23">
        <f t="shared" si="333"/>
        <v>17.100000000000001</v>
      </c>
      <c r="AE89" s="25">
        <v>-13.5</v>
      </c>
      <c r="AF89" s="25">
        <v>-4.8</v>
      </c>
      <c r="AG89" s="945">
        <v>0</v>
      </c>
      <c r="AH89" s="18">
        <f>AF89+AG89</f>
        <v>-4.8</v>
      </c>
      <c r="AI89" s="434">
        <v>0</v>
      </c>
      <c r="AJ89" s="434">
        <v>0</v>
      </c>
      <c r="AK89" s="18">
        <f>AI89+AJ89</f>
        <v>0</v>
      </c>
      <c r="AL89" s="434">
        <v>0</v>
      </c>
      <c r="AM89" s="434">
        <v>0</v>
      </c>
      <c r="AN89" s="18">
        <f>AL89+AM89</f>
        <v>0</v>
      </c>
      <c r="AO89" s="434">
        <v>0</v>
      </c>
      <c r="AP89" s="434">
        <v>0</v>
      </c>
      <c r="AQ89" s="18">
        <f>AO89+AP89</f>
        <v>0</v>
      </c>
      <c r="AR89" s="434">
        <v>0</v>
      </c>
      <c r="AS89" s="434">
        <v>0</v>
      </c>
      <c r="AT89" s="18">
        <f>AR89+AS89</f>
        <v>0</v>
      </c>
      <c r="AU89" s="434">
        <v>0</v>
      </c>
      <c r="AV89" s="434">
        <v>0</v>
      </c>
      <c r="AW89" s="18">
        <f>AU89+AV89</f>
        <v>0</v>
      </c>
      <c r="AX89" s="434">
        <v>0</v>
      </c>
      <c r="AY89" s="434">
        <v>0</v>
      </c>
      <c r="AZ89" s="18">
        <f>AX89+AY89</f>
        <v>0</v>
      </c>
      <c r="BA89" s="434">
        <v>0</v>
      </c>
      <c r="BB89" s="434">
        <v>0</v>
      </c>
      <c r="BC89" s="18">
        <f>BA89+BB89</f>
        <v>0</v>
      </c>
      <c r="BD89" s="434">
        <v>0</v>
      </c>
      <c r="BE89" s="434">
        <v>0</v>
      </c>
      <c r="BF89" s="18">
        <f>BD89+BE89</f>
        <v>0</v>
      </c>
      <c r="BG89" s="434">
        <v>0</v>
      </c>
      <c r="BH89" s="434">
        <v>0</v>
      </c>
      <c r="BI89" s="18">
        <f>BG89+BH89</f>
        <v>0</v>
      </c>
      <c r="BJ89" s="434">
        <v>0</v>
      </c>
      <c r="BK89" s="434">
        <v>0</v>
      </c>
      <c r="BL89" s="18">
        <f>BJ89+BK89</f>
        <v>0</v>
      </c>
      <c r="BM89" s="434">
        <v>0</v>
      </c>
      <c r="BN89" s="434">
        <v>0</v>
      </c>
      <c r="BO89" s="18">
        <f>BM89+BN89</f>
        <v>0</v>
      </c>
      <c r="BP89" s="434">
        <v>0</v>
      </c>
      <c r="BQ89" s="434">
        <v>0</v>
      </c>
      <c r="BR89" s="18">
        <f>BP89+BQ89</f>
        <v>0</v>
      </c>
    </row>
    <row r="90" spans="1:72" outlineLevel="1">
      <c r="B90" s="55"/>
      <c r="C90" s="60" t="s">
        <v>322</v>
      </c>
      <c r="D90" s="58" t="s">
        <v>58</v>
      </c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62"/>
      <c r="T90" s="98"/>
      <c r="U90" s="42"/>
      <c r="V90" s="98">
        <f>-59.8+4.5</f>
        <v>-55.3</v>
      </c>
      <c r="W90" s="337">
        <v>53.4</v>
      </c>
      <c r="X90" s="23">
        <f t="shared" si="331"/>
        <v>-46</v>
      </c>
      <c r="Y90" s="337">
        <v>7.4</v>
      </c>
      <c r="Z90" s="337">
        <v>35.1</v>
      </c>
      <c r="AA90" s="23">
        <f t="shared" si="332"/>
        <v>-32.800000000000004</v>
      </c>
      <c r="AB90" s="345">
        <v>2.2999999999999998</v>
      </c>
      <c r="AC90" s="25">
        <v>8.4</v>
      </c>
      <c r="AD90" s="23">
        <f t="shared" si="333"/>
        <v>-4.6000000000000005</v>
      </c>
      <c r="AE90" s="25">
        <v>3.8</v>
      </c>
      <c r="AF90" s="25">
        <v>58.2</v>
      </c>
      <c r="AG90" s="944">
        <f>+AH90-AF90</f>
        <v>-3.8000000000002103</v>
      </c>
      <c r="AH90" s="347">
        <f>+AH91-AH87-AH88-AH89</f>
        <v>54.399999999999793</v>
      </c>
      <c r="AI90" s="434">
        <v>0</v>
      </c>
      <c r="AJ90" s="434">
        <v>0</v>
      </c>
      <c r="AK90" s="18">
        <f>AI90+AJ90</f>
        <v>0</v>
      </c>
      <c r="AL90" s="434">
        <v>0</v>
      </c>
      <c r="AM90" s="434">
        <v>0</v>
      </c>
      <c r="AN90" s="18">
        <f>AL90+AM90</f>
        <v>0</v>
      </c>
      <c r="AO90" s="434">
        <v>0</v>
      </c>
      <c r="AP90" s="434">
        <v>0</v>
      </c>
      <c r="AQ90" s="18">
        <f>AO90+AP90</f>
        <v>0</v>
      </c>
      <c r="AR90" s="434">
        <v>0</v>
      </c>
      <c r="AS90" s="434">
        <v>0</v>
      </c>
      <c r="AT90" s="18">
        <f>AR90+AS90</f>
        <v>0</v>
      </c>
      <c r="AU90" s="434">
        <v>0</v>
      </c>
      <c r="AV90" s="434">
        <v>0</v>
      </c>
      <c r="AW90" s="18">
        <f>AU90+AV90</f>
        <v>0</v>
      </c>
      <c r="AX90" s="434">
        <v>0</v>
      </c>
      <c r="AY90" s="434">
        <v>0</v>
      </c>
      <c r="AZ90" s="18">
        <f>AX90+AY90</f>
        <v>0</v>
      </c>
      <c r="BA90" s="434">
        <v>0</v>
      </c>
      <c r="BB90" s="434">
        <v>0</v>
      </c>
      <c r="BC90" s="18">
        <f>BA90+BB90</f>
        <v>0</v>
      </c>
      <c r="BD90" s="434">
        <v>0</v>
      </c>
      <c r="BE90" s="434">
        <v>0</v>
      </c>
      <c r="BF90" s="18">
        <f>BD90+BE90</f>
        <v>0</v>
      </c>
      <c r="BG90" s="434">
        <v>0</v>
      </c>
      <c r="BH90" s="434">
        <v>0</v>
      </c>
      <c r="BI90" s="18">
        <f>BG90+BH90</f>
        <v>0</v>
      </c>
      <c r="BJ90" s="434">
        <v>0</v>
      </c>
      <c r="BK90" s="434">
        <v>0</v>
      </c>
      <c r="BL90" s="18">
        <f>BJ90+BK90</f>
        <v>0</v>
      </c>
      <c r="BM90" s="434">
        <v>0</v>
      </c>
      <c r="BN90" s="434">
        <v>0</v>
      </c>
      <c r="BO90" s="18">
        <f>BM90+BN90</f>
        <v>0</v>
      </c>
      <c r="BP90" s="434">
        <v>0</v>
      </c>
      <c r="BQ90" s="434">
        <v>0</v>
      </c>
      <c r="BR90" s="18">
        <f>BP90+BQ90</f>
        <v>0</v>
      </c>
    </row>
    <row r="91" spans="1:72" s="8" customFormat="1" outlineLevel="1">
      <c r="B91" s="55"/>
      <c r="C91" s="55" t="s">
        <v>323</v>
      </c>
      <c r="D91" s="56" t="s">
        <v>58</v>
      </c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78"/>
      <c r="T91" s="375"/>
      <c r="U91" s="379"/>
      <c r="V91" s="64">
        <f t="shared" ref="V91:AF91" si="341">V87+V88+V89+V90</f>
        <v>509.7</v>
      </c>
      <c r="W91" s="64">
        <f t="shared" si="341"/>
        <v>404.50000000000034</v>
      </c>
      <c r="X91" s="64">
        <f t="shared" si="341"/>
        <v>704.80000000000018</v>
      </c>
      <c r="Y91" s="64">
        <f t="shared" si="341"/>
        <v>704.90000000000009</v>
      </c>
      <c r="Z91" s="64">
        <f t="shared" si="341"/>
        <v>488.90000000000009</v>
      </c>
      <c r="AA91" s="64">
        <f t="shared" si="341"/>
        <v>515.70000000000016</v>
      </c>
      <c r="AB91" s="64">
        <f t="shared" si="341"/>
        <v>515.70000000000005</v>
      </c>
      <c r="AC91" s="64">
        <f t="shared" si="341"/>
        <v>386.5999999999998</v>
      </c>
      <c r="AD91" s="64">
        <f t="shared" si="341"/>
        <v>561.50000000000011</v>
      </c>
      <c r="AE91" s="341">
        <f t="shared" si="341"/>
        <v>561.5</v>
      </c>
      <c r="AF91" s="341">
        <f t="shared" si="341"/>
        <v>419.90000000000015</v>
      </c>
      <c r="AG91" s="934">
        <f t="shared" ref="AG91" si="342">AG21</f>
        <v>419.9</v>
      </c>
      <c r="AH91" s="64">
        <f t="shared" ref="AH91:AJ91" si="343">AH21</f>
        <v>419.9</v>
      </c>
      <c r="AI91" s="64">
        <f t="shared" si="343"/>
        <v>419.9</v>
      </c>
      <c r="AJ91" s="64">
        <f t="shared" si="343"/>
        <v>419.9</v>
      </c>
      <c r="AK91" s="64">
        <f>AK21</f>
        <v>419.9</v>
      </c>
      <c r="AL91" s="64">
        <f t="shared" ref="AL91:BR91" si="344">AL21</f>
        <v>419.9</v>
      </c>
      <c r="AM91" s="64">
        <f t="shared" si="344"/>
        <v>419.9</v>
      </c>
      <c r="AN91" s="64">
        <f t="shared" si="344"/>
        <v>419.9</v>
      </c>
      <c r="AO91" s="64">
        <f t="shared" si="344"/>
        <v>419.9</v>
      </c>
      <c r="AP91" s="64">
        <f t="shared" si="344"/>
        <v>419.9</v>
      </c>
      <c r="AQ91" s="64">
        <f t="shared" si="344"/>
        <v>419.9</v>
      </c>
      <c r="AR91" s="64">
        <f t="shared" si="344"/>
        <v>419.9</v>
      </c>
      <c r="AS91" s="64">
        <f t="shared" si="344"/>
        <v>419.9</v>
      </c>
      <c r="AT91" s="64">
        <f t="shared" si="344"/>
        <v>419.9</v>
      </c>
      <c r="AU91" s="64">
        <f t="shared" si="344"/>
        <v>419.9</v>
      </c>
      <c r="AV91" s="64">
        <f t="shared" si="344"/>
        <v>419.9</v>
      </c>
      <c r="AW91" s="64">
        <f t="shared" si="344"/>
        <v>419.9</v>
      </c>
      <c r="AX91" s="64">
        <f t="shared" si="344"/>
        <v>419.9</v>
      </c>
      <c r="AY91" s="64">
        <f t="shared" si="344"/>
        <v>419.9</v>
      </c>
      <c r="AZ91" s="64">
        <f t="shared" si="344"/>
        <v>419.9</v>
      </c>
      <c r="BA91" s="64">
        <f t="shared" si="344"/>
        <v>419.9</v>
      </c>
      <c r="BB91" s="64">
        <f t="shared" si="344"/>
        <v>558.81820226983177</v>
      </c>
      <c r="BC91" s="64">
        <f t="shared" si="344"/>
        <v>558.81820226983177</v>
      </c>
      <c r="BD91" s="64">
        <f t="shared" si="344"/>
        <v>558.81820226983177</v>
      </c>
      <c r="BE91" s="64">
        <f t="shared" si="344"/>
        <v>908.58607679918339</v>
      </c>
      <c r="BF91" s="64">
        <f t="shared" si="344"/>
        <v>908.58607679918339</v>
      </c>
      <c r="BG91" s="64">
        <f t="shared" si="344"/>
        <v>908.58607679918339</v>
      </c>
      <c r="BH91" s="64">
        <f t="shared" si="344"/>
        <v>1266.2483175760829</v>
      </c>
      <c r="BI91" s="64">
        <f t="shared" si="344"/>
        <v>1266.2483175760829</v>
      </c>
      <c r="BJ91" s="64">
        <f t="shared" si="344"/>
        <v>1266.2483175760829</v>
      </c>
      <c r="BK91" s="64">
        <f t="shared" si="344"/>
        <v>1632.8381381887762</v>
      </c>
      <c r="BL91" s="64">
        <f t="shared" si="344"/>
        <v>1632.8381381887762</v>
      </c>
      <c r="BM91" s="64">
        <f t="shared" si="344"/>
        <v>1632.8381381887762</v>
      </c>
      <c r="BN91" s="64">
        <f t="shared" si="344"/>
        <v>2002.2621249772926</v>
      </c>
      <c r="BO91" s="64">
        <f t="shared" si="344"/>
        <v>2002.2621249772926</v>
      </c>
      <c r="BP91" s="64">
        <f t="shared" si="344"/>
        <v>2002.2621249772926</v>
      </c>
      <c r="BQ91" s="64">
        <f t="shared" si="344"/>
        <v>2382.4017766377588</v>
      </c>
      <c r="BR91" s="64">
        <f t="shared" si="344"/>
        <v>2382.4017766377588</v>
      </c>
    </row>
    <row r="92" spans="1:72" outlineLevel="1">
      <c r="B92" s="30"/>
      <c r="C92" s="30" t="s">
        <v>533</v>
      </c>
      <c r="D92" s="31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S92" s="147"/>
      <c r="T92" s="18"/>
      <c r="U92" s="147"/>
      <c r="V92" s="160">
        <f t="shared" ref="V92:AE92" si="345">V91-V21</f>
        <v>0</v>
      </c>
      <c r="W92" s="160">
        <f t="shared" si="345"/>
        <v>0</v>
      </c>
      <c r="X92" s="160">
        <f t="shared" si="345"/>
        <v>-9.9999999999795364E-2</v>
      </c>
      <c r="Y92" s="160">
        <f t="shared" si="345"/>
        <v>0</v>
      </c>
      <c r="Z92" s="160">
        <f t="shared" si="345"/>
        <v>0</v>
      </c>
      <c r="AA92" s="160">
        <f t="shared" si="345"/>
        <v>0</v>
      </c>
      <c r="AB92" s="160">
        <f t="shared" si="345"/>
        <v>0</v>
      </c>
      <c r="AC92" s="160">
        <f t="shared" si="345"/>
        <v>0</v>
      </c>
      <c r="AD92" s="160">
        <f t="shared" si="345"/>
        <v>0</v>
      </c>
      <c r="AE92" s="160">
        <f t="shared" si="345"/>
        <v>0</v>
      </c>
      <c r="AF92" s="160">
        <f>AF91-AF21</f>
        <v>0</v>
      </c>
      <c r="AG92" s="941">
        <f t="shared" ref="AG92" si="346">AG91-AG21</f>
        <v>0</v>
      </c>
      <c r="AH92" s="160">
        <f t="shared" ref="AH92:AK92" si="347">AH91-AH21</f>
        <v>0</v>
      </c>
      <c r="AI92" s="160">
        <f t="shared" si="347"/>
        <v>0</v>
      </c>
      <c r="AJ92" s="160">
        <f t="shared" si="347"/>
        <v>0</v>
      </c>
      <c r="AK92" s="160">
        <f t="shared" si="347"/>
        <v>0</v>
      </c>
      <c r="AL92" s="160">
        <f t="shared" ref="AL92:BR92" si="348">AL91-AL21</f>
        <v>0</v>
      </c>
      <c r="AM92" s="160">
        <f t="shared" si="348"/>
        <v>0</v>
      </c>
      <c r="AN92" s="160">
        <f t="shared" si="348"/>
        <v>0</v>
      </c>
      <c r="AO92" s="160">
        <f t="shared" si="348"/>
        <v>0</v>
      </c>
      <c r="AP92" s="160">
        <f t="shared" si="348"/>
        <v>0</v>
      </c>
      <c r="AQ92" s="160">
        <f t="shared" si="348"/>
        <v>0</v>
      </c>
      <c r="AR92" s="160">
        <f t="shared" si="348"/>
        <v>0</v>
      </c>
      <c r="AS92" s="160">
        <f t="shared" si="348"/>
        <v>0</v>
      </c>
      <c r="AT92" s="160">
        <f t="shared" si="348"/>
        <v>0</v>
      </c>
      <c r="AU92" s="160">
        <f t="shared" si="348"/>
        <v>0</v>
      </c>
      <c r="AV92" s="160">
        <f t="shared" si="348"/>
        <v>0</v>
      </c>
      <c r="AW92" s="160">
        <f t="shared" si="348"/>
        <v>0</v>
      </c>
      <c r="AX92" s="160">
        <f t="shared" si="348"/>
        <v>0</v>
      </c>
      <c r="AY92" s="160">
        <f t="shared" si="348"/>
        <v>0</v>
      </c>
      <c r="AZ92" s="160">
        <f t="shared" si="348"/>
        <v>0</v>
      </c>
      <c r="BA92" s="160">
        <f t="shared" si="348"/>
        <v>0</v>
      </c>
      <c r="BB92" s="160">
        <f t="shared" si="348"/>
        <v>0</v>
      </c>
      <c r="BC92" s="160">
        <f t="shared" si="348"/>
        <v>0</v>
      </c>
      <c r="BD92" s="160">
        <f t="shared" si="348"/>
        <v>0</v>
      </c>
      <c r="BE92" s="160">
        <f t="shared" si="348"/>
        <v>0</v>
      </c>
      <c r="BF92" s="160">
        <f t="shared" si="348"/>
        <v>0</v>
      </c>
      <c r="BG92" s="160">
        <f t="shared" si="348"/>
        <v>0</v>
      </c>
      <c r="BH92" s="160">
        <f t="shared" si="348"/>
        <v>0</v>
      </c>
      <c r="BI92" s="160">
        <f t="shared" si="348"/>
        <v>0</v>
      </c>
      <c r="BJ92" s="160">
        <f t="shared" si="348"/>
        <v>0</v>
      </c>
      <c r="BK92" s="160">
        <f t="shared" si="348"/>
        <v>0</v>
      </c>
      <c r="BL92" s="160">
        <f t="shared" si="348"/>
        <v>0</v>
      </c>
      <c r="BM92" s="160">
        <f t="shared" si="348"/>
        <v>0</v>
      </c>
      <c r="BN92" s="160">
        <f t="shared" si="348"/>
        <v>0</v>
      </c>
      <c r="BO92" s="160">
        <f t="shared" si="348"/>
        <v>0</v>
      </c>
      <c r="BP92" s="160">
        <f t="shared" si="348"/>
        <v>0</v>
      </c>
      <c r="BQ92" s="160">
        <f t="shared" si="348"/>
        <v>0</v>
      </c>
      <c r="BR92" s="160">
        <f t="shared" si="348"/>
        <v>0</v>
      </c>
      <c r="BS92" s="147"/>
      <c r="BT92" s="147"/>
    </row>
    <row r="93" spans="1:72" s="8" customFormat="1" outlineLevel="1">
      <c r="B93" s="55"/>
      <c r="C93" s="55" t="s">
        <v>339</v>
      </c>
      <c r="D93" s="56" t="s">
        <v>58</v>
      </c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78"/>
      <c r="T93" s="379"/>
      <c r="U93" s="379"/>
      <c r="V93" s="64">
        <f>V69+V85</f>
        <v>633.89999999999986</v>
      </c>
      <c r="W93" s="341">
        <f>W69+W85</f>
        <v>-48.199999999999989</v>
      </c>
      <c r="X93" s="341">
        <f t="shared" ref="X93:AE93" si="349">SUM(X59,X60,X61,X62,X72,X66,X85)</f>
        <v>365.39999999999969</v>
      </c>
      <c r="Y93" s="341">
        <f t="shared" si="349"/>
        <v>285.00000000000011</v>
      </c>
      <c r="Z93" s="341">
        <f t="shared" si="349"/>
        <v>96.500000000000171</v>
      </c>
      <c r="AA93" s="341">
        <f t="shared" si="349"/>
        <v>492.59999999999997</v>
      </c>
      <c r="AB93" s="470">
        <f t="shared" si="349"/>
        <v>355.50000000000028</v>
      </c>
      <c r="AC93" s="341">
        <f t="shared" si="349"/>
        <v>-187.99999999999989</v>
      </c>
      <c r="AD93" s="341">
        <f t="shared" si="349"/>
        <v>436.89999999999986</v>
      </c>
      <c r="AE93" s="341">
        <f t="shared" si="349"/>
        <v>248.89999999999986</v>
      </c>
      <c r="AF93" s="341">
        <f t="shared" ref="AF93:AK93" si="350">SUM(AF59,AF60,AF61,AF62,AF72,AF66,AF85)</f>
        <v>-201.00000000000026</v>
      </c>
      <c r="AG93" s="934">
        <f t="shared" ref="AG93" si="351">SUM(AG59,AG60,AG61,AG62,AG72,AG66,AG85)</f>
        <v>397.59850425353045</v>
      </c>
      <c r="AH93" s="341">
        <f>SUM(AH59,AH60,AH61,AH62,AH72,AH66,AH85)</f>
        <v>196.59850425353045</v>
      </c>
      <c r="AI93" s="341">
        <f t="shared" si="350"/>
        <v>-141.91998240004608</v>
      </c>
      <c r="AJ93" s="341">
        <f t="shared" si="350"/>
        <v>437.1429428920834</v>
      </c>
      <c r="AK93" s="341">
        <f t="shared" si="350"/>
        <v>295.22296049203749</v>
      </c>
      <c r="AL93" s="341">
        <f t="shared" ref="AL93:BR93" si="352">SUM(AL59,AL60,AL61,AL62,AL72,AL66,AL85)</f>
        <v>-149.77547545862635</v>
      </c>
      <c r="AM93" s="341">
        <f t="shared" si="352"/>
        <v>461.62282388197008</v>
      </c>
      <c r="AN93" s="341">
        <f t="shared" si="352"/>
        <v>311.84734842334376</v>
      </c>
      <c r="AO93" s="341">
        <f t="shared" si="352"/>
        <v>-152.06465376484522</v>
      </c>
      <c r="AP93" s="341">
        <f t="shared" si="352"/>
        <v>469.28530956928279</v>
      </c>
      <c r="AQ93" s="341">
        <f t="shared" si="352"/>
        <v>317.22065580443746</v>
      </c>
      <c r="AR93" s="341">
        <f t="shared" si="352"/>
        <v>-158.2152904786121</v>
      </c>
      <c r="AS93" s="341">
        <f t="shared" si="352"/>
        <v>479.26786469768064</v>
      </c>
      <c r="AT93" s="341">
        <f t="shared" si="352"/>
        <v>321.05257421906856</v>
      </c>
      <c r="AU93" s="341">
        <f t="shared" si="352"/>
        <v>-158.86509802795121</v>
      </c>
      <c r="AV93" s="341">
        <f t="shared" si="352"/>
        <v>489.60957212324723</v>
      </c>
      <c r="AW93" s="341">
        <f t="shared" si="352"/>
        <v>330.7444740952958</v>
      </c>
      <c r="AX93" s="341">
        <f t="shared" si="352"/>
        <v>-159.53578352276668</v>
      </c>
      <c r="AY93" s="341">
        <f t="shared" si="352"/>
        <v>500.28317146542918</v>
      </c>
      <c r="AZ93" s="341">
        <f t="shared" si="352"/>
        <v>340.7473879426625</v>
      </c>
      <c r="BA93" s="341">
        <f t="shared" si="352"/>
        <v>-160.22830312313371</v>
      </c>
      <c r="BB93" s="341">
        <f t="shared" si="352"/>
        <v>510.54198340486334</v>
      </c>
      <c r="BC93" s="341">
        <f t="shared" si="352"/>
        <v>350.31368028172949</v>
      </c>
      <c r="BD93" s="341">
        <f t="shared" si="352"/>
        <v>-161.88295310716984</v>
      </c>
      <c r="BE93" s="341">
        <f t="shared" si="352"/>
        <v>520.2854163488613</v>
      </c>
      <c r="BF93" s="341">
        <f t="shared" si="352"/>
        <v>358.40246324169163</v>
      </c>
      <c r="BG93" s="341">
        <f t="shared" si="352"/>
        <v>-164.47529890880938</v>
      </c>
      <c r="BH93" s="341">
        <f t="shared" si="352"/>
        <v>530.77644569240488</v>
      </c>
      <c r="BI93" s="341">
        <f t="shared" si="352"/>
        <v>366.30114678359564</v>
      </c>
      <c r="BJ93" s="341">
        <f t="shared" si="352"/>
        <v>-166.37399319488546</v>
      </c>
      <c r="BK93" s="341">
        <f t="shared" si="352"/>
        <v>541.60703926727797</v>
      </c>
      <c r="BL93" s="341">
        <f t="shared" si="352"/>
        <v>375.23304607239277</v>
      </c>
      <c r="BM93" s="341">
        <f t="shared" si="352"/>
        <v>-168.34284458984013</v>
      </c>
      <c r="BN93" s="341">
        <f t="shared" si="352"/>
        <v>546.41437845078588</v>
      </c>
      <c r="BO93" s="341">
        <f t="shared" si="352"/>
        <v>378.07153386094581</v>
      </c>
      <c r="BP93" s="341">
        <f t="shared" si="352"/>
        <v>-164.01282143419854</v>
      </c>
      <c r="BQ93" s="341">
        <f t="shared" si="352"/>
        <v>552.80434394062991</v>
      </c>
      <c r="BR93" s="341">
        <f t="shared" si="352"/>
        <v>388.79152250643165</v>
      </c>
    </row>
    <row r="94" spans="1:72" s="8" customFormat="1">
      <c r="B94" s="55"/>
      <c r="C94" s="55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78"/>
      <c r="T94" s="379"/>
      <c r="U94" s="379"/>
      <c r="V94" s="64"/>
      <c r="W94" s="341"/>
      <c r="X94" s="341"/>
      <c r="Y94" s="341"/>
      <c r="Z94" s="341"/>
      <c r="AA94" s="341"/>
      <c r="AB94" s="341"/>
      <c r="AC94" s="341"/>
      <c r="AD94" s="341"/>
      <c r="AE94" s="341"/>
      <c r="AF94" s="341"/>
      <c r="AG94" s="934"/>
      <c r="AH94" s="341"/>
      <c r="AI94" s="341"/>
      <c r="AJ94" s="341"/>
      <c r="AK94" s="341"/>
      <c r="AL94" s="341"/>
      <c r="AM94" s="341"/>
      <c r="AN94" s="341"/>
      <c r="AO94" s="341"/>
      <c r="AP94" s="341"/>
      <c r="AQ94" s="341"/>
      <c r="AR94" s="341"/>
      <c r="AS94" s="341"/>
      <c r="AT94" s="341"/>
      <c r="AU94" s="341"/>
      <c r="AV94" s="341"/>
      <c r="AW94" s="341"/>
      <c r="AX94" s="341"/>
      <c r="AY94" s="341"/>
      <c r="AZ94" s="341"/>
      <c r="BA94" s="341"/>
      <c r="BB94" s="341"/>
      <c r="BC94" s="341"/>
      <c r="BD94" s="341"/>
      <c r="BE94" s="341"/>
      <c r="BF94" s="341"/>
      <c r="BG94" s="341"/>
      <c r="BH94" s="341"/>
      <c r="BI94" s="341"/>
      <c r="BJ94" s="341"/>
      <c r="BK94" s="341"/>
      <c r="BL94" s="341"/>
      <c r="BM94" s="341"/>
      <c r="BN94" s="341"/>
      <c r="BO94" s="341"/>
      <c r="BP94" s="341"/>
      <c r="BQ94" s="341"/>
      <c r="BR94" s="341"/>
    </row>
    <row r="95" spans="1:72" s="143" customFormat="1">
      <c r="A95" s="4" t="s">
        <v>564</v>
      </c>
      <c r="B95" s="144"/>
      <c r="C95" s="144"/>
      <c r="D95" s="145"/>
      <c r="E95" s="145"/>
      <c r="F95" s="145"/>
      <c r="G95" s="145"/>
      <c r="H95" s="145"/>
      <c r="I95" s="145"/>
      <c r="J95" s="145"/>
      <c r="K95" s="145"/>
      <c r="L95" s="145"/>
      <c r="M95" s="145"/>
      <c r="N95" s="145"/>
      <c r="O95" s="145"/>
      <c r="P95" s="146"/>
      <c r="Y95" s="110"/>
      <c r="AB95" s="110"/>
      <c r="AC95" s="110"/>
      <c r="AD95" s="110"/>
      <c r="AE95" s="424"/>
      <c r="AF95" s="424"/>
      <c r="AG95" s="936"/>
      <c r="AH95" s="110"/>
      <c r="AI95" s="110"/>
      <c r="AJ95" s="110"/>
      <c r="AK95" s="110"/>
      <c r="AL95" s="110"/>
      <c r="AM95" s="110"/>
      <c r="AN95" s="110"/>
      <c r="AO95" s="110"/>
      <c r="AP95" s="110"/>
      <c r="AQ95" s="110"/>
      <c r="AR95" s="110"/>
      <c r="AS95" s="110"/>
      <c r="AT95" s="110"/>
      <c r="AU95" s="110"/>
      <c r="AV95" s="110"/>
      <c r="AW95" s="110"/>
      <c r="AX95" s="110"/>
      <c r="AY95" s="110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  <c r="BO95" s="110"/>
      <c r="BP95" s="110"/>
      <c r="BQ95" s="110"/>
      <c r="BR95" s="110"/>
    </row>
    <row r="96" spans="1:72" outlineLevel="1">
      <c r="B96" s="54" t="s">
        <v>227</v>
      </c>
      <c r="C96" s="55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</row>
    <row r="97" spans="2:70" outlineLevel="1">
      <c r="B97" s="82"/>
      <c r="C97" s="55" t="s">
        <v>228</v>
      </c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</row>
    <row r="98" spans="2:70" outlineLevel="1">
      <c r="B98" s="82"/>
      <c r="C98" s="60" t="s">
        <v>229</v>
      </c>
      <c r="D98" s="58" t="s">
        <v>66</v>
      </c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T98" s="20"/>
      <c r="U98" s="20"/>
      <c r="V98" s="20">
        <f>V100/AVERAGE(S21,V21)</f>
        <v>6.4405618362452885E-2</v>
      </c>
      <c r="W98" s="20">
        <f>W100/AVERAGE(V21,W21)*2</f>
        <v>5.8630496609057101E-2</v>
      </c>
      <c r="X98" s="20">
        <f>X100/AVERAGE(W21,X21)*2</f>
        <v>5.0117180457905169E-2</v>
      </c>
      <c r="Y98" s="20">
        <f>Y100/AVERAGE(V21,Y21)</f>
        <v>4.4953070969866629E-2</v>
      </c>
      <c r="Z98" s="20">
        <f>Z100/AVERAGE(Y21,Z21)*2</f>
        <v>5.1599932987100021E-2</v>
      </c>
      <c r="AA98" s="20">
        <f>AA100/AVERAGE(Z21,AA21)*2</f>
        <v>7.5652000796336855E-2</v>
      </c>
      <c r="AB98" s="20">
        <f>AB100/AVERAGE(Y21,AB21)</f>
        <v>5.6365721776175652E-2</v>
      </c>
      <c r="AC98" s="20">
        <f>AC100/AVERAGE(AB21,AC21)*2</f>
        <v>3.1031807602792859E-2</v>
      </c>
      <c r="AD98" s="20">
        <f>AD100/AVERAGE(AC21,AD21)*2</f>
        <v>2.1938614070245752E-2</v>
      </c>
      <c r="AE98" s="133">
        <f>AE100/AVERAGE(AB21,AE21)</f>
        <v>2.2651318232454511E-2</v>
      </c>
      <c r="AF98" s="902">
        <f>AF100/AVERAGE(AE21,AF21)*2</f>
        <v>2.1194212349704505E-2</v>
      </c>
      <c r="AG98" s="947">
        <v>0.02</v>
      </c>
      <c r="AH98" s="20">
        <f>AH100/AVERAGE(AE21,AH21)</f>
        <v>1.9154269411045449E-2</v>
      </c>
      <c r="AI98" s="22">
        <f>AF98</f>
        <v>2.1194212349704505E-2</v>
      </c>
      <c r="AJ98" s="22">
        <f>AG98</f>
        <v>0.02</v>
      </c>
      <c r="AK98" s="20">
        <f>AK100/AVERAGE(AH21,AK21)</f>
        <v>2.0597106174852251E-2</v>
      </c>
      <c r="AL98" s="22">
        <f>AI98</f>
        <v>2.1194212349704505E-2</v>
      </c>
      <c r="AM98" s="22">
        <f>AJ98</f>
        <v>0.02</v>
      </c>
      <c r="AN98" s="20">
        <f>AN100/AVERAGE(AK21,AN21)</f>
        <v>2.0597106174852251E-2</v>
      </c>
      <c r="AO98" s="22">
        <f>AL98</f>
        <v>2.1194212349704505E-2</v>
      </c>
      <c r="AP98" s="22">
        <f>AM98</f>
        <v>0.02</v>
      </c>
      <c r="AQ98" s="20">
        <f>AQ100/AVERAGE(AN21,AQ21)</f>
        <v>2.0597106174852251E-2</v>
      </c>
      <c r="AR98" s="22">
        <f>AO98</f>
        <v>2.1194212349704505E-2</v>
      </c>
      <c r="AS98" s="22">
        <f>AP98</f>
        <v>0.02</v>
      </c>
      <c r="AT98" s="20">
        <f>AT100/AVERAGE(AQ21,AT21)</f>
        <v>2.0597106174852251E-2</v>
      </c>
      <c r="AU98" s="22">
        <f>AR98</f>
        <v>2.1194212349704505E-2</v>
      </c>
      <c r="AV98" s="22">
        <f>AS98</f>
        <v>0.02</v>
      </c>
      <c r="AW98" s="20">
        <f>AW100/AVERAGE(AT21,AW21)</f>
        <v>2.0597106174852251E-2</v>
      </c>
      <c r="AX98" s="22">
        <f>AU98</f>
        <v>2.1194212349704505E-2</v>
      </c>
      <c r="AY98" s="22">
        <f>AV98</f>
        <v>0.02</v>
      </c>
      <c r="AZ98" s="20">
        <f>AZ100/AVERAGE(AW21,AZ21)</f>
        <v>2.0597106174852251E-2</v>
      </c>
      <c r="BA98" s="22">
        <f>AX98</f>
        <v>2.1194212349704505E-2</v>
      </c>
      <c r="BB98" s="22">
        <f>AY98</f>
        <v>0.02</v>
      </c>
      <c r="BC98" s="20">
        <f>BC100/AVERAGE(AZ21,BC21)</f>
        <v>1.9092964394655607E-2</v>
      </c>
      <c r="BD98" s="22">
        <f>BA98</f>
        <v>2.1194212349704505E-2</v>
      </c>
      <c r="BE98" s="22">
        <f>BB98</f>
        <v>0.02</v>
      </c>
      <c r="BF98" s="20">
        <f>BF100/AVERAGE(BC21,BF21)</f>
        <v>1.8071198791447647E-2</v>
      </c>
      <c r="BG98" s="22">
        <f>BD98</f>
        <v>2.1194212349704505E-2</v>
      </c>
      <c r="BH98" s="22">
        <f>BE98</f>
        <v>0.02</v>
      </c>
      <c r="BI98" s="20">
        <f>BI100/AVERAGE(BF21,BI21)</f>
        <v>1.8854359807565228E-2</v>
      </c>
      <c r="BJ98" s="22">
        <f>BG98</f>
        <v>2.1194212349704505E-2</v>
      </c>
      <c r="BK98" s="22">
        <f>BH98</f>
        <v>0.02</v>
      </c>
      <c r="BL98" s="20">
        <f>BL100/AVERAGE(BI21,BL21)</f>
        <v>1.9257100862514011E-2</v>
      </c>
      <c r="BM98" s="22">
        <f>BJ98</f>
        <v>2.1194212349704505E-2</v>
      </c>
      <c r="BN98" s="22">
        <f>BK98</f>
        <v>0.02</v>
      </c>
      <c r="BO98" s="20">
        <f>BO100/AVERAGE(BL21,BO21)</f>
        <v>1.9520155079113997E-2</v>
      </c>
      <c r="BP98" s="22">
        <f>BM98</f>
        <v>2.1194212349704505E-2</v>
      </c>
      <c r="BQ98" s="22">
        <f>BN98</f>
        <v>0.02</v>
      </c>
      <c r="BR98" s="20">
        <f>BR100/AVERAGE(BO21,BR21)</f>
        <v>1.9678362950671834E-2</v>
      </c>
    </row>
    <row r="99" spans="2:70" outlineLevel="1">
      <c r="B99" s="82"/>
      <c r="C99" s="60" t="s">
        <v>230</v>
      </c>
      <c r="D99" s="58" t="s">
        <v>66</v>
      </c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T99" s="20"/>
      <c r="U99" s="20"/>
      <c r="V99" s="20">
        <f>V102/AVERAGE((S42+S37),(V42+V37))</f>
        <v>-5.1063154973503722E-2</v>
      </c>
      <c r="W99" s="20">
        <f>W102/AVERAGE((V42+V37),(W42+W37))*2</f>
        <v>-5.2579578160573903E-2</v>
      </c>
      <c r="X99" s="20">
        <f>X102/AVERAGE((W42+W37),(X42+X37))*2</f>
        <v>-4.3940447636213964E-2</v>
      </c>
      <c r="Y99" s="20">
        <f>Y102/AVERAGE((V42+V37),(Y42+Y37))</f>
        <v>-4.7605649653930555E-2</v>
      </c>
      <c r="Z99" s="20">
        <f>Z102/AVERAGE((Y42+Y37),(Z42+Z37))*2</f>
        <v>-4.1169270456310289E-2</v>
      </c>
      <c r="AA99" s="20">
        <f>AA102/AVERAGE((Z42+Z37),(AA42+AA37))*2</f>
        <v>-4.2404010672792751E-2</v>
      </c>
      <c r="AB99" s="20">
        <f>AB102/AVERAGE((Y42+Y37),(AB42+AB37))</f>
        <v>-4.2065973973570051E-2</v>
      </c>
      <c r="AC99" s="20">
        <f>AC102/AVERAGE((AB42+AB37),(AC42+AC37))*2</f>
        <v>-4.1610753141323509E-2</v>
      </c>
      <c r="AD99" s="20">
        <f>AD102/AVERAGE((AC42+AC37),(AD42+AD37))*2</f>
        <v>-4.0160296462274314E-2</v>
      </c>
      <c r="AE99" s="133">
        <f>AE102/AVERAGE((AB42+AB37),(AE42+AE37))</f>
        <v>-4.1759247886915062E-2</v>
      </c>
      <c r="AF99" s="902">
        <f>AF102/AVERAGE((AE42+AE37),(AF42+AF37))*2</f>
        <v>-4.3349459730184774E-2</v>
      </c>
      <c r="AG99" s="947">
        <v>-4.4999999999999998E-2</v>
      </c>
      <c r="AH99" s="133">
        <f>AH102/AVERAGE((AE42+AE37),(AH42+AH37))</f>
        <v>-4.4588153705475524E-2</v>
      </c>
      <c r="AI99" s="22">
        <v>-4.5999999999999999E-2</v>
      </c>
      <c r="AJ99" s="22">
        <v>-4.5999999999999999E-2</v>
      </c>
      <c r="AK99" s="133">
        <f>AK102/AVERAGE((AH42+AH37),(AK42+AK37))</f>
        <v>-4.5515614590677468E-2</v>
      </c>
      <c r="AL99" s="22">
        <v>-4.7E-2</v>
      </c>
      <c r="AM99" s="22">
        <f>+AL99</f>
        <v>-4.7E-2</v>
      </c>
      <c r="AN99" s="133">
        <f>AN102/AVERAGE((AK42+AK37),(AN42+AN37))</f>
        <v>-4.6611820943510636E-2</v>
      </c>
      <c r="AO99" s="22">
        <f>AL99</f>
        <v>-4.7E-2</v>
      </c>
      <c r="AP99" s="22">
        <f>AM99</f>
        <v>-4.7E-2</v>
      </c>
      <c r="AQ99" s="133">
        <f>AQ102/AVERAGE((AN42+AN37),(AQ42+AQ37))</f>
        <v>-4.6611591863098149E-2</v>
      </c>
      <c r="AR99" s="22">
        <f>AO99</f>
        <v>-4.7E-2</v>
      </c>
      <c r="AS99" s="22">
        <f>AP99</f>
        <v>-4.7E-2</v>
      </c>
      <c r="AT99" s="133">
        <f>AT102/AVERAGE((AQ42+AQ37),(AT42+AT37))</f>
        <v>-4.6632301810502416E-2</v>
      </c>
      <c r="AU99" s="22">
        <f>AR99</f>
        <v>-4.7E-2</v>
      </c>
      <c r="AV99" s="22">
        <f>AS99</f>
        <v>-4.7E-2</v>
      </c>
      <c r="AW99" s="133">
        <f>AW102/AVERAGE((AT42+AT37),(AW42+AW37))</f>
        <v>-4.6636438546784169E-2</v>
      </c>
      <c r="AX99" s="22">
        <f>AU99</f>
        <v>-4.7E-2</v>
      </c>
      <c r="AY99" s="22">
        <f>AV99</f>
        <v>-4.7E-2</v>
      </c>
      <c r="AZ99" s="133">
        <f>AZ102/AVERAGE((AW42+AW37),(AZ42+AZ37))</f>
        <v>-4.664177968955565E-2</v>
      </c>
      <c r="BA99" s="22">
        <f>AX99</f>
        <v>-4.7E-2</v>
      </c>
      <c r="BB99" s="22">
        <f>AY99</f>
        <v>-4.7E-2</v>
      </c>
      <c r="BC99" s="133">
        <f>BC102/AVERAGE((AZ42+AZ37),(BC42+BC37))</f>
        <v>-4.5692332364448709E-2</v>
      </c>
      <c r="BD99" s="22">
        <f>BA99</f>
        <v>-4.7E-2</v>
      </c>
      <c r="BE99" s="22">
        <f>BB99</f>
        <v>-4.7E-2</v>
      </c>
      <c r="BF99" s="133">
        <f>BF102/AVERAGE((BC42+BC37),(BF42+BF37))</f>
        <v>-4.2931089492327684E-2</v>
      </c>
      <c r="BG99" s="22">
        <f>BD99</f>
        <v>-4.7E-2</v>
      </c>
      <c r="BH99" s="22">
        <f>BE99</f>
        <v>-4.7E-2</v>
      </c>
      <c r="BI99" s="133">
        <f>BI102/AVERAGE((BF42+BF37),(BI42+BI37))</f>
        <v>-3.9828126041383916E-2</v>
      </c>
      <c r="BJ99" s="22">
        <f>BG99</f>
        <v>-4.7E-2</v>
      </c>
      <c r="BK99" s="22">
        <f>BH99</f>
        <v>-4.7E-2</v>
      </c>
      <c r="BL99" s="133">
        <f>BL102/AVERAGE((BI42+BI37),(BL42+BL37))</f>
        <v>-3.6645644718761201E-2</v>
      </c>
      <c r="BM99" s="22">
        <f>BJ99</f>
        <v>-4.7E-2</v>
      </c>
      <c r="BN99" s="22">
        <f>BK99</f>
        <v>-4.7E-2</v>
      </c>
      <c r="BO99" s="133">
        <f>BO102/AVERAGE((BL42+BL37),(BO42+BO37))</f>
        <v>-3.3397599831069845E-2</v>
      </c>
      <c r="BP99" s="22">
        <f>BM99</f>
        <v>-4.7E-2</v>
      </c>
      <c r="BQ99" s="22">
        <f>BN99</f>
        <v>-4.7E-2</v>
      </c>
      <c r="BR99" s="133">
        <f>BR102/AVERAGE((BO42+BO37),(BR42+BR37))</f>
        <v>-3.004336578748042E-2</v>
      </c>
    </row>
    <row r="100" spans="2:70" outlineLevel="1">
      <c r="B100" s="82"/>
      <c r="C100" s="60" t="s">
        <v>231</v>
      </c>
      <c r="D100" s="58" t="s">
        <v>58</v>
      </c>
      <c r="E100" s="58"/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T100" s="337">
        <v>12.4</v>
      </c>
      <c r="U100" s="18">
        <f>V100-T100</f>
        <v>15.799999999999999</v>
      </c>
      <c r="V100" s="337">
        <v>28.2</v>
      </c>
      <c r="W100" s="337">
        <v>13.4</v>
      </c>
      <c r="X100" s="18">
        <f>Y100-W100</f>
        <v>13.9</v>
      </c>
      <c r="Y100" s="337">
        <v>27.3</v>
      </c>
      <c r="Z100" s="337">
        <v>15.4</v>
      </c>
      <c r="AA100" s="18">
        <f>AB100-Z100</f>
        <v>19</v>
      </c>
      <c r="AB100" s="337">
        <v>34.4</v>
      </c>
      <c r="AC100" s="337">
        <v>7</v>
      </c>
      <c r="AD100" s="18">
        <f>AE100-AC100</f>
        <v>5.1999999999999993</v>
      </c>
      <c r="AE100" s="25">
        <v>12.2</v>
      </c>
      <c r="AF100" s="25">
        <v>5.2</v>
      </c>
      <c r="AG100" s="933">
        <f>AG98*AVERAGE(AF21,AG21)/2</f>
        <v>4.1989999999999998</v>
      </c>
      <c r="AH100" s="18">
        <f>AF100+AG100</f>
        <v>9.3990000000000009</v>
      </c>
      <c r="AI100" s="18">
        <f>AI98*AVERAGE(AH21,AI21)/2</f>
        <v>4.449724882820461</v>
      </c>
      <c r="AJ100" s="18">
        <f>AJ98*AVERAGE(AI21,AJ21)/2</f>
        <v>4.1989999999999998</v>
      </c>
      <c r="AK100" s="18">
        <f>AI100+AJ100</f>
        <v>8.6487248828204599</v>
      </c>
      <c r="AL100" s="18">
        <f>AL98*AVERAGE(AK21,AL21)/2</f>
        <v>4.449724882820461</v>
      </c>
      <c r="AM100" s="18">
        <f>AM98*AVERAGE(AL21,AM21)/2</f>
        <v>4.1989999999999998</v>
      </c>
      <c r="AN100" s="18">
        <f>AL100+AM100</f>
        <v>8.6487248828204599</v>
      </c>
      <c r="AO100" s="18">
        <f>AO98*AVERAGE(AN21,AO21)/2</f>
        <v>4.449724882820461</v>
      </c>
      <c r="AP100" s="18">
        <f>AP98*AVERAGE(AO21,AP21)/2</f>
        <v>4.1989999999999998</v>
      </c>
      <c r="AQ100" s="18">
        <f>AO100+AP100</f>
        <v>8.6487248828204599</v>
      </c>
      <c r="AR100" s="18">
        <f>AR98*AVERAGE(AQ21,AR21)/2</f>
        <v>4.449724882820461</v>
      </c>
      <c r="AS100" s="18">
        <f>AS98*AVERAGE(AR21,AS21)/2</f>
        <v>4.1989999999999998</v>
      </c>
      <c r="AT100" s="18">
        <f>AR100+AS100</f>
        <v>8.6487248828204599</v>
      </c>
      <c r="AU100" s="18">
        <f>AU98*AVERAGE(AT21,AU21)/2</f>
        <v>4.449724882820461</v>
      </c>
      <c r="AV100" s="18">
        <f>AV98*AVERAGE(AU21,AV21)/2</f>
        <v>4.1989999999999998</v>
      </c>
      <c r="AW100" s="18">
        <f>AU100+AV100</f>
        <v>8.6487248828204599</v>
      </c>
      <c r="AX100" s="18">
        <f>AX98*AVERAGE(AW21,AX21)/2</f>
        <v>4.449724882820461</v>
      </c>
      <c r="AY100" s="18">
        <f>AY98*AVERAGE(AX21,AY21)/2</f>
        <v>4.1989999999999998</v>
      </c>
      <c r="AZ100" s="18">
        <f>AX100+AY100</f>
        <v>8.6487248828204599</v>
      </c>
      <c r="BA100" s="18">
        <f>BA98*AVERAGE(AZ21,BA21)/2</f>
        <v>4.449724882820461</v>
      </c>
      <c r="BB100" s="18">
        <f>BB98*AVERAGE(BA21,BB21)/2</f>
        <v>4.8935910113491587</v>
      </c>
      <c r="BC100" s="18">
        <f>BA100+BB100</f>
        <v>9.3433158941696206</v>
      </c>
      <c r="BD100" s="18">
        <f>BD98*AVERAGE(BC21,BD21)/2</f>
        <v>5.9218558218934696</v>
      </c>
      <c r="BE100" s="18">
        <f>BE98*AVERAGE(BD21,BE21)/2</f>
        <v>7.3370213953450758</v>
      </c>
      <c r="BF100" s="18">
        <f>BD100+BE100</f>
        <v>13.258877217238545</v>
      </c>
      <c r="BG100" s="18">
        <f>BG98*AVERAGE(BF21,BG21)/2</f>
        <v>9.6283831248334089</v>
      </c>
      <c r="BH100" s="18">
        <f>BH98*AVERAGE(BG21,BH21)/2</f>
        <v>10.874171971876331</v>
      </c>
      <c r="BI100" s="18">
        <f>BG100+BH100</f>
        <v>20.502555096709742</v>
      </c>
      <c r="BJ100" s="18">
        <f>BJ98*AVERAGE(BI21,BJ21)/2</f>
        <v>13.418567865081783</v>
      </c>
      <c r="BK100" s="18">
        <f>BK98*AVERAGE(BJ21,BK21)/2</f>
        <v>14.495432278824296</v>
      </c>
      <c r="BL100" s="18">
        <f>BJ100+BK100</f>
        <v>27.91400014390608</v>
      </c>
      <c r="BM100" s="18">
        <f>BM98*AVERAGE(BL21,BM21)/2</f>
        <v>17.303359116734537</v>
      </c>
      <c r="BN100" s="18">
        <f>BN98*AVERAGE(BM21,BN21)/2</f>
        <v>18.175501315830342</v>
      </c>
      <c r="BO100" s="18">
        <f>BM100+BN100</f>
        <v>35.478860432564879</v>
      </c>
      <c r="BP100" s="18">
        <f>BP98*AVERAGE(BO21,BP21)/2</f>
        <v>21.218184328269661</v>
      </c>
      <c r="BQ100" s="18">
        <f>BQ98*AVERAGE(BP21,BQ21)/2</f>
        <v>21.923319508075256</v>
      </c>
      <c r="BR100" s="18">
        <f>BP100+BQ100</f>
        <v>43.141503836344917</v>
      </c>
    </row>
    <row r="101" spans="2:70" outlineLevel="1">
      <c r="B101" s="54"/>
      <c r="C101" s="60" t="s">
        <v>325</v>
      </c>
      <c r="D101" s="58" t="s">
        <v>58</v>
      </c>
      <c r="E101" s="58"/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T101" s="337">
        <v>-109.9</v>
      </c>
      <c r="U101" s="18">
        <f>V101-T101</f>
        <v>-111.5</v>
      </c>
      <c r="V101" s="337">
        <v>-221.4</v>
      </c>
      <c r="W101" s="337">
        <v>-105.2</v>
      </c>
      <c r="X101" s="18">
        <f>Y101-W101</f>
        <v>-91.3</v>
      </c>
      <c r="Y101" s="337">
        <v>-196.5</v>
      </c>
      <c r="Z101" s="337">
        <v>-93.6</v>
      </c>
      <c r="AA101" s="18">
        <f>AB101-Z101</f>
        <v>-107.6</v>
      </c>
      <c r="AB101" s="337">
        <v>-201.2</v>
      </c>
      <c r="AC101" s="337">
        <v>-100.8</v>
      </c>
      <c r="AD101" s="18">
        <f>AE101-AC101</f>
        <v>-98.399999999999991</v>
      </c>
      <c r="AE101" s="25">
        <v>-199.2</v>
      </c>
      <c r="AF101" s="25">
        <v>-106.9</v>
      </c>
      <c r="AG101" s="933">
        <f>AG99*AVERAGE((AF42+AF37),(AG42+AG37))/2</f>
        <v>-103.00248557714779</v>
      </c>
      <c r="AH101" s="18">
        <f>AF101+AG101</f>
        <v>-209.90248557714779</v>
      </c>
      <c r="AI101" s="18">
        <f>AI99*AVERAGE((AH42+AH37),(AI42+AI37))/2</f>
        <v>-102.44885657476934</v>
      </c>
      <c r="AJ101" s="18">
        <f>AJ99*AVERAGE((AI42+AI37),(AJ42+AJ37))/2</f>
        <v>-99.152765697860914</v>
      </c>
      <c r="AK101" s="18">
        <f>AI101+AJ101</f>
        <v>-201.60162227263027</v>
      </c>
      <c r="AL101" s="18">
        <f>AL99*AVERAGE((AK42+AK37),(AL42+AL37))/2</f>
        <v>-98.033095043274287</v>
      </c>
      <c r="AM101" s="18">
        <f>AM99*AVERAGE((AL42+AL37),(AM42+AM37))/2</f>
        <v>-94.471580892445303</v>
      </c>
      <c r="AN101" s="18">
        <f>AL101+AM101</f>
        <v>-192.5046759357196</v>
      </c>
      <c r="AO101" s="18">
        <f>AO99*AVERAGE((AN42+AN37),(AO42+AO37))/2</f>
        <v>-90.936701040378011</v>
      </c>
      <c r="AP101" s="18">
        <f>AP99*AVERAGE((AO42+AO37),(AP42+AP37))/2</f>
        <v>-87.310561491020579</v>
      </c>
      <c r="AQ101" s="18">
        <f>AO101+AP101</f>
        <v>-178.24726253139858</v>
      </c>
      <c r="AR101" s="18">
        <f>AR99*AVERAGE((AQ42+AQ37),(AR42+AR37))/2</f>
        <v>-83.756700879081436</v>
      </c>
      <c r="AS101" s="18">
        <f>AS99*AVERAGE((AR42+AR37),(AS42+AS37))/2</f>
        <v>-80.085586889930255</v>
      </c>
      <c r="AT101" s="18">
        <f>AR101+AS101</f>
        <v>-163.8422877690117</v>
      </c>
      <c r="AU101" s="18">
        <f>AU99*AVERAGE((AT42+AT37),(AU42+AU37))/2</f>
        <v>-76.422117099993372</v>
      </c>
      <c r="AV101" s="18">
        <f>AV99*AVERAGE((AU42+AU37),(AV42+AV37))/2</f>
        <v>-72.637173914175477</v>
      </c>
      <c r="AW101" s="18">
        <f>AU101+AV101</f>
        <v>-149.05929101416885</v>
      </c>
      <c r="AX101" s="18">
        <f>AX99*AVERAGE((AW42+AW37),(AX42+AX37))/2</f>
        <v>-68.860120247911482</v>
      </c>
      <c r="AY101" s="18">
        <f>AY99*AVERAGE((AX42+AX37),(AY42+AY37))/2</f>
        <v>-64.957693476579436</v>
      </c>
      <c r="AZ101" s="18">
        <f>AX101+AY101</f>
        <v>-133.81781372449092</v>
      </c>
      <c r="BA101" s="18">
        <f>BA99*AVERAGE((AZ42+AZ37),(BA42+BA37))/2</f>
        <v>-61.063412780024002</v>
      </c>
      <c r="BB101" s="18">
        <f>BB99*AVERAGE((BA42+BA37),(BB42+BB37))/2</f>
        <v>-58.680921627896936</v>
      </c>
      <c r="BC101" s="18">
        <f>BA101+BB101</f>
        <v>-119.74433440792095</v>
      </c>
      <c r="BD101" s="18">
        <f>BD99*AVERAGE((BC42+BC37),(BD42+BD37))/2</f>
        <v>-56.317881587039338</v>
      </c>
      <c r="BE101" s="18">
        <f>BE99*AVERAGE((BD42+BD37),(BE42+BE37))/2</f>
        <v>-56.317881587039338</v>
      </c>
      <c r="BF101" s="18">
        <f>BD101+BE101</f>
        <v>-112.63576317407868</v>
      </c>
      <c r="BG101" s="18">
        <f>BG99*AVERAGE((BF42+BF37),(BG42+BG37))/2</f>
        <v>-56.348350628652618</v>
      </c>
      <c r="BH101" s="18">
        <f>BH99*AVERAGE((BG42+BG37),(BH42+BH37))/2</f>
        <v>-56.348350628652618</v>
      </c>
      <c r="BI101" s="18">
        <f>BG101+BH101</f>
        <v>-112.69670125730524</v>
      </c>
      <c r="BJ101" s="18">
        <f>BJ99*AVERAGE((BI42+BI37),(BJ42+BJ37))/2</f>
        <v>-56.370669269447255</v>
      </c>
      <c r="BK101" s="18">
        <f>BK99*AVERAGE((BJ42+BJ37),(BK42+BK37))/2</f>
        <v>-56.370669269447255</v>
      </c>
      <c r="BL101" s="18">
        <f>BJ101+BK101</f>
        <v>-112.74133853889451</v>
      </c>
      <c r="BM101" s="18">
        <f>BM99*AVERAGE((BL42+BL37),(BM42+BM37))/2</f>
        <v>-56.39381226076268</v>
      </c>
      <c r="BN101" s="18">
        <f>BN99*AVERAGE((BM42+BM37),(BN42+BN37))/2</f>
        <v>-56.39381226076268</v>
      </c>
      <c r="BO101" s="18">
        <f>BM101+BN101</f>
        <v>-112.78762452152536</v>
      </c>
      <c r="BP101" s="18">
        <f>BP99*AVERAGE((BO42+BO37),(BP42+BP37))/2</f>
        <v>-56.342943480602294</v>
      </c>
      <c r="BQ101" s="18">
        <f>BQ99*AVERAGE((BP42+BP37),(BQ42+BQ37))/2</f>
        <v>-56.342943480602294</v>
      </c>
      <c r="BR101" s="18">
        <f>BP101+BQ101</f>
        <v>-112.68588696120459</v>
      </c>
    </row>
    <row r="102" spans="2:70" outlineLevel="1">
      <c r="B102" s="54"/>
      <c r="C102" s="60" t="s">
        <v>326</v>
      </c>
      <c r="D102" s="58" t="s">
        <v>58</v>
      </c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T102" s="18">
        <f t="shared" ref="T102:AE102" si="353">T101+T100</f>
        <v>-97.5</v>
      </c>
      <c r="U102" s="18">
        <f t="shared" si="353"/>
        <v>-95.7</v>
      </c>
      <c r="V102" s="18">
        <f t="shared" si="353"/>
        <v>-193.20000000000002</v>
      </c>
      <c r="W102" s="18">
        <f t="shared" si="353"/>
        <v>-91.8</v>
      </c>
      <c r="X102" s="18">
        <f>X101+X100</f>
        <v>-77.399999999999991</v>
      </c>
      <c r="Y102" s="18">
        <f t="shared" si="353"/>
        <v>-169.2</v>
      </c>
      <c r="Z102" s="18">
        <f t="shared" si="353"/>
        <v>-78.199999999999989</v>
      </c>
      <c r="AA102" s="18">
        <f t="shared" si="353"/>
        <v>-88.6</v>
      </c>
      <c r="AB102" s="18">
        <f t="shared" si="353"/>
        <v>-166.79999999999998</v>
      </c>
      <c r="AC102" s="18">
        <f t="shared" si="353"/>
        <v>-93.8</v>
      </c>
      <c r="AD102" s="18">
        <f t="shared" si="353"/>
        <v>-93.199999999999989</v>
      </c>
      <c r="AE102" s="26">
        <f t="shared" si="353"/>
        <v>-187</v>
      </c>
      <c r="AF102" s="26">
        <f t="shared" ref="AF102:AG102" si="354">AF101+AF100</f>
        <v>-101.7</v>
      </c>
      <c r="AG102" s="933">
        <f t="shared" si="354"/>
        <v>-98.803485577147796</v>
      </c>
      <c r="AH102" s="18">
        <f t="shared" ref="AH102:BR102" si="355">AH101+AH100</f>
        <v>-200.50348557714779</v>
      </c>
      <c r="AI102" s="18">
        <f t="shared" si="355"/>
        <v>-97.999131691948875</v>
      </c>
      <c r="AJ102" s="18">
        <f t="shared" si="355"/>
        <v>-94.953765697860916</v>
      </c>
      <c r="AK102" s="18">
        <f t="shared" si="355"/>
        <v>-192.95289738980981</v>
      </c>
      <c r="AL102" s="18">
        <f t="shared" si="355"/>
        <v>-93.583370160453825</v>
      </c>
      <c r="AM102" s="18">
        <f t="shared" si="355"/>
        <v>-90.272580892445305</v>
      </c>
      <c r="AN102" s="18">
        <f t="shared" si="355"/>
        <v>-183.85595105289914</v>
      </c>
      <c r="AO102" s="18">
        <f t="shared" si="355"/>
        <v>-86.48697615755755</v>
      </c>
      <c r="AP102" s="18">
        <f t="shared" si="355"/>
        <v>-83.111561491020581</v>
      </c>
      <c r="AQ102" s="18">
        <f t="shared" si="355"/>
        <v>-169.59853764857812</v>
      </c>
      <c r="AR102" s="18">
        <f t="shared" si="355"/>
        <v>-79.306975996260974</v>
      </c>
      <c r="AS102" s="18">
        <f t="shared" si="355"/>
        <v>-75.886586889930257</v>
      </c>
      <c r="AT102" s="18">
        <f t="shared" si="355"/>
        <v>-155.19356288619124</v>
      </c>
      <c r="AU102" s="18">
        <f t="shared" si="355"/>
        <v>-71.97239221717291</v>
      </c>
      <c r="AV102" s="18">
        <f t="shared" si="355"/>
        <v>-68.438173914175479</v>
      </c>
      <c r="AW102" s="18">
        <f t="shared" si="355"/>
        <v>-140.41056613134839</v>
      </c>
      <c r="AX102" s="18">
        <f t="shared" si="355"/>
        <v>-64.41039536509102</v>
      </c>
      <c r="AY102" s="18">
        <f t="shared" si="355"/>
        <v>-60.758693476579438</v>
      </c>
      <c r="AZ102" s="18">
        <f t="shared" si="355"/>
        <v>-125.16908884167046</v>
      </c>
      <c r="BA102" s="18">
        <f t="shared" si="355"/>
        <v>-56.61368789720354</v>
      </c>
      <c r="BB102" s="18">
        <f t="shared" si="355"/>
        <v>-53.787330616547777</v>
      </c>
      <c r="BC102" s="18">
        <f t="shared" si="355"/>
        <v>-110.40101851375132</v>
      </c>
      <c r="BD102" s="18">
        <f t="shared" si="355"/>
        <v>-50.396025765145865</v>
      </c>
      <c r="BE102" s="18">
        <f t="shared" si="355"/>
        <v>-48.980860191694262</v>
      </c>
      <c r="BF102" s="18">
        <f t="shared" si="355"/>
        <v>-99.376885956840127</v>
      </c>
      <c r="BG102" s="18">
        <f t="shared" si="355"/>
        <v>-46.719967503819205</v>
      </c>
      <c r="BH102" s="18">
        <f t="shared" si="355"/>
        <v>-45.474178656776289</v>
      </c>
      <c r="BI102" s="18">
        <f t="shared" si="355"/>
        <v>-92.194146160595494</v>
      </c>
      <c r="BJ102" s="18">
        <f t="shared" si="355"/>
        <v>-42.952101404365472</v>
      </c>
      <c r="BK102" s="18">
        <f t="shared" si="355"/>
        <v>-41.875236990622959</v>
      </c>
      <c r="BL102" s="18">
        <f t="shared" si="355"/>
        <v>-84.827338394988431</v>
      </c>
      <c r="BM102" s="18">
        <f t="shared" si="355"/>
        <v>-39.090453144028146</v>
      </c>
      <c r="BN102" s="18">
        <f t="shared" si="355"/>
        <v>-38.218310944932341</v>
      </c>
      <c r="BO102" s="18">
        <f t="shared" si="355"/>
        <v>-77.308764088960487</v>
      </c>
      <c r="BP102" s="18">
        <f t="shared" si="355"/>
        <v>-35.124759152332629</v>
      </c>
      <c r="BQ102" s="18">
        <f t="shared" si="355"/>
        <v>-34.419623972527035</v>
      </c>
      <c r="BR102" s="18">
        <f t="shared" si="355"/>
        <v>-69.544383124859678</v>
      </c>
    </row>
    <row r="103" spans="2:70" outlineLevel="1">
      <c r="B103" s="54"/>
      <c r="C103" s="60" t="s">
        <v>327</v>
      </c>
      <c r="D103" s="58" t="s">
        <v>58</v>
      </c>
      <c r="E103" s="58"/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T103" s="18">
        <v>-97.5</v>
      </c>
      <c r="U103" s="18">
        <v>-95.7</v>
      </c>
      <c r="V103" s="18">
        <v>-193.20000000000002</v>
      </c>
      <c r="W103" s="18">
        <v>-91.8</v>
      </c>
      <c r="X103" s="18">
        <v>-77.399999999999991</v>
      </c>
      <c r="Y103" s="18">
        <v>-169.2</v>
      </c>
      <c r="Z103" s="18">
        <v>-78.199999999999989</v>
      </c>
      <c r="AA103" s="18">
        <v>-88.6</v>
      </c>
      <c r="AB103" s="18">
        <v>-166.79999999999998</v>
      </c>
      <c r="AC103" s="18">
        <v>-93.8</v>
      </c>
      <c r="AD103" s="18">
        <v>-93.199999999999989</v>
      </c>
      <c r="AE103" s="26">
        <v>-187</v>
      </c>
      <c r="AF103" s="26">
        <v>-101.7</v>
      </c>
      <c r="AG103" s="933">
        <v>-98.803485577156749</v>
      </c>
      <c r="AH103" s="18">
        <v>-200.50348557715677</v>
      </c>
      <c r="AI103" s="18">
        <v>-97.999131692029991</v>
      </c>
      <c r="AJ103" s="18">
        <v>-94.953765698227656</v>
      </c>
      <c r="AK103" s="18">
        <v>-192.95289739025765</v>
      </c>
      <c r="AL103" s="18">
        <v>-93.5833701617412</v>
      </c>
      <c r="AM103" s="18">
        <v>-90.272580896013196</v>
      </c>
      <c r="AN103" s="18">
        <v>-183.8559510577544</v>
      </c>
      <c r="AO103" s="18">
        <v>-86.486976165995301</v>
      </c>
      <c r="AP103" s="18">
        <v>-83.111561508365853</v>
      </c>
      <c r="AQ103" s="18">
        <v>-169.59853767436115</v>
      </c>
      <c r="AR103" s="18">
        <v>-79.306976029053502</v>
      </c>
      <c r="AS103" s="18">
        <v>-75.886586947132699</v>
      </c>
      <c r="AT103" s="18">
        <v>-155.1935629761862</v>
      </c>
      <c r="AU103" s="18">
        <v>-71.972392312056073</v>
      </c>
      <c r="AV103" s="18">
        <v>-68.438174063530411</v>
      </c>
      <c r="AW103" s="18">
        <v>-140.41056637558648</v>
      </c>
      <c r="AX103" s="18">
        <v>-64.410395592634345</v>
      </c>
      <c r="AY103" s="18">
        <v>-60.758693810828973</v>
      </c>
      <c r="AZ103" s="18">
        <v>-125.16908940346332</v>
      </c>
      <c r="BA103" s="18">
        <v>-56.613688377217684</v>
      </c>
      <c r="BB103" s="18">
        <v>-53.787331027958018</v>
      </c>
      <c r="BC103" s="18">
        <v>-110.4010194051757</v>
      </c>
      <c r="BD103" s="18">
        <v>-50.396026031693651</v>
      </c>
      <c r="BE103" s="18">
        <v>-48.980860449988811</v>
      </c>
      <c r="BF103" s="18">
        <v>-99.376886481682462</v>
      </c>
      <c r="BG103" s="18">
        <v>-46.719967846287318</v>
      </c>
      <c r="BH103" s="18">
        <v>-45.474179022912587</v>
      </c>
      <c r="BI103" s="18">
        <v>-92.194146869199898</v>
      </c>
      <c r="BJ103" s="18">
        <v>-42.952101835954153</v>
      </c>
      <c r="BK103" s="18">
        <v>-41.875237446352557</v>
      </c>
      <c r="BL103" s="18">
        <v>-84.82733928230671</v>
      </c>
      <c r="BM103" s="18">
        <v>-39.090453685562196</v>
      </c>
      <c r="BN103" s="18">
        <v>-38.218311515699142</v>
      </c>
      <c r="BO103" s="18">
        <v>-77.308765201261338</v>
      </c>
      <c r="BP103" s="18">
        <v>-35.124759827875152</v>
      </c>
      <c r="BQ103" s="18">
        <v>-34.419624682730564</v>
      </c>
      <c r="BR103" s="18">
        <v>-69.54438451060571</v>
      </c>
    </row>
    <row r="104" spans="2:70" outlineLevel="1">
      <c r="B104" s="54"/>
      <c r="C104" s="442" t="s">
        <v>533</v>
      </c>
      <c r="D104" s="58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V104" s="413">
        <f t="shared" ref="V104:AE104" si="356">+V102-V103</f>
        <v>0</v>
      </c>
      <c r="W104" s="413">
        <f t="shared" si="356"/>
        <v>0</v>
      </c>
      <c r="X104" s="413">
        <f t="shared" si="356"/>
        <v>0</v>
      </c>
      <c r="Y104" s="413">
        <f t="shared" si="356"/>
        <v>0</v>
      </c>
      <c r="Z104" s="413">
        <f t="shared" si="356"/>
        <v>0</v>
      </c>
      <c r="AA104" s="413">
        <f t="shared" si="356"/>
        <v>0</v>
      </c>
      <c r="AB104" s="413">
        <f t="shared" si="356"/>
        <v>0</v>
      </c>
      <c r="AC104" s="413">
        <f t="shared" si="356"/>
        <v>0</v>
      </c>
      <c r="AD104" s="413">
        <f t="shared" si="356"/>
        <v>0</v>
      </c>
      <c r="AE104" s="797">
        <f t="shared" si="356"/>
        <v>0</v>
      </c>
      <c r="AF104" s="797">
        <f t="shared" ref="AF104" si="357">+AF102-AF103</f>
        <v>0</v>
      </c>
      <c r="AG104" s="948">
        <f t="shared" ref="AG104:BR104" si="358">+AG102-AG103</f>
        <v>8.9528384705772623E-12</v>
      </c>
      <c r="AH104" s="413">
        <f t="shared" si="358"/>
        <v>8.9812601800076663E-12</v>
      </c>
      <c r="AI104" s="413">
        <f t="shared" si="358"/>
        <v>8.1115558714373037E-11</v>
      </c>
      <c r="AJ104" s="413">
        <f t="shared" si="358"/>
        <v>3.6673952763521811E-10</v>
      </c>
      <c r="AK104" s="413">
        <f t="shared" si="358"/>
        <v>4.4784087549487595E-10</v>
      </c>
      <c r="AL104" s="413">
        <f t="shared" si="358"/>
        <v>1.2873755395048647E-9</v>
      </c>
      <c r="AM104" s="413">
        <f t="shared" si="358"/>
        <v>3.5678908716363367E-9</v>
      </c>
      <c r="AN104" s="413">
        <f t="shared" si="358"/>
        <v>4.8552522002864862E-9</v>
      </c>
      <c r="AO104" s="413">
        <f t="shared" si="358"/>
        <v>8.4377518305700505E-9</v>
      </c>
      <c r="AP104" s="413">
        <f t="shared" si="358"/>
        <v>1.7345271885460534E-8</v>
      </c>
      <c r="AQ104" s="413">
        <f t="shared" si="358"/>
        <v>2.5783037926885299E-8</v>
      </c>
      <c r="AR104" s="413">
        <f t="shared" si="358"/>
        <v>3.2792527804303973E-8</v>
      </c>
      <c r="AS104" s="413">
        <f t="shared" si="358"/>
        <v>5.7202441894332878E-8</v>
      </c>
      <c r="AT104" s="413">
        <f t="shared" si="358"/>
        <v>8.9994955487782136E-8</v>
      </c>
      <c r="AU104" s="413">
        <f t="shared" si="358"/>
        <v>9.4883162660153175E-8</v>
      </c>
      <c r="AV104" s="413">
        <f t="shared" si="358"/>
        <v>1.4935493197754113E-7</v>
      </c>
      <c r="AW104" s="413">
        <f t="shared" si="358"/>
        <v>2.442380946376943E-7</v>
      </c>
      <c r="AX104" s="413">
        <f t="shared" si="358"/>
        <v>2.2754332462682214E-7</v>
      </c>
      <c r="AY104" s="413">
        <f t="shared" si="358"/>
        <v>3.3424953471694607E-7</v>
      </c>
      <c r="AZ104" s="413">
        <f t="shared" si="358"/>
        <v>5.6179285934376821E-7</v>
      </c>
      <c r="BA104" s="413">
        <f t="shared" si="358"/>
        <v>4.8001414398868292E-7</v>
      </c>
      <c r="BB104" s="413">
        <f t="shared" si="358"/>
        <v>4.1141024098578782E-7</v>
      </c>
      <c r="BC104" s="413">
        <f t="shared" si="358"/>
        <v>8.9142437786904338E-7</v>
      </c>
      <c r="BD104" s="413">
        <f t="shared" si="358"/>
        <v>2.665477865093635E-7</v>
      </c>
      <c r="BE104" s="413">
        <f t="shared" si="358"/>
        <v>2.5829454841641564E-7</v>
      </c>
      <c r="BF104" s="413">
        <f t="shared" si="358"/>
        <v>5.2484233492577914E-7</v>
      </c>
      <c r="BG104" s="413">
        <f t="shared" si="358"/>
        <v>3.4246811253524356E-7</v>
      </c>
      <c r="BH104" s="413">
        <f t="shared" si="358"/>
        <v>3.6613629816883986E-7</v>
      </c>
      <c r="BI104" s="413">
        <f t="shared" si="358"/>
        <v>7.0860440359865606E-7</v>
      </c>
      <c r="BJ104" s="413">
        <f t="shared" si="358"/>
        <v>4.3158868123782668E-7</v>
      </c>
      <c r="BK104" s="413">
        <f t="shared" si="358"/>
        <v>4.5572959805895152E-7</v>
      </c>
      <c r="BL104" s="413">
        <f t="shared" si="358"/>
        <v>8.873182792967782E-7</v>
      </c>
      <c r="BM104" s="413">
        <f t="shared" si="358"/>
        <v>5.4153404960288754E-7</v>
      </c>
      <c r="BN104" s="413">
        <f t="shared" si="358"/>
        <v>5.7076680093359755E-7</v>
      </c>
      <c r="BO104" s="413">
        <f t="shared" si="358"/>
        <v>1.1123008505364851E-6</v>
      </c>
      <c r="BP104" s="413">
        <f t="shared" si="358"/>
        <v>6.7554252325408015E-7</v>
      </c>
      <c r="BQ104" s="413">
        <f t="shared" si="358"/>
        <v>7.1020352976347567E-7</v>
      </c>
      <c r="BR104" s="413">
        <f t="shared" si="358"/>
        <v>1.3857460317012738E-6</v>
      </c>
    </row>
    <row r="105" spans="2:70" outlineLevel="1">
      <c r="B105" s="54"/>
      <c r="C105" s="55" t="s">
        <v>232</v>
      </c>
      <c r="D105" s="58" t="s">
        <v>66</v>
      </c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T105" s="343">
        <f t="shared" ref="T105:AF105" si="359">T15/T14</f>
        <v>-0.20395738203957386</v>
      </c>
      <c r="U105" s="343">
        <f t="shared" si="359"/>
        <v>-0.20569812083249142</v>
      </c>
      <c r="V105" s="343">
        <f t="shared" si="359"/>
        <v>-0.20492632999662586</v>
      </c>
      <c r="W105" s="343">
        <f t="shared" si="359"/>
        <v>-0.21475409836065576</v>
      </c>
      <c r="X105" s="343">
        <f t="shared" si="359"/>
        <v>-0.20498796762196456</v>
      </c>
      <c r="Y105" s="343">
        <f t="shared" si="359"/>
        <v>-0.20970478452663724</v>
      </c>
      <c r="Z105" s="343">
        <f t="shared" si="359"/>
        <v>-0.21494644595910414</v>
      </c>
      <c r="AA105" s="343">
        <f t="shared" si="359"/>
        <v>-0.20849905798618384</v>
      </c>
      <c r="AB105" s="343">
        <f t="shared" si="359"/>
        <v>-0.21148002250984807</v>
      </c>
      <c r="AC105" s="343">
        <f t="shared" si="359"/>
        <v>-0.2139835780044787</v>
      </c>
      <c r="AD105" s="17">
        <f>AD15/AD14</f>
        <v>-0.19427198077308239</v>
      </c>
      <c r="AE105" s="343">
        <f t="shared" si="359"/>
        <v>-0.20306258322237017</v>
      </c>
      <c r="AF105" s="903">
        <f t="shared" si="359"/>
        <v>-0.18975976704683331</v>
      </c>
      <c r="AG105" s="983">
        <v>-0.21</v>
      </c>
      <c r="AH105" s="40">
        <f>AH15/AH14</f>
        <v>-0.20116128087757687</v>
      </c>
      <c r="AI105" s="87">
        <v>-0.21</v>
      </c>
      <c r="AJ105" s="87">
        <v>-0.21</v>
      </c>
      <c r="AK105" s="40">
        <f>AK15/AK14</f>
        <v>-0.21000000000000002</v>
      </c>
      <c r="AL105" s="22">
        <f>AI105</f>
        <v>-0.21</v>
      </c>
      <c r="AM105" s="22">
        <f>AJ105</f>
        <v>-0.21</v>
      </c>
      <c r="AN105" s="20">
        <f>AN15/AN14</f>
        <v>-0.21</v>
      </c>
      <c r="AO105" s="22">
        <f>AL105</f>
        <v>-0.21</v>
      </c>
      <c r="AP105" s="22">
        <f>AM105</f>
        <v>-0.21</v>
      </c>
      <c r="AQ105" s="20">
        <f>AQ15/AQ14</f>
        <v>-0.20999999999999996</v>
      </c>
      <c r="AR105" s="22">
        <f>AO105</f>
        <v>-0.21</v>
      </c>
      <c r="AS105" s="22">
        <f>AP105</f>
        <v>-0.21</v>
      </c>
      <c r="AT105" s="20">
        <f>AT15/AT14</f>
        <v>-0.21000000000000002</v>
      </c>
      <c r="AU105" s="22">
        <f>AR105</f>
        <v>-0.21</v>
      </c>
      <c r="AV105" s="22">
        <f>AS105</f>
        <v>-0.21</v>
      </c>
      <c r="AW105" s="20">
        <f>AW15/AW14</f>
        <v>-0.21</v>
      </c>
      <c r="AX105" s="22">
        <f>AU105</f>
        <v>-0.21</v>
      </c>
      <c r="AY105" s="22">
        <f>AV105</f>
        <v>-0.21</v>
      </c>
      <c r="AZ105" s="20">
        <f>AZ15/AZ14</f>
        <v>-0.21000000000000002</v>
      </c>
      <c r="BA105" s="22">
        <f>AX105</f>
        <v>-0.21</v>
      </c>
      <c r="BB105" s="22">
        <f>AY105</f>
        <v>-0.21</v>
      </c>
      <c r="BC105" s="20">
        <f>BC15/BC14</f>
        <v>-0.21000000000000002</v>
      </c>
      <c r="BD105" s="22">
        <f>BA105</f>
        <v>-0.21</v>
      </c>
      <c r="BE105" s="22">
        <f>BB105</f>
        <v>-0.21</v>
      </c>
      <c r="BF105" s="20">
        <f>BF15/BF14</f>
        <v>-0.21</v>
      </c>
      <c r="BG105" s="22">
        <f>BD105</f>
        <v>-0.21</v>
      </c>
      <c r="BH105" s="22">
        <f>BE105</f>
        <v>-0.21</v>
      </c>
      <c r="BI105" s="20">
        <f>BI15/BI14</f>
        <v>-0.21</v>
      </c>
      <c r="BJ105" s="22">
        <f>BG105</f>
        <v>-0.21</v>
      </c>
      <c r="BK105" s="22">
        <f>BH105</f>
        <v>-0.21</v>
      </c>
      <c r="BL105" s="20">
        <f>BL15/BL14</f>
        <v>-0.20999999999999996</v>
      </c>
      <c r="BM105" s="22">
        <f>BJ105</f>
        <v>-0.21</v>
      </c>
      <c r="BN105" s="22">
        <f>BK105</f>
        <v>-0.21</v>
      </c>
      <c r="BO105" s="20">
        <f>BO15/BO14</f>
        <v>-0.20999999999999996</v>
      </c>
      <c r="BP105" s="22">
        <f>BM105</f>
        <v>-0.21</v>
      </c>
      <c r="BQ105" s="22">
        <f>BN105</f>
        <v>-0.21</v>
      </c>
      <c r="BR105" s="20">
        <f>BR15/BR14</f>
        <v>-0.20999999999999996</v>
      </c>
    </row>
    <row r="106" spans="2:70" outlineLevel="1">
      <c r="B106" s="54"/>
      <c r="C106" s="55" t="s">
        <v>86</v>
      </c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</row>
    <row r="107" spans="2:70" outlineLevel="1">
      <c r="B107" s="54"/>
      <c r="C107" s="83" t="s">
        <v>194</v>
      </c>
      <c r="D107" s="58" t="s">
        <v>58</v>
      </c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W107" s="19">
        <f>+W109-W108</f>
        <v>0</v>
      </c>
      <c r="X107" s="18">
        <f>+Y107-W107</f>
        <v>0</v>
      </c>
      <c r="Y107" s="19">
        <f>+Y109-Y108</f>
        <v>0</v>
      </c>
      <c r="Z107" s="19">
        <f>+Z109-Z108</f>
        <v>0</v>
      </c>
      <c r="AA107" s="19">
        <f>+AA109-AA108</f>
        <v>0</v>
      </c>
      <c r="AB107" s="19">
        <f>+AB109-AB108</f>
        <v>0</v>
      </c>
      <c r="AC107" s="337">
        <v>-36.200000000000003</v>
      </c>
      <c r="AD107" s="18">
        <f>AE107-AC107</f>
        <v>-58.899999999999991</v>
      </c>
      <c r="AE107" s="25">
        <v>-95.1</v>
      </c>
      <c r="AF107" s="345">
        <v>-34</v>
      </c>
      <c r="AG107" s="1085">
        <v>-30</v>
      </c>
      <c r="AH107" s="42">
        <f>+AG107+AF107</f>
        <v>-64</v>
      </c>
      <c r="AI107" s="434">
        <v>0</v>
      </c>
      <c r="AJ107" s="434">
        <v>0</v>
      </c>
      <c r="AK107" s="161">
        <f>+AJ107+AI107</f>
        <v>0</v>
      </c>
      <c r="AL107" s="434">
        <v>0</v>
      </c>
      <c r="AM107" s="434">
        <v>0</v>
      </c>
      <c r="AN107" s="161">
        <f>+AM107+AL107</f>
        <v>0</v>
      </c>
      <c r="AO107" s="434">
        <v>0</v>
      </c>
      <c r="AP107" s="434">
        <v>0</v>
      </c>
      <c r="AQ107" s="161">
        <f>+AP107+AO107</f>
        <v>0</v>
      </c>
      <c r="AR107" s="434">
        <v>0</v>
      </c>
      <c r="AS107" s="434">
        <v>0</v>
      </c>
      <c r="AT107" s="161">
        <f>+AS107+AR107</f>
        <v>0</v>
      </c>
      <c r="AU107" s="434">
        <v>0</v>
      </c>
      <c r="AV107" s="434">
        <v>0</v>
      </c>
      <c r="AW107" s="161">
        <f>+AV107+AU107</f>
        <v>0</v>
      </c>
      <c r="AX107" s="434">
        <v>0</v>
      </c>
      <c r="AY107" s="434">
        <v>0</v>
      </c>
      <c r="AZ107" s="161">
        <f>+AY107+AX107</f>
        <v>0</v>
      </c>
      <c r="BA107" s="434">
        <v>0</v>
      </c>
      <c r="BB107" s="434">
        <v>0</v>
      </c>
      <c r="BC107" s="161">
        <f>+BB107+BA107</f>
        <v>0</v>
      </c>
      <c r="BD107" s="434">
        <v>0</v>
      </c>
      <c r="BE107" s="434">
        <v>0</v>
      </c>
      <c r="BF107" s="161">
        <f>+BE107+BD107</f>
        <v>0</v>
      </c>
      <c r="BG107" s="434">
        <v>0</v>
      </c>
      <c r="BH107" s="434">
        <v>0</v>
      </c>
      <c r="BI107" s="161">
        <f>+BH107+BG107</f>
        <v>0</v>
      </c>
      <c r="BJ107" s="434">
        <v>0</v>
      </c>
      <c r="BK107" s="434">
        <v>0</v>
      </c>
      <c r="BL107" s="161">
        <f>+BK107+BJ107</f>
        <v>0</v>
      </c>
      <c r="BM107" s="434">
        <v>0</v>
      </c>
      <c r="BN107" s="434">
        <v>0</v>
      </c>
      <c r="BO107" s="161">
        <f>+BN107+BM107</f>
        <v>0</v>
      </c>
      <c r="BP107" s="434">
        <v>0</v>
      </c>
      <c r="BQ107" s="434">
        <v>0</v>
      </c>
      <c r="BR107" s="161">
        <f>+BQ107+BP107</f>
        <v>0</v>
      </c>
    </row>
    <row r="108" spans="2:70" outlineLevel="1">
      <c r="B108" s="54"/>
      <c r="C108" s="83" t="s">
        <v>233</v>
      </c>
      <c r="D108" s="58" t="s">
        <v>58</v>
      </c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W108" s="337">
        <v>0</v>
      </c>
      <c r="X108" s="18">
        <f>+Y108-W108</f>
        <v>11.8</v>
      </c>
      <c r="Y108" s="98">
        <v>11.8</v>
      </c>
      <c r="Z108" s="337">
        <v>0</v>
      </c>
      <c r="AA108" s="18">
        <f>+AB108-Z108</f>
        <v>-479.6</v>
      </c>
      <c r="AB108" s="337">
        <f>-(94.9+384.7)</f>
        <v>-479.6</v>
      </c>
      <c r="AC108" s="337">
        <v>-27.4</v>
      </c>
      <c r="AD108" s="18">
        <f>AE108-AC108</f>
        <v>-13.000000000000007</v>
      </c>
      <c r="AE108" s="26">
        <f>AE109-AE107</f>
        <v>-40.400000000000006</v>
      </c>
      <c r="AF108" s="389">
        <v>0</v>
      </c>
      <c r="AG108" s="949">
        <v>0</v>
      </c>
      <c r="AH108" s="23">
        <f>+AG108+AF108</f>
        <v>0</v>
      </c>
      <c r="AI108" s="434">
        <v>0</v>
      </c>
      <c r="AJ108" s="434">
        <v>0</v>
      </c>
      <c r="AK108" s="161">
        <f>+AJ108+AI108</f>
        <v>0</v>
      </c>
      <c r="AL108" s="434">
        <v>0</v>
      </c>
      <c r="AM108" s="434">
        <v>0</v>
      </c>
      <c r="AN108" s="161">
        <f>+AM108+AL108</f>
        <v>0</v>
      </c>
      <c r="AO108" s="434">
        <v>0</v>
      </c>
      <c r="AP108" s="434">
        <v>0</v>
      </c>
      <c r="AQ108" s="161">
        <f>+AP108+AO108</f>
        <v>0</v>
      </c>
      <c r="AR108" s="434">
        <v>0</v>
      </c>
      <c r="AS108" s="434">
        <v>0</v>
      </c>
      <c r="AT108" s="161">
        <f>+AS108+AR108</f>
        <v>0</v>
      </c>
      <c r="AU108" s="434">
        <v>0</v>
      </c>
      <c r="AV108" s="434">
        <v>0</v>
      </c>
      <c r="AW108" s="161">
        <f>+AV108+AU108</f>
        <v>0</v>
      </c>
      <c r="AX108" s="434">
        <v>0</v>
      </c>
      <c r="AY108" s="434">
        <v>0</v>
      </c>
      <c r="AZ108" s="161">
        <f>+AY108+AX108</f>
        <v>0</v>
      </c>
      <c r="BA108" s="434">
        <v>0</v>
      </c>
      <c r="BB108" s="434">
        <v>0</v>
      </c>
      <c r="BC108" s="161">
        <f>+BB108+BA108</f>
        <v>0</v>
      </c>
      <c r="BD108" s="434">
        <v>0</v>
      </c>
      <c r="BE108" s="434">
        <v>0</v>
      </c>
      <c r="BF108" s="161">
        <f>+BE108+BD108</f>
        <v>0</v>
      </c>
      <c r="BG108" s="434">
        <v>0</v>
      </c>
      <c r="BH108" s="434">
        <v>0</v>
      </c>
      <c r="BI108" s="161">
        <f>+BH108+BG108</f>
        <v>0</v>
      </c>
      <c r="BJ108" s="434">
        <v>0</v>
      </c>
      <c r="BK108" s="434">
        <v>0</v>
      </c>
      <c r="BL108" s="161">
        <f>+BK108+BJ108</f>
        <v>0</v>
      </c>
      <c r="BM108" s="434">
        <v>0</v>
      </c>
      <c r="BN108" s="434">
        <v>0</v>
      </c>
      <c r="BO108" s="161">
        <f>+BN108+BM108</f>
        <v>0</v>
      </c>
      <c r="BP108" s="434">
        <v>0</v>
      </c>
      <c r="BQ108" s="434">
        <v>0</v>
      </c>
      <c r="BR108" s="161">
        <f>+BQ108+BP108</f>
        <v>0</v>
      </c>
    </row>
    <row r="109" spans="2:70" outlineLevel="1">
      <c r="B109" s="54"/>
      <c r="C109" s="60" t="s">
        <v>234</v>
      </c>
      <c r="D109" s="58" t="s">
        <v>58</v>
      </c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W109" s="337">
        <v>0</v>
      </c>
      <c r="X109" s="18">
        <f>+X108+X107</f>
        <v>11.8</v>
      </c>
      <c r="Y109" s="337">
        <v>11.8</v>
      </c>
      <c r="Z109" s="337">
        <v>0</v>
      </c>
      <c r="AA109" s="18">
        <f>+AB109-Z109</f>
        <v>-479.6</v>
      </c>
      <c r="AB109" s="337">
        <v>-479.6</v>
      </c>
      <c r="AC109" s="23">
        <f>SUM(AC107:AC108)</f>
        <v>-63.6</v>
      </c>
      <c r="AD109" s="23">
        <f>SUM(AD107:AD108)</f>
        <v>-71.900000000000006</v>
      </c>
      <c r="AE109" s="25">
        <v>-135.5</v>
      </c>
      <c r="AF109" s="26">
        <f t="shared" ref="AF109:AK109" si="360">AF107+AF108</f>
        <v>-34</v>
      </c>
      <c r="AG109" s="933">
        <f t="shared" si="360"/>
        <v>-30</v>
      </c>
      <c r="AH109" s="23">
        <f t="shared" si="360"/>
        <v>-64</v>
      </c>
      <c r="AI109" s="106">
        <f t="shared" si="360"/>
        <v>0</v>
      </c>
      <c r="AJ109" s="106">
        <f t="shared" si="360"/>
        <v>0</v>
      </c>
      <c r="AK109" s="106">
        <f t="shared" si="360"/>
        <v>0</v>
      </c>
      <c r="AL109" s="106">
        <f t="shared" ref="AL109:AN109" si="361">AL107+AL108</f>
        <v>0</v>
      </c>
      <c r="AM109" s="106">
        <f t="shared" si="361"/>
        <v>0</v>
      </c>
      <c r="AN109" s="106">
        <f t="shared" si="361"/>
        <v>0</v>
      </c>
      <c r="AO109" s="106">
        <f t="shared" ref="AO109:BR109" si="362">AO107+AO108</f>
        <v>0</v>
      </c>
      <c r="AP109" s="106">
        <f t="shared" si="362"/>
        <v>0</v>
      </c>
      <c r="AQ109" s="106">
        <f t="shared" si="362"/>
        <v>0</v>
      </c>
      <c r="AR109" s="106">
        <f t="shared" si="362"/>
        <v>0</v>
      </c>
      <c r="AS109" s="106">
        <f t="shared" si="362"/>
        <v>0</v>
      </c>
      <c r="AT109" s="106">
        <f t="shared" si="362"/>
        <v>0</v>
      </c>
      <c r="AU109" s="106">
        <f t="shared" si="362"/>
        <v>0</v>
      </c>
      <c r="AV109" s="106">
        <f t="shared" si="362"/>
        <v>0</v>
      </c>
      <c r="AW109" s="106">
        <f t="shared" si="362"/>
        <v>0</v>
      </c>
      <c r="AX109" s="106">
        <f t="shared" si="362"/>
        <v>0</v>
      </c>
      <c r="AY109" s="106">
        <f t="shared" si="362"/>
        <v>0</v>
      </c>
      <c r="AZ109" s="106">
        <f t="shared" si="362"/>
        <v>0</v>
      </c>
      <c r="BA109" s="106">
        <f t="shared" si="362"/>
        <v>0</v>
      </c>
      <c r="BB109" s="106">
        <f t="shared" si="362"/>
        <v>0</v>
      </c>
      <c r="BC109" s="106">
        <f t="shared" si="362"/>
        <v>0</v>
      </c>
      <c r="BD109" s="106">
        <f t="shared" si="362"/>
        <v>0</v>
      </c>
      <c r="BE109" s="106">
        <f t="shared" si="362"/>
        <v>0</v>
      </c>
      <c r="BF109" s="106">
        <f t="shared" si="362"/>
        <v>0</v>
      </c>
      <c r="BG109" s="106">
        <f t="shared" si="362"/>
        <v>0</v>
      </c>
      <c r="BH109" s="106">
        <f t="shared" si="362"/>
        <v>0</v>
      </c>
      <c r="BI109" s="106">
        <f t="shared" si="362"/>
        <v>0</v>
      </c>
      <c r="BJ109" s="106">
        <f t="shared" si="362"/>
        <v>0</v>
      </c>
      <c r="BK109" s="106">
        <f t="shared" si="362"/>
        <v>0</v>
      </c>
      <c r="BL109" s="106">
        <f t="shared" si="362"/>
        <v>0</v>
      </c>
      <c r="BM109" s="106">
        <f t="shared" si="362"/>
        <v>0</v>
      </c>
      <c r="BN109" s="106">
        <f t="shared" si="362"/>
        <v>0</v>
      </c>
      <c r="BO109" s="106">
        <f t="shared" si="362"/>
        <v>0</v>
      </c>
      <c r="BP109" s="106">
        <f t="shared" si="362"/>
        <v>0</v>
      </c>
      <c r="BQ109" s="106">
        <f t="shared" si="362"/>
        <v>0</v>
      </c>
      <c r="BR109" s="106">
        <f t="shared" si="362"/>
        <v>0</v>
      </c>
    </row>
    <row r="110" spans="2:70" outlineLevel="1">
      <c r="B110" s="54"/>
      <c r="C110" s="83" t="s">
        <v>194</v>
      </c>
      <c r="D110" s="58" t="s">
        <v>58</v>
      </c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W110" s="18">
        <f>+W112-W111</f>
        <v>0</v>
      </c>
      <c r="X110" s="18">
        <f>+Y110-W110</f>
        <v>0</v>
      </c>
      <c r="Y110" s="18">
        <f>+Y112-Y111</f>
        <v>0</v>
      </c>
      <c r="Z110" s="18">
        <f>+Z112-Z111</f>
        <v>0</v>
      </c>
      <c r="AA110" s="18">
        <f>+AA112-AA111</f>
        <v>0</v>
      </c>
      <c r="AB110" s="18">
        <f>+AB112-AB111</f>
        <v>0</v>
      </c>
      <c r="AC110" s="417">
        <f>+AC107/AC109*AC112</f>
        <v>3.0735849056603777</v>
      </c>
      <c r="AD110" s="23">
        <f>+AE110-AC110</f>
        <v>18.894164171830393</v>
      </c>
      <c r="AE110" s="389">
        <f>+AE107/AE109*AE112</f>
        <v>21.967749077490772</v>
      </c>
      <c r="AF110" s="171">
        <v>0</v>
      </c>
      <c r="AG110" s="937">
        <v>0</v>
      </c>
      <c r="AH110" s="347">
        <f>+AG110+AF110</f>
        <v>0</v>
      </c>
      <c r="AI110" s="106">
        <f t="shared" ref="AI110:AJ111" si="363">AI107*AI105</f>
        <v>0</v>
      </c>
      <c r="AJ110" s="106">
        <f t="shared" si="363"/>
        <v>0</v>
      </c>
      <c r="AK110" s="106">
        <f>+AJ110+AI110</f>
        <v>0</v>
      </c>
      <c r="AL110" s="106">
        <f t="shared" ref="AL110:AM110" si="364">AL107*AL105</f>
        <v>0</v>
      </c>
      <c r="AM110" s="106">
        <f t="shared" si="364"/>
        <v>0</v>
      </c>
      <c r="AN110" s="106">
        <f>+AM110+AL110</f>
        <v>0</v>
      </c>
      <c r="AO110" s="106">
        <f t="shared" ref="AO110:AP110" si="365">AO107*AO105</f>
        <v>0</v>
      </c>
      <c r="AP110" s="106">
        <f t="shared" si="365"/>
        <v>0</v>
      </c>
      <c r="AQ110" s="106">
        <f>+AP110+AO110</f>
        <v>0</v>
      </c>
      <c r="AR110" s="106">
        <f t="shared" ref="AR110:AS110" si="366">AR107*AR105</f>
        <v>0</v>
      </c>
      <c r="AS110" s="106">
        <f t="shared" si="366"/>
        <v>0</v>
      </c>
      <c r="AT110" s="106">
        <f>+AS110+AR110</f>
        <v>0</v>
      </c>
      <c r="AU110" s="106">
        <f t="shared" ref="AU110:AV110" si="367">AU107*AU105</f>
        <v>0</v>
      </c>
      <c r="AV110" s="106">
        <f t="shared" si="367"/>
        <v>0</v>
      </c>
      <c r="AW110" s="106">
        <f>+AV110+AU110</f>
        <v>0</v>
      </c>
      <c r="AX110" s="106">
        <f t="shared" ref="AX110:AY110" si="368">AX107*AX105</f>
        <v>0</v>
      </c>
      <c r="AY110" s="106">
        <f t="shared" si="368"/>
        <v>0</v>
      </c>
      <c r="AZ110" s="106">
        <f>+AY110+AX110</f>
        <v>0</v>
      </c>
      <c r="BA110" s="106">
        <f t="shared" ref="BA110:BB110" si="369">BA107*BA105</f>
        <v>0</v>
      </c>
      <c r="BB110" s="106">
        <f t="shared" si="369"/>
        <v>0</v>
      </c>
      <c r="BC110" s="106">
        <f>+BB110+BA110</f>
        <v>0</v>
      </c>
      <c r="BD110" s="106">
        <f t="shared" ref="BD110:BE110" si="370">BD107*BD105</f>
        <v>0</v>
      </c>
      <c r="BE110" s="106">
        <f t="shared" si="370"/>
        <v>0</v>
      </c>
      <c r="BF110" s="106">
        <f>+BE110+BD110</f>
        <v>0</v>
      </c>
      <c r="BG110" s="106">
        <f t="shared" ref="BG110:BH110" si="371">BG107*BG105</f>
        <v>0</v>
      </c>
      <c r="BH110" s="106">
        <f t="shared" si="371"/>
        <v>0</v>
      </c>
      <c r="BI110" s="106">
        <f>+BH110+BG110</f>
        <v>0</v>
      </c>
      <c r="BJ110" s="106">
        <f t="shared" ref="BJ110:BK110" si="372">BJ107*BJ105</f>
        <v>0</v>
      </c>
      <c r="BK110" s="106">
        <f t="shared" si="372"/>
        <v>0</v>
      </c>
      <c r="BL110" s="106">
        <f>+BK110+BJ110</f>
        <v>0</v>
      </c>
      <c r="BM110" s="106">
        <f t="shared" ref="BM110:BN110" si="373">BM107*BM105</f>
        <v>0</v>
      </c>
      <c r="BN110" s="106">
        <f t="shared" si="373"/>
        <v>0</v>
      </c>
      <c r="BO110" s="106">
        <f>+BN110+BM110</f>
        <v>0</v>
      </c>
      <c r="BP110" s="106">
        <f t="shared" ref="BP110:BQ110" si="374">BP107*BP105</f>
        <v>0</v>
      </c>
      <c r="BQ110" s="106">
        <f t="shared" si="374"/>
        <v>0</v>
      </c>
      <c r="BR110" s="106">
        <f>+BQ110+BP110</f>
        <v>0</v>
      </c>
    </row>
    <row r="111" spans="2:70" outlineLevel="1">
      <c r="B111" s="54"/>
      <c r="C111" s="83" t="s">
        <v>233</v>
      </c>
      <c r="D111" s="58" t="s">
        <v>58</v>
      </c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W111" s="337">
        <v>0</v>
      </c>
      <c r="X111" s="18">
        <f>+Y111-W111</f>
        <v>2.6000000000000014</v>
      </c>
      <c r="Y111" s="42">
        <f>Y108-Y114</f>
        <v>2.6000000000000014</v>
      </c>
      <c r="Z111" s="337">
        <v>0</v>
      </c>
      <c r="AA111" s="337">
        <v>52.6</v>
      </c>
      <c r="AB111" s="337">
        <v>52.6</v>
      </c>
      <c r="AC111" s="23">
        <f>+AC112-AC110</f>
        <v>2.3264150943396227</v>
      </c>
      <c r="AD111" s="23">
        <f>+AD112-AD110</f>
        <v>7.0058358281696052</v>
      </c>
      <c r="AE111" s="19">
        <f>+AE112-AE110</f>
        <v>9.3322509225092283</v>
      </c>
      <c r="AF111" s="171">
        <f>AF108*AF$105</f>
        <v>0</v>
      </c>
      <c r="AG111" s="937">
        <f>AG108*AG$105</f>
        <v>0</v>
      </c>
      <c r="AH111" s="347">
        <f>+AG111+AF111</f>
        <v>0</v>
      </c>
      <c r="AI111" s="106">
        <f t="shared" si="363"/>
        <v>0</v>
      </c>
      <c r="AJ111" s="106">
        <f t="shared" si="363"/>
        <v>0</v>
      </c>
      <c r="AK111" s="106">
        <f>+AJ111+AI111</f>
        <v>0</v>
      </c>
      <c r="AL111" s="106">
        <f t="shared" ref="AL111:AM111" si="375">AL108*AL106</f>
        <v>0</v>
      </c>
      <c r="AM111" s="106">
        <f t="shared" si="375"/>
        <v>0</v>
      </c>
      <c r="AN111" s="106">
        <f>+AM111+AL111</f>
        <v>0</v>
      </c>
      <c r="AO111" s="106">
        <f t="shared" ref="AO111:AP111" si="376">AO108*AO106</f>
        <v>0</v>
      </c>
      <c r="AP111" s="106">
        <f t="shared" si="376"/>
        <v>0</v>
      </c>
      <c r="AQ111" s="106">
        <f>+AP111+AO111</f>
        <v>0</v>
      </c>
      <c r="AR111" s="106">
        <f t="shared" ref="AR111:AS111" si="377">AR108*AR106</f>
        <v>0</v>
      </c>
      <c r="AS111" s="106">
        <f t="shared" si="377"/>
        <v>0</v>
      </c>
      <c r="AT111" s="106">
        <f>+AS111+AR111</f>
        <v>0</v>
      </c>
      <c r="AU111" s="106">
        <f t="shared" ref="AU111:AV111" si="378">AU108*AU106</f>
        <v>0</v>
      </c>
      <c r="AV111" s="106">
        <f t="shared" si="378"/>
        <v>0</v>
      </c>
      <c r="AW111" s="106">
        <f>+AV111+AU111</f>
        <v>0</v>
      </c>
      <c r="AX111" s="106">
        <f t="shared" ref="AX111:AY111" si="379">AX108*AX106</f>
        <v>0</v>
      </c>
      <c r="AY111" s="106">
        <f t="shared" si="379"/>
        <v>0</v>
      </c>
      <c r="AZ111" s="106">
        <f>+AY111+AX111</f>
        <v>0</v>
      </c>
      <c r="BA111" s="106">
        <f t="shared" ref="BA111:BB111" si="380">BA108*BA106</f>
        <v>0</v>
      </c>
      <c r="BB111" s="106">
        <f t="shared" si="380"/>
        <v>0</v>
      </c>
      <c r="BC111" s="106">
        <f>+BB111+BA111</f>
        <v>0</v>
      </c>
      <c r="BD111" s="106">
        <f t="shared" ref="BD111:BE111" si="381">BD108*BD106</f>
        <v>0</v>
      </c>
      <c r="BE111" s="106">
        <f t="shared" si="381"/>
        <v>0</v>
      </c>
      <c r="BF111" s="106">
        <f>+BE111+BD111</f>
        <v>0</v>
      </c>
      <c r="BG111" s="106">
        <f t="shared" ref="BG111:BH111" si="382">BG108*BG106</f>
        <v>0</v>
      </c>
      <c r="BH111" s="106">
        <f t="shared" si="382"/>
        <v>0</v>
      </c>
      <c r="BI111" s="106">
        <f>+BH111+BG111</f>
        <v>0</v>
      </c>
      <c r="BJ111" s="106">
        <f t="shared" ref="BJ111:BK111" si="383">BJ108*BJ106</f>
        <v>0</v>
      </c>
      <c r="BK111" s="106">
        <f t="shared" si="383"/>
        <v>0</v>
      </c>
      <c r="BL111" s="106">
        <f>+BK111+BJ111</f>
        <v>0</v>
      </c>
      <c r="BM111" s="106">
        <f t="shared" ref="BM111:BN111" si="384">BM108*BM106</f>
        <v>0</v>
      </c>
      <c r="BN111" s="106">
        <f t="shared" si="384"/>
        <v>0</v>
      </c>
      <c r="BO111" s="106">
        <f>+BN111+BM111</f>
        <v>0</v>
      </c>
      <c r="BP111" s="106">
        <f t="shared" ref="BP111:BQ111" si="385">BP108*BP106</f>
        <v>0</v>
      </c>
      <c r="BQ111" s="106">
        <f t="shared" si="385"/>
        <v>0</v>
      </c>
      <c r="BR111" s="106">
        <f>+BQ111+BP111</f>
        <v>0</v>
      </c>
    </row>
    <row r="112" spans="2:70" outlineLevel="1">
      <c r="B112" s="54"/>
      <c r="C112" s="60" t="s">
        <v>235</v>
      </c>
      <c r="D112" s="58" t="s">
        <v>58</v>
      </c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W112" s="337">
        <v>0</v>
      </c>
      <c r="X112" s="18">
        <f>+X111+X110</f>
        <v>2.6000000000000014</v>
      </c>
      <c r="Y112" s="42">
        <f>Y109-Y115</f>
        <v>2.6000000000000014</v>
      </c>
      <c r="Z112" s="337">
        <v>0</v>
      </c>
      <c r="AA112" s="337">
        <v>52.6</v>
      </c>
      <c r="AB112" s="337">
        <v>52.6</v>
      </c>
      <c r="AC112" s="337">
        <v>5.4</v>
      </c>
      <c r="AD112" s="18">
        <f>+AE112-AC112</f>
        <v>25.9</v>
      </c>
      <c r="AE112" s="25">
        <v>31.3</v>
      </c>
      <c r="AF112" s="26">
        <f t="shared" ref="AF112:AK112" si="386">AF110+AF111</f>
        <v>0</v>
      </c>
      <c r="AG112" s="933">
        <f t="shared" si="386"/>
        <v>0</v>
      </c>
      <c r="AH112" s="18">
        <f t="shared" si="386"/>
        <v>0</v>
      </c>
      <c r="AI112" s="106">
        <f t="shared" si="386"/>
        <v>0</v>
      </c>
      <c r="AJ112" s="106">
        <f t="shared" si="386"/>
        <v>0</v>
      </c>
      <c r="AK112" s="106">
        <f t="shared" si="386"/>
        <v>0</v>
      </c>
      <c r="AL112" s="106">
        <f t="shared" ref="AL112:AN112" si="387">AL110+AL111</f>
        <v>0</v>
      </c>
      <c r="AM112" s="106">
        <f t="shared" si="387"/>
        <v>0</v>
      </c>
      <c r="AN112" s="106">
        <f t="shared" si="387"/>
        <v>0</v>
      </c>
      <c r="AO112" s="106">
        <f t="shared" ref="AO112:BR112" si="388">AO110+AO111</f>
        <v>0</v>
      </c>
      <c r="AP112" s="106">
        <f t="shared" si="388"/>
        <v>0</v>
      </c>
      <c r="AQ112" s="106">
        <f t="shared" si="388"/>
        <v>0</v>
      </c>
      <c r="AR112" s="106">
        <f t="shared" si="388"/>
        <v>0</v>
      </c>
      <c r="AS112" s="106">
        <f t="shared" si="388"/>
        <v>0</v>
      </c>
      <c r="AT112" s="106">
        <f t="shared" si="388"/>
        <v>0</v>
      </c>
      <c r="AU112" s="106">
        <f t="shared" si="388"/>
        <v>0</v>
      </c>
      <c r="AV112" s="106">
        <f t="shared" si="388"/>
        <v>0</v>
      </c>
      <c r="AW112" s="106">
        <f t="shared" si="388"/>
        <v>0</v>
      </c>
      <c r="AX112" s="106">
        <f t="shared" si="388"/>
        <v>0</v>
      </c>
      <c r="AY112" s="106">
        <f t="shared" si="388"/>
        <v>0</v>
      </c>
      <c r="AZ112" s="106">
        <f t="shared" si="388"/>
        <v>0</v>
      </c>
      <c r="BA112" s="106">
        <f t="shared" si="388"/>
        <v>0</v>
      </c>
      <c r="BB112" s="106">
        <f t="shared" si="388"/>
        <v>0</v>
      </c>
      <c r="BC112" s="106">
        <f t="shared" si="388"/>
        <v>0</v>
      </c>
      <c r="BD112" s="106">
        <f t="shared" si="388"/>
        <v>0</v>
      </c>
      <c r="BE112" s="106">
        <f t="shared" si="388"/>
        <v>0</v>
      </c>
      <c r="BF112" s="106">
        <f t="shared" si="388"/>
        <v>0</v>
      </c>
      <c r="BG112" s="106">
        <f t="shared" si="388"/>
        <v>0</v>
      </c>
      <c r="BH112" s="106">
        <f t="shared" si="388"/>
        <v>0</v>
      </c>
      <c r="BI112" s="106">
        <f t="shared" si="388"/>
        <v>0</v>
      </c>
      <c r="BJ112" s="106">
        <f t="shared" si="388"/>
        <v>0</v>
      </c>
      <c r="BK112" s="106">
        <f t="shared" si="388"/>
        <v>0</v>
      </c>
      <c r="BL112" s="106">
        <f t="shared" si="388"/>
        <v>0</v>
      </c>
      <c r="BM112" s="106">
        <f t="shared" si="388"/>
        <v>0</v>
      </c>
      <c r="BN112" s="106">
        <f t="shared" si="388"/>
        <v>0</v>
      </c>
      <c r="BO112" s="106">
        <f t="shared" si="388"/>
        <v>0</v>
      </c>
      <c r="BP112" s="106">
        <f t="shared" si="388"/>
        <v>0</v>
      </c>
      <c r="BQ112" s="106">
        <f t="shared" si="388"/>
        <v>0</v>
      </c>
      <c r="BR112" s="106">
        <f t="shared" si="388"/>
        <v>0</v>
      </c>
    </row>
    <row r="113" spans="1:70" outlineLevel="1">
      <c r="B113" s="54"/>
      <c r="C113" s="83" t="s">
        <v>194</v>
      </c>
      <c r="D113" s="58" t="s">
        <v>58</v>
      </c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W113" s="18">
        <f t="shared" ref="W113:W115" si="389">W107+W110</f>
        <v>0</v>
      </c>
      <c r="X113" s="18">
        <f>+Y113-W113</f>
        <v>0</v>
      </c>
      <c r="Y113" s="347">
        <f>+Y115-Y114</f>
        <v>0</v>
      </c>
      <c r="Z113" s="18">
        <f t="shared" ref="Z113" si="390">Z107+Z110</f>
        <v>0</v>
      </c>
      <c r="AA113" s="18">
        <f t="shared" ref="AA113" si="391">AA107+AA110</f>
        <v>0</v>
      </c>
      <c r="AB113" s="18">
        <f t="shared" ref="AB113:AC115" si="392">AB107+AB110</f>
        <v>0</v>
      </c>
      <c r="AC113" s="26">
        <f>+AC110+AC107</f>
        <v>-33.126415094339627</v>
      </c>
      <c r="AD113" s="26">
        <f>+AD110+AD107</f>
        <v>-40.005835828169594</v>
      </c>
      <c r="AE113" s="26">
        <f>+AD113+AC113</f>
        <v>-73.132250922509229</v>
      </c>
      <c r="AF113" s="26">
        <f>+AF110+AF107</f>
        <v>-34</v>
      </c>
      <c r="AG113" s="933">
        <f>+AG110+AG107</f>
        <v>-30</v>
      </c>
      <c r="AH113" s="18">
        <f>+AG113+AF113</f>
        <v>-64</v>
      </c>
      <c r="AI113" s="26">
        <f>+AI110+AI107</f>
        <v>0</v>
      </c>
      <c r="AJ113" s="26">
        <f>+AJ110+AJ107</f>
        <v>0</v>
      </c>
      <c r="AK113" s="18">
        <f>+AJ113+AI113</f>
        <v>0</v>
      </c>
      <c r="AL113" s="26">
        <f>+AL110+AL107</f>
        <v>0</v>
      </c>
      <c r="AM113" s="26">
        <f>+AM110+AM107</f>
        <v>0</v>
      </c>
      <c r="AN113" s="18">
        <f>+AM113+AL113</f>
        <v>0</v>
      </c>
      <c r="AO113" s="26">
        <f>+AO110+AO107</f>
        <v>0</v>
      </c>
      <c r="AP113" s="26">
        <f>+AP110+AP107</f>
        <v>0</v>
      </c>
      <c r="AQ113" s="18">
        <f>+AP113+AO113</f>
        <v>0</v>
      </c>
      <c r="AR113" s="26">
        <f>+AR110+AR107</f>
        <v>0</v>
      </c>
      <c r="AS113" s="26">
        <f>+AS110+AS107</f>
        <v>0</v>
      </c>
      <c r="AT113" s="18">
        <f>+AS113+AR113</f>
        <v>0</v>
      </c>
      <c r="AU113" s="26">
        <f>+AU110+AU107</f>
        <v>0</v>
      </c>
      <c r="AV113" s="26">
        <f>+AV110+AV107</f>
        <v>0</v>
      </c>
      <c r="AW113" s="18">
        <f>+AV113+AU113</f>
        <v>0</v>
      </c>
      <c r="AX113" s="26">
        <f>+AX110+AX107</f>
        <v>0</v>
      </c>
      <c r="AY113" s="26">
        <f>+AY110+AY107</f>
        <v>0</v>
      </c>
      <c r="AZ113" s="18">
        <f>+AY113+AX113</f>
        <v>0</v>
      </c>
      <c r="BA113" s="26">
        <f>+BA110+BA107</f>
        <v>0</v>
      </c>
      <c r="BB113" s="26">
        <f>+BB110+BB107</f>
        <v>0</v>
      </c>
      <c r="BC113" s="18">
        <f>+BB113+BA113</f>
        <v>0</v>
      </c>
      <c r="BD113" s="26">
        <f>+BD110+BD107</f>
        <v>0</v>
      </c>
      <c r="BE113" s="26">
        <f>+BE110+BE107</f>
        <v>0</v>
      </c>
      <c r="BF113" s="18">
        <f>+BE113+BD113</f>
        <v>0</v>
      </c>
      <c r="BG113" s="26">
        <f>+BG110+BG107</f>
        <v>0</v>
      </c>
      <c r="BH113" s="26">
        <f>+BH110+BH107</f>
        <v>0</v>
      </c>
      <c r="BI113" s="18">
        <f>+BH113+BG113</f>
        <v>0</v>
      </c>
      <c r="BJ113" s="26">
        <f>+BJ110+BJ107</f>
        <v>0</v>
      </c>
      <c r="BK113" s="26">
        <f>+BK110+BK107</f>
        <v>0</v>
      </c>
      <c r="BL113" s="18">
        <f>+BK113+BJ113</f>
        <v>0</v>
      </c>
      <c r="BM113" s="26">
        <f>+BM110+BM107</f>
        <v>0</v>
      </c>
      <c r="BN113" s="26">
        <f>+BN110+BN107</f>
        <v>0</v>
      </c>
      <c r="BO113" s="18">
        <f>+BN113+BM113</f>
        <v>0</v>
      </c>
      <c r="BP113" s="26">
        <f>+BP110+BP107</f>
        <v>0</v>
      </c>
      <c r="BQ113" s="26">
        <f>+BQ110+BQ107</f>
        <v>0</v>
      </c>
      <c r="BR113" s="18">
        <f>+BQ113+BP113</f>
        <v>0</v>
      </c>
    </row>
    <row r="114" spans="1:70" outlineLevel="1">
      <c r="B114" s="54"/>
      <c r="C114" s="83" t="s">
        <v>233</v>
      </c>
      <c r="D114" s="58" t="s">
        <v>58</v>
      </c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W114" s="18">
        <f t="shared" si="389"/>
        <v>0</v>
      </c>
      <c r="X114" s="18">
        <f>+Y114-W114</f>
        <v>9.1999999999999993</v>
      </c>
      <c r="Y114" s="98">
        <v>9.1999999999999993</v>
      </c>
      <c r="Z114" s="18">
        <f t="shared" ref="Z114" si="393">Z108+Z111</f>
        <v>0</v>
      </c>
      <c r="AA114" s="18">
        <f t="shared" ref="AA114" si="394">AA108+AA111</f>
        <v>-427</v>
      </c>
      <c r="AB114" s="18">
        <f t="shared" si="392"/>
        <v>-427</v>
      </c>
      <c r="AC114" s="26">
        <f>+AC111+AC108</f>
        <v>-25.073584905660375</v>
      </c>
      <c r="AD114" s="26">
        <f>+AD111+AD108</f>
        <v>-5.994164171830402</v>
      </c>
      <c r="AE114" s="26">
        <f>+AD114+AC114</f>
        <v>-31.067749077490777</v>
      </c>
      <c r="AF114" s="26">
        <f>+AF111+AF108</f>
        <v>0</v>
      </c>
      <c r="AG114" s="933">
        <f>+AG111+AG108</f>
        <v>0</v>
      </c>
      <c r="AH114" s="18">
        <f>+AG114+AF114</f>
        <v>0</v>
      </c>
      <c r="AI114" s="26">
        <f>+AI111+AI108</f>
        <v>0</v>
      </c>
      <c r="AJ114" s="26">
        <f>+AJ111+AJ108</f>
        <v>0</v>
      </c>
      <c r="AK114" s="18">
        <f>+AJ114+AI114</f>
        <v>0</v>
      </c>
      <c r="AL114" s="26">
        <f>+AL111+AL108</f>
        <v>0</v>
      </c>
      <c r="AM114" s="26">
        <f>+AM111+AM108</f>
        <v>0</v>
      </c>
      <c r="AN114" s="18">
        <f>+AM114+AL114</f>
        <v>0</v>
      </c>
      <c r="AO114" s="26">
        <f>+AO111+AO108</f>
        <v>0</v>
      </c>
      <c r="AP114" s="26">
        <f>+AP111+AP108</f>
        <v>0</v>
      </c>
      <c r="AQ114" s="18">
        <f>+AP114+AO114</f>
        <v>0</v>
      </c>
      <c r="AR114" s="26">
        <f>+AR111+AR108</f>
        <v>0</v>
      </c>
      <c r="AS114" s="26">
        <f>+AS111+AS108</f>
        <v>0</v>
      </c>
      <c r="AT114" s="18">
        <f>+AS114+AR114</f>
        <v>0</v>
      </c>
      <c r="AU114" s="26">
        <f>+AU111+AU108</f>
        <v>0</v>
      </c>
      <c r="AV114" s="26">
        <f>+AV111+AV108</f>
        <v>0</v>
      </c>
      <c r="AW114" s="18">
        <f>+AV114+AU114</f>
        <v>0</v>
      </c>
      <c r="AX114" s="26">
        <f>+AX111+AX108</f>
        <v>0</v>
      </c>
      <c r="AY114" s="26">
        <f>+AY111+AY108</f>
        <v>0</v>
      </c>
      <c r="AZ114" s="18">
        <f>+AY114+AX114</f>
        <v>0</v>
      </c>
      <c r="BA114" s="26">
        <f>+BA111+BA108</f>
        <v>0</v>
      </c>
      <c r="BB114" s="26">
        <f>+BB111+BB108</f>
        <v>0</v>
      </c>
      <c r="BC114" s="18">
        <f>+BB114+BA114</f>
        <v>0</v>
      </c>
      <c r="BD114" s="26">
        <f>+BD111+BD108</f>
        <v>0</v>
      </c>
      <c r="BE114" s="26">
        <f>+BE111+BE108</f>
        <v>0</v>
      </c>
      <c r="BF114" s="18">
        <f>+BE114+BD114</f>
        <v>0</v>
      </c>
      <c r="BG114" s="26">
        <f>+BG111+BG108</f>
        <v>0</v>
      </c>
      <c r="BH114" s="26">
        <f>+BH111+BH108</f>
        <v>0</v>
      </c>
      <c r="BI114" s="18">
        <f>+BH114+BG114</f>
        <v>0</v>
      </c>
      <c r="BJ114" s="26">
        <f>+BJ111+BJ108</f>
        <v>0</v>
      </c>
      <c r="BK114" s="26">
        <f>+BK111+BK108</f>
        <v>0</v>
      </c>
      <c r="BL114" s="18">
        <f>+BK114+BJ114</f>
        <v>0</v>
      </c>
      <c r="BM114" s="26">
        <f>+BM111+BM108</f>
        <v>0</v>
      </c>
      <c r="BN114" s="26">
        <f>+BN111+BN108</f>
        <v>0</v>
      </c>
      <c r="BO114" s="18">
        <f>+BN114+BM114</f>
        <v>0</v>
      </c>
      <c r="BP114" s="26">
        <f>+BP111+BP108</f>
        <v>0</v>
      </c>
      <c r="BQ114" s="26">
        <f>+BQ111+BQ108</f>
        <v>0</v>
      </c>
      <c r="BR114" s="18">
        <f>+BQ114+BP114</f>
        <v>0</v>
      </c>
    </row>
    <row r="115" spans="1:70" outlineLevel="1">
      <c r="B115" s="54"/>
      <c r="C115" s="82" t="s">
        <v>236</v>
      </c>
      <c r="D115" s="56" t="s">
        <v>58</v>
      </c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W115" s="26">
        <f t="shared" si="389"/>
        <v>0</v>
      </c>
      <c r="X115" s="18">
        <f>+X114+X113</f>
        <v>9.1999999999999993</v>
      </c>
      <c r="Y115" s="345">
        <v>9.1999999999999993</v>
      </c>
      <c r="Z115" s="26">
        <f t="shared" ref="Z115" si="395">Z109+Z112</f>
        <v>0</v>
      </c>
      <c r="AA115" s="26">
        <f t="shared" ref="AA115" si="396">AA109+AA112</f>
        <v>-427</v>
      </c>
      <c r="AB115" s="26">
        <f t="shared" si="392"/>
        <v>-427</v>
      </c>
      <c r="AC115" s="26">
        <f t="shared" si="392"/>
        <v>-58.2</v>
      </c>
      <c r="AD115" s="18">
        <f>+AE115-AC115</f>
        <v>-46</v>
      </c>
      <c r="AE115" s="26">
        <f t="shared" ref="AE115" si="397">AE109+AE112</f>
        <v>-104.2</v>
      </c>
      <c r="AF115" s="26">
        <f t="shared" ref="AF115:AN115" si="398">+AF114+AF113</f>
        <v>-34</v>
      </c>
      <c r="AG115" s="933">
        <f t="shared" si="398"/>
        <v>-30</v>
      </c>
      <c r="AH115" s="26">
        <f t="shared" si="398"/>
        <v>-64</v>
      </c>
      <c r="AI115" s="26">
        <f t="shared" si="398"/>
        <v>0</v>
      </c>
      <c r="AJ115" s="26">
        <f t="shared" si="398"/>
        <v>0</v>
      </c>
      <c r="AK115" s="26">
        <f t="shared" si="398"/>
        <v>0</v>
      </c>
      <c r="AL115" s="26">
        <f t="shared" si="398"/>
        <v>0</v>
      </c>
      <c r="AM115" s="26">
        <f t="shared" si="398"/>
        <v>0</v>
      </c>
      <c r="AN115" s="26">
        <f t="shared" si="398"/>
        <v>0</v>
      </c>
      <c r="AO115" s="26">
        <f t="shared" ref="AO115:BR115" si="399">+AO114+AO113</f>
        <v>0</v>
      </c>
      <c r="AP115" s="26">
        <f t="shared" si="399"/>
        <v>0</v>
      </c>
      <c r="AQ115" s="26">
        <f t="shared" si="399"/>
        <v>0</v>
      </c>
      <c r="AR115" s="26">
        <f t="shared" si="399"/>
        <v>0</v>
      </c>
      <c r="AS115" s="26">
        <f t="shared" si="399"/>
        <v>0</v>
      </c>
      <c r="AT115" s="26">
        <f t="shared" si="399"/>
        <v>0</v>
      </c>
      <c r="AU115" s="26">
        <f t="shared" si="399"/>
        <v>0</v>
      </c>
      <c r="AV115" s="26">
        <f t="shared" si="399"/>
        <v>0</v>
      </c>
      <c r="AW115" s="26">
        <f t="shared" si="399"/>
        <v>0</v>
      </c>
      <c r="AX115" s="26">
        <f t="shared" si="399"/>
        <v>0</v>
      </c>
      <c r="AY115" s="26">
        <f t="shared" si="399"/>
        <v>0</v>
      </c>
      <c r="AZ115" s="26">
        <f t="shared" si="399"/>
        <v>0</v>
      </c>
      <c r="BA115" s="26">
        <f t="shared" si="399"/>
        <v>0</v>
      </c>
      <c r="BB115" s="26">
        <f t="shared" si="399"/>
        <v>0</v>
      </c>
      <c r="BC115" s="26">
        <f t="shared" si="399"/>
        <v>0</v>
      </c>
      <c r="BD115" s="26">
        <f t="shared" si="399"/>
        <v>0</v>
      </c>
      <c r="BE115" s="26">
        <f t="shared" si="399"/>
        <v>0</v>
      </c>
      <c r="BF115" s="26">
        <f t="shared" si="399"/>
        <v>0</v>
      </c>
      <c r="BG115" s="26">
        <f t="shared" si="399"/>
        <v>0</v>
      </c>
      <c r="BH115" s="26">
        <f t="shared" si="399"/>
        <v>0</v>
      </c>
      <c r="BI115" s="26">
        <f t="shared" si="399"/>
        <v>0</v>
      </c>
      <c r="BJ115" s="26">
        <f t="shared" si="399"/>
        <v>0</v>
      </c>
      <c r="BK115" s="26">
        <f t="shared" si="399"/>
        <v>0</v>
      </c>
      <c r="BL115" s="26">
        <f t="shared" si="399"/>
        <v>0</v>
      </c>
      <c r="BM115" s="26">
        <f t="shared" si="399"/>
        <v>0</v>
      </c>
      <c r="BN115" s="26">
        <f t="shared" si="399"/>
        <v>0</v>
      </c>
      <c r="BO115" s="26">
        <f t="shared" si="399"/>
        <v>0</v>
      </c>
      <c r="BP115" s="26">
        <f t="shared" si="399"/>
        <v>0</v>
      </c>
      <c r="BQ115" s="26">
        <f t="shared" si="399"/>
        <v>0</v>
      </c>
      <c r="BR115" s="26">
        <f t="shared" si="399"/>
        <v>0</v>
      </c>
    </row>
    <row r="116" spans="1:70" outlineLevel="1">
      <c r="B116" s="54" t="s">
        <v>203</v>
      </c>
      <c r="C116" s="55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</row>
    <row r="117" spans="1:70" outlineLevel="1">
      <c r="A117" s="700"/>
      <c r="B117" s="54"/>
      <c r="C117" s="82" t="s">
        <v>208</v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</row>
    <row r="118" spans="1:70" outlineLevel="1">
      <c r="A118" s="700"/>
      <c r="B118" s="57"/>
      <c r="C118" s="60" t="s">
        <v>209</v>
      </c>
      <c r="D118" s="58" t="s">
        <v>237</v>
      </c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T118" s="133"/>
      <c r="U118" s="133">
        <f>U22/U8/2</f>
        <v>0.13511552304655755</v>
      </c>
      <c r="V118" s="133">
        <f>V22/V8</f>
        <v>0.14005054455743426</v>
      </c>
      <c r="W118" s="133">
        <f>W22/W8/2</f>
        <v>0.14407801713382684</v>
      </c>
      <c r="X118" s="133">
        <f>X22/X8/2</f>
        <v>0.15289230384807595</v>
      </c>
      <c r="Y118" s="133">
        <f>Y22/Y8</f>
        <v>0.152784135835865</v>
      </c>
      <c r="Z118" s="133">
        <f>Z22/Z8/2</f>
        <v>0.15633038010860248</v>
      </c>
      <c r="AA118" s="133">
        <f>AA22/AA8/2</f>
        <v>0.14480324976406383</v>
      </c>
      <c r="AB118" s="133">
        <f>AB22/AB8</f>
        <v>0.14980526164981056</v>
      </c>
      <c r="AC118" s="20">
        <f>AC22/AC8/2</f>
        <v>0.15498489425981873</v>
      </c>
      <c r="AD118" s="20">
        <f>AD22/AD8/2</f>
        <v>0.15158576051779935</v>
      </c>
      <c r="AE118" s="133">
        <f>AE22/AE8</f>
        <v>0.15435821387378482</v>
      </c>
      <c r="AF118" s="902">
        <f>AF22/AF8/2</f>
        <v>0.15269633972992183</v>
      </c>
      <c r="AG118" s="947">
        <f t="shared" ref="AG118:AG120" si="400">AD118</f>
        <v>0.15158576051779935</v>
      </c>
      <c r="AH118" s="20">
        <f>AH22/AH8</f>
        <v>0.15795371870517777</v>
      </c>
      <c r="AI118" s="22">
        <f t="shared" ref="AI118:AJ120" si="401">AF118</f>
        <v>0.15269633972992183</v>
      </c>
      <c r="AJ118" s="22">
        <f t="shared" si="401"/>
        <v>0.15158576051779935</v>
      </c>
      <c r="AK118" s="20">
        <f>AK22/AK8</f>
        <v>0.16005208068141691</v>
      </c>
      <c r="AL118" s="22">
        <f t="shared" ref="AL118:AM120" si="402">AI118</f>
        <v>0.15269633972992183</v>
      </c>
      <c r="AM118" s="22">
        <f t="shared" si="402"/>
        <v>0.15158576051779935</v>
      </c>
      <c r="AN118" s="20">
        <f>AN22/AN8</f>
        <v>0.15826832692107609</v>
      </c>
      <c r="AO118" s="22">
        <f t="shared" ref="AO118:AO120" si="403">AL118</f>
        <v>0.15269633972992183</v>
      </c>
      <c r="AP118" s="22">
        <f t="shared" ref="AP118:AP120" si="404">AM118</f>
        <v>0.15158576051779935</v>
      </c>
      <c r="AQ118" s="20">
        <f>AQ22/AQ8</f>
        <v>0.15799047593332063</v>
      </c>
      <c r="AR118" s="22">
        <f t="shared" ref="AR118:AR120" si="405">AO118</f>
        <v>0.15269633972992183</v>
      </c>
      <c r="AS118" s="22">
        <f t="shared" ref="AS118:AS120" si="406">AP118</f>
        <v>0.15158576051779935</v>
      </c>
      <c r="AT118" s="20">
        <f>AT22/AT8</f>
        <v>0.15802573614456755</v>
      </c>
      <c r="AU118" s="22">
        <f t="shared" ref="AU118:AU120" si="407">AR118</f>
        <v>0.15269633972992183</v>
      </c>
      <c r="AV118" s="22">
        <f t="shared" ref="AV118:AV120" si="408">AS118</f>
        <v>0.15158576051779935</v>
      </c>
      <c r="AW118" s="20">
        <f>AW22/AW8</f>
        <v>0.15806003787794648</v>
      </c>
      <c r="AX118" s="22">
        <f t="shared" ref="AX118:AX120" si="409">AU118</f>
        <v>0.15269633972992183</v>
      </c>
      <c r="AY118" s="22">
        <f t="shared" ref="AY118:AY120" si="410">AV118</f>
        <v>0.15158576051779935</v>
      </c>
      <c r="AZ118" s="20">
        <f>AZ22/AZ8</f>
        <v>0.15809338744948639</v>
      </c>
      <c r="BA118" s="22">
        <f t="shared" ref="BA118:BA120" si="411">AX118</f>
        <v>0.15269633972992183</v>
      </c>
      <c r="BB118" s="22">
        <f t="shared" ref="BB118:BB120" si="412">AY118</f>
        <v>0.15158576051779935</v>
      </c>
      <c r="BC118" s="20">
        <f>BC22/BC8</f>
        <v>0.15812579130204793</v>
      </c>
      <c r="BD118" s="22">
        <f t="shared" ref="BD118:BD120" si="413">BA118</f>
        <v>0.15269633972992183</v>
      </c>
      <c r="BE118" s="22">
        <f t="shared" ref="BE118:BE120" si="414">BB118</f>
        <v>0.15158576051779935</v>
      </c>
      <c r="BF118" s="20">
        <f>BF22/BF8</f>
        <v>0.15815725599736344</v>
      </c>
      <c r="BG118" s="22">
        <f t="shared" ref="BG118:BG120" si="415">BD118</f>
        <v>0.15269633972992183</v>
      </c>
      <c r="BH118" s="22">
        <f t="shared" ref="BH118:BH120" si="416">BE118</f>
        <v>0.15158576051779935</v>
      </c>
      <c r="BI118" s="20">
        <f>BI22/BI8</f>
        <v>0.15818778820861074</v>
      </c>
      <c r="BJ118" s="22">
        <f t="shared" ref="BJ118:BJ120" si="417">BG118</f>
        <v>0.15269633972992183</v>
      </c>
      <c r="BK118" s="22">
        <f t="shared" ref="BK118:BK120" si="418">BH118</f>
        <v>0.15158576051779935</v>
      </c>
      <c r="BL118" s="20">
        <f>BL22/BL8</f>
        <v>0.15821739471351293</v>
      </c>
      <c r="BM118" s="22">
        <f t="shared" ref="BM118:BM120" si="419">BJ118</f>
        <v>0.15269633972992183</v>
      </c>
      <c r="BN118" s="22">
        <v>0.15210000000000001</v>
      </c>
      <c r="BO118" s="20">
        <f>BO22/BO8</f>
        <v>0.15878291634379499</v>
      </c>
      <c r="BP118" s="22">
        <f t="shared" ref="BP118:BP120" si="420">BM118</f>
        <v>0.15269633972992183</v>
      </c>
      <c r="BQ118" s="22">
        <v>0.1525</v>
      </c>
      <c r="BR118" s="20">
        <f>BR22/BR8</f>
        <v>0.15922843473601977</v>
      </c>
    </row>
    <row r="119" spans="1:70" outlineLevel="1">
      <c r="A119" s="700"/>
      <c r="B119" s="57"/>
      <c r="C119" s="60" t="s">
        <v>115</v>
      </c>
      <c r="D119" s="58" t="s">
        <v>237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T119" s="133"/>
      <c r="U119" s="133">
        <f>U23/U8/2</f>
        <v>0.12858469755021482</v>
      </c>
      <c r="V119" s="133">
        <f>V23/V8</f>
        <v>0.13328118418677418</v>
      </c>
      <c r="W119" s="133">
        <f>W23/W8/2</f>
        <v>0.12906512517674459</v>
      </c>
      <c r="X119" s="133">
        <f>X23/X8/2</f>
        <v>0.12638472430451442</v>
      </c>
      <c r="Y119" s="133">
        <f>Y23/Y8</f>
        <v>0.12629530983395065</v>
      </c>
      <c r="Z119" s="133">
        <f>Z23/Z8/2</f>
        <v>0.131861850638644</v>
      </c>
      <c r="AA119" s="133">
        <f>AA23/AA8/2</f>
        <v>0.12765171720487467</v>
      </c>
      <c r="AB119" s="133">
        <f>AB23/AB8</f>
        <v>0.13206125502764543</v>
      </c>
      <c r="AC119" s="20">
        <f>AC23/AC8/2</f>
        <v>0.14083025623811121</v>
      </c>
      <c r="AD119" s="20">
        <f>AD23/AD8/2</f>
        <v>0.14083063646170443</v>
      </c>
      <c r="AE119" s="133">
        <f>AE23/AE8</f>
        <v>0.14340638216070742</v>
      </c>
      <c r="AF119" s="902">
        <f>AF23/AF8/2</f>
        <v>0.1533182302771855</v>
      </c>
      <c r="AG119" s="947">
        <f t="shared" si="400"/>
        <v>0.14083063646170443</v>
      </c>
      <c r="AH119" s="20">
        <f>AH23/AH8</f>
        <v>0.14674678321207629</v>
      </c>
      <c r="AI119" s="22">
        <f t="shared" si="401"/>
        <v>0.1533182302771855</v>
      </c>
      <c r="AJ119" s="22">
        <f t="shared" si="401"/>
        <v>0.14083063646170443</v>
      </c>
      <c r="AK119" s="20">
        <f>AK23/AK8</f>
        <v>0.14869626482322074</v>
      </c>
      <c r="AL119" s="22">
        <f t="shared" si="402"/>
        <v>0.1533182302771855</v>
      </c>
      <c r="AM119" s="22">
        <f t="shared" si="402"/>
        <v>0.14083063646170443</v>
      </c>
      <c r="AN119" s="20">
        <f>AN23/AN8</f>
        <v>0.14703906973773476</v>
      </c>
      <c r="AO119" s="22">
        <f t="shared" si="403"/>
        <v>0.1533182302771855</v>
      </c>
      <c r="AP119" s="22">
        <f t="shared" si="404"/>
        <v>0.14083063646170443</v>
      </c>
      <c r="AQ119" s="20">
        <f>AQ23/AQ8</f>
        <v>0.1467809324871549</v>
      </c>
      <c r="AR119" s="22">
        <f t="shared" si="405"/>
        <v>0.1533182302771855</v>
      </c>
      <c r="AS119" s="22">
        <f t="shared" si="406"/>
        <v>0.14083063646170443</v>
      </c>
      <c r="AT119" s="20">
        <f>AT23/AT8</f>
        <v>0.14681369095981567</v>
      </c>
      <c r="AU119" s="22">
        <f t="shared" si="407"/>
        <v>0.1533182302771855</v>
      </c>
      <c r="AV119" s="22">
        <f t="shared" si="408"/>
        <v>0.14083063646170443</v>
      </c>
      <c r="AW119" s="20">
        <f>AW23/AW8</f>
        <v>0.14684555895933613</v>
      </c>
      <c r="AX119" s="22">
        <f t="shared" si="409"/>
        <v>0.1533182302771855</v>
      </c>
      <c r="AY119" s="22">
        <f t="shared" si="410"/>
        <v>0.14083063646170443</v>
      </c>
      <c r="AZ119" s="20">
        <f>AZ23/AZ8</f>
        <v>0.14687654235361836</v>
      </c>
      <c r="BA119" s="22">
        <f t="shared" si="411"/>
        <v>0.1533182302771855</v>
      </c>
      <c r="BB119" s="22">
        <f t="shared" si="412"/>
        <v>0.14083063646170443</v>
      </c>
      <c r="BC119" s="20">
        <f>BC23/BC8</f>
        <v>0.1469066471283971</v>
      </c>
      <c r="BD119" s="22">
        <f t="shared" si="413"/>
        <v>0.1533182302771855</v>
      </c>
      <c r="BE119" s="22">
        <f t="shared" si="414"/>
        <v>0.14083063646170443</v>
      </c>
      <c r="BF119" s="20">
        <f>BF23/BF8</f>
        <v>0.14693587937984487</v>
      </c>
      <c r="BG119" s="22">
        <f t="shared" si="415"/>
        <v>0.1533182302771855</v>
      </c>
      <c r="BH119" s="22">
        <f t="shared" si="416"/>
        <v>0.14083063646170443</v>
      </c>
      <c r="BI119" s="20">
        <f>BI23/BI8</f>
        <v>0.14696424530767246</v>
      </c>
      <c r="BJ119" s="22">
        <f t="shared" si="417"/>
        <v>0.1533182302771855</v>
      </c>
      <c r="BK119" s="22">
        <f t="shared" si="418"/>
        <v>0.14083063646170443</v>
      </c>
      <c r="BL119" s="20">
        <f>BL23/BL8</f>
        <v>0.14699175120871844</v>
      </c>
      <c r="BM119" s="22">
        <f t="shared" si="419"/>
        <v>0.1533182302771855</v>
      </c>
      <c r="BN119" s="22">
        <f t="shared" ref="BN119:BN120" si="421">BK119</f>
        <v>0.14083063646170443</v>
      </c>
      <c r="BO119" s="20">
        <f>BO23/BO8</f>
        <v>0.14701840347102049</v>
      </c>
      <c r="BP119" s="22">
        <f t="shared" si="420"/>
        <v>0.1533182302771855</v>
      </c>
      <c r="BQ119" s="22">
        <f t="shared" ref="BQ119:BQ120" si="422">BN119</f>
        <v>0.14083063646170443</v>
      </c>
      <c r="BR119" s="20">
        <f>BR23/BR8</f>
        <v>0.14704420856835826</v>
      </c>
    </row>
    <row r="120" spans="1:70" outlineLevel="1">
      <c r="A120" s="700"/>
      <c r="B120" s="57"/>
      <c r="C120" s="60" t="s">
        <v>210</v>
      </c>
      <c r="D120" s="58" t="s">
        <v>237</v>
      </c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T120" s="133"/>
      <c r="U120" s="133">
        <f>U36/U8/2</f>
        <v>0.24094392197840478</v>
      </c>
      <c r="V120" s="133">
        <f>V36/V8</f>
        <v>0.24974426860821952</v>
      </c>
      <c r="W120" s="133">
        <f>W36/W8/2</f>
        <v>0.21420402561756635</v>
      </c>
      <c r="X120" s="133">
        <f>X36/X8/2</f>
        <v>0.24422163918040976</v>
      </c>
      <c r="Y120" s="133">
        <f>Y36/Y8</f>
        <v>0.24404885763036327</v>
      </c>
      <c r="Z120" s="133">
        <f>Z36/Z8/2</f>
        <v>0.22550399015103217</v>
      </c>
      <c r="AA120" s="133">
        <f>AA36/AA8/2</f>
        <v>0.24808173649009069</v>
      </c>
      <c r="AB120" s="133">
        <f>AB36/AB8</f>
        <v>0.25665134937227396</v>
      </c>
      <c r="AC120" s="20">
        <f>AC36/AC8/2</f>
        <v>0.24639140651225244</v>
      </c>
      <c r="AD120" s="20">
        <f>AD36/AD8/2</f>
        <v>0.27813376483279401</v>
      </c>
      <c r="AE120" s="133">
        <f>AE36/AE8</f>
        <v>0.28322073927610264</v>
      </c>
      <c r="AF120" s="902">
        <f>AF36/AF8/2</f>
        <v>0.26403695806680882</v>
      </c>
      <c r="AG120" s="947">
        <f t="shared" si="400"/>
        <v>0.27813376483279401</v>
      </c>
      <c r="AH120" s="20">
        <f>AH36/AH8</f>
        <v>0.28981787143293475</v>
      </c>
      <c r="AI120" s="22">
        <f t="shared" si="401"/>
        <v>0.26403695806680882</v>
      </c>
      <c r="AJ120" s="22">
        <f t="shared" si="401"/>
        <v>0.27813376483279401</v>
      </c>
      <c r="AK120" s="20">
        <f>AK36/AK8</f>
        <v>0.29366800428472623</v>
      </c>
      <c r="AL120" s="22">
        <f t="shared" si="402"/>
        <v>0.26403695806680882</v>
      </c>
      <c r="AM120" s="22">
        <f t="shared" si="402"/>
        <v>0.27813376483279401</v>
      </c>
      <c r="AN120" s="20">
        <f>AN36/AN8</f>
        <v>0.29039512332807477</v>
      </c>
      <c r="AO120" s="22">
        <f t="shared" si="403"/>
        <v>0.26403695806680882</v>
      </c>
      <c r="AP120" s="22">
        <f t="shared" si="404"/>
        <v>0.27813376483279401</v>
      </c>
      <c r="AQ120" s="20">
        <f>AQ36/AQ8</f>
        <v>0.28988531461633976</v>
      </c>
      <c r="AR120" s="22">
        <f t="shared" si="405"/>
        <v>0.26403695806680882</v>
      </c>
      <c r="AS120" s="22">
        <f t="shared" si="406"/>
        <v>0.27813376483279401</v>
      </c>
      <c r="AT120" s="20">
        <f>AT36/AT8</f>
        <v>0.28995001103155327</v>
      </c>
      <c r="AU120" s="22">
        <f t="shared" si="407"/>
        <v>0.26403695806680882</v>
      </c>
      <c r="AV120" s="22">
        <f t="shared" si="408"/>
        <v>0.27813376483279401</v>
      </c>
      <c r="AW120" s="20">
        <f>AW36/AW8</f>
        <v>0.29001294880494555</v>
      </c>
      <c r="AX120" s="22">
        <f t="shared" si="409"/>
        <v>0.26403695806680882</v>
      </c>
      <c r="AY120" s="22">
        <f t="shared" si="410"/>
        <v>0.27813376483279401</v>
      </c>
      <c r="AZ120" s="20">
        <f>AZ36/AZ8</f>
        <v>0.29007413952534222</v>
      </c>
      <c r="BA120" s="22">
        <f t="shared" si="411"/>
        <v>0.26403695806680882</v>
      </c>
      <c r="BB120" s="22">
        <f t="shared" si="412"/>
        <v>0.27813376483279401</v>
      </c>
      <c r="BC120" s="20">
        <f>BC36/BC8</f>
        <v>0.29013359501428282</v>
      </c>
      <c r="BD120" s="22">
        <f t="shared" si="413"/>
        <v>0.26403695806680882</v>
      </c>
      <c r="BE120" s="22">
        <f t="shared" si="414"/>
        <v>0.27813376483279401</v>
      </c>
      <c r="BF120" s="20">
        <f>BF36/BF8</f>
        <v>0.29019132731141639</v>
      </c>
      <c r="BG120" s="22">
        <f t="shared" si="415"/>
        <v>0.26403695806680882</v>
      </c>
      <c r="BH120" s="22">
        <f t="shared" si="416"/>
        <v>0.27813376483279401</v>
      </c>
      <c r="BI120" s="20">
        <f>BI36/BI8</f>
        <v>0.2902473486608747</v>
      </c>
      <c r="BJ120" s="22">
        <f t="shared" si="417"/>
        <v>0.26403695806680882</v>
      </c>
      <c r="BK120" s="22">
        <f t="shared" si="418"/>
        <v>0.27813376483279401</v>
      </c>
      <c r="BL120" s="20">
        <f>BL36/BL8</f>
        <v>0.29030167149861263</v>
      </c>
      <c r="BM120" s="22">
        <f t="shared" si="419"/>
        <v>0.26403695806680882</v>
      </c>
      <c r="BN120" s="22">
        <f t="shared" si="421"/>
        <v>0.27813376483279401</v>
      </c>
      <c r="BO120" s="20">
        <f>BO36/BO8</f>
        <v>0.29035430844069871</v>
      </c>
      <c r="BP120" s="22">
        <f t="shared" si="420"/>
        <v>0.26403695806680882</v>
      </c>
      <c r="BQ120" s="22">
        <f t="shared" si="422"/>
        <v>0.27813376483279401</v>
      </c>
      <c r="BR120" s="20">
        <f>BR36/BR8</f>
        <v>0.29040527227253782</v>
      </c>
    </row>
    <row r="121" spans="1:70" outlineLevel="1">
      <c r="A121" s="700"/>
      <c r="B121" s="57"/>
      <c r="C121" s="83" t="s">
        <v>211</v>
      </c>
      <c r="D121" s="58" t="s">
        <v>58</v>
      </c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T121" s="131"/>
      <c r="U121" s="131">
        <f>-(U22-T22)</f>
        <v>-1396.5</v>
      </c>
      <c r="V121" s="131">
        <f>-(V22-S22)</f>
        <v>384.5</v>
      </c>
      <c r="W121" s="131">
        <f>-(W22-V22)</f>
        <v>10.700000000000045</v>
      </c>
      <c r="X121" s="131">
        <f>-(X22-W22)</f>
        <v>-82.700000000000045</v>
      </c>
      <c r="Y121" s="131">
        <f>-(Y22-V22)</f>
        <v>-72</v>
      </c>
      <c r="Z121" s="131">
        <f>-(Z22-Y22)</f>
        <v>46.299999999999955</v>
      </c>
      <c r="AA121" s="131">
        <f>-(AA22-Z22)</f>
        <v>10.600000000000136</v>
      </c>
      <c r="AB121" s="131">
        <f>-(AB22-Y22)</f>
        <v>56.900000000000091</v>
      </c>
      <c r="AC121" s="131">
        <f>-(AC22-AB22)</f>
        <v>26.5</v>
      </c>
      <c r="AD121" s="131">
        <f>-(AD22-AC22)</f>
        <v>-20.100000000000136</v>
      </c>
      <c r="AE121" s="131">
        <f>-(AE22-AB22)</f>
        <v>6.3999999999998636</v>
      </c>
      <c r="AF121" s="131">
        <f>-(AF22-AE22)</f>
        <v>30.200000000000045</v>
      </c>
      <c r="AG121" s="950">
        <f>-(AG22-AF22)</f>
        <v>-109.71287056278015</v>
      </c>
      <c r="AH121" s="131">
        <f>-(AH22-AE22)</f>
        <v>-79.512870562780108</v>
      </c>
      <c r="AI121" s="131">
        <f>-(AI22-AH22)</f>
        <v>113.42458533483432</v>
      </c>
      <c r="AJ121" s="131">
        <f>-(AJ22-AI22)</f>
        <v>-151.08530446209602</v>
      </c>
      <c r="AK121" s="131">
        <f>-(AK22-AH22)</f>
        <v>-37.6607191272617</v>
      </c>
      <c r="AL121" s="131">
        <f>-(AL22-AK22)</f>
        <v>57.571783810962643</v>
      </c>
      <c r="AM121" s="131">
        <f>-(AM22-AL22)</f>
        <v>-123.46953535523198</v>
      </c>
      <c r="AN121" s="131">
        <f>-(AN22-AK22)</f>
        <v>-65.89775154426934</v>
      </c>
      <c r="AO121" s="131">
        <f>-(AO22-AN22)</f>
        <v>93.773485841579259</v>
      </c>
      <c r="AP121" s="131">
        <f>-(AP22-AO22)</f>
        <v>-120.03194459120914</v>
      </c>
      <c r="AQ121" s="131">
        <f>-(AQ22-AN22)</f>
        <v>-26.258458749629881</v>
      </c>
      <c r="AR121" s="131">
        <f>-(AR22-AQ22)</f>
        <v>94.24842498819612</v>
      </c>
      <c r="AS121" s="131">
        <f>-(AS22-AR22)</f>
        <v>-122.86839027991755</v>
      </c>
      <c r="AT121" s="131">
        <f>-(AT22-AQ22)</f>
        <v>-28.619965291721428</v>
      </c>
      <c r="AU121" s="131">
        <f>-(AU22-AT22)</f>
        <v>96.257992767648147</v>
      </c>
      <c r="AV121" s="131">
        <f>-(AV22-AU22)</f>
        <v>-125.77723678649068</v>
      </c>
      <c r="AW121" s="131">
        <f>-(AW22-AT22)</f>
        <v>-29.519244018842528</v>
      </c>
      <c r="AX121" s="131">
        <f>-(AX22-AW22)</f>
        <v>98.312703165186804</v>
      </c>
      <c r="AY121" s="131">
        <f>-(AY22-AX22)</f>
        <v>-128.76096711117066</v>
      </c>
      <c r="AZ121" s="131">
        <f>-(AZ22-AW22)</f>
        <v>-30.448263945983854</v>
      </c>
      <c r="BA121" s="131">
        <f>-(BA22-AZ22)</f>
        <v>100.41395701108058</v>
      </c>
      <c r="BB121" s="131">
        <f>-(BB22-BA22)</f>
        <v>-131.82214906967806</v>
      </c>
      <c r="BC121" s="131">
        <f>-(BC22-AZ22)</f>
        <v>-31.408192058597479</v>
      </c>
      <c r="BD121" s="131">
        <f>-(BD22-BC22)</f>
        <v>102.56319537062677</v>
      </c>
      <c r="BE121" s="131">
        <f>-(BE22-BD22)</f>
        <v>-134.96343856343196</v>
      </c>
      <c r="BF121" s="131">
        <f>-(BF22-BC22)</f>
        <v>-32.400243192805192</v>
      </c>
      <c r="BG121" s="131">
        <f>-(BG22-BF22)</f>
        <v>104.76190084419841</v>
      </c>
      <c r="BH121" s="131">
        <f>-(BH22-BG22)</f>
        <v>-138.18758298057401</v>
      </c>
      <c r="BI121" s="131">
        <f>-(BI22-BF22)</f>
        <v>-33.425682136375599</v>
      </c>
      <c r="BJ121" s="131">
        <f>-(BJ22-BI22)</f>
        <v>107.01159890799158</v>
      </c>
      <c r="BK121" s="131">
        <f>-(BK22-BJ22)</f>
        <v>-141.49742473338893</v>
      </c>
      <c r="BL121" s="131">
        <f>-(BL22-BI22)</f>
        <v>-34.485825825397342</v>
      </c>
      <c r="BM121" s="131">
        <f>-(BM22-BL22)</f>
        <v>109.31385929679436</v>
      </c>
      <c r="BN121" s="131">
        <f>-(BN22-BM22)</f>
        <v>-151.24111460378754</v>
      </c>
      <c r="BO121" s="131">
        <f>-(BO22-BL22)</f>
        <v>-41.927255306993175</v>
      </c>
      <c r="BP121" s="131">
        <f>-(BP22-BO22)</f>
        <v>118.01550709598837</v>
      </c>
      <c r="BQ121" s="131">
        <f>-(BQ22-BP22)</f>
        <v>-159.88832271862202</v>
      </c>
      <c r="BR121" s="131">
        <f>-(BR22-BO22)</f>
        <v>-41.872815622633652</v>
      </c>
    </row>
    <row r="122" spans="1:70" outlineLevel="1">
      <c r="A122" s="700"/>
      <c r="B122" s="57"/>
      <c r="C122" s="83" t="s">
        <v>212</v>
      </c>
      <c r="D122" s="58" t="s">
        <v>58</v>
      </c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T122" s="131"/>
      <c r="U122" s="131">
        <f>-(U23-T23)</f>
        <v>-1329</v>
      </c>
      <c r="V122" s="131">
        <f>-(V23-S23)</f>
        <v>353.20000000000005</v>
      </c>
      <c r="W122" s="131">
        <f>-(W23-V23)</f>
        <v>87.599999999999909</v>
      </c>
      <c r="X122" s="131">
        <f>-(X23-W23)</f>
        <v>27.5</v>
      </c>
      <c r="Y122" s="131">
        <f>-(Y23-V23)</f>
        <v>115.09999999999991</v>
      </c>
      <c r="Z122" s="131">
        <f>-(Z23-Y23)</f>
        <v>14.300000000000182</v>
      </c>
      <c r="AA122" s="131">
        <f>-(AA23-Z23)</f>
        <v>-44.800000000000182</v>
      </c>
      <c r="AB122" s="131">
        <f>-(AB23-Y23)</f>
        <v>-30.5</v>
      </c>
      <c r="AC122" s="131">
        <f>-(AC23-AB23)</f>
        <v>-14.199999999999818</v>
      </c>
      <c r="AD122" s="131">
        <f>-(AD23-AC23)</f>
        <v>-46.900000000000091</v>
      </c>
      <c r="AE122" s="131">
        <f>-(AE23-AB23)</f>
        <v>-61.099999999999909</v>
      </c>
      <c r="AF122" s="131">
        <f>-(AF23-AE23)</f>
        <v>-75.099999999999909</v>
      </c>
      <c r="AG122" s="950">
        <f>-(AG23-AF23)</f>
        <v>1.2286275834685512</v>
      </c>
      <c r="AH122" s="131">
        <f>-(AH23-AE23)</f>
        <v>-73.871372416531358</v>
      </c>
      <c r="AI122" s="131">
        <f>-(AI23-AH23)</f>
        <v>2.4982039905664806</v>
      </c>
      <c r="AJ122" s="131">
        <f>-(AJ23-AI23)</f>
        <v>-37.486866686723715</v>
      </c>
      <c r="AK122" s="131">
        <f>-(AK23-AH23)</f>
        <v>-34.988662696157235</v>
      </c>
      <c r="AL122" s="131">
        <f>-(AL23-AK23)</f>
        <v>-56.407509030334268</v>
      </c>
      <c r="AM122" s="131">
        <f>-(AM23-AL23)</f>
        <v>-4.8147473324920611</v>
      </c>
      <c r="AN122" s="131">
        <f>-(AN23-AK23)</f>
        <v>-61.222256362826329</v>
      </c>
      <c r="AO122" s="131">
        <f>-(AO23-AN23)</f>
        <v>-25.002246091907182</v>
      </c>
      <c r="AP122" s="131">
        <f>-(AP23-AO23)</f>
        <v>0.60684479839619598</v>
      </c>
      <c r="AQ122" s="131">
        <f>-(AQ23-AN23)</f>
        <v>-24.395401293510986</v>
      </c>
      <c r="AR122" s="131">
        <f>-(AR23-AQ23)</f>
        <v>-26.49537364488333</v>
      </c>
      <c r="AS122" s="131">
        <f>-(AS23-AR23)</f>
        <v>-9.3983520176834645E-2</v>
      </c>
      <c r="AT122" s="131">
        <f>-(AT23-AQ23)</f>
        <v>-26.589357165060164</v>
      </c>
      <c r="AU122" s="131">
        <f>-(AU23-AT23)</f>
        <v>-26.624790883778815</v>
      </c>
      <c r="AV122" s="131">
        <f>-(AV23-AU23)</f>
        <v>-0.80004050435013596</v>
      </c>
      <c r="AW122" s="131">
        <f>-(AW23-AT23)</f>
        <v>-27.42483138812895</v>
      </c>
      <c r="AX122" s="131">
        <f>-(AX23-AW23)</f>
        <v>-26.776348672066206</v>
      </c>
      <c r="AY122" s="131">
        <f>-(AY23-AX23)</f>
        <v>-1.5115879785757897</v>
      </c>
      <c r="AZ122" s="131">
        <f>-(AZ23-AW23)</f>
        <v>-28.287936650641996</v>
      </c>
      <c r="BA122" s="131">
        <f>-(BA23-AZ23)</f>
        <v>-26.950871762649058</v>
      </c>
      <c r="BB122" s="131">
        <f>-(BB23-BA23)</f>
        <v>-2.2288853769032357</v>
      </c>
      <c r="BC122" s="131">
        <f>-(BC23-AZ23)</f>
        <v>-29.179757139552294</v>
      </c>
      <c r="BD122" s="131">
        <f>-(BD23-BC23)</f>
        <v>-27.149232060849727</v>
      </c>
      <c r="BE122" s="131">
        <f>-(BE23-BD23)</f>
        <v>-2.9521894365934713</v>
      </c>
      <c r="BF122" s="131">
        <f>-(BF23-BC23)</f>
        <v>-30.101421497443198</v>
      </c>
      <c r="BG122" s="131">
        <f>-(BG23-BF23)</f>
        <v>-27.3723509089873</v>
      </c>
      <c r="BH122" s="131">
        <f>-(BH23-BG23)</f>
        <v>-3.6817538654493092</v>
      </c>
      <c r="BI122" s="131">
        <f>-(BI23-BF23)</f>
        <v>-31.05410477443661</v>
      </c>
      <c r="BJ122" s="131">
        <f>-(BJ23-BI23)</f>
        <v>-27.621201487719645</v>
      </c>
      <c r="BK122" s="131">
        <f>-(BK23-BJ23)</f>
        <v>-4.4178289812925868</v>
      </c>
      <c r="BL122" s="131">
        <f>-(BL23-BI23)</f>
        <v>-32.039030469012232</v>
      </c>
      <c r="BM122" s="131">
        <f>-(BM23-BL23)</f>
        <v>-27.896811339989426</v>
      </c>
      <c r="BN122" s="131">
        <f>-(BN23-BM23)</f>
        <v>-5.1606613219487372</v>
      </c>
      <c r="BO122" s="131">
        <f>-(BO23-BL23)</f>
        <v>-33.057472661938164</v>
      </c>
      <c r="BP122" s="131">
        <f>-(BP23-BO23)</f>
        <v>-28.20026502370024</v>
      </c>
      <c r="BQ122" s="131">
        <f>-(BQ23-BP23)</f>
        <v>-5.9104932239918071</v>
      </c>
      <c r="BR122" s="131">
        <f>-(BR23-BO23)</f>
        <v>-34.110758247692047</v>
      </c>
    </row>
    <row r="123" spans="1:70" outlineLevel="1">
      <c r="A123" s="700"/>
      <c r="B123" s="57"/>
      <c r="C123" s="83" t="s">
        <v>213</v>
      </c>
      <c r="D123" s="58" t="s">
        <v>58</v>
      </c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T123" s="131"/>
      <c r="U123" s="131">
        <f>U36-T36</f>
        <v>2490.3000000000002</v>
      </c>
      <c r="V123" s="131">
        <f>V36-S36</f>
        <v>-371.79999999999973</v>
      </c>
      <c r="W123" s="131">
        <f>W36-V36</f>
        <v>-430</v>
      </c>
      <c r="X123" s="131">
        <f>X36-W36</f>
        <v>285.39999999999964</v>
      </c>
      <c r="Y123" s="131">
        <f>Y36-V36</f>
        <v>-144.60000000000036</v>
      </c>
      <c r="Z123" s="131">
        <f>Z36-Y36</f>
        <v>-294.19999999999982</v>
      </c>
      <c r="AA123" s="131">
        <f>AA36-Z36</f>
        <v>366.90000000000009</v>
      </c>
      <c r="AB123" s="131">
        <f>AB36-Y36</f>
        <v>72.700000000000273</v>
      </c>
      <c r="AC123" s="131">
        <f>AC36-AB36</f>
        <v>-216.40000000000009</v>
      </c>
      <c r="AD123" s="131">
        <f>AD36-AC36</f>
        <v>376.30000000000018</v>
      </c>
      <c r="AE123" s="131">
        <f>AE36-AB36</f>
        <v>159.90000000000009</v>
      </c>
      <c r="AF123" s="131">
        <f>AF36-AE36</f>
        <v>-200.70000000000027</v>
      </c>
      <c r="AG123" s="950">
        <f>AG36-AF36</f>
        <v>346.59242397667049</v>
      </c>
      <c r="AH123" s="131">
        <f>AH36-AE36</f>
        <v>145.89242397667022</v>
      </c>
      <c r="AI123" s="131">
        <f>AI36-AH36</f>
        <v>-353.01058618906018</v>
      </c>
      <c r="AJ123" s="131">
        <f>AJ36-AI36</f>
        <v>422.11151995351975</v>
      </c>
      <c r="AK123" s="131">
        <f>AK36-AH36</f>
        <v>69.100933764459569</v>
      </c>
      <c r="AL123" s="131">
        <f>AL36-AK36</f>
        <v>-260.41134053524002</v>
      </c>
      <c r="AM123" s="131">
        <f>AM36-AL36</f>
        <v>381.32236587440184</v>
      </c>
      <c r="AN123" s="131">
        <f>AN36-AK36</f>
        <v>120.91102533916182</v>
      </c>
      <c r="AO123" s="131">
        <f>AO36-AN36</f>
        <v>-329.97303691173965</v>
      </c>
      <c r="AP123" s="131">
        <f>AP36-AO36</f>
        <v>378.15278655176962</v>
      </c>
      <c r="AQ123" s="131">
        <f>AQ36-AN36</f>
        <v>48.179749640029968</v>
      </c>
      <c r="AR123" s="131">
        <f>AR36-AQ36</f>
        <v>-333.5688620367705</v>
      </c>
      <c r="AS123" s="131">
        <f>AS36-AR36</f>
        <v>386.08156948883834</v>
      </c>
      <c r="AT123" s="131">
        <f>AT36-AQ36</f>
        <v>52.512707452067843</v>
      </c>
      <c r="AU123" s="131">
        <f>AU36-AT36</f>
        <v>-340.06783776144084</v>
      </c>
      <c r="AV123" s="131">
        <f>AV36-AU36</f>
        <v>394.23056680626132</v>
      </c>
      <c r="AW123" s="131">
        <f>AW36-AT36</f>
        <v>54.16272904482048</v>
      </c>
      <c r="AX123" s="131">
        <f>AX36-AW36</f>
        <v>-346.73989397861578</v>
      </c>
      <c r="AY123" s="131">
        <f>AY36-AX36</f>
        <v>402.60721459627166</v>
      </c>
      <c r="AZ123" s="131">
        <f>AZ36-AW36</f>
        <v>55.867320617655878</v>
      </c>
      <c r="BA123" s="131">
        <f>BA36-AZ36</f>
        <v>-353.59059553156339</v>
      </c>
      <c r="BB123" s="131">
        <f>BB36-BA36</f>
        <v>411.21921891946658</v>
      </c>
      <c r="BC123" s="131">
        <f>BC36-AZ36</f>
        <v>57.62862338790319</v>
      </c>
      <c r="BD123" s="131">
        <f>BD36-BC36</f>
        <v>-360.62570014501989</v>
      </c>
      <c r="BE123" s="131">
        <f>BE36-BD36</f>
        <v>420.07456651565053</v>
      </c>
      <c r="BF123" s="131">
        <f>BF36-BC36</f>
        <v>59.44886637063064</v>
      </c>
      <c r="BG123" s="131">
        <f>BG36-BF36</f>
        <v>-367.851165729287</v>
      </c>
      <c r="BH123" s="131">
        <f>BH36-BG36</f>
        <v>429.18153596285993</v>
      </c>
      <c r="BI123" s="131">
        <f>BI36-BF36</f>
        <v>61.330370233572921</v>
      </c>
      <c r="BJ123" s="131">
        <f>BJ36-BI36</f>
        <v>-375.27315797669871</v>
      </c>
      <c r="BK123" s="131">
        <f>BK36-BJ36</f>
        <v>438.54870930435436</v>
      </c>
      <c r="BL123" s="131">
        <f>BL36-BI36</f>
        <v>63.275551327655648</v>
      </c>
      <c r="BM123" s="131">
        <f>BM36-BL36</f>
        <v>-382.89805826286511</v>
      </c>
      <c r="BN123" s="131">
        <f>BN36-BM36</f>
        <v>448.18498416426291</v>
      </c>
      <c r="BO123" s="131">
        <f>BO36-BL36</f>
        <v>65.286925901397808</v>
      </c>
      <c r="BP123" s="131">
        <f>BP36-BO36</f>
        <v>-390.73247186568597</v>
      </c>
      <c r="BQ123" s="131">
        <f>BQ36-BP36</f>
        <v>458.09958637355612</v>
      </c>
      <c r="BR123" s="131">
        <f>BR36-BO36</f>
        <v>67.367114507870156</v>
      </c>
    </row>
    <row r="124" spans="1:70" outlineLevel="1">
      <c r="A124" s="700"/>
      <c r="B124" s="57"/>
      <c r="C124" s="82" t="s">
        <v>214</v>
      </c>
      <c r="D124" s="56" t="s">
        <v>58</v>
      </c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T124" s="132"/>
      <c r="U124" s="132">
        <f t="shared" ref="U124:AB124" si="423">+U123+U122+U121</f>
        <v>-235.19999999999982</v>
      </c>
      <c r="V124" s="132">
        <f t="shared" si="423"/>
        <v>365.90000000000032</v>
      </c>
      <c r="W124" s="132">
        <f t="shared" si="423"/>
        <v>-331.70000000000005</v>
      </c>
      <c r="X124" s="132">
        <f t="shared" si="423"/>
        <v>230.19999999999959</v>
      </c>
      <c r="Y124" s="132">
        <f t="shared" si="423"/>
        <v>-101.50000000000045</v>
      </c>
      <c r="Z124" s="132">
        <f t="shared" si="423"/>
        <v>-233.59999999999968</v>
      </c>
      <c r="AA124" s="132">
        <f t="shared" si="423"/>
        <v>332.70000000000005</v>
      </c>
      <c r="AB124" s="132">
        <f t="shared" si="423"/>
        <v>99.100000000000364</v>
      </c>
      <c r="AC124" s="132">
        <f t="shared" ref="AC124:AN124" si="424">+AC123+AC122+AC121</f>
        <v>-204.09999999999991</v>
      </c>
      <c r="AD124" s="132">
        <f t="shared" si="424"/>
        <v>309.29999999999995</v>
      </c>
      <c r="AE124" s="132">
        <f t="shared" si="424"/>
        <v>105.20000000000005</v>
      </c>
      <c r="AF124" s="132">
        <f t="shared" ref="AF124" si="425">+AF123+AF122+AF121</f>
        <v>-245.60000000000014</v>
      </c>
      <c r="AG124" s="951">
        <f>+AG123+AG122+AG121</f>
        <v>238.10818099735889</v>
      </c>
      <c r="AH124" s="132">
        <f t="shared" si="424"/>
        <v>-7.4918190026412503</v>
      </c>
      <c r="AI124" s="132">
        <f>+AI123+AI122+AI121</f>
        <v>-237.08779686365938</v>
      </c>
      <c r="AJ124" s="132">
        <f>+AJ123+AJ122+AJ121</f>
        <v>233.53934880470001</v>
      </c>
      <c r="AK124" s="132">
        <f t="shared" si="424"/>
        <v>-3.5484480589593659</v>
      </c>
      <c r="AL124" s="132">
        <f>+AL123+AL122+AL121</f>
        <v>-259.24706575461164</v>
      </c>
      <c r="AM124" s="132">
        <f>+AM123+AM122+AM121</f>
        <v>253.0380831866778</v>
      </c>
      <c r="AN124" s="132">
        <f t="shared" si="424"/>
        <v>-6.2089825679338446</v>
      </c>
      <c r="AO124" s="132">
        <f>+AO123+AO122+AO121</f>
        <v>-261.20179716206758</v>
      </c>
      <c r="AP124" s="132">
        <f>+AP123+AP122+AP121</f>
        <v>258.72768675895668</v>
      </c>
      <c r="AQ124" s="132">
        <f t="shared" ref="AQ124" si="426">+AQ123+AQ122+AQ121</f>
        <v>-2.4741104031108989</v>
      </c>
      <c r="AR124" s="132">
        <f>+AR123+AR122+AR121</f>
        <v>-265.81581069345771</v>
      </c>
      <c r="AS124" s="132">
        <f>+AS123+AS122+AS121</f>
        <v>263.11919568874396</v>
      </c>
      <c r="AT124" s="132">
        <f t="shared" ref="AT124" si="427">+AT123+AT122+AT121</f>
        <v>-2.6966150047137489</v>
      </c>
      <c r="AU124" s="132">
        <f>+AU123+AU122+AU121</f>
        <v>-270.43463587757151</v>
      </c>
      <c r="AV124" s="132">
        <f>+AV123+AV122+AV121</f>
        <v>267.65328951542051</v>
      </c>
      <c r="AW124" s="132">
        <f t="shared" ref="AW124" si="428">+AW123+AW122+AW121</f>
        <v>-2.7813463621509982</v>
      </c>
      <c r="AX124" s="132">
        <f>+AX123+AX122+AX121</f>
        <v>-275.20353948549518</v>
      </c>
      <c r="AY124" s="132">
        <f>+AY123+AY122+AY121</f>
        <v>272.33465950652521</v>
      </c>
      <c r="AZ124" s="132">
        <f t="shared" ref="AZ124" si="429">+AZ123+AZ122+AZ121</f>
        <v>-2.8688799789699715</v>
      </c>
      <c r="BA124" s="132">
        <f>+BA123+BA122+BA121</f>
        <v>-280.12751028313187</v>
      </c>
      <c r="BB124" s="132">
        <f>+BB123+BB122+BB121</f>
        <v>277.16818447288529</v>
      </c>
      <c r="BC124" s="132">
        <f t="shared" ref="BC124" si="430">+BC123+BC122+BC121</f>
        <v>-2.9593258102465825</v>
      </c>
      <c r="BD124" s="132">
        <f>+BD123+BD122+BD121</f>
        <v>-285.21173683524285</v>
      </c>
      <c r="BE124" s="132">
        <f>+BE123+BE122+BE121</f>
        <v>282.1589385156251</v>
      </c>
      <c r="BF124" s="132">
        <f t="shared" ref="BF124" si="431">+BF123+BF122+BF121</f>
        <v>-3.0527983196177502</v>
      </c>
      <c r="BG124" s="132">
        <f>+BG123+BG122+BG121</f>
        <v>-290.4616157940759</v>
      </c>
      <c r="BH124" s="132">
        <f>+BH123+BH122+BH121</f>
        <v>287.31219911683661</v>
      </c>
      <c r="BI124" s="132">
        <f t="shared" ref="BI124" si="432">+BI123+BI122+BI121</f>
        <v>-3.1494166772392873</v>
      </c>
      <c r="BJ124" s="132">
        <f>+BJ123+BJ122+BJ121</f>
        <v>-295.88276055642677</v>
      </c>
      <c r="BK124" s="132">
        <f>+BK123+BK122+BK121</f>
        <v>292.63345558967285</v>
      </c>
      <c r="BL124" s="132">
        <f t="shared" ref="BL124" si="433">+BL123+BL122+BL121</f>
        <v>-3.2493049667539253</v>
      </c>
      <c r="BM124" s="132">
        <f>+BM123+BM122+BM121</f>
        <v>-301.48101030606017</v>
      </c>
      <c r="BN124" s="132">
        <f>+BN123+BN122+BN121</f>
        <v>291.78320823852664</v>
      </c>
      <c r="BO124" s="132">
        <f t="shared" ref="BO124" si="434">+BO123+BO122+BO121</f>
        <v>-9.6978020675335301</v>
      </c>
      <c r="BP124" s="132">
        <f>+BP123+BP122+BP121</f>
        <v>-300.91722979339784</v>
      </c>
      <c r="BQ124" s="132">
        <f>+BQ123+BQ122+BQ121</f>
        <v>292.30077043094229</v>
      </c>
      <c r="BR124" s="132">
        <f t="shared" ref="BR124" si="435">+BR123+BR122+BR121</f>
        <v>-8.6164593624555437</v>
      </c>
    </row>
    <row r="125" spans="1:70" s="8" customFormat="1" outlineLevel="1">
      <c r="A125" s="700"/>
      <c r="B125" s="55"/>
      <c r="C125" s="82" t="s">
        <v>215</v>
      </c>
      <c r="D125" s="56" t="s">
        <v>58</v>
      </c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T125" s="341"/>
      <c r="U125" s="341">
        <f t="shared" ref="U125:AN125" si="436">U22+U23-U36</f>
        <v>235.19999999999982</v>
      </c>
      <c r="V125" s="341">
        <f t="shared" si="436"/>
        <v>235.19999999999982</v>
      </c>
      <c r="W125" s="341">
        <f t="shared" si="436"/>
        <v>566.89999999999964</v>
      </c>
      <c r="X125" s="341">
        <f t="shared" si="436"/>
        <v>336.70000000000027</v>
      </c>
      <c r="Y125" s="341">
        <f t="shared" si="436"/>
        <v>336.70000000000027</v>
      </c>
      <c r="Z125" s="341">
        <f t="shared" si="436"/>
        <v>570.30000000000018</v>
      </c>
      <c r="AA125" s="341">
        <f t="shared" si="436"/>
        <v>237.59999999999991</v>
      </c>
      <c r="AB125" s="341">
        <f t="shared" si="436"/>
        <v>237.59999999999991</v>
      </c>
      <c r="AC125" s="64">
        <f t="shared" si="436"/>
        <v>441.69999999999982</v>
      </c>
      <c r="AD125" s="64">
        <f t="shared" si="436"/>
        <v>132.39999999999964</v>
      </c>
      <c r="AE125" s="341">
        <f t="shared" si="436"/>
        <v>132.39999999999964</v>
      </c>
      <c r="AF125" s="341">
        <f t="shared" ref="AF125" si="437">AF22+AF23-AF36</f>
        <v>378</v>
      </c>
      <c r="AG125" s="934">
        <f t="shared" si="436"/>
        <v>139.89181900264111</v>
      </c>
      <c r="AH125" s="64">
        <f t="shared" si="436"/>
        <v>139.89181900264111</v>
      </c>
      <c r="AI125" s="64">
        <f>AI22+AI23-AI36</f>
        <v>376.97961586630072</v>
      </c>
      <c r="AJ125" s="64">
        <f t="shared" si="436"/>
        <v>143.44026706160048</v>
      </c>
      <c r="AK125" s="64">
        <f t="shared" si="436"/>
        <v>143.44026706160048</v>
      </c>
      <c r="AL125" s="64">
        <f>AL22+AL23-AL36</f>
        <v>402.68733281621235</v>
      </c>
      <c r="AM125" s="64">
        <f t="shared" si="436"/>
        <v>149.64924962953455</v>
      </c>
      <c r="AN125" s="64">
        <f t="shared" si="436"/>
        <v>149.64924962953455</v>
      </c>
      <c r="AO125" s="64">
        <f>AO22+AO23-AO36</f>
        <v>410.85104679160168</v>
      </c>
      <c r="AP125" s="64">
        <f t="shared" ref="AP125:AQ125" si="438">AP22+AP23-AP36</f>
        <v>152.123360032645</v>
      </c>
      <c r="AQ125" s="64">
        <f t="shared" si="438"/>
        <v>152.123360032645</v>
      </c>
      <c r="AR125" s="64">
        <f>AR22+AR23-AR36</f>
        <v>417.93917072610293</v>
      </c>
      <c r="AS125" s="64">
        <f t="shared" ref="AS125:AT125" si="439">AS22+AS23-AS36</f>
        <v>154.81997503735874</v>
      </c>
      <c r="AT125" s="64">
        <f t="shared" si="439"/>
        <v>154.81997503735874</v>
      </c>
      <c r="AU125" s="64">
        <f>AU22+AU23-AU36</f>
        <v>425.25461091493025</v>
      </c>
      <c r="AV125" s="64">
        <f t="shared" ref="AV125:AW125" si="440">AV22+AV23-AV36</f>
        <v>157.6013213995102</v>
      </c>
      <c r="AW125" s="64">
        <f t="shared" si="440"/>
        <v>157.6013213995102</v>
      </c>
      <c r="AX125" s="64">
        <f>AX22+AX23-AX36</f>
        <v>432.80486088500538</v>
      </c>
      <c r="AY125" s="64">
        <f t="shared" ref="AY125:AZ125" si="441">AY22+AY23-AY36</f>
        <v>160.47020137847994</v>
      </c>
      <c r="AZ125" s="64">
        <f t="shared" si="441"/>
        <v>160.47020137847994</v>
      </c>
      <c r="BA125" s="64">
        <f>BA22+BA23-BA36</f>
        <v>440.59771166161181</v>
      </c>
      <c r="BB125" s="64">
        <f t="shared" ref="BB125:BC125" si="442">BB22+BB23-BB36</f>
        <v>163.42952718872675</v>
      </c>
      <c r="BC125" s="64">
        <f t="shared" si="442"/>
        <v>163.42952718872675</v>
      </c>
      <c r="BD125" s="64">
        <f>BD22+BD23-BD36</f>
        <v>448.64126402396914</v>
      </c>
      <c r="BE125" s="64">
        <f t="shared" ref="BE125:BF125" si="443">BE22+BE23-BE36</f>
        <v>166.48232550834427</v>
      </c>
      <c r="BF125" s="64">
        <f t="shared" si="443"/>
        <v>166.48232550834427</v>
      </c>
      <c r="BG125" s="64">
        <f>BG22+BG23-BG36</f>
        <v>456.94394130242017</v>
      </c>
      <c r="BH125" s="64">
        <f t="shared" ref="BH125:BI125" si="444">BH22+BH23-BH36</f>
        <v>169.63174218558333</v>
      </c>
      <c r="BI125" s="64">
        <f t="shared" si="444"/>
        <v>169.63174218558333</v>
      </c>
      <c r="BJ125" s="64">
        <f>BJ22+BJ23-BJ36</f>
        <v>465.51450274201034</v>
      </c>
      <c r="BK125" s="64">
        <f t="shared" ref="BK125:BL125" si="445">BK22+BK23-BK36</f>
        <v>172.88104715233749</v>
      </c>
      <c r="BL125" s="64">
        <f t="shared" si="445"/>
        <v>172.88104715233749</v>
      </c>
      <c r="BM125" s="64">
        <f>BM22+BM23-BM36</f>
        <v>474.36205745839789</v>
      </c>
      <c r="BN125" s="64">
        <f t="shared" ref="BN125:BO125" si="446">BN22+BN23-BN36</f>
        <v>182.57884921987079</v>
      </c>
      <c r="BO125" s="64">
        <f t="shared" si="446"/>
        <v>182.57884921987079</v>
      </c>
      <c r="BP125" s="64">
        <f>BP22+BP23-BP36</f>
        <v>483.49607901326863</v>
      </c>
      <c r="BQ125" s="64">
        <f t="shared" ref="BQ125:BR125" si="447">BQ22+BQ23-BQ36</f>
        <v>191.19530858232656</v>
      </c>
      <c r="BR125" s="64">
        <f t="shared" si="447"/>
        <v>191.19530858232656</v>
      </c>
    </row>
    <row r="126" spans="1:70" outlineLevel="1">
      <c r="A126" s="700"/>
      <c r="B126" s="57"/>
      <c r="C126" s="60" t="s">
        <v>216</v>
      </c>
      <c r="D126" s="58" t="s">
        <v>237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T126" s="133"/>
      <c r="U126" s="133">
        <f>U125/U8/2</f>
        <v>2.275629861836757E-2</v>
      </c>
      <c r="V126" s="133">
        <f>V125/V8</f>
        <v>2.3587460135988912E-2</v>
      </c>
      <c r="W126" s="133">
        <f>W125/W8/2</f>
        <v>5.8939116693005035E-2</v>
      </c>
      <c r="X126" s="133">
        <f>X125/X8/2</f>
        <v>3.50553889721806E-2</v>
      </c>
      <c r="Y126" s="133">
        <f>Y125/Y8</f>
        <v>3.5030588039452353E-2</v>
      </c>
      <c r="Z126" s="133">
        <f>Z125/Z8/2</f>
        <v>6.268824059621432E-2</v>
      </c>
      <c r="AA126" s="133">
        <f>AA125/AA8/2</f>
        <v>2.4373230478847801E-2</v>
      </c>
      <c r="AB126" s="133">
        <f>AB125/AB8</f>
        <v>2.5215167305182046E-2</v>
      </c>
      <c r="AC126" s="20">
        <f>AC125/AC8/2</f>
        <v>4.9423743985677497E-2</v>
      </c>
      <c r="AD126" s="20">
        <f>AD125/AD8/2</f>
        <v>1.4282632146709778E-2</v>
      </c>
      <c r="AE126" s="133">
        <f>AE125/AE8</f>
        <v>1.454385675838959E-2</v>
      </c>
      <c r="AF126" s="133">
        <f>AF125/AF8/2</f>
        <v>4.1977611940298511E-2</v>
      </c>
      <c r="AG126" s="938">
        <f>AG125/AG8/2</f>
        <v>1.4282632146709757E-2</v>
      </c>
      <c r="AH126" s="133">
        <f>AH125/AH8</f>
        <v>1.4882630484319278E-2</v>
      </c>
      <c r="AI126" s="133">
        <f>AI125/AI8/2</f>
        <v>4.1977611940298511E-2</v>
      </c>
      <c r="AJ126" s="133">
        <f>AJ125/AJ8/2</f>
        <v>1.4282632146709778E-2</v>
      </c>
      <c r="AK126" s="133">
        <f>AK125/AK8</f>
        <v>1.5080341219911428E-2</v>
      </c>
      <c r="AL126" s="133">
        <f>AL125/AL8/2</f>
        <v>4.1977611940298518E-2</v>
      </c>
      <c r="AM126" s="133">
        <f>AM125/AM8/2</f>
        <v>1.4282632146709757E-2</v>
      </c>
      <c r="AN126" s="133">
        <f>AN125/AN8</f>
        <v>1.4912273330736118E-2</v>
      </c>
      <c r="AO126" s="133">
        <f>AO125/AO8/2</f>
        <v>4.1977611940298483E-2</v>
      </c>
      <c r="AP126" s="133">
        <f>AP125/AP8/2</f>
        <v>1.4282632146709747E-2</v>
      </c>
      <c r="AQ126" s="133">
        <f>AQ125/AQ8</f>
        <v>1.4886093804135744E-2</v>
      </c>
      <c r="AR126" s="133">
        <f>AR125/AR8/2</f>
        <v>4.1977611940298504E-2</v>
      </c>
      <c r="AS126" s="133">
        <f>AS125/AS8/2</f>
        <v>1.4282632146709736E-2</v>
      </c>
      <c r="AT126" s="133">
        <f>AT125/AT8</f>
        <v>1.4889416072829937E-2</v>
      </c>
      <c r="AU126" s="133">
        <f>AU125/AU8/2</f>
        <v>4.197761194029849E-2</v>
      </c>
      <c r="AV126" s="133">
        <f>AV125/AV8/2</f>
        <v>1.4282632146709768E-2</v>
      </c>
      <c r="AW126" s="133">
        <f>AW125/AW8</f>
        <v>1.4892648032337065E-2</v>
      </c>
      <c r="AX126" s="133">
        <f>AX125/AX8/2</f>
        <v>4.1977611940298518E-2</v>
      </c>
      <c r="AY126" s="133">
        <f>AY125/AY8/2</f>
        <v>1.4282632146709771E-2</v>
      </c>
      <c r="AZ126" s="133">
        <f>AZ125/AZ8</f>
        <v>1.4895790277762548E-2</v>
      </c>
      <c r="BA126" s="133">
        <f>BA125/BA8/2</f>
        <v>4.1977611940298504E-2</v>
      </c>
      <c r="BB126" s="133">
        <f>BB125/BB8/2</f>
        <v>1.4282632146709804E-2</v>
      </c>
      <c r="BC126" s="133">
        <f>BC125/BC8</f>
        <v>1.4898843416162202E-2</v>
      </c>
      <c r="BD126" s="133">
        <f>BD125/BD8/2</f>
        <v>4.1977611940298497E-2</v>
      </c>
      <c r="BE126" s="133">
        <f>BE125/BE8/2</f>
        <v>1.428263214670975E-2</v>
      </c>
      <c r="BF126" s="133">
        <f>BF125/BF8</f>
        <v>1.4901808065791933E-2</v>
      </c>
      <c r="BG126" s="133">
        <f>BG125/BG8/2</f>
        <v>4.1977611940298497E-2</v>
      </c>
      <c r="BH126" s="133">
        <f>BH125/BH8/2</f>
        <v>1.4282632146709764E-2</v>
      </c>
      <c r="BI126" s="133">
        <f>BI125/BI8</f>
        <v>1.4904684855408473E-2</v>
      </c>
      <c r="BJ126" s="133">
        <f>BJ125/BJ8/2</f>
        <v>4.1977611940298518E-2</v>
      </c>
      <c r="BK126" s="133">
        <f>BK125/BK8/2</f>
        <v>1.4282632146709785E-2</v>
      </c>
      <c r="BL126" s="133">
        <f>BL125/BL8</f>
        <v>1.4907474423618748E-2</v>
      </c>
      <c r="BM126" s="133">
        <f>BM125/BM8/2</f>
        <v>4.1977611940298525E-2</v>
      </c>
      <c r="BN126" s="133">
        <f>BN125/BN8/2</f>
        <v>1.4796871628910432E-2</v>
      </c>
      <c r="BO126" s="133">
        <f>BO125/BO8</f>
        <v>1.5447011374116755E-2</v>
      </c>
      <c r="BP126" s="133">
        <f>BP125/BP8/2</f>
        <v>4.1977611940298469E-2</v>
      </c>
      <c r="BQ126" s="133">
        <f>BQ125/BQ8/2</f>
        <v>1.5196871628910426E-2</v>
      </c>
      <c r="BR126" s="133">
        <f>BR125/BR8</f>
        <v>1.5867371031840227E-2</v>
      </c>
    </row>
    <row r="127" spans="1:70" outlineLevel="1">
      <c r="A127" s="700"/>
      <c r="B127" s="55"/>
      <c r="C127" s="60" t="s">
        <v>204</v>
      </c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T127" s="338"/>
      <c r="U127" s="338">
        <f t="shared" ref="U127:AE127" si="448">U26/U41</f>
        <v>1.009253640776699</v>
      </c>
      <c r="V127" s="338">
        <f t="shared" si="448"/>
        <v>1.009253640776699</v>
      </c>
      <c r="W127" s="338">
        <f t="shared" si="448"/>
        <v>1.0548204798483978</v>
      </c>
      <c r="X127" s="338">
        <f t="shared" si="448"/>
        <v>0.92885913346396698</v>
      </c>
      <c r="Y127" s="338">
        <f t="shared" si="448"/>
        <v>0.92885913346396698</v>
      </c>
      <c r="Z127" s="338">
        <f t="shared" si="448"/>
        <v>0.85283687943262398</v>
      </c>
      <c r="AA127" s="338">
        <f t="shared" si="448"/>
        <v>0.87597388346318439</v>
      </c>
      <c r="AB127" s="338">
        <f t="shared" si="448"/>
        <v>0.87597388346318439</v>
      </c>
      <c r="AC127" s="148">
        <f t="shared" si="448"/>
        <v>0.89403642773207992</v>
      </c>
      <c r="AD127" s="148">
        <f t="shared" si="448"/>
        <v>0.81908583391486367</v>
      </c>
      <c r="AE127" s="338">
        <f t="shared" si="448"/>
        <v>0.81908583391486367</v>
      </c>
      <c r="AF127" s="338">
        <f t="shared" ref="AF127" si="449">AF26/AF41</f>
        <v>0.6426865252213011</v>
      </c>
      <c r="AG127" s="952">
        <f t="shared" ref="AG127:BR127" si="450">AG26/AG41</f>
        <v>0.62124217876035481</v>
      </c>
      <c r="AH127" s="148">
        <f t="shared" si="450"/>
        <v>0.62124217876035481</v>
      </c>
      <c r="AI127" s="148">
        <f t="shared" si="450"/>
        <v>0.64202052339805338</v>
      </c>
      <c r="AJ127" s="148">
        <f t="shared" si="450"/>
        <v>0.62674851560482747</v>
      </c>
      <c r="AK127" s="148">
        <f t="shared" si="450"/>
        <v>0.62674851560482747</v>
      </c>
      <c r="AL127" s="148">
        <f t="shared" si="450"/>
        <v>0.65829268628123161</v>
      </c>
      <c r="AM127" s="148">
        <f t="shared" si="450"/>
        <v>0.63605161635308904</v>
      </c>
      <c r="AN127" s="148">
        <f t="shared" si="450"/>
        <v>0.63605161635308904</v>
      </c>
      <c r="AO127" s="148">
        <f t="shared" si="450"/>
        <v>0.66324787562502685</v>
      </c>
      <c r="AP127" s="148">
        <f t="shared" si="450"/>
        <v>0.63964604562769101</v>
      </c>
      <c r="AQ127" s="148">
        <f t="shared" si="450"/>
        <v>0.63964604562769101</v>
      </c>
      <c r="AR127" s="148">
        <f t="shared" si="450"/>
        <v>0.66747133604672215</v>
      </c>
      <c r="AS127" s="148">
        <f t="shared" si="450"/>
        <v>0.64349353084751826</v>
      </c>
      <c r="AT127" s="148">
        <f t="shared" si="450"/>
        <v>0.64349353084751826</v>
      </c>
      <c r="AU127" s="148">
        <f t="shared" si="450"/>
        <v>0.67175543763115286</v>
      </c>
      <c r="AV127" s="148">
        <f t="shared" si="450"/>
        <v>0.64738729245103843</v>
      </c>
      <c r="AW127" s="148">
        <f t="shared" si="450"/>
        <v>0.64738729245103843</v>
      </c>
      <c r="AX127" s="148">
        <f t="shared" si="450"/>
        <v>0.67609943185258203</v>
      </c>
      <c r="AY127" s="148">
        <f t="shared" si="450"/>
        <v>0.65132646393079074</v>
      </c>
      <c r="AZ127" s="148">
        <f t="shared" si="450"/>
        <v>0.65132646393079074</v>
      </c>
      <c r="BA127" s="148">
        <f t="shared" si="450"/>
        <v>0.68050251276142526</v>
      </c>
      <c r="BB127" s="148">
        <f t="shared" si="450"/>
        <v>0.67931594865275091</v>
      </c>
      <c r="BC127" s="148">
        <f t="shared" si="450"/>
        <v>0.67931594865275091</v>
      </c>
      <c r="BD127" s="148">
        <f t="shared" si="450"/>
        <v>0.71056505385727653</v>
      </c>
      <c r="BE127" s="148">
        <f t="shared" si="450"/>
        <v>0.7429262145606933</v>
      </c>
      <c r="BF127" s="148">
        <f t="shared" si="450"/>
        <v>0.7429262145606933</v>
      </c>
      <c r="BG127" s="148">
        <f t="shared" si="450"/>
        <v>0.778683884927584</v>
      </c>
      <c r="BH127" s="148">
        <f t="shared" si="450"/>
        <v>0.80667052236569203</v>
      </c>
      <c r="BI127" s="148">
        <f t="shared" si="450"/>
        <v>0.80667052236569203</v>
      </c>
      <c r="BJ127" s="148">
        <f t="shared" si="450"/>
        <v>0.84703870749726495</v>
      </c>
      <c r="BK127" s="148">
        <f t="shared" si="450"/>
        <v>0.87065945128843325</v>
      </c>
      <c r="BL127" s="148">
        <f t="shared" si="450"/>
        <v>0.87065945128843325</v>
      </c>
      <c r="BM127" s="148">
        <f t="shared" si="450"/>
        <v>0.91574825109739011</v>
      </c>
      <c r="BN127" s="148">
        <f t="shared" si="450"/>
        <v>0.93486643808777803</v>
      </c>
      <c r="BO127" s="148">
        <f t="shared" si="450"/>
        <v>0.93486643808777803</v>
      </c>
      <c r="BP127" s="148">
        <f t="shared" si="450"/>
        <v>0.98366090304175002</v>
      </c>
      <c r="BQ127" s="148">
        <f t="shared" si="450"/>
        <v>0.99927863220021573</v>
      </c>
      <c r="BR127" s="148">
        <f t="shared" si="450"/>
        <v>0.99927863220021573</v>
      </c>
    </row>
    <row r="128" spans="1:70" outlineLevel="1">
      <c r="A128" s="700"/>
      <c r="B128" s="55"/>
      <c r="C128" s="60" t="s">
        <v>205</v>
      </c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T128" s="338"/>
      <c r="U128" s="338">
        <f t="shared" ref="U128:AE128" si="451">(U26-U23)/U41</f>
        <v>0.60603762135922323</v>
      </c>
      <c r="V128" s="338">
        <f t="shared" si="451"/>
        <v>0.60603762135922323</v>
      </c>
      <c r="W128" s="338">
        <f t="shared" si="451"/>
        <v>0.63473317315826872</v>
      </c>
      <c r="X128" s="338">
        <f t="shared" si="451"/>
        <v>0.59849227084694101</v>
      </c>
      <c r="Y128" s="338">
        <f t="shared" si="451"/>
        <v>0.59849227084694101</v>
      </c>
      <c r="Z128" s="338">
        <f t="shared" si="451"/>
        <v>0.52561374795417348</v>
      </c>
      <c r="AA128" s="338">
        <f t="shared" si="451"/>
        <v>0.53459343794579162</v>
      </c>
      <c r="AB128" s="338">
        <f t="shared" si="451"/>
        <v>0.53459343794579162</v>
      </c>
      <c r="AC128" s="148">
        <f t="shared" si="451"/>
        <v>0.52429494712103408</v>
      </c>
      <c r="AD128" s="148">
        <f t="shared" si="451"/>
        <v>0.49371946964410313</v>
      </c>
      <c r="AE128" s="338">
        <f t="shared" si="451"/>
        <v>0.49371946964410313</v>
      </c>
      <c r="AF128" s="338">
        <f t="shared" ref="AF128" si="452">(AF26-AF23)/AF41</f>
        <v>0.36556333928822338</v>
      </c>
      <c r="AG128" s="952">
        <f t="shared" ref="AG128:BR128" si="453">(AG26-AG23)/AG41</f>
        <v>0.36237508040252286</v>
      </c>
      <c r="AH128" s="148">
        <f t="shared" si="453"/>
        <v>0.36237508040252286</v>
      </c>
      <c r="AI128" s="148">
        <f t="shared" si="453"/>
        <v>0.36528889954427141</v>
      </c>
      <c r="AJ128" s="148">
        <f t="shared" si="453"/>
        <v>0.36471320813131441</v>
      </c>
      <c r="AK128" s="148">
        <f t="shared" si="453"/>
        <v>0.36471320813131441</v>
      </c>
      <c r="AL128" s="148">
        <f t="shared" si="453"/>
        <v>0.37199417880826252</v>
      </c>
      <c r="AM128" s="148">
        <f t="shared" si="453"/>
        <v>0.36866353635089794</v>
      </c>
      <c r="AN128" s="148">
        <f t="shared" si="453"/>
        <v>0.36866353635089794</v>
      </c>
      <c r="AO128" s="148">
        <f t="shared" si="453"/>
        <v>0.37403606645372411</v>
      </c>
      <c r="AP128" s="148">
        <f t="shared" si="453"/>
        <v>0.37018982052012089</v>
      </c>
      <c r="AQ128" s="148">
        <f t="shared" si="453"/>
        <v>0.37018982052012089</v>
      </c>
      <c r="AR128" s="148">
        <f t="shared" si="453"/>
        <v>0.37577643015283368</v>
      </c>
      <c r="AS128" s="148">
        <f t="shared" si="453"/>
        <v>0.37182355854463423</v>
      </c>
      <c r="AT128" s="148">
        <f t="shared" si="453"/>
        <v>0.37182355854463423</v>
      </c>
      <c r="AU128" s="148">
        <f t="shared" si="453"/>
        <v>0.37754178228980195</v>
      </c>
      <c r="AV128" s="148">
        <f t="shared" si="453"/>
        <v>0.37347694667391906</v>
      </c>
      <c r="AW128" s="148">
        <f t="shared" si="453"/>
        <v>0.37347694667391906</v>
      </c>
      <c r="AX128" s="148">
        <f t="shared" si="453"/>
        <v>0.37933181441920971</v>
      </c>
      <c r="AY128" s="148">
        <f t="shared" si="453"/>
        <v>0.37514961696733196</v>
      </c>
      <c r="AZ128" s="148">
        <f t="shared" si="453"/>
        <v>0.37514961696733196</v>
      </c>
      <c r="BA128" s="148">
        <f t="shared" si="453"/>
        <v>0.38114619443296094</v>
      </c>
      <c r="BB128" s="148">
        <f t="shared" si="453"/>
        <v>0.40084699925004358</v>
      </c>
      <c r="BC128" s="148">
        <f t="shared" si="453"/>
        <v>0.40084699925004358</v>
      </c>
      <c r="BD128" s="148">
        <f t="shared" si="453"/>
        <v>0.40858580424568613</v>
      </c>
      <c r="BE128" s="148">
        <f t="shared" si="453"/>
        <v>0.46214011619404954</v>
      </c>
      <c r="BF128" s="148">
        <f t="shared" si="453"/>
        <v>0.46214011619404954</v>
      </c>
      <c r="BG128" s="148">
        <f t="shared" si="453"/>
        <v>0.47404801739925806</v>
      </c>
      <c r="BH128" s="148">
        <f t="shared" si="453"/>
        <v>0.52354281183259288</v>
      </c>
      <c r="BI128" s="148">
        <f t="shared" si="453"/>
        <v>0.52354281183259288</v>
      </c>
      <c r="BJ128" s="148">
        <f t="shared" si="453"/>
        <v>0.53971311522639309</v>
      </c>
      <c r="BK128" s="148">
        <f t="shared" si="453"/>
        <v>0.58516627757191253</v>
      </c>
      <c r="BL128" s="148">
        <f t="shared" si="453"/>
        <v>0.58516627757191253</v>
      </c>
      <c r="BM128" s="148">
        <f t="shared" si="453"/>
        <v>0.60570044377606869</v>
      </c>
      <c r="BN128" s="148">
        <f t="shared" si="453"/>
        <v>0.64698459143003451</v>
      </c>
      <c r="BO128" s="148">
        <f t="shared" si="453"/>
        <v>0.64698459143003451</v>
      </c>
      <c r="BP128" s="148">
        <f t="shared" si="453"/>
        <v>0.67085904418409048</v>
      </c>
      <c r="BQ128" s="148">
        <f t="shared" si="453"/>
        <v>0.70898557332358192</v>
      </c>
      <c r="BR128" s="148">
        <f t="shared" si="453"/>
        <v>0.70898557332358192</v>
      </c>
    </row>
    <row r="129" spans="1:70" outlineLevel="1">
      <c r="A129" s="700"/>
      <c r="B129" s="55"/>
      <c r="C129" s="60" t="s">
        <v>206</v>
      </c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T129" s="338"/>
      <c r="U129" s="338">
        <f>U22/(U8*2)*365</f>
        <v>49.317165911993506</v>
      </c>
      <c r="V129" s="338">
        <f>V22/V8*365</f>
        <v>51.118448763463505</v>
      </c>
      <c r="W129" s="338">
        <f>W22/(W8*2)*365</f>
        <v>52.5884762538468</v>
      </c>
      <c r="X129" s="338">
        <f>X22/(X8*2)*365</f>
        <v>55.805690904547724</v>
      </c>
      <c r="Y129" s="338">
        <f>Y22/Y8*365</f>
        <v>55.766209580090724</v>
      </c>
      <c r="Z129" s="338">
        <f>Z22/(Z8*2)*365</f>
        <v>57.060588739639904</v>
      </c>
      <c r="AA129" s="338">
        <f>AA22/(AA8*2)*365</f>
        <v>52.853186163883301</v>
      </c>
      <c r="AB129" s="338">
        <f>AB22/AB8*365</f>
        <v>54.678920502180858</v>
      </c>
      <c r="AC129" s="148">
        <f>AC22/(AC8*2)*365</f>
        <v>56.569486404833839</v>
      </c>
      <c r="AD129" s="148">
        <f>AD22/(AD8*2)*365</f>
        <v>55.328802588996759</v>
      </c>
      <c r="AE129" s="338">
        <f>AE22/AE8*365</f>
        <v>56.340748063931457</v>
      </c>
      <c r="AF129" s="338">
        <f>AF22/(AF8*2)*365</f>
        <v>55.734164001421469</v>
      </c>
      <c r="AG129" s="952">
        <f>AG22/(AG8*2)*365</f>
        <v>55.328802588996759</v>
      </c>
      <c r="AH129" s="148">
        <f>AH22/AH8*365</f>
        <v>57.653107327389883</v>
      </c>
      <c r="AI129" s="148">
        <f>AI22/(AI8*2)*365</f>
        <v>55.734164001421469</v>
      </c>
      <c r="AJ129" s="148">
        <f>AJ22/(AJ8*2)*365</f>
        <v>55.328802588996759</v>
      </c>
      <c r="AK129" s="148">
        <f>AK22/AK8*365</f>
        <v>58.419009448717169</v>
      </c>
      <c r="AL129" s="148">
        <f>AL22/(AL8*2)*365</f>
        <v>55.734164001421469</v>
      </c>
      <c r="AM129" s="148">
        <f>AM22/(AM8*2)*365</f>
        <v>55.328802588996759</v>
      </c>
      <c r="AN129" s="148">
        <f>AN22/AN8*365</f>
        <v>57.767939326192774</v>
      </c>
      <c r="AO129" s="148">
        <f>AO22/(AO8*2)*365</f>
        <v>55.734164001421469</v>
      </c>
      <c r="AP129" s="148">
        <f>AP22/(AP8*2)*365</f>
        <v>55.328802588996759</v>
      </c>
      <c r="AQ129" s="148">
        <f>AQ22/AQ8*365</f>
        <v>57.666523715662031</v>
      </c>
      <c r="AR129" s="148">
        <f>AR22/(AR8*2)*365</f>
        <v>55.734164001421469</v>
      </c>
      <c r="AS129" s="148">
        <f>AS22/(AS8*2)*365</f>
        <v>55.328802588996759</v>
      </c>
      <c r="AT129" s="148">
        <f>AT22/AT8*365</f>
        <v>57.679393692767157</v>
      </c>
      <c r="AU129" s="148">
        <f>AU22/(AU8*2)*365</f>
        <v>55.734164001421469</v>
      </c>
      <c r="AV129" s="148">
        <f>AV22/(AV8*2)*365</f>
        <v>55.328802588996759</v>
      </c>
      <c r="AW129" s="148">
        <f>AW22/AW8*365</f>
        <v>57.691913825450463</v>
      </c>
      <c r="AX129" s="148">
        <f>AX22/(AX8*2)*365</f>
        <v>55.734164001421469</v>
      </c>
      <c r="AY129" s="148">
        <f>AY22/(AY8*2)*365</f>
        <v>55.328802588996759</v>
      </c>
      <c r="AZ129" s="148">
        <f>AZ22/AZ8*365</f>
        <v>57.704086419062534</v>
      </c>
      <c r="BA129" s="148">
        <f>BA22/(BA8*2)*365</f>
        <v>55.734164001421469</v>
      </c>
      <c r="BB129" s="148">
        <f>BB22/(BB8*2)*365</f>
        <v>55.328802588996759</v>
      </c>
      <c r="BC129" s="148">
        <f>BC22/BC8*365</f>
        <v>57.715913825247497</v>
      </c>
      <c r="BD129" s="148">
        <f>BD22/(BD8*2)*365</f>
        <v>55.734164001421469</v>
      </c>
      <c r="BE129" s="148">
        <f>BE22/(BE8*2)*365</f>
        <v>55.328802588996759</v>
      </c>
      <c r="BF129" s="148">
        <f>BF22/BF8*365</f>
        <v>57.727398439037657</v>
      </c>
      <c r="BG129" s="148">
        <f>BG22/(BG8*2)*365</f>
        <v>55.734164001421469</v>
      </c>
      <c r="BH129" s="148">
        <f>BH22/(BH8*2)*365</f>
        <v>55.328802588996759</v>
      </c>
      <c r="BI129" s="148">
        <f>BI22/BI8*365</f>
        <v>57.738542696142922</v>
      </c>
      <c r="BJ129" s="148">
        <f>BJ22/(BJ8*2)*365</f>
        <v>55.734164001421469</v>
      </c>
      <c r="BK129" s="148">
        <f>BK22/(BK8*2)*365</f>
        <v>55.328802588996759</v>
      </c>
      <c r="BL129" s="148">
        <f>BL22/BL8*365</f>
        <v>57.749349070432217</v>
      </c>
      <c r="BM129" s="148">
        <f>BM22/(BM8*2)*365</f>
        <v>55.734164001421469</v>
      </c>
      <c r="BN129" s="148">
        <f>BN22/(BN8*2)*365</f>
        <v>55.516500000000008</v>
      </c>
      <c r="BO129" s="148">
        <f>BO22/BO8*365</f>
        <v>57.955764465485174</v>
      </c>
      <c r="BP129" s="148">
        <f>BP22/(BP8*2)*365</f>
        <v>55.734164001421469</v>
      </c>
      <c r="BQ129" s="148">
        <f>BQ22/(BQ8*2)*365</f>
        <v>55.662500000000001</v>
      </c>
      <c r="BR129" s="148">
        <f>BR22/BR8*365</f>
        <v>58.118378678647218</v>
      </c>
    </row>
    <row r="130" spans="1:70" outlineLevel="1">
      <c r="A130" s="700"/>
      <c r="B130" s="55"/>
      <c r="C130" s="60" t="s">
        <v>207</v>
      </c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T130" s="338"/>
      <c r="U130" s="338">
        <f>U36/(U8*2)*365</f>
        <v>87.944531522117742</v>
      </c>
      <c r="V130" s="338">
        <f>V36/V8*365</f>
        <v>91.156658042000132</v>
      </c>
      <c r="W130" s="338">
        <f>W36/(W8*2)*365</f>
        <v>78.184469350411717</v>
      </c>
      <c r="X130" s="338">
        <f>X36/(X8*2)*365</f>
        <v>89.140898300849557</v>
      </c>
      <c r="Y130" s="338">
        <f>Y36/Y8*365</f>
        <v>89.077833035082591</v>
      </c>
      <c r="Z130" s="338">
        <f>Z36/(Z8*2)*365</f>
        <v>82.30895640512675</v>
      </c>
      <c r="AA130" s="338">
        <f>AA36/(AA8*2)*365</f>
        <v>90.549833818883101</v>
      </c>
      <c r="AB130" s="338">
        <f>AB36/AB8*365</f>
        <v>93.677742520880003</v>
      </c>
      <c r="AC130" s="148">
        <f>AC36/(AC8*2)*365</f>
        <v>89.932863376972136</v>
      </c>
      <c r="AD130" s="148">
        <f>AD36/(AD8*2)*365</f>
        <v>101.51882416396981</v>
      </c>
      <c r="AE130" s="338">
        <f>AE36/AE8*365</f>
        <v>103.37556983577747</v>
      </c>
      <c r="AF130" s="338">
        <f>AF36/(AF8*2)*365</f>
        <v>96.373489694385228</v>
      </c>
      <c r="AG130" s="952">
        <f>AG36/(AG8*2)*365</f>
        <v>101.51882416396981</v>
      </c>
      <c r="AH130" s="148">
        <f>AH36/AH8*365</f>
        <v>105.78352307302119</v>
      </c>
      <c r="AI130" s="148">
        <f>AI36/(AI8*2)*365</f>
        <v>96.373489694385228</v>
      </c>
      <c r="AJ130" s="148">
        <f>AJ36/(AJ8*2)*365</f>
        <v>101.51882416396981</v>
      </c>
      <c r="AK130" s="148">
        <f>AK36/AK8*365</f>
        <v>107.18882156392507</v>
      </c>
      <c r="AL130" s="148">
        <f>AL36/(AL8*2)*365</f>
        <v>96.373489694385228</v>
      </c>
      <c r="AM130" s="148">
        <f>AM36/(AM8*2)*365</f>
        <v>101.51882416396981</v>
      </c>
      <c r="AN130" s="148">
        <f>AN36/AN8*365</f>
        <v>105.99422001474728</v>
      </c>
      <c r="AO130" s="148">
        <f>AO36/(AO8*2)*365</f>
        <v>96.373489694385228</v>
      </c>
      <c r="AP130" s="148">
        <f>AP36/(AP8*2)*365</f>
        <v>101.51882416396981</v>
      </c>
      <c r="AQ130" s="148">
        <f>AQ36/AQ8*365</f>
        <v>105.80813983496401</v>
      </c>
      <c r="AR130" s="148">
        <f>AR36/(AR8*2)*365</f>
        <v>96.373489694385228</v>
      </c>
      <c r="AS130" s="148">
        <f>AS36/(AS8*2)*365</f>
        <v>101.51882416396981</v>
      </c>
      <c r="AT130" s="148">
        <f>AT36/AT8*365</f>
        <v>105.83175402651695</v>
      </c>
      <c r="AU130" s="148">
        <f>AU36/(AU8*2)*365</f>
        <v>96.373489694385228</v>
      </c>
      <c r="AV130" s="148">
        <f>AV36/(AV8*2)*365</f>
        <v>101.51882416396981</v>
      </c>
      <c r="AW130" s="148">
        <f>AW36/AW8*365</f>
        <v>105.85472631380513</v>
      </c>
      <c r="AX130" s="148">
        <f>AX36/(AX8*2)*365</f>
        <v>96.373489694385228</v>
      </c>
      <c r="AY130" s="148">
        <f>AY36/(AY8*2)*365</f>
        <v>101.51882416396981</v>
      </c>
      <c r="AZ130" s="148">
        <f>AZ36/AZ8*365</f>
        <v>105.87706092674991</v>
      </c>
      <c r="BA130" s="148">
        <f>BA36/(BA8*2)*365</f>
        <v>96.373489694385228</v>
      </c>
      <c r="BB130" s="148">
        <f>BB36/(BB8*2)*365</f>
        <v>101.51882416396981</v>
      </c>
      <c r="BC130" s="148">
        <f>BC36/BC8*365</f>
        <v>105.89876218021323</v>
      </c>
      <c r="BD130" s="148">
        <f>BD36/(BD8*2)*365</f>
        <v>96.373489694385228</v>
      </c>
      <c r="BE130" s="148">
        <f>BE36/(BE8*2)*365</f>
        <v>101.51882416396981</v>
      </c>
      <c r="BF130" s="148">
        <f>BF36/BF8*365</f>
        <v>105.91983446866698</v>
      </c>
      <c r="BG130" s="148">
        <f>BG36/(BG8*2)*365</f>
        <v>96.373489694385228</v>
      </c>
      <c r="BH130" s="148">
        <f>BH36/(BH8*2)*365</f>
        <v>101.51882416396981</v>
      </c>
      <c r="BI130" s="148">
        <f>BI36/BI8*365</f>
        <v>105.94028226121927</v>
      </c>
      <c r="BJ130" s="148">
        <f>BJ36/(BJ8*2)*365</f>
        <v>96.373489694385228</v>
      </c>
      <c r="BK130" s="148">
        <f>BK36/(BK8*2)*365</f>
        <v>101.51882416396981</v>
      </c>
      <c r="BL130" s="148">
        <f>BL36/BL8*365</f>
        <v>105.96011009699362</v>
      </c>
      <c r="BM130" s="148">
        <f>BM36/(BM8*2)*365</f>
        <v>96.373489694385228</v>
      </c>
      <c r="BN130" s="148">
        <f>BN36/(BN8*2)*365</f>
        <v>101.51882416396981</v>
      </c>
      <c r="BO130" s="148">
        <f>BO36/BO8*365</f>
        <v>105.97932258085503</v>
      </c>
      <c r="BP130" s="148">
        <f>BP36/(BP8*2)*365</f>
        <v>96.373489694385228</v>
      </c>
      <c r="BQ130" s="148">
        <f>BQ36/(BQ8*2)*365</f>
        <v>101.51882416396981</v>
      </c>
      <c r="BR130" s="148">
        <f>BR36/BR8*365</f>
        <v>105.9979243794763</v>
      </c>
    </row>
    <row r="131" spans="1:70" outlineLevel="1">
      <c r="A131" s="699"/>
      <c r="B131" s="55"/>
      <c r="C131" s="60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148"/>
      <c r="AD131" s="148"/>
      <c r="AE131" s="338"/>
      <c r="AF131" s="338"/>
      <c r="AG131" s="952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</row>
    <row r="132" spans="1:70" outlineLevel="1">
      <c r="B132" s="55"/>
      <c r="C132" s="75" t="s">
        <v>119</v>
      </c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T132" s="130"/>
      <c r="U132" s="130"/>
      <c r="V132" s="130"/>
      <c r="W132" s="130"/>
      <c r="X132" s="130"/>
      <c r="Y132" s="130"/>
      <c r="Z132" s="130"/>
      <c r="AA132" s="130"/>
      <c r="AB132" s="130"/>
    </row>
    <row r="133" spans="1:70" outlineLevel="1">
      <c r="B133" s="55"/>
      <c r="C133" s="60" t="s">
        <v>199</v>
      </c>
      <c r="D133" s="58" t="s">
        <v>58</v>
      </c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T133" s="26"/>
      <c r="U133" s="26"/>
      <c r="V133" s="26"/>
      <c r="W133" s="26">
        <f>V139</f>
        <v>2920.1</v>
      </c>
      <c r="X133" s="26">
        <f>W139</f>
        <v>2661.3</v>
      </c>
      <c r="Y133" s="26">
        <f>V139</f>
        <v>2920.1</v>
      </c>
      <c r="Z133" s="26">
        <f>Y139</f>
        <v>2566.6999999999998</v>
      </c>
      <c r="AA133" s="26">
        <f>Z139</f>
        <v>2484.6999999999998</v>
      </c>
      <c r="AB133" s="26">
        <f>Y139</f>
        <v>2566.6999999999998</v>
      </c>
      <c r="AC133" s="18">
        <f>AB139</f>
        <v>2690.9</v>
      </c>
      <c r="AD133" s="18">
        <f>AC139</f>
        <v>2684.1</v>
      </c>
      <c r="AE133" s="26">
        <f>AB139</f>
        <v>2690.9</v>
      </c>
      <c r="AF133" s="26">
        <f>AE139</f>
        <v>2765.3</v>
      </c>
      <c r="AG133" s="933">
        <f>AF139</f>
        <v>2780.2</v>
      </c>
      <c r="AH133" s="18">
        <f>AE139</f>
        <v>2765.3</v>
      </c>
      <c r="AI133" s="18">
        <f>AH139</f>
        <v>2773.3096471052631</v>
      </c>
      <c r="AJ133" s="18">
        <f>AI139</f>
        <v>2768.3636771052629</v>
      </c>
      <c r="AK133" s="18">
        <f>AH139</f>
        <v>2773.3096471052631</v>
      </c>
      <c r="AL133" s="18">
        <f>AK139</f>
        <v>2762.5865286684211</v>
      </c>
      <c r="AM133" s="18">
        <f>AL139</f>
        <v>2757.996078668421</v>
      </c>
      <c r="AN133" s="18">
        <f>AK139</f>
        <v>2762.5865286684211</v>
      </c>
      <c r="AO133" s="18">
        <f>AN139</f>
        <v>2753.2987195039473</v>
      </c>
      <c r="AP133" s="18">
        <f>AO139</f>
        <v>2748.6623650039469</v>
      </c>
      <c r="AQ133" s="18">
        <f>AN139</f>
        <v>2753.2987195039473</v>
      </c>
      <c r="AR133" s="18">
        <f>AQ139</f>
        <v>2743.9180322478287</v>
      </c>
      <c r="AS133" s="18">
        <f>AR139</f>
        <v>2739.2353142028287</v>
      </c>
      <c r="AT133" s="18">
        <f>AQ139</f>
        <v>2743.9180322478287</v>
      </c>
      <c r="AU133" s="18">
        <f>AT139</f>
        <v>2734.4435381191488</v>
      </c>
      <c r="AV133" s="18">
        <f>AU139</f>
        <v>2729.7139928936986</v>
      </c>
      <c r="AW133" s="18">
        <f>AT139</f>
        <v>2734.4435381191488</v>
      </c>
      <c r="AX133" s="18">
        <f>AW139</f>
        <v>2724.8742990491824</v>
      </c>
      <c r="AY133" s="18">
        <f>AX139</f>
        <v>2720.0974583714778</v>
      </c>
      <c r="AZ133" s="18">
        <f>AW139</f>
        <v>2724.8742990491824</v>
      </c>
      <c r="BA133" s="18">
        <f>AZ139</f>
        <v>2715.2093675885162</v>
      </c>
      <c r="BB133" s="18">
        <f>BA139</f>
        <v>2710.3847585040348</v>
      </c>
      <c r="BC133" s="18">
        <f>AZ139</f>
        <v>2715.2093675885162</v>
      </c>
      <c r="BD133" s="18">
        <f>BC139</f>
        <v>2705.4477868132435</v>
      </c>
      <c r="BE133" s="18">
        <f>BD139</f>
        <v>2700.574931637917</v>
      </c>
      <c r="BF133" s="18">
        <f>BC139</f>
        <v>2705.4477868132435</v>
      </c>
      <c r="BG133" s="18">
        <f>BF139</f>
        <v>2695.588590230218</v>
      </c>
      <c r="BH133" s="18">
        <f>BG139</f>
        <v>2690.6670065031385</v>
      </c>
      <c r="BI133" s="18">
        <f>BF139</f>
        <v>2695.588590230218</v>
      </c>
      <c r="BJ133" s="18">
        <f>BI139</f>
        <v>2685.6308016813623</v>
      </c>
      <c r="BK133" s="18">
        <f>BJ139</f>
        <v>2680.660002117012</v>
      </c>
      <c r="BL133" s="18">
        <f>BI139</f>
        <v>2685.6308016813623</v>
      </c>
      <c r="BM133" s="18">
        <f>BL139</f>
        <v>2675.5734352470181</v>
      </c>
      <c r="BN133" s="18">
        <f>BM139</f>
        <v>2670.5529276870243</v>
      </c>
      <c r="BO133" s="18">
        <f>BL139</f>
        <v>2675.5734352470181</v>
      </c>
      <c r="BP133" s="18">
        <f>BO139</f>
        <v>2665.4154951483306</v>
      </c>
      <c r="BQ133" s="18">
        <f>BP139</f>
        <v>2660.3447825127364</v>
      </c>
      <c r="BR133" s="18">
        <f>BO139</f>
        <v>2665.4154951483306</v>
      </c>
    </row>
    <row r="134" spans="1:70" outlineLevel="1">
      <c r="B134" s="55"/>
      <c r="C134" s="60" t="s">
        <v>190</v>
      </c>
      <c r="D134" s="58" t="s">
        <v>58</v>
      </c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T134" s="130"/>
      <c r="U134" s="26">
        <f t="shared" ref="U134:AB134" si="454">-U155</f>
        <v>151.75</v>
      </c>
      <c r="V134" s="26">
        <f t="shared" si="454"/>
        <v>332.5</v>
      </c>
      <c r="W134" s="26">
        <f t="shared" si="454"/>
        <v>156.4</v>
      </c>
      <c r="X134" s="26">
        <f t="shared" si="454"/>
        <v>166.6</v>
      </c>
      <c r="Y134" s="26">
        <f t="shared" si="454"/>
        <v>323</v>
      </c>
      <c r="Z134" s="26">
        <f t="shared" si="454"/>
        <v>162.20000000000002</v>
      </c>
      <c r="AA134" s="26">
        <f t="shared" si="454"/>
        <v>186.69999999999996</v>
      </c>
      <c r="AB134" s="26">
        <f t="shared" si="454"/>
        <v>348.9</v>
      </c>
      <c r="AC134" s="18">
        <f>-AC155</f>
        <v>203.79999999999998</v>
      </c>
      <c r="AD134" s="18">
        <f t="shared" ref="AD134:AM134" si="455">-AD155</f>
        <v>175.4</v>
      </c>
      <c r="AE134" s="26">
        <f t="shared" si="455"/>
        <v>379.2</v>
      </c>
      <c r="AF134" s="26">
        <f>-AF155</f>
        <v>187.1</v>
      </c>
      <c r="AG134" s="933">
        <f t="shared" si="455"/>
        <v>182.30766543859659</v>
      </c>
      <c r="AH134" s="18">
        <f>-AH155</f>
        <v>369.40766543859661</v>
      </c>
      <c r="AI134" s="18">
        <f>-AI155</f>
        <v>175.06229000000002</v>
      </c>
      <c r="AJ134" s="18">
        <f t="shared" si="455"/>
        <v>187.86565032982463</v>
      </c>
      <c r="AK134" s="18">
        <f>-AK155</f>
        <v>362.92794032982465</v>
      </c>
      <c r="AL134" s="18">
        <f>-AL155</f>
        <v>187.80040999999997</v>
      </c>
      <c r="AM134" s="18">
        <f t="shared" si="455"/>
        <v>195.00719279385976</v>
      </c>
      <c r="AN134" s="18">
        <f>-AN155</f>
        <v>382.8076027938597</v>
      </c>
      <c r="AO134" s="18">
        <f>-AO155</f>
        <v>189.6784141</v>
      </c>
      <c r="AP134" s="18">
        <f t="shared" ref="AP134" si="456">-AP155</f>
        <v>196.95726472179834</v>
      </c>
      <c r="AQ134" s="18">
        <f>-AQ155</f>
        <v>386.63567882179831</v>
      </c>
      <c r="AR134" s="18">
        <f>-AR155</f>
        <v>191.57519824099998</v>
      </c>
      <c r="AS134" s="18">
        <f t="shared" ref="AS134" si="457">-AS155</f>
        <v>198.92683736901634</v>
      </c>
      <c r="AT134" s="18">
        <f>-AT155</f>
        <v>390.50203561001626</v>
      </c>
      <c r="AU134" s="18">
        <f>-AU155</f>
        <v>193.49095022340998</v>
      </c>
      <c r="AV134" s="18">
        <f t="shared" ref="AV134" si="458">-AV155</f>
        <v>200.91610574270649</v>
      </c>
      <c r="AW134" s="18">
        <f>-AW155</f>
        <v>394.40705596611645</v>
      </c>
      <c r="AX134" s="18">
        <f>-AX155</f>
        <v>195.4258597256441</v>
      </c>
      <c r="AY134" s="18">
        <f t="shared" ref="AY134" si="459">-AY155</f>
        <v>202.92526680013353</v>
      </c>
      <c r="AZ134" s="18">
        <f>-AZ155</f>
        <v>398.3511265257776</v>
      </c>
      <c r="BA134" s="18">
        <f>-BA155</f>
        <v>197.38011832290053</v>
      </c>
      <c r="BB134" s="18">
        <f t="shared" ref="BB134" si="460">-BB155</f>
        <v>204.95451946813489</v>
      </c>
      <c r="BC134" s="18">
        <f>-BC155</f>
        <v>402.33463779103539</v>
      </c>
      <c r="BD134" s="18">
        <f>-BD155</f>
        <v>199.35391950612956</v>
      </c>
      <c r="BE134" s="18">
        <f t="shared" ref="BE134" si="461">-BE155</f>
        <v>207.00406466281621</v>
      </c>
      <c r="BF134" s="18">
        <f>-BF155</f>
        <v>406.35798416894573</v>
      </c>
      <c r="BG134" s="18">
        <f>-BG155</f>
        <v>201.34745870119085</v>
      </c>
      <c r="BH134" s="18">
        <f t="shared" ref="BH134" si="462">-BH155</f>
        <v>209.07410530944438</v>
      </c>
      <c r="BI134" s="18">
        <f>-BI155</f>
        <v>410.42156401063522</v>
      </c>
      <c r="BJ134" s="18">
        <f>-BJ155</f>
        <v>203.36093328820274</v>
      </c>
      <c r="BK134" s="18">
        <f t="shared" ref="BK134" si="463">-BK155</f>
        <v>211.16484636253884</v>
      </c>
      <c r="BL134" s="18">
        <f>-BL155</f>
        <v>414.52577965074158</v>
      </c>
      <c r="BM134" s="18">
        <f>-BM155</f>
        <v>205.39454262108478</v>
      </c>
      <c r="BN134" s="18">
        <f t="shared" ref="BN134" si="464">-BN155</f>
        <v>213.27649482616422</v>
      </c>
      <c r="BO134" s="18">
        <f>-BO155</f>
        <v>418.67103744724903</v>
      </c>
      <c r="BP134" s="18">
        <f>-BP155</f>
        <v>207.44848804729563</v>
      </c>
      <c r="BQ134" s="18">
        <f t="shared" ref="BQ134" si="465">-BQ155</f>
        <v>215.40925977442586</v>
      </c>
      <c r="BR134" s="18">
        <f>-BR155</f>
        <v>422.85774782172155</v>
      </c>
    </row>
    <row r="135" spans="1:70" outlineLevel="1">
      <c r="B135" s="55"/>
      <c r="C135" s="60" t="s">
        <v>200</v>
      </c>
      <c r="D135" s="58" t="s">
        <v>58</v>
      </c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T135" s="130"/>
      <c r="U135" s="26">
        <f t="shared" ref="U135:AE135" si="466">U73</f>
        <v>0</v>
      </c>
      <c r="V135" s="26">
        <f t="shared" si="466"/>
        <v>71.900000000000006</v>
      </c>
      <c r="W135" s="26">
        <f t="shared" si="466"/>
        <v>68.8</v>
      </c>
      <c r="X135" s="26">
        <f t="shared" si="466"/>
        <v>14.700000000000003</v>
      </c>
      <c r="Y135" s="26">
        <f t="shared" si="466"/>
        <v>83.5</v>
      </c>
      <c r="Z135" s="26">
        <f t="shared" si="466"/>
        <v>1.5</v>
      </c>
      <c r="AA135" s="26">
        <f t="shared" si="466"/>
        <v>28.9</v>
      </c>
      <c r="AB135" s="26">
        <f t="shared" si="466"/>
        <v>30.4</v>
      </c>
      <c r="AC135" s="18">
        <f t="shared" si="466"/>
        <v>45.8</v>
      </c>
      <c r="AD135" s="18">
        <f t="shared" si="466"/>
        <v>37</v>
      </c>
      <c r="AE135" s="26">
        <f t="shared" si="466"/>
        <v>82.8</v>
      </c>
      <c r="AF135" s="536">
        <f t="shared" ref="AF135" si="467">AF73</f>
        <v>107</v>
      </c>
      <c r="AG135" s="945">
        <v>0</v>
      </c>
      <c r="AH135" s="18">
        <f>AF135+AG135</f>
        <v>107</v>
      </c>
      <c r="AI135" s="434">
        <v>0</v>
      </c>
      <c r="AJ135" s="434">
        <v>0</v>
      </c>
      <c r="AK135" s="18">
        <f>AI135+AJ135</f>
        <v>0</v>
      </c>
      <c r="AL135" s="434">
        <v>0</v>
      </c>
      <c r="AM135" s="434">
        <v>0</v>
      </c>
      <c r="AN135" s="18">
        <f>AL135+AM135</f>
        <v>0</v>
      </c>
      <c r="AO135" s="434">
        <v>0</v>
      </c>
      <c r="AP135" s="434">
        <v>0</v>
      </c>
      <c r="AQ135" s="18">
        <f>AO135+AP135</f>
        <v>0</v>
      </c>
      <c r="AR135" s="434">
        <v>0</v>
      </c>
      <c r="AS135" s="434">
        <v>0</v>
      </c>
      <c r="AT135" s="18">
        <f>AR135+AS135</f>
        <v>0</v>
      </c>
      <c r="AU135" s="434">
        <v>0</v>
      </c>
      <c r="AV135" s="434">
        <v>0</v>
      </c>
      <c r="AW135" s="18">
        <f>AU135+AV135</f>
        <v>0</v>
      </c>
      <c r="AX135" s="434">
        <v>0</v>
      </c>
      <c r="AY135" s="434">
        <v>0</v>
      </c>
      <c r="AZ135" s="18">
        <f>AX135+AY135</f>
        <v>0</v>
      </c>
      <c r="BA135" s="434">
        <v>0</v>
      </c>
      <c r="BB135" s="434">
        <v>0</v>
      </c>
      <c r="BC135" s="18">
        <f>BA135+BB135</f>
        <v>0</v>
      </c>
      <c r="BD135" s="434">
        <v>0</v>
      </c>
      <c r="BE135" s="434">
        <v>0</v>
      </c>
      <c r="BF135" s="18">
        <f>BD135+BE135</f>
        <v>0</v>
      </c>
      <c r="BG135" s="434">
        <v>0</v>
      </c>
      <c r="BH135" s="434">
        <v>0</v>
      </c>
      <c r="BI135" s="18">
        <f>BG135+BH135</f>
        <v>0</v>
      </c>
      <c r="BJ135" s="434">
        <v>0</v>
      </c>
      <c r="BK135" s="434">
        <v>0</v>
      </c>
      <c r="BL135" s="18">
        <f>BJ135+BK135</f>
        <v>0</v>
      </c>
      <c r="BM135" s="434">
        <v>0</v>
      </c>
      <c r="BN135" s="434">
        <v>0</v>
      </c>
      <c r="BO135" s="18">
        <f>BM135+BN135</f>
        <v>0</v>
      </c>
      <c r="BP135" s="434">
        <v>0</v>
      </c>
      <c r="BQ135" s="434">
        <v>0</v>
      </c>
      <c r="BR135" s="18">
        <f>BP135+BQ135</f>
        <v>0</v>
      </c>
    </row>
    <row r="136" spans="1:70" outlineLevel="1">
      <c r="B136" s="55"/>
      <c r="C136" s="60" t="s">
        <v>201</v>
      </c>
      <c r="D136" s="58" t="s">
        <v>58</v>
      </c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T136" s="118"/>
      <c r="U136" s="118">
        <f>-U135+U134</f>
        <v>151.75</v>
      </c>
      <c r="V136" s="118">
        <f>-V135+V134</f>
        <v>260.60000000000002</v>
      </c>
      <c r="W136" s="118">
        <f>-W135+W134</f>
        <v>87.600000000000009</v>
      </c>
      <c r="X136" s="118">
        <f t="shared" ref="X136:AM136" si="468">-X135+X134</f>
        <v>151.89999999999998</v>
      </c>
      <c r="Y136" s="118">
        <f t="shared" si="468"/>
        <v>239.5</v>
      </c>
      <c r="Z136" s="118">
        <f t="shared" si="468"/>
        <v>160.70000000000002</v>
      </c>
      <c r="AA136" s="118">
        <f t="shared" si="468"/>
        <v>157.79999999999995</v>
      </c>
      <c r="AB136" s="118">
        <f t="shared" si="468"/>
        <v>318.5</v>
      </c>
      <c r="AC136" s="118">
        <f t="shared" si="468"/>
        <v>158</v>
      </c>
      <c r="AD136" s="118">
        <f t="shared" si="468"/>
        <v>138.4</v>
      </c>
      <c r="AE136" s="118">
        <f t="shared" si="468"/>
        <v>296.39999999999998</v>
      </c>
      <c r="AF136" s="118">
        <f t="shared" ref="AF136" si="469">-AF135+AF134</f>
        <v>80.099999999999994</v>
      </c>
      <c r="AG136" s="940">
        <f t="shared" si="468"/>
        <v>182.30766543859659</v>
      </c>
      <c r="AH136" s="118">
        <f>-AH135+AH134</f>
        <v>262.40766543859661</v>
      </c>
      <c r="AI136" s="118">
        <f>-AI135+AI134</f>
        <v>175.06229000000002</v>
      </c>
      <c r="AJ136" s="118">
        <f t="shared" si="468"/>
        <v>187.86565032982463</v>
      </c>
      <c r="AK136" s="118">
        <f>-AK135+AK134</f>
        <v>362.92794032982465</v>
      </c>
      <c r="AL136" s="118">
        <f>-AL135+AL134</f>
        <v>187.80040999999997</v>
      </c>
      <c r="AM136" s="118">
        <f t="shared" si="468"/>
        <v>195.00719279385976</v>
      </c>
      <c r="AN136" s="118">
        <f>-AN135+AN134</f>
        <v>382.8076027938597</v>
      </c>
      <c r="AO136" s="118">
        <f>-AO135+AO134</f>
        <v>189.6784141</v>
      </c>
      <c r="AP136" s="118">
        <f t="shared" ref="AP136" si="470">-AP135+AP134</f>
        <v>196.95726472179834</v>
      </c>
      <c r="AQ136" s="118">
        <f>-AQ135+AQ134</f>
        <v>386.63567882179831</v>
      </c>
      <c r="AR136" s="118">
        <f>-AR135+AR134</f>
        <v>191.57519824099998</v>
      </c>
      <c r="AS136" s="118">
        <f t="shared" ref="AS136" si="471">-AS135+AS134</f>
        <v>198.92683736901634</v>
      </c>
      <c r="AT136" s="118">
        <f>-AT135+AT134</f>
        <v>390.50203561001626</v>
      </c>
      <c r="AU136" s="118">
        <f>-AU135+AU134</f>
        <v>193.49095022340998</v>
      </c>
      <c r="AV136" s="118">
        <f t="shared" ref="AV136" si="472">-AV135+AV134</f>
        <v>200.91610574270649</v>
      </c>
      <c r="AW136" s="118">
        <f>-AW135+AW134</f>
        <v>394.40705596611645</v>
      </c>
      <c r="AX136" s="118">
        <f>-AX135+AX134</f>
        <v>195.4258597256441</v>
      </c>
      <c r="AY136" s="118">
        <f t="shared" ref="AY136" si="473">-AY135+AY134</f>
        <v>202.92526680013353</v>
      </c>
      <c r="AZ136" s="118">
        <f>-AZ135+AZ134</f>
        <v>398.3511265257776</v>
      </c>
      <c r="BA136" s="118">
        <f>-BA135+BA134</f>
        <v>197.38011832290053</v>
      </c>
      <c r="BB136" s="118">
        <f t="shared" ref="BB136" si="474">-BB135+BB134</f>
        <v>204.95451946813489</v>
      </c>
      <c r="BC136" s="118">
        <f>-BC135+BC134</f>
        <v>402.33463779103539</v>
      </c>
      <c r="BD136" s="118">
        <f>-BD135+BD134</f>
        <v>199.35391950612956</v>
      </c>
      <c r="BE136" s="118">
        <f t="shared" ref="BE136" si="475">-BE135+BE134</f>
        <v>207.00406466281621</v>
      </c>
      <c r="BF136" s="118">
        <f>-BF135+BF134</f>
        <v>406.35798416894573</v>
      </c>
      <c r="BG136" s="118">
        <f>-BG135+BG134</f>
        <v>201.34745870119085</v>
      </c>
      <c r="BH136" s="118">
        <f t="shared" ref="BH136" si="476">-BH135+BH134</f>
        <v>209.07410530944438</v>
      </c>
      <c r="BI136" s="118">
        <f>-BI135+BI134</f>
        <v>410.42156401063522</v>
      </c>
      <c r="BJ136" s="118">
        <f>-BJ135+BJ134</f>
        <v>203.36093328820274</v>
      </c>
      <c r="BK136" s="118">
        <f t="shared" ref="BK136" si="477">-BK135+BK134</f>
        <v>211.16484636253884</v>
      </c>
      <c r="BL136" s="118">
        <f>-BL135+BL134</f>
        <v>414.52577965074158</v>
      </c>
      <c r="BM136" s="118">
        <f>-BM135+BM134</f>
        <v>205.39454262108478</v>
      </c>
      <c r="BN136" s="118">
        <f t="shared" ref="BN136" si="478">-BN135+BN134</f>
        <v>213.27649482616422</v>
      </c>
      <c r="BO136" s="118">
        <f>-BO135+BO134</f>
        <v>418.67103744724903</v>
      </c>
      <c r="BP136" s="118">
        <f>-BP135+BP134</f>
        <v>207.44848804729563</v>
      </c>
      <c r="BQ136" s="118">
        <f t="shared" ref="BQ136" si="479">-BQ135+BQ134</f>
        <v>215.40925977442586</v>
      </c>
      <c r="BR136" s="118">
        <f>-BR135+BR134</f>
        <v>422.85774782172155</v>
      </c>
    </row>
    <row r="137" spans="1:70" outlineLevel="1">
      <c r="B137" s="55"/>
      <c r="C137" s="60" t="s">
        <v>65</v>
      </c>
      <c r="D137" s="58" t="s">
        <v>58</v>
      </c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T137" s="26"/>
      <c r="U137" s="26">
        <f t="shared" ref="U137:AM137" si="480">U10</f>
        <v>-189.4</v>
      </c>
      <c r="V137" s="26">
        <f t="shared" si="480"/>
        <v>-375.90000000000003</v>
      </c>
      <c r="W137" s="26">
        <f t="shared" si="480"/>
        <v>-183.10000000000002</v>
      </c>
      <c r="X137" s="26">
        <f t="shared" si="480"/>
        <v>-172.2</v>
      </c>
      <c r="Y137" s="26">
        <f t="shared" si="480"/>
        <v>-355.29999999999995</v>
      </c>
      <c r="Z137" s="26">
        <f t="shared" si="480"/>
        <v>-175.3</v>
      </c>
      <c r="AA137" s="26">
        <f t="shared" si="480"/>
        <v>-178.70000000000002</v>
      </c>
      <c r="AB137" s="26">
        <f t="shared" si="480"/>
        <v>-354</v>
      </c>
      <c r="AC137" s="18">
        <f t="shared" si="480"/>
        <v>-182</v>
      </c>
      <c r="AD137" s="18">
        <f t="shared" si="480"/>
        <v>-176.8</v>
      </c>
      <c r="AE137" s="26">
        <f t="shared" si="480"/>
        <v>-358.79999999999995</v>
      </c>
      <c r="AF137" s="26">
        <f t="shared" ref="AF137" si="481">AF10</f>
        <v>-181.4</v>
      </c>
      <c r="AG137" s="933">
        <f t="shared" si="480"/>
        <v>-189.19801833333344</v>
      </c>
      <c r="AH137" s="18">
        <f>AH10</f>
        <v>-370.59801833333341</v>
      </c>
      <c r="AI137" s="18">
        <f>AI10</f>
        <v>-180.00826000000001</v>
      </c>
      <c r="AJ137" s="18">
        <f t="shared" si="480"/>
        <v>-193.64279876666677</v>
      </c>
      <c r="AK137" s="18">
        <f>AK10</f>
        <v>-373.65105876666678</v>
      </c>
      <c r="AL137" s="18">
        <f>AL10</f>
        <v>-192.39086</v>
      </c>
      <c r="AM137" s="18">
        <f t="shared" si="480"/>
        <v>-199.70455195833341</v>
      </c>
      <c r="AN137" s="18">
        <f>AN10</f>
        <v>-392.09541195833344</v>
      </c>
      <c r="AO137" s="18">
        <f>AO10</f>
        <v>-194.31476860000001</v>
      </c>
      <c r="AP137" s="18">
        <f t="shared" ref="AP137" si="482">AP10</f>
        <v>-201.70159747791681</v>
      </c>
      <c r="AQ137" s="18">
        <f>AQ10</f>
        <v>-396.01636607791676</v>
      </c>
      <c r="AR137" s="18">
        <f>AR10</f>
        <v>-196.25791628599998</v>
      </c>
      <c r="AS137" s="18">
        <f t="shared" ref="AS137" si="483">AS10</f>
        <v>-203.71861345269596</v>
      </c>
      <c r="AT137" s="18">
        <f>AT10</f>
        <v>-399.97652973869594</v>
      </c>
      <c r="AU137" s="18">
        <f>AU10</f>
        <v>-198.22049544886002</v>
      </c>
      <c r="AV137" s="18">
        <f t="shared" ref="AV137" si="484">AV10</f>
        <v>-205.75579958722292</v>
      </c>
      <c r="AW137" s="18">
        <f>AW10</f>
        <v>-403.97629503608289</v>
      </c>
      <c r="AX137" s="18">
        <f>AX10</f>
        <v>-200.20270040334862</v>
      </c>
      <c r="AY137" s="18">
        <f t="shared" ref="AY137" si="485">AY10</f>
        <v>-207.81335758309513</v>
      </c>
      <c r="AZ137" s="18">
        <f>AZ10</f>
        <v>-408.01605798644374</v>
      </c>
      <c r="BA137" s="18">
        <f>BA10</f>
        <v>-202.20472740738208</v>
      </c>
      <c r="BB137" s="18">
        <f t="shared" ref="BB137" si="486">BB10</f>
        <v>-209.8914911589261</v>
      </c>
      <c r="BC137" s="18">
        <f>BC10</f>
        <v>-412.09621856630815</v>
      </c>
      <c r="BD137" s="18">
        <f>BD10</f>
        <v>-204.22677468145591</v>
      </c>
      <c r="BE137" s="18">
        <f t="shared" ref="BE137" si="487">BE10</f>
        <v>-211.99040607051532</v>
      </c>
      <c r="BF137" s="18">
        <f>BF10</f>
        <v>-416.21718075197128</v>
      </c>
      <c r="BG137" s="18">
        <f>BG10</f>
        <v>-206.2690424282705</v>
      </c>
      <c r="BH137" s="18">
        <f t="shared" ref="BH137" si="488">BH10</f>
        <v>-214.11031013122047</v>
      </c>
      <c r="BI137" s="18">
        <f>BI10</f>
        <v>-420.379352559491</v>
      </c>
      <c r="BJ137" s="18">
        <f>BJ10</f>
        <v>-208.33173285255319</v>
      </c>
      <c r="BK137" s="18">
        <f t="shared" ref="BK137" si="489">BK10</f>
        <v>-216.25141323253271</v>
      </c>
      <c r="BL137" s="18">
        <f>BL10</f>
        <v>-424.5831460850859</v>
      </c>
      <c r="BM137" s="18">
        <f>BM10</f>
        <v>-210.41505018107875</v>
      </c>
      <c r="BN137" s="18">
        <f t="shared" ref="BN137" si="490">BN10</f>
        <v>-218.41392736485804</v>
      </c>
      <c r="BO137" s="18">
        <f>BO10</f>
        <v>-428.82897754593677</v>
      </c>
      <c r="BP137" s="18">
        <f>BP10</f>
        <v>-212.51920068288953</v>
      </c>
      <c r="BQ137" s="18">
        <f t="shared" ref="BQ137" si="491">BQ10</f>
        <v>-220.59806663850659</v>
      </c>
      <c r="BR137" s="18">
        <f>BR10</f>
        <v>-433.11726732139618</v>
      </c>
    </row>
    <row r="138" spans="1:70" outlineLevel="1">
      <c r="B138" s="55"/>
      <c r="C138" s="60" t="s">
        <v>96</v>
      </c>
      <c r="D138" s="58" t="s">
        <v>58</v>
      </c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T138" s="118"/>
      <c r="U138" s="118">
        <f t="shared" ref="U138:AB138" si="492">+U139-U137-U136-U133</f>
        <v>2957.75</v>
      </c>
      <c r="V138" s="118">
        <f t="shared" si="492"/>
        <v>3035.4</v>
      </c>
      <c r="W138" s="118">
        <f t="shared" si="492"/>
        <v>-163.29999999999973</v>
      </c>
      <c r="X138" s="118">
        <f t="shared" si="492"/>
        <v>-74.300000000000637</v>
      </c>
      <c r="Y138" s="118">
        <f t="shared" si="492"/>
        <v>-237.59999999999991</v>
      </c>
      <c r="Z138" s="118">
        <f t="shared" si="492"/>
        <v>-67.399999999999636</v>
      </c>
      <c r="AA138" s="118">
        <f t="shared" si="492"/>
        <v>227.10000000000036</v>
      </c>
      <c r="AB138" s="118">
        <f t="shared" si="492"/>
        <v>159.70000000000027</v>
      </c>
      <c r="AC138" s="118">
        <f>+AC139-AC137-AC136-AC133</f>
        <v>17.199999999999818</v>
      </c>
      <c r="AD138" s="118">
        <f>+AD139-AD137-AD136-AD133</f>
        <v>119.60000000000036</v>
      </c>
      <c r="AE138" s="118">
        <f>+AE139-AE137-AE136-AE133</f>
        <v>136.80000000000018</v>
      </c>
      <c r="AF138" s="536">
        <f>+AF139-AF137-AF136-AF133</f>
        <v>116.19999999999982</v>
      </c>
      <c r="AG138" s="945">
        <v>0</v>
      </c>
      <c r="AH138" s="18">
        <f>AF138+AG138</f>
        <v>116.19999999999982</v>
      </c>
      <c r="AI138" s="434">
        <v>0</v>
      </c>
      <c r="AJ138" s="434">
        <v>0</v>
      </c>
      <c r="AK138" s="18">
        <f>AI138+AJ138</f>
        <v>0</v>
      </c>
      <c r="AL138" s="434">
        <v>0</v>
      </c>
      <c r="AM138" s="434">
        <v>0</v>
      </c>
      <c r="AN138" s="18">
        <f>AL138+AM138</f>
        <v>0</v>
      </c>
      <c r="AO138" s="434">
        <v>0</v>
      </c>
      <c r="AP138" s="434">
        <v>0</v>
      </c>
      <c r="AQ138" s="18">
        <f>AO138+AP138</f>
        <v>0</v>
      </c>
      <c r="AR138" s="434">
        <v>0</v>
      </c>
      <c r="AS138" s="434">
        <v>0</v>
      </c>
      <c r="AT138" s="18">
        <f>AR138+AS138</f>
        <v>0</v>
      </c>
      <c r="AU138" s="434">
        <v>0</v>
      </c>
      <c r="AV138" s="434">
        <v>0</v>
      </c>
      <c r="AW138" s="18">
        <f>AU138+AV138</f>
        <v>0</v>
      </c>
      <c r="AX138" s="434">
        <v>0</v>
      </c>
      <c r="AY138" s="434">
        <v>0</v>
      </c>
      <c r="AZ138" s="18">
        <f>AX138+AY138</f>
        <v>0</v>
      </c>
      <c r="BA138" s="434">
        <v>0</v>
      </c>
      <c r="BB138" s="434">
        <v>0</v>
      </c>
      <c r="BC138" s="18">
        <f>BA138+BB138</f>
        <v>0</v>
      </c>
      <c r="BD138" s="434">
        <v>0</v>
      </c>
      <c r="BE138" s="434">
        <v>0</v>
      </c>
      <c r="BF138" s="18">
        <f>BD138+BE138</f>
        <v>0</v>
      </c>
      <c r="BG138" s="434">
        <v>0</v>
      </c>
      <c r="BH138" s="434">
        <v>0</v>
      </c>
      <c r="BI138" s="18">
        <f>BG138+BH138</f>
        <v>0</v>
      </c>
      <c r="BJ138" s="434">
        <v>0</v>
      </c>
      <c r="BK138" s="434">
        <v>0</v>
      </c>
      <c r="BL138" s="18">
        <f>BJ138+BK138</f>
        <v>0</v>
      </c>
      <c r="BM138" s="434">
        <v>0</v>
      </c>
      <c r="BN138" s="434">
        <v>0</v>
      </c>
      <c r="BO138" s="18">
        <f>BM138+BN138</f>
        <v>0</v>
      </c>
      <c r="BP138" s="434">
        <v>0</v>
      </c>
      <c r="BQ138" s="434">
        <v>0</v>
      </c>
      <c r="BR138" s="18">
        <f>BP138+BQ138</f>
        <v>0</v>
      </c>
    </row>
    <row r="139" spans="1:70" s="8" customFormat="1" outlineLevel="1">
      <c r="B139" s="55"/>
      <c r="C139" s="82" t="s">
        <v>202</v>
      </c>
      <c r="D139" s="56" t="s">
        <v>58</v>
      </c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T139" s="341"/>
      <c r="U139" s="341">
        <f t="shared" ref="U139:AE139" si="493">U29</f>
        <v>2920.1</v>
      </c>
      <c r="V139" s="341">
        <f t="shared" si="493"/>
        <v>2920.1</v>
      </c>
      <c r="W139" s="341">
        <f t="shared" si="493"/>
        <v>2661.3</v>
      </c>
      <c r="X139" s="341">
        <f t="shared" si="493"/>
        <v>2566.6999999999998</v>
      </c>
      <c r="Y139" s="341">
        <f t="shared" si="493"/>
        <v>2566.6999999999998</v>
      </c>
      <c r="Z139" s="341">
        <f t="shared" si="493"/>
        <v>2484.6999999999998</v>
      </c>
      <c r="AA139" s="341">
        <f t="shared" si="493"/>
        <v>2690.9</v>
      </c>
      <c r="AB139" s="341">
        <f t="shared" si="493"/>
        <v>2690.9</v>
      </c>
      <c r="AC139" s="64">
        <f t="shared" si="493"/>
        <v>2684.1</v>
      </c>
      <c r="AD139" s="64">
        <f t="shared" si="493"/>
        <v>2765.3</v>
      </c>
      <c r="AE139" s="341">
        <f t="shared" si="493"/>
        <v>2765.3</v>
      </c>
      <c r="AF139" s="341">
        <f t="shared" ref="AF139" si="494">AF29</f>
        <v>2780.2</v>
      </c>
      <c r="AG139" s="934">
        <f t="shared" ref="AG139:BR139" si="495">AG133+AG136+AG137+AG138</f>
        <v>2773.3096471052631</v>
      </c>
      <c r="AH139" s="64">
        <f t="shared" si="495"/>
        <v>2773.3096471052631</v>
      </c>
      <c r="AI139" s="64">
        <f t="shared" si="495"/>
        <v>2768.3636771052629</v>
      </c>
      <c r="AJ139" s="64">
        <f t="shared" si="495"/>
        <v>2762.5865286684211</v>
      </c>
      <c r="AK139" s="64">
        <f t="shared" si="495"/>
        <v>2762.5865286684211</v>
      </c>
      <c r="AL139" s="64">
        <f t="shared" si="495"/>
        <v>2757.996078668421</v>
      </c>
      <c r="AM139" s="64">
        <f t="shared" si="495"/>
        <v>2753.2987195039473</v>
      </c>
      <c r="AN139" s="64">
        <f t="shared" si="495"/>
        <v>2753.2987195039473</v>
      </c>
      <c r="AO139" s="64">
        <f t="shared" si="495"/>
        <v>2748.6623650039469</v>
      </c>
      <c r="AP139" s="64">
        <f t="shared" si="495"/>
        <v>2743.9180322478283</v>
      </c>
      <c r="AQ139" s="64">
        <f t="shared" si="495"/>
        <v>2743.9180322478287</v>
      </c>
      <c r="AR139" s="64">
        <f t="shared" si="495"/>
        <v>2739.2353142028287</v>
      </c>
      <c r="AS139" s="64">
        <f t="shared" si="495"/>
        <v>2734.4435381191493</v>
      </c>
      <c r="AT139" s="64">
        <f t="shared" si="495"/>
        <v>2734.4435381191488</v>
      </c>
      <c r="AU139" s="64">
        <f t="shared" si="495"/>
        <v>2729.7139928936986</v>
      </c>
      <c r="AV139" s="64">
        <f t="shared" si="495"/>
        <v>2724.8742990491819</v>
      </c>
      <c r="AW139" s="64">
        <f t="shared" si="495"/>
        <v>2724.8742990491824</v>
      </c>
      <c r="AX139" s="64">
        <f t="shared" si="495"/>
        <v>2720.0974583714778</v>
      </c>
      <c r="AY139" s="64">
        <f t="shared" si="495"/>
        <v>2715.2093675885162</v>
      </c>
      <c r="AZ139" s="64">
        <f t="shared" si="495"/>
        <v>2715.2093675885162</v>
      </c>
      <c r="BA139" s="64">
        <f t="shared" si="495"/>
        <v>2710.3847585040348</v>
      </c>
      <c r="BB139" s="64">
        <f t="shared" si="495"/>
        <v>2705.4477868132435</v>
      </c>
      <c r="BC139" s="64">
        <f t="shared" si="495"/>
        <v>2705.4477868132435</v>
      </c>
      <c r="BD139" s="64">
        <f t="shared" si="495"/>
        <v>2700.574931637917</v>
      </c>
      <c r="BE139" s="64">
        <f t="shared" si="495"/>
        <v>2695.588590230218</v>
      </c>
      <c r="BF139" s="64">
        <f t="shared" si="495"/>
        <v>2695.588590230218</v>
      </c>
      <c r="BG139" s="64">
        <f t="shared" si="495"/>
        <v>2690.6670065031385</v>
      </c>
      <c r="BH139" s="64">
        <f t="shared" si="495"/>
        <v>2685.6308016813623</v>
      </c>
      <c r="BI139" s="64">
        <f t="shared" si="495"/>
        <v>2685.6308016813623</v>
      </c>
      <c r="BJ139" s="64">
        <f t="shared" si="495"/>
        <v>2680.660002117012</v>
      </c>
      <c r="BK139" s="64">
        <f t="shared" si="495"/>
        <v>2675.5734352470181</v>
      </c>
      <c r="BL139" s="64">
        <f t="shared" si="495"/>
        <v>2675.5734352470181</v>
      </c>
      <c r="BM139" s="64">
        <f t="shared" si="495"/>
        <v>2670.5529276870243</v>
      </c>
      <c r="BN139" s="64">
        <f t="shared" si="495"/>
        <v>2665.4154951483306</v>
      </c>
      <c r="BO139" s="64">
        <f t="shared" si="495"/>
        <v>2665.4154951483306</v>
      </c>
      <c r="BP139" s="64">
        <f t="shared" si="495"/>
        <v>2660.3447825127364</v>
      </c>
      <c r="BQ139" s="64">
        <f t="shared" si="495"/>
        <v>2655.1559756486554</v>
      </c>
      <c r="BR139" s="64">
        <f t="shared" si="495"/>
        <v>2655.1559756486558</v>
      </c>
    </row>
    <row r="140" spans="1:70" outlineLevel="1">
      <c r="B140" s="55"/>
      <c r="C140" s="55" t="s">
        <v>191</v>
      </c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T140" s="130"/>
      <c r="U140" s="130"/>
      <c r="V140" s="130"/>
      <c r="W140" s="130"/>
      <c r="X140" s="130"/>
      <c r="Y140" s="130"/>
      <c r="Z140" s="130"/>
      <c r="AA140" s="130"/>
      <c r="AB140" s="130"/>
    </row>
    <row r="141" spans="1:70" outlineLevel="1">
      <c r="B141" s="55"/>
      <c r="C141" s="83" t="s">
        <v>192</v>
      </c>
      <c r="D141" s="58" t="s">
        <v>58</v>
      </c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T141" s="26"/>
      <c r="U141" s="26">
        <f t="shared" ref="U141:AN141" si="496">U37</f>
        <v>521.79999999999995</v>
      </c>
      <c r="V141" s="26">
        <f t="shared" si="496"/>
        <v>521.79999999999995</v>
      </c>
      <c r="W141" s="26">
        <f t="shared" si="496"/>
        <v>695</v>
      </c>
      <c r="X141" s="26">
        <f t="shared" si="496"/>
        <v>1012.7</v>
      </c>
      <c r="Y141" s="26">
        <f t="shared" si="496"/>
        <v>1012.7</v>
      </c>
      <c r="Z141" s="26">
        <f t="shared" si="496"/>
        <v>1395.3</v>
      </c>
      <c r="AA141" s="26">
        <f t="shared" si="496"/>
        <v>916.7</v>
      </c>
      <c r="AB141" s="26">
        <f t="shared" si="496"/>
        <v>916.7</v>
      </c>
      <c r="AC141" s="18">
        <f t="shared" si="496"/>
        <v>998.1</v>
      </c>
      <c r="AD141" s="18">
        <f t="shared" si="496"/>
        <v>1124.5999999999999</v>
      </c>
      <c r="AE141" s="26">
        <f t="shared" si="496"/>
        <v>1124.5999999999999</v>
      </c>
      <c r="AF141" s="26">
        <f t="shared" ref="AF141" si="497">AF37</f>
        <v>2314.8000000000002</v>
      </c>
      <c r="AG141" s="933">
        <f t="shared" si="496"/>
        <v>2314.8000000000002</v>
      </c>
      <c r="AH141" s="18">
        <f t="shared" si="496"/>
        <v>2314.8000000000002</v>
      </c>
      <c r="AI141" s="18">
        <f t="shared" si="496"/>
        <v>2314.8000000000002</v>
      </c>
      <c r="AJ141" s="18">
        <f t="shared" si="496"/>
        <v>2314.8000000000002</v>
      </c>
      <c r="AK141" s="18">
        <f t="shared" si="496"/>
        <v>2314.8000000000002</v>
      </c>
      <c r="AL141" s="18">
        <f t="shared" si="496"/>
        <v>2314.8000000000002</v>
      </c>
      <c r="AM141" s="18">
        <f t="shared" si="496"/>
        <v>2314.8000000000002</v>
      </c>
      <c r="AN141" s="18">
        <f t="shared" si="496"/>
        <v>2314.8000000000002</v>
      </c>
      <c r="AO141" s="18">
        <f t="shared" ref="AO141:BR141" si="498">AO37</f>
        <v>2314.8000000000002</v>
      </c>
      <c r="AP141" s="18">
        <f t="shared" si="498"/>
        <v>2314.8000000000002</v>
      </c>
      <c r="AQ141" s="18">
        <f t="shared" si="498"/>
        <v>2314.8000000000002</v>
      </c>
      <c r="AR141" s="18">
        <f t="shared" si="498"/>
        <v>2314.8000000000002</v>
      </c>
      <c r="AS141" s="18">
        <f t="shared" si="498"/>
        <v>2314.8000000000002</v>
      </c>
      <c r="AT141" s="18">
        <f t="shared" si="498"/>
        <v>2314.8000000000002</v>
      </c>
      <c r="AU141" s="18">
        <f t="shared" si="498"/>
        <v>2314.8000000000002</v>
      </c>
      <c r="AV141" s="18">
        <f t="shared" si="498"/>
        <v>2314.8000000000002</v>
      </c>
      <c r="AW141" s="18">
        <f t="shared" si="498"/>
        <v>2314.8000000000002</v>
      </c>
      <c r="AX141" s="18">
        <f t="shared" si="498"/>
        <v>2314.8000000000002</v>
      </c>
      <c r="AY141" s="18">
        <f t="shared" si="498"/>
        <v>2314.8000000000002</v>
      </c>
      <c r="AZ141" s="18">
        <f t="shared" si="498"/>
        <v>2314.8000000000002</v>
      </c>
      <c r="BA141" s="18">
        <f t="shared" si="498"/>
        <v>2314.8000000000002</v>
      </c>
      <c r="BB141" s="18">
        <f t="shared" si="498"/>
        <v>2314.8000000000002</v>
      </c>
      <c r="BC141" s="18">
        <f t="shared" si="498"/>
        <v>2314.8000000000002</v>
      </c>
      <c r="BD141" s="18">
        <f t="shared" si="498"/>
        <v>2314.8000000000002</v>
      </c>
      <c r="BE141" s="18">
        <f t="shared" si="498"/>
        <v>2314.8000000000002</v>
      </c>
      <c r="BF141" s="18">
        <f t="shared" si="498"/>
        <v>2314.8000000000002</v>
      </c>
      <c r="BG141" s="18">
        <f t="shared" si="498"/>
        <v>2314.8000000000002</v>
      </c>
      <c r="BH141" s="18">
        <f t="shared" si="498"/>
        <v>2314.8000000000002</v>
      </c>
      <c r="BI141" s="18">
        <f t="shared" si="498"/>
        <v>2314.8000000000002</v>
      </c>
      <c r="BJ141" s="18">
        <f t="shared" si="498"/>
        <v>2314.8000000000002</v>
      </c>
      <c r="BK141" s="18">
        <f t="shared" si="498"/>
        <v>2314.8000000000002</v>
      </c>
      <c r="BL141" s="18">
        <f t="shared" si="498"/>
        <v>2314.8000000000002</v>
      </c>
      <c r="BM141" s="18">
        <f t="shared" si="498"/>
        <v>2314.8000000000002</v>
      </c>
      <c r="BN141" s="18">
        <f t="shared" si="498"/>
        <v>2314.8000000000002</v>
      </c>
      <c r="BO141" s="18">
        <f t="shared" si="498"/>
        <v>2314.8000000000002</v>
      </c>
      <c r="BP141" s="18">
        <f t="shared" si="498"/>
        <v>2314.8000000000002</v>
      </c>
      <c r="BQ141" s="18">
        <f t="shared" si="498"/>
        <v>2314.8000000000002</v>
      </c>
      <c r="BR141" s="18">
        <f t="shared" si="498"/>
        <v>2314.8000000000002</v>
      </c>
    </row>
    <row r="142" spans="1:70" outlineLevel="1">
      <c r="B142" s="55"/>
      <c r="C142" s="83" t="s">
        <v>193</v>
      </c>
      <c r="D142" s="58" t="s">
        <v>58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T142" s="26"/>
      <c r="U142" s="26">
        <f t="shared" ref="U142:AE142" si="499">U42</f>
        <v>3001.3</v>
      </c>
      <c r="V142" s="26">
        <f t="shared" si="499"/>
        <v>3001.3</v>
      </c>
      <c r="W142" s="26">
        <f t="shared" si="499"/>
        <v>2765.6</v>
      </c>
      <c r="X142" s="26">
        <f t="shared" si="499"/>
        <v>2572.6</v>
      </c>
      <c r="Y142" s="26">
        <f t="shared" si="499"/>
        <v>2572.6</v>
      </c>
      <c r="Z142" s="26">
        <f t="shared" si="499"/>
        <v>2617.3000000000002</v>
      </c>
      <c r="AA142" s="26">
        <f t="shared" si="499"/>
        <v>3428.4</v>
      </c>
      <c r="AB142" s="26">
        <f t="shared" si="499"/>
        <v>3428.4</v>
      </c>
      <c r="AC142" s="18">
        <f t="shared" si="499"/>
        <v>3673.7</v>
      </c>
      <c r="AD142" s="18">
        <f t="shared" si="499"/>
        <v>3486.4</v>
      </c>
      <c r="AE142" s="26">
        <f t="shared" si="499"/>
        <v>3486.4</v>
      </c>
      <c r="AF142" s="26">
        <f t="shared" ref="AF142" si="500">AF42</f>
        <v>2458.4</v>
      </c>
      <c r="AG142" s="933">
        <f t="shared" ref="AG142:BR142" si="501">AG42</f>
        <v>2067.7764957464697</v>
      </c>
      <c r="AH142" s="18">
        <f t="shared" si="501"/>
        <v>2067.7764957464697</v>
      </c>
      <c r="AI142" s="18">
        <f t="shared" si="501"/>
        <v>2211.219728146516</v>
      </c>
      <c r="AJ142" s="18">
        <f t="shared" si="501"/>
        <v>1781.1598977544327</v>
      </c>
      <c r="AK142" s="18">
        <f t="shared" si="501"/>
        <v>1781.1598977544327</v>
      </c>
      <c r="AL142" s="18">
        <f t="shared" si="501"/>
        <v>1932.482233588059</v>
      </c>
      <c r="AM142" s="18">
        <f t="shared" si="501"/>
        <v>1478.0523104498388</v>
      </c>
      <c r="AN142" s="18">
        <f t="shared" si="501"/>
        <v>1478.0523104498388</v>
      </c>
      <c r="AO142" s="18">
        <f t="shared" si="501"/>
        <v>1631.6413951142465</v>
      </c>
      <c r="AP142" s="18">
        <f t="shared" si="501"/>
        <v>1169.4446892279293</v>
      </c>
      <c r="AQ142" s="18">
        <f t="shared" si="501"/>
        <v>1169.4446892279293</v>
      </c>
      <c r="AR142" s="18">
        <f t="shared" si="501"/>
        <v>1329.1851728215538</v>
      </c>
      <c r="AS142" s="18">
        <f t="shared" si="501"/>
        <v>857.0094561086803</v>
      </c>
      <c r="AT142" s="18">
        <f t="shared" si="501"/>
        <v>857.0094561086803</v>
      </c>
      <c r="AU142" s="18">
        <f t="shared" si="501"/>
        <v>1017.4005098482013</v>
      </c>
      <c r="AV142" s="18">
        <f t="shared" si="501"/>
        <v>534.8866317837535</v>
      </c>
      <c r="AW142" s="18">
        <f t="shared" si="501"/>
        <v>534.8866317837535</v>
      </c>
      <c r="AX142" s="18">
        <f t="shared" si="501"/>
        <v>695.94913399594577</v>
      </c>
      <c r="AY142" s="18">
        <f t="shared" si="501"/>
        <v>202.7652044363457</v>
      </c>
      <c r="AZ142" s="18">
        <f t="shared" si="501"/>
        <v>202.7652044363457</v>
      </c>
      <c r="BA142" s="18">
        <f t="shared" si="501"/>
        <v>364.52098960824969</v>
      </c>
      <c r="BB142" s="18">
        <f t="shared" si="501"/>
        <v>0</v>
      </c>
      <c r="BC142" s="18">
        <f t="shared" si="501"/>
        <v>0</v>
      </c>
      <c r="BD142" s="18">
        <f t="shared" si="501"/>
        <v>163.41119889696449</v>
      </c>
      <c r="BE142" s="18">
        <f t="shared" si="501"/>
        <v>0</v>
      </c>
      <c r="BF142" s="18">
        <f t="shared" si="501"/>
        <v>0</v>
      </c>
      <c r="BG142" s="18">
        <f t="shared" si="501"/>
        <v>166.004308821499</v>
      </c>
      <c r="BH142" s="18">
        <f t="shared" si="501"/>
        <v>0</v>
      </c>
      <c r="BI142" s="18">
        <f t="shared" si="501"/>
        <v>0</v>
      </c>
      <c r="BJ142" s="18">
        <f t="shared" si="501"/>
        <v>167.90376761253137</v>
      </c>
      <c r="BK142" s="18">
        <f t="shared" si="501"/>
        <v>0</v>
      </c>
      <c r="BL142" s="18">
        <f t="shared" si="501"/>
        <v>0</v>
      </c>
      <c r="BM142" s="18">
        <f t="shared" si="501"/>
        <v>169.87338389469488</v>
      </c>
      <c r="BN142" s="18">
        <f t="shared" si="501"/>
        <v>0</v>
      </c>
      <c r="BO142" s="18">
        <f t="shared" si="501"/>
        <v>0</v>
      </c>
      <c r="BP142" s="18">
        <f t="shared" si="501"/>
        <v>165.54412600870563</v>
      </c>
      <c r="BQ142" s="18">
        <f t="shared" si="501"/>
        <v>0</v>
      </c>
      <c r="BR142" s="18">
        <f t="shared" si="501"/>
        <v>0</v>
      </c>
    </row>
    <row r="143" spans="1:70" outlineLevel="1">
      <c r="B143" s="55"/>
      <c r="C143" s="83" t="s">
        <v>194</v>
      </c>
      <c r="D143" s="58" t="s">
        <v>58</v>
      </c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T143" s="26"/>
      <c r="U143" s="26">
        <f t="shared" ref="U143:AE143" si="502">U21</f>
        <v>509.7</v>
      </c>
      <c r="V143" s="26">
        <f t="shared" si="502"/>
        <v>509.7</v>
      </c>
      <c r="W143" s="26">
        <f t="shared" si="502"/>
        <v>404.5</v>
      </c>
      <c r="X143" s="26">
        <f t="shared" si="502"/>
        <v>704.9</v>
      </c>
      <c r="Y143" s="26">
        <f t="shared" si="502"/>
        <v>704.9</v>
      </c>
      <c r="Z143" s="26">
        <f t="shared" si="502"/>
        <v>488.9</v>
      </c>
      <c r="AA143" s="26">
        <f t="shared" si="502"/>
        <v>515.70000000000005</v>
      </c>
      <c r="AB143" s="26">
        <f t="shared" si="502"/>
        <v>515.70000000000005</v>
      </c>
      <c r="AC143" s="18">
        <f t="shared" si="502"/>
        <v>386.6</v>
      </c>
      <c r="AD143" s="18">
        <f t="shared" si="502"/>
        <v>561.5</v>
      </c>
      <c r="AE143" s="26">
        <f t="shared" si="502"/>
        <v>561.5</v>
      </c>
      <c r="AF143" s="26">
        <f t="shared" ref="AF143" si="503">AF21</f>
        <v>419.9</v>
      </c>
      <c r="AG143" s="933">
        <f t="shared" ref="AG143:BR143" si="504">AG21</f>
        <v>419.9</v>
      </c>
      <c r="AH143" s="18">
        <f t="shared" si="504"/>
        <v>419.9</v>
      </c>
      <c r="AI143" s="18">
        <f t="shared" si="504"/>
        <v>419.9</v>
      </c>
      <c r="AJ143" s="18">
        <f t="shared" si="504"/>
        <v>419.9</v>
      </c>
      <c r="AK143" s="18">
        <f t="shared" si="504"/>
        <v>419.9</v>
      </c>
      <c r="AL143" s="18">
        <f t="shared" si="504"/>
        <v>419.9</v>
      </c>
      <c r="AM143" s="18">
        <f t="shared" si="504"/>
        <v>419.9</v>
      </c>
      <c r="AN143" s="18">
        <f t="shared" si="504"/>
        <v>419.9</v>
      </c>
      <c r="AO143" s="18">
        <f t="shared" si="504"/>
        <v>419.9</v>
      </c>
      <c r="AP143" s="18">
        <f t="shared" si="504"/>
        <v>419.9</v>
      </c>
      <c r="AQ143" s="18">
        <f t="shared" si="504"/>
        <v>419.9</v>
      </c>
      <c r="AR143" s="18">
        <f t="shared" si="504"/>
        <v>419.9</v>
      </c>
      <c r="AS143" s="18">
        <f t="shared" si="504"/>
        <v>419.9</v>
      </c>
      <c r="AT143" s="18">
        <f t="shared" si="504"/>
        <v>419.9</v>
      </c>
      <c r="AU143" s="18">
        <f t="shared" si="504"/>
        <v>419.9</v>
      </c>
      <c r="AV143" s="18">
        <f t="shared" si="504"/>
        <v>419.9</v>
      </c>
      <c r="AW143" s="18">
        <f t="shared" si="504"/>
        <v>419.9</v>
      </c>
      <c r="AX143" s="18">
        <f t="shared" si="504"/>
        <v>419.9</v>
      </c>
      <c r="AY143" s="18">
        <f t="shared" si="504"/>
        <v>419.9</v>
      </c>
      <c r="AZ143" s="18">
        <f t="shared" si="504"/>
        <v>419.9</v>
      </c>
      <c r="BA143" s="18">
        <f t="shared" si="504"/>
        <v>419.9</v>
      </c>
      <c r="BB143" s="18">
        <f t="shared" si="504"/>
        <v>558.81820226983177</v>
      </c>
      <c r="BC143" s="18">
        <f t="shared" si="504"/>
        <v>558.81820226983177</v>
      </c>
      <c r="BD143" s="18">
        <f t="shared" si="504"/>
        <v>558.81820226983177</v>
      </c>
      <c r="BE143" s="18">
        <f t="shared" si="504"/>
        <v>908.58607679918339</v>
      </c>
      <c r="BF143" s="18">
        <f t="shared" si="504"/>
        <v>908.58607679918339</v>
      </c>
      <c r="BG143" s="18">
        <f t="shared" si="504"/>
        <v>908.58607679918339</v>
      </c>
      <c r="BH143" s="18">
        <f t="shared" si="504"/>
        <v>1266.2483175760829</v>
      </c>
      <c r="BI143" s="18">
        <f t="shared" si="504"/>
        <v>1266.2483175760829</v>
      </c>
      <c r="BJ143" s="18">
        <f t="shared" si="504"/>
        <v>1266.2483175760829</v>
      </c>
      <c r="BK143" s="18">
        <f t="shared" si="504"/>
        <v>1632.8381381887762</v>
      </c>
      <c r="BL143" s="18">
        <f t="shared" si="504"/>
        <v>1632.8381381887762</v>
      </c>
      <c r="BM143" s="18">
        <f t="shared" si="504"/>
        <v>1632.8381381887762</v>
      </c>
      <c r="BN143" s="18">
        <f t="shared" si="504"/>
        <v>2002.2621249772926</v>
      </c>
      <c r="BO143" s="18">
        <f t="shared" si="504"/>
        <v>2002.2621249772926</v>
      </c>
      <c r="BP143" s="18">
        <f t="shared" si="504"/>
        <v>2002.2621249772926</v>
      </c>
      <c r="BQ143" s="18">
        <f t="shared" si="504"/>
        <v>2382.4017766377588</v>
      </c>
      <c r="BR143" s="18">
        <f t="shared" si="504"/>
        <v>2382.4017766377588</v>
      </c>
    </row>
    <row r="144" spans="1:70" outlineLevel="1">
      <c r="B144" s="55"/>
      <c r="C144" s="60" t="s">
        <v>163</v>
      </c>
      <c r="D144" s="58" t="s">
        <v>58</v>
      </c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T144" s="26"/>
      <c r="U144" s="26">
        <f t="shared" ref="U144:AB144" si="505">U141+U142-U143</f>
        <v>3013.4000000000005</v>
      </c>
      <c r="V144" s="26">
        <f t="shared" si="505"/>
        <v>3013.4000000000005</v>
      </c>
      <c r="W144" s="26">
        <f t="shared" si="505"/>
        <v>3056.1</v>
      </c>
      <c r="X144" s="26">
        <f t="shared" si="505"/>
        <v>2880.4</v>
      </c>
      <c r="Y144" s="26">
        <f t="shared" si="505"/>
        <v>2880.4</v>
      </c>
      <c r="Z144" s="26">
        <f t="shared" si="505"/>
        <v>3523.7000000000003</v>
      </c>
      <c r="AA144" s="26">
        <f t="shared" si="505"/>
        <v>3829.4000000000005</v>
      </c>
      <c r="AB144" s="26">
        <f t="shared" si="505"/>
        <v>3829.4000000000005</v>
      </c>
      <c r="AC144" s="18">
        <f t="shared" ref="AC144:AE144" si="506">AC141+AC142-AC143</f>
        <v>4285.2</v>
      </c>
      <c r="AD144" s="18">
        <f t="shared" si="506"/>
        <v>4049.5</v>
      </c>
      <c r="AE144" s="26">
        <f t="shared" si="506"/>
        <v>4049.5</v>
      </c>
      <c r="AF144" s="26">
        <f t="shared" ref="AF144" si="507">AF141+AF142-AF143</f>
        <v>4353.3000000000011</v>
      </c>
      <c r="AG144" s="933">
        <f t="shared" ref="AG144:BR144" si="508">AG141+AG142-AG143</f>
        <v>3962.6764957464698</v>
      </c>
      <c r="AH144" s="18">
        <f t="shared" si="508"/>
        <v>3962.6764957464698</v>
      </c>
      <c r="AI144" s="18">
        <f t="shared" si="508"/>
        <v>4106.1197281465165</v>
      </c>
      <c r="AJ144" s="18">
        <f t="shared" si="508"/>
        <v>3676.0598977544328</v>
      </c>
      <c r="AK144" s="18">
        <f t="shared" si="508"/>
        <v>3676.0598977544328</v>
      </c>
      <c r="AL144" s="18">
        <f t="shared" si="508"/>
        <v>3827.3822335880591</v>
      </c>
      <c r="AM144" s="18">
        <f t="shared" si="508"/>
        <v>3372.9523104498389</v>
      </c>
      <c r="AN144" s="18">
        <f t="shared" si="508"/>
        <v>3372.9523104498389</v>
      </c>
      <c r="AO144" s="18">
        <f t="shared" si="508"/>
        <v>3526.5413951142468</v>
      </c>
      <c r="AP144" s="18">
        <f t="shared" si="508"/>
        <v>3064.3446892279294</v>
      </c>
      <c r="AQ144" s="18">
        <f t="shared" si="508"/>
        <v>3064.3446892279294</v>
      </c>
      <c r="AR144" s="18">
        <f t="shared" si="508"/>
        <v>3224.0851728215539</v>
      </c>
      <c r="AS144" s="18">
        <f t="shared" si="508"/>
        <v>2751.9094561086804</v>
      </c>
      <c r="AT144" s="18">
        <f t="shared" si="508"/>
        <v>2751.9094561086804</v>
      </c>
      <c r="AU144" s="18">
        <f t="shared" si="508"/>
        <v>2912.3005098482013</v>
      </c>
      <c r="AV144" s="18">
        <f t="shared" si="508"/>
        <v>2429.7866317837538</v>
      </c>
      <c r="AW144" s="18">
        <f t="shared" si="508"/>
        <v>2429.7866317837538</v>
      </c>
      <c r="AX144" s="18">
        <f t="shared" si="508"/>
        <v>2590.849133995946</v>
      </c>
      <c r="AY144" s="18">
        <f t="shared" si="508"/>
        <v>2097.6652044363459</v>
      </c>
      <c r="AZ144" s="18">
        <f t="shared" si="508"/>
        <v>2097.6652044363459</v>
      </c>
      <c r="BA144" s="18">
        <f t="shared" si="508"/>
        <v>2259.4209896082498</v>
      </c>
      <c r="BB144" s="18">
        <f t="shared" si="508"/>
        <v>1755.9817977301684</v>
      </c>
      <c r="BC144" s="18">
        <f t="shared" si="508"/>
        <v>1755.9817977301684</v>
      </c>
      <c r="BD144" s="18">
        <f t="shared" si="508"/>
        <v>1919.3929966271328</v>
      </c>
      <c r="BE144" s="18">
        <f t="shared" si="508"/>
        <v>1406.2139232008167</v>
      </c>
      <c r="BF144" s="18">
        <f t="shared" si="508"/>
        <v>1406.2139232008167</v>
      </c>
      <c r="BG144" s="18">
        <f t="shared" si="508"/>
        <v>1572.2182320223155</v>
      </c>
      <c r="BH144" s="18">
        <f t="shared" si="508"/>
        <v>1048.5516824239173</v>
      </c>
      <c r="BI144" s="18">
        <f t="shared" si="508"/>
        <v>1048.5516824239173</v>
      </c>
      <c r="BJ144" s="18">
        <f t="shared" si="508"/>
        <v>1216.4554500364486</v>
      </c>
      <c r="BK144" s="18">
        <f t="shared" si="508"/>
        <v>681.96186181122403</v>
      </c>
      <c r="BL144" s="18">
        <f t="shared" si="508"/>
        <v>681.96186181122403</v>
      </c>
      <c r="BM144" s="18">
        <f t="shared" si="508"/>
        <v>851.83524570591908</v>
      </c>
      <c r="BN144" s="18">
        <f t="shared" si="508"/>
        <v>312.53787502270757</v>
      </c>
      <c r="BO144" s="18">
        <f t="shared" si="508"/>
        <v>312.53787502270757</v>
      </c>
      <c r="BP144" s="18">
        <f t="shared" si="508"/>
        <v>478.08200103141303</v>
      </c>
      <c r="BQ144" s="18">
        <f t="shared" si="508"/>
        <v>-67.601776637758576</v>
      </c>
      <c r="BR144" s="18">
        <f t="shared" si="508"/>
        <v>-67.601776637758576</v>
      </c>
    </row>
    <row r="145" spans="2:70" outlineLevel="1">
      <c r="B145" s="55"/>
      <c r="C145" s="60" t="s">
        <v>195</v>
      </c>
      <c r="D145" s="58" t="s">
        <v>58</v>
      </c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T145" s="26"/>
      <c r="U145" s="26">
        <f t="shared" ref="U145:AB145" si="509">U141+U142</f>
        <v>3523.1000000000004</v>
      </c>
      <c r="V145" s="26">
        <f t="shared" si="509"/>
        <v>3523.1000000000004</v>
      </c>
      <c r="W145" s="26">
        <f t="shared" si="509"/>
        <v>3460.6</v>
      </c>
      <c r="X145" s="26">
        <f t="shared" si="509"/>
        <v>3585.3</v>
      </c>
      <c r="Y145" s="26">
        <f t="shared" si="509"/>
        <v>3585.3</v>
      </c>
      <c r="Z145" s="26">
        <f t="shared" si="509"/>
        <v>4012.6000000000004</v>
      </c>
      <c r="AA145" s="26">
        <f t="shared" si="509"/>
        <v>4345.1000000000004</v>
      </c>
      <c r="AB145" s="26">
        <f t="shared" si="509"/>
        <v>4345.1000000000004</v>
      </c>
      <c r="AC145" s="18">
        <f t="shared" ref="AC145:AE145" si="510">AC141+AC142</f>
        <v>4671.8</v>
      </c>
      <c r="AD145" s="18">
        <f t="shared" si="510"/>
        <v>4611</v>
      </c>
      <c r="AE145" s="26">
        <f t="shared" si="510"/>
        <v>4611</v>
      </c>
      <c r="AF145" s="26">
        <f t="shared" ref="AF145" si="511">AF141+AF142</f>
        <v>4773.2000000000007</v>
      </c>
      <c r="AG145" s="933">
        <f t="shared" ref="AG145:BR145" si="512">AG141+AG142</f>
        <v>4382.5764957464698</v>
      </c>
      <c r="AH145" s="18">
        <f t="shared" si="512"/>
        <v>4382.5764957464698</v>
      </c>
      <c r="AI145" s="18">
        <f t="shared" si="512"/>
        <v>4526.0197281465162</v>
      </c>
      <c r="AJ145" s="18">
        <f t="shared" si="512"/>
        <v>4095.9598977544329</v>
      </c>
      <c r="AK145" s="18">
        <f t="shared" si="512"/>
        <v>4095.9598977544329</v>
      </c>
      <c r="AL145" s="18">
        <f t="shared" si="512"/>
        <v>4247.2822335880592</v>
      </c>
      <c r="AM145" s="18">
        <f t="shared" si="512"/>
        <v>3792.852310449839</v>
      </c>
      <c r="AN145" s="18">
        <f t="shared" si="512"/>
        <v>3792.852310449839</v>
      </c>
      <c r="AO145" s="18">
        <f t="shared" si="512"/>
        <v>3946.4413951142469</v>
      </c>
      <c r="AP145" s="18">
        <f t="shared" si="512"/>
        <v>3484.2446892279295</v>
      </c>
      <c r="AQ145" s="18">
        <f t="shared" si="512"/>
        <v>3484.2446892279295</v>
      </c>
      <c r="AR145" s="18">
        <f t="shared" si="512"/>
        <v>3643.985172821554</v>
      </c>
      <c r="AS145" s="18">
        <f t="shared" si="512"/>
        <v>3171.8094561086805</v>
      </c>
      <c r="AT145" s="18">
        <f t="shared" si="512"/>
        <v>3171.8094561086805</v>
      </c>
      <c r="AU145" s="18">
        <f t="shared" si="512"/>
        <v>3332.2005098482014</v>
      </c>
      <c r="AV145" s="18">
        <f t="shared" si="512"/>
        <v>2849.6866317837539</v>
      </c>
      <c r="AW145" s="18">
        <f t="shared" si="512"/>
        <v>2849.6866317837539</v>
      </c>
      <c r="AX145" s="18">
        <f t="shared" si="512"/>
        <v>3010.7491339959461</v>
      </c>
      <c r="AY145" s="18">
        <f t="shared" si="512"/>
        <v>2517.565204436346</v>
      </c>
      <c r="AZ145" s="18">
        <f t="shared" si="512"/>
        <v>2517.565204436346</v>
      </c>
      <c r="BA145" s="18">
        <f t="shared" si="512"/>
        <v>2679.3209896082499</v>
      </c>
      <c r="BB145" s="18">
        <f t="shared" si="512"/>
        <v>2314.8000000000002</v>
      </c>
      <c r="BC145" s="18">
        <f t="shared" si="512"/>
        <v>2314.8000000000002</v>
      </c>
      <c r="BD145" s="18">
        <f t="shared" si="512"/>
        <v>2478.2111988969646</v>
      </c>
      <c r="BE145" s="18">
        <f t="shared" si="512"/>
        <v>2314.8000000000002</v>
      </c>
      <c r="BF145" s="18">
        <f t="shared" si="512"/>
        <v>2314.8000000000002</v>
      </c>
      <c r="BG145" s="18">
        <f t="shared" si="512"/>
        <v>2480.804308821499</v>
      </c>
      <c r="BH145" s="18">
        <f t="shared" si="512"/>
        <v>2314.8000000000002</v>
      </c>
      <c r="BI145" s="18">
        <f t="shared" si="512"/>
        <v>2314.8000000000002</v>
      </c>
      <c r="BJ145" s="18">
        <f t="shared" si="512"/>
        <v>2482.7037676125315</v>
      </c>
      <c r="BK145" s="18">
        <f t="shared" si="512"/>
        <v>2314.8000000000002</v>
      </c>
      <c r="BL145" s="18">
        <f t="shared" si="512"/>
        <v>2314.8000000000002</v>
      </c>
      <c r="BM145" s="18">
        <f t="shared" si="512"/>
        <v>2484.6733838946952</v>
      </c>
      <c r="BN145" s="18">
        <f t="shared" si="512"/>
        <v>2314.8000000000002</v>
      </c>
      <c r="BO145" s="18">
        <f t="shared" si="512"/>
        <v>2314.8000000000002</v>
      </c>
      <c r="BP145" s="18">
        <f t="shared" si="512"/>
        <v>2480.3441260087056</v>
      </c>
      <c r="BQ145" s="18">
        <f t="shared" si="512"/>
        <v>2314.8000000000002</v>
      </c>
      <c r="BR145" s="18">
        <f t="shared" si="512"/>
        <v>2314.8000000000002</v>
      </c>
    </row>
    <row r="146" spans="2:70" outlineLevel="1">
      <c r="B146" s="55"/>
      <c r="C146" s="83" t="s">
        <v>196</v>
      </c>
      <c r="D146" s="58" t="s">
        <v>58</v>
      </c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T146" s="26"/>
      <c r="U146" s="26">
        <f>T147</f>
        <v>0</v>
      </c>
      <c r="V146" s="26">
        <f>S147</f>
        <v>0</v>
      </c>
      <c r="W146" s="26">
        <f>V147</f>
        <v>3523.1000000000004</v>
      </c>
      <c r="X146" s="26">
        <f>W147</f>
        <v>3460.6</v>
      </c>
      <c r="Y146" s="26">
        <f>V147</f>
        <v>3523.1000000000004</v>
      </c>
      <c r="Z146" s="26">
        <f>Y147</f>
        <v>3585.3</v>
      </c>
      <c r="AA146" s="26">
        <f>Z147</f>
        <v>4012.6000000000004</v>
      </c>
      <c r="AB146" s="26">
        <f>Y147</f>
        <v>3585.3</v>
      </c>
      <c r="AC146" s="18">
        <f>AB147</f>
        <v>4345.1000000000004</v>
      </c>
      <c r="AD146" s="18">
        <f>AC147</f>
        <v>4671.8</v>
      </c>
      <c r="AE146" s="26">
        <f>AB147</f>
        <v>4345.1000000000004</v>
      </c>
      <c r="AF146" s="26">
        <f>AE147</f>
        <v>4611</v>
      </c>
      <c r="AG146" s="933">
        <f>AF147</f>
        <v>4773.2000000000007</v>
      </c>
      <c r="AH146" s="18">
        <f>AE147</f>
        <v>4611</v>
      </c>
      <c r="AI146" s="18">
        <f>AH147</f>
        <v>4382.5764957464698</v>
      </c>
      <c r="AJ146" s="18">
        <f>AI147</f>
        <v>4526.0197281465162</v>
      </c>
      <c r="AK146" s="18">
        <f>AH147</f>
        <v>4382.5764957464698</v>
      </c>
      <c r="AL146" s="18">
        <f>AK147</f>
        <v>4095.9598977544329</v>
      </c>
      <c r="AM146" s="18">
        <f>AL147</f>
        <v>4247.2822335880592</v>
      </c>
      <c r="AN146" s="18">
        <f>AK147</f>
        <v>4095.9598977544329</v>
      </c>
      <c r="AO146" s="18">
        <f>AN147</f>
        <v>3792.852310449839</v>
      </c>
      <c r="AP146" s="18">
        <f>AO147</f>
        <v>3946.4413951142469</v>
      </c>
      <c r="AQ146" s="18">
        <f>AN147</f>
        <v>3792.852310449839</v>
      </c>
      <c r="AR146" s="18">
        <f>AQ147</f>
        <v>3484.2446892279295</v>
      </c>
      <c r="AS146" s="18">
        <f>AR147</f>
        <v>3643.985172821554</v>
      </c>
      <c r="AT146" s="18">
        <f>AQ147</f>
        <v>3484.2446892279295</v>
      </c>
      <c r="AU146" s="18">
        <f>AT147</f>
        <v>3171.8094561086805</v>
      </c>
      <c r="AV146" s="18">
        <f>AU147</f>
        <v>3332.2005098482014</v>
      </c>
      <c r="AW146" s="18">
        <f>AT147</f>
        <v>3171.8094561086805</v>
      </c>
      <c r="AX146" s="18">
        <f>AW147</f>
        <v>2849.6866317837539</v>
      </c>
      <c r="AY146" s="18">
        <f>AX147</f>
        <v>3010.7491339959461</v>
      </c>
      <c r="AZ146" s="18">
        <f>AW147</f>
        <v>2849.6866317837539</v>
      </c>
      <c r="BA146" s="18">
        <f>AZ147</f>
        <v>2517.565204436346</v>
      </c>
      <c r="BB146" s="18">
        <f>BA147</f>
        <v>2679.3209896082499</v>
      </c>
      <c r="BC146" s="18">
        <f>AZ147</f>
        <v>2517.565204436346</v>
      </c>
      <c r="BD146" s="18">
        <f>BC147</f>
        <v>2314.8000000000002</v>
      </c>
      <c r="BE146" s="18">
        <f>BD147</f>
        <v>2478.2111988969646</v>
      </c>
      <c r="BF146" s="18">
        <f>BC147</f>
        <v>2314.8000000000002</v>
      </c>
      <c r="BG146" s="18">
        <f>BF147</f>
        <v>2314.8000000000002</v>
      </c>
      <c r="BH146" s="18">
        <f>BG147</f>
        <v>2480.804308821499</v>
      </c>
      <c r="BI146" s="18">
        <f>BF147</f>
        <v>2314.8000000000002</v>
      </c>
      <c r="BJ146" s="18">
        <f>BI147</f>
        <v>2314.8000000000002</v>
      </c>
      <c r="BK146" s="18">
        <f>BJ147</f>
        <v>2482.7037676125315</v>
      </c>
      <c r="BL146" s="18">
        <f>BI147</f>
        <v>2314.8000000000002</v>
      </c>
      <c r="BM146" s="18">
        <f>BL147</f>
        <v>2314.8000000000002</v>
      </c>
      <c r="BN146" s="18">
        <f>BM147</f>
        <v>2484.6733838946952</v>
      </c>
      <c r="BO146" s="18">
        <f>BL147</f>
        <v>2314.8000000000002</v>
      </c>
      <c r="BP146" s="18">
        <f>BO147</f>
        <v>2314.8000000000002</v>
      </c>
      <c r="BQ146" s="18">
        <f>BP147</f>
        <v>2480.3441260087056</v>
      </c>
      <c r="BR146" s="18">
        <f>BO147</f>
        <v>2314.8000000000002</v>
      </c>
    </row>
    <row r="147" spans="2:70" outlineLevel="1">
      <c r="B147" s="55"/>
      <c r="C147" s="83" t="s">
        <v>197</v>
      </c>
      <c r="D147" s="58" t="s">
        <v>58</v>
      </c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T147" s="26"/>
      <c r="U147" s="26">
        <f t="shared" ref="U147:AB147" si="513">U145</f>
        <v>3523.1000000000004</v>
      </c>
      <c r="V147" s="26">
        <f t="shared" si="513"/>
        <v>3523.1000000000004</v>
      </c>
      <c r="W147" s="26">
        <f t="shared" si="513"/>
        <v>3460.6</v>
      </c>
      <c r="X147" s="26">
        <f t="shared" si="513"/>
        <v>3585.3</v>
      </c>
      <c r="Y147" s="26">
        <f t="shared" si="513"/>
        <v>3585.3</v>
      </c>
      <c r="Z147" s="26">
        <f t="shared" si="513"/>
        <v>4012.6000000000004</v>
      </c>
      <c r="AA147" s="26">
        <f t="shared" si="513"/>
        <v>4345.1000000000004</v>
      </c>
      <c r="AB147" s="26">
        <f t="shared" si="513"/>
        <v>4345.1000000000004</v>
      </c>
      <c r="AC147" s="18">
        <f t="shared" ref="AC147:AE147" si="514">AC145</f>
        <v>4671.8</v>
      </c>
      <c r="AD147" s="18">
        <f t="shared" si="514"/>
        <v>4611</v>
      </c>
      <c r="AE147" s="26">
        <f t="shared" si="514"/>
        <v>4611</v>
      </c>
      <c r="AF147" s="26">
        <f t="shared" ref="AF147" si="515">AF145</f>
        <v>4773.2000000000007</v>
      </c>
      <c r="AG147" s="933">
        <f t="shared" ref="AG147:BR147" si="516">AG145</f>
        <v>4382.5764957464698</v>
      </c>
      <c r="AH147" s="18">
        <f t="shared" si="516"/>
        <v>4382.5764957464698</v>
      </c>
      <c r="AI147" s="18">
        <f t="shared" si="516"/>
        <v>4526.0197281465162</v>
      </c>
      <c r="AJ147" s="18">
        <f t="shared" si="516"/>
        <v>4095.9598977544329</v>
      </c>
      <c r="AK147" s="18">
        <f t="shared" si="516"/>
        <v>4095.9598977544329</v>
      </c>
      <c r="AL147" s="18">
        <f t="shared" si="516"/>
        <v>4247.2822335880592</v>
      </c>
      <c r="AM147" s="18">
        <f t="shared" si="516"/>
        <v>3792.852310449839</v>
      </c>
      <c r="AN147" s="18">
        <f t="shared" si="516"/>
        <v>3792.852310449839</v>
      </c>
      <c r="AO147" s="18">
        <f t="shared" si="516"/>
        <v>3946.4413951142469</v>
      </c>
      <c r="AP147" s="18">
        <f t="shared" si="516"/>
        <v>3484.2446892279295</v>
      </c>
      <c r="AQ147" s="18">
        <f t="shared" si="516"/>
        <v>3484.2446892279295</v>
      </c>
      <c r="AR147" s="18">
        <f t="shared" si="516"/>
        <v>3643.985172821554</v>
      </c>
      <c r="AS147" s="18">
        <f t="shared" si="516"/>
        <v>3171.8094561086805</v>
      </c>
      <c r="AT147" s="18">
        <f t="shared" si="516"/>
        <v>3171.8094561086805</v>
      </c>
      <c r="AU147" s="18">
        <f t="shared" si="516"/>
        <v>3332.2005098482014</v>
      </c>
      <c r="AV147" s="18">
        <f t="shared" si="516"/>
        <v>2849.6866317837539</v>
      </c>
      <c r="AW147" s="18">
        <f t="shared" si="516"/>
        <v>2849.6866317837539</v>
      </c>
      <c r="AX147" s="18">
        <f t="shared" si="516"/>
        <v>3010.7491339959461</v>
      </c>
      <c r="AY147" s="18">
        <f t="shared" si="516"/>
        <v>2517.565204436346</v>
      </c>
      <c r="AZ147" s="18">
        <f t="shared" si="516"/>
        <v>2517.565204436346</v>
      </c>
      <c r="BA147" s="18">
        <f t="shared" si="516"/>
        <v>2679.3209896082499</v>
      </c>
      <c r="BB147" s="18">
        <f t="shared" si="516"/>
        <v>2314.8000000000002</v>
      </c>
      <c r="BC147" s="18">
        <f t="shared" si="516"/>
        <v>2314.8000000000002</v>
      </c>
      <c r="BD147" s="18">
        <f t="shared" si="516"/>
        <v>2478.2111988969646</v>
      </c>
      <c r="BE147" s="18">
        <f t="shared" si="516"/>
        <v>2314.8000000000002</v>
      </c>
      <c r="BF147" s="18">
        <f t="shared" si="516"/>
        <v>2314.8000000000002</v>
      </c>
      <c r="BG147" s="18">
        <f t="shared" si="516"/>
        <v>2480.804308821499</v>
      </c>
      <c r="BH147" s="18">
        <f t="shared" si="516"/>
        <v>2314.8000000000002</v>
      </c>
      <c r="BI147" s="18">
        <f t="shared" si="516"/>
        <v>2314.8000000000002</v>
      </c>
      <c r="BJ147" s="18">
        <f t="shared" si="516"/>
        <v>2482.7037676125315</v>
      </c>
      <c r="BK147" s="18">
        <f t="shared" si="516"/>
        <v>2314.8000000000002</v>
      </c>
      <c r="BL147" s="18">
        <f t="shared" si="516"/>
        <v>2314.8000000000002</v>
      </c>
      <c r="BM147" s="18">
        <f t="shared" si="516"/>
        <v>2484.6733838946952</v>
      </c>
      <c r="BN147" s="18">
        <f t="shared" si="516"/>
        <v>2314.8000000000002</v>
      </c>
      <c r="BO147" s="18">
        <f t="shared" si="516"/>
        <v>2314.8000000000002</v>
      </c>
      <c r="BP147" s="18">
        <f t="shared" si="516"/>
        <v>2480.3441260087056</v>
      </c>
      <c r="BQ147" s="18">
        <f t="shared" si="516"/>
        <v>2314.8000000000002</v>
      </c>
      <c r="BR147" s="18">
        <f t="shared" si="516"/>
        <v>2314.8000000000002</v>
      </c>
    </row>
    <row r="148" spans="2:70" outlineLevel="1">
      <c r="B148" s="55"/>
      <c r="C148" s="60" t="s">
        <v>198</v>
      </c>
      <c r="D148" s="58" t="s">
        <v>58</v>
      </c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T148" s="118"/>
      <c r="U148" s="118">
        <f t="shared" ref="U148:AB148" si="517">U147-U146</f>
        <v>3523.1000000000004</v>
      </c>
      <c r="V148" s="118">
        <f t="shared" si="517"/>
        <v>3523.1000000000004</v>
      </c>
      <c r="W148" s="118">
        <f t="shared" si="517"/>
        <v>-62.500000000000455</v>
      </c>
      <c r="X148" s="118">
        <f t="shared" si="517"/>
        <v>124.70000000000027</v>
      </c>
      <c r="Y148" s="118">
        <f t="shared" si="517"/>
        <v>62.199999999999818</v>
      </c>
      <c r="Z148" s="118">
        <f t="shared" si="517"/>
        <v>427.30000000000018</v>
      </c>
      <c r="AA148" s="118">
        <f t="shared" si="517"/>
        <v>332.5</v>
      </c>
      <c r="AB148" s="118">
        <f t="shared" si="517"/>
        <v>759.80000000000018</v>
      </c>
      <c r="AC148" s="118">
        <f t="shared" ref="AC148:BR148" si="518">AC147-AC146</f>
        <v>326.69999999999982</v>
      </c>
      <c r="AD148" s="118">
        <f t="shared" si="518"/>
        <v>-60.800000000000182</v>
      </c>
      <c r="AE148" s="118">
        <f t="shared" si="518"/>
        <v>265.89999999999964</v>
      </c>
      <c r="AF148" s="118">
        <f t="shared" ref="AF148" si="519">AF147-AF146</f>
        <v>162.20000000000073</v>
      </c>
      <c r="AG148" s="940">
        <f t="shared" si="518"/>
        <v>-390.62350425353088</v>
      </c>
      <c r="AH148" s="118">
        <f t="shared" si="518"/>
        <v>-228.42350425353015</v>
      </c>
      <c r="AI148" s="118">
        <f t="shared" si="518"/>
        <v>143.44323240004633</v>
      </c>
      <c r="AJ148" s="118">
        <f t="shared" si="518"/>
        <v>-430.05983039208331</v>
      </c>
      <c r="AK148" s="118">
        <f t="shared" si="518"/>
        <v>-286.61659799203699</v>
      </c>
      <c r="AL148" s="118">
        <f t="shared" si="518"/>
        <v>151.32233583362631</v>
      </c>
      <c r="AM148" s="118">
        <f t="shared" si="518"/>
        <v>-454.42992313822015</v>
      </c>
      <c r="AN148" s="118">
        <f t="shared" si="518"/>
        <v>-303.10758730459384</v>
      </c>
      <c r="AO148" s="118">
        <f t="shared" si="518"/>
        <v>153.58908466440789</v>
      </c>
      <c r="AP148" s="118">
        <f t="shared" si="518"/>
        <v>-462.19670588631743</v>
      </c>
      <c r="AQ148" s="118">
        <f t="shared" si="518"/>
        <v>-308.60762122190954</v>
      </c>
      <c r="AR148" s="118">
        <f t="shared" si="518"/>
        <v>159.7404835936245</v>
      </c>
      <c r="AS148" s="118">
        <f t="shared" si="518"/>
        <v>-472.17571671287351</v>
      </c>
      <c r="AT148" s="118">
        <f t="shared" si="518"/>
        <v>-312.43523311924901</v>
      </c>
      <c r="AU148" s="118">
        <f t="shared" si="518"/>
        <v>160.39105373952088</v>
      </c>
      <c r="AV148" s="118">
        <f t="shared" si="518"/>
        <v>-482.51387806444745</v>
      </c>
      <c r="AW148" s="118">
        <f t="shared" si="518"/>
        <v>-322.12282432492657</v>
      </c>
      <c r="AX148" s="118">
        <f t="shared" si="518"/>
        <v>161.06250221219216</v>
      </c>
      <c r="AY148" s="118">
        <f t="shared" si="518"/>
        <v>-493.18392955960007</v>
      </c>
      <c r="AZ148" s="118">
        <f t="shared" si="518"/>
        <v>-332.12142734740792</v>
      </c>
      <c r="BA148" s="118">
        <f t="shared" si="518"/>
        <v>161.75578517190388</v>
      </c>
      <c r="BB148" s="118">
        <f t="shared" si="518"/>
        <v>-364.52098960824969</v>
      </c>
      <c r="BC148" s="118">
        <f t="shared" si="518"/>
        <v>-202.76520443634581</v>
      </c>
      <c r="BD148" s="118">
        <f t="shared" si="518"/>
        <v>163.41119889696438</v>
      </c>
      <c r="BE148" s="118">
        <f t="shared" si="518"/>
        <v>-163.41119889696438</v>
      </c>
      <c r="BF148" s="118">
        <f t="shared" si="518"/>
        <v>0</v>
      </c>
      <c r="BG148" s="118">
        <f t="shared" si="518"/>
        <v>166.00430882149885</v>
      </c>
      <c r="BH148" s="118">
        <f t="shared" si="518"/>
        <v>-166.00430882149885</v>
      </c>
      <c r="BI148" s="118">
        <f t="shared" si="518"/>
        <v>0</v>
      </c>
      <c r="BJ148" s="118">
        <f t="shared" si="518"/>
        <v>167.90376761253128</v>
      </c>
      <c r="BK148" s="118">
        <f t="shared" si="518"/>
        <v>-167.90376761253128</v>
      </c>
      <c r="BL148" s="118">
        <f t="shared" si="518"/>
        <v>0</v>
      </c>
      <c r="BM148" s="118">
        <f t="shared" si="518"/>
        <v>169.87338389469505</v>
      </c>
      <c r="BN148" s="118">
        <f t="shared" si="518"/>
        <v>-169.87338389469505</v>
      </c>
      <c r="BO148" s="118">
        <f t="shared" si="518"/>
        <v>0</v>
      </c>
      <c r="BP148" s="118">
        <f t="shared" si="518"/>
        <v>165.54412600870546</v>
      </c>
      <c r="BQ148" s="118">
        <f t="shared" si="518"/>
        <v>-165.54412600870546</v>
      </c>
      <c r="BR148" s="118">
        <f t="shared" si="518"/>
        <v>0</v>
      </c>
    </row>
    <row r="149" spans="2:70" outlineLevel="1">
      <c r="B149" s="54" t="s">
        <v>189</v>
      </c>
      <c r="C149" s="55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T149" s="130"/>
      <c r="U149" s="130"/>
      <c r="V149" s="130"/>
      <c r="W149" s="130"/>
      <c r="X149" s="130"/>
      <c r="Y149" s="130"/>
      <c r="Z149" s="130"/>
      <c r="AA149" s="130"/>
      <c r="AB149" s="130"/>
    </row>
    <row r="150" spans="2:70" outlineLevel="1">
      <c r="B150" s="54"/>
      <c r="C150" s="82" t="s">
        <v>190</v>
      </c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T150" s="130"/>
      <c r="U150" s="130"/>
      <c r="V150" s="130"/>
      <c r="W150" s="130"/>
      <c r="X150" s="130"/>
      <c r="Y150" s="130"/>
      <c r="Z150" s="130"/>
      <c r="AA150" s="130"/>
      <c r="AB150" s="130"/>
    </row>
    <row r="151" spans="2:70" outlineLevel="1">
      <c r="B151" s="54"/>
      <c r="C151" s="83" t="s">
        <v>306</v>
      </c>
      <c r="D151" s="7" t="s">
        <v>85</v>
      </c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T151" s="342">
        <f t="shared" ref="T151:AB151" si="520">T632</f>
        <v>-76.3</v>
      </c>
      <c r="U151" s="342">
        <f t="shared" si="520"/>
        <v>-65.000000000000014</v>
      </c>
      <c r="V151" s="342">
        <f t="shared" si="520"/>
        <v>-141.30000000000001</v>
      </c>
      <c r="W151" s="342">
        <f t="shared" si="520"/>
        <v>-59.2</v>
      </c>
      <c r="X151" s="342">
        <f t="shared" si="520"/>
        <v>-78.600000000000009</v>
      </c>
      <c r="Y151" s="342">
        <f t="shared" si="520"/>
        <v>-137.80000000000001</v>
      </c>
      <c r="Z151" s="342">
        <f t="shared" si="520"/>
        <v>-91.5</v>
      </c>
      <c r="AA151" s="342">
        <f t="shared" si="520"/>
        <v>-102.4</v>
      </c>
      <c r="AB151" s="342">
        <f t="shared" si="520"/>
        <v>-193.9</v>
      </c>
      <c r="AC151" s="139">
        <f>AC632</f>
        <v>-96.1</v>
      </c>
      <c r="AD151" s="139">
        <f>AD632</f>
        <v>-105.30000000000001</v>
      </c>
      <c r="AE151" s="342">
        <f>AE632</f>
        <v>-201.4</v>
      </c>
      <c r="AF151" s="342">
        <f>AF632</f>
        <v>-95.2</v>
      </c>
      <c r="AG151" s="953">
        <f t="shared" ref="AG151:AM151" si="521">AG632</f>
        <v>-97.417157894736917</v>
      </c>
      <c r="AH151" s="139">
        <f>AH632</f>
        <v>-192.61715789473692</v>
      </c>
      <c r="AI151" s="139">
        <f>AI632</f>
        <v>-96.152000000000001</v>
      </c>
      <c r="AJ151" s="139">
        <f t="shared" si="521"/>
        <v>-98.39132947368428</v>
      </c>
      <c r="AK151" s="139">
        <f>AK632</f>
        <v>-194.54332947368428</v>
      </c>
      <c r="AL151" s="139">
        <f>AL632</f>
        <v>-97.113519999999994</v>
      </c>
      <c r="AM151" s="139">
        <f t="shared" si="521"/>
        <v>-99.375242768421131</v>
      </c>
      <c r="AN151" s="139">
        <f>AN632</f>
        <v>-196.48876276842111</v>
      </c>
      <c r="AO151" s="139">
        <f>AO632</f>
        <v>-98.084655199999986</v>
      </c>
      <c r="AP151" s="139">
        <f t="shared" ref="AP151" si="522">AP632</f>
        <v>-100.36899519610535</v>
      </c>
      <c r="AQ151" s="139">
        <f>AQ632</f>
        <v>-198.45365039610533</v>
      </c>
      <c r="AR151" s="139">
        <f>AR632</f>
        <v>-99.065501751999989</v>
      </c>
      <c r="AS151" s="139">
        <f t="shared" ref="AS151" si="523">AS632</f>
        <v>-101.3726851480664</v>
      </c>
      <c r="AT151" s="139">
        <f>AT632</f>
        <v>-200.4381869000664</v>
      </c>
      <c r="AU151" s="139">
        <f>AU632</f>
        <v>-100.05615676951999</v>
      </c>
      <c r="AV151" s="139">
        <f t="shared" ref="AV151" si="524">AV632</f>
        <v>-102.38641199954705</v>
      </c>
      <c r="AW151" s="139">
        <f>AW632</f>
        <v>-202.44256876906704</v>
      </c>
      <c r="AX151" s="139">
        <f>AX632</f>
        <v>-101.05671833721519</v>
      </c>
      <c r="AY151" s="139">
        <f t="shared" ref="AY151" si="525">AY632</f>
        <v>-103.41027611954252</v>
      </c>
      <c r="AZ151" s="139">
        <f>AZ632</f>
        <v>-204.4669944567577</v>
      </c>
      <c r="BA151" s="139">
        <f>BA632</f>
        <v>-102.06728552058735</v>
      </c>
      <c r="BB151" s="139">
        <f t="shared" ref="BB151" si="526">BB632</f>
        <v>-104.44437888073794</v>
      </c>
      <c r="BC151" s="139">
        <f>BC632</f>
        <v>-206.51166440132528</v>
      </c>
      <c r="BD151" s="139">
        <f>BD632</f>
        <v>-103.08795837579322</v>
      </c>
      <c r="BE151" s="139">
        <f t="shared" ref="BE151" si="527">BE632</f>
        <v>-105.48882266954531</v>
      </c>
      <c r="BF151" s="139">
        <f>BF632</f>
        <v>-208.57678104533852</v>
      </c>
      <c r="BG151" s="139">
        <f>BG632</f>
        <v>-104.11883795955116</v>
      </c>
      <c r="BH151" s="139">
        <f t="shared" ref="BH151" si="528">BH632</f>
        <v>-106.54371089624078</v>
      </c>
      <c r="BI151" s="139">
        <f>BI632</f>
        <v>-210.66254885579195</v>
      </c>
      <c r="BJ151" s="139">
        <f>BJ632</f>
        <v>-105.16002633914667</v>
      </c>
      <c r="BK151" s="139">
        <f t="shared" ref="BK151" si="529">BK632</f>
        <v>-107.60914800520318</v>
      </c>
      <c r="BL151" s="139">
        <f>BL632</f>
        <v>-212.76917434434984</v>
      </c>
      <c r="BM151" s="139">
        <f>BM632</f>
        <v>-106.21162660253815</v>
      </c>
      <c r="BN151" s="139">
        <f t="shared" ref="BN151" si="530">BN632</f>
        <v>-108.68523948525522</v>
      </c>
      <c r="BO151" s="139">
        <f>BO632</f>
        <v>-214.89686608779337</v>
      </c>
      <c r="BP151" s="139">
        <f>BP632</f>
        <v>-107.27374286856353</v>
      </c>
      <c r="BQ151" s="139">
        <f t="shared" ref="BQ151" si="531">BQ632</f>
        <v>-109.77209188010778</v>
      </c>
      <c r="BR151" s="139">
        <f>BR632</f>
        <v>-217.04583474867133</v>
      </c>
    </row>
    <row r="152" spans="2:70" outlineLevel="1">
      <c r="B152" s="55"/>
      <c r="C152" s="83" t="s">
        <v>306</v>
      </c>
      <c r="D152" s="58" t="s">
        <v>58</v>
      </c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T152" s="342">
        <f t="shared" ref="T152:AB152" si="532">T621</f>
        <v>-102.5</v>
      </c>
      <c r="U152" s="342">
        <f t="shared" si="532"/>
        <v>-89.199999999999989</v>
      </c>
      <c r="V152" s="342">
        <f t="shared" si="532"/>
        <v>-191.7</v>
      </c>
      <c r="W152" s="342">
        <f t="shared" si="532"/>
        <v>-76.2</v>
      </c>
      <c r="X152" s="342">
        <f t="shared" si="532"/>
        <v>-89.600000000000009</v>
      </c>
      <c r="Y152" s="342">
        <f t="shared" si="532"/>
        <v>-165.8</v>
      </c>
      <c r="Z152" s="342">
        <f t="shared" si="532"/>
        <v>-100.9</v>
      </c>
      <c r="AA152" s="342">
        <f t="shared" si="532"/>
        <v>-114.29999999999998</v>
      </c>
      <c r="AB152" s="342">
        <f t="shared" si="532"/>
        <v>-215.2</v>
      </c>
      <c r="AC152" s="139">
        <f t="shared" ref="AC152:AM152" si="533">AC621</f>
        <v>-105.4</v>
      </c>
      <c r="AD152" s="139">
        <f t="shared" si="533"/>
        <v>-114</v>
      </c>
      <c r="AE152" s="342">
        <f t="shared" si="533"/>
        <v>-219.4</v>
      </c>
      <c r="AF152" s="342">
        <f t="shared" ref="AF152" si="534">AF621</f>
        <v>-112</v>
      </c>
      <c r="AG152" s="953">
        <f t="shared" si="533"/>
        <v>-115.43933210526325</v>
      </c>
      <c r="AH152" s="139">
        <f>AH621</f>
        <v>-227.43933210526325</v>
      </c>
      <c r="AI152" s="139">
        <f>AI621</f>
        <v>-110.09404000000001</v>
      </c>
      <c r="AJ152" s="139">
        <f t="shared" si="533"/>
        <v>-119.05350866315797</v>
      </c>
      <c r="AK152" s="139">
        <f>AK621</f>
        <v>-229.14754866315798</v>
      </c>
      <c r="AL152" s="139">
        <f>AL621</f>
        <v>-121.39189999999999</v>
      </c>
      <c r="AM152" s="139">
        <f t="shared" si="533"/>
        <v>-124.21905346052641</v>
      </c>
      <c r="AN152" s="139">
        <f>AN621</f>
        <v>-245.61095346052639</v>
      </c>
      <c r="AO152" s="139">
        <f>AO621</f>
        <v>-122.60581899999998</v>
      </c>
      <c r="AP152" s="139">
        <f t="shared" ref="AP152" si="535">AP621</f>
        <v>-125.46124399513168</v>
      </c>
      <c r="AQ152" s="139">
        <f>AQ621</f>
        <v>-248.06706299513166</v>
      </c>
      <c r="AR152" s="139">
        <f>AR621</f>
        <v>-123.83187718999999</v>
      </c>
      <c r="AS152" s="139">
        <f t="shared" ref="AS152" si="536">AS621</f>
        <v>-126.715856435083</v>
      </c>
      <c r="AT152" s="139">
        <f>AT621</f>
        <v>-250.54773362508297</v>
      </c>
      <c r="AU152" s="139">
        <f>AU621</f>
        <v>-125.07019596189998</v>
      </c>
      <c r="AV152" s="139">
        <f t="shared" ref="AV152" si="537">AV621</f>
        <v>-127.98301499943381</v>
      </c>
      <c r="AW152" s="139">
        <f>AW621</f>
        <v>-253.05321096133378</v>
      </c>
      <c r="AX152" s="139">
        <f>AX621</f>
        <v>-126.32089792151899</v>
      </c>
      <c r="AY152" s="139">
        <f t="shared" ref="AY152" si="538">AY621</f>
        <v>-129.26284514942813</v>
      </c>
      <c r="AZ152" s="139">
        <f>AZ621</f>
        <v>-255.58374307094712</v>
      </c>
      <c r="BA152" s="139">
        <f>BA621</f>
        <v>-127.58410690073418</v>
      </c>
      <c r="BB152" s="139">
        <f t="shared" ref="BB152" si="539">BB621</f>
        <v>-130.55547360092243</v>
      </c>
      <c r="BC152" s="139">
        <f>BC621</f>
        <v>-258.13958050165661</v>
      </c>
      <c r="BD152" s="139">
        <f>BD621</f>
        <v>-128.85994796974154</v>
      </c>
      <c r="BE152" s="139">
        <f t="shared" ref="BE152" si="540">BE621</f>
        <v>-131.86102833693164</v>
      </c>
      <c r="BF152" s="139">
        <f>BF621</f>
        <v>-260.72097630667315</v>
      </c>
      <c r="BG152" s="139">
        <f>BG621</f>
        <v>-130.14854744943895</v>
      </c>
      <c r="BH152" s="139">
        <f t="shared" ref="BH152" si="541">BH621</f>
        <v>-133.17963862030098</v>
      </c>
      <c r="BI152" s="139">
        <f>BI621</f>
        <v>-263.3281860697399</v>
      </c>
      <c r="BJ152" s="139">
        <f>BJ621</f>
        <v>-131.45003292393335</v>
      </c>
      <c r="BK152" s="139">
        <f t="shared" ref="BK152" si="542">BK621</f>
        <v>-134.51143500650397</v>
      </c>
      <c r="BL152" s="139">
        <f>BL621</f>
        <v>-265.96146793043732</v>
      </c>
      <c r="BM152" s="139">
        <f>BM621</f>
        <v>-132.76453325317269</v>
      </c>
      <c r="BN152" s="139">
        <f t="shared" ref="BN152" si="543">BN621</f>
        <v>-135.85654935656902</v>
      </c>
      <c r="BO152" s="139">
        <f>BO621</f>
        <v>-268.62108260974173</v>
      </c>
      <c r="BP152" s="139">
        <f>BP621</f>
        <v>-134.0921785857044</v>
      </c>
      <c r="BQ152" s="139">
        <f t="shared" ref="BQ152" si="544">BQ621</f>
        <v>-137.21511485013474</v>
      </c>
      <c r="BR152" s="139">
        <f>BR621</f>
        <v>-271.30729343583914</v>
      </c>
    </row>
    <row r="153" spans="2:70" outlineLevel="1">
      <c r="B153" s="55"/>
      <c r="C153" s="83" t="s">
        <v>307</v>
      </c>
      <c r="D153" s="58" t="s">
        <v>58</v>
      </c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T153" s="19">
        <f t="shared" ref="T153:AB153" si="545">T1182</f>
        <v>-70.599999999999994</v>
      </c>
      <c r="U153" s="19">
        <f t="shared" si="545"/>
        <v>-54.900000000000006</v>
      </c>
      <c r="V153" s="19">
        <f t="shared" si="545"/>
        <v>-125.5</v>
      </c>
      <c r="W153" s="19">
        <f t="shared" si="545"/>
        <v>-75.7</v>
      </c>
      <c r="X153" s="19">
        <f t="shared" si="545"/>
        <v>-58.499999999999986</v>
      </c>
      <c r="Y153" s="19">
        <f t="shared" si="545"/>
        <v>-134.19999999999999</v>
      </c>
      <c r="Z153" s="19">
        <f t="shared" si="545"/>
        <v>-53.2</v>
      </c>
      <c r="AA153" s="19">
        <f t="shared" si="545"/>
        <v>-71.8</v>
      </c>
      <c r="AB153" s="19">
        <f t="shared" si="545"/>
        <v>-125</v>
      </c>
      <c r="AC153" s="23">
        <f>AC1182</f>
        <v>-97.8</v>
      </c>
      <c r="AD153" s="23">
        <f>AD1182</f>
        <v>-59.8</v>
      </c>
      <c r="AE153" s="19">
        <f>AE1182</f>
        <v>-157.6</v>
      </c>
      <c r="AF153" s="19">
        <f>AF1182</f>
        <v>-73</v>
      </c>
      <c r="AG153" s="943">
        <f t="shared" ref="AG153:AN153" si="546">AG1182</f>
        <v>-64.343333333333334</v>
      </c>
      <c r="AH153" s="23">
        <f t="shared" si="546"/>
        <v>-137.34333333333333</v>
      </c>
      <c r="AI153" s="23">
        <f t="shared" si="546"/>
        <v>-62.62</v>
      </c>
      <c r="AJ153" s="23">
        <f t="shared" si="546"/>
        <v>-64.986766666666668</v>
      </c>
      <c r="AK153" s="23">
        <f t="shared" si="546"/>
        <v>-127.60676666666666</v>
      </c>
      <c r="AL153" s="23">
        <f t="shared" si="546"/>
        <v>-63.246199999999995</v>
      </c>
      <c r="AM153" s="23">
        <f t="shared" si="546"/>
        <v>-65.636634333333333</v>
      </c>
      <c r="AN153" s="23">
        <f t="shared" si="546"/>
        <v>-128.88283433333334</v>
      </c>
      <c r="AO153" s="23">
        <f t="shared" ref="AO153:BR153" si="547">AO1182</f>
        <v>-63.878661999999998</v>
      </c>
      <c r="AP153" s="23">
        <f t="shared" si="547"/>
        <v>-66.293000676666665</v>
      </c>
      <c r="AQ153" s="23">
        <f t="shared" si="547"/>
        <v>-130.17166267666667</v>
      </c>
      <c r="AR153" s="23">
        <f t="shared" si="547"/>
        <v>-64.517448619999996</v>
      </c>
      <c r="AS153" s="23">
        <f t="shared" si="547"/>
        <v>-66.955930683433337</v>
      </c>
      <c r="AT153" s="23">
        <f t="shared" si="547"/>
        <v>-131.47337930343332</v>
      </c>
      <c r="AU153" s="23">
        <f t="shared" si="547"/>
        <v>-65.162623106200002</v>
      </c>
      <c r="AV153" s="23">
        <f t="shared" si="547"/>
        <v>-67.625489990267667</v>
      </c>
      <c r="AW153" s="23">
        <f t="shared" si="547"/>
        <v>-132.78811309646767</v>
      </c>
      <c r="AX153" s="23">
        <f t="shared" si="547"/>
        <v>-65.814249337261998</v>
      </c>
      <c r="AY153" s="23">
        <f t="shared" si="547"/>
        <v>-68.30174489017034</v>
      </c>
      <c r="AZ153" s="23">
        <f t="shared" si="547"/>
        <v>-134.11599422743234</v>
      </c>
      <c r="BA153" s="23">
        <f t="shared" si="547"/>
        <v>-66.472391830634621</v>
      </c>
      <c r="BB153" s="23">
        <f t="shared" si="547"/>
        <v>-68.984762339072049</v>
      </c>
      <c r="BC153" s="23">
        <f t="shared" si="547"/>
        <v>-135.45715416970666</v>
      </c>
      <c r="BD153" s="23">
        <f t="shared" si="547"/>
        <v>-67.137115748940971</v>
      </c>
      <c r="BE153" s="23">
        <f t="shared" si="547"/>
        <v>-69.674609962462767</v>
      </c>
      <c r="BF153" s="23">
        <f t="shared" si="547"/>
        <v>-136.81172571140374</v>
      </c>
      <c r="BG153" s="23">
        <f t="shared" si="547"/>
        <v>-67.808486906430375</v>
      </c>
      <c r="BH153" s="23">
        <f t="shared" si="547"/>
        <v>-70.371356062087401</v>
      </c>
      <c r="BI153" s="23">
        <f t="shared" si="547"/>
        <v>-138.17984296851779</v>
      </c>
      <c r="BJ153" s="23">
        <f t="shared" si="547"/>
        <v>-68.486571775494681</v>
      </c>
      <c r="BK153" s="23">
        <f t="shared" si="547"/>
        <v>-71.07506962270827</v>
      </c>
      <c r="BL153" s="23">
        <f t="shared" si="547"/>
        <v>-139.56164139820294</v>
      </c>
      <c r="BM153" s="23">
        <f t="shared" si="547"/>
        <v>-69.171437493249627</v>
      </c>
      <c r="BN153" s="23">
        <f t="shared" si="547"/>
        <v>-71.78582031893535</v>
      </c>
      <c r="BO153" s="23">
        <f t="shared" si="547"/>
        <v>-140.95725781218499</v>
      </c>
      <c r="BP153" s="23">
        <f t="shared" si="547"/>
        <v>-69.863151868182129</v>
      </c>
      <c r="BQ153" s="23">
        <f t="shared" si="547"/>
        <v>-72.503678522124702</v>
      </c>
      <c r="BR153" s="23">
        <f t="shared" si="547"/>
        <v>-142.36683039030683</v>
      </c>
    </row>
    <row r="154" spans="2:70" outlineLevel="1">
      <c r="B154" s="55"/>
      <c r="C154" s="83" t="s">
        <v>333</v>
      </c>
      <c r="D154" s="58" t="s">
        <v>58</v>
      </c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T154" s="19">
        <f t="shared" ref="T154:AB154" si="548">T1472</f>
        <v>-7.65</v>
      </c>
      <c r="U154" s="19">
        <f t="shared" si="548"/>
        <v>-7.65</v>
      </c>
      <c r="V154" s="19">
        <f t="shared" si="548"/>
        <v>-15.3</v>
      </c>
      <c r="W154" s="19">
        <f t="shared" si="548"/>
        <v>-4.5</v>
      </c>
      <c r="X154" s="19">
        <f t="shared" si="548"/>
        <v>-18.5</v>
      </c>
      <c r="Y154" s="19">
        <f t="shared" si="548"/>
        <v>-23</v>
      </c>
      <c r="Z154" s="19">
        <f t="shared" si="548"/>
        <v>-8.1</v>
      </c>
      <c r="AA154" s="19">
        <f t="shared" si="548"/>
        <v>-0.59999999999999964</v>
      </c>
      <c r="AB154" s="19">
        <f t="shared" si="548"/>
        <v>-8.6999999999999993</v>
      </c>
      <c r="AC154" s="23">
        <f>AC1472</f>
        <v>-0.6</v>
      </c>
      <c r="AD154" s="23">
        <f>AD1472</f>
        <v>-1.6</v>
      </c>
      <c r="AE154" s="19">
        <f>AE1472</f>
        <v>-2.2000000000000002</v>
      </c>
      <c r="AF154" s="19">
        <f>AF1472</f>
        <v>-2.1</v>
      </c>
      <c r="AG154" s="943">
        <f t="shared" ref="AG154:AN154" si="549">AG1472</f>
        <v>-2.5249999999999999</v>
      </c>
      <c r="AH154" s="23">
        <f t="shared" si="549"/>
        <v>-4.625</v>
      </c>
      <c r="AI154" s="23">
        <f t="shared" si="549"/>
        <v>-2.3482500000000002</v>
      </c>
      <c r="AJ154" s="23">
        <f t="shared" si="549"/>
        <v>-3.8253750000000002</v>
      </c>
      <c r="AK154" s="23">
        <f t="shared" si="549"/>
        <v>-6.1736250000000004</v>
      </c>
      <c r="AL154" s="23">
        <f t="shared" si="549"/>
        <v>-3.1623100000000002</v>
      </c>
      <c r="AM154" s="23">
        <f t="shared" si="549"/>
        <v>-5.1515050000000002</v>
      </c>
      <c r="AN154" s="23">
        <f t="shared" si="549"/>
        <v>-8.313815</v>
      </c>
      <c r="AO154" s="23">
        <f t="shared" ref="AO154:BR154" si="550">AO1472</f>
        <v>-3.1939331000000002</v>
      </c>
      <c r="AP154" s="23">
        <f t="shared" si="550"/>
        <v>-5.2030200500000001</v>
      </c>
      <c r="AQ154" s="23">
        <f t="shared" si="550"/>
        <v>-8.3969531499999999</v>
      </c>
      <c r="AR154" s="23">
        <f t="shared" si="550"/>
        <v>-3.2258724310000004</v>
      </c>
      <c r="AS154" s="23">
        <f t="shared" si="550"/>
        <v>-5.2550502505000001</v>
      </c>
      <c r="AT154" s="23">
        <f t="shared" si="550"/>
        <v>-8.4809226815000009</v>
      </c>
      <c r="AU154" s="23">
        <f t="shared" si="550"/>
        <v>-3.2581311553100005</v>
      </c>
      <c r="AV154" s="23">
        <f t="shared" si="550"/>
        <v>-5.3076007530050004</v>
      </c>
      <c r="AW154" s="23">
        <f t="shared" si="550"/>
        <v>-8.5657319083150014</v>
      </c>
      <c r="AX154" s="23">
        <f t="shared" si="550"/>
        <v>-3.2907124668631007</v>
      </c>
      <c r="AY154" s="23">
        <f t="shared" si="550"/>
        <v>-5.3606767605350507</v>
      </c>
      <c r="AZ154" s="23">
        <f t="shared" si="550"/>
        <v>-8.6513892273981519</v>
      </c>
      <c r="BA154" s="23">
        <f t="shared" si="550"/>
        <v>-3.3236195915317319</v>
      </c>
      <c r="BB154" s="23">
        <f t="shared" si="550"/>
        <v>-5.4142835281404009</v>
      </c>
      <c r="BC154" s="23">
        <f t="shared" si="550"/>
        <v>-8.7379031196721328</v>
      </c>
      <c r="BD154" s="23">
        <f t="shared" si="550"/>
        <v>-3.3568557874470493</v>
      </c>
      <c r="BE154" s="23">
        <f t="shared" si="550"/>
        <v>-5.4684263634218047</v>
      </c>
      <c r="BF154" s="23">
        <f t="shared" si="550"/>
        <v>-8.8252821508688548</v>
      </c>
      <c r="BG154" s="23">
        <f t="shared" si="550"/>
        <v>-3.3904243453215197</v>
      </c>
      <c r="BH154" s="23">
        <f t="shared" si="550"/>
        <v>-5.5231106270560231</v>
      </c>
      <c r="BI154" s="23">
        <f t="shared" si="550"/>
        <v>-8.9135349723775423</v>
      </c>
      <c r="BJ154" s="23">
        <f t="shared" si="550"/>
        <v>-3.4243285887747348</v>
      </c>
      <c r="BK154" s="23">
        <f t="shared" si="550"/>
        <v>-5.5783417333265835</v>
      </c>
      <c r="BL154" s="23">
        <f t="shared" si="550"/>
        <v>-9.0026703221013182</v>
      </c>
      <c r="BM154" s="23">
        <f t="shared" si="550"/>
        <v>-3.4585718746624821</v>
      </c>
      <c r="BN154" s="23">
        <f t="shared" si="550"/>
        <v>-5.6341251506598491</v>
      </c>
      <c r="BO154" s="23">
        <f t="shared" si="550"/>
        <v>-9.0926970253223303</v>
      </c>
      <c r="BP154" s="23">
        <f t="shared" si="550"/>
        <v>-3.4931575934091068</v>
      </c>
      <c r="BQ154" s="23">
        <f t="shared" si="550"/>
        <v>-5.6904664021664475</v>
      </c>
      <c r="BR154" s="23">
        <f t="shared" si="550"/>
        <v>-9.1836239955755552</v>
      </c>
    </row>
    <row r="155" spans="2:70" s="8" customFormat="1" outlineLevel="1">
      <c r="B155" s="55"/>
      <c r="C155" s="441" t="s">
        <v>334</v>
      </c>
      <c r="D155" s="56" t="s">
        <v>58</v>
      </c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T155" s="436">
        <f t="shared" ref="T155:AB155" si="551">T152+T153+T154</f>
        <v>-180.75</v>
      </c>
      <c r="U155" s="436">
        <f t="shared" si="551"/>
        <v>-151.75</v>
      </c>
      <c r="V155" s="436">
        <f t="shared" si="551"/>
        <v>-332.5</v>
      </c>
      <c r="W155" s="436">
        <f t="shared" si="551"/>
        <v>-156.4</v>
      </c>
      <c r="X155" s="436">
        <f t="shared" si="551"/>
        <v>-166.6</v>
      </c>
      <c r="Y155" s="436">
        <f t="shared" si="551"/>
        <v>-323</v>
      </c>
      <c r="Z155" s="436">
        <f t="shared" si="551"/>
        <v>-162.20000000000002</v>
      </c>
      <c r="AA155" s="436">
        <f t="shared" si="551"/>
        <v>-186.69999999999996</v>
      </c>
      <c r="AB155" s="436">
        <f t="shared" si="551"/>
        <v>-348.9</v>
      </c>
      <c r="AC155" s="418">
        <f>AC152+AC153+AC154</f>
        <v>-203.79999999999998</v>
      </c>
      <c r="AD155" s="418">
        <f>AD152+AD153+AD154</f>
        <v>-175.4</v>
      </c>
      <c r="AE155" s="436">
        <f>AE152+AE153+AE154</f>
        <v>-379.2</v>
      </c>
      <c r="AF155" s="433">
        <f>AF152+AF153+AF154</f>
        <v>-187.1</v>
      </c>
      <c r="AG155" s="954">
        <f t="shared" ref="AG155:AM155" si="552">AG152+AG153+AG154</f>
        <v>-182.30766543859659</v>
      </c>
      <c r="AH155" s="141">
        <f>AH152+AH153+AH154</f>
        <v>-369.40766543859661</v>
      </c>
      <c r="AI155" s="141">
        <f>AI152+AI153+AI154</f>
        <v>-175.06229000000002</v>
      </c>
      <c r="AJ155" s="141">
        <f t="shared" si="552"/>
        <v>-187.86565032982463</v>
      </c>
      <c r="AK155" s="141">
        <f>AK152+AK153+AK154</f>
        <v>-362.92794032982465</v>
      </c>
      <c r="AL155" s="141">
        <f>AL152+AL153+AL154</f>
        <v>-187.80040999999997</v>
      </c>
      <c r="AM155" s="141">
        <f t="shared" si="552"/>
        <v>-195.00719279385976</v>
      </c>
      <c r="AN155" s="141">
        <f>AN152+AN153+AN154</f>
        <v>-382.8076027938597</v>
      </c>
      <c r="AO155" s="141">
        <f>AO152+AO153+AO154</f>
        <v>-189.6784141</v>
      </c>
      <c r="AP155" s="141">
        <f t="shared" ref="AP155" si="553">AP152+AP153+AP154</f>
        <v>-196.95726472179834</v>
      </c>
      <c r="AQ155" s="141">
        <f>AQ152+AQ153+AQ154</f>
        <v>-386.63567882179831</v>
      </c>
      <c r="AR155" s="141">
        <f>AR152+AR153+AR154</f>
        <v>-191.57519824099998</v>
      </c>
      <c r="AS155" s="141">
        <f t="shared" ref="AS155" si="554">AS152+AS153+AS154</f>
        <v>-198.92683736901634</v>
      </c>
      <c r="AT155" s="141">
        <f>AT152+AT153+AT154</f>
        <v>-390.50203561001626</v>
      </c>
      <c r="AU155" s="141">
        <f>AU152+AU153+AU154</f>
        <v>-193.49095022340998</v>
      </c>
      <c r="AV155" s="141">
        <f t="shared" ref="AV155" si="555">AV152+AV153+AV154</f>
        <v>-200.91610574270649</v>
      </c>
      <c r="AW155" s="141">
        <f>AW152+AW153+AW154</f>
        <v>-394.40705596611645</v>
      </c>
      <c r="AX155" s="141">
        <f>AX152+AX153+AX154</f>
        <v>-195.4258597256441</v>
      </c>
      <c r="AY155" s="141">
        <f t="shared" ref="AY155" si="556">AY152+AY153+AY154</f>
        <v>-202.92526680013353</v>
      </c>
      <c r="AZ155" s="141">
        <f>AZ152+AZ153+AZ154</f>
        <v>-398.3511265257776</v>
      </c>
      <c r="BA155" s="141">
        <f>BA152+BA153+BA154</f>
        <v>-197.38011832290053</v>
      </c>
      <c r="BB155" s="141">
        <f t="shared" ref="BB155" si="557">BB152+BB153+BB154</f>
        <v>-204.95451946813489</v>
      </c>
      <c r="BC155" s="141">
        <f>BC152+BC153+BC154</f>
        <v>-402.33463779103539</v>
      </c>
      <c r="BD155" s="141">
        <f>BD152+BD153+BD154</f>
        <v>-199.35391950612956</v>
      </c>
      <c r="BE155" s="141">
        <f t="shared" ref="BE155" si="558">BE152+BE153+BE154</f>
        <v>-207.00406466281621</v>
      </c>
      <c r="BF155" s="141">
        <f>BF152+BF153+BF154</f>
        <v>-406.35798416894573</v>
      </c>
      <c r="BG155" s="141">
        <f>BG152+BG153+BG154</f>
        <v>-201.34745870119085</v>
      </c>
      <c r="BH155" s="141">
        <f t="shared" ref="BH155" si="559">BH152+BH153+BH154</f>
        <v>-209.07410530944438</v>
      </c>
      <c r="BI155" s="141">
        <f>BI152+BI153+BI154</f>
        <v>-410.42156401063522</v>
      </c>
      <c r="BJ155" s="141">
        <f>BJ152+BJ153+BJ154</f>
        <v>-203.36093328820274</v>
      </c>
      <c r="BK155" s="141">
        <f t="shared" ref="BK155" si="560">BK152+BK153+BK154</f>
        <v>-211.16484636253884</v>
      </c>
      <c r="BL155" s="141">
        <f>BL152+BL153+BL154</f>
        <v>-414.52577965074158</v>
      </c>
      <c r="BM155" s="141">
        <f>BM152+BM153+BM154</f>
        <v>-205.39454262108478</v>
      </c>
      <c r="BN155" s="141">
        <f t="shared" ref="BN155" si="561">BN152+BN153+BN154</f>
        <v>-213.27649482616422</v>
      </c>
      <c r="BO155" s="141">
        <f>BO152+BO153+BO154</f>
        <v>-418.67103744724903</v>
      </c>
      <c r="BP155" s="141">
        <f>BP152+BP153+BP154</f>
        <v>-207.44848804729563</v>
      </c>
      <c r="BQ155" s="141">
        <f t="shared" ref="BQ155" si="562">BQ152+BQ153+BQ154</f>
        <v>-215.40925977442586</v>
      </c>
      <c r="BR155" s="141">
        <f>BR152+BR153+BR154</f>
        <v>-422.85774782172155</v>
      </c>
    </row>
    <row r="156" spans="2:70" outlineLevel="1">
      <c r="B156" s="57"/>
      <c r="C156" s="55" t="s">
        <v>217</v>
      </c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</row>
    <row r="157" spans="2:70" outlineLevel="1">
      <c r="B157" s="57"/>
      <c r="C157" s="60" t="s">
        <v>562</v>
      </c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</row>
    <row r="158" spans="2:70" outlineLevel="1">
      <c r="B158" s="57"/>
      <c r="C158" s="83" t="s">
        <v>218</v>
      </c>
      <c r="D158" s="58" t="s">
        <v>58</v>
      </c>
      <c r="E158" s="61"/>
      <c r="F158" s="61"/>
      <c r="G158" s="58"/>
      <c r="H158" s="58"/>
      <c r="I158" s="58"/>
      <c r="J158" s="58"/>
      <c r="K158" s="58"/>
      <c r="L158" s="58"/>
      <c r="M158" s="58"/>
      <c r="N158" s="58"/>
      <c r="O158" s="58"/>
      <c r="W158" s="151">
        <v>0</v>
      </c>
      <c r="X158" s="151">
        <v>-295.60000000000002</v>
      </c>
      <c r="Y158" s="118">
        <f>W158+X158</f>
        <v>-295.60000000000002</v>
      </c>
      <c r="Z158" s="151">
        <v>-204.1</v>
      </c>
      <c r="AA158" s="151">
        <v>0</v>
      </c>
      <c r="AB158" s="118">
        <f>Z158+AA158</f>
        <v>-204.1</v>
      </c>
      <c r="AC158" s="35">
        <v>0</v>
      </c>
      <c r="AD158" s="30">
        <f>+AE158-AC158</f>
        <v>0</v>
      </c>
      <c r="AE158" s="828">
        <v>0</v>
      </c>
      <c r="AF158" s="904">
        <v>0</v>
      </c>
      <c r="AG158" s="939">
        <v>0</v>
      </c>
      <c r="AH158" s="437">
        <f>AF158+AG158</f>
        <v>0</v>
      </c>
      <c r="AI158" s="361">
        <v>0</v>
      </c>
      <c r="AJ158" s="361">
        <v>0</v>
      </c>
      <c r="AK158" s="439">
        <f>AI158+AJ158</f>
        <v>0</v>
      </c>
      <c r="AL158" s="361">
        <v>0</v>
      </c>
      <c r="AM158" s="361">
        <v>0</v>
      </c>
      <c r="AN158" s="439">
        <f>AL158+AM158</f>
        <v>0</v>
      </c>
      <c r="AO158" s="361">
        <v>0</v>
      </c>
      <c r="AP158" s="361">
        <v>0</v>
      </c>
      <c r="AQ158" s="439">
        <f>AO158+AP158</f>
        <v>0</v>
      </c>
      <c r="AR158" s="361">
        <v>0</v>
      </c>
      <c r="AS158" s="361">
        <v>0</v>
      </c>
      <c r="AT158" s="439">
        <f>AR158+AS158</f>
        <v>0</v>
      </c>
      <c r="AU158" s="361">
        <v>0</v>
      </c>
      <c r="AV158" s="361">
        <v>0</v>
      </c>
      <c r="AW158" s="439">
        <f>AU158+AV158</f>
        <v>0</v>
      </c>
      <c r="AX158" s="361">
        <v>0</v>
      </c>
      <c r="AY158" s="361">
        <v>0</v>
      </c>
      <c r="AZ158" s="439">
        <f>AX158+AY158</f>
        <v>0</v>
      </c>
      <c r="BA158" s="361">
        <v>0</v>
      </c>
      <c r="BB158" s="361">
        <v>0</v>
      </c>
      <c r="BC158" s="439">
        <f>BA158+BB158</f>
        <v>0</v>
      </c>
      <c r="BD158" s="361">
        <v>0</v>
      </c>
      <c r="BE158" s="361">
        <v>0</v>
      </c>
      <c r="BF158" s="439">
        <f>BD158+BE158</f>
        <v>0</v>
      </c>
      <c r="BG158" s="361">
        <v>0</v>
      </c>
      <c r="BH158" s="361">
        <v>0</v>
      </c>
      <c r="BI158" s="439">
        <f>BG158+BH158</f>
        <v>0</v>
      </c>
      <c r="BJ158" s="361">
        <v>0</v>
      </c>
      <c r="BK158" s="361">
        <v>0</v>
      </c>
      <c r="BL158" s="439">
        <f>BJ158+BK158</f>
        <v>0</v>
      </c>
      <c r="BM158" s="361">
        <v>0</v>
      </c>
      <c r="BN158" s="361">
        <v>0</v>
      </c>
      <c r="BO158" s="439">
        <f>BM158+BN158</f>
        <v>0</v>
      </c>
      <c r="BP158" s="361">
        <v>0</v>
      </c>
      <c r="BQ158" s="361">
        <v>0</v>
      </c>
      <c r="BR158" s="439">
        <f>BP158+BQ158</f>
        <v>0</v>
      </c>
    </row>
    <row r="159" spans="2:70" outlineLevel="1">
      <c r="B159" s="57"/>
      <c r="C159" s="83" t="s">
        <v>218</v>
      </c>
      <c r="D159" s="58" t="s">
        <v>102</v>
      </c>
      <c r="E159" s="61"/>
      <c r="F159" s="61"/>
      <c r="G159" s="58"/>
      <c r="H159" s="58"/>
      <c r="I159" s="58"/>
      <c r="J159" s="58"/>
      <c r="K159" s="58"/>
      <c r="L159" s="58"/>
      <c r="M159" s="58"/>
      <c r="N159" s="58"/>
      <c r="O159" s="58"/>
      <c r="W159" s="151">
        <v>0</v>
      </c>
      <c r="X159" s="151">
        <v>-370.91040282</v>
      </c>
      <c r="Y159" s="118">
        <f>W159+X159</f>
        <v>-370.91040282</v>
      </c>
      <c r="Z159" s="151">
        <f>-667.15470224-X159</f>
        <v>-296.24429942</v>
      </c>
      <c r="AA159" s="151">
        <v>0</v>
      </c>
      <c r="AB159" s="118">
        <f>Z159+AA159</f>
        <v>-296.24429942</v>
      </c>
      <c r="AC159" s="35">
        <v>0</v>
      </c>
      <c r="AD159" s="30">
        <f>+AE159-AC159</f>
        <v>0</v>
      </c>
      <c r="AE159" s="828">
        <v>0</v>
      </c>
      <c r="AF159" s="904">
        <v>0</v>
      </c>
      <c r="AG159" s="940">
        <f>+AG158/AG260</f>
        <v>0</v>
      </c>
      <c r="AH159" s="142">
        <f>+AG159+AF159</f>
        <v>0</v>
      </c>
      <c r="AI159" s="118">
        <f>+AI158/AI260</f>
        <v>0</v>
      </c>
      <c r="AJ159" s="118">
        <f>+AJ158/AJ260</f>
        <v>0</v>
      </c>
      <c r="AK159" s="118">
        <f t="shared" ref="AK159" si="563">+AJ159+AI159</f>
        <v>0</v>
      </c>
      <c r="AL159" s="118">
        <f>+AL158/AL260</f>
        <v>0</v>
      </c>
      <c r="AM159" s="118">
        <f>+AM158/AM260</f>
        <v>0</v>
      </c>
      <c r="AN159" s="118">
        <f t="shared" ref="AN159" si="564">+AM159+AL159</f>
        <v>0</v>
      </c>
      <c r="AO159" s="118">
        <f>+AO158/AO260</f>
        <v>0</v>
      </c>
      <c r="AP159" s="118">
        <f>+AP158/AP260</f>
        <v>0</v>
      </c>
      <c r="AQ159" s="118">
        <f t="shared" ref="AQ159" si="565">+AP159+AO159</f>
        <v>0</v>
      </c>
      <c r="AR159" s="118">
        <f>+AR158/AR260</f>
        <v>0</v>
      </c>
      <c r="AS159" s="118">
        <f>+AS158/AS260</f>
        <v>0</v>
      </c>
      <c r="AT159" s="118">
        <f t="shared" ref="AT159" si="566">+AS159+AR159</f>
        <v>0</v>
      </c>
      <c r="AU159" s="118">
        <f>+AU158/AU260</f>
        <v>0</v>
      </c>
      <c r="AV159" s="118">
        <f>+AV158/AV260</f>
        <v>0</v>
      </c>
      <c r="AW159" s="118">
        <f t="shared" ref="AW159" si="567">+AV159+AU159</f>
        <v>0</v>
      </c>
      <c r="AX159" s="118">
        <f>+AX158/AX260</f>
        <v>0</v>
      </c>
      <c r="AY159" s="118">
        <f>+AY158/AY260</f>
        <v>0</v>
      </c>
      <c r="AZ159" s="118">
        <f t="shared" ref="AZ159" si="568">+AY159+AX159</f>
        <v>0</v>
      </c>
      <c r="BA159" s="118">
        <f>+BA158/BA260</f>
        <v>0</v>
      </c>
      <c r="BB159" s="118">
        <f>+BB158/BB260</f>
        <v>0</v>
      </c>
      <c r="BC159" s="118">
        <f t="shared" ref="BC159" si="569">+BB159+BA159</f>
        <v>0</v>
      </c>
      <c r="BD159" s="118">
        <f>+BD158/BD260</f>
        <v>0</v>
      </c>
      <c r="BE159" s="118">
        <f>+BE158/BE260</f>
        <v>0</v>
      </c>
      <c r="BF159" s="118">
        <f t="shared" ref="BF159" si="570">+BE159+BD159</f>
        <v>0</v>
      </c>
      <c r="BG159" s="118">
        <f>+BG158/BG260</f>
        <v>0</v>
      </c>
      <c r="BH159" s="118">
        <f>+BH158/BH260</f>
        <v>0</v>
      </c>
      <c r="BI159" s="118">
        <f t="shared" ref="BI159" si="571">+BH159+BG159</f>
        <v>0</v>
      </c>
      <c r="BJ159" s="118">
        <f>+BJ158/BJ260</f>
        <v>0</v>
      </c>
      <c r="BK159" s="118">
        <f>+BK158/BK260</f>
        <v>0</v>
      </c>
      <c r="BL159" s="118">
        <f t="shared" ref="BL159" si="572">+BK159+BJ159</f>
        <v>0</v>
      </c>
      <c r="BM159" s="118">
        <f>+BM158/BM260</f>
        <v>0</v>
      </c>
      <c r="BN159" s="118">
        <f>+BN158/BN260</f>
        <v>0</v>
      </c>
      <c r="BO159" s="118">
        <f t="shared" ref="BO159" si="573">+BN159+BM159</f>
        <v>0</v>
      </c>
      <c r="BP159" s="118">
        <f>+BP158/BP260</f>
        <v>0</v>
      </c>
      <c r="BQ159" s="118">
        <f>+BQ158/BQ260</f>
        <v>0</v>
      </c>
      <c r="BR159" s="118">
        <f t="shared" ref="BR159" si="574">+BQ159+BP159</f>
        <v>0</v>
      </c>
    </row>
    <row r="160" spans="2:70" outlineLevel="1">
      <c r="B160" s="57"/>
      <c r="C160" s="83" t="s">
        <v>219</v>
      </c>
      <c r="D160" s="58" t="s">
        <v>161</v>
      </c>
      <c r="E160" s="61"/>
      <c r="F160" s="61"/>
      <c r="G160" s="58"/>
      <c r="H160" s="58"/>
      <c r="I160" s="58"/>
      <c r="J160" s="58"/>
      <c r="K160" s="58"/>
      <c r="L160" s="58"/>
      <c r="M160" s="58"/>
      <c r="N160" s="58"/>
      <c r="O160" s="58"/>
      <c r="W160" s="155" t="str">
        <f>IFERROR(W159/W161,"n/a")</f>
        <v>n/a</v>
      </c>
      <c r="X160" s="184">
        <f>X159/X161</f>
        <v>13.740078232899906</v>
      </c>
      <c r="Y160" s="184">
        <f>Y159/Y161</f>
        <v>13.740078232899906</v>
      </c>
      <c r="Z160" s="184">
        <f>Z159/Z161</f>
        <v>13.747558661323525</v>
      </c>
      <c r="AA160" s="155" t="str">
        <f>IFERROR(AA159/AA161,"n/a")</f>
        <v>n/a</v>
      </c>
      <c r="AB160" s="184">
        <f>AB159/AB161</f>
        <v>13.747558661323525</v>
      </c>
      <c r="AC160" s="155" t="str">
        <f>IFERROR(AC159/AC161,"n/a")</f>
        <v>n/a</v>
      </c>
      <c r="AD160" s="155" t="str">
        <f>IFERROR(AD159/AD161,"n/a")</f>
        <v>n/a</v>
      </c>
      <c r="AE160" s="438" t="str">
        <f>IFERROR(AE159/AE161,"n/a")</f>
        <v>n/a</v>
      </c>
      <c r="AF160" s="438" t="str">
        <f>IFERROR(AF159/AF161,"n/a")</f>
        <v>n/a</v>
      </c>
      <c r="AG160" s="955">
        <f>+'Financial Summary'!$AB$3</f>
        <v>13.98</v>
      </c>
      <c r="AH160" s="155" t="str">
        <f>IFERROR(AH159/AH161,"n/a")</f>
        <v>n/a</v>
      </c>
      <c r="AI160" s="438">
        <f>+'Financial Summary'!$AB$3</f>
        <v>13.98</v>
      </c>
      <c r="AJ160" s="438">
        <f>+'Financial Summary'!$AB$3</f>
        <v>13.98</v>
      </c>
      <c r="AK160" s="438" t="str">
        <f t="shared" ref="AK160" si="575">IFERROR(AK159/AK161,"n/a")</f>
        <v>n/a</v>
      </c>
      <c r="AL160" s="438">
        <f>+'Financial Summary'!$AB$3</f>
        <v>13.98</v>
      </c>
      <c r="AM160" s="438">
        <f>+'Financial Summary'!$AB$3</f>
        <v>13.98</v>
      </c>
      <c r="AN160" s="438" t="str">
        <f t="shared" ref="AN160" si="576">IFERROR(AN159/AN161,"n/a")</f>
        <v>n/a</v>
      </c>
      <c r="AO160" s="438">
        <f>+'Financial Summary'!$AB$3</f>
        <v>13.98</v>
      </c>
      <c r="AP160" s="438">
        <f>+'Financial Summary'!$AB$3</f>
        <v>13.98</v>
      </c>
      <c r="AQ160" s="438" t="str">
        <f t="shared" ref="AQ160" si="577">IFERROR(AQ159/AQ161,"n/a")</f>
        <v>n/a</v>
      </c>
      <c r="AR160" s="438">
        <f>+'Financial Summary'!$AB$3</f>
        <v>13.98</v>
      </c>
      <c r="AS160" s="438">
        <f>+'Financial Summary'!$AB$3</f>
        <v>13.98</v>
      </c>
      <c r="AT160" s="438" t="str">
        <f t="shared" ref="AT160" si="578">IFERROR(AT159/AT161,"n/a")</f>
        <v>n/a</v>
      </c>
      <c r="AU160" s="438">
        <f>+'Financial Summary'!$AB$3</f>
        <v>13.98</v>
      </c>
      <c r="AV160" s="438">
        <f>+'Financial Summary'!$AB$3</f>
        <v>13.98</v>
      </c>
      <c r="AW160" s="438" t="str">
        <f t="shared" ref="AW160" si="579">IFERROR(AW159/AW161,"n/a")</f>
        <v>n/a</v>
      </c>
      <c r="AX160" s="438">
        <f>+'Financial Summary'!$AB$3</f>
        <v>13.98</v>
      </c>
      <c r="AY160" s="438">
        <f>+'Financial Summary'!$AB$3</f>
        <v>13.98</v>
      </c>
      <c r="AZ160" s="438" t="str">
        <f t="shared" ref="AZ160" si="580">IFERROR(AZ159/AZ161,"n/a")</f>
        <v>n/a</v>
      </c>
      <c r="BA160" s="438">
        <f>+'Financial Summary'!$AB$3</f>
        <v>13.98</v>
      </c>
      <c r="BB160" s="438">
        <f>+'Financial Summary'!$AB$3</f>
        <v>13.98</v>
      </c>
      <c r="BC160" s="438" t="str">
        <f t="shared" ref="BC160" si="581">IFERROR(BC159/BC161,"n/a")</f>
        <v>n/a</v>
      </c>
      <c r="BD160" s="438">
        <f>+'Financial Summary'!$AB$3</f>
        <v>13.98</v>
      </c>
      <c r="BE160" s="438">
        <f>+'Financial Summary'!$AB$3</f>
        <v>13.98</v>
      </c>
      <c r="BF160" s="438" t="str">
        <f t="shared" ref="BF160" si="582">IFERROR(BF159/BF161,"n/a")</f>
        <v>n/a</v>
      </c>
      <c r="BG160" s="438">
        <f>+'Financial Summary'!$AB$3</f>
        <v>13.98</v>
      </c>
      <c r="BH160" s="438">
        <f>+'Financial Summary'!$AB$3</f>
        <v>13.98</v>
      </c>
      <c r="BI160" s="438" t="str">
        <f t="shared" ref="BI160" si="583">IFERROR(BI159/BI161,"n/a")</f>
        <v>n/a</v>
      </c>
      <c r="BJ160" s="438">
        <f>+'Financial Summary'!$AB$3</f>
        <v>13.98</v>
      </c>
      <c r="BK160" s="438">
        <f>+'Financial Summary'!$AB$3</f>
        <v>13.98</v>
      </c>
      <c r="BL160" s="438" t="str">
        <f t="shared" ref="BL160" si="584">IFERROR(BL159/BL161,"n/a")</f>
        <v>n/a</v>
      </c>
      <c r="BM160" s="438">
        <f>+'Financial Summary'!$AB$3</f>
        <v>13.98</v>
      </c>
      <c r="BN160" s="438">
        <f>+'Financial Summary'!$AB$3</f>
        <v>13.98</v>
      </c>
      <c r="BO160" s="438" t="str">
        <f t="shared" ref="BO160" si="585">IFERROR(BO159/BO161,"n/a")</f>
        <v>n/a</v>
      </c>
      <c r="BP160" s="438">
        <f>+'Financial Summary'!$AB$3</f>
        <v>13.98</v>
      </c>
      <c r="BQ160" s="438">
        <f>+'Financial Summary'!$AB$3</f>
        <v>13.98</v>
      </c>
      <c r="BR160" s="438" t="str">
        <f t="shared" ref="BR160" si="586">IFERROR(BR159/BR161,"n/a")</f>
        <v>n/a</v>
      </c>
    </row>
    <row r="161" spans="1:70" outlineLevel="1">
      <c r="B161" s="57"/>
      <c r="C161" s="83" t="s">
        <v>220</v>
      </c>
      <c r="D161" s="58" t="s">
        <v>238</v>
      </c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W161" s="151">
        <v>0</v>
      </c>
      <c r="X161" s="151">
        <f>-(26.234781+0.76)</f>
        <v>-26.994781000000003</v>
      </c>
      <c r="Y161" s="118">
        <f>W161+X161</f>
        <v>-26.994781000000003</v>
      </c>
      <c r="Z161" s="151">
        <f>-48.543647-X161</f>
        <v>-21.548865999999997</v>
      </c>
      <c r="AA161" s="151">
        <v>0</v>
      </c>
      <c r="AB161" s="118">
        <f>Z161+AA161</f>
        <v>-21.548865999999997</v>
      </c>
      <c r="AC161" s="35">
        <v>0</v>
      </c>
      <c r="AD161" s="30">
        <f t="shared" ref="AD161" si="587">+AE161-AC161</f>
        <v>0</v>
      </c>
      <c r="AE161" s="828">
        <v>0</v>
      </c>
      <c r="AF161" s="904">
        <v>0</v>
      </c>
      <c r="AG161" s="940">
        <f>+AG159/AG160</f>
        <v>0</v>
      </c>
      <c r="AH161" s="437">
        <f>AF161+AG161</f>
        <v>0</v>
      </c>
      <c r="AI161" s="118">
        <f t="shared" ref="AI161:AJ161" si="588">+AI159/AI160</f>
        <v>0</v>
      </c>
      <c r="AJ161" s="118">
        <f t="shared" si="588"/>
        <v>0</v>
      </c>
      <c r="AK161" s="439">
        <f t="shared" ref="AK161" si="589">AI161+AJ161</f>
        <v>0</v>
      </c>
      <c r="AL161" s="118">
        <f t="shared" ref="AL161:AM161" si="590">+AL159/AL160</f>
        <v>0</v>
      </c>
      <c r="AM161" s="118">
        <f t="shared" si="590"/>
        <v>0</v>
      </c>
      <c r="AN161" s="439">
        <f t="shared" ref="AN161" si="591">AL161+AM161</f>
        <v>0</v>
      </c>
      <c r="AO161" s="118">
        <f t="shared" ref="AO161:AP161" si="592">+AO159/AO160</f>
        <v>0</v>
      </c>
      <c r="AP161" s="118">
        <f t="shared" si="592"/>
        <v>0</v>
      </c>
      <c r="AQ161" s="439">
        <f t="shared" ref="AQ161" si="593">AO161+AP161</f>
        <v>0</v>
      </c>
      <c r="AR161" s="118">
        <f t="shared" ref="AR161:AS161" si="594">+AR159/AR160</f>
        <v>0</v>
      </c>
      <c r="AS161" s="118">
        <f t="shared" si="594"/>
        <v>0</v>
      </c>
      <c r="AT161" s="439">
        <f t="shared" ref="AT161" si="595">AR161+AS161</f>
        <v>0</v>
      </c>
      <c r="AU161" s="118">
        <f t="shared" ref="AU161:AV161" si="596">+AU159/AU160</f>
        <v>0</v>
      </c>
      <c r="AV161" s="118">
        <f t="shared" si="596"/>
        <v>0</v>
      </c>
      <c r="AW161" s="439">
        <f t="shared" ref="AW161" si="597">AU161+AV161</f>
        <v>0</v>
      </c>
      <c r="AX161" s="118">
        <f t="shared" ref="AX161:AY161" si="598">+AX159/AX160</f>
        <v>0</v>
      </c>
      <c r="AY161" s="118">
        <f t="shared" si="598"/>
        <v>0</v>
      </c>
      <c r="AZ161" s="439">
        <f t="shared" ref="AZ161" si="599">AX161+AY161</f>
        <v>0</v>
      </c>
      <c r="BA161" s="118">
        <f t="shared" ref="BA161:BB161" si="600">+BA159/BA160</f>
        <v>0</v>
      </c>
      <c r="BB161" s="118">
        <f t="shared" si="600"/>
        <v>0</v>
      </c>
      <c r="BC161" s="439">
        <f t="shared" ref="BC161" si="601">BA161+BB161</f>
        <v>0</v>
      </c>
      <c r="BD161" s="118">
        <f t="shared" ref="BD161:BE161" si="602">+BD159/BD160</f>
        <v>0</v>
      </c>
      <c r="BE161" s="118">
        <f t="shared" si="602"/>
        <v>0</v>
      </c>
      <c r="BF161" s="439">
        <f t="shared" ref="BF161" si="603">BD161+BE161</f>
        <v>0</v>
      </c>
      <c r="BG161" s="118">
        <f t="shared" ref="BG161:BH161" si="604">+BG159/BG160</f>
        <v>0</v>
      </c>
      <c r="BH161" s="118">
        <f t="shared" si="604"/>
        <v>0</v>
      </c>
      <c r="BI161" s="439">
        <f t="shared" ref="BI161" si="605">BG161+BH161</f>
        <v>0</v>
      </c>
      <c r="BJ161" s="118">
        <f t="shared" ref="BJ161:BK161" si="606">+BJ159/BJ160</f>
        <v>0</v>
      </c>
      <c r="BK161" s="118">
        <f t="shared" si="606"/>
        <v>0</v>
      </c>
      <c r="BL161" s="439">
        <f t="shared" ref="BL161" si="607">BJ161+BK161</f>
        <v>0</v>
      </c>
      <c r="BM161" s="118">
        <f t="shared" ref="BM161:BN161" si="608">+BM159/BM160</f>
        <v>0</v>
      </c>
      <c r="BN161" s="118">
        <f t="shared" si="608"/>
        <v>0</v>
      </c>
      <c r="BO161" s="439">
        <f t="shared" ref="BO161" si="609">BM161+BN161</f>
        <v>0</v>
      </c>
      <c r="BP161" s="118">
        <f t="shared" ref="BP161:BQ161" si="610">+BP159/BP160</f>
        <v>0</v>
      </c>
      <c r="BQ161" s="118">
        <f t="shared" si="610"/>
        <v>0</v>
      </c>
      <c r="BR161" s="439">
        <f t="shared" ref="BR161" si="611">BP161+BQ161</f>
        <v>0</v>
      </c>
    </row>
    <row r="162" spans="1:70" outlineLevel="1">
      <c r="B162" s="57"/>
      <c r="C162" s="83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W162" s="151"/>
      <c r="X162" s="151"/>
      <c r="Y162" s="118"/>
      <c r="Z162" s="151"/>
      <c r="AA162" s="151"/>
      <c r="AB162" s="118"/>
      <c r="AC162" s="35"/>
      <c r="AD162" s="30"/>
      <c r="AE162" s="828"/>
      <c r="AF162" s="118"/>
      <c r="AG162" s="940"/>
      <c r="AH162" s="437"/>
      <c r="AI162" s="118"/>
      <c r="AJ162" s="118"/>
      <c r="AK162" s="439"/>
      <c r="AL162" s="118"/>
      <c r="AM162" s="118"/>
      <c r="AN162" s="439"/>
      <c r="AO162" s="118"/>
      <c r="AP162" s="118"/>
      <c r="AQ162" s="439"/>
      <c r="AR162" s="118"/>
      <c r="AS162" s="118"/>
      <c r="AT162" s="439"/>
      <c r="AU162" s="118"/>
      <c r="AV162" s="118"/>
      <c r="AW162" s="439"/>
      <c r="AX162" s="118"/>
      <c r="AY162" s="118"/>
      <c r="AZ162" s="439"/>
      <c r="BA162" s="118"/>
      <c r="BB162" s="118"/>
      <c r="BC162" s="439"/>
      <c r="BD162" s="118"/>
      <c r="BE162" s="118"/>
      <c r="BF162" s="439"/>
      <c r="BG162" s="118"/>
      <c r="BH162" s="118"/>
      <c r="BI162" s="439"/>
      <c r="BJ162" s="118"/>
      <c r="BK162" s="118"/>
      <c r="BL162" s="439"/>
      <c r="BM162" s="118"/>
      <c r="BN162" s="118"/>
      <c r="BO162" s="439"/>
      <c r="BP162" s="118"/>
      <c r="BQ162" s="118"/>
      <c r="BR162" s="439"/>
    </row>
    <row r="163" spans="1:70" s="30" customFormat="1" outlineLevel="1">
      <c r="B163" s="57"/>
      <c r="C163" s="60" t="s">
        <v>563</v>
      </c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W163" s="347"/>
      <c r="X163" s="347"/>
      <c r="Y163" s="118"/>
      <c r="Z163" s="347"/>
      <c r="AA163" s="347"/>
      <c r="AB163" s="118"/>
      <c r="AE163" s="168"/>
      <c r="AF163" s="118"/>
      <c r="AG163" s="940"/>
      <c r="AH163" s="142"/>
      <c r="AI163" s="118"/>
      <c r="AJ163" s="118"/>
      <c r="AK163" s="118"/>
      <c r="AL163" s="118"/>
      <c r="AM163" s="118"/>
      <c r="AN163" s="118"/>
      <c r="AO163" s="118"/>
      <c r="AP163" s="118"/>
      <c r="AQ163" s="118"/>
      <c r="AR163" s="118"/>
      <c r="AS163" s="118"/>
      <c r="AT163" s="118"/>
      <c r="AU163" s="118"/>
      <c r="AV163" s="118"/>
      <c r="AW163" s="118"/>
      <c r="AX163" s="118"/>
      <c r="AY163" s="118"/>
      <c r="AZ163" s="118"/>
      <c r="BA163" s="118"/>
      <c r="BB163" s="118"/>
      <c r="BC163" s="118"/>
      <c r="BD163" s="118"/>
      <c r="BE163" s="118"/>
      <c r="BF163" s="118"/>
      <c r="BG163" s="118"/>
      <c r="BH163" s="118"/>
      <c r="BI163" s="118"/>
      <c r="BJ163" s="118"/>
      <c r="BK163" s="118"/>
      <c r="BL163" s="118"/>
      <c r="BM163" s="118"/>
      <c r="BN163" s="118"/>
      <c r="BO163" s="118"/>
      <c r="BP163" s="118"/>
      <c r="BQ163" s="118"/>
      <c r="BR163" s="118"/>
    </row>
    <row r="164" spans="1:70" s="30" customFormat="1" outlineLevel="1">
      <c r="A164" s="6"/>
      <c r="B164" s="57"/>
      <c r="C164" s="83" t="s">
        <v>736</v>
      </c>
      <c r="D164" s="58" t="s">
        <v>58</v>
      </c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W164" s="347"/>
      <c r="X164" s="347"/>
      <c r="Y164" s="118"/>
      <c r="Z164" s="347"/>
      <c r="AA164" s="347"/>
      <c r="AB164" s="118"/>
      <c r="AE164" s="168"/>
      <c r="AF164" s="904">
        <v>0</v>
      </c>
      <c r="AG164" s="939">
        <v>0</v>
      </c>
      <c r="AH164" s="437">
        <f>AF164+AG164</f>
        <v>0</v>
      </c>
      <c r="AI164" s="361">
        <v>0</v>
      </c>
      <c r="AJ164" s="361">
        <v>0</v>
      </c>
      <c r="AK164" s="439">
        <f>AI164+AJ164</f>
        <v>0</v>
      </c>
      <c r="AL164" s="361">
        <v>0</v>
      </c>
      <c r="AM164" s="361">
        <v>0</v>
      </c>
      <c r="AN164" s="439">
        <f>AL164+AM164</f>
        <v>0</v>
      </c>
      <c r="AO164" s="361">
        <v>0</v>
      </c>
      <c r="AP164" s="361">
        <v>0</v>
      </c>
      <c r="AQ164" s="439">
        <f>AO164+AP164</f>
        <v>0</v>
      </c>
      <c r="AR164" s="361">
        <v>0</v>
      </c>
      <c r="AS164" s="361">
        <v>0</v>
      </c>
      <c r="AT164" s="439">
        <f>AR164+AS164</f>
        <v>0</v>
      </c>
      <c r="AU164" s="361">
        <v>0</v>
      </c>
      <c r="AV164" s="361">
        <v>0</v>
      </c>
      <c r="AW164" s="439">
        <f>AU164+AV164</f>
        <v>0</v>
      </c>
      <c r="AX164" s="361">
        <v>0</v>
      </c>
      <c r="AY164" s="361">
        <v>0</v>
      </c>
      <c r="AZ164" s="439">
        <f>AX164+AY164</f>
        <v>0</v>
      </c>
      <c r="BA164" s="361">
        <v>0</v>
      </c>
      <c r="BB164" s="361">
        <v>0</v>
      </c>
      <c r="BC164" s="439">
        <f>BA164+BB164</f>
        <v>0</v>
      </c>
      <c r="BD164" s="361">
        <v>0</v>
      </c>
      <c r="BE164" s="361">
        <v>0</v>
      </c>
      <c r="BF164" s="439">
        <f>BD164+BE164</f>
        <v>0</v>
      </c>
      <c r="BG164" s="361">
        <v>0</v>
      </c>
      <c r="BH164" s="361">
        <v>0</v>
      </c>
      <c r="BI164" s="439">
        <f>BG164+BH164</f>
        <v>0</v>
      </c>
      <c r="BJ164" s="361">
        <v>0</v>
      </c>
      <c r="BK164" s="361">
        <v>0</v>
      </c>
      <c r="BL164" s="439">
        <f>BJ164+BK164</f>
        <v>0</v>
      </c>
      <c r="BM164" s="361">
        <v>0</v>
      </c>
      <c r="BN164" s="361">
        <v>0</v>
      </c>
      <c r="BO164" s="439">
        <f>BM164+BN164</f>
        <v>0</v>
      </c>
      <c r="BP164" s="361">
        <v>0</v>
      </c>
      <c r="BQ164" s="361">
        <v>0</v>
      </c>
      <c r="BR164" s="439">
        <f>BP164+BQ164</f>
        <v>0</v>
      </c>
    </row>
    <row r="165" spans="1:70" s="30" customFormat="1" outlineLevel="1">
      <c r="A165" s="6"/>
      <c r="B165" s="57"/>
      <c r="C165" s="83" t="s">
        <v>736</v>
      </c>
      <c r="D165" s="58" t="s">
        <v>102</v>
      </c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W165" s="347"/>
      <c r="X165" s="347"/>
      <c r="Y165" s="118"/>
      <c r="Z165" s="347"/>
      <c r="AA165" s="347"/>
      <c r="AB165" s="118"/>
      <c r="AE165" s="168"/>
      <c r="AF165" s="118">
        <f>+AF164/AF260</f>
        <v>0</v>
      </c>
      <c r="AG165" s="940">
        <f>+AG164/AG260</f>
        <v>0</v>
      </c>
      <c r="AH165" s="142">
        <f>+AG165+AF165</f>
        <v>0</v>
      </c>
      <c r="AI165" s="118">
        <f>+AI164/AI260</f>
        <v>0</v>
      </c>
      <c r="AJ165" s="118">
        <f>+AJ164/AJ260</f>
        <v>0</v>
      </c>
      <c r="AK165" s="118">
        <f t="shared" ref="AK165" si="612">+AJ165+AI165</f>
        <v>0</v>
      </c>
      <c r="AL165" s="118">
        <f>+AL164/AL260</f>
        <v>0</v>
      </c>
      <c r="AM165" s="118">
        <f>+AM164/AM260</f>
        <v>0</v>
      </c>
      <c r="AN165" s="118">
        <f t="shared" ref="AN165" si="613">+AM165+AL165</f>
        <v>0</v>
      </c>
      <c r="AO165" s="118">
        <f>+AO164/AO260</f>
        <v>0</v>
      </c>
      <c r="AP165" s="118">
        <f>+AP164/AP260</f>
        <v>0</v>
      </c>
      <c r="AQ165" s="118">
        <f t="shared" ref="AQ165" si="614">+AP165+AO165</f>
        <v>0</v>
      </c>
      <c r="AR165" s="118">
        <f>+AR164/AR260</f>
        <v>0</v>
      </c>
      <c r="AS165" s="118">
        <f>+AS164/AS260</f>
        <v>0</v>
      </c>
      <c r="AT165" s="118">
        <f t="shared" ref="AT165" si="615">+AS165+AR165</f>
        <v>0</v>
      </c>
      <c r="AU165" s="118">
        <f>+AU164/AU260</f>
        <v>0</v>
      </c>
      <c r="AV165" s="118">
        <f>+AV164/AV260</f>
        <v>0</v>
      </c>
      <c r="AW165" s="118">
        <f t="shared" ref="AW165" si="616">+AV165+AU165</f>
        <v>0</v>
      </c>
      <c r="AX165" s="118">
        <f>+AX164/AX260</f>
        <v>0</v>
      </c>
      <c r="AY165" s="118">
        <f>+AY164/AY260</f>
        <v>0</v>
      </c>
      <c r="AZ165" s="118">
        <f t="shared" ref="AZ165" si="617">+AY165+AX165</f>
        <v>0</v>
      </c>
      <c r="BA165" s="118">
        <f>+BA164/BA260</f>
        <v>0</v>
      </c>
      <c r="BB165" s="118">
        <f>+BB164/BB260</f>
        <v>0</v>
      </c>
      <c r="BC165" s="118">
        <f t="shared" ref="BC165" si="618">+BB165+BA165</f>
        <v>0</v>
      </c>
      <c r="BD165" s="118">
        <f>+BD164/BD260</f>
        <v>0</v>
      </c>
      <c r="BE165" s="118">
        <f>+BE164/BE260</f>
        <v>0</v>
      </c>
      <c r="BF165" s="118">
        <f t="shared" ref="BF165" si="619">+BE165+BD165</f>
        <v>0</v>
      </c>
      <c r="BG165" s="118">
        <f>+BG164/BG260</f>
        <v>0</v>
      </c>
      <c r="BH165" s="118">
        <f>+BH164/BH260</f>
        <v>0</v>
      </c>
      <c r="BI165" s="118">
        <f t="shared" ref="BI165" si="620">+BH165+BG165</f>
        <v>0</v>
      </c>
      <c r="BJ165" s="118">
        <f>+BJ164/BJ260</f>
        <v>0</v>
      </c>
      <c r="BK165" s="118">
        <f>+BK164/BK260</f>
        <v>0</v>
      </c>
      <c r="BL165" s="118">
        <f t="shared" ref="BL165" si="621">+BK165+BJ165</f>
        <v>0</v>
      </c>
      <c r="BM165" s="118">
        <f>+BM164/BM260</f>
        <v>0</v>
      </c>
      <c r="BN165" s="118">
        <f>+BN164/BN260</f>
        <v>0</v>
      </c>
      <c r="BO165" s="118">
        <f t="shared" ref="BO165" si="622">+BN165+BM165</f>
        <v>0</v>
      </c>
      <c r="BP165" s="118">
        <f>+BP164/BP260</f>
        <v>0</v>
      </c>
      <c r="BQ165" s="118">
        <f>+BQ164/BQ260</f>
        <v>0</v>
      </c>
      <c r="BR165" s="118">
        <f t="shared" ref="BR165" si="623">+BQ165+BP165</f>
        <v>0</v>
      </c>
    </row>
    <row r="166" spans="1:70" s="30" customFormat="1" outlineLevel="1">
      <c r="A166" s="6"/>
      <c r="B166" s="57"/>
      <c r="C166" s="83" t="s">
        <v>219</v>
      </c>
      <c r="D166" s="58" t="s">
        <v>161</v>
      </c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W166" s="347"/>
      <c r="X166" s="347"/>
      <c r="Y166" s="118"/>
      <c r="Z166" s="347"/>
      <c r="AA166" s="347"/>
      <c r="AB166" s="118"/>
      <c r="AE166" s="168"/>
      <c r="AF166" s="438">
        <f>+'Financial Summary'!$AB$3</f>
        <v>13.98</v>
      </c>
      <c r="AG166" s="955">
        <f>+'Financial Summary'!$AB$3</f>
        <v>13.98</v>
      </c>
      <c r="AH166" s="155" t="str">
        <f>IFERROR(AH165/AH167,"n/a")</f>
        <v>n/a</v>
      </c>
      <c r="AI166" s="438">
        <f>+'Financial Summary'!$AB$3</f>
        <v>13.98</v>
      </c>
      <c r="AJ166" s="438">
        <f>+'Financial Summary'!$AB$3</f>
        <v>13.98</v>
      </c>
      <c r="AK166" s="438" t="str">
        <f t="shared" ref="AK166" si="624">IFERROR(AK165/AK167,"n/a")</f>
        <v>n/a</v>
      </c>
      <c r="AL166" s="438">
        <f>+'Financial Summary'!$AB$3</f>
        <v>13.98</v>
      </c>
      <c r="AM166" s="438">
        <f>+'Financial Summary'!$AB$3</f>
        <v>13.98</v>
      </c>
      <c r="AN166" s="438" t="str">
        <f t="shared" ref="AN166" si="625">IFERROR(AN165/AN167,"n/a")</f>
        <v>n/a</v>
      </c>
      <c r="AO166" s="438">
        <f>+'Financial Summary'!$AB$3</f>
        <v>13.98</v>
      </c>
      <c r="AP166" s="438">
        <f>+'Financial Summary'!$AB$3</f>
        <v>13.98</v>
      </c>
      <c r="AQ166" s="438" t="str">
        <f t="shared" ref="AQ166" si="626">IFERROR(AQ165/AQ167,"n/a")</f>
        <v>n/a</v>
      </c>
      <c r="AR166" s="438">
        <f>+'Financial Summary'!$AB$3</f>
        <v>13.98</v>
      </c>
      <c r="AS166" s="438">
        <f>+'Financial Summary'!$AB$3</f>
        <v>13.98</v>
      </c>
      <c r="AT166" s="438" t="str">
        <f t="shared" ref="AT166" si="627">IFERROR(AT165/AT167,"n/a")</f>
        <v>n/a</v>
      </c>
      <c r="AU166" s="438">
        <f>+'Financial Summary'!$AB$3</f>
        <v>13.98</v>
      </c>
      <c r="AV166" s="438">
        <f>+'Financial Summary'!$AB$3</f>
        <v>13.98</v>
      </c>
      <c r="AW166" s="438" t="str">
        <f t="shared" ref="AW166" si="628">IFERROR(AW165/AW167,"n/a")</f>
        <v>n/a</v>
      </c>
      <c r="AX166" s="438">
        <f>+'Financial Summary'!$AB$3</f>
        <v>13.98</v>
      </c>
      <c r="AY166" s="438">
        <f>+'Financial Summary'!$AB$3</f>
        <v>13.98</v>
      </c>
      <c r="AZ166" s="438" t="str">
        <f t="shared" ref="AZ166" si="629">IFERROR(AZ165/AZ167,"n/a")</f>
        <v>n/a</v>
      </c>
      <c r="BA166" s="438">
        <f>+'Financial Summary'!$AB$3</f>
        <v>13.98</v>
      </c>
      <c r="BB166" s="438">
        <f>+'Financial Summary'!$AB$3</f>
        <v>13.98</v>
      </c>
      <c r="BC166" s="438" t="str">
        <f t="shared" ref="BC166" si="630">IFERROR(BC165/BC167,"n/a")</f>
        <v>n/a</v>
      </c>
      <c r="BD166" s="438">
        <f>+'Financial Summary'!$AB$3</f>
        <v>13.98</v>
      </c>
      <c r="BE166" s="438">
        <f>+'Financial Summary'!$AB$3</f>
        <v>13.98</v>
      </c>
      <c r="BF166" s="438" t="str">
        <f t="shared" ref="BF166" si="631">IFERROR(BF165/BF167,"n/a")</f>
        <v>n/a</v>
      </c>
      <c r="BG166" s="438">
        <f>+'Financial Summary'!$AB$3</f>
        <v>13.98</v>
      </c>
      <c r="BH166" s="438">
        <f>+'Financial Summary'!$AB$3</f>
        <v>13.98</v>
      </c>
      <c r="BI166" s="438" t="str">
        <f t="shared" ref="BI166" si="632">IFERROR(BI165/BI167,"n/a")</f>
        <v>n/a</v>
      </c>
      <c r="BJ166" s="438">
        <f>+'Financial Summary'!$AB$3</f>
        <v>13.98</v>
      </c>
      <c r="BK166" s="438">
        <f>+'Financial Summary'!$AB$3</f>
        <v>13.98</v>
      </c>
      <c r="BL166" s="438" t="str">
        <f t="shared" ref="BL166" si="633">IFERROR(BL165/BL167,"n/a")</f>
        <v>n/a</v>
      </c>
      <c r="BM166" s="438">
        <f>+'Financial Summary'!$AB$3</f>
        <v>13.98</v>
      </c>
      <c r="BN166" s="438">
        <f>+'Financial Summary'!$AB$3</f>
        <v>13.98</v>
      </c>
      <c r="BO166" s="438" t="str">
        <f t="shared" ref="BO166" si="634">IFERROR(BO165/BO167,"n/a")</f>
        <v>n/a</v>
      </c>
      <c r="BP166" s="438">
        <f>+'Financial Summary'!$AB$3</f>
        <v>13.98</v>
      </c>
      <c r="BQ166" s="438">
        <f>+'Financial Summary'!$AB$3</f>
        <v>13.98</v>
      </c>
      <c r="BR166" s="438" t="str">
        <f t="shared" ref="BR166" si="635">IFERROR(BR165/BR167,"n/a")</f>
        <v>n/a</v>
      </c>
    </row>
    <row r="167" spans="1:70" s="30" customFormat="1" outlineLevel="1">
      <c r="A167" s="6"/>
      <c r="B167" s="57"/>
      <c r="C167" s="83" t="s">
        <v>735</v>
      </c>
      <c r="D167" s="58" t="s">
        <v>238</v>
      </c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W167" s="347"/>
      <c r="X167" s="347"/>
      <c r="Y167" s="347"/>
      <c r="Z167" s="347"/>
      <c r="AA167" s="347"/>
      <c r="AB167" s="347"/>
      <c r="AC167" s="347"/>
      <c r="AD167" s="347"/>
      <c r="AE167" s="171"/>
      <c r="AF167" s="118">
        <f>+AF165/AF166</f>
        <v>0</v>
      </c>
      <c r="AG167" s="940">
        <f>+AG165/AG166</f>
        <v>0</v>
      </c>
      <c r="AH167" s="437">
        <f>AF167+AG167</f>
        <v>0</v>
      </c>
      <c r="AI167" s="118">
        <f t="shared" ref="AI167:AJ167" si="636">+AI165/AI166</f>
        <v>0</v>
      </c>
      <c r="AJ167" s="118">
        <f t="shared" si="636"/>
        <v>0</v>
      </c>
      <c r="AK167" s="439">
        <f t="shared" ref="AK167" si="637">AI167+AJ167</f>
        <v>0</v>
      </c>
      <c r="AL167" s="118">
        <f t="shared" ref="AL167:AM167" si="638">+AL165/AL166</f>
        <v>0</v>
      </c>
      <c r="AM167" s="118">
        <f t="shared" si="638"/>
        <v>0</v>
      </c>
      <c r="AN167" s="439">
        <f t="shared" ref="AN167" si="639">AL167+AM167</f>
        <v>0</v>
      </c>
      <c r="AO167" s="118">
        <f t="shared" ref="AO167:AP167" si="640">+AO165/AO166</f>
        <v>0</v>
      </c>
      <c r="AP167" s="118">
        <f t="shared" si="640"/>
        <v>0</v>
      </c>
      <c r="AQ167" s="439">
        <f t="shared" ref="AQ167" si="641">AO167+AP167</f>
        <v>0</v>
      </c>
      <c r="AR167" s="118">
        <f t="shared" ref="AR167:AS167" si="642">+AR165/AR166</f>
        <v>0</v>
      </c>
      <c r="AS167" s="118">
        <f t="shared" si="642"/>
        <v>0</v>
      </c>
      <c r="AT167" s="439">
        <f t="shared" ref="AT167" si="643">AR167+AS167</f>
        <v>0</v>
      </c>
      <c r="AU167" s="118">
        <f t="shared" ref="AU167:AV167" si="644">+AU165/AU166</f>
        <v>0</v>
      </c>
      <c r="AV167" s="118">
        <f t="shared" si="644"/>
        <v>0</v>
      </c>
      <c r="AW167" s="439">
        <f t="shared" ref="AW167" si="645">AU167+AV167</f>
        <v>0</v>
      </c>
      <c r="AX167" s="118">
        <f t="shared" ref="AX167:AY167" si="646">+AX165/AX166</f>
        <v>0</v>
      </c>
      <c r="AY167" s="118">
        <f t="shared" si="646"/>
        <v>0</v>
      </c>
      <c r="AZ167" s="439">
        <f t="shared" ref="AZ167" si="647">AX167+AY167</f>
        <v>0</v>
      </c>
      <c r="BA167" s="118">
        <f t="shared" ref="BA167:BB167" si="648">+BA165/BA166</f>
        <v>0</v>
      </c>
      <c r="BB167" s="118">
        <f t="shared" si="648"/>
        <v>0</v>
      </c>
      <c r="BC167" s="439">
        <f t="shared" ref="BC167" si="649">BA167+BB167</f>
        <v>0</v>
      </c>
      <c r="BD167" s="118">
        <f t="shared" ref="BD167:BE167" si="650">+BD165/BD166</f>
        <v>0</v>
      </c>
      <c r="BE167" s="118">
        <f t="shared" si="650"/>
        <v>0</v>
      </c>
      <c r="BF167" s="439">
        <f t="shared" ref="BF167" si="651">BD167+BE167</f>
        <v>0</v>
      </c>
      <c r="BG167" s="118">
        <f t="shared" ref="BG167:BH167" si="652">+BG165/BG166</f>
        <v>0</v>
      </c>
      <c r="BH167" s="118">
        <f t="shared" si="652"/>
        <v>0</v>
      </c>
      <c r="BI167" s="439">
        <f t="shared" ref="BI167" si="653">BG167+BH167</f>
        <v>0</v>
      </c>
      <c r="BJ167" s="118">
        <f t="shared" ref="BJ167:BK167" si="654">+BJ165/BJ166</f>
        <v>0</v>
      </c>
      <c r="BK167" s="118">
        <f t="shared" si="654"/>
        <v>0</v>
      </c>
      <c r="BL167" s="439">
        <f t="shared" ref="BL167" si="655">BJ167+BK167</f>
        <v>0</v>
      </c>
      <c r="BM167" s="118">
        <f t="shared" ref="BM167:BN167" si="656">+BM165/BM166</f>
        <v>0</v>
      </c>
      <c r="BN167" s="118">
        <f t="shared" si="656"/>
        <v>0</v>
      </c>
      <c r="BO167" s="439">
        <f t="shared" ref="BO167" si="657">BM167+BN167</f>
        <v>0</v>
      </c>
      <c r="BP167" s="118">
        <f t="shared" ref="BP167:BQ167" si="658">+BP165/BP166</f>
        <v>0</v>
      </c>
      <c r="BQ167" s="118">
        <f t="shared" si="658"/>
        <v>0</v>
      </c>
      <c r="BR167" s="439">
        <f t="shared" ref="BR167" si="659">BP167+BQ167</f>
        <v>0</v>
      </c>
    </row>
    <row r="168" spans="1:70" s="30" customFormat="1" outlineLevel="1">
      <c r="B168" s="57"/>
      <c r="C168" s="83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W168" s="347"/>
      <c r="X168" s="347"/>
      <c r="Y168" s="118"/>
      <c r="Z168" s="347"/>
      <c r="AA168" s="347"/>
      <c r="AB168" s="118"/>
      <c r="AE168" s="168"/>
      <c r="AF168" s="118"/>
      <c r="AG168" s="940"/>
      <c r="AH168" s="142"/>
      <c r="AI168" s="118"/>
      <c r="AJ168" s="118"/>
      <c r="AK168" s="118"/>
      <c r="AL168" s="118"/>
      <c r="AM168" s="118"/>
      <c r="AN168" s="118"/>
      <c r="AO168" s="118"/>
      <c r="AP168" s="118"/>
      <c r="AQ168" s="118"/>
      <c r="AR168" s="118"/>
      <c r="AS168" s="118"/>
      <c r="AT168" s="118"/>
      <c r="AU168" s="118"/>
      <c r="AV168" s="118"/>
      <c r="AW168" s="118"/>
      <c r="AX168" s="118"/>
      <c r="AY168" s="118"/>
      <c r="AZ168" s="118"/>
      <c r="BA168" s="118"/>
      <c r="BB168" s="118"/>
      <c r="BC168" s="118"/>
      <c r="BD168" s="118"/>
      <c r="BE168" s="118"/>
      <c r="BF168" s="118"/>
      <c r="BG168" s="118"/>
      <c r="BH168" s="118"/>
      <c r="BI168" s="118"/>
      <c r="BJ168" s="118"/>
      <c r="BK168" s="118"/>
      <c r="BL168" s="118"/>
      <c r="BM168" s="118"/>
      <c r="BN168" s="118"/>
      <c r="BO168" s="118"/>
      <c r="BP168" s="118"/>
      <c r="BQ168" s="118"/>
      <c r="BR168" s="118"/>
    </row>
    <row r="169" spans="1:70" outlineLevel="1">
      <c r="B169" s="57"/>
      <c r="C169" s="60" t="s">
        <v>221</v>
      </c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</row>
    <row r="170" spans="1:70" outlineLevel="1">
      <c r="B170" s="57"/>
      <c r="C170" s="83" t="s">
        <v>222</v>
      </c>
      <c r="D170" s="58" t="s">
        <v>238</v>
      </c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T170" s="151">
        <v>1206.6849999999999</v>
      </c>
      <c r="U170" s="150">
        <f>T172</f>
        <v>1206.684923</v>
      </c>
      <c r="V170" s="149">
        <f>T170</f>
        <v>1206.6849999999999</v>
      </c>
      <c r="W170" s="149">
        <f>V172</f>
        <v>1206.6849999999999</v>
      </c>
      <c r="X170" s="150">
        <f>W172</f>
        <v>1206.6849999999999</v>
      </c>
      <c r="Y170" s="149">
        <f>V172</f>
        <v>1206.6849999999999</v>
      </c>
      <c r="Z170" s="149">
        <f>Y172</f>
        <v>1181.415</v>
      </c>
      <c r="AA170" s="149">
        <f>Z172</f>
        <v>1158.1410000000001</v>
      </c>
      <c r="AB170" s="149">
        <f>Y172</f>
        <v>1181.415</v>
      </c>
      <c r="AC170" s="149">
        <f>AB172</f>
        <v>1158.1410000000001</v>
      </c>
      <c r="AD170" s="150">
        <f>AC172</f>
        <v>1158.1410000000001</v>
      </c>
      <c r="AE170" s="149">
        <f>AB172</f>
        <v>1158.1410000000001</v>
      </c>
      <c r="AF170" s="149">
        <f>AE172</f>
        <v>1158.1410000000001</v>
      </c>
      <c r="AG170" s="956">
        <f>AF172</f>
        <v>1158.1410000000001</v>
      </c>
      <c r="AH170" s="149">
        <f>AE172</f>
        <v>1158.1410000000001</v>
      </c>
      <c r="AI170" s="149">
        <f>AH172</f>
        <v>1158.1410000000001</v>
      </c>
      <c r="AJ170" s="149">
        <f>AI172</f>
        <v>1158.1410000000001</v>
      </c>
      <c r="AK170" s="149">
        <f>AH172</f>
        <v>1158.1410000000001</v>
      </c>
      <c r="AL170" s="149">
        <f>AK172</f>
        <v>1158.1410000000001</v>
      </c>
      <c r="AM170" s="149">
        <f>AL172</f>
        <v>1158.1410000000001</v>
      </c>
      <c r="AN170" s="149">
        <f>AK172</f>
        <v>1158.1410000000001</v>
      </c>
      <c r="AO170" s="149">
        <f>AN172</f>
        <v>1158.1410000000001</v>
      </c>
      <c r="AP170" s="149">
        <f>AO172</f>
        <v>1158.1410000000001</v>
      </c>
      <c r="AQ170" s="149">
        <f>AN172</f>
        <v>1158.1410000000001</v>
      </c>
      <c r="AR170" s="149">
        <f>AQ172</f>
        <v>1158.1410000000001</v>
      </c>
      <c r="AS170" s="149">
        <f>AR172</f>
        <v>1158.1410000000001</v>
      </c>
      <c r="AT170" s="149">
        <f>AQ172</f>
        <v>1158.1410000000001</v>
      </c>
      <c r="AU170" s="149">
        <f>AT172</f>
        <v>1158.1410000000001</v>
      </c>
      <c r="AV170" s="149">
        <f>AU172</f>
        <v>1158.1410000000001</v>
      </c>
      <c r="AW170" s="149">
        <f>AT172</f>
        <v>1158.1410000000001</v>
      </c>
      <c r="AX170" s="149">
        <f>AW172</f>
        <v>1158.1410000000001</v>
      </c>
      <c r="AY170" s="149">
        <f>AX172</f>
        <v>1158.1410000000001</v>
      </c>
      <c r="AZ170" s="149">
        <f>AW172</f>
        <v>1158.1410000000001</v>
      </c>
      <c r="BA170" s="149">
        <f>AZ172</f>
        <v>1158.1410000000001</v>
      </c>
      <c r="BB170" s="149">
        <f>BA172</f>
        <v>1158.1410000000001</v>
      </c>
      <c r="BC170" s="149">
        <f>AZ172</f>
        <v>1158.1410000000001</v>
      </c>
      <c r="BD170" s="149">
        <f>BC172</f>
        <v>1158.1410000000001</v>
      </c>
      <c r="BE170" s="149">
        <f>BD172</f>
        <v>1158.1410000000001</v>
      </c>
      <c r="BF170" s="149">
        <f>BC172</f>
        <v>1158.1410000000001</v>
      </c>
      <c r="BG170" s="149">
        <f>BF172</f>
        <v>1158.1410000000001</v>
      </c>
      <c r="BH170" s="149">
        <f>BG172</f>
        <v>1158.1410000000001</v>
      </c>
      <c r="BI170" s="149">
        <f>BF172</f>
        <v>1158.1410000000001</v>
      </c>
      <c r="BJ170" s="149">
        <f>BI172</f>
        <v>1158.1410000000001</v>
      </c>
      <c r="BK170" s="149">
        <f>BJ172</f>
        <v>1158.1410000000001</v>
      </c>
      <c r="BL170" s="149">
        <f>BI172</f>
        <v>1158.1410000000001</v>
      </c>
      <c r="BM170" s="149">
        <f>BL172</f>
        <v>1158.1410000000001</v>
      </c>
      <c r="BN170" s="149">
        <f>BM172</f>
        <v>1158.1410000000001</v>
      </c>
      <c r="BO170" s="149">
        <f>BL172</f>
        <v>1158.1410000000001</v>
      </c>
      <c r="BP170" s="149">
        <f>BO172</f>
        <v>1158.1410000000001</v>
      </c>
      <c r="BQ170" s="149">
        <f>BP172</f>
        <v>1158.1410000000001</v>
      </c>
      <c r="BR170" s="149">
        <f>BO172</f>
        <v>1158.1410000000001</v>
      </c>
    </row>
    <row r="171" spans="1:70" outlineLevel="1">
      <c r="B171" s="57"/>
      <c r="C171" s="83" t="s">
        <v>223</v>
      </c>
      <c r="D171" s="58" t="s">
        <v>238</v>
      </c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T171" s="118">
        <f t="shared" ref="T171:AF171" si="660">T172-T170</f>
        <v>-7.6999999919280526E-5</v>
      </c>
      <c r="U171" s="118">
        <f t="shared" si="660"/>
        <v>7.6999999919280526E-5</v>
      </c>
      <c r="V171" s="118">
        <f t="shared" si="660"/>
        <v>0</v>
      </c>
      <c r="W171" s="118">
        <f t="shared" si="660"/>
        <v>0</v>
      </c>
      <c r="X171" s="118">
        <f t="shared" si="660"/>
        <v>-25.269999999999982</v>
      </c>
      <c r="Y171" s="118">
        <f t="shared" si="660"/>
        <v>-25.269999999999982</v>
      </c>
      <c r="Z171" s="118">
        <f t="shared" si="660"/>
        <v>-23.273999999999887</v>
      </c>
      <c r="AA171" s="118">
        <f t="shared" si="660"/>
        <v>0</v>
      </c>
      <c r="AB171" s="118">
        <f t="shared" si="660"/>
        <v>-23.273999999999887</v>
      </c>
      <c r="AC171" s="118">
        <f t="shared" si="660"/>
        <v>0</v>
      </c>
      <c r="AD171" s="118">
        <f t="shared" si="660"/>
        <v>0</v>
      </c>
      <c r="AE171" s="149">
        <f t="shared" si="660"/>
        <v>0</v>
      </c>
      <c r="AF171" s="149">
        <f t="shared" si="660"/>
        <v>0</v>
      </c>
      <c r="AG171" s="933">
        <f t="shared" ref="AG171:AN171" si="661">-AG161+AG167</f>
        <v>0</v>
      </c>
      <c r="AH171" s="26">
        <f t="shared" si="661"/>
        <v>0</v>
      </c>
      <c r="AI171" s="26">
        <f t="shared" si="661"/>
        <v>0</v>
      </c>
      <c r="AJ171" s="26">
        <f t="shared" si="661"/>
        <v>0</v>
      </c>
      <c r="AK171" s="26">
        <f t="shared" si="661"/>
        <v>0</v>
      </c>
      <c r="AL171" s="26">
        <f t="shared" si="661"/>
        <v>0</v>
      </c>
      <c r="AM171" s="26">
        <f t="shared" si="661"/>
        <v>0</v>
      </c>
      <c r="AN171" s="26">
        <f t="shared" si="661"/>
        <v>0</v>
      </c>
      <c r="AO171" s="26">
        <f t="shared" ref="AO171:BR171" si="662">-AO161+AO167</f>
        <v>0</v>
      </c>
      <c r="AP171" s="26">
        <f t="shared" si="662"/>
        <v>0</v>
      </c>
      <c r="AQ171" s="26">
        <f t="shared" si="662"/>
        <v>0</v>
      </c>
      <c r="AR171" s="26">
        <f t="shared" si="662"/>
        <v>0</v>
      </c>
      <c r="AS171" s="26">
        <f t="shared" si="662"/>
        <v>0</v>
      </c>
      <c r="AT171" s="26">
        <f t="shared" si="662"/>
        <v>0</v>
      </c>
      <c r="AU171" s="26">
        <f t="shared" si="662"/>
        <v>0</v>
      </c>
      <c r="AV171" s="26">
        <f t="shared" si="662"/>
        <v>0</v>
      </c>
      <c r="AW171" s="26">
        <f t="shared" si="662"/>
        <v>0</v>
      </c>
      <c r="AX171" s="26">
        <f t="shared" si="662"/>
        <v>0</v>
      </c>
      <c r="AY171" s="26">
        <f t="shared" si="662"/>
        <v>0</v>
      </c>
      <c r="AZ171" s="26">
        <f t="shared" si="662"/>
        <v>0</v>
      </c>
      <c r="BA171" s="26">
        <f t="shared" si="662"/>
        <v>0</v>
      </c>
      <c r="BB171" s="26">
        <f t="shared" si="662"/>
        <v>0</v>
      </c>
      <c r="BC171" s="26">
        <f t="shared" si="662"/>
        <v>0</v>
      </c>
      <c r="BD171" s="26">
        <f t="shared" si="662"/>
        <v>0</v>
      </c>
      <c r="BE171" s="26">
        <f t="shared" si="662"/>
        <v>0</v>
      </c>
      <c r="BF171" s="26">
        <f t="shared" si="662"/>
        <v>0</v>
      </c>
      <c r="BG171" s="26">
        <f t="shared" si="662"/>
        <v>0</v>
      </c>
      <c r="BH171" s="26">
        <f t="shared" si="662"/>
        <v>0</v>
      </c>
      <c r="BI171" s="26">
        <f t="shared" si="662"/>
        <v>0</v>
      </c>
      <c r="BJ171" s="26">
        <f t="shared" si="662"/>
        <v>0</v>
      </c>
      <c r="BK171" s="26">
        <f t="shared" si="662"/>
        <v>0</v>
      </c>
      <c r="BL171" s="26">
        <f t="shared" si="662"/>
        <v>0</v>
      </c>
      <c r="BM171" s="26">
        <f t="shared" si="662"/>
        <v>0</v>
      </c>
      <c r="BN171" s="26">
        <f t="shared" si="662"/>
        <v>0</v>
      </c>
      <c r="BO171" s="26">
        <f t="shared" si="662"/>
        <v>0</v>
      </c>
      <c r="BP171" s="26">
        <f t="shared" si="662"/>
        <v>0</v>
      </c>
      <c r="BQ171" s="26">
        <f t="shared" si="662"/>
        <v>0</v>
      </c>
      <c r="BR171" s="26">
        <f t="shared" si="662"/>
        <v>0</v>
      </c>
    </row>
    <row r="172" spans="1:70" outlineLevel="1">
      <c r="B172" s="57"/>
      <c r="C172" s="83" t="s">
        <v>224</v>
      </c>
      <c r="D172" s="58" t="s">
        <v>238</v>
      </c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T172" s="151">
        <v>1206.684923</v>
      </c>
      <c r="U172" s="131">
        <f>V172</f>
        <v>1206.6849999999999</v>
      </c>
      <c r="V172" s="151">
        <v>1206.6849999999999</v>
      </c>
      <c r="W172" s="151">
        <v>1206.6849999999999</v>
      </c>
      <c r="X172" s="131">
        <f>Y172</f>
        <v>1181.415</v>
      </c>
      <c r="Y172" s="151">
        <v>1181.415</v>
      </c>
      <c r="Z172" s="151">
        <v>1158.1410000000001</v>
      </c>
      <c r="AA172" s="131">
        <f>AB172</f>
        <v>1158.1410000000001</v>
      </c>
      <c r="AB172" s="151">
        <v>1158.1410000000001</v>
      </c>
      <c r="AC172" s="151">
        <v>1158.1410000000001</v>
      </c>
      <c r="AD172" s="131">
        <f>AE172</f>
        <v>1158.1410000000001</v>
      </c>
      <c r="AE172" s="151">
        <v>1158.1410000000001</v>
      </c>
      <c r="AF172" s="905">
        <v>1158.1410000000001</v>
      </c>
      <c r="AG172" s="950">
        <f t="shared" ref="AG172:AN172" si="663">AG170+AG171</f>
        <v>1158.1410000000001</v>
      </c>
      <c r="AH172" s="131">
        <f t="shared" si="663"/>
        <v>1158.1410000000001</v>
      </c>
      <c r="AI172" s="131">
        <f t="shared" si="663"/>
        <v>1158.1410000000001</v>
      </c>
      <c r="AJ172" s="131">
        <f t="shared" si="663"/>
        <v>1158.1410000000001</v>
      </c>
      <c r="AK172" s="131">
        <f t="shared" si="663"/>
        <v>1158.1410000000001</v>
      </c>
      <c r="AL172" s="131">
        <f t="shared" si="663"/>
        <v>1158.1410000000001</v>
      </c>
      <c r="AM172" s="131">
        <f t="shared" si="663"/>
        <v>1158.1410000000001</v>
      </c>
      <c r="AN172" s="131">
        <f t="shared" si="663"/>
        <v>1158.1410000000001</v>
      </c>
      <c r="AO172" s="131">
        <f t="shared" ref="AO172:BR172" si="664">AO170+AO171</f>
        <v>1158.1410000000001</v>
      </c>
      <c r="AP172" s="131">
        <f t="shared" si="664"/>
        <v>1158.1410000000001</v>
      </c>
      <c r="AQ172" s="131">
        <f t="shared" si="664"/>
        <v>1158.1410000000001</v>
      </c>
      <c r="AR172" s="131">
        <f t="shared" si="664"/>
        <v>1158.1410000000001</v>
      </c>
      <c r="AS172" s="131">
        <f t="shared" si="664"/>
        <v>1158.1410000000001</v>
      </c>
      <c r="AT172" s="131">
        <f t="shared" si="664"/>
        <v>1158.1410000000001</v>
      </c>
      <c r="AU172" s="131">
        <f t="shared" si="664"/>
        <v>1158.1410000000001</v>
      </c>
      <c r="AV172" s="131">
        <f t="shared" si="664"/>
        <v>1158.1410000000001</v>
      </c>
      <c r="AW172" s="131">
        <f t="shared" si="664"/>
        <v>1158.1410000000001</v>
      </c>
      <c r="AX172" s="131">
        <f t="shared" si="664"/>
        <v>1158.1410000000001</v>
      </c>
      <c r="AY172" s="131">
        <f t="shared" si="664"/>
        <v>1158.1410000000001</v>
      </c>
      <c r="AZ172" s="131">
        <f t="shared" si="664"/>
        <v>1158.1410000000001</v>
      </c>
      <c r="BA172" s="131">
        <f t="shared" si="664"/>
        <v>1158.1410000000001</v>
      </c>
      <c r="BB172" s="131">
        <f t="shared" si="664"/>
        <v>1158.1410000000001</v>
      </c>
      <c r="BC172" s="131">
        <f t="shared" si="664"/>
        <v>1158.1410000000001</v>
      </c>
      <c r="BD172" s="131">
        <f t="shared" si="664"/>
        <v>1158.1410000000001</v>
      </c>
      <c r="BE172" s="131">
        <f t="shared" si="664"/>
        <v>1158.1410000000001</v>
      </c>
      <c r="BF172" s="131">
        <f t="shared" si="664"/>
        <v>1158.1410000000001</v>
      </c>
      <c r="BG172" s="131">
        <f t="shared" si="664"/>
        <v>1158.1410000000001</v>
      </c>
      <c r="BH172" s="131">
        <f t="shared" si="664"/>
        <v>1158.1410000000001</v>
      </c>
      <c r="BI172" s="131">
        <f t="shared" si="664"/>
        <v>1158.1410000000001</v>
      </c>
      <c r="BJ172" s="131">
        <f t="shared" si="664"/>
        <v>1158.1410000000001</v>
      </c>
      <c r="BK172" s="131">
        <f t="shared" si="664"/>
        <v>1158.1410000000001</v>
      </c>
      <c r="BL172" s="131">
        <f t="shared" si="664"/>
        <v>1158.1410000000001</v>
      </c>
      <c r="BM172" s="131">
        <f t="shared" si="664"/>
        <v>1158.1410000000001</v>
      </c>
      <c r="BN172" s="131">
        <f t="shared" si="664"/>
        <v>1158.1410000000001</v>
      </c>
      <c r="BO172" s="131">
        <f t="shared" si="664"/>
        <v>1158.1410000000001</v>
      </c>
      <c r="BP172" s="131">
        <f t="shared" si="664"/>
        <v>1158.1410000000001</v>
      </c>
      <c r="BQ172" s="131">
        <f t="shared" si="664"/>
        <v>1158.1410000000001</v>
      </c>
      <c r="BR172" s="131">
        <f t="shared" si="664"/>
        <v>1158.1410000000001</v>
      </c>
    </row>
    <row r="173" spans="1:70" outlineLevel="1">
      <c r="B173" s="57"/>
      <c r="C173" s="83" t="s">
        <v>225</v>
      </c>
      <c r="D173" s="58" t="s">
        <v>238</v>
      </c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T173" s="149">
        <f>T179/T178</f>
        <v>1209.2369477911645</v>
      </c>
      <c r="U173" s="149">
        <f>U179/U178</f>
        <v>1204.1533546325875</v>
      </c>
      <c r="V173" s="151">
        <v>1205.9000000000001</v>
      </c>
      <c r="W173" s="149">
        <f>W179/W178</f>
        <v>1207.894736842105</v>
      </c>
      <c r="X173" s="149">
        <f>X179/X178</f>
        <v>1197.9452054794519</v>
      </c>
      <c r="Y173" s="151">
        <v>1202.5999999999999</v>
      </c>
      <c r="Z173" s="149">
        <f>Z179/Z178</f>
        <v>1166.0305343511452</v>
      </c>
      <c r="AA173" s="149">
        <f>AA179/AA178</f>
        <v>1160.6349206349205</v>
      </c>
      <c r="AB173" s="151">
        <v>1162.2</v>
      </c>
      <c r="AC173" s="149">
        <f>AC179/AC178</f>
        <v>1155.8052434456929</v>
      </c>
      <c r="AD173" s="149">
        <f>AD179/AD178</f>
        <v>1158.1120943952797</v>
      </c>
      <c r="AE173" s="151">
        <v>1157.2</v>
      </c>
      <c r="AF173" s="26">
        <f>AF17/AF178</f>
        <v>1156.8421052631579</v>
      </c>
      <c r="AG173" s="933">
        <f>AVERAGE(AF172,AG172)</f>
        <v>1158.1410000000001</v>
      </c>
      <c r="AH173" s="18">
        <f>AVERAGE(AE172,AH172)</f>
        <v>1158.1410000000001</v>
      </c>
      <c r="AI173" s="18">
        <f>AVERAGE(AH172,AI172)</f>
        <v>1158.1410000000001</v>
      </c>
      <c r="AJ173" s="18">
        <f>AVERAGE(AI172,AJ172)</f>
        <v>1158.1410000000001</v>
      </c>
      <c r="AK173" s="18">
        <f>AVERAGE(AH172,AK172)</f>
        <v>1158.1410000000001</v>
      </c>
      <c r="AL173" s="18">
        <f>AVERAGE(AK172,AL172)</f>
        <v>1158.1410000000001</v>
      </c>
      <c r="AM173" s="18">
        <f>AVERAGE(AL172,AM172)</f>
        <v>1158.1410000000001</v>
      </c>
      <c r="AN173" s="18">
        <f>AVERAGE(AK172,AN172)</f>
        <v>1158.1410000000001</v>
      </c>
      <c r="AO173" s="18">
        <f>AVERAGE(AN172,AO172)</f>
        <v>1158.1410000000001</v>
      </c>
      <c r="AP173" s="18">
        <f>AVERAGE(AO172,AP172)</f>
        <v>1158.1410000000001</v>
      </c>
      <c r="AQ173" s="18">
        <f>AVERAGE(AN172,AQ172)</f>
        <v>1158.1410000000001</v>
      </c>
      <c r="AR173" s="18">
        <f>AVERAGE(AQ172,AR172)</f>
        <v>1158.1410000000001</v>
      </c>
      <c r="AS173" s="18">
        <f>AVERAGE(AR172,AS172)</f>
        <v>1158.1410000000001</v>
      </c>
      <c r="AT173" s="18">
        <f>AVERAGE(AQ172,AT172)</f>
        <v>1158.1410000000001</v>
      </c>
      <c r="AU173" s="18">
        <f>AVERAGE(AT172,AU172)</f>
        <v>1158.1410000000001</v>
      </c>
      <c r="AV173" s="18">
        <f>AVERAGE(AU172,AV172)</f>
        <v>1158.1410000000001</v>
      </c>
      <c r="AW173" s="18">
        <f>AVERAGE(AT172,AW172)</f>
        <v>1158.1410000000001</v>
      </c>
      <c r="AX173" s="18">
        <f>AVERAGE(AW172,AX172)</f>
        <v>1158.1410000000001</v>
      </c>
      <c r="AY173" s="18">
        <f>AVERAGE(AX172,AY172)</f>
        <v>1158.1410000000001</v>
      </c>
      <c r="AZ173" s="18">
        <f>AVERAGE(AW172,AZ172)</f>
        <v>1158.1410000000001</v>
      </c>
      <c r="BA173" s="18">
        <f>AVERAGE(AZ172,BA172)</f>
        <v>1158.1410000000001</v>
      </c>
      <c r="BB173" s="18">
        <f>AVERAGE(BA172,BB172)</f>
        <v>1158.1410000000001</v>
      </c>
      <c r="BC173" s="18">
        <f>AVERAGE(AZ172,BC172)</f>
        <v>1158.1410000000001</v>
      </c>
      <c r="BD173" s="18">
        <f>AVERAGE(BC172,BD172)</f>
        <v>1158.1410000000001</v>
      </c>
      <c r="BE173" s="18">
        <f>AVERAGE(BD172,BE172)</f>
        <v>1158.1410000000001</v>
      </c>
      <c r="BF173" s="18">
        <f>AVERAGE(BC172,BF172)</f>
        <v>1158.1410000000001</v>
      </c>
      <c r="BG173" s="18">
        <f>AVERAGE(BF172,BG172)</f>
        <v>1158.1410000000001</v>
      </c>
      <c r="BH173" s="18">
        <f>AVERAGE(BG172,BH172)</f>
        <v>1158.1410000000001</v>
      </c>
      <c r="BI173" s="18">
        <f>AVERAGE(BF172,BI172)</f>
        <v>1158.1410000000001</v>
      </c>
      <c r="BJ173" s="18">
        <f>AVERAGE(BI172,BJ172)</f>
        <v>1158.1410000000001</v>
      </c>
      <c r="BK173" s="18">
        <f>AVERAGE(BJ172,BK172)</f>
        <v>1158.1410000000001</v>
      </c>
      <c r="BL173" s="18">
        <f>AVERAGE(BI172,BL172)</f>
        <v>1158.1410000000001</v>
      </c>
      <c r="BM173" s="18">
        <f>AVERAGE(BL172,BM172)</f>
        <v>1158.1410000000001</v>
      </c>
      <c r="BN173" s="18">
        <f>AVERAGE(BM172,BN172)</f>
        <v>1158.1410000000001</v>
      </c>
      <c r="BO173" s="18">
        <f>AVERAGE(BL172,BO172)</f>
        <v>1158.1410000000001</v>
      </c>
      <c r="BP173" s="18">
        <f>AVERAGE(BO172,BP172)</f>
        <v>1158.1410000000001</v>
      </c>
      <c r="BQ173" s="18">
        <f>AVERAGE(BP172,BQ172)</f>
        <v>1158.1410000000001</v>
      </c>
      <c r="BR173" s="18">
        <f>AVERAGE(BO172,BR172)</f>
        <v>1158.1410000000001</v>
      </c>
    </row>
    <row r="174" spans="1:70" outlineLevel="1">
      <c r="B174" s="57"/>
      <c r="C174" s="83" t="s">
        <v>226</v>
      </c>
      <c r="D174" s="58" t="s">
        <v>238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T174" s="405">
        <f>V174*(T173/V173)</f>
        <v>1231.3981025686624</v>
      </c>
      <c r="U174" s="405">
        <f>V174*(U173/V173)</f>
        <v>1226.2213446295857</v>
      </c>
      <c r="V174" s="151">
        <v>1228</v>
      </c>
      <c r="W174" s="405">
        <f>Y174*(W173/Y173)</f>
        <v>1230.4937985242498</v>
      </c>
      <c r="X174" s="405">
        <f>Y174*(X173/Y173)</f>
        <v>1220.358116774386</v>
      </c>
      <c r="Y174" s="151">
        <v>1225.0999999999999</v>
      </c>
      <c r="Z174" s="405">
        <f>AB174*(Z173/AB173)</f>
        <v>1181.1803029526786</v>
      </c>
      <c r="AA174" s="405">
        <f>AB174*(AA173/AB173)</f>
        <v>1175.7145861843846</v>
      </c>
      <c r="AB174" s="151">
        <v>1177.3</v>
      </c>
      <c r="AC174" s="405">
        <f>AE174*(AC173/AE173)</f>
        <v>1166.2925879463667</v>
      </c>
      <c r="AD174" s="405">
        <f>AE174*(AD173/AE173)</f>
        <v>1168.6203703986935</v>
      </c>
      <c r="AE174" s="151">
        <v>1167.7</v>
      </c>
      <c r="AF174" s="171">
        <f>AF173</f>
        <v>1156.8421052631579</v>
      </c>
      <c r="AG174" s="933">
        <f t="shared" ref="AG174:AN174" si="665">AG173</f>
        <v>1158.1410000000001</v>
      </c>
      <c r="AH174" s="18">
        <f t="shared" si="665"/>
        <v>1158.1410000000001</v>
      </c>
      <c r="AI174" s="18">
        <f t="shared" si="665"/>
        <v>1158.1410000000001</v>
      </c>
      <c r="AJ174" s="18">
        <f t="shared" si="665"/>
        <v>1158.1410000000001</v>
      </c>
      <c r="AK174" s="18">
        <f t="shared" si="665"/>
        <v>1158.1410000000001</v>
      </c>
      <c r="AL174" s="18">
        <f t="shared" si="665"/>
        <v>1158.1410000000001</v>
      </c>
      <c r="AM174" s="18">
        <f t="shared" si="665"/>
        <v>1158.1410000000001</v>
      </c>
      <c r="AN174" s="18">
        <f t="shared" si="665"/>
        <v>1158.1410000000001</v>
      </c>
      <c r="AO174" s="18">
        <f t="shared" ref="AO174:BR174" si="666">AO173</f>
        <v>1158.1410000000001</v>
      </c>
      <c r="AP174" s="18">
        <f t="shared" si="666"/>
        <v>1158.1410000000001</v>
      </c>
      <c r="AQ174" s="18">
        <f t="shared" si="666"/>
        <v>1158.1410000000001</v>
      </c>
      <c r="AR174" s="18">
        <f t="shared" si="666"/>
        <v>1158.1410000000001</v>
      </c>
      <c r="AS174" s="18">
        <f t="shared" si="666"/>
        <v>1158.1410000000001</v>
      </c>
      <c r="AT174" s="18">
        <f t="shared" si="666"/>
        <v>1158.1410000000001</v>
      </c>
      <c r="AU174" s="18">
        <f t="shared" si="666"/>
        <v>1158.1410000000001</v>
      </c>
      <c r="AV174" s="18">
        <f t="shared" si="666"/>
        <v>1158.1410000000001</v>
      </c>
      <c r="AW174" s="18">
        <f t="shared" si="666"/>
        <v>1158.1410000000001</v>
      </c>
      <c r="AX174" s="18">
        <f t="shared" si="666"/>
        <v>1158.1410000000001</v>
      </c>
      <c r="AY174" s="18">
        <f t="shared" si="666"/>
        <v>1158.1410000000001</v>
      </c>
      <c r="AZ174" s="18">
        <f t="shared" si="666"/>
        <v>1158.1410000000001</v>
      </c>
      <c r="BA174" s="18">
        <f t="shared" si="666"/>
        <v>1158.1410000000001</v>
      </c>
      <c r="BB174" s="18">
        <f t="shared" si="666"/>
        <v>1158.1410000000001</v>
      </c>
      <c r="BC174" s="18">
        <f t="shared" si="666"/>
        <v>1158.1410000000001</v>
      </c>
      <c r="BD174" s="18">
        <f t="shared" si="666"/>
        <v>1158.1410000000001</v>
      </c>
      <c r="BE174" s="18">
        <f t="shared" si="666"/>
        <v>1158.1410000000001</v>
      </c>
      <c r="BF174" s="18">
        <f t="shared" si="666"/>
        <v>1158.1410000000001</v>
      </c>
      <c r="BG174" s="18">
        <f t="shared" si="666"/>
        <v>1158.1410000000001</v>
      </c>
      <c r="BH174" s="18">
        <f t="shared" si="666"/>
        <v>1158.1410000000001</v>
      </c>
      <c r="BI174" s="18">
        <f t="shared" si="666"/>
        <v>1158.1410000000001</v>
      </c>
      <c r="BJ174" s="18">
        <f t="shared" si="666"/>
        <v>1158.1410000000001</v>
      </c>
      <c r="BK174" s="18">
        <f t="shared" si="666"/>
        <v>1158.1410000000001</v>
      </c>
      <c r="BL174" s="18">
        <f t="shared" si="666"/>
        <v>1158.1410000000001</v>
      </c>
      <c r="BM174" s="18">
        <f t="shared" si="666"/>
        <v>1158.1410000000001</v>
      </c>
      <c r="BN174" s="18">
        <f t="shared" si="666"/>
        <v>1158.1410000000001</v>
      </c>
      <c r="BO174" s="18">
        <f t="shared" si="666"/>
        <v>1158.1410000000001</v>
      </c>
      <c r="BP174" s="18">
        <f t="shared" si="666"/>
        <v>1158.1410000000001</v>
      </c>
      <c r="BQ174" s="18">
        <f t="shared" si="666"/>
        <v>1158.1410000000001</v>
      </c>
      <c r="BR174" s="18">
        <f t="shared" si="666"/>
        <v>1158.1410000000001</v>
      </c>
    </row>
    <row r="175" spans="1:70">
      <c r="B175" s="55"/>
      <c r="C175" s="55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</row>
    <row r="176" spans="1:70">
      <c r="A176" s="4" t="s">
        <v>174</v>
      </c>
      <c r="B176" s="57"/>
      <c r="C176" s="55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62"/>
    </row>
    <row r="177" spans="1:70" outlineLevel="1">
      <c r="A177" s="67"/>
      <c r="B177" s="54" t="s">
        <v>175</v>
      </c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62"/>
    </row>
    <row r="178" spans="1:70" outlineLevel="1">
      <c r="A178" s="57"/>
      <c r="B178" s="57"/>
      <c r="C178" s="55" t="s">
        <v>176</v>
      </c>
      <c r="D178" s="56" t="s">
        <v>239</v>
      </c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62"/>
      <c r="T178" s="340">
        <v>0.249</v>
      </c>
      <c r="U178" s="153">
        <f>V178-T178</f>
        <v>0.31300000000000006</v>
      </c>
      <c r="V178" s="340">
        <v>0.56200000000000006</v>
      </c>
      <c r="W178" s="340">
        <v>0.26600000000000001</v>
      </c>
      <c r="X178" s="153">
        <f>Y178-W178</f>
        <v>0.29200000000000004</v>
      </c>
      <c r="Y178" s="340">
        <v>0.55800000000000005</v>
      </c>
      <c r="Z178" s="340">
        <v>0.26200000000000001</v>
      </c>
      <c r="AA178" s="153">
        <f>AB178-Z178</f>
        <v>0.31499999999999995</v>
      </c>
      <c r="AB178" s="340">
        <v>0.57699999999999996</v>
      </c>
      <c r="AC178" s="152">
        <v>0.26700000000000002</v>
      </c>
      <c r="AD178" s="153">
        <f>AE178-AC178</f>
        <v>0.33899999999999997</v>
      </c>
      <c r="AE178" s="152">
        <v>0.60599999999999998</v>
      </c>
      <c r="AF178" s="906">
        <v>0.28499999999999998</v>
      </c>
      <c r="AG178" s="957">
        <f>AG179/AG173</f>
        <v>0.35423590940515243</v>
      </c>
      <c r="AH178" s="153">
        <f>AF178+AG178</f>
        <v>0.6392359094051524</v>
      </c>
      <c r="AI178" s="153">
        <f>AI179/AI173</f>
        <v>0.31559474786832264</v>
      </c>
      <c r="AJ178" s="153">
        <f>AJ179/AJ173</f>
        <v>0.38969103258607535</v>
      </c>
      <c r="AK178" s="153">
        <f>AI178+AJ178</f>
        <v>0.70528578045439794</v>
      </c>
      <c r="AL178" s="153">
        <f>AL179/AL173</f>
        <v>0.35234197944303669</v>
      </c>
      <c r="AM178" s="153">
        <f>AM179/AM173</f>
        <v>0.41601087273374771</v>
      </c>
      <c r="AN178" s="153">
        <f>AL178+AM178</f>
        <v>0.7683528521767844</v>
      </c>
      <c r="AO178" s="153">
        <f>AO179/AO173</f>
        <v>0.37002386845967306</v>
      </c>
      <c r="AP178" s="153">
        <f>AP179/AP173</f>
        <v>0.43607644792429379</v>
      </c>
      <c r="AQ178" s="153">
        <f>AO178+AP178</f>
        <v>0.80610031638396684</v>
      </c>
      <c r="AR178" s="153">
        <f>AR179/AR173</f>
        <v>0.38240227563876711</v>
      </c>
      <c r="AS178" s="153">
        <f>AS179/AS173</f>
        <v>0.4498015956740169</v>
      </c>
      <c r="AT178" s="153">
        <f>AR178+AS178</f>
        <v>0.83220387131278395</v>
      </c>
      <c r="AU178" s="153">
        <f>AU179/AU173</f>
        <v>0.39513416332772761</v>
      </c>
      <c r="AV178" s="153">
        <f>AV179/AV173</f>
        <v>0.46396792500178347</v>
      </c>
      <c r="AW178" s="153">
        <f>AU178+AV178</f>
        <v>0.85910208832951107</v>
      </c>
      <c r="AX178" s="153">
        <f>AX179/AX173</f>
        <v>0.40827756947904942</v>
      </c>
      <c r="AY178" s="153">
        <f>AY179/AY173</f>
        <v>0.47859040887287335</v>
      </c>
      <c r="AZ178" s="153">
        <f>AX178+AY178</f>
        <v>0.88686797835192277</v>
      </c>
      <c r="BA178" s="153">
        <f>BA179/BA173</f>
        <v>0.42184616973820704</v>
      </c>
      <c r="BB178" s="153">
        <f>BB179/BB173</f>
        <v>0.49303856485702519</v>
      </c>
      <c r="BC178" s="153">
        <f>BA178+BB178</f>
        <v>0.91488473459523223</v>
      </c>
      <c r="BD178" s="153">
        <f>BD179/BD173</f>
        <v>0.43461180229793706</v>
      </c>
      <c r="BE178" s="153">
        <f>BE179/BE173</f>
        <v>0.50632925710810295</v>
      </c>
      <c r="BF178" s="153">
        <f>BD178+BE178</f>
        <v>0.94094105940604</v>
      </c>
      <c r="BG178" s="153">
        <f>BG179/BG173</f>
        <v>0.44592729765128236</v>
      </c>
      <c r="BH178" s="153">
        <f>BH179/BH173</f>
        <v>0.5190635929498868</v>
      </c>
      <c r="BI178" s="153">
        <f>BG178+BH178</f>
        <v>0.96499089060116916</v>
      </c>
      <c r="BJ178" s="153">
        <f>BJ179/BJ173</f>
        <v>0.45759878118541875</v>
      </c>
      <c r="BK178" s="153">
        <f>BK179/BK173</f>
        <v>0.53220256837160529</v>
      </c>
      <c r="BL178" s="153">
        <f>BJ178+BK178</f>
        <v>0.98980134955702403</v>
      </c>
      <c r="BM178" s="153">
        <f>BM179/BM173</f>
        <v>0.46963780158095925</v>
      </c>
      <c r="BN178" s="153">
        <f>BN179/BN173</f>
        <v>0.54573470637324017</v>
      </c>
      <c r="BO178" s="153">
        <f>BM178+BN178</f>
        <v>1.0153725079541993</v>
      </c>
      <c r="BP178" s="153">
        <f>BP179/BP173</f>
        <v>0.48206197850694482</v>
      </c>
      <c r="BQ178" s="153">
        <f>BQ179/BQ173</f>
        <v>0.55972953910133805</v>
      </c>
      <c r="BR178" s="153">
        <f>BP178+BQ178</f>
        <v>1.0417915176082828</v>
      </c>
    </row>
    <row r="179" spans="1:70" outlineLevel="1">
      <c r="A179" s="67"/>
      <c r="B179" s="57"/>
      <c r="C179" s="60" t="s">
        <v>108</v>
      </c>
      <c r="D179" s="58" t="s">
        <v>58</v>
      </c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62"/>
      <c r="T179" s="336">
        <f t="shared" ref="T179:AE179" si="667">T17</f>
        <v>301.09999999999997</v>
      </c>
      <c r="U179" s="336">
        <f t="shared" si="667"/>
        <v>376.89999999999992</v>
      </c>
      <c r="V179" s="336">
        <f t="shared" si="667"/>
        <v>677.99999999999966</v>
      </c>
      <c r="W179" s="336">
        <f t="shared" si="667"/>
        <v>321.29999999999995</v>
      </c>
      <c r="X179" s="336">
        <f t="shared" si="667"/>
        <v>349.8</v>
      </c>
      <c r="Y179" s="336">
        <f t="shared" si="667"/>
        <v>671.10000000000014</v>
      </c>
      <c r="Z179" s="336">
        <f t="shared" si="667"/>
        <v>305.50000000000006</v>
      </c>
      <c r="AA179" s="6">
        <f t="shared" si="667"/>
        <v>365.59999999999991</v>
      </c>
      <c r="AB179" s="6">
        <f t="shared" si="667"/>
        <v>671.1</v>
      </c>
      <c r="AC179" s="18">
        <f t="shared" si="667"/>
        <v>308.60000000000002</v>
      </c>
      <c r="AD179" s="18">
        <f t="shared" si="667"/>
        <v>392.5999999999998</v>
      </c>
      <c r="AE179" s="26">
        <f t="shared" si="667"/>
        <v>701.2</v>
      </c>
      <c r="AF179" s="26">
        <f t="shared" ref="AF179:BR179" si="668">AF17</f>
        <v>329.7</v>
      </c>
      <c r="AG179" s="933">
        <f t="shared" si="668"/>
        <v>410.25513035439263</v>
      </c>
      <c r="AH179" s="18">
        <f t="shared" si="668"/>
        <v>739.95513035439274</v>
      </c>
      <c r="AI179" s="18">
        <f t="shared" si="668"/>
        <v>365.50321689096705</v>
      </c>
      <c r="AJ179" s="18">
        <f t="shared" si="668"/>
        <v>451.31716217026991</v>
      </c>
      <c r="AK179" s="18">
        <f t="shared" si="668"/>
        <v>816.82037906123685</v>
      </c>
      <c r="AL179" s="18">
        <f t="shared" si="668"/>
        <v>408.06169241413801</v>
      </c>
      <c r="AM179" s="18">
        <f t="shared" si="668"/>
        <v>481.79924815873534</v>
      </c>
      <c r="AN179" s="18">
        <f t="shared" si="668"/>
        <v>889.86094057287335</v>
      </c>
      <c r="AO179" s="18">
        <f t="shared" si="668"/>
        <v>428.53981304175426</v>
      </c>
      <c r="AP179" s="18">
        <f t="shared" si="668"/>
        <v>505.03801347548955</v>
      </c>
      <c r="AQ179" s="18">
        <f t="shared" si="668"/>
        <v>933.57782651724392</v>
      </c>
      <c r="AR179" s="18">
        <f t="shared" si="668"/>
        <v>442.87575391055742</v>
      </c>
      <c r="AS179" s="18">
        <f t="shared" si="668"/>
        <v>520.93366981550162</v>
      </c>
      <c r="AT179" s="18">
        <f t="shared" si="668"/>
        <v>963.80942372605898</v>
      </c>
      <c r="AU179" s="18">
        <f t="shared" si="668"/>
        <v>457.6210750505378</v>
      </c>
      <c r="AV179" s="18">
        <f t="shared" si="668"/>
        <v>537.34027662949052</v>
      </c>
      <c r="AW179" s="18">
        <f t="shared" si="668"/>
        <v>994.96135168002832</v>
      </c>
      <c r="AX179" s="18">
        <f t="shared" si="668"/>
        <v>472.84299259403582</v>
      </c>
      <c r="AY179" s="18">
        <f t="shared" si="668"/>
        <v>554.27517472243846</v>
      </c>
      <c r="AZ179" s="18">
        <f t="shared" si="668"/>
        <v>1027.1181673164742</v>
      </c>
      <c r="BA179" s="18">
        <f t="shared" si="668"/>
        <v>488.55734486677687</v>
      </c>
      <c r="BB179" s="18">
        <f t="shared" si="668"/>
        <v>571.00817654208004</v>
      </c>
      <c r="BC179" s="18">
        <f t="shared" si="668"/>
        <v>1059.565521408857</v>
      </c>
      <c r="BD179" s="18">
        <f t="shared" si="668"/>
        <v>503.34174732513515</v>
      </c>
      <c r="BE179" s="18">
        <f t="shared" si="668"/>
        <v>586.40067215643546</v>
      </c>
      <c r="BF179" s="18">
        <f t="shared" si="668"/>
        <v>1089.7424194815706</v>
      </c>
      <c r="BG179" s="18">
        <f t="shared" si="668"/>
        <v>516.44668642915383</v>
      </c>
      <c r="BH179" s="18">
        <f t="shared" si="668"/>
        <v>601.14882860257489</v>
      </c>
      <c r="BI179" s="18">
        <f t="shared" si="668"/>
        <v>1117.5955150317286</v>
      </c>
      <c r="BJ179" s="18">
        <f t="shared" si="668"/>
        <v>529.96391004086206</v>
      </c>
      <c r="BK179" s="18">
        <f t="shared" si="668"/>
        <v>616.36561473645941</v>
      </c>
      <c r="BL179" s="18">
        <f t="shared" si="668"/>
        <v>1146.3295247773217</v>
      </c>
      <c r="BM179" s="18">
        <f t="shared" si="668"/>
        <v>543.90679316077376</v>
      </c>
      <c r="BN179" s="18">
        <f t="shared" si="668"/>
        <v>632.03773857381077</v>
      </c>
      <c r="BO179" s="18">
        <f t="shared" si="668"/>
        <v>1175.9445317345846</v>
      </c>
      <c r="BP179" s="18">
        <f t="shared" si="668"/>
        <v>558.29574185001161</v>
      </c>
      <c r="BQ179" s="18">
        <f t="shared" si="668"/>
        <v>648.24572814436283</v>
      </c>
      <c r="BR179" s="18">
        <f t="shared" si="668"/>
        <v>1206.5414699943744</v>
      </c>
    </row>
    <row r="180" spans="1:70" outlineLevel="1">
      <c r="A180" s="57"/>
      <c r="B180" s="57"/>
      <c r="C180" s="55" t="s">
        <v>177</v>
      </c>
      <c r="D180" s="56" t="s">
        <v>239</v>
      </c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62"/>
      <c r="T180" s="381">
        <v>0.249</v>
      </c>
      <c r="U180" s="158">
        <f>V180-T180</f>
        <v>0.31300000000000006</v>
      </c>
      <c r="V180" s="381">
        <v>0.56200000000000006</v>
      </c>
      <c r="W180" s="381">
        <v>0.26600000000000001</v>
      </c>
      <c r="X180" s="158">
        <f>Y180-W180</f>
        <v>0.29999999999999993</v>
      </c>
      <c r="Y180" s="381">
        <v>0.56599999999999995</v>
      </c>
      <c r="Z180" s="381">
        <v>0.26200000000000001</v>
      </c>
      <c r="AA180" s="158">
        <f>AB180-Z180</f>
        <v>-5.2000000000000018E-2</v>
      </c>
      <c r="AB180" s="27">
        <v>0.21</v>
      </c>
      <c r="AC180" s="152">
        <v>0.248</v>
      </c>
      <c r="AD180" s="153">
        <f>AE180-AC180</f>
        <v>0.26800000000000002</v>
      </c>
      <c r="AE180" s="152">
        <v>0.51600000000000001</v>
      </c>
      <c r="AF180" s="906">
        <v>0.28499999999999998</v>
      </c>
      <c r="AG180" s="957">
        <f>AG181/AG173</f>
        <v>0.35423590940515243</v>
      </c>
      <c r="AH180" s="153">
        <f>AF180+AG180</f>
        <v>0.6392359094051524</v>
      </c>
      <c r="AI180" s="153">
        <f>AI181/AI173</f>
        <v>0.31559474786832264</v>
      </c>
      <c r="AJ180" s="153">
        <f>AJ181/AJ173</f>
        <v>0.38969103258607535</v>
      </c>
      <c r="AK180" s="153">
        <f>AI180+AJ180</f>
        <v>0.70528578045439794</v>
      </c>
      <c r="AL180" s="153">
        <f>AL181/AL173</f>
        <v>0.35234197944303669</v>
      </c>
      <c r="AM180" s="153">
        <f>AM181/AM173</f>
        <v>0.41601087273374771</v>
      </c>
      <c r="AN180" s="153">
        <f>AL180+AM180</f>
        <v>0.7683528521767844</v>
      </c>
      <c r="AO180" s="153">
        <f>AO181/AO173</f>
        <v>0.37002386845967306</v>
      </c>
      <c r="AP180" s="153">
        <f>AP181/AP173</f>
        <v>0.43607644792429379</v>
      </c>
      <c r="AQ180" s="153">
        <f>AO180+AP180</f>
        <v>0.80610031638396684</v>
      </c>
      <c r="AR180" s="153">
        <f>AR181/AR173</f>
        <v>0.38240227563876711</v>
      </c>
      <c r="AS180" s="153">
        <f>AS181/AS173</f>
        <v>0.4498015956740169</v>
      </c>
      <c r="AT180" s="153">
        <f>AR180+AS180</f>
        <v>0.83220387131278395</v>
      </c>
      <c r="AU180" s="153">
        <f>AU181/AU173</f>
        <v>0.39513416332772761</v>
      </c>
      <c r="AV180" s="153">
        <f>AV181/AV173</f>
        <v>0.46396792500178347</v>
      </c>
      <c r="AW180" s="153">
        <f>AU180+AV180</f>
        <v>0.85910208832951107</v>
      </c>
      <c r="AX180" s="153">
        <f>AX181/AX173</f>
        <v>0.40827756947904942</v>
      </c>
      <c r="AY180" s="153">
        <f>AY181/AY173</f>
        <v>0.47859040887287335</v>
      </c>
      <c r="AZ180" s="153">
        <f>AX180+AY180</f>
        <v>0.88686797835192277</v>
      </c>
      <c r="BA180" s="153">
        <f>BA181/BA173</f>
        <v>0.42184616973820704</v>
      </c>
      <c r="BB180" s="153">
        <f>BB181/BB173</f>
        <v>0.49303856485702519</v>
      </c>
      <c r="BC180" s="153">
        <f>BA180+BB180</f>
        <v>0.91488473459523223</v>
      </c>
      <c r="BD180" s="153">
        <f>BD181/BD173</f>
        <v>0.43461180229793706</v>
      </c>
      <c r="BE180" s="153">
        <f>BE181/BE173</f>
        <v>0.50632925710810295</v>
      </c>
      <c r="BF180" s="153">
        <f>BD180+BE180</f>
        <v>0.94094105940604</v>
      </c>
      <c r="BG180" s="153">
        <f>BG181/BG173</f>
        <v>0.44592729765128236</v>
      </c>
      <c r="BH180" s="153">
        <f>BH181/BH173</f>
        <v>0.5190635929498868</v>
      </c>
      <c r="BI180" s="153">
        <f>BG180+BH180</f>
        <v>0.96499089060116916</v>
      </c>
      <c r="BJ180" s="153">
        <f>BJ181/BJ173</f>
        <v>0.45759878118541875</v>
      </c>
      <c r="BK180" s="153">
        <f>BK181/BK173</f>
        <v>0.53220256837160529</v>
      </c>
      <c r="BL180" s="153">
        <f>BJ180+BK180</f>
        <v>0.98980134955702403</v>
      </c>
      <c r="BM180" s="153">
        <f>BM181/BM173</f>
        <v>0.46963780158095925</v>
      </c>
      <c r="BN180" s="153">
        <f>BN181/BN173</f>
        <v>0.54573470637324017</v>
      </c>
      <c r="BO180" s="153">
        <f>BM180+BN180</f>
        <v>1.0153725079541993</v>
      </c>
      <c r="BP180" s="153">
        <f>BP181/BP173</f>
        <v>0.48206197850694482</v>
      </c>
      <c r="BQ180" s="153">
        <f>BQ181/BQ173</f>
        <v>0.55972953910133805</v>
      </c>
      <c r="BR180" s="153">
        <f>BP180+BQ180</f>
        <v>1.0417915176082828</v>
      </c>
    </row>
    <row r="181" spans="1:70" outlineLevel="1">
      <c r="A181" s="67"/>
      <c r="B181" s="57"/>
      <c r="C181" s="60" t="s">
        <v>110</v>
      </c>
      <c r="D181" s="58" t="s">
        <v>58</v>
      </c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62"/>
      <c r="T181" s="26">
        <f t="shared" ref="T181:AE181" si="669">T19</f>
        <v>301.09999999999997</v>
      </c>
      <c r="U181" s="26">
        <f t="shared" si="669"/>
        <v>376.89999999999992</v>
      </c>
      <c r="V181" s="26">
        <f t="shared" si="669"/>
        <v>677.99999999999966</v>
      </c>
      <c r="W181" s="26">
        <f t="shared" si="669"/>
        <v>321.29999999999995</v>
      </c>
      <c r="X181" s="26">
        <f t="shared" si="669"/>
        <v>359</v>
      </c>
      <c r="Y181" s="26">
        <f t="shared" si="669"/>
        <v>680.30000000000018</v>
      </c>
      <c r="Z181" s="26">
        <f t="shared" si="669"/>
        <v>305.50000000000006</v>
      </c>
      <c r="AA181" s="26">
        <f t="shared" si="669"/>
        <v>-61.400000000000091</v>
      </c>
      <c r="AB181" s="26">
        <f t="shared" si="669"/>
        <v>244.10000000000002</v>
      </c>
      <c r="AC181" s="26">
        <f t="shared" si="669"/>
        <v>286.60000000000002</v>
      </c>
      <c r="AD181" s="18">
        <f t="shared" si="669"/>
        <v>310.39999999999981</v>
      </c>
      <c r="AE181" s="26">
        <f t="shared" si="669"/>
        <v>597</v>
      </c>
      <c r="AF181" s="26">
        <f t="shared" ref="AF181:BR181" si="670">AF19</f>
        <v>329.7</v>
      </c>
      <c r="AG181" s="933">
        <f t="shared" si="670"/>
        <v>410.25513035439263</v>
      </c>
      <c r="AH181" s="18">
        <f t="shared" si="670"/>
        <v>739.95513035439274</v>
      </c>
      <c r="AI181" s="18">
        <f t="shared" si="670"/>
        <v>365.50321689096705</v>
      </c>
      <c r="AJ181" s="18">
        <f t="shared" si="670"/>
        <v>451.31716217026991</v>
      </c>
      <c r="AK181" s="18">
        <f t="shared" si="670"/>
        <v>816.82037906123685</v>
      </c>
      <c r="AL181" s="18">
        <f t="shared" si="670"/>
        <v>408.06169241413801</v>
      </c>
      <c r="AM181" s="18">
        <f t="shared" si="670"/>
        <v>481.79924815873534</v>
      </c>
      <c r="AN181" s="18">
        <f t="shared" si="670"/>
        <v>889.86094057287335</v>
      </c>
      <c r="AO181" s="18">
        <f t="shared" si="670"/>
        <v>428.53981304175426</v>
      </c>
      <c r="AP181" s="18">
        <f t="shared" si="670"/>
        <v>505.03801347548955</v>
      </c>
      <c r="AQ181" s="18">
        <f t="shared" si="670"/>
        <v>933.57782651724392</v>
      </c>
      <c r="AR181" s="18">
        <f t="shared" si="670"/>
        <v>442.87575391055742</v>
      </c>
      <c r="AS181" s="18">
        <f t="shared" si="670"/>
        <v>520.93366981550162</v>
      </c>
      <c r="AT181" s="18">
        <f t="shared" si="670"/>
        <v>963.80942372605898</v>
      </c>
      <c r="AU181" s="18">
        <f t="shared" si="670"/>
        <v>457.6210750505378</v>
      </c>
      <c r="AV181" s="18">
        <f t="shared" si="670"/>
        <v>537.34027662949052</v>
      </c>
      <c r="AW181" s="18">
        <f t="shared" si="670"/>
        <v>994.96135168002832</v>
      </c>
      <c r="AX181" s="18">
        <f t="shared" si="670"/>
        <v>472.84299259403582</v>
      </c>
      <c r="AY181" s="18">
        <f t="shared" si="670"/>
        <v>554.27517472243846</v>
      </c>
      <c r="AZ181" s="18">
        <f t="shared" si="670"/>
        <v>1027.1181673164742</v>
      </c>
      <c r="BA181" s="18">
        <f t="shared" si="670"/>
        <v>488.55734486677687</v>
      </c>
      <c r="BB181" s="18">
        <f t="shared" si="670"/>
        <v>571.00817654208004</v>
      </c>
      <c r="BC181" s="18">
        <f t="shared" si="670"/>
        <v>1059.565521408857</v>
      </c>
      <c r="BD181" s="18">
        <f t="shared" si="670"/>
        <v>503.34174732513515</v>
      </c>
      <c r="BE181" s="18">
        <f t="shared" si="670"/>
        <v>586.40067215643546</v>
      </c>
      <c r="BF181" s="18">
        <f t="shared" si="670"/>
        <v>1089.7424194815706</v>
      </c>
      <c r="BG181" s="18">
        <f t="shared" si="670"/>
        <v>516.44668642915383</v>
      </c>
      <c r="BH181" s="18">
        <f t="shared" si="670"/>
        <v>601.14882860257489</v>
      </c>
      <c r="BI181" s="18">
        <f t="shared" si="670"/>
        <v>1117.5955150317286</v>
      </c>
      <c r="BJ181" s="18">
        <f t="shared" si="670"/>
        <v>529.96391004086206</v>
      </c>
      <c r="BK181" s="18">
        <f t="shared" si="670"/>
        <v>616.36561473645941</v>
      </c>
      <c r="BL181" s="18">
        <f t="shared" si="670"/>
        <v>1146.3295247773217</v>
      </c>
      <c r="BM181" s="18">
        <f t="shared" si="670"/>
        <v>543.90679316077376</v>
      </c>
      <c r="BN181" s="18">
        <f t="shared" si="670"/>
        <v>632.03773857381077</v>
      </c>
      <c r="BO181" s="18">
        <f t="shared" si="670"/>
        <v>1175.9445317345846</v>
      </c>
      <c r="BP181" s="18">
        <f t="shared" si="670"/>
        <v>558.29574185001161</v>
      </c>
      <c r="BQ181" s="18">
        <f t="shared" si="670"/>
        <v>648.24572814436283</v>
      </c>
      <c r="BR181" s="18">
        <f t="shared" si="670"/>
        <v>1206.5414699943744</v>
      </c>
    </row>
    <row r="182" spans="1:70" outlineLevel="1">
      <c r="A182" s="67"/>
      <c r="B182" s="57"/>
      <c r="C182" s="80" t="s">
        <v>178</v>
      </c>
      <c r="D182" s="56" t="s">
        <v>239</v>
      </c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81"/>
      <c r="T182" s="381">
        <v>0.17399999999999999</v>
      </c>
      <c r="U182" s="158">
        <f>V182-T182</f>
        <v>0.21800000000000003</v>
      </c>
      <c r="V182" s="381">
        <v>0.39200000000000002</v>
      </c>
      <c r="W182" s="381">
        <v>0.19</v>
      </c>
      <c r="X182" s="158">
        <f>Y182-W182</f>
        <v>0.21000000000000002</v>
      </c>
      <c r="Y182" s="381">
        <v>0.4</v>
      </c>
      <c r="Z182" s="27">
        <v>0.19</v>
      </c>
      <c r="AA182" s="158">
        <f>AB182-Z182</f>
        <v>0.21999999999999997</v>
      </c>
      <c r="AB182" s="27">
        <v>0.41</v>
      </c>
      <c r="AC182" s="152">
        <v>0.19500000000000001</v>
      </c>
      <c r="AD182" s="153">
        <f>AE182-AC182</f>
        <v>0.23499999999999999</v>
      </c>
      <c r="AE182" s="152">
        <v>0.43</v>
      </c>
      <c r="AF182" s="906">
        <v>0.21</v>
      </c>
      <c r="AG182" s="957">
        <f>AG183*AG178</f>
        <v>0.24556176610681657</v>
      </c>
      <c r="AH182" s="153">
        <f>AF182+AG182</f>
        <v>0.45556176610681653</v>
      </c>
      <c r="AI182" s="153">
        <f>AI183*AI178</f>
        <v>0.2325434984292904</v>
      </c>
      <c r="AJ182" s="153">
        <f>AJ183*AJ178</f>
        <v>0.27013980135022925</v>
      </c>
      <c r="AK182" s="153">
        <f>AI182+AJ182</f>
        <v>0.50268329977951964</v>
      </c>
      <c r="AL182" s="153">
        <f>AL183*AL178</f>
        <v>0.25962040590539548</v>
      </c>
      <c r="AM182" s="153">
        <f>AM183*AM178</f>
        <v>0.28838511826675728</v>
      </c>
      <c r="AN182" s="153">
        <f>AL182+AM182</f>
        <v>0.54800552417215276</v>
      </c>
      <c r="AO182" s="153">
        <f>AO183*AO178</f>
        <v>0.27264916623344332</v>
      </c>
      <c r="AP182" s="153">
        <f>AP183*AP178</f>
        <v>0.30229488277937772</v>
      </c>
      <c r="AQ182" s="153">
        <f>AO182+AP182</f>
        <v>0.57494404901282103</v>
      </c>
      <c r="AR182" s="153">
        <f>AR183*AR178</f>
        <v>0.28177009783909157</v>
      </c>
      <c r="AS182" s="153">
        <f>AS183*AS178</f>
        <v>0.31180936573272555</v>
      </c>
      <c r="AT182" s="153">
        <f>AR182+AS182</f>
        <v>0.59357946357181712</v>
      </c>
      <c r="AU182" s="153">
        <f>AU183*AU178</f>
        <v>0.29115148876779934</v>
      </c>
      <c r="AV182" s="153">
        <f>AV183*AV178</f>
        <v>0.32162968252336022</v>
      </c>
      <c r="AW182" s="153">
        <f>AU182+AV182</f>
        <v>0.6127811712911595</v>
      </c>
      <c r="AX182" s="153">
        <f>AX183*AX178</f>
        <v>0.30083610382666803</v>
      </c>
      <c r="AY182" s="153">
        <f>AY183*AY178</f>
        <v>0.33176621264048745</v>
      </c>
      <c r="AZ182" s="153">
        <f>AX182+AY182</f>
        <v>0.63260231646715548</v>
      </c>
      <c r="BA182" s="153">
        <f>BA183*BA178</f>
        <v>0.31083401980709996</v>
      </c>
      <c r="BB182" s="153">
        <f>BB183*BB178</f>
        <v>0.34178189599233311</v>
      </c>
      <c r="BC182" s="153">
        <f>BA182+BB182</f>
        <v>0.65261591579943312</v>
      </c>
      <c r="BD182" s="153">
        <f>BD183*BD178</f>
        <v>0.32024027537742733</v>
      </c>
      <c r="BE182" s="153">
        <f>BE183*BE178</f>
        <v>0.35099520772980586</v>
      </c>
      <c r="BF182" s="153">
        <f>BD182+BE182</f>
        <v>0.67123548310723313</v>
      </c>
      <c r="BG182" s="153">
        <f>BG183*BG178</f>
        <v>0.32857800879568178</v>
      </c>
      <c r="BH182" s="153">
        <f>BH183*BH178</f>
        <v>0.35982284467027553</v>
      </c>
      <c r="BI182" s="153">
        <f>BG182+BH182</f>
        <v>0.68840085346595736</v>
      </c>
      <c r="BJ182" s="153">
        <f>BJ183*BJ178</f>
        <v>0.33717804929451911</v>
      </c>
      <c r="BK182" s="153">
        <f>BK183*BK178</f>
        <v>0.36893098397441665</v>
      </c>
      <c r="BL182" s="153">
        <f>BJ182+BK182</f>
        <v>0.7061090332689357</v>
      </c>
      <c r="BM182" s="153">
        <f>BM183*BM178</f>
        <v>0.34604890642807529</v>
      </c>
      <c r="BN182" s="153">
        <f>BN183*BN178</f>
        <v>0.37831166960976825</v>
      </c>
      <c r="BO182" s="153">
        <f>BM182+BN182</f>
        <v>0.72436057603784354</v>
      </c>
      <c r="BP182" s="153">
        <f>BP183*BP178</f>
        <v>0.35520356311038043</v>
      </c>
      <c r="BQ182" s="153">
        <f>BQ183*BQ178</f>
        <v>0.38801310232688624</v>
      </c>
      <c r="BR182" s="153">
        <f>BP182+BQ182</f>
        <v>0.74321666543726672</v>
      </c>
    </row>
    <row r="183" spans="1:70" outlineLevel="1">
      <c r="A183" s="67"/>
      <c r="B183" s="57"/>
      <c r="C183" s="60" t="s">
        <v>179</v>
      </c>
      <c r="D183" s="58" t="s">
        <v>66</v>
      </c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62"/>
      <c r="T183" s="343">
        <f t="shared" ref="T183:AF183" si="671">T182/T178</f>
        <v>0.69879518072289148</v>
      </c>
      <c r="U183" s="343">
        <f t="shared" si="671"/>
        <v>0.69648562300319483</v>
      </c>
      <c r="V183" s="343">
        <f t="shared" si="671"/>
        <v>0.697508896797153</v>
      </c>
      <c r="W183" s="343">
        <f t="shared" si="671"/>
        <v>0.7142857142857143</v>
      </c>
      <c r="X183" s="343">
        <f t="shared" si="671"/>
        <v>0.71917808219178081</v>
      </c>
      <c r="Y183" s="343">
        <f t="shared" si="671"/>
        <v>0.71684587813620071</v>
      </c>
      <c r="Z183" s="343">
        <f t="shared" si="671"/>
        <v>0.72519083969465647</v>
      </c>
      <c r="AA183" s="343">
        <f t="shared" si="671"/>
        <v>0.69841269841269848</v>
      </c>
      <c r="AB183" s="343">
        <f t="shared" si="671"/>
        <v>0.71057192374350087</v>
      </c>
      <c r="AC183" s="343">
        <f t="shared" si="671"/>
        <v>0.7303370786516854</v>
      </c>
      <c r="AD183" s="17">
        <f t="shared" si="671"/>
        <v>0.69321533923303835</v>
      </c>
      <c r="AE183" s="343">
        <f t="shared" si="671"/>
        <v>0.70957095709570961</v>
      </c>
      <c r="AF183" s="387">
        <f t="shared" si="671"/>
        <v>0.73684210526315796</v>
      </c>
      <c r="AG183" s="958">
        <f>AD183</f>
        <v>0.69321533923303835</v>
      </c>
      <c r="AH183" s="153">
        <f>AH182/AH178</f>
        <v>0.7126661055865029</v>
      </c>
      <c r="AI183" s="111">
        <f>AF183</f>
        <v>0.73684210526315796</v>
      </c>
      <c r="AJ183" s="111">
        <f>AG183</f>
        <v>0.69321533923303835</v>
      </c>
      <c r="AK183" s="153">
        <f>AK182/AK178</f>
        <v>0.71273704037482988</v>
      </c>
      <c r="AL183" s="111">
        <f>AI183</f>
        <v>0.73684210526315796</v>
      </c>
      <c r="AM183" s="111">
        <f>AJ183</f>
        <v>0.69321533923303835</v>
      </c>
      <c r="AN183" s="153">
        <f>AN182/AN178</f>
        <v>0.71322117516662309</v>
      </c>
      <c r="AO183" s="111">
        <f>AL183</f>
        <v>0.73684210526315796</v>
      </c>
      <c r="AP183" s="111">
        <f>AM183</f>
        <v>0.69321533923303835</v>
      </c>
      <c r="AQ183" s="153">
        <f>AQ182/AQ178</f>
        <v>0.71324131417281322</v>
      </c>
      <c r="AR183" s="111">
        <f>AO183</f>
        <v>0.73684210526315796</v>
      </c>
      <c r="AS183" s="111">
        <f>AP183</f>
        <v>0.69321533923303835</v>
      </c>
      <c r="AT183" s="153">
        <f>AT182/AT178</f>
        <v>0.71326207920116746</v>
      </c>
      <c r="AU183" s="111">
        <f>AR183</f>
        <v>0.73684210526315796</v>
      </c>
      <c r="AV183" s="111">
        <f>AS183</f>
        <v>0.69321533923303835</v>
      </c>
      <c r="AW183" s="153">
        <f>AW182/AW178</f>
        <v>0.71328097046381</v>
      </c>
      <c r="AX183" s="111">
        <f>AU183</f>
        <v>0.73684210526315796</v>
      </c>
      <c r="AY183" s="111">
        <f>AV183</f>
        <v>0.69321533923303835</v>
      </c>
      <c r="AZ183" s="153">
        <f>AZ182/AZ178</f>
        <v>0.71329930937717223</v>
      </c>
      <c r="BA183" s="111">
        <f>AX183</f>
        <v>0.73684210526315796</v>
      </c>
      <c r="BB183" s="111">
        <f>AY183</f>
        <v>0.69321533923303835</v>
      </c>
      <c r="BC183" s="153">
        <f>BC182/BC178</f>
        <v>0.71333129860142064</v>
      </c>
      <c r="BD183" s="111">
        <f>BA183</f>
        <v>0.73684210526315796</v>
      </c>
      <c r="BE183" s="111">
        <f>BB183</f>
        <v>0.69321533923303835</v>
      </c>
      <c r="BF183" s="153">
        <f>BF182/BF178</f>
        <v>0.7133661310634527</v>
      </c>
      <c r="BG183" s="111">
        <f>BD183</f>
        <v>0.73684210526315796</v>
      </c>
      <c r="BH183" s="111">
        <f>BE183</f>
        <v>0.69321533923303835</v>
      </c>
      <c r="BI183" s="153">
        <f>BI182/BI178</f>
        <v>0.71337549418430057</v>
      </c>
      <c r="BJ183" s="111">
        <f>BG183</f>
        <v>0.73684210526315796</v>
      </c>
      <c r="BK183" s="111">
        <f>BH183</f>
        <v>0.69321533923303835</v>
      </c>
      <c r="BL183" s="153">
        <f>BL182/BL178</f>
        <v>0.71338459336810156</v>
      </c>
      <c r="BM183" s="111">
        <f>BJ183</f>
        <v>0.73684210526315796</v>
      </c>
      <c r="BN183" s="111">
        <f>BK183</f>
        <v>0.69321533923303835</v>
      </c>
      <c r="BO183" s="153">
        <f>BO182/BO178</f>
        <v>0.7133939222929182</v>
      </c>
      <c r="BP183" s="111">
        <f>BM183</f>
        <v>0.73684210526315796</v>
      </c>
      <c r="BQ183" s="111">
        <f>BN183</f>
        <v>0.69321533923303835</v>
      </c>
      <c r="BR183" s="153">
        <f>BR182/BR178</f>
        <v>0.71340249260574107</v>
      </c>
    </row>
    <row r="184" spans="1:70" outlineLevel="1">
      <c r="A184" s="67"/>
      <c r="B184" s="57"/>
      <c r="C184" s="60" t="s">
        <v>97</v>
      </c>
      <c r="D184" s="58" t="s">
        <v>66</v>
      </c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62"/>
      <c r="T184" s="382">
        <v>0</v>
      </c>
      <c r="U184" s="382">
        <v>0</v>
      </c>
      <c r="V184" s="382">
        <v>0</v>
      </c>
      <c r="W184" s="382">
        <v>0</v>
      </c>
      <c r="X184" s="382">
        <v>0</v>
      </c>
      <c r="Y184" s="382">
        <v>0</v>
      </c>
      <c r="Z184" s="382">
        <v>0</v>
      </c>
      <c r="AA184" s="382">
        <v>0</v>
      </c>
      <c r="AB184" s="382">
        <v>0</v>
      </c>
      <c r="AC184" s="382">
        <v>0</v>
      </c>
      <c r="AD184" s="154">
        <v>0</v>
      </c>
      <c r="AE184" s="382">
        <v>0</v>
      </c>
      <c r="AF184" s="374">
        <v>0</v>
      </c>
      <c r="AG184" s="958">
        <f>AD184</f>
        <v>0</v>
      </c>
      <c r="AH184" s="51">
        <f>AVERAGE(AF184,AG184)</f>
        <v>0</v>
      </c>
      <c r="AI184" s="111">
        <f>AF184</f>
        <v>0</v>
      </c>
      <c r="AJ184" s="111">
        <f>AG184</f>
        <v>0</v>
      </c>
      <c r="AK184" s="51">
        <f>AVERAGE(AI184,AJ184)</f>
        <v>0</v>
      </c>
      <c r="AL184" s="111">
        <f>AI184</f>
        <v>0</v>
      </c>
      <c r="AM184" s="111">
        <f>AJ184</f>
        <v>0</v>
      </c>
      <c r="AN184" s="51">
        <f>AVERAGE(AL184,AM184)</f>
        <v>0</v>
      </c>
      <c r="AO184" s="111">
        <f>AL184</f>
        <v>0</v>
      </c>
      <c r="AP184" s="111">
        <f>AM184</f>
        <v>0</v>
      </c>
      <c r="AQ184" s="51">
        <f>AVERAGE(AO184,AP184)</f>
        <v>0</v>
      </c>
      <c r="AR184" s="111">
        <f>AO184</f>
        <v>0</v>
      </c>
      <c r="AS184" s="111">
        <f>AP184</f>
        <v>0</v>
      </c>
      <c r="AT184" s="51">
        <f>AVERAGE(AR184,AS184)</f>
        <v>0</v>
      </c>
      <c r="AU184" s="111">
        <f>AR184</f>
        <v>0</v>
      </c>
      <c r="AV184" s="111">
        <f>AS184</f>
        <v>0</v>
      </c>
      <c r="AW184" s="51">
        <f>AVERAGE(AU184,AV184)</f>
        <v>0</v>
      </c>
      <c r="AX184" s="111">
        <f>AU184</f>
        <v>0</v>
      </c>
      <c r="AY184" s="111">
        <f>AV184</f>
        <v>0</v>
      </c>
      <c r="AZ184" s="51">
        <f>AVERAGE(AX184,AY184)</f>
        <v>0</v>
      </c>
      <c r="BA184" s="111">
        <f>AX184</f>
        <v>0</v>
      </c>
      <c r="BB184" s="111">
        <f>AY184</f>
        <v>0</v>
      </c>
      <c r="BC184" s="51">
        <f>AVERAGE(BA184,BB184)</f>
        <v>0</v>
      </c>
      <c r="BD184" s="111">
        <f>BA184</f>
        <v>0</v>
      </c>
      <c r="BE184" s="111">
        <f>BB184</f>
        <v>0</v>
      </c>
      <c r="BF184" s="51">
        <f>AVERAGE(BD184,BE184)</f>
        <v>0</v>
      </c>
      <c r="BG184" s="111">
        <f>BD184</f>
        <v>0</v>
      </c>
      <c r="BH184" s="111">
        <f>BE184</f>
        <v>0</v>
      </c>
      <c r="BI184" s="51">
        <f>AVERAGE(BG184,BH184)</f>
        <v>0</v>
      </c>
      <c r="BJ184" s="111">
        <f>BG184</f>
        <v>0</v>
      </c>
      <c r="BK184" s="111">
        <f>BH184</f>
        <v>0</v>
      </c>
      <c r="BL184" s="51">
        <f>AVERAGE(BJ184,BK184)</f>
        <v>0</v>
      </c>
      <c r="BM184" s="111">
        <f>BJ184</f>
        <v>0</v>
      </c>
      <c r="BN184" s="111">
        <f>BK184</f>
        <v>0</v>
      </c>
      <c r="BO184" s="51">
        <f>AVERAGE(BM184,BN184)</f>
        <v>0</v>
      </c>
      <c r="BP184" s="111">
        <f>BM184</f>
        <v>0</v>
      </c>
      <c r="BQ184" s="111">
        <f>BN184</f>
        <v>0</v>
      </c>
      <c r="BR184" s="51">
        <f>AVERAGE(BP184,BQ184)</f>
        <v>0</v>
      </c>
    </row>
    <row r="185" spans="1:70" outlineLevel="1">
      <c r="A185" s="67"/>
      <c r="B185" s="57"/>
      <c r="C185" s="60" t="s">
        <v>180</v>
      </c>
      <c r="D185" s="58" t="s">
        <v>181</v>
      </c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62"/>
      <c r="T185" s="26">
        <f t="shared" ref="T185:AN185" si="672">T173</f>
        <v>1209.2369477911645</v>
      </c>
      <c r="U185" s="26">
        <f t="shared" si="672"/>
        <v>1204.1533546325875</v>
      </c>
      <c r="V185" s="26">
        <f t="shared" si="672"/>
        <v>1205.9000000000001</v>
      </c>
      <c r="W185" s="26">
        <f t="shared" si="672"/>
        <v>1207.894736842105</v>
      </c>
      <c r="X185" s="26">
        <f t="shared" si="672"/>
        <v>1197.9452054794519</v>
      </c>
      <c r="Y185" s="26">
        <f t="shared" si="672"/>
        <v>1202.5999999999999</v>
      </c>
      <c r="Z185" s="26">
        <f t="shared" si="672"/>
        <v>1166.0305343511452</v>
      </c>
      <c r="AA185" s="26">
        <f t="shared" si="672"/>
        <v>1160.6349206349205</v>
      </c>
      <c r="AB185" s="26">
        <f t="shared" si="672"/>
        <v>1162.2</v>
      </c>
      <c r="AC185" s="26">
        <f t="shared" si="672"/>
        <v>1155.8052434456929</v>
      </c>
      <c r="AD185" s="18">
        <f t="shared" si="672"/>
        <v>1158.1120943952797</v>
      </c>
      <c r="AE185" s="26">
        <f t="shared" si="672"/>
        <v>1157.2</v>
      </c>
      <c r="AF185" s="26">
        <f t="shared" ref="AF185" si="673">AF173</f>
        <v>1156.8421052631579</v>
      </c>
      <c r="AG185" s="933">
        <f t="shared" si="672"/>
        <v>1158.1410000000001</v>
      </c>
      <c r="AH185" s="18">
        <f t="shared" si="672"/>
        <v>1158.1410000000001</v>
      </c>
      <c r="AI185" s="18">
        <f t="shared" si="672"/>
        <v>1158.1410000000001</v>
      </c>
      <c r="AJ185" s="18">
        <f t="shared" si="672"/>
        <v>1158.1410000000001</v>
      </c>
      <c r="AK185" s="18">
        <f t="shared" si="672"/>
        <v>1158.1410000000001</v>
      </c>
      <c r="AL185" s="18">
        <f t="shared" si="672"/>
        <v>1158.1410000000001</v>
      </c>
      <c r="AM185" s="18">
        <f t="shared" si="672"/>
        <v>1158.1410000000001</v>
      </c>
      <c r="AN185" s="18">
        <f t="shared" si="672"/>
        <v>1158.1410000000001</v>
      </c>
      <c r="AO185" s="18">
        <f t="shared" ref="AO185:BR185" si="674">AO173</f>
        <v>1158.1410000000001</v>
      </c>
      <c r="AP185" s="18">
        <f t="shared" si="674"/>
        <v>1158.1410000000001</v>
      </c>
      <c r="AQ185" s="18">
        <f t="shared" si="674"/>
        <v>1158.1410000000001</v>
      </c>
      <c r="AR185" s="18">
        <f t="shared" si="674"/>
        <v>1158.1410000000001</v>
      </c>
      <c r="AS185" s="18">
        <f t="shared" si="674"/>
        <v>1158.1410000000001</v>
      </c>
      <c r="AT185" s="18">
        <f t="shared" si="674"/>
        <v>1158.1410000000001</v>
      </c>
      <c r="AU185" s="18">
        <f t="shared" si="674"/>
        <v>1158.1410000000001</v>
      </c>
      <c r="AV185" s="18">
        <f t="shared" si="674"/>
        <v>1158.1410000000001</v>
      </c>
      <c r="AW185" s="18">
        <f t="shared" si="674"/>
        <v>1158.1410000000001</v>
      </c>
      <c r="AX185" s="18">
        <f t="shared" si="674"/>
        <v>1158.1410000000001</v>
      </c>
      <c r="AY185" s="18">
        <f t="shared" si="674"/>
        <v>1158.1410000000001</v>
      </c>
      <c r="AZ185" s="18">
        <f t="shared" si="674"/>
        <v>1158.1410000000001</v>
      </c>
      <c r="BA185" s="18">
        <f t="shared" si="674"/>
        <v>1158.1410000000001</v>
      </c>
      <c r="BB185" s="18">
        <f t="shared" si="674"/>
        <v>1158.1410000000001</v>
      </c>
      <c r="BC185" s="18">
        <f t="shared" si="674"/>
        <v>1158.1410000000001</v>
      </c>
      <c r="BD185" s="18">
        <f t="shared" si="674"/>
        <v>1158.1410000000001</v>
      </c>
      <c r="BE185" s="18">
        <f t="shared" si="674"/>
        <v>1158.1410000000001</v>
      </c>
      <c r="BF185" s="18">
        <f t="shared" si="674"/>
        <v>1158.1410000000001</v>
      </c>
      <c r="BG185" s="18">
        <f t="shared" si="674"/>
        <v>1158.1410000000001</v>
      </c>
      <c r="BH185" s="18">
        <f t="shared" si="674"/>
        <v>1158.1410000000001</v>
      </c>
      <c r="BI185" s="18">
        <f t="shared" si="674"/>
        <v>1158.1410000000001</v>
      </c>
      <c r="BJ185" s="18">
        <f t="shared" si="674"/>
        <v>1158.1410000000001</v>
      </c>
      <c r="BK185" s="18">
        <f t="shared" si="674"/>
        <v>1158.1410000000001</v>
      </c>
      <c r="BL185" s="18">
        <f t="shared" si="674"/>
        <v>1158.1410000000001</v>
      </c>
      <c r="BM185" s="18">
        <f t="shared" si="674"/>
        <v>1158.1410000000001</v>
      </c>
      <c r="BN185" s="18">
        <f t="shared" si="674"/>
        <v>1158.1410000000001</v>
      </c>
      <c r="BO185" s="18">
        <f t="shared" si="674"/>
        <v>1158.1410000000001</v>
      </c>
      <c r="BP185" s="18">
        <f t="shared" si="674"/>
        <v>1158.1410000000001</v>
      </c>
      <c r="BQ185" s="18">
        <f t="shared" si="674"/>
        <v>1158.1410000000001</v>
      </c>
      <c r="BR185" s="18">
        <f t="shared" si="674"/>
        <v>1158.1410000000001</v>
      </c>
    </row>
    <row r="186" spans="1:70" outlineLevel="1">
      <c r="A186" s="67"/>
      <c r="B186" s="57"/>
      <c r="C186" s="60" t="s">
        <v>182</v>
      </c>
      <c r="D186" s="58" t="s">
        <v>58</v>
      </c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62"/>
      <c r="T186" s="26">
        <f>T185*T182</f>
        <v>210.40722891566261</v>
      </c>
      <c r="U186" s="26">
        <f t="shared" ref="U186:V186" si="675">U185*U182</f>
        <v>262.50543130990411</v>
      </c>
      <c r="V186" s="26">
        <f t="shared" si="675"/>
        <v>472.71280000000007</v>
      </c>
      <c r="W186" s="26">
        <f>W185*W182</f>
        <v>229.49999999999994</v>
      </c>
      <c r="X186" s="26">
        <f t="shared" ref="X186:Y186" si="676">X185*X182</f>
        <v>251.56849315068493</v>
      </c>
      <c r="Y186" s="26">
        <f t="shared" si="676"/>
        <v>481.03999999999996</v>
      </c>
      <c r="Z186" s="26">
        <f>Z185*Z182</f>
        <v>221.54580152671758</v>
      </c>
      <c r="AA186" s="26">
        <f t="shared" ref="AA186:AB186" si="677">AA185*AA182</f>
        <v>255.33968253968249</v>
      </c>
      <c r="AB186" s="26">
        <f t="shared" si="677"/>
        <v>476.50200000000001</v>
      </c>
      <c r="AC186" s="26">
        <f>AC185*AC182</f>
        <v>225.38202247191012</v>
      </c>
      <c r="AD186" s="18">
        <f t="shared" ref="AD186:AE186" si="678">AD185*AD182</f>
        <v>272.15634218289068</v>
      </c>
      <c r="AE186" s="26">
        <f t="shared" si="678"/>
        <v>497.596</v>
      </c>
      <c r="AF186" s="26">
        <f>AF185*AF182</f>
        <v>242.93684210526317</v>
      </c>
      <c r="AG186" s="933">
        <f t="shared" ref="AG186:BR186" si="679">AG185*AG182</f>
        <v>284.39514936071464</v>
      </c>
      <c r="AH186" s="18">
        <f t="shared" si="679"/>
        <v>527.60475936071464</v>
      </c>
      <c r="AI186" s="18">
        <f t="shared" si="679"/>
        <v>269.31815981439684</v>
      </c>
      <c r="AJ186" s="18">
        <f t="shared" si="679"/>
        <v>312.85997967555585</v>
      </c>
      <c r="AK186" s="18">
        <f t="shared" si="679"/>
        <v>582.17813948995274</v>
      </c>
      <c r="AL186" s="18">
        <f t="shared" si="679"/>
        <v>300.67703651568064</v>
      </c>
      <c r="AM186" s="18">
        <f t="shared" si="679"/>
        <v>333.99062925458054</v>
      </c>
      <c r="AN186" s="18">
        <f t="shared" si="679"/>
        <v>634.66766577026124</v>
      </c>
      <c r="AO186" s="18">
        <f t="shared" si="679"/>
        <v>315.7661780307663</v>
      </c>
      <c r="AP186" s="18">
        <f t="shared" si="679"/>
        <v>350.10009783699132</v>
      </c>
      <c r="AQ186" s="18">
        <f t="shared" si="679"/>
        <v>665.86627586775762</v>
      </c>
      <c r="AR186" s="18">
        <f t="shared" si="679"/>
        <v>326.32950288146338</v>
      </c>
      <c r="AS186" s="18">
        <f t="shared" si="679"/>
        <v>361.11921063906453</v>
      </c>
      <c r="AT186" s="18">
        <f t="shared" si="679"/>
        <v>687.44871352052792</v>
      </c>
      <c r="AU186" s="18">
        <f t="shared" si="679"/>
        <v>337.19447635302794</v>
      </c>
      <c r="AV186" s="18">
        <f t="shared" si="679"/>
        <v>372.49252214728693</v>
      </c>
      <c r="AW186" s="18">
        <f t="shared" si="679"/>
        <v>709.68699850031476</v>
      </c>
      <c r="AX186" s="18">
        <f t="shared" si="679"/>
        <v>348.41062612192115</v>
      </c>
      <c r="AY186" s="18">
        <f t="shared" si="679"/>
        <v>384.23205327366679</v>
      </c>
      <c r="AZ186" s="18">
        <f t="shared" si="679"/>
        <v>732.64267939558795</v>
      </c>
      <c r="BA186" s="18">
        <f t="shared" si="679"/>
        <v>359.9896225334146</v>
      </c>
      <c r="BB186" s="18">
        <f t="shared" si="679"/>
        <v>395.83162680645671</v>
      </c>
      <c r="BC186" s="18">
        <f t="shared" si="679"/>
        <v>755.82124933987131</v>
      </c>
      <c r="BD186" s="18">
        <f t="shared" si="679"/>
        <v>370.88339276588908</v>
      </c>
      <c r="BE186" s="18">
        <f t="shared" si="679"/>
        <v>406.50194087540513</v>
      </c>
      <c r="BF186" s="18">
        <f t="shared" si="679"/>
        <v>777.3853336412941</v>
      </c>
      <c r="BG186" s="18">
        <f t="shared" si="679"/>
        <v>380.53966368463972</v>
      </c>
      <c r="BH186" s="18">
        <f t="shared" si="679"/>
        <v>416.7255891492776</v>
      </c>
      <c r="BI186" s="18">
        <f t="shared" si="679"/>
        <v>797.26525283391743</v>
      </c>
      <c r="BJ186" s="18">
        <f t="shared" si="679"/>
        <v>390.49972318800366</v>
      </c>
      <c r="BK186" s="18">
        <f t="shared" si="679"/>
        <v>427.2740987111149</v>
      </c>
      <c r="BL186" s="18">
        <f t="shared" si="679"/>
        <v>817.7738218991185</v>
      </c>
      <c r="BM186" s="18">
        <f t="shared" si="679"/>
        <v>400.77342653951757</v>
      </c>
      <c r="BN186" s="18">
        <f t="shared" si="679"/>
        <v>438.13825535352663</v>
      </c>
      <c r="BO186" s="18">
        <f t="shared" si="679"/>
        <v>838.91168189304426</v>
      </c>
      <c r="BP186" s="18">
        <f t="shared" si="679"/>
        <v>411.37580978421914</v>
      </c>
      <c r="BQ186" s="18">
        <f t="shared" si="679"/>
        <v>449.37388234196237</v>
      </c>
      <c r="BR186" s="18">
        <f t="shared" si="679"/>
        <v>860.74969212618157</v>
      </c>
    </row>
    <row r="187" spans="1:70" outlineLevel="1">
      <c r="A187" s="67"/>
      <c r="B187" s="57"/>
      <c r="C187" s="60" t="s">
        <v>183</v>
      </c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62"/>
      <c r="T187" s="149">
        <f>-R186</f>
        <v>0</v>
      </c>
      <c r="U187" s="149">
        <f>-T186</f>
        <v>-210.40722891566261</v>
      </c>
      <c r="V187" s="149">
        <f>SUM(T187:U187)</f>
        <v>-210.40722891566261</v>
      </c>
      <c r="W187" s="149">
        <f>-U186</f>
        <v>-262.50543130990411</v>
      </c>
      <c r="X187" s="149">
        <f>-W186</f>
        <v>-229.49999999999994</v>
      </c>
      <c r="Y187" s="149">
        <f>SUM(W187:X187)</f>
        <v>-492.00543130990405</v>
      </c>
      <c r="Z187" s="149">
        <f>-X186</f>
        <v>-251.56849315068493</v>
      </c>
      <c r="AA187" s="149">
        <f>-Z186</f>
        <v>-221.54580152671758</v>
      </c>
      <c r="AB187" s="149">
        <f>SUM(Z187:AA187)</f>
        <v>-473.11429467740254</v>
      </c>
      <c r="AC187" s="149">
        <f>-AA186</f>
        <v>-255.33968253968249</v>
      </c>
      <c r="AD187" s="150">
        <f>-AC186</f>
        <v>-225.38202247191012</v>
      </c>
      <c r="AE187" s="149">
        <f>SUM(AC187:AD187)</f>
        <v>-480.72170501159258</v>
      </c>
      <c r="AF187" s="149">
        <f>-AD186</f>
        <v>-272.15634218289068</v>
      </c>
      <c r="AG187" s="956">
        <f>-AF186</f>
        <v>-242.93684210526317</v>
      </c>
      <c r="AH187" s="150">
        <f>SUM(AF187:AG187)</f>
        <v>-515.09318428815391</v>
      </c>
      <c r="AI187" s="150">
        <f>-AG186</f>
        <v>-284.39514936071464</v>
      </c>
      <c r="AJ187" s="150">
        <f>-AI186</f>
        <v>-269.31815981439684</v>
      </c>
      <c r="AK187" s="150">
        <f>SUM(AI187:AJ187)</f>
        <v>-553.71330917511148</v>
      </c>
      <c r="AL187" s="150">
        <f>-AJ186</f>
        <v>-312.85997967555585</v>
      </c>
      <c r="AM187" s="150">
        <f>-AL186</f>
        <v>-300.67703651568064</v>
      </c>
      <c r="AN187" s="150">
        <f>SUM(AL187:AM187)</f>
        <v>-613.53701619123649</v>
      </c>
      <c r="AO187" s="150">
        <f>-AM186</f>
        <v>-333.99062925458054</v>
      </c>
      <c r="AP187" s="150">
        <f>-AO186</f>
        <v>-315.7661780307663</v>
      </c>
      <c r="AQ187" s="150">
        <f>SUM(AO187:AP187)</f>
        <v>-649.75680728534689</v>
      </c>
      <c r="AR187" s="150">
        <f>-AP186</f>
        <v>-350.10009783699132</v>
      </c>
      <c r="AS187" s="150">
        <f>-AR186</f>
        <v>-326.32950288146338</v>
      </c>
      <c r="AT187" s="150">
        <f>SUM(AR187:AS187)</f>
        <v>-676.42960071845471</v>
      </c>
      <c r="AU187" s="150">
        <f>-AS186</f>
        <v>-361.11921063906453</v>
      </c>
      <c r="AV187" s="150">
        <f>-AU186</f>
        <v>-337.19447635302794</v>
      </c>
      <c r="AW187" s="150">
        <f>SUM(AU187:AV187)</f>
        <v>-698.31368699209247</v>
      </c>
      <c r="AX187" s="150">
        <f>-AV186</f>
        <v>-372.49252214728693</v>
      </c>
      <c r="AY187" s="150">
        <f>-AX186</f>
        <v>-348.41062612192115</v>
      </c>
      <c r="AZ187" s="150">
        <f>SUM(AX187:AY187)</f>
        <v>-720.90314826920803</v>
      </c>
      <c r="BA187" s="150">
        <f>-AY186</f>
        <v>-384.23205327366679</v>
      </c>
      <c r="BB187" s="150">
        <f>-BA186</f>
        <v>-359.9896225334146</v>
      </c>
      <c r="BC187" s="150">
        <f>SUM(BA187:BB187)</f>
        <v>-744.2216758070814</v>
      </c>
      <c r="BD187" s="150">
        <f>-BB186</f>
        <v>-395.83162680645671</v>
      </c>
      <c r="BE187" s="150">
        <f>-BD186</f>
        <v>-370.88339276588908</v>
      </c>
      <c r="BF187" s="150">
        <f>SUM(BD187:BE187)</f>
        <v>-766.7150195723458</v>
      </c>
      <c r="BG187" s="150">
        <f>-BE186</f>
        <v>-406.50194087540513</v>
      </c>
      <c r="BH187" s="150">
        <f>-BG186</f>
        <v>-380.53966368463972</v>
      </c>
      <c r="BI187" s="150">
        <f>SUM(BG187:BH187)</f>
        <v>-787.04160456004479</v>
      </c>
      <c r="BJ187" s="150">
        <f>-BH186</f>
        <v>-416.7255891492776</v>
      </c>
      <c r="BK187" s="150">
        <f>-BJ186</f>
        <v>-390.49972318800366</v>
      </c>
      <c r="BL187" s="150">
        <f>SUM(BJ187:BK187)</f>
        <v>-807.22531233728125</v>
      </c>
      <c r="BM187" s="150">
        <f>-BK186</f>
        <v>-427.2740987111149</v>
      </c>
      <c r="BN187" s="150">
        <f>-BM186</f>
        <v>-400.77342653951757</v>
      </c>
      <c r="BO187" s="150">
        <f>SUM(BM187:BN187)</f>
        <v>-828.04752525063248</v>
      </c>
      <c r="BP187" s="150">
        <f>-BN186</f>
        <v>-438.13825535352663</v>
      </c>
      <c r="BQ187" s="150">
        <f>-BP186</f>
        <v>-411.37580978421914</v>
      </c>
      <c r="BR187" s="150">
        <f>SUM(BP187:BQ187)</f>
        <v>-849.51406513774577</v>
      </c>
    </row>
    <row r="188" spans="1:70" outlineLevel="1">
      <c r="A188" s="57"/>
      <c r="B188" s="57"/>
      <c r="C188" s="55" t="s">
        <v>184</v>
      </c>
      <c r="D188" s="56" t="s">
        <v>239</v>
      </c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62"/>
      <c r="T188" s="158">
        <f>T189/T190</f>
        <v>0</v>
      </c>
      <c r="U188" s="158">
        <f t="shared" ref="U188:V188" si="680">U189/U190</f>
        <v>1.7764348633589817</v>
      </c>
      <c r="V188" s="158">
        <f t="shared" si="680"/>
        <v>1.7738618459242057</v>
      </c>
      <c r="W188" s="158">
        <f>W189/W190</f>
        <v>1.6602440087145973</v>
      </c>
      <c r="X188" s="158">
        <f t="shared" ref="X188:Y188" si="681">X189/X190</f>
        <v>1.3247684391080616</v>
      </c>
      <c r="Y188" s="158">
        <f t="shared" si="681"/>
        <v>1.3196407783136537</v>
      </c>
      <c r="Z188" s="158">
        <f>Z189/Z190</f>
        <v>1.0455986906710308</v>
      </c>
      <c r="AA188" s="158">
        <f t="shared" ref="AA188:AB188" si="682">AA189/AA190</f>
        <v>0.72848057986870896</v>
      </c>
      <c r="AB188" s="158">
        <f t="shared" si="682"/>
        <v>0.72749956978144881</v>
      </c>
      <c r="AC188" s="158">
        <f>AC189/AC190</f>
        <v>0.7285829552819183</v>
      </c>
      <c r="AD188" s="153">
        <f t="shared" ref="AD188:AE188" si="683">AD189/AD190</f>
        <v>0.76978731533367339</v>
      </c>
      <c r="AE188" s="158">
        <f t="shared" si="683"/>
        <v>0.77039405461458699</v>
      </c>
      <c r="AF188" s="158">
        <f>AF189/AF190</f>
        <v>0.82803002729754327</v>
      </c>
      <c r="AG188" s="957">
        <f t="shared" ref="AG188:BR188" si="684">AG189/AG190</f>
        <v>0.97994828630462916</v>
      </c>
      <c r="AH188" s="153">
        <f t="shared" si="684"/>
        <v>0.97994828630462916</v>
      </c>
      <c r="AI188" s="153">
        <f t="shared" si="684"/>
        <v>1.0536077695024888</v>
      </c>
      <c r="AJ188" s="153">
        <f t="shared" si="684"/>
        <v>1.2191307950718047</v>
      </c>
      <c r="AK188" s="153">
        <f t="shared" si="684"/>
        <v>1.2191307950718047</v>
      </c>
      <c r="AL188" s="153">
        <f t="shared" si="684"/>
        <v>1.3049594746009656</v>
      </c>
      <c r="AM188" s="153">
        <f t="shared" si="684"/>
        <v>1.469725432841849</v>
      </c>
      <c r="AN188" s="153">
        <f t="shared" si="684"/>
        <v>1.469725432841849</v>
      </c>
      <c r="AO188" s="153">
        <f t="shared" si="684"/>
        <v>1.5549906844711185</v>
      </c>
      <c r="AP188" s="153">
        <f t="shared" si="684"/>
        <v>1.7267934575745001</v>
      </c>
      <c r="AQ188" s="153">
        <f t="shared" si="684"/>
        <v>1.7267934575745001</v>
      </c>
      <c r="AR188" s="153">
        <f t="shared" si="684"/>
        <v>1.8105273518702429</v>
      </c>
      <c r="AS188" s="153">
        <f t="shared" si="684"/>
        <v>1.9869343411176996</v>
      </c>
      <c r="AT188" s="153">
        <f t="shared" si="684"/>
        <v>1.9869343411176996</v>
      </c>
      <c r="AU188" s="153">
        <f t="shared" si="684"/>
        <v>2.0738856401490549</v>
      </c>
      <c r="AV188" s="153">
        <f t="shared" si="684"/>
        <v>2.2550775677955697</v>
      </c>
      <c r="AW188" s="153">
        <f t="shared" si="684"/>
        <v>2.2550775677955697</v>
      </c>
      <c r="AX188" s="153">
        <f t="shared" si="684"/>
        <v>2.3453519561876126</v>
      </c>
      <c r="AY188" s="153">
        <f t="shared" si="684"/>
        <v>2.5314817526463482</v>
      </c>
      <c r="AZ188" s="153">
        <f t="shared" si="684"/>
        <v>2.5314817526463482</v>
      </c>
      <c r="BA188" s="153">
        <f t="shared" si="684"/>
        <v>2.6251882111804217</v>
      </c>
      <c r="BB188" s="153">
        <f t="shared" si="684"/>
        <v>2.815768247642878</v>
      </c>
      <c r="BC188" s="153">
        <f t="shared" si="684"/>
        <v>2.815768247642878</v>
      </c>
      <c r="BD188" s="153">
        <f t="shared" si="684"/>
        <v>2.9122246553848354</v>
      </c>
      <c r="BE188" s="153">
        <f t="shared" si="684"/>
        <v>3.1066891285280418</v>
      </c>
      <c r="BF188" s="153">
        <f t="shared" si="684"/>
        <v>3.1066891285280418</v>
      </c>
      <c r="BG188" s="153">
        <f t="shared" si="684"/>
        <v>3.2052477198858718</v>
      </c>
      <c r="BH188" s="153">
        <f t="shared" si="684"/>
        <v>3.4041087954526073</v>
      </c>
      <c r="BI188" s="153">
        <f t="shared" si="684"/>
        <v>3.4041087954526073</v>
      </c>
      <c r="BJ188" s="153">
        <f t="shared" si="684"/>
        <v>3.5055112334041043</v>
      </c>
      <c r="BK188" s="153">
        <f t="shared" si="684"/>
        <v>3.7089112438937217</v>
      </c>
      <c r="BL188" s="153">
        <f t="shared" si="684"/>
        <v>3.7089112438937217</v>
      </c>
      <c r="BM188" s="153">
        <f t="shared" si="684"/>
        <v>3.8132445629366178</v>
      </c>
      <c r="BN188" s="153">
        <f t="shared" si="684"/>
        <v>4.0213058542943125</v>
      </c>
      <c r="BO188" s="153">
        <f t="shared" si="684"/>
        <v>4.0213058542943125</v>
      </c>
      <c r="BP188" s="153">
        <f t="shared" si="684"/>
        <v>4.1286826646278447</v>
      </c>
      <c r="BQ188" s="153">
        <f t="shared" si="684"/>
        <v>4.3415841320313335</v>
      </c>
      <c r="BR188" s="153">
        <f t="shared" si="684"/>
        <v>4.3415841320313335</v>
      </c>
    </row>
    <row r="189" spans="1:70" outlineLevel="1">
      <c r="A189" s="67"/>
      <c r="B189" s="57"/>
      <c r="C189" s="60" t="s">
        <v>185</v>
      </c>
      <c r="D189" s="58" t="s">
        <v>58</v>
      </c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62"/>
      <c r="T189" s="26">
        <f t="shared" ref="T189:AE189" si="685">T56</f>
        <v>0</v>
      </c>
      <c r="U189" s="26">
        <f t="shared" si="685"/>
        <v>2139.1</v>
      </c>
      <c r="V189" s="26">
        <f t="shared" si="685"/>
        <v>2139.1</v>
      </c>
      <c r="W189" s="26">
        <f t="shared" si="685"/>
        <v>2005.4</v>
      </c>
      <c r="X189" s="26">
        <f t="shared" si="685"/>
        <v>1586.9999999999998</v>
      </c>
      <c r="Y189" s="26">
        <f t="shared" si="685"/>
        <v>1586.9999999999998</v>
      </c>
      <c r="Z189" s="26">
        <f t="shared" si="685"/>
        <v>1219.1999999999998</v>
      </c>
      <c r="AA189" s="26">
        <f t="shared" si="685"/>
        <v>845.49999999999989</v>
      </c>
      <c r="AB189" s="26">
        <f t="shared" si="685"/>
        <v>845.49999999999989</v>
      </c>
      <c r="AC189" s="26">
        <f t="shared" si="685"/>
        <v>842.09999999999991</v>
      </c>
      <c r="AD189" s="18">
        <f t="shared" si="685"/>
        <v>891.50000000000011</v>
      </c>
      <c r="AE189" s="26">
        <f t="shared" si="685"/>
        <v>891.50000000000011</v>
      </c>
      <c r="AF189" s="26">
        <f t="shared" ref="AF189" si="686">AF56</f>
        <v>957.90000000000009</v>
      </c>
      <c r="AG189" s="933">
        <f t="shared" ref="AG189:BR189" si="687">AG56</f>
        <v>1134.9182882491295</v>
      </c>
      <c r="AH189" s="18">
        <f t="shared" si="687"/>
        <v>1134.9182882491295</v>
      </c>
      <c r="AI189" s="18">
        <f t="shared" si="687"/>
        <v>1220.2263557793819</v>
      </c>
      <c r="AJ189" s="18">
        <f t="shared" si="687"/>
        <v>1411.925358135255</v>
      </c>
      <c r="AK189" s="18">
        <f t="shared" si="687"/>
        <v>1411.925358135255</v>
      </c>
      <c r="AL189" s="18">
        <f t="shared" si="687"/>
        <v>1511.3270708738371</v>
      </c>
      <c r="AM189" s="18">
        <f t="shared" si="687"/>
        <v>1702.1492825168918</v>
      </c>
      <c r="AN189" s="18">
        <f t="shared" si="687"/>
        <v>1702.1492825168918</v>
      </c>
      <c r="AO189" s="18">
        <f t="shared" si="687"/>
        <v>1800.8984663040658</v>
      </c>
      <c r="AP189" s="18">
        <f t="shared" si="687"/>
        <v>1999.8703017487892</v>
      </c>
      <c r="AQ189" s="18">
        <f t="shared" si="687"/>
        <v>1999.8703017487892</v>
      </c>
      <c r="AR189" s="18">
        <f t="shared" si="687"/>
        <v>2096.8459578223551</v>
      </c>
      <c r="AS189" s="18">
        <f t="shared" si="687"/>
        <v>2301.1501247563938</v>
      </c>
      <c r="AT189" s="18">
        <f t="shared" si="687"/>
        <v>2301.1501247563938</v>
      </c>
      <c r="AU189" s="18">
        <f t="shared" si="687"/>
        <v>2401.8519891678666</v>
      </c>
      <c r="AV189" s="18">
        <f t="shared" si="687"/>
        <v>2611.6977894443289</v>
      </c>
      <c r="AW189" s="18">
        <f t="shared" si="687"/>
        <v>2611.6977894443289</v>
      </c>
      <c r="AX189" s="18">
        <f t="shared" si="687"/>
        <v>2716.2482598910779</v>
      </c>
      <c r="AY189" s="18">
        <f t="shared" si="687"/>
        <v>2931.8128084915948</v>
      </c>
      <c r="AZ189" s="18">
        <f t="shared" si="687"/>
        <v>2931.8128084915948</v>
      </c>
      <c r="BA189" s="18">
        <f t="shared" si="687"/>
        <v>3040.3381000847048</v>
      </c>
      <c r="BB189" s="18">
        <f t="shared" si="687"/>
        <v>3261.0566540933705</v>
      </c>
      <c r="BC189" s="18">
        <f t="shared" si="687"/>
        <v>3261.0566540933705</v>
      </c>
      <c r="BD189" s="18">
        <f t="shared" si="687"/>
        <v>3372.7667746120487</v>
      </c>
      <c r="BE189" s="18">
        <f t="shared" si="687"/>
        <v>3597.9840540025953</v>
      </c>
      <c r="BF189" s="18">
        <f t="shared" si="687"/>
        <v>3597.9840540025953</v>
      </c>
      <c r="BG189" s="18">
        <f t="shared" si="687"/>
        <v>3712.1287995563439</v>
      </c>
      <c r="BH189" s="18">
        <f t="shared" si="687"/>
        <v>3942.4379644742785</v>
      </c>
      <c r="BI189" s="18">
        <f t="shared" si="687"/>
        <v>3942.4379644742785</v>
      </c>
      <c r="BJ189" s="18">
        <f t="shared" si="687"/>
        <v>4059.8762853658632</v>
      </c>
      <c r="BK189" s="18">
        <f t="shared" si="687"/>
        <v>4295.4421769143191</v>
      </c>
      <c r="BL189" s="18">
        <f t="shared" si="687"/>
        <v>4295.4421769143191</v>
      </c>
      <c r="BM189" s="18">
        <f t="shared" si="687"/>
        <v>4416.2748713639776</v>
      </c>
      <c r="BN189" s="18">
        <f t="shared" si="687"/>
        <v>4657.2391833982701</v>
      </c>
      <c r="BO189" s="18">
        <f t="shared" si="687"/>
        <v>4657.2391833982701</v>
      </c>
      <c r="BP189" s="18">
        <f t="shared" si="687"/>
        <v>4781.5966698947568</v>
      </c>
      <c r="BQ189" s="18">
        <f t="shared" si="687"/>
        <v>5028.1665882549005</v>
      </c>
      <c r="BR189" s="18">
        <f t="shared" si="687"/>
        <v>5028.1665882549005</v>
      </c>
    </row>
    <row r="190" spans="1:70" outlineLevel="1">
      <c r="A190" s="67"/>
      <c r="B190" s="57"/>
      <c r="C190" s="60" t="s">
        <v>186</v>
      </c>
      <c r="D190" s="58" t="s">
        <v>181</v>
      </c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62"/>
      <c r="T190" s="26">
        <f t="shared" ref="T190:AN190" si="688">T173</f>
        <v>1209.2369477911645</v>
      </c>
      <c r="U190" s="26">
        <f t="shared" si="688"/>
        <v>1204.1533546325875</v>
      </c>
      <c r="V190" s="26">
        <f t="shared" si="688"/>
        <v>1205.9000000000001</v>
      </c>
      <c r="W190" s="26">
        <f t="shared" si="688"/>
        <v>1207.894736842105</v>
      </c>
      <c r="X190" s="26">
        <f t="shared" si="688"/>
        <v>1197.9452054794519</v>
      </c>
      <c r="Y190" s="26">
        <f t="shared" si="688"/>
        <v>1202.5999999999999</v>
      </c>
      <c r="Z190" s="26">
        <f t="shared" si="688"/>
        <v>1166.0305343511452</v>
      </c>
      <c r="AA190" s="26">
        <f t="shared" si="688"/>
        <v>1160.6349206349205</v>
      </c>
      <c r="AB190" s="26">
        <f t="shared" si="688"/>
        <v>1162.2</v>
      </c>
      <c r="AC190" s="26">
        <f t="shared" si="688"/>
        <v>1155.8052434456929</v>
      </c>
      <c r="AD190" s="18">
        <f t="shared" si="688"/>
        <v>1158.1120943952797</v>
      </c>
      <c r="AE190" s="26">
        <f t="shared" si="688"/>
        <v>1157.2</v>
      </c>
      <c r="AF190" s="26">
        <f t="shared" ref="AF190" si="689">AF173</f>
        <v>1156.8421052631579</v>
      </c>
      <c r="AG190" s="933">
        <f t="shared" si="688"/>
        <v>1158.1410000000001</v>
      </c>
      <c r="AH190" s="18">
        <f t="shared" si="688"/>
        <v>1158.1410000000001</v>
      </c>
      <c r="AI190" s="18">
        <f t="shared" si="688"/>
        <v>1158.1410000000001</v>
      </c>
      <c r="AJ190" s="18">
        <f t="shared" si="688"/>
        <v>1158.1410000000001</v>
      </c>
      <c r="AK190" s="18">
        <f t="shared" si="688"/>
        <v>1158.1410000000001</v>
      </c>
      <c r="AL190" s="18">
        <f t="shared" si="688"/>
        <v>1158.1410000000001</v>
      </c>
      <c r="AM190" s="18">
        <f t="shared" si="688"/>
        <v>1158.1410000000001</v>
      </c>
      <c r="AN190" s="18">
        <f t="shared" si="688"/>
        <v>1158.1410000000001</v>
      </c>
      <c r="AO190" s="18">
        <f t="shared" ref="AO190:BR190" si="690">AO173</f>
        <v>1158.1410000000001</v>
      </c>
      <c r="AP190" s="18">
        <f t="shared" si="690"/>
        <v>1158.1410000000001</v>
      </c>
      <c r="AQ190" s="18">
        <f t="shared" si="690"/>
        <v>1158.1410000000001</v>
      </c>
      <c r="AR190" s="18">
        <f t="shared" si="690"/>
        <v>1158.1410000000001</v>
      </c>
      <c r="AS190" s="18">
        <f t="shared" si="690"/>
        <v>1158.1410000000001</v>
      </c>
      <c r="AT190" s="18">
        <f t="shared" si="690"/>
        <v>1158.1410000000001</v>
      </c>
      <c r="AU190" s="18">
        <f t="shared" si="690"/>
        <v>1158.1410000000001</v>
      </c>
      <c r="AV190" s="18">
        <f t="shared" si="690"/>
        <v>1158.1410000000001</v>
      </c>
      <c r="AW190" s="18">
        <f t="shared" si="690"/>
        <v>1158.1410000000001</v>
      </c>
      <c r="AX190" s="18">
        <f t="shared" si="690"/>
        <v>1158.1410000000001</v>
      </c>
      <c r="AY190" s="18">
        <f t="shared" si="690"/>
        <v>1158.1410000000001</v>
      </c>
      <c r="AZ190" s="18">
        <f t="shared" si="690"/>
        <v>1158.1410000000001</v>
      </c>
      <c r="BA190" s="18">
        <f t="shared" si="690"/>
        <v>1158.1410000000001</v>
      </c>
      <c r="BB190" s="18">
        <f t="shared" si="690"/>
        <v>1158.1410000000001</v>
      </c>
      <c r="BC190" s="18">
        <f t="shared" si="690"/>
        <v>1158.1410000000001</v>
      </c>
      <c r="BD190" s="18">
        <f t="shared" si="690"/>
        <v>1158.1410000000001</v>
      </c>
      <c r="BE190" s="18">
        <f t="shared" si="690"/>
        <v>1158.1410000000001</v>
      </c>
      <c r="BF190" s="18">
        <f t="shared" si="690"/>
        <v>1158.1410000000001</v>
      </c>
      <c r="BG190" s="18">
        <f t="shared" si="690"/>
        <v>1158.1410000000001</v>
      </c>
      <c r="BH190" s="18">
        <f t="shared" si="690"/>
        <v>1158.1410000000001</v>
      </c>
      <c r="BI190" s="18">
        <f t="shared" si="690"/>
        <v>1158.1410000000001</v>
      </c>
      <c r="BJ190" s="18">
        <f t="shared" si="690"/>
        <v>1158.1410000000001</v>
      </c>
      <c r="BK190" s="18">
        <f t="shared" si="690"/>
        <v>1158.1410000000001</v>
      </c>
      <c r="BL190" s="18">
        <f t="shared" si="690"/>
        <v>1158.1410000000001</v>
      </c>
      <c r="BM190" s="18">
        <f t="shared" si="690"/>
        <v>1158.1410000000001</v>
      </c>
      <c r="BN190" s="18">
        <f t="shared" si="690"/>
        <v>1158.1410000000001</v>
      </c>
      <c r="BO190" s="18">
        <f t="shared" si="690"/>
        <v>1158.1410000000001</v>
      </c>
      <c r="BP190" s="18">
        <f t="shared" si="690"/>
        <v>1158.1410000000001</v>
      </c>
      <c r="BQ190" s="18">
        <f t="shared" si="690"/>
        <v>1158.1410000000001</v>
      </c>
      <c r="BR190" s="18">
        <f t="shared" si="690"/>
        <v>1158.1410000000001</v>
      </c>
    </row>
    <row r="191" spans="1:70" outlineLevel="1">
      <c r="A191" s="57"/>
      <c r="B191" s="57"/>
      <c r="C191" s="55" t="s">
        <v>187</v>
      </c>
      <c r="D191" s="56" t="s">
        <v>239</v>
      </c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62"/>
      <c r="T191" s="881">
        <f t="shared" ref="T191:V191" si="691">T192/T193</f>
        <v>0</v>
      </c>
      <c r="U191" s="881">
        <f t="shared" si="691"/>
        <v>0.11834074344174213</v>
      </c>
      <c r="V191" s="881">
        <f t="shared" si="691"/>
        <v>0.11834074344174213</v>
      </c>
      <c r="W191" s="881">
        <f t="shared" ref="W191:Y191" si="692">W192/W193</f>
        <v>0.11063367821759727</v>
      </c>
      <c r="X191" s="881">
        <f t="shared" si="692"/>
        <v>-0.21863612701717774</v>
      </c>
      <c r="Y191" s="881">
        <f t="shared" si="692"/>
        <v>-0.21863612701717774</v>
      </c>
      <c r="Z191" s="881">
        <f t="shared" ref="Z191:AB191" si="693">Z192/Z193</f>
        <v>-0.587579577961579</v>
      </c>
      <c r="AA191" s="881">
        <f t="shared" si="693"/>
        <v>-1.0850146916480807</v>
      </c>
      <c r="AB191" s="881">
        <f t="shared" si="693"/>
        <v>-1.0850146916480807</v>
      </c>
      <c r="AC191" s="881">
        <f t="shared" ref="AC191:AE191" si="694">AC192/AC193</f>
        <v>-1.2145326000892804</v>
      </c>
      <c r="AD191" s="882">
        <f t="shared" si="694"/>
        <v>-1.3105485428803589</v>
      </c>
      <c r="AE191" s="881">
        <f t="shared" si="694"/>
        <v>-1.3105485428803589</v>
      </c>
      <c r="AF191" s="881">
        <f t="shared" ref="AF191" si="695">AF192/AF193</f>
        <v>-1.274628909605998</v>
      </c>
      <c r="AG191" s="959">
        <f t="shared" ref="AG191:BR191" si="696">AG192/AG193</f>
        <v>-1.1217819866068728</v>
      </c>
      <c r="AH191" s="882">
        <f t="shared" si="696"/>
        <v>-1.1217819866068728</v>
      </c>
      <c r="AI191" s="882">
        <f t="shared" si="696"/>
        <v>-1.0481225034090154</v>
      </c>
      <c r="AJ191" s="882">
        <f t="shared" si="696"/>
        <v>-0.88259947783969883</v>
      </c>
      <c r="AK191" s="882">
        <f t="shared" si="696"/>
        <v>-0.88259947783969883</v>
      </c>
      <c r="AL191" s="882">
        <f t="shared" si="696"/>
        <v>-0.79677079831053765</v>
      </c>
      <c r="AM191" s="882">
        <f t="shared" si="696"/>
        <v>-0.63200484006965318</v>
      </c>
      <c r="AN191" s="882">
        <f t="shared" si="696"/>
        <v>-0.63200484006965318</v>
      </c>
      <c r="AO191" s="882">
        <f t="shared" si="696"/>
        <v>-0.54673958844038439</v>
      </c>
      <c r="AP191" s="882">
        <f t="shared" si="696"/>
        <v>-0.37493681533700307</v>
      </c>
      <c r="AQ191" s="882">
        <f t="shared" si="696"/>
        <v>-0.37493681533700146</v>
      </c>
      <c r="AR191" s="882">
        <f t="shared" si="696"/>
        <v>-0.29120292104125944</v>
      </c>
      <c r="AS191" s="882">
        <f t="shared" si="696"/>
        <v>-0.11479593179380319</v>
      </c>
      <c r="AT191" s="882">
        <f t="shared" si="696"/>
        <v>-0.11479593179380319</v>
      </c>
      <c r="AU191" s="882">
        <f t="shared" si="696"/>
        <v>-2.7844632762449136E-2</v>
      </c>
      <c r="AV191" s="882">
        <f t="shared" si="696"/>
        <v>0.15334729488406687</v>
      </c>
      <c r="AW191" s="882">
        <f t="shared" si="696"/>
        <v>0.15334729488406687</v>
      </c>
      <c r="AX191" s="882">
        <f t="shared" si="696"/>
        <v>0.24362168327611014</v>
      </c>
      <c r="AY191" s="882">
        <f t="shared" si="696"/>
        <v>0.42975147973484606</v>
      </c>
      <c r="AZ191" s="882">
        <f t="shared" si="696"/>
        <v>0.42975147973484606</v>
      </c>
      <c r="BA191" s="882">
        <f t="shared" si="696"/>
        <v>0.52345793826891884</v>
      </c>
      <c r="BB191" s="882">
        <f t="shared" si="696"/>
        <v>0.7140379747313752</v>
      </c>
      <c r="BC191" s="882">
        <f t="shared" si="696"/>
        <v>0.7140379747313752</v>
      </c>
      <c r="BD191" s="882">
        <f t="shared" si="696"/>
        <v>0.81049438247333261</v>
      </c>
      <c r="BE191" s="882">
        <f t="shared" si="696"/>
        <v>1.0049588556165401</v>
      </c>
      <c r="BF191" s="882">
        <f t="shared" si="696"/>
        <v>1.0049588556165401</v>
      </c>
      <c r="BG191" s="882">
        <f t="shared" si="696"/>
        <v>1.1035174469743689</v>
      </c>
      <c r="BH191" s="882">
        <f t="shared" si="696"/>
        <v>1.3023785225411046</v>
      </c>
      <c r="BI191" s="882">
        <f t="shared" si="696"/>
        <v>1.3023785225411046</v>
      </c>
      <c r="BJ191" s="882">
        <f t="shared" si="696"/>
        <v>1.4037809604926028</v>
      </c>
      <c r="BK191" s="882">
        <f t="shared" si="696"/>
        <v>1.6071809709822207</v>
      </c>
      <c r="BL191" s="882">
        <f t="shared" si="696"/>
        <v>1.6071809709822207</v>
      </c>
      <c r="BM191" s="882">
        <f t="shared" si="696"/>
        <v>1.7115142900251166</v>
      </c>
      <c r="BN191" s="882">
        <f t="shared" si="696"/>
        <v>1.9195755813828117</v>
      </c>
      <c r="BO191" s="882">
        <f t="shared" si="696"/>
        <v>1.9195755813828117</v>
      </c>
      <c r="BP191" s="882">
        <f t="shared" si="696"/>
        <v>2.0269523917163426</v>
      </c>
      <c r="BQ191" s="882">
        <f t="shared" si="696"/>
        <v>2.2398538591198305</v>
      </c>
      <c r="BR191" s="882">
        <f t="shared" si="696"/>
        <v>2.2398538591198305</v>
      </c>
    </row>
    <row r="192" spans="1:70" outlineLevel="1">
      <c r="A192" s="67"/>
      <c r="B192" s="57"/>
      <c r="C192" s="60" t="s">
        <v>188</v>
      </c>
      <c r="D192" s="58" t="s">
        <v>58</v>
      </c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62"/>
      <c r="T192" s="171">
        <f t="shared" ref="T192:AE192" si="697">T50-T31</f>
        <v>0</v>
      </c>
      <c r="U192" s="171">
        <f t="shared" si="697"/>
        <v>142.79999999999859</v>
      </c>
      <c r="V192" s="171">
        <f t="shared" si="697"/>
        <v>142.79999999999859</v>
      </c>
      <c r="W192" s="171">
        <f t="shared" si="697"/>
        <v>133.50000000000136</v>
      </c>
      <c r="X192" s="171">
        <f t="shared" si="697"/>
        <v>-258.29999999999905</v>
      </c>
      <c r="Y192" s="171">
        <f t="shared" si="697"/>
        <v>-258.29999999999905</v>
      </c>
      <c r="Z192" s="171">
        <f t="shared" si="697"/>
        <v>-680.50000000000114</v>
      </c>
      <c r="AA192" s="171">
        <f t="shared" si="697"/>
        <v>-1256.5999999999999</v>
      </c>
      <c r="AB192" s="171">
        <f t="shared" si="697"/>
        <v>-1256.5999999999999</v>
      </c>
      <c r="AC192" s="171">
        <f t="shared" si="697"/>
        <v>-1406.5999999999995</v>
      </c>
      <c r="AD192" s="347">
        <f t="shared" si="697"/>
        <v>-1517.800000000002</v>
      </c>
      <c r="AE192" s="171">
        <f t="shared" si="697"/>
        <v>-1517.800000000002</v>
      </c>
      <c r="AF192" s="171">
        <f t="shared" ref="AF192" si="698">AF50-AF31</f>
        <v>-1476.2000000000003</v>
      </c>
      <c r="AG192" s="937">
        <f t="shared" ref="AG192:BR192" si="699">AG50-AG31</f>
        <v>-1299.1817117508704</v>
      </c>
      <c r="AH192" s="347">
        <f t="shared" si="699"/>
        <v>-1299.1817117508704</v>
      </c>
      <c r="AI192" s="347">
        <f t="shared" si="699"/>
        <v>-1213.8736442206205</v>
      </c>
      <c r="AJ192" s="347">
        <f t="shared" si="699"/>
        <v>-1022.1746418647467</v>
      </c>
      <c r="AK192" s="347">
        <f t="shared" si="699"/>
        <v>-1022.1746418647467</v>
      </c>
      <c r="AL192" s="347">
        <f t="shared" si="699"/>
        <v>-922.7729291261644</v>
      </c>
      <c r="AM192" s="347">
        <f t="shared" si="699"/>
        <v>-731.95071748310829</v>
      </c>
      <c r="AN192" s="347">
        <f t="shared" si="699"/>
        <v>-731.95071748310829</v>
      </c>
      <c r="AO192" s="347">
        <f t="shared" si="699"/>
        <v>-633.20153369593527</v>
      </c>
      <c r="AP192" s="347">
        <f t="shared" si="699"/>
        <v>-434.22969825121208</v>
      </c>
      <c r="AQ192" s="347">
        <f t="shared" si="699"/>
        <v>-434.22969825121027</v>
      </c>
      <c r="AR192" s="347">
        <f t="shared" si="699"/>
        <v>-337.25404217764526</v>
      </c>
      <c r="AS192" s="347">
        <f t="shared" si="699"/>
        <v>-132.94987524360704</v>
      </c>
      <c r="AT192" s="347">
        <f t="shared" si="699"/>
        <v>-132.94987524360704</v>
      </c>
      <c r="AU192" s="347">
        <f t="shared" si="699"/>
        <v>-32.248010832135606</v>
      </c>
      <c r="AV192" s="347">
        <f t="shared" si="699"/>
        <v>177.5977894443281</v>
      </c>
      <c r="AW192" s="347">
        <f t="shared" si="699"/>
        <v>177.5977894443281</v>
      </c>
      <c r="AX192" s="347">
        <f t="shared" si="699"/>
        <v>282.14825989107749</v>
      </c>
      <c r="AY192" s="347">
        <f t="shared" si="699"/>
        <v>497.71280849159439</v>
      </c>
      <c r="AZ192" s="347">
        <f t="shared" si="699"/>
        <v>497.71280849159439</v>
      </c>
      <c r="BA192" s="347">
        <f t="shared" si="699"/>
        <v>606.238100084704</v>
      </c>
      <c r="BB192" s="347">
        <f t="shared" si="699"/>
        <v>826.95665409336971</v>
      </c>
      <c r="BC192" s="347">
        <f t="shared" si="699"/>
        <v>826.95665409336971</v>
      </c>
      <c r="BD192" s="347">
        <f t="shared" si="699"/>
        <v>938.6667746120479</v>
      </c>
      <c r="BE192" s="347">
        <f t="shared" si="699"/>
        <v>1163.8840540025953</v>
      </c>
      <c r="BF192" s="347">
        <f t="shared" si="699"/>
        <v>1163.8840540025953</v>
      </c>
      <c r="BG192" s="347">
        <f t="shared" si="699"/>
        <v>1278.0287995563426</v>
      </c>
      <c r="BH192" s="347">
        <f t="shared" si="699"/>
        <v>1508.3379644742777</v>
      </c>
      <c r="BI192" s="347">
        <f t="shared" si="699"/>
        <v>1508.3379644742777</v>
      </c>
      <c r="BJ192" s="347">
        <f t="shared" si="699"/>
        <v>1625.7762853658637</v>
      </c>
      <c r="BK192" s="347">
        <f t="shared" si="699"/>
        <v>1861.3421769143201</v>
      </c>
      <c r="BL192" s="347">
        <f t="shared" si="699"/>
        <v>1861.3421769143201</v>
      </c>
      <c r="BM192" s="347">
        <f t="shared" si="699"/>
        <v>1982.1748713639786</v>
      </c>
      <c r="BN192" s="347">
        <f t="shared" si="699"/>
        <v>2223.1391833982711</v>
      </c>
      <c r="BO192" s="347">
        <f t="shared" si="699"/>
        <v>2223.1391833982711</v>
      </c>
      <c r="BP192" s="347">
        <f t="shared" si="699"/>
        <v>2347.4966698947569</v>
      </c>
      <c r="BQ192" s="347">
        <f t="shared" si="699"/>
        <v>2594.0665882548997</v>
      </c>
      <c r="BR192" s="347">
        <f t="shared" si="699"/>
        <v>2594.0665882548997</v>
      </c>
    </row>
    <row r="193" spans="1:70" outlineLevel="1">
      <c r="A193" s="67"/>
      <c r="B193" s="57"/>
      <c r="C193" s="60" t="s">
        <v>186</v>
      </c>
      <c r="D193" s="58" t="s">
        <v>181</v>
      </c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62"/>
      <c r="T193" s="171">
        <f t="shared" ref="T193:AN193" si="700">T172</f>
        <v>1206.684923</v>
      </c>
      <c r="U193" s="171">
        <f t="shared" si="700"/>
        <v>1206.6849999999999</v>
      </c>
      <c r="V193" s="171">
        <f t="shared" si="700"/>
        <v>1206.6849999999999</v>
      </c>
      <c r="W193" s="171">
        <f t="shared" si="700"/>
        <v>1206.6849999999999</v>
      </c>
      <c r="X193" s="171">
        <f t="shared" si="700"/>
        <v>1181.415</v>
      </c>
      <c r="Y193" s="171">
        <f t="shared" si="700"/>
        <v>1181.415</v>
      </c>
      <c r="Z193" s="171">
        <f t="shared" si="700"/>
        <v>1158.1410000000001</v>
      </c>
      <c r="AA193" s="171">
        <f t="shared" si="700"/>
        <v>1158.1410000000001</v>
      </c>
      <c r="AB193" s="171">
        <f t="shared" si="700"/>
        <v>1158.1410000000001</v>
      </c>
      <c r="AC193" s="171">
        <f t="shared" si="700"/>
        <v>1158.1410000000001</v>
      </c>
      <c r="AD193" s="347">
        <f t="shared" si="700"/>
        <v>1158.1410000000001</v>
      </c>
      <c r="AE193" s="171">
        <f t="shared" si="700"/>
        <v>1158.1410000000001</v>
      </c>
      <c r="AF193" s="171">
        <f t="shared" ref="AF193" si="701">AF172</f>
        <v>1158.1410000000001</v>
      </c>
      <c r="AG193" s="937">
        <f t="shared" si="700"/>
        <v>1158.1410000000001</v>
      </c>
      <c r="AH193" s="347">
        <f t="shared" si="700"/>
        <v>1158.1410000000001</v>
      </c>
      <c r="AI193" s="347">
        <f t="shared" si="700"/>
        <v>1158.1410000000001</v>
      </c>
      <c r="AJ193" s="347">
        <f t="shared" si="700"/>
        <v>1158.1410000000001</v>
      </c>
      <c r="AK193" s="347">
        <f t="shared" si="700"/>
        <v>1158.1410000000001</v>
      </c>
      <c r="AL193" s="347">
        <f t="shared" si="700"/>
        <v>1158.1410000000001</v>
      </c>
      <c r="AM193" s="347">
        <f t="shared" si="700"/>
        <v>1158.1410000000001</v>
      </c>
      <c r="AN193" s="347">
        <f t="shared" si="700"/>
        <v>1158.1410000000001</v>
      </c>
      <c r="AO193" s="347">
        <f t="shared" ref="AO193:BR193" si="702">AO172</f>
        <v>1158.1410000000001</v>
      </c>
      <c r="AP193" s="347">
        <f t="shared" si="702"/>
        <v>1158.1410000000001</v>
      </c>
      <c r="AQ193" s="347">
        <f t="shared" si="702"/>
        <v>1158.1410000000001</v>
      </c>
      <c r="AR193" s="347">
        <f t="shared" si="702"/>
        <v>1158.1410000000001</v>
      </c>
      <c r="AS193" s="347">
        <f t="shared" si="702"/>
        <v>1158.1410000000001</v>
      </c>
      <c r="AT193" s="347">
        <f t="shared" si="702"/>
        <v>1158.1410000000001</v>
      </c>
      <c r="AU193" s="347">
        <f t="shared" si="702"/>
        <v>1158.1410000000001</v>
      </c>
      <c r="AV193" s="347">
        <f t="shared" si="702"/>
        <v>1158.1410000000001</v>
      </c>
      <c r="AW193" s="347">
        <f t="shared" si="702"/>
        <v>1158.1410000000001</v>
      </c>
      <c r="AX193" s="347">
        <f t="shared" si="702"/>
        <v>1158.1410000000001</v>
      </c>
      <c r="AY193" s="347">
        <f t="shared" si="702"/>
        <v>1158.1410000000001</v>
      </c>
      <c r="AZ193" s="347">
        <f t="shared" si="702"/>
        <v>1158.1410000000001</v>
      </c>
      <c r="BA193" s="347">
        <f t="shared" si="702"/>
        <v>1158.1410000000001</v>
      </c>
      <c r="BB193" s="347">
        <f t="shared" si="702"/>
        <v>1158.1410000000001</v>
      </c>
      <c r="BC193" s="347">
        <f t="shared" si="702"/>
        <v>1158.1410000000001</v>
      </c>
      <c r="BD193" s="347">
        <f t="shared" si="702"/>
        <v>1158.1410000000001</v>
      </c>
      <c r="BE193" s="347">
        <f t="shared" si="702"/>
        <v>1158.1410000000001</v>
      </c>
      <c r="BF193" s="347">
        <f t="shared" si="702"/>
        <v>1158.1410000000001</v>
      </c>
      <c r="BG193" s="347">
        <f t="shared" si="702"/>
        <v>1158.1410000000001</v>
      </c>
      <c r="BH193" s="347">
        <f t="shared" si="702"/>
        <v>1158.1410000000001</v>
      </c>
      <c r="BI193" s="347">
        <f t="shared" si="702"/>
        <v>1158.1410000000001</v>
      </c>
      <c r="BJ193" s="347">
        <f t="shared" si="702"/>
        <v>1158.1410000000001</v>
      </c>
      <c r="BK193" s="347">
        <f t="shared" si="702"/>
        <v>1158.1410000000001</v>
      </c>
      <c r="BL193" s="347">
        <f t="shared" si="702"/>
        <v>1158.1410000000001</v>
      </c>
      <c r="BM193" s="347">
        <f t="shared" si="702"/>
        <v>1158.1410000000001</v>
      </c>
      <c r="BN193" s="347">
        <f t="shared" si="702"/>
        <v>1158.1410000000001</v>
      </c>
      <c r="BO193" s="347">
        <f t="shared" si="702"/>
        <v>1158.1410000000001</v>
      </c>
      <c r="BP193" s="347">
        <f t="shared" si="702"/>
        <v>1158.1410000000001</v>
      </c>
      <c r="BQ193" s="347">
        <f t="shared" si="702"/>
        <v>1158.1410000000001</v>
      </c>
      <c r="BR193" s="347">
        <f t="shared" si="702"/>
        <v>1158.1410000000001</v>
      </c>
    </row>
    <row r="194" spans="1:70" outlineLevel="1">
      <c r="B194" s="54" t="s">
        <v>158</v>
      </c>
      <c r="D194" s="885">
        <f>'Financial Summary'!AB3*'Financial Summary'!AB5</f>
        <v>10.7646</v>
      </c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72"/>
    </row>
    <row r="195" spans="1:70" outlineLevel="1">
      <c r="B195" s="55"/>
      <c r="C195" s="55" t="s">
        <v>159</v>
      </c>
      <c r="D195" s="74" t="s">
        <v>77</v>
      </c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V195" s="157">
        <f>$D$194/V196</f>
        <v>19.154092526690388</v>
      </c>
      <c r="Y195" s="157">
        <f>$D$194/Y196</f>
        <v>19.291397849462363</v>
      </c>
      <c r="AB195" s="157">
        <f>$D$194/AB196</f>
        <v>18.656152512998268</v>
      </c>
      <c r="AE195" s="157">
        <f>$D$194/AE196</f>
        <v>17.763366336633663</v>
      </c>
      <c r="AH195" s="157">
        <f>$D$194/AH196</f>
        <v>16.839792385908215</v>
      </c>
      <c r="AK195" s="157">
        <f>$D$194/AK196</f>
        <v>15.262749226369824</v>
      </c>
      <c r="AN195" s="157">
        <f>$D$194/AN196</f>
        <v>14.009969468458817</v>
      </c>
      <c r="AQ195" s="157">
        <f>$D$194/AQ196</f>
        <v>13.353921070628306</v>
      </c>
      <c r="AT195" s="157">
        <f>$D$194/AT196</f>
        <v>12.935051579391324</v>
      </c>
      <c r="AW195" s="157">
        <f>$D$194/AW196</f>
        <v>12.530059170187009</v>
      </c>
      <c r="AZ195" s="157">
        <f>$D$194/AZ196</f>
        <v>12.137770516874431</v>
      </c>
      <c r="BC195" s="157">
        <f>$D$194/BC196</f>
        <v>11.766072372780956</v>
      </c>
      <c r="BF195" s="157">
        <f>$D$194/BF196</f>
        <v>11.440248985196853</v>
      </c>
      <c r="BI195" s="157">
        <f>$D$194/BI196</f>
        <v>11.155131208848903</v>
      </c>
      <c r="BL195" s="157">
        <f>$D$194/BL196</f>
        <v>10.875515581805978</v>
      </c>
      <c r="BO195" s="157">
        <f>$D$194/BO196</f>
        <v>10.601626413629038</v>
      </c>
      <c r="BR195" s="157">
        <f>$D$194/BR196</f>
        <v>10.332777545274203</v>
      </c>
    </row>
    <row r="196" spans="1:70" outlineLevel="1">
      <c r="B196" s="60"/>
      <c r="C196" s="60" t="s">
        <v>160</v>
      </c>
      <c r="D196" s="73" t="s">
        <v>239</v>
      </c>
      <c r="E196" s="73"/>
      <c r="F196" s="73"/>
      <c r="G196" s="73"/>
      <c r="H196" s="73"/>
      <c r="I196" s="73"/>
      <c r="J196" s="73"/>
      <c r="K196" s="73"/>
      <c r="L196" s="73"/>
      <c r="M196" s="73"/>
      <c r="N196" s="73"/>
      <c r="O196" s="73"/>
      <c r="P196" s="72"/>
      <c r="V196" s="158">
        <f>V178</f>
        <v>0.56200000000000006</v>
      </c>
      <c r="Y196" s="158">
        <f>Y178</f>
        <v>0.55800000000000005</v>
      </c>
      <c r="AB196" s="158">
        <f>AB178</f>
        <v>0.57699999999999996</v>
      </c>
      <c r="AC196" s="153"/>
      <c r="AD196" s="153"/>
      <c r="AE196" s="158">
        <f>AE178</f>
        <v>0.60599999999999998</v>
      </c>
      <c r="AF196" s="158"/>
      <c r="AG196" s="957"/>
      <c r="AH196" s="158">
        <f>AH178</f>
        <v>0.6392359094051524</v>
      </c>
      <c r="AI196" s="153"/>
      <c r="AJ196" s="153"/>
      <c r="AK196" s="158">
        <f>AK178</f>
        <v>0.70528578045439794</v>
      </c>
      <c r="AL196" s="153"/>
      <c r="AM196" s="153"/>
      <c r="AN196" s="158">
        <f>AN178</f>
        <v>0.7683528521767844</v>
      </c>
      <c r="AO196" s="153"/>
      <c r="AP196" s="153"/>
      <c r="AQ196" s="158">
        <f>AQ178</f>
        <v>0.80610031638396684</v>
      </c>
      <c r="AR196" s="153"/>
      <c r="AS196" s="153"/>
      <c r="AT196" s="158">
        <f>AT178</f>
        <v>0.83220387131278395</v>
      </c>
      <c r="AU196" s="153"/>
      <c r="AV196" s="153"/>
      <c r="AW196" s="158">
        <f>AW178</f>
        <v>0.85910208832951107</v>
      </c>
      <c r="AX196" s="153"/>
      <c r="AY196" s="153"/>
      <c r="AZ196" s="158">
        <f>AZ178</f>
        <v>0.88686797835192277</v>
      </c>
      <c r="BA196" s="153"/>
      <c r="BB196" s="153"/>
      <c r="BC196" s="158">
        <f>BC178</f>
        <v>0.91488473459523223</v>
      </c>
      <c r="BD196" s="153"/>
      <c r="BE196" s="153"/>
      <c r="BF196" s="158">
        <f>BF178</f>
        <v>0.94094105940604</v>
      </c>
      <c r="BG196" s="153"/>
      <c r="BH196" s="153"/>
      <c r="BI196" s="158">
        <f>BI178</f>
        <v>0.96499089060116916</v>
      </c>
      <c r="BJ196" s="153"/>
      <c r="BK196" s="153"/>
      <c r="BL196" s="158">
        <f>BL178</f>
        <v>0.98980134955702403</v>
      </c>
      <c r="BM196" s="153"/>
      <c r="BN196" s="153"/>
      <c r="BO196" s="158">
        <f>BO178</f>
        <v>1.0153725079541993</v>
      </c>
      <c r="BP196" s="153"/>
      <c r="BQ196" s="153"/>
      <c r="BR196" s="158">
        <f>BR178</f>
        <v>1.0417915176082828</v>
      </c>
    </row>
    <row r="197" spans="1:70" outlineLevel="1">
      <c r="B197" s="57"/>
      <c r="C197" s="57" t="s">
        <v>162</v>
      </c>
      <c r="D197" s="58" t="s">
        <v>58</v>
      </c>
      <c r="E197" s="73"/>
      <c r="F197" s="73"/>
      <c r="G197" s="73"/>
      <c r="H197" s="73"/>
      <c r="I197" s="73"/>
      <c r="J197" s="73"/>
      <c r="K197" s="73"/>
      <c r="L197" s="73"/>
      <c r="M197" s="73"/>
      <c r="N197" s="73"/>
      <c r="O197" s="73"/>
      <c r="P197" s="62"/>
      <c r="V197" s="26">
        <f>$D$194*V173</f>
        <v>12981.031140000001</v>
      </c>
      <c r="Y197" s="26">
        <f>$D$194*Y173</f>
        <v>12945.507959999999</v>
      </c>
      <c r="AB197" s="26">
        <f>$D$194*AB173</f>
        <v>12510.618120000001</v>
      </c>
      <c r="AE197" s="26">
        <f>$D$194*AE173</f>
        <v>12456.795120000001</v>
      </c>
      <c r="AH197" s="26">
        <f>$D$194*AH173</f>
        <v>12466.9246086</v>
      </c>
      <c r="AK197" s="26">
        <f>$D$194*AK173</f>
        <v>12466.9246086</v>
      </c>
      <c r="AN197" s="26">
        <f>$D$194*AN173</f>
        <v>12466.9246086</v>
      </c>
      <c r="AQ197" s="26">
        <f>$D$194*AQ173</f>
        <v>12466.9246086</v>
      </c>
      <c r="AT197" s="26">
        <f>$D$194*AT173</f>
        <v>12466.9246086</v>
      </c>
      <c r="AW197" s="26">
        <f>$D$194*AW173</f>
        <v>12466.9246086</v>
      </c>
      <c r="AZ197" s="26">
        <f>$D$194*AZ173</f>
        <v>12466.9246086</v>
      </c>
      <c r="BC197" s="26">
        <f>$D$194*BC173</f>
        <v>12466.9246086</v>
      </c>
      <c r="BF197" s="26">
        <f>$D$194*BF173</f>
        <v>12466.9246086</v>
      </c>
      <c r="BI197" s="26">
        <f>$D$194*BI173</f>
        <v>12466.9246086</v>
      </c>
      <c r="BL197" s="26">
        <f>$D$194*BL173</f>
        <v>12466.9246086</v>
      </c>
      <c r="BO197" s="26">
        <f>$D$194*BO173</f>
        <v>12466.9246086</v>
      </c>
      <c r="BR197" s="26">
        <f>$D$194*BR173</f>
        <v>12466.9246086</v>
      </c>
    </row>
    <row r="198" spans="1:70" outlineLevel="1">
      <c r="B198" s="57"/>
      <c r="C198" s="57" t="s">
        <v>163</v>
      </c>
      <c r="D198" s="58" t="s">
        <v>58</v>
      </c>
      <c r="E198" s="73"/>
      <c r="F198" s="73"/>
      <c r="G198" s="73"/>
      <c r="H198" s="73"/>
      <c r="I198" s="73"/>
      <c r="J198" s="73"/>
      <c r="K198" s="73"/>
      <c r="L198" s="73"/>
      <c r="M198" s="73"/>
      <c r="N198" s="73"/>
      <c r="O198" s="73"/>
      <c r="P198" s="62"/>
      <c r="V198" s="26">
        <f>V144</f>
        <v>3013.4000000000005</v>
      </c>
      <c r="Y198" s="26">
        <f>Y144</f>
        <v>2880.4</v>
      </c>
      <c r="AB198" s="26">
        <f>AB144</f>
        <v>3829.4000000000005</v>
      </c>
      <c r="AE198" s="26">
        <f>AE144</f>
        <v>4049.5</v>
      </c>
      <c r="AH198" s="26">
        <f>AE198</f>
        <v>4049.5</v>
      </c>
      <c r="AK198" s="26">
        <f>AH198</f>
        <v>4049.5</v>
      </c>
      <c r="AN198" s="26">
        <f>AK198</f>
        <v>4049.5</v>
      </c>
      <c r="AQ198" s="26">
        <f>AN198</f>
        <v>4049.5</v>
      </c>
      <c r="AT198" s="26">
        <f>AQ198</f>
        <v>4049.5</v>
      </c>
      <c r="AW198" s="26">
        <f>AT198</f>
        <v>4049.5</v>
      </c>
      <c r="AZ198" s="26">
        <f>AW198</f>
        <v>4049.5</v>
      </c>
      <c r="BC198" s="26">
        <f>AZ198</f>
        <v>4049.5</v>
      </c>
      <c r="BF198" s="26">
        <f>BC198</f>
        <v>4049.5</v>
      </c>
      <c r="BI198" s="26">
        <f>BF198</f>
        <v>4049.5</v>
      </c>
      <c r="BL198" s="26">
        <f>BI198</f>
        <v>4049.5</v>
      </c>
      <c r="BO198" s="26">
        <f>BL198</f>
        <v>4049.5</v>
      </c>
      <c r="BR198" s="26">
        <f>BO198</f>
        <v>4049.5</v>
      </c>
    </row>
    <row r="199" spans="1:70" outlineLevel="1">
      <c r="B199" s="55"/>
      <c r="C199" s="55" t="s">
        <v>164</v>
      </c>
      <c r="D199" s="73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62"/>
      <c r="V199" s="26">
        <f>V197+V198</f>
        <v>15994.431140000001</v>
      </c>
      <c r="Y199" s="26">
        <f>Y197+Y198</f>
        <v>15825.907959999999</v>
      </c>
      <c r="AB199" s="26">
        <f>AB197+AB198</f>
        <v>16340.018120000001</v>
      </c>
      <c r="AE199" s="26">
        <f>AE197+AE198</f>
        <v>16506.295120000002</v>
      </c>
      <c r="AH199" s="26">
        <f>AH197+AH198</f>
        <v>16516.424608599998</v>
      </c>
      <c r="AK199" s="26">
        <f>AK197+AK198</f>
        <v>16516.424608599998</v>
      </c>
      <c r="AN199" s="26">
        <f>AN197+AN198</f>
        <v>16516.424608599998</v>
      </c>
      <c r="AQ199" s="26">
        <f>AQ197+AQ198</f>
        <v>16516.424608599998</v>
      </c>
      <c r="AT199" s="26">
        <f>AT197+AT198</f>
        <v>16516.424608599998</v>
      </c>
      <c r="AW199" s="26">
        <f>AW197+AW198</f>
        <v>16516.424608599998</v>
      </c>
      <c r="AZ199" s="26">
        <f>AZ197+AZ198</f>
        <v>16516.424608599998</v>
      </c>
      <c r="BC199" s="26">
        <f>BC197+BC198</f>
        <v>16516.424608599998</v>
      </c>
      <c r="BF199" s="26">
        <f>BF197+BF198</f>
        <v>16516.424608599998</v>
      </c>
      <c r="BI199" s="26">
        <f>BI197+BI198</f>
        <v>16516.424608599998</v>
      </c>
      <c r="BL199" s="26">
        <f>BL197+BL198</f>
        <v>16516.424608599998</v>
      </c>
      <c r="BO199" s="26">
        <f>BO197+BO198</f>
        <v>16516.424608599998</v>
      </c>
      <c r="BR199" s="26">
        <f>BR197+BR198</f>
        <v>16516.424608599998</v>
      </c>
    </row>
    <row r="200" spans="1:70" outlineLevel="1">
      <c r="B200" s="55"/>
      <c r="C200" s="55" t="s">
        <v>165</v>
      </c>
      <c r="D200" s="74" t="s">
        <v>77</v>
      </c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58"/>
      <c r="V200" s="157">
        <f>V199/V201</f>
        <v>14.778186399334754</v>
      </c>
      <c r="Y200" s="157">
        <f>Y199/Y201</f>
        <v>15.025071641507639</v>
      </c>
      <c r="AB200" s="157">
        <f>AB199/AB201</f>
        <v>15.483765867525824</v>
      </c>
      <c r="AE200" s="157">
        <f>AE199/AE201</f>
        <v>15.168438816394048</v>
      </c>
      <c r="AH200" s="157">
        <f>AH199/AH201</f>
        <v>14.43500818202142</v>
      </c>
      <c r="AK200" s="157">
        <f>AK199/AK201</f>
        <v>13.271559168489704</v>
      </c>
      <c r="AN200" s="157">
        <f>AN199/AN201</f>
        <v>12.438404772969717</v>
      </c>
      <c r="AQ200" s="157">
        <f>AQ199/AQ201</f>
        <v>12.065140959172144</v>
      </c>
      <c r="AT200" s="157">
        <f>AT199/AT201</f>
        <v>11.858428724748707</v>
      </c>
      <c r="AW200" s="157">
        <f>AW199/AW201</f>
        <v>11.652207606407108</v>
      </c>
      <c r="AZ200" s="157">
        <f>AZ199/AZ201</f>
        <v>11.446579026933078</v>
      </c>
      <c r="BC200" s="157">
        <f>BC199/BC201</f>
        <v>11.241642213553474</v>
      </c>
      <c r="BF200" s="157">
        <f>BF199/BF201</f>
        <v>11.037494122555733</v>
      </c>
      <c r="BI200" s="157">
        <f>BI199/BI201</f>
        <v>10.834229368463532</v>
      </c>
      <c r="BL200" s="157">
        <f>BL199/BL201</f>
        <v>10.631940157802301</v>
      </c>
      <c r="BO200" s="157">
        <f>BO199/BO201</f>
        <v>10.430716227479877</v>
      </c>
      <c r="BR200" s="157">
        <f>BR199/BR201</f>
        <v>10.230644787799116</v>
      </c>
    </row>
    <row r="201" spans="1:70" outlineLevel="1">
      <c r="B201" s="60"/>
      <c r="C201" s="60" t="s">
        <v>166</v>
      </c>
      <c r="D201" s="58" t="s">
        <v>58</v>
      </c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62"/>
      <c r="V201" s="26">
        <f>V11</f>
        <v>1082.2999999999997</v>
      </c>
      <c r="Y201" s="26">
        <f>Y11</f>
        <v>1053.3000000000002</v>
      </c>
      <c r="AB201" s="26">
        <f>AB11</f>
        <v>1055.3</v>
      </c>
      <c r="AE201" s="26">
        <f>AE11</f>
        <v>1088.2</v>
      </c>
      <c r="AH201" s="26">
        <f>AH11</f>
        <v>1144.1922581776539</v>
      </c>
      <c r="AK201" s="26">
        <f>AK11</f>
        <v>1244.4976810120766</v>
      </c>
      <c r="AN201" s="26">
        <f>AN11</f>
        <v>1327.8571416563282</v>
      </c>
      <c r="AQ201" s="26">
        <f>AQ11</f>
        <v>1368.9375585822647</v>
      </c>
      <c r="AT201" s="26">
        <f>AT11</f>
        <v>1392.8004284522103</v>
      </c>
      <c r="AW201" s="26">
        <f>AW11</f>
        <v>1417.4502520465085</v>
      </c>
      <c r="AZ201" s="26">
        <f>AZ11</f>
        <v>1442.913604993937</v>
      </c>
      <c r="BC201" s="26">
        <f>BC11</f>
        <v>1469.2181351125896</v>
      </c>
      <c r="BF201" s="26">
        <f>BF11</f>
        <v>1496.3926073444302</v>
      </c>
      <c r="BI201" s="26">
        <f>BI11</f>
        <v>1524.4669507068311</v>
      </c>
      <c r="BL201" s="26">
        <f>BL11</f>
        <v>1553.472307354866</v>
      </c>
      <c r="BO201" s="26">
        <f>BO11</f>
        <v>1583.4410838526344</v>
      </c>
      <c r="BR201" s="26">
        <f>BR11</f>
        <v>1614.4070047566495</v>
      </c>
    </row>
    <row r="202" spans="1:70" outlineLevel="1">
      <c r="B202" s="55"/>
      <c r="C202" s="55" t="s">
        <v>167</v>
      </c>
      <c r="D202" s="74" t="s">
        <v>77</v>
      </c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58"/>
      <c r="V202" s="157">
        <f>V199/V203</f>
        <v>10.968612769167468</v>
      </c>
      <c r="Y202" s="157">
        <f>Y199/Y203</f>
        <v>11.235203720005677</v>
      </c>
      <c r="AB202" s="157">
        <f>AB199/AB203</f>
        <v>11.594421429078267</v>
      </c>
      <c r="AE202" s="157">
        <f>AE199/AE203</f>
        <v>11.407253020041466</v>
      </c>
      <c r="AH202" s="157">
        <f>AH199/AH203</f>
        <v>10.903439812567479</v>
      </c>
      <c r="AK202" s="157">
        <f>AK199/AK203</f>
        <v>10.206987900789862</v>
      </c>
      <c r="AN202" s="157">
        <f>AN199/AN203</f>
        <v>9.6028373421632995</v>
      </c>
      <c r="AQ202" s="157">
        <f>AQ199/AQ203</f>
        <v>9.3579919440559998</v>
      </c>
      <c r="AT202" s="157">
        <f>AT199/AT203</f>
        <v>9.2127604235089819</v>
      </c>
      <c r="AW202" s="157">
        <f>AW199/AW203</f>
        <v>9.0678510396450669</v>
      </c>
      <c r="AZ202" s="157">
        <f>AZ199/AZ203</f>
        <v>8.9233129377834537</v>
      </c>
      <c r="BC202" s="157">
        <f>BC199/BC203</f>
        <v>8.7791944904381563</v>
      </c>
      <c r="BF202" s="157">
        <f>BF199/BF203</f>
        <v>8.635543283002125</v>
      </c>
      <c r="BI202" s="157">
        <f>BI199/BI203</f>
        <v>8.4924060995776713</v>
      </c>
      <c r="BL202" s="157">
        <f>BL199/BL203</f>
        <v>8.3498289089302276</v>
      </c>
      <c r="BO202" s="157">
        <f>BO199/BO203</f>
        <v>8.2078568505465537</v>
      </c>
      <c r="BR202" s="157">
        <f>BR199/BR203</f>
        <v>8.0665342207823372</v>
      </c>
    </row>
    <row r="203" spans="1:70" outlineLevel="1">
      <c r="B203" s="60"/>
      <c r="C203" s="60" t="s">
        <v>168</v>
      </c>
      <c r="D203" s="58" t="s">
        <v>58</v>
      </c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62"/>
      <c r="V203" s="26">
        <f>V9</f>
        <v>1458.1999999999998</v>
      </c>
      <c r="Y203" s="26">
        <f>Y9</f>
        <v>1408.6000000000001</v>
      </c>
      <c r="AB203" s="26">
        <f>AB9</f>
        <v>1409.3</v>
      </c>
      <c r="AE203" s="26">
        <f>AE9</f>
        <v>1447</v>
      </c>
      <c r="AH203" s="26">
        <f>AH9</f>
        <v>1514.7902765109873</v>
      </c>
      <c r="AK203" s="26">
        <f>AK9</f>
        <v>1618.1487397787434</v>
      </c>
      <c r="AN203" s="26">
        <f>AN9</f>
        <v>1719.9525536146616</v>
      </c>
      <c r="AQ203" s="26">
        <f>AQ9</f>
        <v>1764.9539246601814</v>
      </c>
      <c r="AT203" s="26">
        <f>AT9</f>
        <v>1792.7769581909063</v>
      </c>
      <c r="AW203" s="26">
        <f>AW9</f>
        <v>1821.4265470825912</v>
      </c>
      <c r="AZ203" s="26">
        <f>AZ9</f>
        <v>1850.9296629803807</v>
      </c>
      <c r="BC203" s="26">
        <f>BC9</f>
        <v>1881.3143536788978</v>
      </c>
      <c r="BF203" s="26">
        <f>BF9</f>
        <v>1912.6097880964014</v>
      </c>
      <c r="BI203" s="26">
        <f>BI9</f>
        <v>1944.8463032663221</v>
      </c>
      <c r="BL203" s="26">
        <f>BL9</f>
        <v>1978.0554534399519</v>
      </c>
      <c r="BO203" s="26">
        <f>BO9</f>
        <v>2012.2700613985712</v>
      </c>
      <c r="BR203" s="26">
        <f>BR9</f>
        <v>2047.5242720780457</v>
      </c>
    </row>
    <row r="204" spans="1:70" outlineLevel="1">
      <c r="B204" s="55"/>
      <c r="C204" s="55" t="s">
        <v>169</v>
      </c>
      <c r="D204" s="74" t="s">
        <v>66</v>
      </c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62"/>
      <c r="V204" s="133">
        <f>V205/$D$194</f>
        <v>3.64156587332553E-2</v>
      </c>
      <c r="Y204" s="133">
        <f>Y205/$D$194</f>
        <v>3.7158835442097249E-2</v>
      </c>
      <c r="AB204" s="133">
        <f>AB205/$D$194</f>
        <v>3.8087806328149676E-2</v>
      </c>
      <c r="AE204" s="133">
        <f>AE205/$D$194</f>
        <v>3.9945748100254537E-2</v>
      </c>
      <c r="AH204" s="133">
        <f>AH205/$D$194</f>
        <v>4.2320361751185975E-2</v>
      </c>
      <c r="AK204" s="133">
        <f>AK205/$D$194</f>
        <v>4.6697815039994026E-2</v>
      </c>
      <c r="AN204" s="133">
        <f>AN205/$D$194</f>
        <v>5.0908117735183174E-2</v>
      </c>
      <c r="AQ204" s="133">
        <f>AQ205/$D$194</f>
        <v>5.3410628264201274E-2</v>
      </c>
      <c r="AT204" s="133">
        <f>AT205/$D$194</f>
        <v>5.5141804021683775E-2</v>
      </c>
      <c r="AW204" s="133">
        <f>AW205/$D$194</f>
        <v>5.6925586765059502E-2</v>
      </c>
      <c r="AZ204" s="133">
        <f>AZ205/$D$194</f>
        <v>5.8766913444731388E-2</v>
      </c>
      <c r="BC204" s="133">
        <f>BC205/$D$194</f>
        <v>6.0626118555211821E-2</v>
      </c>
      <c r="BF204" s="133">
        <f>BF205/$D$194</f>
        <v>6.2355822149195807E-2</v>
      </c>
      <c r="BI204" s="133">
        <f>BI205/$D$194</f>
        <v>6.3950435080352017E-2</v>
      </c>
      <c r="BL204" s="133">
        <f>BL205/$D$194</f>
        <v>6.559547342854688E-2</v>
      </c>
      <c r="BO204" s="133">
        <f>BO205/$D$194</f>
        <v>6.7290988614332498E-2</v>
      </c>
      <c r="BR204" s="133">
        <f>BR205/$D$194</f>
        <v>6.904266442201909E-2</v>
      </c>
    </row>
    <row r="205" spans="1:70" outlineLevel="1">
      <c r="B205" s="60"/>
      <c r="C205" s="60" t="s">
        <v>170</v>
      </c>
      <c r="D205" s="73" t="s">
        <v>239</v>
      </c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62"/>
      <c r="V205" s="158">
        <f>V182</f>
        <v>0.39200000000000002</v>
      </c>
      <c r="Y205" s="158">
        <f>Y182</f>
        <v>0.4</v>
      </c>
      <c r="AB205" s="158">
        <f>AB182</f>
        <v>0.41</v>
      </c>
      <c r="AE205" s="158">
        <f>AE182</f>
        <v>0.43</v>
      </c>
      <c r="AH205" s="158">
        <f>AH182</f>
        <v>0.45556176610681653</v>
      </c>
      <c r="AK205" s="158">
        <f>AK182</f>
        <v>0.50268329977951964</v>
      </c>
      <c r="AN205" s="158">
        <f>AN182</f>
        <v>0.54800552417215276</v>
      </c>
      <c r="AQ205" s="158">
        <f>AQ182</f>
        <v>0.57494404901282103</v>
      </c>
      <c r="AT205" s="158">
        <f>AT182</f>
        <v>0.59357946357181712</v>
      </c>
      <c r="AW205" s="158">
        <f>AW182</f>
        <v>0.6127811712911595</v>
      </c>
      <c r="AZ205" s="158">
        <f>AZ182</f>
        <v>0.63260231646715548</v>
      </c>
      <c r="BC205" s="158">
        <f>BC182</f>
        <v>0.65261591579943312</v>
      </c>
      <c r="BF205" s="158">
        <f>BF182</f>
        <v>0.67123548310723313</v>
      </c>
      <c r="BI205" s="158">
        <f>BI182</f>
        <v>0.68840085346595736</v>
      </c>
      <c r="BL205" s="158">
        <f>BL182</f>
        <v>0.7061090332689357</v>
      </c>
      <c r="BO205" s="158">
        <f>BO182</f>
        <v>0.72436057603784354</v>
      </c>
      <c r="BR205" s="158">
        <f>BR182</f>
        <v>0.74321666543726672</v>
      </c>
    </row>
    <row r="206" spans="1:70" outlineLevel="1">
      <c r="B206" s="55"/>
      <c r="C206" s="55" t="s">
        <v>171</v>
      </c>
      <c r="D206" s="74" t="s">
        <v>66</v>
      </c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62"/>
      <c r="V206" s="133">
        <f>V207/V197</f>
        <v>4.8162583793015981E-2</v>
      </c>
      <c r="Y206" s="133">
        <f>Y207/Y197</f>
        <v>5.1523663811489408E-2</v>
      </c>
      <c r="AB206" s="133">
        <f>AB207/AB197</f>
        <v>8.185047214917314E-3</v>
      </c>
      <c r="AE206" s="133">
        <f>AE207/AE197</f>
        <v>3.1693545265597985E-2</v>
      </c>
      <c r="AH206" s="133">
        <f>AH207/AH197</f>
        <v>5.7597231787497746E-2</v>
      </c>
      <c r="AK206" s="133">
        <f>AK207/AK197</f>
        <v>6.7404747646221258E-2</v>
      </c>
      <c r="AN206" s="133">
        <f>AN207/AN197</f>
        <v>7.3526120697281316E-2</v>
      </c>
      <c r="AQ206" s="133">
        <f>AQ207/AQ197</f>
        <v>7.6872561485304261E-2</v>
      </c>
      <c r="AT206" s="133">
        <f>AT207/AT197</f>
        <v>7.9319067443109417E-2</v>
      </c>
      <c r="AW206" s="133">
        <f>AW207/AW197</f>
        <v>8.1851502544027274E-2</v>
      </c>
      <c r="AZ206" s="133">
        <f>AZ207/AZ197</f>
        <v>8.4465464312683258E-2</v>
      </c>
      <c r="BC206" s="133">
        <f>BC207/BC197</f>
        <v>8.7102883558321506E-2</v>
      </c>
      <c r="BF206" s="133">
        <f>BF207/BF197</f>
        <v>8.9555598445788268E-2</v>
      </c>
      <c r="BI206" s="133">
        <f>BI207/BI197</f>
        <v>9.1819264275272719E-2</v>
      </c>
      <c r="BL206" s="133">
        <f>BL207/BL197</f>
        <v>9.4154345983631538E-2</v>
      </c>
      <c r="BO206" s="133">
        <f>BO207/BO197</f>
        <v>9.6051877237879751E-2</v>
      </c>
      <c r="BR206" s="133">
        <f>BR207/BR197</f>
        <v>9.8633284101996219E-2</v>
      </c>
    </row>
    <row r="207" spans="1:70" outlineLevel="1">
      <c r="B207" s="60"/>
      <c r="C207" s="60" t="s">
        <v>172</v>
      </c>
      <c r="D207" s="58" t="s">
        <v>58</v>
      </c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62"/>
      <c r="V207" s="26">
        <f>V77</f>
        <v>625.19999999999982</v>
      </c>
      <c r="Y207" s="26">
        <f>Y77</f>
        <v>667</v>
      </c>
      <c r="AB207" s="26">
        <f>AB77</f>
        <v>102.40000000000009</v>
      </c>
      <c r="AE207" s="26">
        <f>AE77</f>
        <v>394.80000000000007</v>
      </c>
      <c r="AH207" s="26">
        <f>AH77</f>
        <v>718.06034635879382</v>
      </c>
      <c r="AK207" s="26">
        <f>AK77</f>
        <v>840.3299071671488</v>
      </c>
      <c r="AN207" s="26">
        <f>AN77</f>
        <v>916.64460349583021</v>
      </c>
      <c r="AQ207" s="26">
        <f>AQ77</f>
        <v>958.36442850725621</v>
      </c>
      <c r="AT207" s="26">
        <f>AT77</f>
        <v>988.86483383770383</v>
      </c>
      <c r="AW207" s="26">
        <f>AW77</f>
        <v>1020.4365113170192</v>
      </c>
      <c r="AZ207" s="26">
        <f>AZ77</f>
        <v>1053.0245756166159</v>
      </c>
      <c r="BC207" s="26">
        <f>BC77</f>
        <v>1085.9050825132588</v>
      </c>
      <c r="BF207" s="26">
        <f>BF77</f>
        <v>1116.4828941016976</v>
      </c>
      <c r="BI207" s="26">
        <f>BI77</f>
        <v>1144.7038453369444</v>
      </c>
      <c r="BL207" s="26">
        <f>BL77</f>
        <v>1173.8151329499747</v>
      </c>
      <c r="BO207" s="26">
        <f>BO77</f>
        <v>1197.4715120391493</v>
      </c>
      <c r="BR207" s="26">
        <f>BR77</f>
        <v>1229.6537167982119</v>
      </c>
    </row>
    <row r="208" spans="1:70" outlineLevel="1">
      <c r="B208" s="60"/>
      <c r="C208" s="60" t="s">
        <v>261</v>
      </c>
      <c r="D208" s="58" t="s">
        <v>58</v>
      </c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62"/>
      <c r="V208" s="26">
        <f>V93</f>
        <v>633.89999999999986</v>
      </c>
      <c r="Y208" s="26">
        <f>Y93</f>
        <v>285.00000000000011</v>
      </c>
      <c r="AB208" s="26">
        <f>AB93</f>
        <v>355.50000000000028</v>
      </c>
      <c r="AE208" s="26">
        <f>AE93</f>
        <v>248.89999999999986</v>
      </c>
      <c r="AH208" s="26">
        <f>AH93</f>
        <v>196.59850425353045</v>
      </c>
      <c r="AK208" s="26">
        <f>AK93</f>
        <v>295.22296049203749</v>
      </c>
      <c r="AN208" s="26">
        <f>AN93</f>
        <v>311.84734842334376</v>
      </c>
      <c r="AQ208" s="26">
        <f>AQ93</f>
        <v>317.22065580443746</v>
      </c>
      <c r="AT208" s="26">
        <f>AT93</f>
        <v>321.05257421906856</v>
      </c>
      <c r="AW208" s="26">
        <f>AW93</f>
        <v>330.7444740952958</v>
      </c>
      <c r="AZ208" s="26">
        <f>AZ93</f>
        <v>340.7473879426625</v>
      </c>
      <c r="BC208" s="26">
        <f>BC93</f>
        <v>350.31368028172949</v>
      </c>
      <c r="BF208" s="26">
        <f>BF93</f>
        <v>358.40246324169163</v>
      </c>
      <c r="BI208" s="26">
        <f>BI93</f>
        <v>366.30114678359564</v>
      </c>
      <c r="BL208" s="26">
        <f>BL93</f>
        <v>375.23304607239277</v>
      </c>
      <c r="BO208" s="26">
        <f>BO93</f>
        <v>378.07153386094581</v>
      </c>
      <c r="BR208" s="26">
        <f>BR93</f>
        <v>388.79152250643165</v>
      </c>
    </row>
    <row r="209" spans="2:70" outlineLevel="1">
      <c r="B209" s="54" t="s">
        <v>173</v>
      </c>
      <c r="D209" s="885">
        <f>'Financial Summary'!AB4*'Financial Summary'!AB5</f>
        <v>11.395999999999999</v>
      </c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62"/>
      <c r="V209" s="130"/>
      <c r="Y209" s="130"/>
      <c r="AB209" s="130"/>
      <c r="AH209" s="130"/>
      <c r="AK209" s="130"/>
      <c r="AN209" s="130"/>
      <c r="AQ209" s="130"/>
      <c r="AT209" s="130"/>
      <c r="AW209" s="130"/>
      <c r="AZ209" s="130"/>
      <c r="BC209" s="130"/>
      <c r="BF209" s="130"/>
      <c r="BI209" s="130"/>
      <c r="BL209" s="130"/>
      <c r="BO209" s="130"/>
      <c r="BR209" s="130"/>
    </row>
    <row r="210" spans="2:70" outlineLevel="1">
      <c r="B210" s="55"/>
      <c r="C210" s="55" t="s">
        <v>159</v>
      </c>
      <c r="D210" s="86" t="s">
        <v>77</v>
      </c>
      <c r="E210" s="75"/>
      <c r="F210" s="75"/>
      <c r="G210" s="75"/>
      <c r="H210" s="75"/>
      <c r="I210" s="75"/>
      <c r="J210" s="75"/>
      <c r="K210" s="75"/>
      <c r="L210" s="75"/>
      <c r="M210" s="75"/>
      <c r="N210" s="75"/>
      <c r="O210" s="75"/>
      <c r="V210" s="157">
        <f>$D$209/V211</f>
        <v>20.277580071174373</v>
      </c>
      <c r="Y210" s="157">
        <f>$D$209/Y211</f>
        <v>20.422939068100355</v>
      </c>
      <c r="AB210" s="157">
        <f>$D$209/AB211</f>
        <v>19.750433275563257</v>
      </c>
      <c r="AE210" s="157">
        <f>$D$209/AE211</f>
        <v>18.805280528052805</v>
      </c>
      <c r="AH210" s="157">
        <f>$D$209/AH211</f>
        <v>17.827534142449327</v>
      </c>
      <c r="AK210" s="157">
        <f>$D$209/AK211</f>
        <v>16.157989166686221</v>
      </c>
      <c r="AN210" s="157">
        <f>$D$209/AN211</f>
        <v>14.831727334276858</v>
      </c>
      <c r="AQ210" s="157">
        <f>$D$209/AQ211</f>
        <v>14.137198272195919</v>
      </c>
      <c r="AT210" s="157">
        <f>$D$209/AT211</f>
        <v>13.693759898068066</v>
      </c>
      <c r="AW210" s="157">
        <f>$D$209/AW211</f>
        <v>13.265012569296688</v>
      </c>
      <c r="AZ210" s="157">
        <f>$D$209/AZ211</f>
        <v>12.849714138035878</v>
      </c>
      <c r="BC210" s="157">
        <f>$D$209/BC211</f>
        <v>12.456213956878265</v>
      </c>
      <c r="BF210" s="157">
        <f>$D$209/BF211</f>
        <v>12.111279326245594</v>
      </c>
      <c r="BI210" s="157">
        <f>$D$209/BI211</f>
        <v>11.809437903502415</v>
      </c>
      <c r="BL210" s="157">
        <f>$D$209/BL211</f>
        <v>11.51342135985182</v>
      </c>
      <c r="BO210" s="157">
        <f>$D$209/BO211</f>
        <v>11.223467161781814</v>
      </c>
      <c r="BR210" s="157">
        <f>$D$209/BR211</f>
        <v>10.938848903437639</v>
      </c>
    </row>
    <row r="211" spans="2:70" outlineLevel="1">
      <c r="B211" s="60"/>
      <c r="C211" s="60" t="s">
        <v>160</v>
      </c>
      <c r="D211" s="73" t="s">
        <v>239</v>
      </c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2"/>
      <c r="V211" s="158">
        <f>V178</f>
        <v>0.56200000000000006</v>
      </c>
      <c r="Y211" s="158">
        <f>Y178</f>
        <v>0.55800000000000005</v>
      </c>
      <c r="AB211" s="158">
        <f>AB178</f>
        <v>0.57699999999999996</v>
      </c>
      <c r="AE211" s="158">
        <f>AE178</f>
        <v>0.60599999999999998</v>
      </c>
      <c r="AH211" s="158">
        <f>AH178</f>
        <v>0.6392359094051524</v>
      </c>
      <c r="AK211" s="158">
        <f>AK178</f>
        <v>0.70528578045439794</v>
      </c>
      <c r="AN211" s="158">
        <f>AN178</f>
        <v>0.7683528521767844</v>
      </c>
      <c r="AQ211" s="158">
        <f>AQ178</f>
        <v>0.80610031638396684</v>
      </c>
      <c r="AT211" s="158">
        <f>AT178</f>
        <v>0.83220387131278395</v>
      </c>
      <c r="AW211" s="158">
        <f>AW178</f>
        <v>0.85910208832951107</v>
      </c>
      <c r="AZ211" s="158">
        <f>AZ178</f>
        <v>0.88686797835192277</v>
      </c>
      <c r="BC211" s="158">
        <f>BC178</f>
        <v>0.91488473459523223</v>
      </c>
      <c r="BF211" s="158">
        <f>BF178</f>
        <v>0.94094105940604</v>
      </c>
      <c r="BI211" s="158">
        <f>BI178</f>
        <v>0.96499089060116916</v>
      </c>
      <c r="BL211" s="158">
        <f>BL178</f>
        <v>0.98980134955702403</v>
      </c>
      <c r="BO211" s="158">
        <f>BO178</f>
        <v>1.0153725079541993</v>
      </c>
      <c r="BR211" s="158">
        <f>BR178</f>
        <v>1.0417915176082828</v>
      </c>
    </row>
    <row r="212" spans="2:70" outlineLevel="1">
      <c r="B212" s="57"/>
      <c r="C212" s="57" t="s">
        <v>162</v>
      </c>
      <c r="D212" s="58" t="s">
        <v>58</v>
      </c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62"/>
      <c r="V212" s="26">
        <f>$D$209*V172</f>
        <v>13751.382259999998</v>
      </c>
      <c r="Y212" s="26">
        <f>$D$209*Y172</f>
        <v>13463.405339999998</v>
      </c>
      <c r="AB212" s="26">
        <f>$D$209*AB172</f>
        <v>13198.174836</v>
      </c>
      <c r="AE212" s="26">
        <f>$D$209*AE172</f>
        <v>13198.174836</v>
      </c>
      <c r="AH212" s="26">
        <f>$D$209*AH172</f>
        <v>13198.174836</v>
      </c>
      <c r="AK212" s="26">
        <f>$D$209*AK172</f>
        <v>13198.174836</v>
      </c>
      <c r="AN212" s="26">
        <f>$D$209*AN172</f>
        <v>13198.174836</v>
      </c>
      <c r="AQ212" s="26">
        <f>$D$209*AQ172</f>
        <v>13198.174836</v>
      </c>
      <c r="AT212" s="26">
        <f>$D$209*AT172</f>
        <v>13198.174836</v>
      </c>
      <c r="AW212" s="26">
        <f>$D$209*AW172</f>
        <v>13198.174836</v>
      </c>
      <c r="AZ212" s="26">
        <f>$D$209*AZ172</f>
        <v>13198.174836</v>
      </c>
      <c r="BC212" s="26">
        <f>$D$209*BC172</f>
        <v>13198.174836</v>
      </c>
      <c r="BF212" s="26">
        <f>$D$209*BF172</f>
        <v>13198.174836</v>
      </c>
      <c r="BI212" s="26">
        <f>$D$209*BI172</f>
        <v>13198.174836</v>
      </c>
      <c r="BL212" s="26">
        <f>$D$209*BL172</f>
        <v>13198.174836</v>
      </c>
      <c r="BO212" s="26">
        <f>$D$209*BO172</f>
        <v>13198.174836</v>
      </c>
      <c r="BR212" s="26">
        <f>$D$209*BR172</f>
        <v>13198.174836</v>
      </c>
    </row>
    <row r="213" spans="2:70" outlineLevel="1">
      <c r="B213" s="57"/>
      <c r="C213" s="57" t="s">
        <v>163</v>
      </c>
      <c r="D213" s="58" t="s">
        <v>58</v>
      </c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62"/>
      <c r="V213" s="26">
        <f>V144</f>
        <v>3013.4000000000005</v>
      </c>
      <c r="Y213" s="26">
        <f>Y144</f>
        <v>2880.4</v>
      </c>
      <c r="AB213" s="26">
        <f>AB144</f>
        <v>3829.4000000000005</v>
      </c>
      <c r="AE213" s="26">
        <f>AE144</f>
        <v>4049.5</v>
      </c>
      <c r="AH213" s="26">
        <f>AE213</f>
        <v>4049.5</v>
      </c>
      <c r="AK213" s="26">
        <f>AH213</f>
        <v>4049.5</v>
      </c>
      <c r="AN213" s="26">
        <f>AK213</f>
        <v>4049.5</v>
      </c>
      <c r="AQ213" s="26">
        <f>AN213</f>
        <v>4049.5</v>
      </c>
      <c r="AT213" s="26">
        <f>AQ213</f>
        <v>4049.5</v>
      </c>
      <c r="AW213" s="26">
        <f>AT213</f>
        <v>4049.5</v>
      </c>
      <c r="AZ213" s="26">
        <f>AW213</f>
        <v>4049.5</v>
      </c>
      <c r="BC213" s="26">
        <f>AZ213</f>
        <v>4049.5</v>
      </c>
      <c r="BF213" s="26">
        <f>BC213</f>
        <v>4049.5</v>
      </c>
      <c r="BI213" s="26">
        <f>BF213</f>
        <v>4049.5</v>
      </c>
      <c r="BL213" s="26">
        <f>BI213</f>
        <v>4049.5</v>
      </c>
      <c r="BO213" s="26">
        <f>BL213</f>
        <v>4049.5</v>
      </c>
      <c r="BR213" s="26">
        <f>BO213</f>
        <v>4049.5</v>
      </c>
    </row>
    <row r="214" spans="2:70" outlineLevel="1">
      <c r="B214" s="55"/>
      <c r="C214" s="55" t="s">
        <v>164</v>
      </c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8"/>
      <c r="V214" s="26">
        <f>V212+V213</f>
        <v>16764.78226</v>
      </c>
      <c r="Y214" s="26">
        <f>Y212+Y213</f>
        <v>16343.805339999997</v>
      </c>
      <c r="AB214" s="26">
        <f>AB212+AB213</f>
        <v>17027.574836</v>
      </c>
      <c r="AE214" s="26">
        <f>AE212+AE213</f>
        <v>17247.674835999998</v>
      </c>
      <c r="AH214" s="26">
        <f>AH212+AH213</f>
        <v>17247.674835999998</v>
      </c>
      <c r="AK214" s="26">
        <f>AK212+AK213</f>
        <v>17247.674835999998</v>
      </c>
      <c r="AN214" s="26">
        <f>AN212+AN213</f>
        <v>17247.674835999998</v>
      </c>
      <c r="AQ214" s="26">
        <f>AQ212+AQ213</f>
        <v>17247.674835999998</v>
      </c>
      <c r="AT214" s="26">
        <f>AT212+AT213</f>
        <v>17247.674835999998</v>
      </c>
      <c r="AW214" s="26">
        <f>AW212+AW213</f>
        <v>17247.674835999998</v>
      </c>
      <c r="AZ214" s="26">
        <f>AZ212+AZ213</f>
        <v>17247.674835999998</v>
      </c>
      <c r="BC214" s="26">
        <f>BC212+BC213</f>
        <v>17247.674835999998</v>
      </c>
      <c r="BF214" s="26">
        <f>BF212+BF213</f>
        <v>17247.674835999998</v>
      </c>
      <c r="BI214" s="26">
        <f>BI212+BI213</f>
        <v>17247.674835999998</v>
      </c>
      <c r="BL214" s="26">
        <f>BL212+BL213</f>
        <v>17247.674835999998</v>
      </c>
      <c r="BO214" s="26">
        <f>BO212+BO213</f>
        <v>17247.674835999998</v>
      </c>
      <c r="BR214" s="26">
        <f>BR212+BR213</f>
        <v>17247.674835999998</v>
      </c>
    </row>
    <row r="215" spans="2:70" outlineLevel="1">
      <c r="B215" s="55"/>
      <c r="C215" s="55" t="s">
        <v>165</v>
      </c>
      <c r="D215" s="86" t="s">
        <v>77</v>
      </c>
      <c r="E215" s="75"/>
      <c r="F215" s="75"/>
      <c r="G215" s="75"/>
      <c r="H215" s="75"/>
      <c r="I215" s="75"/>
      <c r="J215" s="75"/>
      <c r="K215" s="75"/>
      <c r="L215" s="75"/>
      <c r="M215" s="75"/>
      <c r="N215" s="75"/>
      <c r="O215" s="75"/>
      <c r="P215" s="76"/>
      <c r="V215" s="157">
        <f>V214/V216</f>
        <v>15.489958662108476</v>
      </c>
      <c r="Y215" s="157">
        <f>Y214/Y216</f>
        <v>15.516761929174969</v>
      </c>
      <c r="AB215" s="157">
        <f>AB214/AB216</f>
        <v>16.135293126125273</v>
      </c>
      <c r="AE215" s="157">
        <f>AE214/AE216</f>
        <v>15.849728759419222</v>
      </c>
      <c r="AH215" s="157">
        <f>AH214/AH216</f>
        <v>15.074105520929004</v>
      </c>
      <c r="AK215" s="157">
        <f>AK214/AK216</f>
        <v>13.859145821769214</v>
      </c>
      <c r="AN215" s="157">
        <f>AN214/AN216</f>
        <v>12.989104245420391</v>
      </c>
      <c r="AQ215" s="157">
        <f>AQ214/AQ216</f>
        <v>12.599314503330955</v>
      </c>
      <c r="AT215" s="157">
        <f>AT214/AT216</f>
        <v>12.383450265855371</v>
      </c>
      <c r="AW215" s="157">
        <f>AW214/AW216</f>
        <v>12.168098888195816</v>
      </c>
      <c r="AZ215" s="157">
        <f>AZ214/AZ216</f>
        <v>11.953366283542993</v>
      </c>
      <c r="BC215" s="157">
        <f>BC214/BC216</f>
        <v>11.739356072322282</v>
      </c>
      <c r="BF215" s="157">
        <f>BF214/BF216</f>
        <v>11.526169503475794</v>
      </c>
      <c r="BI215" s="157">
        <f>BI214/BI216</f>
        <v>11.313905380502332</v>
      </c>
      <c r="BL215" s="157">
        <f>BL214/BL216</f>
        <v>11.102659992290446</v>
      </c>
      <c r="BO215" s="157">
        <f>BO214/BO216</f>
        <v>10.892527048770942</v>
      </c>
      <c r="BR215" s="157">
        <f>BR214/BR216</f>
        <v>10.683597621406417</v>
      </c>
    </row>
    <row r="216" spans="2:70" outlineLevel="1">
      <c r="B216" s="60"/>
      <c r="C216" s="60" t="s">
        <v>166</v>
      </c>
      <c r="D216" s="58" t="s">
        <v>58</v>
      </c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62"/>
      <c r="V216" s="26">
        <f>V11</f>
        <v>1082.2999999999997</v>
      </c>
      <c r="Y216" s="26">
        <f>Y11</f>
        <v>1053.3000000000002</v>
      </c>
      <c r="AB216" s="26">
        <f>AB11</f>
        <v>1055.3</v>
      </c>
      <c r="AE216" s="26">
        <f>AE11</f>
        <v>1088.2</v>
      </c>
      <c r="AH216" s="26">
        <f>AH11</f>
        <v>1144.1922581776539</v>
      </c>
      <c r="AK216" s="26">
        <f>AK11</f>
        <v>1244.4976810120766</v>
      </c>
      <c r="AN216" s="26">
        <f>AN11</f>
        <v>1327.8571416563282</v>
      </c>
      <c r="AQ216" s="26">
        <f>AQ11</f>
        <v>1368.9375585822647</v>
      </c>
      <c r="AT216" s="26">
        <f>AT11</f>
        <v>1392.8004284522103</v>
      </c>
      <c r="AW216" s="26">
        <f>AW11</f>
        <v>1417.4502520465085</v>
      </c>
      <c r="AZ216" s="26">
        <f>AZ11</f>
        <v>1442.913604993937</v>
      </c>
      <c r="BC216" s="26">
        <f>BC11</f>
        <v>1469.2181351125896</v>
      </c>
      <c r="BF216" s="26">
        <f>BF11</f>
        <v>1496.3926073444302</v>
      </c>
      <c r="BI216" s="26">
        <f>BI11</f>
        <v>1524.4669507068311</v>
      </c>
      <c r="BL216" s="26">
        <f>BL11</f>
        <v>1553.472307354866</v>
      </c>
      <c r="BO216" s="26">
        <f>BO11</f>
        <v>1583.4410838526344</v>
      </c>
      <c r="BR216" s="26">
        <f>BR11</f>
        <v>1614.4070047566495</v>
      </c>
    </row>
    <row r="217" spans="2:70" outlineLevel="1">
      <c r="B217" s="55"/>
      <c r="C217" s="55" t="s">
        <v>167</v>
      </c>
      <c r="D217" s="86" t="s">
        <v>77</v>
      </c>
      <c r="E217" s="75"/>
      <c r="F217" s="75"/>
      <c r="G217" s="75"/>
      <c r="H217" s="75"/>
      <c r="I217" s="75"/>
      <c r="J217" s="75"/>
      <c r="K217" s="75"/>
      <c r="L217" s="75"/>
      <c r="M217" s="75"/>
      <c r="N217" s="75"/>
      <c r="O217" s="75"/>
      <c r="P217" s="76"/>
      <c r="V217" s="157">
        <f>V214/V218</f>
        <v>11.496901837882323</v>
      </c>
      <c r="Y217" s="157">
        <f>Y214/Y218</f>
        <v>11.602871886979978</v>
      </c>
      <c r="AB217" s="157">
        <f>AB214/AB218</f>
        <v>12.082292511175762</v>
      </c>
      <c r="AE217" s="157">
        <f>AE214/AE218</f>
        <v>11.919609423635105</v>
      </c>
      <c r="AH217" s="157">
        <f>AH214/AH218</f>
        <v>11.386180056374883</v>
      </c>
      <c r="AK217" s="157">
        <f>AK214/AK218</f>
        <v>10.658893346453645</v>
      </c>
      <c r="AN217" s="157">
        <f>AN214/AN218</f>
        <v>10.027994551217237</v>
      </c>
      <c r="AQ217" s="157">
        <f>AQ214/AQ218</f>
        <v>9.7723088376490121</v>
      </c>
      <c r="AT217" s="157">
        <f>AT214/AT218</f>
        <v>9.620647318785629</v>
      </c>
      <c r="AW217" s="157">
        <f>AW214/AW218</f>
        <v>9.4693221989247292</v>
      </c>
      <c r="AZ217" s="157">
        <f>AZ214/AZ218</f>
        <v>9.3183847992514544</v>
      </c>
      <c r="BC217" s="157">
        <f>BC214/BC218</f>
        <v>9.1678856339304939</v>
      </c>
      <c r="BF217" s="157">
        <f>BF214/BF218</f>
        <v>9.0178743951563742</v>
      </c>
      <c r="BI217" s="157">
        <f>BI214/BI218</f>
        <v>8.8683999383565411</v>
      </c>
      <c r="BL217" s="157">
        <f>BL214/BL218</f>
        <v>8.7195102675232405</v>
      </c>
      <c r="BO217" s="157">
        <f>BO214/BO218</f>
        <v>8.5712525206544541</v>
      </c>
      <c r="BR217" s="157">
        <f>BR214/BR218</f>
        <v>8.4236729552882039</v>
      </c>
    </row>
    <row r="218" spans="2:70" outlineLevel="1">
      <c r="B218" s="60"/>
      <c r="C218" s="60" t="s">
        <v>168</v>
      </c>
      <c r="D218" s="58" t="s">
        <v>58</v>
      </c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62"/>
      <c r="V218" s="26">
        <f>V9</f>
        <v>1458.1999999999998</v>
      </c>
      <c r="Y218" s="26">
        <f>Y9</f>
        <v>1408.6000000000001</v>
      </c>
      <c r="AB218" s="26">
        <f>AB9</f>
        <v>1409.3</v>
      </c>
      <c r="AE218" s="26">
        <f>AE9</f>
        <v>1447</v>
      </c>
      <c r="AH218" s="26">
        <f>AH9</f>
        <v>1514.7902765109873</v>
      </c>
      <c r="AK218" s="26">
        <f>AK9</f>
        <v>1618.1487397787434</v>
      </c>
      <c r="AN218" s="26">
        <f>AN9</f>
        <v>1719.9525536146616</v>
      </c>
      <c r="AQ218" s="26">
        <f>AQ9</f>
        <v>1764.9539246601814</v>
      </c>
      <c r="AT218" s="26">
        <f>AT9</f>
        <v>1792.7769581909063</v>
      </c>
      <c r="AW218" s="26">
        <f>AW9</f>
        <v>1821.4265470825912</v>
      </c>
      <c r="AZ218" s="26">
        <f>AZ9</f>
        <v>1850.9296629803807</v>
      </c>
      <c r="BC218" s="26">
        <f>BC9</f>
        <v>1881.3143536788978</v>
      </c>
      <c r="BF218" s="26">
        <f>BF9</f>
        <v>1912.6097880964014</v>
      </c>
      <c r="BI218" s="26">
        <f>BI9</f>
        <v>1944.8463032663221</v>
      </c>
      <c r="BL218" s="26">
        <f>BL9</f>
        <v>1978.0554534399519</v>
      </c>
      <c r="BO218" s="26">
        <f>BO9</f>
        <v>2012.2700613985712</v>
      </c>
      <c r="BR218" s="26">
        <f>BR9</f>
        <v>2047.5242720780457</v>
      </c>
    </row>
    <row r="219" spans="2:70" outlineLevel="1">
      <c r="B219" s="55"/>
      <c r="C219" s="55" t="s">
        <v>169</v>
      </c>
      <c r="D219" s="86" t="s">
        <v>66</v>
      </c>
      <c r="E219" s="75"/>
      <c r="F219" s="75"/>
      <c r="G219" s="75"/>
      <c r="H219" s="75"/>
      <c r="I219" s="75"/>
      <c r="J219" s="75"/>
      <c r="K219" s="75"/>
      <c r="L219" s="75"/>
      <c r="M219" s="75"/>
      <c r="N219" s="75"/>
      <c r="O219" s="75"/>
      <c r="P219" s="79"/>
      <c r="V219" s="133">
        <f>V220/$D$209</f>
        <v>3.4398034398034405E-2</v>
      </c>
      <c r="Y219" s="133">
        <f>Y220/$D$209</f>
        <v>3.5100035100035107E-2</v>
      </c>
      <c r="AB219" s="133">
        <f>AB220/$D$209</f>
        <v>3.5977535977535981E-2</v>
      </c>
      <c r="AE219" s="133">
        <f>AE220/$D$209</f>
        <v>3.7732537732537735E-2</v>
      </c>
      <c r="AH219" s="133">
        <f>AH220/$D$209</f>
        <v>3.9975584951458108E-2</v>
      </c>
      <c r="AK219" s="133">
        <f>AK220/$D$209</f>
        <v>4.4110503666156521E-2</v>
      </c>
      <c r="AN219" s="133">
        <f>AN220/$D$209</f>
        <v>4.8087532833639243E-2</v>
      </c>
      <c r="AQ219" s="133">
        <f>AQ220/$D$209</f>
        <v>5.0451390752265804E-2</v>
      </c>
      <c r="AT219" s="133">
        <f>AT220/$D$209</f>
        <v>5.2086650015076973E-2</v>
      </c>
      <c r="AW219" s="133">
        <f>AW220/$D$209</f>
        <v>5.3771601552400801E-2</v>
      </c>
      <c r="AZ219" s="133">
        <f>AZ220/$D$209</f>
        <v>5.5510908780901681E-2</v>
      </c>
      <c r="BC219" s="133">
        <f>BC220/$D$209</f>
        <v>5.7267103878504137E-2</v>
      </c>
      <c r="BF219" s="133">
        <f>BF220/$D$209</f>
        <v>5.8900972543632253E-2</v>
      </c>
      <c r="BI219" s="133">
        <f>BI220/$D$209</f>
        <v>6.0407235298873062E-2</v>
      </c>
      <c r="BL219" s="133">
        <f>BL220/$D$209</f>
        <v>6.1961129630478742E-2</v>
      </c>
      <c r="BO219" s="133">
        <f>BO220/$D$209</f>
        <v>6.356270411002489E-2</v>
      </c>
      <c r="BR219" s="133">
        <f>BR220/$D$209</f>
        <v>6.5217327609447776E-2</v>
      </c>
    </row>
    <row r="220" spans="2:70" outlineLevel="1">
      <c r="B220" s="60"/>
      <c r="C220" s="60" t="s">
        <v>170</v>
      </c>
      <c r="D220" s="73" t="s">
        <v>239</v>
      </c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73"/>
      <c r="P220" s="62"/>
      <c r="V220" s="158">
        <f>V182</f>
        <v>0.39200000000000002</v>
      </c>
      <c r="Y220" s="158">
        <f>Y182</f>
        <v>0.4</v>
      </c>
      <c r="AB220" s="158">
        <f>AB182</f>
        <v>0.41</v>
      </c>
      <c r="AE220" s="158">
        <f>AE182</f>
        <v>0.43</v>
      </c>
      <c r="AH220" s="158">
        <f>AH182</f>
        <v>0.45556176610681653</v>
      </c>
      <c r="AK220" s="158">
        <f>AK182</f>
        <v>0.50268329977951964</v>
      </c>
      <c r="AN220" s="158">
        <f>AN182</f>
        <v>0.54800552417215276</v>
      </c>
      <c r="AQ220" s="158">
        <f>AQ182</f>
        <v>0.57494404901282103</v>
      </c>
      <c r="AT220" s="158">
        <f>AT182</f>
        <v>0.59357946357181712</v>
      </c>
      <c r="AW220" s="158">
        <f>AW182</f>
        <v>0.6127811712911595</v>
      </c>
      <c r="AZ220" s="158">
        <f>AZ182</f>
        <v>0.63260231646715548</v>
      </c>
      <c r="BC220" s="158">
        <f>BC182</f>
        <v>0.65261591579943312</v>
      </c>
      <c r="BF220" s="158">
        <f>BF182</f>
        <v>0.67123548310723313</v>
      </c>
      <c r="BI220" s="158">
        <f>BI182</f>
        <v>0.68840085346595736</v>
      </c>
      <c r="BL220" s="158">
        <f>BL182</f>
        <v>0.7061090332689357</v>
      </c>
      <c r="BO220" s="158">
        <f>BO182</f>
        <v>0.72436057603784354</v>
      </c>
      <c r="BR220" s="158">
        <f>BR182</f>
        <v>0.74321666543726672</v>
      </c>
    </row>
    <row r="221" spans="2:70" outlineLevel="1">
      <c r="B221" s="55"/>
      <c r="C221" s="55" t="s">
        <v>171</v>
      </c>
      <c r="D221" s="86" t="s">
        <v>66</v>
      </c>
      <c r="E221" s="75"/>
      <c r="F221" s="75"/>
      <c r="G221" s="75"/>
      <c r="H221" s="75"/>
      <c r="I221" s="75"/>
      <c r="J221" s="75"/>
      <c r="K221" s="75"/>
      <c r="L221" s="75"/>
      <c r="M221" s="75"/>
      <c r="N221" s="75"/>
      <c r="O221" s="75"/>
      <c r="P221" s="79"/>
      <c r="V221" s="133">
        <f>V222/V212</f>
        <v>4.5464520451778921E-2</v>
      </c>
      <c r="Y221" s="133">
        <f>Y222/Y212</f>
        <v>4.9541700866595179E-2</v>
      </c>
      <c r="AB221" s="133">
        <f>AB222/AB212</f>
        <v>7.7586485459102076E-3</v>
      </c>
      <c r="AE221" s="133">
        <f>AE222/AE212</f>
        <v>2.9913227010989724E-2</v>
      </c>
      <c r="AH221" s="133">
        <f>AH222/AH212</f>
        <v>5.4406033810082327E-2</v>
      </c>
      <c r="AK221" s="133">
        <f>AK222/AK212</f>
        <v>6.3670160276633331E-2</v>
      </c>
      <c r="AN221" s="133">
        <f>AN222/AN212</f>
        <v>6.945237617216167E-2</v>
      </c>
      <c r="AQ221" s="133">
        <f>AQ222/AQ212</f>
        <v>7.2613406051659016E-2</v>
      </c>
      <c r="AT221" s="133">
        <f>AT222/AT212</f>
        <v>7.4924362355045238E-2</v>
      </c>
      <c r="AW221" s="133">
        <f>AW222/AW212</f>
        <v>7.7316486862533867E-2</v>
      </c>
      <c r="AZ221" s="133">
        <f>AZ222/AZ212</f>
        <v>7.9785621019683242E-2</v>
      </c>
      <c r="BC221" s="133">
        <f>BC222/BC212</f>
        <v>8.2276912982792882E-2</v>
      </c>
      <c r="BF221" s="133">
        <f>BF222/BF212</f>
        <v>8.4593734207575669E-2</v>
      </c>
      <c r="BI221" s="133">
        <f>BI222/BI212</f>
        <v>8.6731980714075174E-2</v>
      </c>
      <c r="BL221" s="133">
        <f>BL222/BL212</f>
        <v>8.893768627372764E-2</v>
      </c>
      <c r="BO221" s="133">
        <f>BO222/BO212</f>
        <v>9.0730084039564798E-2</v>
      </c>
      <c r="BR221" s="133">
        <f>BR222/BR212</f>
        <v>9.3168467009858591E-2</v>
      </c>
    </row>
    <row r="222" spans="2:70" outlineLevel="1">
      <c r="B222" s="60"/>
      <c r="C222" s="60" t="s">
        <v>172</v>
      </c>
      <c r="D222" s="58" t="s">
        <v>58</v>
      </c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62"/>
      <c r="V222" s="26">
        <f>V77</f>
        <v>625.19999999999982</v>
      </c>
      <c r="Y222" s="26">
        <f>Y77</f>
        <v>667</v>
      </c>
      <c r="AB222" s="26">
        <f>AB77</f>
        <v>102.40000000000009</v>
      </c>
      <c r="AE222" s="26">
        <f>AE77</f>
        <v>394.80000000000007</v>
      </c>
      <c r="AH222" s="26">
        <f>AH77</f>
        <v>718.06034635879382</v>
      </c>
      <c r="AK222" s="26">
        <f>AK77</f>
        <v>840.3299071671488</v>
      </c>
      <c r="AN222" s="26">
        <f>AN77</f>
        <v>916.64460349583021</v>
      </c>
      <c r="AQ222" s="26">
        <f>AQ77</f>
        <v>958.36442850725621</v>
      </c>
      <c r="AT222" s="26">
        <f>AT77</f>
        <v>988.86483383770383</v>
      </c>
      <c r="AW222" s="26">
        <f>AW77</f>
        <v>1020.4365113170192</v>
      </c>
      <c r="AZ222" s="26">
        <f>AZ77</f>
        <v>1053.0245756166159</v>
      </c>
      <c r="BC222" s="26">
        <f>BC77</f>
        <v>1085.9050825132588</v>
      </c>
      <c r="BF222" s="26">
        <f>BF77</f>
        <v>1116.4828941016976</v>
      </c>
      <c r="BI222" s="26">
        <f>BI77</f>
        <v>1144.7038453369444</v>
      </c>
      <c r="BL222" s="26">
        <f>BL77</f>
        <v>1173.8151329499747</v>
      </c>
      <c r="BO222" s="26">
        <f>BO77</f>
        <v>1197.4715120391493</v>
      </c>
      <c r="BR222" s="26">
        <f>BR77</f>
        <v>1229.6537167982119</v>
      </c>
    </row>
    <row r="223" spans="2:70" outlineLevel="1">
      <c r="B223" s="60"/>
      <c r="C223" s="60" t="s">
        <v>261</v>
      </c>
      <c r="D223" s="58" t="s">
        <v>58</v>
      </c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62"/>
      <c r="V223" s="26">
        <f>V93</f>
        <v>633.89999999999986</v>
      </c>
      <c r="Y223" s="26">
        <f>Y93</f>
        <v>285.00000000000011</v>
      </c>
      <c r="AB223" s="26">
        <f>AB93</f>
        <v>355.50000000000028</v>
      </c>
      <c r="AE223" s="26">
        <f>AE93</f>
        <v>248.89999999999986</v>
      </c>
      <c r="AH223" s="26">
        <f>AH93</f>
        <v>196.59850425353045</v>
      </c>
      <c r="AK223" s="26">
        <f>AK93</f>
        <v>295.22296049203749</v>
      </c>
      <c r="AN223" s="26">
        <f>AN93</f>
        <v>311.84734842334376</v>
      </c>
      <c r="AQ223" s="26">
        <f>AQ93</f>
        <v>317.22065580443746</v>
      </c>
      <c r="AT223" s="26">
        <f>AT93</f>
        <v>321.05257421906856</v>
      </c>
      <c r="AW223" s="26">
        <f>AW93</f>
        <v>330.7444740952958</v>
      </c>
      <c r="AZ223" s="26">
        <f>AZ93</f>
        <v>340.7473879426625</v>
      </c>
      <c r="BC223" s="26">
        <f>BC93</f>
        <v>350.31368028172949</v>
      </c>
      <c r="BF223" s="26">
        <f>BF93</f>
        <v>358.40246324169163</v>
      </c>
      <c r="BI223" s="26">
        <f>BI93</f>
        <v>366.30114678359564</v>
      </c>
      <c r="BL223" s="26">
        <f>BL93</f>
        <v>375.23304607239277</v>
      </c>
      <c r="BO223" s="26">
        <f>BO93</f>
        <v>378.07153386094581</v>
      </c>
      <c r="BR223" s="26">
        <f>BR93</f>
        <v>388.79152250643165</v>
      </c>
    </row>
    <row r="224" spans="2:70" outlineLevel="1">
      <c r="B224" s="54" t="s">
        <v>240</v>
      </c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62"/>
    </row>
    <row r="225" spans="2:70" outlineLevel="1">
      <c r="B225" s="55"/>
      <c r="C225" s="60" t="s">
        <v>241</v>
      </c>
      <c r="D225" s="74" t="s">
        <v>66</v>
      </c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62"/>
      <c r="T225" s="133">
        <f t="shared" ref="T225:AE225" si="703">T9/T8</f>
        <v>0.14118577733366638</v>
      </c>
      <c r="U225" s="133">
        <f t="shared" si="703"/>
        <v>0.15093463369325438</v>
      </c>
      <c r="V225" s="133">
        <f t="shared" si="703"/>
        <v>0.1462382413703191</v>
      </c>
      <c r="W225" s="133">
        <f t="shared" si="703"/>
        <v>0.14594943025867088</v>
      </c>
      <c r="X225" s="133">
        <f t="shared" si="703"/>
        <v>0.14715558887223054</v>
      </c>
      <c r="Y225" s="133">
        <f t="shared" si="703"/>
        <v>0.14655208289982938</v>
      </c>
      <c r="Z225" s="133">
        <f t="shared" si="703"/>
        <v>0.14604172620748787</v>
      </c>
      <c r="AA225" s="133">
        <f t="shared" si="703"/>
        <v>0.15284559517459276</v>
      </c>
      <c r="AB225" s="133">
        <f t="shared" si="703"/>
        <v>0.14956117543431427</v>
      </c>
      <c r="AC225" s="20">
        <f t="shared" si="703"/>
        <v>0.15166163141993957</v>
      </c>
      <c r="AD225" s="20">
        <f t="shared" si="703"/>
        <v>0.16597626752966554</v>
      </c>
      <c r="AE225" s="133">
        <f t="shared" si="703"/>
        <v>0.15894985445158455</v>
      </c>
      <c r="AF225" s="133">
        <f t="shared" ref="AF225" si="704">AF9/AF8</f>
        <v>0.15440653873489693</v>
      </c>
      <c r="AG225" s="938">
        <f t="shared" ref="AG225:BR225" si="705">AG9/AG8</f>
        <v>0.16735655471326114</v>
      </c>
      <c r="AH225" s="20">
        <f t="shared" si="705"/>
        <v>0.16115355499185569</v>
      </c>
      <c r="AI225" s="20">
        <f t="shared" si="705"/>
        <v>0.16613480243565212</v>
      </c>
      <c r="AJ225" s="20">
        <f t="shared" si="705"/>
        <v>0.17368592148334633</v>
      </c>
      <c r="AK225" s="20">
        <f t="shared" si="705"/>
        <v>0.17012123332113965</v>
      </c>
      <c r="AL225" s="20">
        <f t="shared" si="705"/>
        <v>0.16842120181285339</v>
      </c>
      <c r="AM225" s="20">
        <f t="shared" si="705"/>
        <v>0.17410832153204123</v>
      </c>
      <c r="AN225" s="20">
        <f t="shared" si="705"/>
        <v>0.17139011828588194</v>
      </c>
      <c r="AO225" s="20">
        <f t="shared" si="705"/>
        <v>0.16931461577334811</v>
      </c>
      <c r="AP225" s="20">
        <f t="shared" si="705"/>
        <v>0.17583065305138565</v>
      </c>
      <c r="AQ225" s="20">
        <f t="shared" si="705"/>
        <v>0.1727102903645493</v>
      </c>
      <c r="AR225" s="20">
        <f t="shared" si="705"/>
        <v>0.16903642037964506</v>
      </c>
      <c r="AS225" s="20">
        <f t="shared" si="705"/>
        <v>0.17551964532037895</v>
      </c>
      <c r="AT225" s="20">
        <f t="shared" si="705"/>
        <v>0.17241574964629472</v>
      </c>
      <c r="AU225" s="20">
        <f t="shared" si="705"/>
        <v>0.16875291379735352</v>
      </c>
      <c r="AV225" s="20">
        <f t="shared" si="705"/>
        <v>0.17520546817646374</v>
      </c>
      <c r="AW225" s="20">
        <f t="shared" si="705"/>
        <v>0.17211698633981345</v>
      </c>
      <c r="AX225" s="20">
        <f t="shared" si="705"/>
        <v>0.16846431005624671</v>
      </c>
      <c r="AY225" s="20">
        <f t="shared" si="705"/>
        <v>0.17488831530230092</v>
      </c>
      <c r="AZ225" s="20">
        <f t="shared" si="705"/>
        <v>0.17181420501627734</v>
      </c>
      <c r="BA225" s="20">
        <f t="shared" si="705"/>
        <v>0.16817082596535374</v>
      </c>
      <c r="BB225" s="20">
        <f t="shared" si="705"/>
        <v>0.17456838168044417</v>
      </c>
      <c r="BC225" s="20">
        <f t="shared" si="705"/>
        <v>0.1715076122056709</v>
      </c>
      <c r="BD225" s="20">
        <f t="shared" si="705"/>
        <v>0.16787268086757853</v>
      </c>
      <c r="BE225" s="20">
        <f t="shared" si="705"/>
        <v>0.17424586340605833</v>
      </c>
      <c r="BF225" s="20">
        <f t="shared" si="705"/>
        <v>0.17119741618180986</v>
      </c>
      <c r="BG225" s="20">
        <f t="shared" si="705"/>
        <v>0.16757009639336992</v>
      </c>
      <c r="BH225" s="20">
        <f t="shared" si="705"/>
        <v>0.17392095749910472</v>
      </c>
      <c r="BI225" s="20">
        <f t="shared" si="705"/>
        <v>0.17088382674675071</v>
      </c>
      <c r="BJ225" s="20">
        <f t="shared" si="705"/>
        <v>0.16726329621374633</v>
      </c>
      <c r="BK225" s="20">
        <f t="shared" si="705"/>
        <v>0.17359386171620284</v>
      </c>
      <c r="BL225" s="20">
        <f t="shared" si="705"/>
        <v>0.17056705501483868</v>
      </c>
      <c r="BM225" s="20">
        <f t="shared" si="705"/>
        <v>0.16695250579297649</v>
      </c>
      <c r="BN225" s="20">
        <f t="shared" si="705"/>
        <v>0.1732647743623848</v>
      </c>
      <c r="BO225" s="20">
        <f t="shared" si="705"/>
        <v>0.17024731319664491</v>
      </c>
      <c r="BP225" s="20">
        <f t="shared" si="705"/>
        <v>0.16663795214122026</v>
      </c>
      <c r="BQ225" s="20">
        <f t="shared" si="705"/>
        <v>0.17293389410296003</v>
      </c>
      <c r="BR225" s="20">
        <f t="shared" si="705"/>
        <v>0.16992481438304538</v>
      </c>
    </row>
    <row r="226" spans="2:70" outlineLevel="1">
      <c r="B226" s="55"/>
      <c r="C226" s="60" t="s">
        <v>242</v>
      </c>
      <c r="D226" s="74" t="s">
        <v>66</v>
      </c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62"/>
      <c r="T226" s="133">
        <f t="shared" ref="T226:AE226" si="706">T11/T8</f>
        <v>0.10236072945291029</v>
      </c>
      <c r="U226" s="133">
        <f t="shared" si="706"/>
        <v>0.1142846085374821</v>
      </c>
      <c r="V226" s="133">
        <f t="shared" si="706"/>
        <v>0.10854042561726536</v>
      </c>
      <c r="W226" s="133">
        <f t="shared" si="706"/>
        <v>0.10787656990767695</v>
      </c>
      <c r="X226" s="133">
        <f t="shared" si="706"/>
        <v>0.11129851740796268</v>
      </c>
      <c r="Y226" s="133">
        <f t="shared" si="706"/>
        <v>0.10958633318073996</v>
      </c>
      <c r="Z226" s="133">
        <f t="shared" si="706"/>
        <v>0.10750324268472312</v>
      </c>
      <c r="AA226" s="133">
        <f t="shared" si="706"/>
        <v>0.11618316851996224</v>
      </c>
      <c r="AB226" s="133">
        <f t="shared" si="706"/>
        <v>0.11199312313618949</v>
      </c>
      <c r="AC226" s="20">
        <f t="shared" si="706"/>
        <v>0.11093208011637015</v>
      </c>
      <c r="AD226" s="20">
        <f t="shared" si="706"/>
        <v>0.12783171521035594</v>
      </c>
      <c r="AE226" s="133">
        <f t="shared" si="706"/>
        <v>0.11953644202779151</v>
      </c>
      <c r="AF226" s="133">
        <f t="shared" ref="AF226" si="707">AF11/AF8</f>
        <v>0.11411691542288557</v>
      </c>
      <c r="AG226" s="938">
        <f t="shared" ref="AG226:BR226" si="708">AG11/AG8</f>
        <v>0.12872319190466924</v>
      </c>
      <c r="AH226" s="20">
        <f t="shared" si="708"/>
        <v>0.12172685081145004</v>
      </c>
      <c r="AI226" s="20">
        <f t="shared" si="708"/>
        <v>0.12604607314473856</v>
      </c>
      <c r="AJ226" s="20">
        <f t="shared" si="708"/>
        <v>0.13512312570361029</v>
      </c>
      <c r="AK226" s="20">
        <f t="shared" si="708"/>
        <v>0.13083808376479747</v>
      </c>
      <c r="AL226" s="20">
        <f t="shared" si="708"/>
        <v>0.12831013695536378</v>
      </c>
      <c r="AM226" s="20">
        <f t="shared" si="708"/>
        <v>0.13598842904069341</v>
      </c>
      <c r="AN226" s="20">
        <f t="shared" si="708"/>
        <v>0.13231852942509631</v>
      </c>
      <c r="AO226" s="20">
        <f t="shared" si="708"/>
        <v>0.12960742741757814</v>
      </c>
      <c r="AP226" s="20">
        <f t="shared" si="708"/>
        <v>0.13795573733084684</v>
      </c>
      <c r="AQ226" s="20">
        <f t="shared" si="708"/>
        <v>0.13395794639749678</v>
      </c>
      <c r="AR226" s="20">
        <f t="shared" si="708"/>
        <v>0.12961231645680713</v>
      </c>
      <c r="AS226" s="20">
        <f t="shared" si="708"/>
        <v>0.13793227306198008</v>
      </c>
      <c r="AT226" s="20">
        <f t="shared" si="708"/>
        <v>0.13394902744711459</v>
      </c>
      <c r="AU226" s="20">
        <f t="shared" si="708"/>
        <v>0.1296195437033113</v>
      </c>
      <c r="AV226" s="20">
        <f t="shared" si="708"/>
        <v>0.13791219713710587</v>
      </c>
      <c r="AW226" s="20">
        <f t="shared" si="708"/>
        <v>0.13394296138903894</v>
      </c>
      <c r="AX226" s="20">
        <f t="shared" si="708"/>
        <v>0.12962911190368007</v>
      </c>
      <c r="AY226" s="20">
        <f t="shared" si="708"/>
        <v>0.13789550646882173</v>
      </c>
      <c r="AZ226" s="20">
        <f t="shared" si="708"/>
        <v>0.13393974871525516</v>
      </c>
      <c r="BA226" s="20">
        <f t="shared" si="708"/>
        <v>0.12964102267795066</v>
      </c>
      <c r="BB226" s="20">
        <f t="shared" si="708"/>
        <v>0.13788219638070329</v>
      </c>
      <c r="BC226" s="20">
        <f t="shared" si="708"/>
        <v>0.13393938852891846</v>
      </c>
      <c r="BD226" s="20">
        <f t="shared" si="708"/>
        <v>0.12965527652762054</v>
      </c>
      <c r="BE226" s="20">
        <f t="shared" si="708"/>
        <v>0.13787226063120955</v>
      </c>
      <c r="BF226" s="20">
        <f t="shared" si="708"/>
        <v>0.13394187856055029</v>
      </c>
      <c r="BG226" s="20">
        <f t="shared" si="708"/>
        <v>0.12967187284467288</v>
      </c>
      <c r="BH226" s="20">
        <f t="shared" si="708"/>
        <v>0.1378656914383867</v>
      </c>
      <c r="BI226" s="20">
        <f t="shared" si="708"/>
        <v>0.13394721518518904</v>
      </c>
      <c r="BJ226" s="20">
        <f t="shared" si="708"/>
        <v>0.12969080992160142</v>
      </c>
      <c r="BK226" s="20">
        <f t="shared" si="708"/>
        <v>0.13786247950534916</v>
      </c>
      <c r="BL226" s="20">
        <f t="shared" si="708"/>
        <v>0.13395539344047494</v>
      </c>
      <c r="BM226" s="20">
        <f t="shared" si="708"/>
        <v>0.12971208496241962</v>
      </c>
      <c r="BN226" s="20">
        <f t="shared" si="708"/>
        <v>0.13786261404652017</v>
      </c>
      <c r="BO226" s="20">
        <f t="shared" si="708"/>
        <v>0.13396640704564911</v>
      </c>
      <c r="BP226" s="20">
        <f t="shared" si="708"/>
        <v>0.12973569409463981</v>
      </c>
      <c r="BQ226" s="20">
        <f t="shared" si="708"/>
        <v>0.13786608281461238</v>
      </c>
      <c r="BR226" s="20">
        <f t="shared" si="708"/>
        <v>0.13398024842144843</v>
      </c>
    </row>
    <row r="227" spans="2:70" outlineLevel="1">
      <c r="B227" s="55"/>
      <c r="C227" s="60" t="s">
        <v>243</v>
      </c>
      <c r="D227" s="74" t="s">
        <v>66</v>
      </c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62"/>
      <c r="T227" s="133">
        <f t="shared" ref="T227:AE227" si="709">T17/T8</f>
        <v>6.2682155050378871E-2</v>
      </c>
      <c r="U227" s="133">
        <f t="shared" si="709"/>
        <v>7.2932389024343042E-2</v>
      </c>
      <c r="V227" s="133">
        <f t="shared" si="709"/>
        <v>6.7994464167519073E-2</v>
      </c>
      <c r="W227" s="133">
        <f t="shared" si="709"/>
        <v>6.6809448556932535E-2</v>
      </c>
      <c r="X227" s="133">
        <f t="shared" si="709"/>
        <v>7.2838580709645176E-2</v>
      </c>
      <c r="Y227" s="133">
        <f t="shared" si="709"/>
        <v>6.9821881892712989E-2</v>
      </c>
      <c r="Z227" s="133">
        <f t="shared" si="709"/>
        <v>6.7162046298942568E-2</v>
      </c>
      <c r="AA227" s="133">
        <f t="shared" si="709"/>
        <v>7.5007180665545098E-2</v>
      </c>
      <c r="AB227" s="133">
        <f t="shared" si="709"/>
        <v>7.1220112704156902E-2</v>
      </c>
      <c r="AC227" s="20">
        <f t="shared" si="709"/>
        <v>6.9061206221327068E-2</v>
      </c>
      <c r="AD227" s="20">
        <f t="shared" si="709"/>
        <v>8.4703344120819798E-2</v>
      </c>
      <c r="AE227" s="133">
        <f t="shared" si="709"/>
        <v>7.7025319931894334E-2</v>
      </c>
      <c r="AF227" s="133">
        <f t="shared" ref="AF227" si="710">AF17/AF8</f>
        <v>7.3227611940298518E-2</v>
      </c>
      <c r="AG227" s="938">
        <f t="shared" ref="AG227:BR227" si="711">AG17/AG8</f>
        <v>8.3772205621854473E-2</v>
      </c>
      <c r="AH227" s="20">
        <f t="shared" si="711"/>
        <v>7.8721392419901406E-2</v>
      </c>
      <c r="AI227" s="20">
        <f t="shared" si="711"/>
        <v>8.1399373100434658E-2</v>
      </c>
      <c r="AJ227" s="20">
        <f t="shared" si="711"/>
        <v>8.9877091570203099E-2</v>
      </c>
      <c r="AK227" s="20">
        <f t="shared" si="711"/>
        <v>8.5874979766531717E-2</v>
      </c>
      <c r="AL227" s="20">
        <f t="shared" si="711"/>
        <v>8.5075709991007206E-2</v>
      </c>
      <c r="AM227" s="20">
        <f t="shared" si="711"/>
        <v>9.1966534373513487E-2</v>
      </c>
      <c r="AN227" s="20">
        <f t="shared" si="711"/>
        <v>8.8673011091060613E-2</v>
      </c>
      <c r="AO227" s="20">
        <f t="shared" si="711"/>
        <v>8.7569829081922859E-2</v>
      </c>
      <c r="AP227" s="20">
        <f t="shared" si="711"/>
        <v>9.4834510163692431E-2</v>
      </c>
      <c r="AQ227" s="20">
        <f t="shared" si="711"/>
        <v>9.1355641211281133E-2</v>
      </c>
      <c r="AR227" s="20">
        <f t="shared" si="711"/>
        <v>8.8964461039274398E-2</v>
      </c>
      <c r="AS227" s="20">
        <f t="shared" si="711"/>
        <v>9.6115555851432999E-2</v>
      </c>
      <c r="AT227" s="20">
        <f t="shared" si="711"/>
        <v>9.2691912147052663E-2</v>
      </c>
      <c r="AU227" s="20">
        <f t="shared" si="711"/>
        <v>9.0345122244971987E-2</v>
      </c>
      <c r="AV227" s="20">
        <f t="shared" si="711"/>
        <v>9.7393009659551402E-2</v>
      </c>
      <c r="AW227" s="20">
        <f t="shared" si="711"/>
        <v>9.4019574739397149E-2</v>
      </c>
      <c r="AX227" s="20">
        <f t="shared" si="711"/>
        <v>9.1721796336643444E-2</v>
      </c>
      <c r="AY227" s="20">
        <f t="shared" si="711"/>
        <v>9.8666398628643182E-2</v>
      </c>
      <c r="AZ227" s="20">
        <f t="shared" si="711"/>
        <v>9.5343164521496104E-2</v>
      </c>
      <c r="BA227" s="20">
        <f t="shared" si="711"/>
        <v>9.3093859049141317E-2</v>
      </c>
      <c r="BB227" s="20">
        <f t="shared" si="711"/>
        <v>9.9804483052761586E-2</v>
      </c>
      <c r="BC227" s="20">
        <f t="shared" si="711"/>
        <v>9.6593932958056961E-2</v>
      </c>
      <c r="BD227" s="20">
        <f t="shared" si="711"/>
        <v>9.419144531225046E-2</v>
      </c>
      <c r="BE227" s="20">
        <f t="shared" si="711"/>
        <v>0.1006154264774963</v>
      </c>
      <c r="BF227" s="20">
        <f t="shared" si="711"/>
        <v>9.7542681042451937E-2</v>
      </c>
      <c r="BG227" s="20">
        <f t="shared" si="711"/>
        <v>9.4887782203585666E-2</v>
      </c>
      <c r="BH227" s="20">
        <f t="shared" si="711"/>
        <v>0.10123090730227448</v>
      </c>
      <c r="BI227" s="20">
        <f t="shared" si="711"/>
        <v>9.8197476089952676E-2</v>
      </c>
      <c r="BJ227" s="20">
        <f t="shared" si="711"/>
        <v>9.5578630642095069E-2</v>
      </c>
      <c r="BK227" s="20">
        <f t="shared" si="711"/>
        <v>0.10184254998645716</v>
      </c>
      <c r="BL227" s="20">
        <f t="shared" si="711"/>
        <v>9.884760853281252E-2</v>
      </c>
      <c r="BM227" s="20">
        <f t="shared" si="711"/>
        <v>9.6263636334352309E-2</v>
      </c>
      <c r="BN227" s="20">
        <f t="shared" si="711"/>
        <v>0.10244539630153057</v>
      </c>
      <c r="BO227" s="20">
        <f t="shared" si="711"/>
        <v>9.949032231635721E-2</v>
      </c>
      <c r="BP227" s="20">
        <f t="shared" si="711"/>
        <v>9.6943586583491961E-2</v>
      </c>
      <c r="BQ227" s="20">
        <f t="shared" si="711"/>
        <v>0.10304967404948208</v>
      </c>
      <c r="BR227" s="20">
        <f t="shared" si="711"/>
        <v>0.10013133330339635</v>
      </c>
    </row>
    <row r="228" spans="2:70" outlineLevel="1">
      <c r="B228" s="55"/>
      <c r="C228" s="57" t="s">
        <v>244</v>
      </c>
      <c r="D228" s="74" t="s">
        <v>66</v>
      </c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62"/>
      <c r="T228" s="133"/>
      <c r="U228" s="133"/>
      <c r="V228" s="133"/>
      <c r="W228" s="133">
        <f t="shared" ref="W228:AF228" si="712">W178/T178-1</f>
        <v>6.8273092369477872E-2</v>
      </c>
      <c r="X228" s="133">
        <f t="shared" si="712"/>
        <v>-6.7092651757188593E-2</v>
      </c>
      <c r="Y228" s="133">
        <f t="shared" si="712"/>
        <v>-7.1174377224199059E-3</v>
      </c>
      <c r="Z228" s="133">
        <f t="shared" si="712"/>
        <v>-1.5037593984962405E-2</v>
      </c>
      <c r="AA228" s="133">
        <f t="shared" si="712"/>
        <v>7.8767123287670993E-2</v>
      </c>
      <c r="AB228" s="133">
        <f t="shared" si="712"/>
        <v>3.4050179211469356E-2</v>
      </c>
      <c r="AC228" s="20">
        <f t="shared" si="712"/>
        <v>1.9083969465648831E-2</v>
      </c>
      <c r="AD228" s="20">
        <f t="shared" si="712"/>
        <v>7.6190476190476364E-2</v>
      </c>
      <c r="AE228" s="133">
        <f t="shared" si="712"/>
        <v>5.0259965337954959E-2</v>
      </c>
      <c r="AF228" s="133">
        <f t="shared" si="712"/>
        <v>6.7415730337078594E-2</v>
      </c>
      <c r="AG228" s="938">
        <f t="shared" ref="AG228:BR228" si="713">AG178/AD178-1</f>
        <v>4.4943685560921764E-2</v>
      </c>
      <c r="AH228" s="20">
        <f t="shared" si="713"/>
        <v>5.484473499200071E-2</v>
      </c>
      <c r="AI228" s="20">
        <f t="shared" si="713"/>
        <v>0.10734999252043043</v>
      </c>
      <c r="AJ228" s="20">
        <f t="shared" si="713"/>
        <v>0.10008901480502264</v>
      </c>
      <c r="AK228" s="20">
        <f t="shared" si="713"/>
        <v>0.1033262838921376</v>
      </c>
      <c r="AL228" s="20">
        <f t="shared" si="713"/>
        <v>0.11643803270783937</v>
      </c>
      <c r="AM228" s="20">
        <f t="shared" si="713"/>
        <v>6.7540276646881336E-2</v>
      </c>
      <c r="AN228" s="20">
        <f t="shared" si="713"/>
        <v>8.9420591581690356E-2</v>
      </c>
      <c r="AO228" s="20">
        <f t="shared" si="713"/>
        <v>5.0183883977114929E-2</v>
      </c>
      <c r="AP228" s="20">
        <f t="shared" si="713"/>
        <v>4.8233295102814155E-2</v>
      </c>
      <c r="AQ228" s="20">
        <f t="shared" si="713"/>
        <v>4.9127772611557097E-2</v>
      </c>
      <c r="AR228" s="20">
        <f t="shared" si="713"/>
        <v>3.3452996507016275E-2</v>
      </c>
      <c r="AS228" s="20">
        <f t="shared" si="713"/>
        <v>3.1474178014094134E-2</v>
      </c>
      <c r="AT228" s="20">
        <f t="shared" si="713"/>
        <v>3.2382514183735056E-2</v>
      </c>
      <c r="AU228" s="20">
        <f t="shared" si="713"/>
        <v>3.3294487245644877E-2</v>
      </c>
      <c r="AV228" s="20">
        <f t="shared" si="713"/>
        <v>3.1494617769282529E-2</v>
      </c>
      <c r="AW228" s="20">
        <f t="shared" si="713"/>
        <v>3.2321667735450088E-2</v>
      </c>
      <c r="AX228" s="20">
        <f t="shared" si="713"/>
        <v>3.3263147991636766E-2</v>
      </c>
      <c r="AY228" s="20">
        <f t="shared" si="713"/>
        <v>3.1516152481949389E-2</v>
      </c>
      <c r="AZ228" s="20">
        <f t="shared" si="713"/>
        <v>3.231966305238676E-2</v>
      </c>
      <c r="BA228" s="20">
        <f t="shared" si="713"/>
        <v>3.323376367815345E-2</v>
      </c>
      <c r="BB228" s="20">
        <f t="shared" si="713"/>
        <v>3.0188979378376279E-2</v>
      </c>
      <c r="BC228" s="20">
        <f t="shared" si="713"/>
        <v>3.1590672938009767E-2</v>
      </c>
      <c r="BD228" s="20">
        <f t="shared" si="713"/>
        <v>3.0261345190480737E-2</v>
      </c>
      <c r="BE228" s="20">
        <f t="shared" si="713"/>
        <v>2.6956699127444361E-2</v>
      </c>
      <c r="BF228" s="20">
        <f t="shared" si="713"/>
        <v>2.8480445487305772E-2</v>
      </c>
      <c r="BG228" s="20">
        <f t="shared" si="713"/>
        <v>2.6035867626043485E-2</v>
      </c>
      <c r="BH228" s="20">
        <f t="shared" si="713"/>
        <v>2.5150306175305559E-2</v>
      </c>
      <c r="BI228" s="20">
        <f t="shared" si="713"/>
        <v>2.5559338658587505E-2</v>
      </c>
      <c r="BJ228" s="20">
        <f t="shared" si="713"/>
        <v>2.617351212991581E-2</v>
      </c>
      <c r="BK228" s="20">
        <f t="shared" si="713"/>
        <v>2.5312843359035275E-2</v>
      </c>
      <c r="BL228" s="20">
        <f t="shared" si="713"/>
        <v>2.5710562863861419E-2</v>
      </c>
      <c r="BM228" s="20">
        <f t="shared" si="713"/>
        <v>2.6309118141340182E-2</v>
      </c>
      <c r="BN228" s="20">
        <f t="shared" si="713"/>
        <v>2.5426667975390504E-2</v>
      </c>
      <c r="BO228" s="20">
        <f t="shared" si="713"/>
        <v>2.5834636827500201E-2</v>
      </c>
      <c r="BP228" s="20">
        <f t="shared" si="713"/>
        <v>2.6454805989129415E-2</v>
      </c>
      <c r="BQ228" s="20">
        <f t="shared" si="713"/>
        <v>2.5644021838197917E-2</v>
      </c>
      <c r="BR228" s="20">
        <f t="shared" si="713"/>
        <v>2.6019031879554566E-2</v>
      </c>
    </row>
    <row r="229" spans="2:70" outlineLevel="1">
      <c r="B229" s="55"/>
      <c r="C229" s="57" t="s">
        <v>245</v>
      </c>
      <c r="D229" s="74" t="s">
        <v>66</v>
      </c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62"/>
      <c r="T229" s="133">
        <f>T17*2/AVERAGE(S56,T56)</f>
        <v>0.1753946525310188</v>
      </c>
      <c r="U229" s="133">
        <f>U17*2/AVERAGE(T56,U56)</f>
        <v>0.35239119255761764</v>
      </c>
      <c r="V229" s="133">
        <f>V17/AVERAGE(S56,V56)</f>
        <v>0.24333781965006718</v>
      </c>
      <c r="W229" s="133">
        <f>W17*2/AVERAGE(V56,W56)</f>
        <v>0.3100977198697068</v>
      </c>
      <c r="X229" s="133">
        <f>X17*2/AVERAGE(W56,X56)</f>
        <v>0.38948892105556182</v>
      </c>
      <c r="Y229" s="133">
        <f>Y17/AVERAGE(V56,Y56)</f>
        <v>0.36021577520732145</v>
      </c>
      <c r="Z229" s="133">
        <f>Z17*2/AVERAGE(Y56,Z56)</f>
        <v>0.43546432898581722</v>
      </c>
      <c r="AA229" s="133">
        <f>AA17*2/AVERAGE(Z56,AA56)</f>
        <v>0.70828691819634804</v>
      </c>
      <c r="AB229" s="133">
        <f>AB17/AVERAGE(Y56,AB56)</f>
        <v>0.55177800616649553</v>
      </c>
      <c r="AC229" s="20">
        <f>AC17*2/AVERAGE(AB56,AC56)</f>
        <v>0.73145295093624085</v>
      </c>
      <c r="AD229" s="20">
        <f>AD17*2/AVERAGE(AC56,AD56)</f>
        <v>0.90586063682510343</v>
      </c>
      <c r="AE229" s="133">
        <f>AE17/AVERAGE(AB56,AE56)</f>
        <v>0.80736902705814628</v>
      </c>
      <c r="AF229" s="133">
        <f>AF17*2/AVERAGE(AE56,AF56)</f>
        <v>0.71309613928841775</v>
      </c>
      <c r="AG229" s="938">
        <f>AG17*2/AVERAGE(AF56,AG56)</f>
        <v>0.78411992604979708</v>
      </c>
      <c r="AH229" s="20">
        <f>AH17/AVERAGE(AE56,AH56)</f>
        <v>0.73030838168533352</v>
      </c>
      <c r="AI229" s="20">
        <f>AI17*2/AVERAGE(AH56,AI56)</f>
        <v>0.62077413006067961</v>
      </c>
      <c r="AJ229" s="20">
        <f>AJ17*2/AVERAGE(AI56,AJ56)</f>
        <v>0.68585280975168972</v>
      </c>
      <c r="AK229" s="20">
        <f>AK17/AVERAGE(AH56,AK56)</f>
        <v>0.64143739661508659</v>
      </c>
      <c r="AL229" s="20">
        <f>AL17*2/AVERAGE(AK56,AL56)</f>
        <v>0.55836668549689428</v>
      </c>
      <c r="AM229" s="20">
        <f>AM17*2/AVERAGE(AL56,AM56)</f>
        <v>0.5997234087630493</v>
      </c>
      <c r="AN229" s="20">
        <f>AN17/AVERAGE(AK56,AN56)</f>
        <v>0.57150906337076079</v>
      </c>
      <c r="AO229" s="20">
        <f>AO17*2/AVERAGE(AN56,AO56)</f>
        <v>0.48933368171871544</v>
      </c>
      <c r="AP229" s="20">
        <f>AP17*2/AVERAGE(AO56,AP56)</f>
        <v>0.53151143286648506</v>
      </c>
      <c r="AQ229" s="20">
        <f>AQ17/AVERAGE(AN56,AQ56)</f>
        <v>0.50436136560980671</v>
      </c>
      <c r="AR229" s="20">
        <f>AR17*2/AVERAGE(AQ56,AR56)</f>
        <v>0.43242023694061632</v>
      </c>
      <c r="AS229" s="20">
        <f>AS17*2/AVERAGE(AR56,AS56)</f>
        <v>0.47379184522606854</v>
      </c>
      <c r="AT229" s="20">
        <f>AT17/AVERAGE(AQ56,AT56)</f>
        <v>0.44817709666596833</v>
      </c>
      <c r="AU229" s="20">
        <f>AU17*2/AVERAGE(AT56,AU56)</f>
        <v>0.38921613383557802</v>
      </c>
      <c r="AV229" s="20">
        <f>AV17*2/AVERAGE(AU56,AV56)</f>
        <v>0.42871043500697587</v>
      </c>
      <c r="AW229" s="20">
        <f>AW17/AVERAGE(AT56,AW56)</f>
        <v>0.40504463767504995</v>
      </c>
      <c r="AX229" s="20">
        <f>AX17*2/AVERAGE(AW56,AX56)</f>
        <v>0.35499082627010975</v>
      </c>
      <c r="AY229" s="20">
        <f>AY17*2/AVERAGE(AX56,AY56)</f>
        <v>0.39254191341890404</v>
      </c>
      <c r="AZ229" s="20">
        <f>AZ17/AVERAGE(AW56,AZ56)</f>
        <v>0.37056596146813991</v>
      </c>
      <c r="BA229" s="20">
        <f>BA17*2/AVERAGE(AZ56,BA56)</f>
        <v>0.32722371041574638</v>
      </c>
      <c r="BB229" s="20">
        <f>BB17*2/AVERAGE(BA56,BB56)</f>
        <v>0.36246462811331026</v>
      </c>
      <c r="BC229" s="20">
        <f>BC17/AVERAGE(AZ56,BC56)</f>
        <v>0.34218887635541528</v>
      </c>
      <c r="BD229" s="20">
        <f>BD17*2/AVERAGE(BC56,BD56)</f>
        <v>0.30350023797565051</v>
      </c>
      <c r="BE229" s="20">
        <f>BE17*2/AVERAGE(BD56,BE56)</f>
        <v>0.33649211488052905</v>
      </c>
      <c r="BF229" s="20">
        <f>BF17/AVERAGE(BC56,BF56)</f>
        <v>0.31775359437517536</v>
      </c>
      <c r="BG229" s="20">
        <f>BG17*2/AVERAGE(BF56,BG56)</f>
        <v>0.28259300329554882</v>
      </c>
      <c r="BH229" s="20">
        <f>BH17*2/AVERAGE(BG56,BH56)</f>
        <v>0.31413865585570061</v>
      </c>
      <c r="BI229" s="20">
        <f>BI17/AVERAGE(BF56,BI56)</f>
        <v>0.29642784244521025</v>
      </c>
      <c r="BJ229" s="20">
        <f>BJ17*2/AVERAGE(BI56,BJ56)</f>
        <v>0.26490532288278928</v>
      </c>
      <c r="BK229" s="20">
        <f>BK17*2/AVERAGE(BJ56,BK56)</f>
        <v>0.29507701831786415</v>
      </c>
      <c r="BL229" s="20">
        <f>BL17/AVERAGE(BI56,BL56)</f>
        <v>0.27830692000917934</v>
      </c>
      <c r="BM229" s="20">
        <f>BM17*2/AVERAGE(BL56,BM56)</f>
        <v>0.24973574791126463</v>
      </c>
      <c r="BN229" s="20">
        <f>BN17*2/AVERAGE(BM56,BN56)</f>
        <v>0.27862975017582514</v>
      </c>
      <c r="BO229" s="20">
        <f>BO17/AVERAGE(BL56,BO56)</f>
        <v>0.26270219711997567</v>
      </c>
      <c r="BP229" s="20">
        <f>BP17*2/AVERAGE(BO56,BP56)</f>
        <v>0.23659516937366085</v>
      </c>
      <c r="BQ229" s="20">
        <f>BQ17*2/AVERAGE(BP56,BQ56)</f>
        <v>0.26432675736830635</v>
      </c>
      <c r="BR229" s="20">
        <f>BR17/AVERAGE(BO56,BR56)</f>
        <v>0.24914629256435039</v>
      </c>
    </row>
    <row r="230" spans="2:70" outlineLevel="1">
      <c r="B230" s="55"/>
      <c r="C230" s="21" t="s">
        <v>246</v>
      </c>
      <c r="D230" s="74" t="s">
        <v>66</v>
      </c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62"/>
      <c r="T230" s="133">
        <f>T17*2/AVERAGE(S35,T35)</f>
        <v>5.2294279064920624E-2</v>
      </c>
      <c r="U230" s="133">
        <f>U17*2/AVERAGE(T35,U35)</f>
        <v>8.2527726381939795E-2</v>
      </c>
      <c r="V230" s="133">
        <f>V17/AVERAGE(S35,V35)</f>
        <v>6.5667449575050205E-2</v>
      </c>
      <c r="W230" s="133">
        <f>W17*2/AVERAGE(V35,W35)</f>
        <v>7.3138668685017727E-2</v>
      </c>
      <c r="X230" s="133">
        <f>X17*2/AVERAGE(W35,X35)</f>
        <v>8.2377114328272077E-2</v>
      </c>
      <c r="Y230" s="133">
        <f>Y17/AVERAGE(V35,Y35)</f>
        <v>7.5911995927832154E-2</v>
      </c>
      <c r="Z230" s="133">
        <f>Z17*2/AVERAGE(Y35,Z35)</f>
        <v>7.306777005776062E-2</v>
      </c>
      <c r="AA230" s="133">
        <f>AA17*2/AVERAGE(Z35,AA35)</f>
        <v>8.6741956913732543E-2</v>
      </c>
      <c r="AB230" s="133">
        <f>AB17/AVERAGE(Y35,AB35)</f>
        <v>7.7902630418127367E-2</v>
      </c>
      <c r="AC230" s="20">
        <f>AC17*2/AVERAGE(AB35,AC35)</f>
        <v>7.1337756305046365E-2</v>
      </c>
      <c r="AD230" s="20">
        <f>AD17*2/AVERAGE(AC35,AD35)</f>
        <v>8.8699109845917445E-2</v>
      </c>
      <c r="AE230" s="133">
        <f>AE17/AVERAGE(AB35,AE35)</f>
        <v>7.8939961948506651E-2</v>
      </c>
      <c r="AF230" s="133">
        <f>AF17*2/AVERAGE(AE35,AF35)</f>
        <v>7.2687989505767964E-2</v>
      </c>
      <c r="AG230" s="938">
        <f>AG17*2/AVERAGE(AF35,AG35)</f>
        <v>8.987673301759902E-2</v>
      </c>
      <c r="AH230" s="133">
        <f>AH17/AVERAGE(AE35,AH35)</f>
        <v>8.0949615687892579E-2</v>
      </c>
      <c r="AI230" s="20">
        <f>AI17*2/AVERAGE(AH35,AI35)</f>
        <v>7.9988482520180107E-2</v>
      </c>
      <c r="AJ230" s="20">
        <f>AJ17*2/AVERAGE(AI35,AJ35)</f>
        <v>9.8388744413544754E-2</v>
      </c>
      <c r="AK230" s="133">
        <f>AK17/AVERAGE(AH35,AK35)</f>
        <v>8.8459492843601287E-2</v>
      </c>
      <c r="AL230" s="20">
        <f>AL17*2/AVERAGE(AK35,AL35)</f>
        <v>8.8067723925790334E-2</v>
      </c>
      <c r="AM230" s="20">
        <f>AM17*2/AVERAGE(AL35,AM35)</f>
        <v>0.10327644275105489</v>
      </c>
      <c r="AN230" s="133">
        <f>AN17/AVERAGE(AK35,AN35)</f>
        <v>9.5351906568778996E-2</v>
      </c>
      <c r="AO230" s="20">
        <f>AO17*2/AVERAGE(AN35,AO35)</f>
        <v>9.157095905904257E-2</v>
      </c>
      <c r="AP230" s="20">
        <f>AP17*2/AVERAGE(AO35,AP35)</f>
        <v>0.10763036835939649</v>
      </c>
      <c r="AQ230" s="133">
        <f>AQ17/AVERAGE(AN35,AQ35)</f>
        <v>9.9099439897285285E-2</v>
      </c>
      <c r="AR230" s="20">
        <f>AR17*2/AVERAGE(AQ35,AR35)</f>
        <v>9.4127702588038778E-2</v>
      </c>
      <c r="AS230" s="20">
        <f>AS17*2/AVERAGE(AR35,AS35)</f>
        <v>0.11039910722833143</v>
      </c>
      <c r="AT230" s="133">
        <f>AT17/AVERAGE(AQ35,AT35)</f>
        <v>0.1017456252702057</v>
      </c>
      <c r="AU230" s="20">
        <f>AU17*2/AVERAGE(AT35,AU35)</f>
        <v>9.6712926813590894E-2</v>
      </c>
      <c r="AV230" s="20">
        <f>AV17*2/AVERAGE(AU35,AV35)</f>
        <v>0.11322567487054762</v>
      </c>
      <c r="AW230" s="133">
        <f>AW17/AVERAGE(AT35,AW35)</f>
        <v>0.10442598027145157</v>
      </c>
      <c r="AX230" s="20">
        <f>AX17*2/AVERAGE(AW35,AX35)</f>
        <v>9.9352259801397655E-2</v>
      </c>
      <c r="AY230" s="20">
        <f>AY17*2/AVERAGE(AX35,AY35)</f>
        <v>0.116110623046774</v>
      </c>
      <c r="AZ230" s="133">
        <f>AZ17/AVERAGE(AW35,AZ35)</f>
        <v>0.10716162885386189</v>
      </c>
      <c r="BA230" s="20">
        <f>BA17*2/AVERAGE(AZ35,BA35)</f>
        <v>0.10204612868678524</v>
      </c>
      <c r="BB230" s="20">
        <f>BB17*2/AVERAGE(BA35,BB35)</f>
        <v>0.11804502937005139</v>
      </c>
      <c r="BC230" s="133">
        <f>BC17/AVERAGE(AZ35,BC35)</f>
        <v>0.10908968434043678</v>
      </c>
      <c r="BD230" s="20">
        <f>BD17*2/AVERAGE(BC35,BD35)</f>
        <v>0.10301080353437313</v>
      </c>
      <c r="BE230" s="20">
        <f>BE17*2/AVERAGE(BD35,BE35)</f>
        <v>0.11753726374422624</v>
      </c>
      <c r="BF230" s="133">
        <f>BF17/AVERAGE(BC35,BF35)</f>
        <v>0.10878383891758814</v>
      </c>
      <c r="BG230" s="20">
        <f>BG17*2/AVERAGE(BF35,BG35)</f>
        <v>0.10143675440281405</v>
      </c>
      <c r="BH230" s="20">
        <f>BH17*2/AVERAGE(BG35,BH35)</f>
        <v>0.11568289739160091</v>
      </c>
      <c r="BI230" s="133">
        <f>BI17/AVERAGE(BF35,BI35)</f>
        <v>0.10711671752644816</v>
      </c>
      <c r="BJ230" s="20">
        <f>BJ17*2/AVERAGE(BI35,BJ35)</f>
        <v>9.9970246666999454E-2</v>
      </c>
      <c r="BK230" s="20">
        <f>BK17*2/AVERAGE(BJ35,BK35)</f>
        <v>0.11394887934074788</v>
      </c>
      <c r="BL230" s="133">
        <f>BL17/AVERAGE(BI35,BL35)</f>
        <v>0.10555813291023038</v>
      </c>
      <c r="BM230" s="20">
        <f>BM17*2/AVERAGE(BL35,BM35)</f>
        <v>9.8595501565242993E-2</v>
      </c>
      <c r="BN230" s="20">
        <f>BN17*2/AVERAGE(BM35,BN35)</f>
        <v>0.11231689182657008</v>
      </c>
      <c r="BO230" s="133">
        <f>BO17/AVERAGE(BL35,BO35)</f>
        <v>0.10409353992716736</v>
      </c>
      <c r="BP230" s="20">
        <f>BP17*2/AVERAGE(BO35,BP35)</f>
        <v>9.7333844870965316E-2</v>
      </c>
      <c r="BQ230" s="20">
        <f>BQ17*2/AVERAGE(BP35,BQ35)</f>
        <v>0.11082044399885543</v>
      </c>
      <c r="BR230" s="133">
        <f>BR17/AVERAGE(BO35,BR35)</f>
        <v>0.10272192738474673</v>
      </c>
    </row>
    <row r="231" spans="2:70" outlineLevel="1">
      <c r="B231" s="55"/>
      <c r="C231" s="21" t="s">
        <v>247</v>
      </c>
      <c r="D231" s="74" t="s">
        <v>66</v>
      </c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62"/>
      <c r="T231" s="133">
        <f>(T11*2)/AVERAGE(S50,T50)</f>
        <v>0.28642162288110895</v>
      </c>
      <c r="U231" s="133">
        <f>(U11*2)/AVERAGE(T50,U50)</f>
        <v>0.55219484830068755</v>
      </c>
      <c r="V231" s="133">
        <f>(V11)/AVERAGE(S50,V50)</f>
        <v>0.38844324809331526</v>
      </c>
      <c r="W231" s="133">
        <f>(W11*2)/AVERAGE(V50,W50)</f>
        <v>0.50071178670527206</v>
      </c>
      <c r="X231" s="133">
        <f>(X11*2)/AVERAGE(W50,X50)</f>
        <v>0.59514530675871247</v>
      </c>
      <c r="Y231" s="133">
        <f>(Y11)/AVERAGE(V50,Y50)</f>
        <v>0.56536324843670338</v>
      </c>
      <c r="Z231" s="133">
        <f>(Z11*2)/AVERAGE(Y50,Z50)</f>
        <v>0.69702800940774012</v>
      </c>
      <c r="AA231" s="133">
        <f>(AA11*2)/AVERAGE(Z50,AA50)</f>
        <v>1.0971085387707662</v>
      </c>
      <c r="AB231" s="133">
        <f>(AB11)/AVERAGE(Y50,AB50)</f>
        <v>0.86766700924974272</v>
      </c>
      <c r="AC231" s="133">
        <f>(AC11*2)/AVERAGE(AB50,AC50)</f>
        <v>1.1749229675278501</v>
      </c>
      <c r="AD231" s="133">
        <f>(AD11*2)/AVERAGE(AC50,AD50)</f>
        <v>1.3670973696354414</v>
      </c>
      <c r="AE231" s="133">
        <f>(AE11)/AVERAGE(AB50,AE50)</f>
        <v>1.2529648819804273</v>
      </c>
      <c r="AF231" s="133">
        <f>(AF11*2)/AVERAGE(AE50,AF50)</f>
        <v>1.1112793338380027</v>
      </c>
      <c r="AG231" s="133">
        <f>(AG11*2)/AVERAGE(AF50,AG50)</f>
        <v>1.2048676403818042</v>
      </c>
      <c r="AH231" s="133">
        <f>(AH11)/AVERAGE(AE50,AH50)</f>
        <v>1.1292754954025435</v>
      </c>
      <c r="AI231" s="133">
        <f>(AI11*2)/AVERAGE(AH50,AI50)</f>
        <v>0.96126221153381519</v>
      </c>
      <c r="AJ231" s="133">
        <f>(AJ11*2)/AVERAGE(AI50,AJ50)</f>
        <v>1.0311256606903421</v>
      </c>
      <c r="AK231" s="133">
        <f>(AK11)/AVERAGE(AH50,AK50)</f>
        <v>0.97728628357600444</v>
      </c>
      <c r="AL231" s="133">
        <f>(AL11*2)/AVERAGE(AK50,AL50)</f>
        <v>0.84212175126122546</v>
      </c>
      <c r="AM231" s="133">
        <f>(AM11*2)/AVERAGE(AL50,AM50)</f>
        <v>0.88679479739213551</v>
      </c>
      <c r="AN231" s="133">
        <f>(AN11)/AVERAGE(AK50,AN50)</f>
        <v>0.85281009281026765</v>
      </c>
      <c r="AO231" s="133">
        <f>(AO11*2)/AVERAGE(AN50,AO50)</f>
        <v>0.72423664978269153</v>
      </c>
      <c r="AP231" s="133">
        <f>(AP11*2)/AVERAGE(AO50,AP50)</f>
        <v>0.77318954349324553</v>
      </c>
      <c r="AQ231" s="133">
        <f>(AQ11)/AVERAGE(AN50,AQ50)</f>
        <v>0.73956256979326707</v>
      </c>
      <c r="AR231" s="133">
        <f>(AR11*2)/AVERAGE(AQ50,AR50)</f>
        <v>0.62999300999454255</v>
      </c>
      <c r="AS231" s="133">
        <f>(AS11*2)/AVERAGE(AR50,AS50)</f>
        <v>0.67992309456416866</v>
      </c>
      <c r="AT231" s="133">
        <f>(AT11)/AVERAGE(AQ50,AT50)</f>
        <v>0.64766045744355505</v>
      </c>
      <c r="AU231" s="133">
        <f>(AU11*2)/AVERAGE(AT50,AU50)</f>
        <v>0.55841440485230298</v>
      </c>
      <c r="AV231" s="133">
        <f>(AV11*2)/AVERAGE(AU50,AV50)</f>
        <v>0.60707024286540412</v>
      </c>
      <c r="AW231" s="133">
        <f>(AW11)/AVERAGE(AT50,AW50)</f>
        <v>0.57703811589580445</v>
      </c>
      <c r="AX231" s="133">
        <f>(AX11*2)/AVERAGE(AW50,AX50)</f>
        <v>0.50170349231335076</v>
      </c>
      <c r="AY231" s="133">
        <f>(AY11*2)/AVERAGE(AX50,AY50)</f>
        <v>0.54861398321501231</v>
      </c>
      <c r="AZ231" s="133">
        <f>(AZ11)/AVERAGE(AW50,AZ50)</f>
        <v>0.52057755803017436</v>
      </c>
      <c r="BA231" s="133">
        <f>(BA11*2)/AVERAGE(AZ50,BA50)</f>
        <v>0.45568651784408148</v>
      </c>
      <c r="BB231" s="133">
        <f>(BB11*2)/AVERAGE(BA50,BB50)</f>
        <v>0.50075324780909403</v>
      </c>
      <c r="BC231" s="133">
        <f>(BC11)/AVERAGE(AZ50,BC50)</f>
        <v>0.47448703512614449</v>
      </c>
      <c r="BD231" s="133">
        <f>(BD11*2)/AVERAGE(BC50,BD50)</f>
        <v>0.41777050081865286</v>
      </c>
      <c r="BE231" s="133">
        <f>(BE11*2)/AVERAGE(BD50,BE50)</f>
        <v>0.46109160580392189</v>
      </c>
      <c r="BF231" s="133">
        <f>(BF11)/AVERAGE(BC50,BF50)</f>
        <v>0.43632708159267397</v>
      </c>
      <c r="BG231" s="133">
        <f>(BG11*2)/AVERAGE(BF50,BG50)</f>
        <v>0.3861863259857064</v>
      </c>
      <c r="BH231" s="133">
        <f>(BH11*2)/AVERAGE(BG50,BH50)</f>
        <v>0.42782332146595814</v>
      </c>
      <c r="BI231" s="133">
        <f>(BI11)/AVERAGE(BF50,BI50)</f>
        <v>0.40434525997916643</v>
      </c>
      <c r="BJ231" s="133">
        <f>(BJ11*2)/AVERAGE(BI50,BJ50)</f>
        <v>0.35945049271380941</v>
      </c>
      <c r="BK231" s="133">
        <f>(BK11*2)/AVERAGE(BJ50,BK50)</f>
        <v>0.39944060116086683</v>
      </c>
      <c r="BL231" s="133">
        <f>(BL11)/AVERAGE(BI50,BL50)</f>
        <v>0.37715341342487868</v>
      </c>
      <c r="BM231" s="133">
        <f>(BM11*2)/AVERAGE(BL50,BM50)</f>
        <v>0.33651070938881039</v>
      </c>
      <c r="BN231" s="133">
        <f>(BN11*2)/AVERAGE(BM50,BN50)</f>
        <v>0.37495707076291729</v>
      </c>
      <c r="BO231" s="133">
        <f>(BO11)/AVERAGE(BL50,BO50)</f>
        <v>0.35373560615528193</v>
      </c>
      <c r="BP231" s="133">
        <f>(BP11*2)/AVERAGE(BO50,BP50)</f>
        <v>0.31662577793833779</v>
      </c>
      <c r="BQ231" s="133">
        <f>(BQ11*2)/AVERAGE(BP50,BQ50)</f>
        <v>0.35363231332452755</v>
      </c>
      <c r="BR231" s="133">
        <f>(BR11)/AVERAGE(BO50,BR50)</f>
        <v>0.33336899719403112</v>
      </c>
    </row>
    <row r="232" spans="2:70" outlineLevel="1">
      <c r="B232" s="55"/>
      <c r="C232" s="21" t="s">
        <v>75</v>
      </c>
      <c r="D232" s="74" t="s">
        <v>66</v>
      </c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62"/>
      <c r="T232" s="133">
        <f>(T11*2)/AVERAGE((S56+S144),(T56+T144))</f>
        <v>0.57284324576221812</v>
      </c>
      <c r="U232" s="133">
        <f>(U11*2)/AVERAGE((T56+T144),(U56+U144))</f>
        <v>0.45849587578845213</v>
      </c>
      <c r="V232" s="133">
        <f>V11/AVERAGE((S56+S144),(V56+V144))</f>
        <v>0.25211101922920132</v>
      </c>
      <c r="W232" s="133">
        <f>(W11*2)/AVERAGE((V56+V144),(W56+W144))</f>
        <v>0.20317211670256508</v>
      </c>
      <c r="X232" s="133">
        <f>(X11*2)/AVERAGE((W56+W144),(X56+X144))</f>
        <v>0.22437007419534261</v>
      </c>
      <c r="Y232" s="133">
        <f>Y11/AVERAGE((V56+V144),(Y56+Y144))</f>
        <v>0.21898356531772684</v>
      </c>
      <c r="Z232" s="133">
        <f>(Z11*2)/AVERAGE((Y56+Y144),(Z56+Z144))</f>
        <v>0.21237093254291395</v>
      </c>
      <c r="AA232" s="133">
        <f>(AA11*2)/AVERAGE((Z56+Z144),(AA56+AA144))</f>
        <v>0.24052326445666716</v>
      </c>
      <c r="AB232" s="133">
        <f>AB11/AVERAGE((Y56+Y144),(AB56+AB144))</f>
        <v>0.23086094308871949</v>
      </c>
      <c r="AC232" s="20">
        <f>(AC11*2)/AVERAGE((AB56+AB144),(AC56+AC144))</f>
        <v>0.20228112056477118</v>
      </c>
      <c r="AD232" s="20">
        <f>(AD11*2)/AVERAGE((AC56+AC144),(AD56+AD144))</f>
        <v>0.23539227079050082</v>
      </c>
      <c r="AE232" s="133">
        <f>AE11/AVERAGE((AB56+AB144),(AE56+AE144))</f>
        <v>0.22633346852608699</v>
      </c>
      <c r="AF232" s="133">
        <f>(AF11*2)/AVERAGE((AE56+AE144),(AF56+AF144))</f>
        <v>0.2004642905912877</v>
      </c>
      <c r="AG232" s="938">
        <f>(AG11*2)/AVERAGE((AF56+AF144),(AG56+AG144))</f>
        <v>0.24225369843853009</v>
      </c>
      <c r="AH232" s="20">
        <f>AH11/AVERAGE((AG56+AG144),(AH56+AH144))</f>
        <v>0.22445727969001347</v>
      </c>
      <c r="AI232" s="20">
        <f>(AI11*2)/AVERAGE((AH56+AH144),(AI56+AI144))</f>
        <v>0.21718384416087747</v>
      </c>
      <c r="AJ232" s="20">
        <f>(AJ11*2)/AVERAGE((AI56+AI144),(AJ56+AJ144))</f>
        <v>0.26061002732562394</v>
      </c>
      <c r="AK232" s="20">
        <f>AK11/AVERAGE((AJ56+AJ144),(AK56+AK144))</f>
        <v>0.24459537880371926</v>
      </c>
      <c r="AL232" s="20">
        <f>(AL11*2)/AVERAGE((AK56+AK144),(AL56+AL144))</f>
        <v>0.23609922019359089</v>
      </c>
      <c r="AM232" s="20">
        <f>(AM11*2)/AVERAGE((AL56+AL144),(AM56+AM144))</f>
        <v>0.27364565573523075</v>
      </c>
      <c r="AN232" s="20">
        <f>AN11/AVERAGE((AM56+AM144),(AN56+AN144))</f>
        <v>0.26164148979727286</v>
      </c>
      <c r="AO232" s="20">
        <f>(AO11*2)/AVERAGE((AN56+AN144),(AO56+AO144))</f>
        <v>0.24388612886185015</v>
      </c>
      <c r="AP232" s="20">
        <f>(AP11*2)/AVERAGE((AO56+AO144),(AP56+AP144))</f>
        <v>0.28279563846530814</v>
      </c>
      <c r="AQ232" s="20">
        <f>AQ11/AVERAGE((AP56+AP144),(AQ56+AQ144))</f>
        <v>0.27031584579671297</v>
      </c>
      <c r="AR232" s="20">
        <f>(AR11*2)/AVERAGE((AQ56+AQ144),(AR56+AR144))</f>
        <v>0.24851866090624181</v>
      </c>
      <c r="AS232" s="20">
        <f>(AS11*2)/AVERAGE((AR56+AR144),(AS56+AS144))</f>
        <v>0.28824964177291706</v>
      </c>
      <c r="AT232" s="20">
        <f>AT11/AVERAGE((AS56+AS144),(AT56+AT144))</f>
        <v>0.27563506943921007</v>
      </c>
      <c r="AU232" s="20">
        <f>(AU11*2)/AVERAGE((AT56+AT144),(AU56+AU144))</f>
        <v>0.25332018928817424</v>
      </c>
      <c r="AV232" s="20">
        <f>(AV11*2)/AVERAGE((AU56+AU144),(AV56+AV144))</f>
        <v>0.29390532954762377</v>
      </c>
      <c r="AW232" s="20">
        <f>AW11/AVERAGE((AV56+AV144),(AW56+AW144))</f>
        <v>0.28115732066493704</v>
      </c>
      <c r="AX232" s="20">
        <f>(AX11*2)/AVERAGE((AW56+AW144),(AX56+AX144))</f>
        <v>0.25830101047318832</v>
      </c>
      <c r="AY232" s="20">
        <f>(AY11*2)/AVERAGE((AX56+AX144),(AY56+AY144))</f>
        <v>0.29977097425556692</v>
      </c>
      <c r="AZ232" s="20">
        <f>AZ11/AVERAGE((AY56+AY144),(AZ56+AZ144))</f>
        <v>0.2868913237685945</v>
      </c>
      <c r="BA232" s="20">
        <f>(BA11*2)/AVERAGE((AZ56+AZ144),(BA56+BA144))</f>
        <v>0.26346850445305176</v>
      </c>
      <c r="BB232" s="20">
        <f>(BB11*2)/AVERAGE((BA56+BA144),(BB56+BB144))</f>
        <v>0.30585497836744702</v>
      </c>
      <c r="BC232" s="20">
        <f>BC11/AVERAGE((BB56+BB144),(BC56+BC144))</f>
        <v>0.29284569955380235</v>
      </c>
      <c r="BD232" s="20">
        <f>(BD11*2)/AVERAGE((BC56+BC144),(BD56+BD144))</f>
        <v>0.26882941584660169</v>
      </c>
      <c r="BE232" s="20">
        <f>(BE11*2)/AVERAGE((BD56+BD144),(BE56+BE144))</f>
        <v>0.31216424018591543</v>
      </c>
      <c r="BF232" s="20">
        <f>BF11/AVERAGE((BE56+BE144),(BF56+BF144))</f>
        <v>0.29902745937735398</v>
      </c>
      <c r="BG232" s="20">
        <f>(BG11*2)/AVERAGE((BF56+BF144),(BG56+BG144))</f>
        <v>0.27438919915761739</v>
      </c>
      <c r="BH232" s="20">
        <f>(BH11*2)/AVERAGE((BG56+BG144),(BH56+BH144))</f>
        <v>0.31870509744269954</v>
      </c>
      <c r="BI232" s="20">
        <f>BI11/AVERAGE((BH56+BH144),(BI56+BI144))</f>
        <v>0.30544382147822285</v>
      </c>
      <c r="BJ232" s="20">
        <f>(BJ11*2)/AVERAGE((BI56+BI144),(BJ56+BJ144))</f>
        <v>0.28015445244700027</v>
      </c>
      <c r="BK232" s="20">
        <f>(BK11*2)/AVERAGE((BJ56+BJ144),(BK56+BK144))</f>
        <v>0.32548658391263818</v>
      </c>
      <c r="BL232" s="20">
        <f>BL11/AVERAGE((BK56+BK144),(BL56+BL144))</f>
        <v>0.31210492362453068</v>
      </c>
      <c r="BM232" s="20">
        <f>(BM11*2)/AVERAGE((BL56+BL144),(BM56+BM144))</f>
        <v>0.28613362290387873</v>
      </c>
      <c r="BN232" s="20">
        <f>(BN11*2)/AVERAGE((BM56+BM144),(BN56+BN144))</f>
        <v>0.33231253609089417</v>
      </c>
      <c r="BO232" s="20">
        <f>BO11/AVERAGE((BN56+BN144),(BO56+BO144))</f>
        <v>0.31861410788429478</v>
      </c>
      <c r="BP232" s="20">
        <f>(BP11*2)/AVERAGE((BO56+BO144),(BP56+BP144))</f>
        <v>0.29215422833370169</v>
      </c>
      <c r="BQ232" s="20">
        <f>(BQ11*2)/AVERAGE((BP56+BP144),(BQ56+BQ144))</f>
        <v>0.33942922006415283</v>
      </c>
      <c r="BR232" s="20">
        <f>BR11/AVERAGE((BQ56+BQ144),(BR56+BR144))</f>
        <v>0.32544822335066997</v>
      </c>
    </row>
    <row r="233" spans="2:70" outlineLevel="1">
      <c r="B233" s="55"/>
      <c r="C233" s="75" t="s">
        <v>248</v>
      </c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62"/>
      <c r="T233" s="130"/>
      <c r="U233" s="130"/>
      <c r="V233" s="130"/>
      <c r="W233" s="130"/>
      <c r="X233" s="130"/>
      <c r="Y233" s="130"/>
      <c r="Z233" s="130"/>
      <c r="AA233" s="130"/>
      <c r="AB233" s="130"/>
    </row>
    <row r="234" spans="2:70" outlineLevel="1">
      <c r="B234" s="55"/>
      <c r="C234" s="60" t="s">
        <v>249</v>
      </c>
      <c r="D234" s="74" t="s">
        <v>66</v>
      </c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62"/>
      <c r="T234" s="343">
        <f t="shared" ref="T234:AE234" si="714">T17/T14</f>
        <v>0.76382546930492146</v>
      </c>
      <c r="U234" s="343">
        <f t="shared" si="714"/>
        <v>0.76156799353404725</v>
      </c>
      <c r="V234" s="343">
        <f t="shared" si="714"/>
        <v>0.76256888988865135</v>
      </c>
      <c r="W234" s="343">
        <f t="shared" si="714"/>
        <v>0.75245901639344259</v>
      </c>
      <c r="X234" s="343">
        <f t="shared" si="714"/>
        <v>0.76525924305403625</v>
      </c>
      <c r="Y234" s="343">
        <f t="shared" si="714"/>
        <v>0.75907702748557859</v>
      </c>
      <c r="Z234" s="343">
        <f t="shared" si="714"/>
        <v>0.74367088607594933</v>
      </c>
      <c r="AA234" s="343">
        <f t="shared" si="714"/>
        <v>0.76533389156374287</v>
      </c>
      <c r="AB234" s="343">
        <f t="shared" si="714"/>
        <v>0.75531795160382675</v>
      </c>
      <c r="AC234" s="17">
        <f t="shared" si="714"/>
        <v>0.76785269967653647</v>
      </c>
      <c r="AD234" s="17">
        <f t="shared" si="714"/>
        <v>0.78630082114960942</v>
      </c>
      <c r="AE234" s="343">
        <f t="shared" si="714"/>
        <v>0.77807367953839324</v>
      </c>
      <c r="AF234" s="343">
        <f t="shared" ref="AF234" si="715">AF17/AF14</f>
        <v>0.80004853190973069</v>
      </c>
      <c r="AG234" s="960">
        <f t="shared" ref="AG234:BR234" si="716">AG17/AG14</f>
        <v>0.77175281251229544</v>
      </c>
      <c r="AH234" s="17">
        <f t="shared" si="716"/>
        <v>0.78410928670404623</v>
      </c>
      <c r="AI234" s="17">
        <f t="shared" si="716"/>
        <v>0.781025233624141</v>
      </c>
      <c r="AJ234" s="17">
        <f t="shared" si="716"/>
        <v>0.77337805915093083</v>
      </c>
      <c r="AK234" s="17">
        <f t="shared" si="716"/>
        <v>0.77678135233373091</v>
      </c>
      <c r="AL234" s="17">
        <f t="shared" si="716"/>
        <v>0.78195171401793273</v>
      </c>
      <c r="AM234" s="17">
        <f t="shared" si="716"/>
        <v>0.77440892833771913</v>
      </c>
      <c r="AN234" s="17">
        <f t="shared" si="716"/>
        <v>0.77784966299490721</v>
      </c>
      <c r="AO234" s="17">
        <f t="shared" si="716"/>
        <v>0.78233257514098931</v>
      </c>
      <c r="AP234" s="17">
        <f t="shared" si="716"/>
        <v>0.77511281506438634</v>
      </c>
      <c r="AQ234" s="17">
        <f t="shared" si="716"/>
        <v>0.77841028286607594</v>
      </c>
      <c r="AR234" s="17">
        <f t="shared" si="716"/>
        <v>0.782578438953628</v>
      </c>
      <c r="AS234" s="17">
        <f t="shared" si="716"/>
        <v>0.77555877541154816</v>
      </c>
      <c r="AT234" s="17">
        <f t="shared" si="716"/>
        <v>0.77876864666175427</v>
      </c>
      <c r="AU234" s="17">
        <f t="shared" si="716"/>
        <v>0.78281539934132094</v>
      </c>
      <c r="AV234" s="17">
        <f t="shared" si="716"/>
        <v>0.77599189067537311</v>
      </c>
      <c r="AW234" s="17">
        <f t="shared" si="716"/>
        <v>0.77911545180939512</v>
      </c>
      <c r="AX234" s="17">
        <f t="shared" si="716"/>
        <v>0.7830446520512595</v>
      </c>
      <c r="AY234" s="17">
        <f t="shared" si="716"/>
        <v>0.77641252249485726</v>
      </c>
      <c r="AZ234" s="17">
        <f t="shared" si="716"/>
        <v>0.77945167304014795</v>
      </c>
      <c r="BA234" s="17">
        <f t="shared" si="716"/>
        <v>0.78326646262188726</v>
      </c>
      <c r="BB234" s="17">
        <f t="shared" si="716"/>
        <v>0.77680404321903884</v>
      </c>
      <c r="BC234" s="17">
        <f t="shared" si="716"/>
        <v>0.77977051448695978</v>
      </c>
      <c r="BD234" s="17">
        <f t="shared" si="716"/>
        <v>0.78346260673631951</v>
      </c>
      <c r="BE234" s="17">
        <f t="shared" si="716"/>
        <v>0.77714478886212524</v>
      </c>
      <c r="BF234" s="17">
        <f t="shared" si="716"/>
        <v>0.78005021934082752</v>
      </c>
      <c r="BG234" s="17">
        <f t="shared" si="716"/>
        <v>0.78362715621459833</v>
      </c>
      <c r="BH234" s="17">
        <f t="shared" si="716"/>
        <v>0.7774551613407682</v>
      </c>
      <c r="BI234" s="17">
        <f t="shared" si="716"/>
        <v>0.78029514491739527</v>
      </c>
      <c r="BJ234" s="17">
        <f t="shared" si="716"/>
        <v>0.78378842348269795</v>
      </c>
      <c r="BK234" s="17">
        <f t="shared" si="716"/>
        <v>0.7777600688815568</v>
      </c>
      <c r="BL234" s="17">
        <f t="shared" si="716"/>
        <v>0.780535493395492</v>
      </c>
      <c r="BM234" s="17">
        <f t="shared" si="716"/>
        <v>0.78394643518124263</v>
      </c>
      <c r="BN234" s="17">
        <f t="shared" si="716"/>
        <v>0.77805898494137149</v>
      </c>
      <c r="BO234" s="17">
        <f t="shared" si="716"/>
        <v>0.78077106318756484</v>
      </c>
      <c r="BP234" s="17">
        <f t="shared" si="716"/>
        <v>0.78410128867982654</v>
      </c>
      <c r="BQ234" s="17">
        <f t="shared" si="716"/>
        <v>0.77835314271039902</v>
      </c>
      <c r="BR234" s="17">
        <f t="shared" si="716"/>
        <v>0.78100243619216692</v>
      </c>
    </row>
    <row r="235" spans="2:70" outlineLevel="1">
      <c r="B235" s="55"/>
      <c r="C235" s="60" t="s">
        <v>250</v>
      </c>
      <c r="D235" s="74" t="s">
        <v>66</v>
      </c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62"/>
      <c r="T235" s="343">
        <f t="shared" ref="T235:AE235" si="717">T14/T11</f>
        <v>0.80170835875533863</v>
      </c>
      <c r="U235" s="343">
        <f t="shared" si="717"/>
        <v>0.83796139519133084</v>
      </c>
      <c r="V235" s="343">
        <f t="shared" si="717"/>
        <v>0.82149126859465949</v>
      </c>
      <c r="W235" s="343">
        <f t="shared" si="717"/>
        <v>0.82305319969159596</v>
      </c>
      <c r="X235" s="343">
        <f t="shared" si="717"/>
        <v>0.85519176800748364</v>
      </c>
      <c r="Y235" s="343">
        <f t="shared" si="717"/>
        <v>0.83936200512674453</v>
      </c>
      <c r="Z235" s="343">
        <f t="shared" si="717"/>
        <v>0.84008179959100204</v>
      </c>
      <c r="AA235" s="343">
        <f t="shared" si="717"/>
        <v>0.84354582376832066</v>
      </c>
      <c r="AB235" s="343">
        <f t="shared" si="717"/>
        <v>0.84194068037524883</v>
      </c>
      <c r="AC235" s="17">
        <f t="shared" si="717"/>
        <v>0.81077264474480537</v>
      </c>
      <c r="AD235" s="17">
        <f t="shared" si="717"/>
        <v>0.8427004219409282</v>
      </c>
      <c r="AE235" s="343">
        <f t="shared" si="717"/>
        <v>0.82815658886234145</v>
      </c>
      <c r="AF235" s="343">
        <f t="shared" ref="AF235" si="718">AF14/AF11</f>
        <v>0.80206305955624757</v>
      </c>
      <c r="AG235" s="960">
        <f t="shared" ref="AG235:BR235" si="719">AG14/AG11</f>
        <v>0.84326665771121756</v>
      </c>
      <c r="AH235" s="17">
        <f t="shared" si="719"/>
        <v>0.8247641651618085</v>
      </c>
      <c r="AI235" s="17">
        <f t="shared" si="719"/>
        <v>0.82684989307947099</v>
      </c>
      <c r="AJ235" s="17">
        <f t="shared" si="719"/>
        <v>0.860057486058316</v>
      </c>
      <c r="AK235" s="17">
        <f t="shared" si="719"/>
        <v>0.84495519731837465</v>
      </c>
      <c r="AL235" s="17">
        <f t="shared" si="719"/>
        <v>0.84793913092352002</v>
      </c>
      <c r="AM235" s="17">
        <f t="shared" si="719"/>
        <v>0.87328804095226265</v>
      </c>
      <c r="AN235" s="17">
        <f t="shared" si="719"/>
        <v>0.8615393589490975</v>
      </c>
      <c r="AO235" s="17">
        <f t="shared" si="719"/>
        <v>0.86364089280025191</v>
      </c>
      <c r="AP235" s="17">
        <f t="shared" si="719"/>
        <v>0.88687358811150341</v>
      </c>
      <c r="AQ235" s="17">
        <f t="shared" si="719"/>
        <v>0.87610936918846383</v>
      </c>
      <c r="AR235" s="17">
        <f t="shared" si="719"/>
        <v>0.87708644905887589</v>
      </c>
      <c r="AS235" s="17">
        <f t="shared" si="719"/>
        <v>0.89848963699178463</v>
      </c>
      <c r="AT235" s="17">
        <f t="shared" si="719"/>
        <v>0.88857444339771663</v>
      </c>
      <c r="AU235" s="17">
        <f t="shared" si="719"/>
        <v>0.89037890317624557</v>
      </c>
      <c r="AV235" s="17">
        <f t="shared" si="719"/>
        <v>0.91005560007426967</v>
      </c>
      <c r="AW235" s="17">
        <f t="shared" si="719"/>
        <v>0.90094145020408134</v>
      </c>
      <c r="AX235" s="17">
        <f t="shared" si="719"/>
        <v>0.90361509688184161</v>
      </c>
      <c r="AY235" s="17">
        <f t="shared" si="719"/>
        <v>0.92156639737275181</v>
      </c>
      <c r="AZ235" s="17">
        <f t="shared" si="719"/>
        <v>0.91325254057467342</v>
      </c>
      <c r="BA235" s="17">
        <f t="shared" si="719"/>
        <v>0.91678828200094342</v>
      </c>
      <c r="BB235" s="17">
        <f t="shared" si="719"/>
        <v>0.93181646332869172</v>
      </c>
      <c r="BC235" s="17">
        <f t="shared" si="719"/>
        <v>0.9248572987450121</v>
      </c>
      <c r="BD235" s="17">
        <f t="shared" si="719"/>
        <v>0.92726313071794508</v>
      </c>
      <c r="BE235" s="17">
        <f t="shared" si="719"/>
        <v>0.93904355561574604</v>
      </c>
      <c r="BF235" s="17">
        <f t="shared" si="719"/>
        <v>0.93358902871216298</v>
      </c>
      <c r="BG235" s="17">
        <f t="shared" si="719"/>
        <v>0.93380250543948684</v>
      </c>
      <c r="BH235" s="17">
        <f t="shared" si="719"/>
        <v>0.94445566289512373</v>
      </c>
      <c r="BI235" s="17">
        <f t="shared" si="719"/>
        <v>0.93952368280174703</v>
      </c>
      <c r="BJ235" s="17">
        <f t="shared" si="719"/>
        <v>0.94027038345633918</v>
      </c>
      <c r="BK235" s="17">
        <f t="shared" si="719"/>
        <v>0.94981174918976263</v>
      </c>
      <c r="BL235" s="17">
        <f t="shared" si="719"/>
        <v>0.94539501033864959</v>
      </c>
      <c r="BM235" s="17">
        <f t="shared" si="719"/>
        <v>0.94666306556699742</v>
      </c>
      <c r="BN235" s="17">
        <f t="shared" si="719"/>
        <v>0.95506606804173055</v>
      </c>
      <c r="BO235" s="17">
        <f t="shared" si="719"/>
        <v>0.95117673401958014</v>
      </c>
      <c r="BP235" s="17">
        <f t="shared" si="719"/>
        <v>0.95298800824567653</v>
      </c>
      <c r="BQ235" s="17">
        <f t="shared" si="719"/>
        <v>0.96031232540943401</v>
      </c>
      <c r="BR235" s="17">
        <f t="shared" si="719"/>
        <v>0.95692264447211761</v>
      </c>
    </row>
    <row r="236" spans="2:70" outlineLevel="1">
      <c r="B236" s="55"/>
      <c r="C236" s="60" t="s">
        <v>74</v>
      </c>
      <c r="D236" s="74" t="s">
        <v>66</v>
      </c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62"/>
      <c r="T236" s="343">
        <f t="shared" ref="T236:AE236" si="720">T11/T8</f>
        <v>0.10236072945291029</v>
      </c>
      <c r="U236" s="343">
        <f t="shared" si="720"/>
        <v>0.1142846085374821</v>
      </c>
      <c r="V236" s="343">
        <f t="shared" si="720"/>
        <v>0.10854042561726536</v>
      </c>
      <c r="W236" s="343">
        <f t="shared" si="720"/>
        <v>0.10787656990767695</v>
      </c>
      <c r="X236" s="343">
        <f t="shared" si="720"/>
        <v>0.11129851740796268</v>
      </c>
      <c r="Y236" s="343">
        <f t="shared" si="720"/>
        <v>0.10958633318073996</v>
      </c>
      <c r="Z236" s="343">
        <f t="shared" si="720"/>
        <v>0.10750324268472312</v>
      </c>
      <c r="AA236" s="343">
        <f t="shared" si="720"/>
        <v>0.11618316851996224</v>
      </c>
      <c r="AB236" s="343">
        <f t="shared" si="720"/>
        <v>0.11199312313618949</v>
      </c>
      <c r="AC236" s="17">
        <f t="shared" si="720"/>
        <v>0.11093208011637015</v>
      </c>
      <c r="AD236" s="17">
        <f t="shared" si="720"/>
        <v>0.12783171521035594</v>
      </c>
      <c r="AE236" s="343">
        <f t="shared" si="720"/>
        <v>0.11953644202779151</v>
      </c>
      <c r="AF236" s="343">
        <f t="shared" ref="AF236" si="721">AF11/AF8</f>
        <v>0.11411691542288557</v>
      </c>
      <c r="AG236" s="960">
        <f t="shared" ref="AG236:BR236" si="722">AG11/AG8</f>
        <v>0.12872319190466924</v>
      </c>
      <c r="AH236" s="17">
        <f t="shared" si="722"/>
        <v>0.12172685081145004</v>
      </c>
      <c r="AI236" s="17">
        <f t="shared" si="722"/>
        <v>0.12604607314473856</v>
      </c>
      <c r="AJ236" s="17">
        <f t="shared" si="722"/>
        <v>0.13512312570361029</v>
      </c>
      <c r="AK236" s="17">
        <f t="shared" si="722"/>
        <v>0.13083808376479747</v>
      </c>
      <c r="AL236" s="17">
        <f t="shared" si="722"/>
        <v>0.12831013695536378</v>
      </c>
      <c r="AM236" s="17">
        <f t="shared" si="722"/>
        <v>0.13598842904069341</v>
      </c>
      <c r="AN236" s="17">
        <f t="shared" si="722"/>
        <v>0.13231852942509631</v>
      </c>
      <c r="AO236" s="17">
        <f t="shared" si="722"/>
        <v>0.12960742741757814</v>
      </c>
      <c r="AP236" s="17">
        <f t="shared" si="722"/>
        <v>0.13795573733084684</v>
      </c>
      <c r="AQ236" s="17">
        <f t="shared" si="722"/>
        <v>0.13395794639749678</v>
      </c>
      <c r="AR236" s="17">
        <f t="shared" si="722"/>
        <v>0.12961231645680713</v>
      </c>
      <c r="AS236" s="17">
        <f t="shared" si="722"/>
        <v>0.13793227306198008</v>
      </c>
      <c r="AT236" s="17">
        <f t="shared" si="722"/>
        <v>0.13394902744711459</v>
      </c>
      <c r="AU236" s="17">
        <f t="shared" si="722"/>
        <v>0.1296195437033113</v>
      </c>
      <c r="AV236" s="17">
        <f t="shared" si="722"/>
        <v>0.13791219713710587</v>
      </c>
      <c r="AW236" s="17">
        <f t="shared" si="722"/>
        <v>0.13394296138903894</v>
      </c>
      <c r="AX236" s="17">
        <f t="shared" si="722"/>
        <v>0.12962911190368007</v>
      </c>
      <c r="AY236" s="17">
        <f t="shared" si="722"/>
        <v>0.13789550646882173</v>
      </c>
      <c r="AZ236" s="17">
        <f t="shared" si="722"/>
        <v>0.13393974871525516</v>
      </c>
      <c r="BA236" s="17">
        <f t="shared" si="722"/>
        <v>0.12964102267795066</v>
      </c>
      <c r="BB236" s="17">
        <f t="shared" si="722"/>
        <v>0.13788219638070329</v>
      </c>
      <c r="BC236" s="17">
        <f t="shared" si="722"/>
        <v>0.13393938852891846</v>
      </c>
      <c r="BD236" s="17">
        <f t="shared" si="722"/>
        <v>0.12965527652762054</v>
      </c>
      <c r="BE236" s="17">
        <f t="shared" si="722"/>
        <v>0.13787226063120955</v>
      </c>
      <c r="BF236" s="17">
        <f t="shared" si="722"/>
        <v>0.13394187856055029</v>
      </c>
      <c r="BG236" s="17">
        <f t="shared" si="722"/>
        <v>0.12967187284467288</v>
      </c>
      <c r="BH236" s="17">
        <f t="shared" si="722"/>
        <v>0.1378656914383867</v>
      </c>
      <c r="BI236" s="17">
        <f t="shared" si="722"/>
        <v>0.13394721518518904</v>
      </c>
      <c r="BJ236" s="17">
        <f t="shared" si="722"/>
        <v>0.12969080992160142</v>
      </c>
      <c r="BK236" s="17">
        <f t="shared" si="722"/>
        <v>0.13786247950534916</v>
      </c>
      <c r="BL236" s="17">
        <f t="shared" si="722"/>
        <v>0.13395539344047494</v>
      </c>
      <c r="BM236" s="17">
        <f t="shared" si="722"/>
        <v>0.12971208496241962</v>
      </c>
      <c r="BN236" s="17">
        <f t="shared" si="722"/>
        <v>0.13786261404652017</v>
      </c>
      <c r="BO236" s="17">
        <f t="shared" si="722"/>
        <v>0.13396640704564911</v>
      </c>
      <c r="BP236" s="17">
        <f t="shared" si="722"/>
        <v>0.12973569409463981</v>
      </c>
      <c r="BQ236" s="17">
        <f t="shared" si="722"/>
        <v>0.13786608281461238</v>
      </c>
      <c r="BR236" s="17">
        <f t="shared" si="722"/>
        <v>0.13398024842144843</v>
      </c>
    </row>
    <row r="237" spans="2:70" outlineLevel="1">
      <c r="B237" s="55"/>
      <c r="C237" s="60" t="s">
        <v>251</v>
      </c>
      <c r="D237" s="74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62"/>
      <c r="T237" s="158">
        <f>T8*2/AVERAGE(S35,T35)</f>
        <v>0.83427698079127444</v>
      </c>
      <c r="U237" s="158">
        <f>U8*2/AVERAGE(T35,U35)</f>
        <v>1.1315648299193115</v>
      </c>
      <c r="V237" s="158">
        <f>V8/AVERAGE(S35,V35)</f>
        <v>0.965776411051115</v>
      </c>
      <c r="W237" s="158">
        <f>W8*2/AVERAGE(V35,W35)</f>
        <v>1.0947354044195059</v>
      </c>
      <c r="X237" s="158">
        <f>X8*2/AVERAGE(W35,X35)</f>
        <v>1.1309544135222809</v>
      </c>
      <c r="Y237" s="158">
        <f>Y8/AVERAGE(V35,Y35)</f>
        <v>1.0872235733273006</v>
      </c>
      <c r="Z237" s="158">
        <f>Z8*2/AVERAGE(Y35,Z35)</f>
        <v>1.0879324571578908</v>
      </c>
      <c r="AA237" s="158">
        <f>AA8*2/AVERAGE(Z35,AA35)</f>
        <v>1.1564487045648666</v>
      </c>
      <c r="AB237" s="158">
        <f>AB8/AVERAGE(Y35,AB35)</f>
        <v>1.0938290808627213</v>
      </c>
      <c r="AC237" s="153">
        <f>AC8*2/AVERAGE(AB35,AC35)</f>
        <v>1.03296423865554</v>
      </c>
      <c r="AD237" s="153">
        <f>AD8*2/AVERAGE(AC35,AD35)</f>
        <v>1.0471736478243188</v>
      </c>
      <c r="AE237" s="158">
        <f>AE8/AVERAGE(AB35,AE35)</f>
        <v>1.0248573068999289</v>
      </c>
      <c r="AF237" s="158">
        <f>AF8*2/AVERAGE(AE35,AF35)</f>
        <v>0.99263088853736636</v>
      </c>
      <c r="AG237" s="957">
        <f>AG8*2/AVERAGE(AF35,AG35)</f>
        <v>1.0728705583245619</v>
      </c>
      <c r="AH237" s="153">
        <f>AH8/AVERAGE(AE35,AH35)</f>
        <v>1.0283051810885888</v>
      </c>
      <c r="AI237" s="153">
        <f>AI8*2/AVERAGE(AH35,AI35)</f>
        <v>0.98266705839965485</v>
      </c>
      <c r="AJ237" s="153">
        <f>AJ8*2/AVERAGE(AI35,AJ35)</f>
        <v>1.0947032519036644</v>
      </c>
      <c r="AK237" s="153">
        <f>AK8/AVERAGE(AH35,AK35)</f>
        <v>1.0300962292404154</v>
      </c>
      <c r="AL237" s="153">
        <f>AL8*2/AVERAGE(AK35,AL35)</f>
        <v>1.0351688388507059</v>
      </c>
      <c r="AM237" s="153">
        <f>AM8*2/AVERAGE(AL35,AM35)</f>
        <v>1.1229785209868546</v>
      </c>
      <c r="AN237" s="153">
        <f>AN8/AVERAGE(AK35,AN35)</f>
        <v>1.0753204993891505</v>
      </c>
      <c r="AO237" s="153">
        <f>AO8*2/AVERAGE(AN35,AO35)</f>
        <v>1.0456907363993666</v>
      </c>
      <c r="AP237" s="153">
        <f>AP8*2/AVERAGE(AO35,AP35)</f>
        <v>1.1349282890122734</v>
      </c>
      <c r="AQ237" s="153">
        <f>AQ8/AVERAGE(AN35,AQ35)</f>
        <v>1.0847654133157998</v>
      </c>
      <c r="AR237" s="153">
        <f>AR8*2/AVERAGE(AQ35,AR35)</f>
        <v>1.0580371250322644</v>
      </c>
      <c r="AS237" s="153">
        <f>AS8*2/AVERAGE(AR35,AS35)</f>
        <v>1.1486081129154233</v>
      </c>
      <c r="AT237" s="153">
        <f>AT8/AVERAGE(AQ35,AT35)</f>
        <v>1.09767533017109</v>
      </c>
      <c r="AU237" s="153">
        <f>AU8*2/AVERAGE(AT35,AU35)</f>
        <v>1.0704831031314841</v>
      </c>
      <c r="AV237" s="153">
        <f>AV8*2/AVERAGE(AU35,AV35)</f>
        <v>1.1625646980860449</v>
      </c>
      <c r="AW237" s="153">
        <f>AW8/AVERAGE(AT35,AW35)</f>
        <v>1.1106833929093898</v>
      </c>
      <c r="AX237" s="153">
        <f>AX8*2/AVERAGE(AW35,AX35)</f>
        <v>1.0831913871022365</v>
      </c>
      <c r="AY237" s="153">
        <f>AY8*2/AVERAGE(AX35,AY35)</f>
        <v>1.1768000521006823</v>
      </c>
      <c r="AZ237" s="153">
        <f>AZ8/AVERAGE(AW35,AZ35)</f>
        <v>1.1239571225863938</v>
      </c>
      <c r="BA237" s="153">
        <f>BA8*2/AVERAGE(AZ35,BA35)</f>
        <v>1.0961639116595037</v>
      </c>
      <c r="BB237" s="153">
        <f>BB8*2/AVERAGE(BA35,BB35)</f>
        <v>1.1827627954111735</v>
      </c>
      <c r="BC237" s="153">
        <f>BC8/AVERAGE(AZ35,BC35)</f>
        <v>1.1293637291671903</v>
      </c>
      <c r="BD237" s="153">
        <f>BD8*2/AVERAGE(BC35,BD35)</f>
        <v>1.0936322634490421</v>
      </c>
      <c r="BE237" s="153">
        <f>BE8*2/AVERAGE(BD35,BE35)</f>
        <v>1.168183327936444</v>
      </c>
      <c r="BF237" s="153">
        <f>BF8/AVERAGE(BC35,BF35)</f>
        <v>1.1152434785982959</v>
      </c>
      <c r="BG237" s="153">
        <f>BG8*2/AVERAGE(BF35,BG35)</f>
        <v>1.0690180763754946</v>
      </c>
      <c r="BH237" s="153">
        <f>BH8*2/AVERAGE(BG35,BH35)</f>
        <v>1.1427626253133634</v>
      </c>
      <c r="BI237" s="153">
        <f>BI8/AVERAGE(BF35,BI35)</f>
        <v>1.0908296403496676</v>
      </c>
      <c r="BJ237" s="153">
        <f>BJ8*2/AVERAGE(BI35,BJ35)</f>
        <v>1.0459476767495162</v>
      </c>
      <c r="BK237" s="153">
        <f>BK8*2/AVERAGE(BJ35,BK35)</f>
        <v>1.118872999113834</v>
      </c>
      <c r="BL237" s="153">
        <f>BL8/AVERAGE(BI35,BL35)</f>
        <v>1.0678875743887148</v>
      </c>
      <c r="BM237" s="153">
        <f>BM8*2/AVERAGE(BL35,BM35)</f>
        <v>1.024223739302673</v>
      </c>
      <c r="BN237" s="153">
        <f>BN8*2/AVERAGE(BM35,BN35)</f>
        <v>1.0963586054758814</v>
      </c>
      <c r="BO237" s="153">
        <f>BO8/AVERAGE(BL35,BO35)</f>
        <v>1.0462679937468986</v>
      </c>
      <c r="BP237" s="153">
        <f>BP8*2/AVERAGE(BO35,BP35)</f>
        <v>1.0040256225422117</v>
      </c>
      <c r="BQ237" s="153">
        <f>BQ8*2/AVERAGE(BP35,BQ35)</f>
        <v>1.0754080012484271</v>
      </c>
      <c r="BR237" s="153">
        <f>BR8/AVERAGE(BO35,BR35)</f>
        <v>1.0258719623107475</v>
      </c>
    </row>
    <row r="238" spans="2:70" outlineLevel="1">
      <c r="B238" s="55"/>
      <c r="C238" s="60" t="s">
        <v>252</v>
      </c>
      <c r="D238" s="74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62"/>
      <c r="T238" s="158"/>
      <c r="U238" s="158">
        <f t="shared" ref="U238:AE238" si="723">U35/U56</f>
        <v>4.2699733532794166</v>
      </c>
      <c r="V238" s="158">
        <f t="shared" si="723"/>
        <v>4.2699733532794166</v>
      </c>
      <c r="W238" s="158">
        <f t="shared" si="723"/>
        <v>4.2077391044180716</v>
      </c>
      <c r="X238" s="158">
        <f t="shared" si="723"/>
        <v>5.3856962822936367</v>
      </c>
      <c r="Y238" s="158">
        <f t="shared" si="723"/>
        <v>5.3856962822936367</v>
      </c>
      <c r="Z238" s="158">
        <f t="shared" si="723"/>
        <v>6.7069389763779537</v>
      </c>
      <c r="AA238" s="158">
        <f t="shared" si="723"/>
        <v>10.268598462448256</v>
      </c>
      <c r="AB238" s="158">
        <f t="shared" si="723"/>
        <v>10.268598462448256</v>
      </c>
      <c r="AC238" s="153">
        <f t="shared" si="723"/>
        <v>10.238095238095239</v>
      </c>
      <c r="AD238" s="153">
        <f t="shared" si="723"/>
        <v>10.188782950084125</v>
      </c>
      <c r="AE238" s="158">
        <f t="shared" si="723"/>
        <v>10.188782950084125</v>
      </c>
      <c r="AF238" s="158">
        <f t="shared" ref="AF238" si="724">AF35/AF56</f>
        <v>9.4581897901659868</v>
      </c>
      <c r="AG238" s="957">
        <f t="shared" ref="AG238:BR238" si="725">AG35/AG56</f>
        <v>8.1050494871093015</v>
      </c>
      <c r="AH238" s="153">
        <f t="shared" si="725"/>
        <v>8.1050494871093015</v>
      </c>
      <c r="AI238" s="153">
        <f t="shared" si="725"/>
        <v>7.4406058660813787</v>
      </c>
      <c r="AJ238" s="153">
        <f t="shared" si="725"/>
        <v>6.5648665225567964</v>
      </c>
      <c r="AK238" s="153">
        <f t="shared" si="725"/>
        <v>6.5648665225567964</v>
      </c>
      <c r="AL238" s="153">
        <f t="shared" si="725"/>
        <v>6.130303512798613</v>
      </c>
      <c r="AM238" s="153">
        <f t="shared" si="725"/>
        <v>5.519888045271542</v>
      </c>
      <c r="AN238" s="153">
        <f t="shared" si="725"/>
        <v>5.519888045271542</v>
      </c>
      <c r="AO238" s="153">
        <f t="shared" si="725"/>
        <v>5.1772992686352666</v>
      </c>
      <c r="AP238" s="153">
        <f t="shared" si="725"/>
        <v>4.7230861296067008</v>
      </c>
      <c r="AQ238" s="153">
        <f t="shared" si="725"/>
        <v>4.7230861296067017</v>
      </c>
      <c r="AR238" s="153">
        <f t="shared" si="725"/>
        <v>4.4708334782325458</v>
      </c>
      <c r="AS238" s="153">
        <f t="shared" si="725"/>
        <v>4.128332067702746</v>
      </c>
      <c r="AT238" s="153">
        <f t="shared" si="725"/>
        <v>4.128332067702746</v>
      </c>
      <c r="AU238" s="153">
        <f t="shared" si="725"/>
        <v>3.9249192305552105</v>
      </c>
      <c r="AV238" s="153">
        <f t="shared" si="725"/>
        <v>3.6588874782370997</v>
      </c>
      <c r="AW238" s="153">
        <f t="shared" si="725"/>
        <v>3.6588874782370997</v>
      </c>
      <c r="AX238" s="153">
        <f t="shared" si="725"/>
        <v>3.490521099362311</v>
      </c>
      <c r="AY238" s="153">
        <f t="shared" si="725"/>
        <v>3.2790652734117574</v>
      </c>
      <c r="AZ238" s="153">
        <f t="shared" si="725"/>
        <v>3.2790652734117574</v>
      </c>
      <c r="BA238" s="153">
        <f t="shared" si="725"/>
        <v>3.136771320241897</v>
      </c>
      <c r="BB238" s="153">
        <f t="shared" si="725"/>
        <v>3.0088346979254621</v>
      </c>
      <c r="BC238" s="153">
        <f t="shared" si="725"/>
        <v>3.0088346979254621</v>
      </c>
      <c r="BD238" s="153">
        <f t="shared" si="725"/>
        <v>2.8858271236857447</v>
      </c>
      <c r="BE238" s="153">
        <f t="shared" si="725"/>
        <v>2.8413203590252447</v>
      </c>
      <c r="BF238" s="153">
        <f t="shared" si="725"/>
        <v>2.8413203590252447</v>
      </c>
      <c r="BG238" s="153">
        <f t="shared" si="725"/>
        <v>2.732190548331273</v>
      </c>
      <c r="BH238" s="153">
        <f t="shared" si="725"/>
        <v>2.6998138170198605</v>
      </c>
      <c r="BI238" s="153">
        <f t="shared" si="725"/>
        <v>2.6998138170198605</v>
      </c>
      <c r="BJ238" s="153">
        <f t="shared" si="725"/>
        <v>2.6013149968959239</v>
      </c>
      <c r="BK238" s="153">
        <f t="shared" si="725"/>
        <v>2.5784421181802566</v>
      </c>
      <c r="BL238" s="153">
        <f t="shared" si="725"/>
        <v>2.5784421181802566</v>
      </c>
      <c r="BM238" s="153">
        <f t="shared" si="725"/>
        <v>2.4886680129937968</v>
      </c>
      <c r="BN238" s="153">
        <f t="shared" si="725"/>
        <v>2.4732350848448883</v>
      </c>
      <c r="BO238" s="153">
        <f t="shared" si="725"/>
        <v>2.4732350848448883</v>
      </c>
      <c r="BP238" s="153">
        <f t="shared" si="725"/>
        <v>2.3893886259154207</v>
      </c>
      <c r="BQ238" s="153">
        <f t="shared" si="725"/>
        <v>2.3811786490406304</v>
      </c>
      <c r="BR238" s="153">
        <f t="shared" si="725"/>
        <v>2.3811786490406304</v>
      </c>
    </row>
    <row r="239" spans="2:70" outlineLevel="1">
      <c r="B239" s="55"/>
      <c r="C239" s="60" t="s">
        <v>245</v>
      </c>
      <c r="D239" s="74" t="s">
        <v>66</v>
      </c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62"/>
      <c r="T239" s="46"/>
      <c r="U239" s="46">
        <f t="shared" ref="U239:AB239" si="726">U234*U235*U236*U237*U238</f>
        <v>0.35239119255761764</v>
      </c>
      <c r="V239" s="46">
        <f t="shared" si="726"/>
        <v>0.2803982598632842</v>
      </c>
      <c r="W239" s="46">
        <f t="shared" si="726"/>
        <v>0.30774843627102655</v>
      </c>
      <c r="X239" s="46">
        <f t="shared" si="726"/>
        <v>0.44365811838385283</v>
      </c>
      <c r="Y239" s="46">
        <f t="shared" si="726"/>
        <v>0.40883895425001532</v>
      </c>
      <c r="Z239" s="46">
        <f t="shared" si="726"/>
        <v>0.49006107491741663</v>
      </c>
      <c r="AA239" s="46">
        <f t="shared" si="726"/>
        <v>0.890718325394107</v>
      </c>
      <c r="AB239" s="46">
        <f t="shared" si="726"/>
        <v>0.7999508309322575</v>
      </c>
      <c r="AC239" s="159">
        <f t="shared" ref="AC239:BR239" si="727">AC234*AC235*AC236*AC237*AC238</f>
        <v>0.73036274312309379</v>
      </c>
      <c r="AD239" s="159">
        <f t="shared" si="727"/>
        <v>0.90373597808572259</v>
      </c>
      <c r="AE239" s="46">
        <f t="shared" si="727"/>
        <v>0.80430213838123399</v>
      </c>
      <c r="AF239" s="46">
        <f t="shared" ref="AF239" si="728">AF234*AF235*AF236*AF237*AF238</f>
        <v>0.6874968002111469</v>
      </c>
      <c r="AG239" s="961">
        <f t="shared" si="727"/>
        <v>0.7284553688473504</v>
      </c>
      <c r="AH239" s="159">
        <f t="shared" si="727"/>
        <v>0.65610064111284871</v>
      </c>
      <c r="AI239" s="159">
        <f t="shared" si="727"/>
        <v>0.59516277225860004</v>
      </c>
      <c r="AJ239" s="159">
        <f t="shared" si="727"/>
        <v>0.645908974396877</v>
      </c>
      <c r="AK239" s="159">
        <f t="shared" si="727"/>
        <v>0.58072476317131072</v>
      </c>
      <c r="AL239" s="159">
        <f t="shared" si="727"/>
        <v>0.53988187734645088</v>
      </c>
      <c r="AM239" s="159">
        <f t="shared" si="727"/>
        <v>0.57007440169971868</v>
      </c>
      <c r="AN239" s="159">
        <f t="shared" si="727"/>
        <v>0.52633184916285214</v>
      </c>
      <c r="AO239" s="159">
        <f t="shared" si="727"/>
        <v>0.47409025936461113</v>
      </c>
      <c r="AP239" s="159">
        <f t="shared" si="727"/>
        <v>0.50834749992272554</v>
      </c>
      <c r="AQ239" s="159">
        <f t="shared" si="727"/>
        <v>0.46805519003066104</v>
      </c>
      <c r="AR239" s="159">
        <f t="shared" si="727"/>
        <v>0.42082928395972014</v>
      </c>
      <c r="AS239" s="159">
        <f t="shared" si="727"/>
        <v>0.45576417461647467</v>
      </c>
      <c r="AT239" s="159">
        <f t="shared" si="727"/>
        <v>0.42003972755145697</v>
      </c>
      <c r="AU239" s="159">
        <f t="shared" si="727"/>
        <v>0.37959042629394157</v>
      </c>
      <c r="AV239" s="159">
        <f t="shared" si="727"/>
        <v>0.41428000399879178</v>
      </c>
      <c r="AW239" s="159">
        <f t="shared" si="727"/>
        <v>0.38208291161784858</v>
      </c>
      <c r="AX239" s="159">
        <f t="shared" si="727"/>
        <v>0.34679115910610447</v>
      </c>
      <c r="AY239" s="159">
        <f t="shared" si="727"/>
        <v>0.3807343119068794</v>
      </c>
      <c r="AZ239" s="159">
        <f t="shared" si="727"/>
        <v>0.35138997581693787</v>
      </c>
      <c r="BA239" s="159">
        <f t="shared" si="727"/>
        <v>0.32009536980642184</v>
      </c>
      <c r="BB239" s="159">
        <f t="shared" si="727"/>
        <v>0.35517798028624081</v>
      </c>
      <c r="BC239" s="159">
        <f t="shared" si="727"/>
        <v>0.32823282742924209</v>
      </c>
      <c r="BD239" s="159">
        <f t="shared" si="727"/>
        <v>0.29727137087215733</v>
      </c>
      <c r="BE239" s="159">
        <f t="shared" si="727"/>
        <v>0.33396102042058973</v>
      </c>
      <c r="BF239" s="159">
        <f t="shared" si="727"/>
        <v>0.30908973624946595</v>
      </c>
      <c r="BG239" s="159">
        <f t="shared" si="727"/>
        <v>0.27714454163276914</v>
      </c>
      <c r="BH239" s="159">
        <f t="shared" si="727"/>
        <v>0.31232228477073493</v>
      </c>
      <c r="BI239" s="159">
        <f t="shared" si="727"/>
        <v>0.28919519401171823</v>
      </c>
      <c r="BJ239" s="159">
        <f t="shared" si="727"/>
        <v>0.26005410189825046</v>
      </c>
      <c r="BK239" s="159">
        <f t="shared" si="727"/>
        <v>0.29381058981162445</v>
      </c>
      <c r="BL239" s="159">
        <f t="shared" si="727"/>
        <v>0.27217553581220749</v>
      </c>
      <c r="BM239" s="159">
        <f t="shared" si="727"/>
        <v>0.24537147097050002</v>
      </c>
      <c r="BN239" s="159">
        <f t="shared" si="727"/>
        <v>0.27778607748620116</v>
      </c>
      <c r="BO239" s="159">
        <f t="shared" si="727"/>
        <v>0.25744779505357251</v>
      </c>
      <c r="BP239" s="159">
        <f t="shared" si="727"/>
        <v>0.23256838185130058</v>
      </c>
      <c r="BQ239" s="159">
        <f t="shared" si="727"/>
        <v>0.26388327512727738</v>
      </c>
      <c r="BR239" s="159">
        <f t="shared" si="727"/>
        <v>0.24459926027686094</v>
      </c>
    </row>
    <row r="240" spans="2:70" outlineLevel="1">
      <c r="B240" s="55"/>
      <c r="C240" s="21" t="s">
        <v>253</v>
      </c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62"/>
      <c r="T240" s="158">
        <f t="shared" ref="T240:AM240" si="729">T72/T10</f>
        <v>0</v>
      </c>
      <c r="U240" s="158">
        <f t="shared" si="729"/>
        <v>0</v>
      </c>
      <c r="V240" s="158">
        <f t="shared" si="729"/>
        <v>0.88480978983772274</v>
      </c>
      <c r="W240" s="158">
        <f t="shared" si="729"/>
        <v>0.85363189513926807</v>
      </c>
      <c r="X240" s="158">
        <f t="shared" si="729"/>
        <v>0.96806039488966322</v>
      </c>
      <c r="Y240" s="158">
        <f t="shared" si="729"/>
        <v>0.90909090909090917</v>
      </c>
      <c r="Z240" s="158">
        <f t="shared" si="729"/>
        <v>0.92527096406160858</v>
      </c>
      <c r="AA240" s="158">
        <f t="shared" si="729"/>
        <v>1.0447677672076103</v>
      </c>
      <c r="AB240" s="158">
        <f t="shared" si="729"/>
        <v>0.985593220338983</v>
      </c>
      <c r="AC240" s="153">
        <f t="shared" si="729"/>
        <v>1.1197802197802198</v>
      </c>
      <c r="AD240" s="153">
        <f t="shared" si="729"/>
        <v>0.99208144796380071</v>
      </c>
      <c r="AE240" s="158">
        <f t="shared" si="729"/>
        <v>1.0568561872909701</v>
      </c>
      <c r="AF240" s="158">
        <f t="shared" ref="AF240" si="730">AF72/AF10</f>
        <v>1.0314222712238148</v>
      </c>
      <c r="AG240" s="957">
        <f t="shared" si="729"/>
        <v>0.9635812628724405</v>
      </c>
      <c r="AH240" s="153">
        <f>AH72/AH10</f>
        <v>0.99678802142523559</v>
      </c>
      <c r="AI240" s="153">
        <f>AI72/AI10</f>
        <v>0.9725236497480727</v>
      </c>
      <c r="AJ240" s="153">
        <f t="shared" si="729"/>
        <v>0.9701659526011942</v>
      </c>
      <c r="AK240" s="153">
        <f>AK72/AK10</f>
        <v>0.97130178495348951</v>
      </c>
      <c r="AL240" s="153">
        <f>AL72/AL10</f>
        <v>0.97613997879109204</v>
      </c>
      <c r="AM240" s="153">
        <f t="shared" si="729"/>
        <v>0.97647845720885862</v>
      </c>
      <c r="AN240" s="153">
        <f>AN72/AN10</f>
        <v>0.97631237479141753</v>
      </c>
      <c r="AO240" s="153">
        <f>AO72/AO10</f>
        <v>0.97613997879109216</v>
      </c>
      <c r="AP240" s="153">
        <f t="shared" ref="AP240" si="731">AP72/AP10</f>
        <v>0.97647845720885829</v>
      </c>
      <c r="AQ240" s="153">
        <f>AQ72/AQ10</f>
        <v>0.97631237479141775</v>
      </c>
      <c r="AR240" s="153">
        <f>AR72/AR10</f>
        <v>0.97613997879109227</v>
      </c>
      <c r="AS240" s="153">
        <f t="shared" ref="AS240" si="732">AS72/AS10</f>
        <v>0.9764784572088584</v>
      </c>
      <c r="AT240" s="153">
        <f>AT72/AT10</f>
        <v>0.97631237479141764</v>
      </c>
      <c r="AU240" s="153">
        <f>AU72/AU10</f>
        <v>0.97613997879109204</v>
      </c>
      <c r="AV240" s="153">
        <f t="shared" ref="AV240" si="733">AV72/AV10</f>
        <v>0.97647845720885829</v>
      </c>
      <c r="AW240" s="153">
        <f>AW72/AW10</f>
        <v>0.97631237479141764</v>
      </c>
      <c r="AX240" s="153">
        <f>AX72/AX10</f>
        <v>0.97613997879109216</v>
      </c>
      <c r="AY240" s="153">
        <f t="shared" ref="AY240" si="734">AY72/AY10</f>
        <v>0.97647845720885829</v>
      </c>
      <c r="AZ240" s="153">
        <f>AZ72/AZ10</f>
        <v>0.97631237479141764</v>
      </c>
      <c r="BA240" s="153">
        <f>BA72/BA10</f>
        <v>0.97613997879109227</v>
      </c>
      <c r="BB240" s="153">
        <f t="shared" ref="BB240" si="735">BB72/BB10</f>
        <v>0.9764784572088584</v>
      </c>
      <c r="BC240" s="153">
        <f>BC72/BC10</f>
        <v>0.97631237479141775</v>
      </c>
      <c r="BD240" s="153">
        <f>BD72/BD10</f>
        <v>0.97613997879109227</v>
      </c>
      <c r="BE240" s="153">
        <f t="shared" ref="BE240" si="736">BE72/BE10</f>
        <v>0.9764784572088584</v>
      </c>
      <c r="BF240" s="153">
        <f>BF72/BF10</f>
        <v>0.97631237479141764</v>
      </c>
      <c r="BG240" s="153">
        <f>BG72/BG10</f>
        <v>0.97613997879109216</v>
      </c>
      <c r="BH240" s="153">
        <f t="shared" ref="BH240" si="737">BH72/BH10</f>
        <v>0.9764784572088584</v>
      </c>
      <c r="BI240" s="153">
        <f>BI72/BI10</f>
        <v>0.97631237479141753</v>
      </c>
      <c r="BJ240" s="153">
        <f>BJ72/BJ10</f>
        <v>0.97613997879109216</v>
      </c>
      <c r="BK240" s="153">
        <f t="shared" ref="BK240" si="738">BK72/BK10</f>
        <v>0.9764784572088584</v>
      </c>
      <c r="BL240" s="153">
        <f>BL72/BL10</f>
        <v>0.97631237479141753</v>
      </c>
      <c r="BM240" s="153">
        <f>BM72/BM10</f>
        <v>0.97613997879109204</v>
      </c>
      <c r="BN240" s="153">
        <f t="shared" ref="BN240" si="739">BN72/BN10</f>
        <v>0.97647845720885829</v>
      </c>
      <c r="BO240" s="153">
        <f>BO72/BO10</f>
        <v>0.97631237479141753</v>
      </c>
      <c r="BP240" s="153">
        <f>BP72/BP10</f>
        <v>0.97613997879109204</v>
      </c>
      <c r="BQ240" s="153">
        <f t="shared" ref="BQ240" si="740">BQ72/BQ10</f>
        <v>0.9764784572088584</v>
      </c>
      <c r="BR240" s="153">
        <f>BR72/BR10</f>
        <v>0.97631237479141741</v>
      </c>
    </row>
    <row r="241" spans="1:70" outlineLevel="1">
      <c r="B241" s="55"/>
      <c r="C241" s="21" t="s">
        <v>254</v>
      </c>
      <c r="D241" s="74" t="s">
        <v>66</v>
      </c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62"/>
      <c r="T241" s="133">
        <f t="shared" ref="T241:AM241" si="741">-T72/T8</f>
        <v>0</v>
      </c>
      <c r="U241" s="133">
        <f t="shared" si="741"/>
        <v>0</v>
      </c>
      <c r="V241" s="133">
        <f t="shared" si="741"/>
        <v>3.3355396433800671E-2</v>
      </c>
      <c r="W241" s="133">
        <f t="shared" si="741"/>
        <v>3.250020793479165E-2</v>
      </c>
      <c r="X241" s="133">
        <f t="shared" si="741"/>
        <v>3.4711810761286016E-2</v>
      </c>
      <c r="Y241" s="133">
        <f t="shared" si="741"/>
        <v>3.3605227017354029E-2</v>
      </c>
      <c r="Z241" s="133">
        <f t="shared" si="741"/>
        <v>3.5658539802580956E-2</v>
      </c>
      <c r="AA241" s="133">
        <f t="shared" si="741"/>
        <v>3.8303721636371094E-2</v>
      </c>
      <c r="AB241" s="133">
        <f t="shared" si="741"/>
        <v>3.7026817646372133E-2</v>
      </c>
      <c r="AC241" s="20">
        <f t="shared" si="741"/>
        <v>4.5608145910260717E-2</v>
      </c>
      <c r="AD241" s="20">
        <f t="shared" si="741"/>
        <v>3.7842502696871623E-2</v>
      </c>
      <c r="AE241" s="133">
        <f t="shared" si="741"/>
        <v>4.1654308782336461E-2</v>
      </c>
      <c r="AF241" s="133">
        <f t="shared" ref="AF241" si="742">-AF72/AF8</f>
        <v>4.1555614783226724E-2</v>
      </c>
      <c r="AG241" s="938">
        <f t="shared" si="741"/>
        <v>3.722638452411213E-2</v>
      </c>
      <c r="AH241" s="20">
        <f>-AH72/AH8</f>
        <v>3.9300066451304627E-2</v>
      </c>
      <c r="AI241" s="20">
        <f>-AI72/AI8</f>
        <v>3.8987237323761734E-2</v>
      </c>
      <c r="AJ241" s="20">
        <f t="shared" si="741"/>
        <v>3.7412311502612906E-2</v>
      </c>
      <c r="AK241" s="20">
        <f>-AK72/AK8</f>
        <v>3.8155793282670027E-2</v>
      </c>
      <c r="AL241" s="20">
        <f>-AL72/AL8</f>
        <v>3.9154013999278037E-2</v>
      </c>
      <c r="AM241" s="20">
        <f t="shared" si="741"/>
        <v>3.7223253808918833E-2</v>
      </c>
      <c r="AN241" s="20">
        <f>-AN72/AN8</f>
        <v>3.8146075707547494E-2</v>
      </c>
      <c r="AO241" s="20">
        <f>-AO72/AO8</f>
        <v>3.8759773999455217E-2</v>
      </c>
      <c r="AP241" s="20">
        <f t="shared" ref="AP241" si="743">-AP72/AP8</f>
        <v>3.6984039269707253E-2</v>
      </c>
      <c r="AQ241" s="20">
        <f>-AQ72/AQ8</f>
        <v>3.783439296720692E-2</v>
      </c>
      <c r="AR241" s="20">
        <f>-AR72/AR8</f>
        <v>3.8483443967096853E-2</v>
      </c>
      <c r="AS241" s="20">
        <f t="shared" ref="AS241" si="744">-AS72/AS8</f>
        <v>3.6703259273416347E-2</v>
      </c>
      <c r="AT241" s="20">
        <f>-AT72/AT8</f>
        <v>3.7555536900723295E-2</v>
      </c>
      <c r="AU241" s="20">
        <f>-AU72/AU8</f>
        <v>3.8199647053622339E-2</v>
      </c>
      <c r="AV241" s="20">
        <f t="shared" ref="AV241" si="745">-AV72/AV8</f>
        <v>3.6416075768783966E-2</v>
      </c>
      <c r="AW241" s="20">
        <f>-AW72/AW8</f>
        <v>3.7269772955037507E-2</v>
      </c>
      <c r="AX241" s="20">
        <f>-AX72/AX8</f>
        <v>3.7908589500994273E-2</v>
      </c>
      <c r="AY241" s="20">
        <f t="shared" ref="AY241" si="746">-AY72/AY8</f>
        <v>3.6122680897537965E-2</v>
      </c>
      <c r="AZ241" s="20">
        <f>-AZ72/AZ8</f>
        <v>3.6977300375184742E-2</v>
      </c>
      <c r="BA241" s="20">
        <f>-BA72/BA8</f>
        <v>3.7610481363790617E-2</v>
      </c>
      <c r="BB241" s="20">
        <f t="shared" ref="BB241" si="747">-BB72/BB8</f>
        <v>3.5823269622369265E-2</v>
      </c>
      <c r="BC241" s="20">
        <f>-BC72/BC8</f>
        <v>3.6678321674545336E-2</v>
      </c>
      <c r="BD241" s="20">
        <f>-BD72/BD8</f>
        <v>3.7305536261857175E-2</v>
      </c>
      <c r="BE241" s="20">
        <f t="shared" ref="BE241" si="748">-BE72/BE8</f>
        <v>3.5518039520712204E-2</v>
      </c>
      <c r="BF241" s="20">
        <f>-BF72/BF8</f>
        <v>3.637304240914295E-2</v>
      </c>
      <c r="BG241" s="20">
        <f>-BG72/BG8</f>
        <v>3.6993971131045175E-2</v>
      </c>
      <c r="BH241" s="20">
        <f t="shared" ref="BH241" si="749">-BH72/BH8</f>
        <v>3.5207190577224858E-2</v>
      </c>
      <c r="BI241" s="20">
        <f>-BI72/BI8</f>
        <v>3.6061670950416395E-2</v>
      </c>
      <c r="BJ241" s="20">
        <f>-BJ72/BJ8</f>
        <v>3.6676005972342926E-2</v>
      </c>
      <c r="BK241" s="20">
        <f t="shared" ref="BK241" si="750">-BK72/BK8</f>
        <v>3.4890924975194443E-2</v>
      </c>
      <c r="BL241" s="20">
        <f>-BL72/BL8</f>
        <v>3.5744418256726758E-2</v>
      </c>
      <c r="BM241" s="20">
        <f>-BM72/BM8</f>
        <v>3.6351863599711112E-2</v>
      </c>
      <c r="BN241" s="20">
        <f t="shared" ref="BN241" si="751">-BN72/BN8</f>
        <v>3.4569446887096171E-2</v>
      </c>
      <c r="BO241" s="20">
        <f>-BO72/BO8</f>
        <v>3.5421497643863251E-2</v>
      </c>
      <c r="BP241" s="20">
        <f>-BP72/BP8</f>
        <v>3.6021769386932467E-2</v>
      </c>
      <c r="BQ241" s="20">
        <f t="shared" ref="BQ241" si="752">-BQ72/BQ8</f>
        <v>3.4242962264537109E-2</v>
      </c>
      <c r="BR241" s="20">
        <f>-BR72/BR8</f>
        <v>3.5093124554813469E-2</v>
      </c>
    </row>
    <row r="242" spans="1:70" outlineLevel="1">
      <c r="B242" s="55"/>
      <c r="C242" s="21" t="s">
        <v>255</v>
      </c>
      <c r="D242" s="74" t="s">
        <v>66</v>
      </c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62"/>
      <c r="T242" s="343">
        <f t="shared" ref="T242:AE242" si="753">T69/(T19-T10)</f>
        <v>0</v>
      </c>
      <c r="U242" s="343">
        <f t="shared" si="753"/>
        <v>0</v>
      </c>
      <c r="V242" s="343">
        <f t="shared" si="753"/>
        <v>1.0381440364360948</v>
      </c>
      <c r="W242" s="343">
        <f t="shared" si="753"/>
        <v>0.40642347343378271</v>
      </c>
      <c r="X242" s="343">
        <f t="shared" si="753"/>
        <v>1.5009412650602407</v>
      </c>
      <c r="Y242" s="343">
        <f t="shared" si="753"/>
        <v>0.96784472769409025</v>
      </c>
      <c r="Z242" s="343">
        <f t="shared" si="753"/>
        <v>0.54742096505823612</v>
      </c>
      <c r="AA242" s="343">
        <f t="shared" si="753"/>
        <v>7.1287297527706786</v>
      </c>
      <c r="AB242" s="343">
        <f t="shared" si="753"/>
        <v>1.8381541548236082</v>
      </c>
      <c r="AC242" s="17">
        <f t="shared" si="753"/>
        <v>0.45860008536064872</v>
      </c>
      <c r="AD242" s="17">
        <f t="shared" si="753"/>
        <v>1.6676929392446642</v>
      </c>
      <c r="AE242" s="343">
        <f t="shared" si="753"/>
        <v>1.0749110692613519</v>
      </c>
      <c r="AF242" s="343">
        <f t="shared" ref="AF242" si="754">AF69/(AF19-AF10)</f>
        <v>0.34846409704558789</v>
      </c>
      <c r="AG242" s="960">
        <f t="shared" ref="AG242:BR242" si="755">AG69/(AG19-AG10)</f>
        <v>1.361020479387625</v>
      </c>
      <c r="AH242" s="17">
        <f t="shared" si="755"/>
        <v>0.89502065972430278</v>
      </c>
      <c r="AI242" s="17">
        <f t="shared" si="755"/>
        <v>0.57929891550903378</v>
      </c>
      <c r="AJ242" s="17">
        <f t="shared" si="755"/>
        <v>1.3756569310867008</v>
      </c>
      <c r="AK242" s="17">
        <f t="shared" si="755"/>
        <v>1.0107406270010135</v>
      </c>
      <c r="AL242" s="17">
        <f t="shared" si="755"/>
        <v>0.58179127132927499</v>
      </c>
      <c r="AM242" s="17">
        <f t="shared" si="755"/>
        <v>1.3941435869976806</v>
      </c>
      <c r="AN242" s="17">
        <f t="shared" si="755"/>
        <v>1.0136477764815766</v>
      </c>
      <c r="AO242" s="17">
        <f t="shared" si="755"/>
        <v>0.59416751453396355</v>
      </c>
      <c r="AP242" s="17">
        <f t="shared" si="755"/>
        <v>1.3794615916938551</v>
      </c>
      <c r="AQ242" s="17">
        <f t="shared" si="755"/>
        <v>1.011586929921696</v>
      </c>
      <c r="AR242" s="17">
        <f t="shared" si="755"/>
        <v>0.59758205567062006</v>
      </c>
      <c r="AS242" s="17">
        <f t="shared" si="755"/>
        <v>1.3764285023224005</v>
      </c>
      <c r="AT242" s="17">
        <f t="shared" si="755"/>
        <v>1.0114247517679598</v>
      </c>
      <c r="AU242" s="17">
        <f t="shared" si="755"/>
        <v>0.60108892887465337</v>
      </c>
      <c r="AV242" s="17">
        <f t="shared" si="755"/>
        <v>1.3734757763174241</v>
      </c>
      <c r="AW242" s="17">
        <f t="shared" si="755"/>
        <v>1.0113699996596432</v>
      </c>
      <c r="AX242" s="17">
        <f t="shared" si="755"/>
        <v>0.60449964080272311</v>
      </c>
      <c r="AY242" s="17">
        <f t="shared" si="755"/>
        <v>1.3706016797309448</v>
      </c>
      <c r="AZ242" s="17">
        <f t="shared" si="755"/>
        <v>1.0113170437671415</v>
      </c>
      <c r="BA242" s="17">
        <f t="shared" si="755"/>
        <v>0.60781621237887695</v>
      </c>
      <c r="BB242" s="17">
        <f t="shared" si="755"/>
        <v>1.3681441778877765</v>
      </c>
      <c r="BC242" s="17">
        <f t="shared" si="755"/>
        <v>1.0112648035066869</v>
      </c>
      <c r="BD242" s="17">
        <f t="shared" si="755"/>
        <v>0.61022266252200486</v>
      </c>
      <c r="BE242" s="17">
        <f t="shared" si="755"/>
        <v>1.3665815671162529</v>
      </c>
      <c r="BF242" s="17">
        <f t="shared" si="755"/>
        <v>1.0112096486748274</v>
      </c>
      <c r="BG242" s="17">
        <f t="shared" si="755"/>
        <v>0.6113677523715042</v>
      </c>
      <c r="BH242" s="17">
        <f t="shared" si="755"/>
        <v>1.3655539272108659</v>
      </c>
      <c r="BI242" s="17">
        <f t="shared" si="755"/>
        <v>1.0111513797252234</v>
      </c>
      <c r="BJ242" s="17">
        <f t="shared" si="755"/>
        <v>0.61246840500483457</v>
      </c>
      <c r="BK242" s="17">
        <f t="shared" si="755"/>
        <v>1.3645627216479161</v>
      </c>
      <c r="BL242" s="17">
        <f t="shared" si="755"/>
        <v>1.0110943415643474</v>
      </c>
      <c r="BM242" s="17">
        <f t="shared" si="755"/>
        <v>0.61352493172833888</v>
      </c>
      <c r="BN242" s="17">
        <f t="shared" si="755"/>
        <v>1.356158542856059</v>
      </c>
      <c r="BO242" s="17">
        <f t="shared" si="755"/>
        <v>1.0070845138831921</v>
      </c>
      <c r="BP242" s="17">
        <f t="shared" si="755"/>
        <v>0.62277284845399405</v>
      </c>
      <c r="BQ242" s="17">
        <f t="shared" si="755"/>
        <v>1.3494587338577073</v>
      </c>
      <c r="BR242" s="17">
        <f t="shared" si="755"/>
        <v>1.0078386599672584</v>
      </c>
    </row>
    <row r="243" spans="1:70" outlineLevel="1">
      <c r="B243" s="54" t="s">
        <v>565</v>
      </c>
      <c r="D243" s="86"/>
      <c r="E243" s="86"/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62"/>
      <c r="T243" s="130"/>
      <c r="U243" s="130"/>
      <c r="V243" s="130"/>
      <c r="W243" s="130"/>
      <c r="X243" s="130"/>
      <c r="Y243" s="130"/>
      <c r="Z243" s="130"/>
      <c r="AA243" s="130"/>
      <c r="AB243" s="130"/>
    </row>
    <row r="244" spans="1:70" outlineLevel="1">
      <c r="B244" s="55"/>
      <c r="C244" s="57" t="s">
        <v>163</v>
      </c>
      <c r="D244" s="74" t="s">
        <v>58</v>
      </c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62"/>
      <c r="T244" s="26"/>
      <c r="U244" s="26">
        <f t="shared" ref="U244:AE244" si="756">U144</f>
        <v>3013.4000000000005</v>
      </c>
      <c r="V244" s="26">
        <f t="shared" si="756"/>
        <v>3013.4000000000005</v>
      </c>
      <c r="W244" s="26">
        <f t="shared" si="756"/>
        <v>3056.1</v>
      </c>
      <c r="X244" s="26">
        <f t="shared" si="756"/>
        <v>2880.4</v>
      </c>
      <c r="Y244" s="26">
        <f t="shared" si="756"/>
        <v>2880.4</v>
      </c>
      <c r="Z244" s="26">
        <f t="shared" si="756"/>
        <v>3523.7000000000003</v>
      </c>
      <c r="AA244" s="26">
        <f t="shared" si="756"/>
        <v>3829.4000000000005</v>
      </c>
      <c r="AB244" s="26">
        <f t="shared" si="756"/>
        <v>3829.4000000000005</v>
      </c>
      <c r="AC244" s="18">
        <f t="shared" si="756"/>
        <v>4285.2</v>
      </c>
      <c r="AD244" s="18">
        <f t="shared" si="756"/>
        <v>4049.5</v>
      </c>
      <c r="AE244" s="26">
        <f t="shared" si="756"/>
        <v>4049.5</v>
      </c>
      <c r="AF244" s="26">
        <f t="shared" ref="AF244" si="757">AF144</f>
        <v>4353.3000000000011</v>
      </c>
      <c r="AG244" s="933">
        <f t="shared" ref="AG244:BR244" si="758">AG144</f>
        <v>3962.6764957464698</v>
      </c>
      <c r="AH244" s="18">
        <f t="shared" si="758"/>
        <v>3962.6764957464698</v>
      </c>
      <c r="AI244" s="18">
        <f t="shared" si="758"/>
        <v>4106.1197281465165</v>
      </c>
      <c r="AJ244" s="18">
        <f t="shared" si="758"/>
        <v>3676.0598977544328</v>
      </c>
      <c r="AK244" s="18">
        <f t="shared" si="758"/>
        <v>3676.0598977544328</v>
      </c>
      <c r="AL244" s="18">
        <f t="shared" si="758"/>
        <v>3827.3822335880591</v>
      </c>
      <c r="AM244" s="18">
        <f t="shared" si="758"/>
        <v>3372.9523104498389</v>
      </c>
      <c r="AN244" s="18">
        <f t="shared" si="758"/>
        <v>3372.9523104498389</v>
      </c>
      <c r="AO244" s="18">
        <f t="shared" si="758"/>
        <v>3526.5413951142468</v>
      </c>
      <c r="AP244" s="18">
        <f t="shared" si="758"/>
        <v>3064.3446892279294</v>
      </c>
      <c r="AQ244" s="18">
        <f t="shared" si="758"/>
        <v>3064.3446892279294</v>
      </c>
      <c r="AR244" s="18">
        <f t="shared" si="758"/>
        <v>3224.0851728215539</v>
      </c>
      <c r="AS244" s="18">
        <f t="shared" si="758"/>
        <v>2751.9094561086804</v>
      </c>
      <c r="AT244" s="18">
        <f t="shared" si="758"/>
        <v>2751.9094561086804</v>
      </c>
      <c r="AU244" s="18">
        <f t="shared" si="758"/>
        <v>2912.3005098482013</v>
      </c>
      <c r="AV244" s="18">
        <f t="shared" si="758"/>
        <v>2429.7866317837538</v>
      </c>
      <c r="AW244" s="18">
        <f t="shared" si="758"/>
        <v>2429.7866317837538</v>
      </c>
      <c r="AX244" s="18">
        <f t="shared" si="758"/>
        <v>2590.849133995946</v>
      </c>
      <c r="AY244" s="18">
        <f t="shared" si="758"/>
        <v>2097.6652044363459</v>
      </c>
      <c r="AZ244" s="18">
        <f t="shared" si="758"/>
        <v>2097.6652044363459</v>
      </c>
      <c r="BA244" s="18">
        <f t="shared" si="758"/>
        <v>2259.4209896082498</v>
      </c>
      <c r="BB244" s="18">
        <f t="shared" si="758"/>
        <v>1755.9817977301684</v>
      </c>
      <c r="BC244" s="18">
        <f t="shared" si="758"/>
        <v>1755.9817977301684</v>
      </c>
      <c r="BD244" s="18">
        <f t="shared" si="758"/>
        <v>1919.3929966271328</v>
      </c>
      <c r="BE244" s="18">
        <f t="shared" si="758"/>
        <v>1406.2139232008167</v>
      </c>
      <c r="BF244" s="18">
        <f t="shared" si="758"/>
        <v>1406.2139232008167</v>
      </c>
      <c r="BG244" s="18">
        <f t="shared" si="758"/>
        <v>1572.2182320223155</v>
      </c>
      <c r="BH244" s="18">
        <f t="shared" si="758"/>
        <v>1048.5516824239173</v>
      </c>
      <c r="BI244" s="18">
        <f t="shared" si="758"/>
        <v>1048.5516824239173</v>
      </c>
      <c r="BJ244" s="18">
        <f t="shared" si="758"/>
        <v>1216.4554500364486</v>
      </c>
      <c r="BK244" s="18">
        <f t="shared" si="758"/>
        <v>681.96186181122403</v>
      </c>
      <c r="BL244" s="18">
        <f t="shared" si="758"/>
        <v>681.96186181122403</v>
      </c>
      <c r="BM244" s="18">
        <f t="shared" si="758"/>
        <v>851.83524570591908</v>
      </c>
      <c r="BN244" s="18">
        <f t="shared" si="758"/>
        <v>312.53787502270757</v>
      </c>
      <c r="BO244" s="18">
        <f t="shared" si="758"/>
        <v>312.53787502270757</v>
      </c>
      <c r="BP244" s="18">
        <f t="shared" si="758"/>
        <v>478.08200103141303</v>
      </c>
      <c r="BQ244" s="18">
        <f t="shared" si="758"/>
        <v>-67.601776637758576</v>
      </c>
      <c r="BR244" s="18">
        <f t="shared" si="758"/>
        <v>-67.601776637758576</v>
      </c>
    </row>
    <row r="245" spans="1:70" outlineLevel="1">
      <c r="B245" s="55"/>
      <c r="C245" s="57" t="s">
        <v>256</v>
      </c>
      <c r="D245" s="74" t="s">
        <v>66</v>
      </c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62"/>
      <c r="T245" s="343"/>
      <c r="U245" s="343">
        <f t="shared" ref="U245:AE245" si="759">U144/(U144+U56)</f>
        <v>0.58484230955846683</v>
      </c>
      <c r="V245" s="343">
        <f t="shared" si="759"/>
        <v>0.58484230955846683</v>
      </c>
      <c r="W245" s="343">
        <f t="shared" si="759"/>
        <v>0.60379334189469525</v>
      </c>
      <c r="X245" s="343">
        <f t="shared" si="759"/>
        <v>0.64475981555267048</v>
      </c>
      <c r="Y245" s="343">
        <f t="shared" si="759"/>
        <v>0.64475981555267048</v>
      </c>
      <c r="Z245" s="343">
        <f t="shared" si="759"/>
        <v>0.74294208184865806</v>
      </c>
      <c r="AA245" s="343">
        <f t="shared" si="759"/>
        <v>0.81914051637468188</v>
      </c>
      <c r="AB245" s="343">
        <f t="shared" si="759"/>
        <v>0.81914051637468188</v>
      </c>
      <c r="AC245" s="17">
        <f t="shared" si="759"/>
        <v>0.83576151190685166</v>
      </c>
      <c r="AD245" s="17">
        <f t="shared" si="759"/>
        <v>0.81957093705727591</v>
      </c>
      <c r="AE245" s="343">
        <f t="shared" si="759"/>
        <v>0.81957093705727591</v>
      </c>
      <c r="AF245" s="343">
        <f t="shared" ref="AF245" si="760">AF144/(AF144+AF56)</f>
        <v>0.81964527790329877</v>
      </c>
      <c r="AG245" s="960">
        <f t="shared" ref="AG245:BR245" si="761">AG144/(AG144+AG56)</f>
        <v>0.77736200378023046</v>
      </c>
      <c r="AH245" s="17">
        <f t="shared" si="761"/>
        <v>0.77736200378023046</v>
      </c>
      <c r="AI245" s="17">
        <f t="shared" si="761"/>
        <v>0.77090742198261586</v>
      </c>
      <c r="AJ245" s="17">
        <f t="shared" si="761"/>
        <v>0.72249814275682989</v>
      </c>
      <c r="AK245" s="17">
        <f t="shared" si="761"/>
        <v>0.72249814275682989</v>
      </c>
      <c r="AL245" s="17">
        <f t="shared" si="761"/>
        <v>0.71691152586061846</v>
      </c>
      <c r="AM245" s="17">
        <f t="shared" si="761"/>
        <v>0.66460784058474898</v>
      </c>
      <c r="AN245" s="17">
        <f t="shared" si="761"/>
        <v>0.66460784058474898</v>
      </c>
      <c r="AO245" s="17">
        <f t="shared" si="761"/>
        <v>0.66195799236584596</v>
      </c>
      <c r="AP245" s="17">
        <f t="shared" si="761"/>
        <v>0.60509766956732602</v>
      </c>
      <c r="AQ245" s="17">
        <f t="shared" si="761"/>
        <v>0.60509766956732602</v>
      </c>
      <c r="AR245" s="17">
        <f t="shared" si="761"/>
        <v>0.60592499576881265</v>
      </c>
      <c r="AS245" s="17">
        <f t="shared" si="761"/>
        <v>0.54460261393505249</v>
      </c>
      <c r="AT245" s="17">
        <f t="shared" si="761"/>
        <v>0.54460261393505249</v>
      </c>
      <c r="AU245" s="17">
        <f t="shared" si="761"/>
        <v>0.54802727441250942</v>
      </c>
      <c r="AV245" s="17">
        <f t="shared" si="761"/>
        <v>0.48195857187472357</v>
      </c>
      <c r="AW245" s="17">
        <f t="shared" si="761"/>
        <v>0.48195857187472357</v>
      </c>
      <c r="AX245" s="17">
        <f t="shared" si="761"/>
        <v>0.48818571465830146</v>
      </c>
      <c r="AY245" s="17">
        <f t="shared" si="761"/>
        <v>0.41707413752370248</v>
      </c>
      <c r="AZ245" s="17">
        <f t="shared" si="761"/>
        <v>0.41707413752370248</v>
      </c>
      <c r="BA245" s="17">
        <f t="shared" si="761"/>
        <v>0.42632522561306674</v>
      </c>
      <c r="BB245" s="17">
        <f t="shared" si="761"/>
        <v>0.35000365546170437</v>
      </c>
      <c r="BC245" s="17">
        <f t="shared" si="761"/>
        <v>0.35000365546170437</v>
      </c>
      <c r="BD245" s="17">
        <f t="shared" si="761"/>
        <v>0.36268613942048444</v>
      </c>
      <c r="BE245" s="17">
        <f t="shared" si="761"/>
        <v>0.28100685256794677</v>
      </c>
      <c r="BF245" s="17">
        <f t="shared" si="761"/>
        <v>0.28100685256794677</v>
      </c>
      <c r="BG245" s="17">
        <f t="shared" si="761"/>
        <v>0.2975236528991978</v>
      </c>
      <c r="BH245" s="17">
        <f t="shared" si="761"/>
        <v>0.21008893157603964</v>
      </c>
      <c r="BI245" s="17">
        <f t="shared" si="761"/>
        <v>0.21008893157603964</v>
      </c>
      <c r="BJ245" s="17">
        <f t="shared" si="761"/>
        <v>0.23054946334675369</v>
      </c>
      <c r="BK245" s="17">
        <f t="shared" si="761"/>
        <v>0.13701155391553052</v>
      </c>
      <c r="BL245" s="17">
        <f t="shared" si="761"/>
        <v>0.13701155391553052</v>
      </c>
      <c r="BM245" s="17">
        <f t="shared" si="761"/>
        <v>0.16169655280093248</v>
      </c>
      <c r="BN245" s="17">
        <f t="shared" si="761"/>
        <v>6.2887705293164328E-2</v>
      </c>
      <c r="BO245" s="17">
        <f t="shared" si="761"/>
        <v>6.2887705293164328E-2</v>
      </c>
      <c r="BP245" s="17">
        <f t="shared" si="761"/>
        <v>9.0895667006066022E-2</v>
      </c>
      <c r="BQ245" s="17">
        <f t="shared" si="761"/>
        <v>-1.3627838604072271E-2</v>
      </c>
      <c r="BR245" s="17">
        <f t="shared" si="761"/>
        <v>-1.3627838604072271E-2</v>
      </c>
    </row>
    <row r="246" spans="1:70" outlineLevel="1">
      <c r="B246" s="55"/>
      <c r="C246" s="57" t="s">
        <v>257</v>
      </c>
      <c r="D246" s="74" t="s">
        <v>66</v>
      </c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62"/>
      <c r="T246" s="343"/>
      <c r="U246" s="343">
        <f t="shared" ref="U246:AE246" si="762">U144/U56</f>
        <v>1.4087232948436261</v>
      </c>
      <c r="V246" s="343">
        <f t="shared" si="762"/>
        <v>1.4087232948436261</v>
      </c>
      <c r="W246" s="343">
        <f t="shared" si="762"/>
        <v>1.5239353744888799</v>
      </c>
      <c r="X246" s="343">
        <f t="shared" si="762"/>
        <v>1.8149968494013866</v>
      </c>
      <c r="Y246" s="343">
        <f t="shared" si="762"/>
        <v>1.8149968494013866</v>
      </c>
      <c r="Z246" s="343">
        <f t="shared" si="762"/>
        <v>2.8901738845144362</v>
      </c>
      <c r="AA246" s="343">
        <f t="shared" si="762"/>
        <v>4.5291543465405102</v>
      </c>
      <c r="AB246" s="343">
        <f t="shared" si="762"/>
        <v>4.5291543465405102</v>
      </c>
      <c r="AC246" s="17">
        <f t="shared" si="762"/>
        <v>5.0887068044175283</v>
      </c>
      <c r="AD246" s="17">
        <f t="shared" si="762"/>
        <v>4.5423443634324165</v>
      </c>
      <c r="AE246" s="343">
        <f t="shared" si="762"/>
        <v>4.5423443634324165</v>
      </c>
      <c r="AF246" s="343">
        <f t="shared" ref="AF246" si="763">AF144/AF56</f>
        <v>4.5446288756655191</v>
      </c>
      <c r="AG246" s="960">
        <f t="shared" ref="AG246:BR246" si="764">AG144/AG56</f>
        <v>3.491596299729915</v>
      </c>
      <c r="AH246" s="17">
        <f t="shared" si="764"/>
        <v>3.491596299729915</v>
      </c>
      <c r="AI246" s="17">
        <f t="shared" si="764"/>
        <v>3.365047565723049</v>
      </c>
      <c r="AJ246" s="17">
        <f t="shared" si="764"/>
        <v>2.6035794856814842</v>
      </c>
      <c r="AK246" s="17">
        <f t="shared" si="764"/>
        <v>2.6035794856814842</v>
      </c>
      <c r="AL246" s="17">
        <f t="shared" si="764"/>
        <v>2.5324645520807731</v>
      </c>
      <c r="AM246" s="17">
        <f t="shared" si="764"/>
        <v>1.9815843093752656</v>
      </c>
      <c r="AN246" s="17">
        <f t="shared" si="764"/>
        <v>1.9815843093752656</v>
      </c>
      <c r="AO246" s="17">
        <f t="shared" si="764"/>
        <v>1.9582122263403725</v>
      </c>
      <c r="AP246" s="17">
        <f t="shared" si="764"/>
        <v>1.5322717110946191</v>
      </c>
      <c r="AQ246" s="17">
        <f t="shared" si="764"/>
        <v>1.5322717110946191</v>
      </c>
      <c r="AR246" s="17">
        <f t="shared" si="764"/>
        <v>1.5375879953384246</v>
      </c>
      <c r="AS246" s="17">
        <f t="shared" si="764"/>
        <v>1.1958843651715272</v>
      </c>
      <c r="AT246" s="17">
        <f t="shared" si="764"/>
        <v>1.1958843651715272</v>
      </c>
      <c r="AU246" s="17">
        <f t="shared" si="764"/>
        <v>1.212522887747626</v>
      </c>
      <c r="AV246" s="17">
        <f t="shared" si="764"/>
        <v>0.93034754694980271</v>
      </c>
      <c r="AW246" s="17">
        <f t="shared" si="764"/>
        <v>0.93034754694980271</v>
      </c>
      <c r="AX246" s="17">
        <f t="shared" si="764"/>
        <v>0.95383370226248743</v>
      </c>
      <c r="AY246" s="17">
        <f t="shared" si="764"/>
        <v>0.715484016701457</v>
      </c>
      <c r="AZ246" s="17">
        <f t="shared" si="764"/>
        <v>0.715484016701457</v>
      </c>
      <c r="BA246" s="17">
        <f t="shared" si="764"/>
        <v>0.74314793790378164</v>
      </c>
      <c r="BB246" s="17">
        <f t="shared" si="764"/>
        <v>0.53847019049056088</v>
      </c>
      <c r="BC246" s="17">
        <f t="shared" si="764"/>
        <v>0.53847019049056088</v>
      </c>
      <c r="BD246" s="17">
        <f t="shared" si="764"/>
        <v>0.56908559793551405</v>
      </c>
      <c r="BE246" s="17">
        <f t="shared" si="764"/>
        <v>0.39083383975436664</v>
      </c>
      <c r="BF246" s="17">
        <f t="shared" si="764"/>
        <v>0.39083383975436664</v>
      </c>
      <c r="BG246" s="17">
        <f t="shared" si="764"/>
        <v>0.42353547436452627</v>
      </c>
      <c r="BH246" s="17">
        <f t="shared" si="764"/>
        <v>0.26596529656839912</v>
      </c>
      <c r="BI246" s="17">
        <f t="shared" si="764"/>
        <v>0.26596529656839912</v>
      </c>
      <c r="BJ246" s="17">
        <f t="shared" si="764"/>
        <v>0.29962869913579782</v>
      </c>
      <c r="BK246" s="17">
        <f t="shared" si="764"/>
        <v>0.15876406519366051</v>
      </c>
      <c r="BL246" s="17">
        <f t="shared" si="764"/>
        <v>0.15876406519366051</v>
      </c>
      <c r="BM246" s="17">
        <f t="shared" si="764"/>
        <v>0.19288546807387186</v>
      </c>
      <c r="BN246" s="17">
        <f t="shared" si="764"/>
        <v>6.7107971636246641E-2</v>
      </c>
      <c r="BO246" s="17">
        <f t="shared" si="764"/>
        <v>6.7107971636246641E-2</v>
      </c>
      <c r="BP246" s="17">
        <f t="shared" si="764"/>
        <v>9.9983757317184105E-2</v>
      </c>
      <c r="BQ246" s="17">
        <f t="shared" si="764"/>
        <v>-1.3444617526329965E-2</v>
      </c>
      <c r="BR246" s="17">
        <f t="shared" si="764"/>
        <v>-1.3444617526329965E-2</v>
      </c>
    </row>
    <row r="247" spans="1:70" outlineLevel="1">
      <c r="B247" s="55"/>
      <c r="C247" s="57" t="s">
        <v>258</v>
      </c>
      <c r="D247" s="86"/>
      <c r="E247" s="86"/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62"/>
      <c r="T247" s="158">
        <f>T144/(T9+S9)</f>
        <v>0</v>
      </c>
      <c r="U247" s="158">
        <f>U144/(U9+T9)</f>
        <v>2.066520367576465</v>
      </c>
      <c r="V247" s="158">
        <f>V144/V9</f>
        <v>2.066520367576465</v>
      </c>
      <c r="W247" s="158">
        <f>W144/(W9+U9)</f>
        <v>2.0622849045144749</v>
      </c>
      <c r="X247" s="158">
        <f>X144/(X9+W9)</f>
        <v>2.0448672440721287</v>
      </c>
      <c r="Y247" s="158">
        <f>Y144/Y9</f>
        <v>2.0448672440721283</v>
      </c>
      <c r="Z247" s="158">
        <f>Z144/(Z9+X9)</f>
        <v>2.5701677607585705</v>
      </c>
      <c r="AA247" s="158">
        <f>AA144/(AA9+Z9)</f>
        <v>2.7172355069892853</v>
      </c>
      <c r="AB247" s="158">
        <f>AB144/AB9</f>
        <v>2.7172355069892857</v>
      </c>
      <c r="AC247" s="153">
        <f>AC144/(AC9+AA9)</f>
        <v>3.0120193997329019</v>
      </c>
      <c r="AD247" s="153">
        <f>AD144/(AD9+AC9)</f>
        <v>2.7985487214927436</v>
      </c>
      <c r="AE247" s="158">
        <f>AE144/AE9</f>
        <v>2.7985487214927436</v>
      </c>
      <c r="AF247" s="158">
        <f>AF144/(AF9+AD9)</f>
        <v>2.9725503584841255</v>
      </c>
      <c r="AG247" s="957">
        <f>AG144/(AG9+AF9)</f>
        <v>2.6159901850398017</v>
      </c>
      <c r="AH247" s="153">
        <f>AH144/AH9</f>
        <v>2.6159901850398017</v>
      </c>
      <c r="AI247" s="153">
        <f>AI144/(AI9+AG9)</f>
        <v>2.6227526589100072</v>
      </c>
      <c r="AJ247" s="153">
        <f>AJ144/(AJ9+AI9)</f>
        <v>2.2717688475640854</v>
      </c>
      <c r="AK247" s="153">
        <f>AK144/AK9</f>
        <v>2.2717688475640854</v>
      </c>
      <c r="AL247" s="153">
        <f>AL144/(AL9+AJ9)</f>
        <v>2.2782212497181686</v>
      </c>
      <c r="AM247" s="153">
        <f>AM144/(AM9+AL9)</f>
        <v>1.961072881552008</v>
      </c>
      <c r="AN247" s="153">
        <f>AN144/AN9</f>
        <v>1.961072881552008</v>
      </c>
      <c r="AO247" s="153">
        <f>AO144/(AO9+AM9)</f>
        <v>2.0259308727513359</v>
      </c>
      <c r="AP247" s="153">
        <f>AP144/(AP9+AO9)</f>
        <v>1.7362179524419756</v>
      </c>
      <c r="AQ247" s="153">
        <f>AQ144/AQ9</f>
        <v>1.7362179524419759</v>
      </c>
      <c r="AR247" s="153">
        <f>AR144/(AR9+AP9)</f>
        <v>1.8134601274491531</v>
      </c>
      <c r="AS247" s="153">
        <f>AS144/(AS9+AR9)</f>
        <v>1.534998229163786</v>
      </c>
      <c r="AT247" s="153">
        <f>AT144/AT9</f>
        <v>1.5349982291637863</v>
      </c>
      <c r="AU247" s="153">
        <f>AU144/(AU9+AS9)</f>
        <v>1.6125070697795856</v>
      </c>
      <c r="AV247" s="153">
        <f>AV144/(AV9+AU9)</f>
        <v>1.3340019863417401</v>
      </c>
      <c r="AW247" s="153">
        <f>AW144/AW9</f>
        <v>1.3340019863417401</v>
      </c>
      <c r="AX247" s="153">
        <f>AX144/(AX9+AV9)</f>
        <v>1.411818401795333</v>
      </c>
      <c r="AY247" s="153">
        <f>AY144/(AY9+AX9)</f>
        <v>1.1333035751659357</v>
      </c>
      <c r="AZ247" s="153">
        <f>AZ144/AZ9</f>
        <v>1.1333035751659357</v>
      </c>
      <c r="BA247" s="153">
        <f>BA144/(BA9+AY9)</f>
        <v>1.2114685272943939</v>
      </c>
      <c r="BB247" s="153">
        <f>BB144/(BB9+BA9)</f>
        <v>0.93338032227115986</v>
      </c>
      <c r="BC247" s="153">
        <f>BC144/BC9</f>
        <v>0.93338032227115986</v>
      </c>
      <c r="BD247" s="153">
        <f>BD144/(BD9+BB9)</f>
        <v>1.0124271612475308</v>
      </c>
      <c r="BE247" s="153">
        <f>BE144/(BE9+BD9)</f>
        <v>0.73523304751065055</v>
      </c>
      <c r="BF247" s="153">
        <f>BF144/BF9</f>
        <v>0.73523304751065055</v>
      </c>
      <c r="BG247" s="153">
        <f>BG144/(BG9+BE9)</f>
        <v>0.81565011653103359</v>
      </c>
      <c r="BH247" s="153">
        <f>BH144/(BH9+BG9)</f>
        <v>0.53914372599156046</v>
      </c>
      <c r="BI247" s="153">
        <f>BI144/BI9</f>
        <v>0.53914372599156046</v>
      </c>
      <c r="BJ247" s="153">
        <f>BJ144/(BJ9+BH9)</f>
        <v>0.6205608958238289</v>
      </c>
      <c r="BK247" s="153">
        <f>BK144/(BK9+BJ9)</f>
        <v>0.34476377324268304</v>
      </c>
      <c r="BL247" s="153">
        <f>BL144/BL9</f>
        <v>0.34476377324268298</v>
      </c>
      <c r="BM247" s="153">
        <f>BM144/(BM9+BK9)</f>
        <v>0.42721500181155686</v>
      </c>
      <c r="BN247" s="153">
        <f>BN144/(BN9+BM9)</f>
        <v>0.15531606866201994</v>
      </c>
      <c r="BO247" s="153">
        <f>BO144/BO9</f>
        <v>0.15531606866201994</v>
      </c>
      <c r="BP247" s="153">
        <f>BP144/(BP9+BN9)</f>
        <v>0.23566830693483642</v>
      </c>
      <c r="BQ247" s="153">
        <f>BQ144/(BQ9+BP9)</f>
        <v>-3.3016349334481443E-2</v>
      </c>
      <c r="BR247" s="153">
        <f>BR144/BR9</f>
        <v>-3.3016349334481436E-2</v>
      </c>
    </row>
    <row r="248" spans="1:70" outlineLevel="1">
      <c r="B248" s="55"/>
      <c r="C248" s="57" t="s">
        <v>259</v>
      </c>
      <c r="D248" s="86"/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62"/>
      <c r="T248" s="158">
        <f t="shared" ref="T248:AE248" si="765">-T9/T13</f>
        <v>6.9558974358974348</v>
      </c>
      <c r="U248" s="158">
        <f t="shared" si="765"/>
        <v>8.1504702194357357</v>
      </c>
      <c r="V248" s="158">
        <f t="shared" si="765"/>
        <v>7.5476190476190457</v>
      </c>
      <c r="W248" s="158">
        <f t="shared" si="765"/>
        <v>7.6459694989106755</v>
      </c>
      <c r="X248" s="158">
        <f t="shared" si="765"/>
        <v>9.1304909560723537</v>
      </c>
      <c r="Y248" s="158">
        <f t="shared" si="765"/>
        <v>8.3250591016548476</v>
      </c>
      <c r="Z248" s="158">
        <f t="shared" si="765"/>
        <v>8.4948849104859363</v>
      </c>
      <c r="AA248" s="158">
        <f t="shared" si="765"/>
        <v>8.4085778781038378</v>
      </c>
      <c r="AB248" s="158">
        <f t="shared" si="765"/>
        <v>8.4490407673860926</v>
      </c>
      <c r="AC248" s="153">
        <f t="shared" si="765"/>
        <v>7.2249466950959498</v>
      </c>
      <c r="AD248" s="153">
        <f t="shared" si="765"/>
        <v>8.2542918454935617</v>
      </c>
      <c r="AE248" s="158">
        <f t="shared" si="765"/>
        <v>7.737967914438503</v>
      </c>
      <c r="AF248" s="158">
        <f t="shared" ref="AF248" si="766">-AF9/AF13</f>
        <v>6.8357915437561445</v>
      </c>
      <c r="AG248" s="957">
        <f t="shared" ref="AG248:BR248" si="767">-AG9/AG13</f>
        <v>8.2951554970290999</v>
      </c>
      <c r="AH248" s="153">
        <f t="shared" si="767"/>
        <v>7.5549323850934904</v>
      </c>
      <c r="AI248" s="153">
        <f t="shared" si="767"/>
        <v>7.6121709893770939</v>
      </c>
      <c r="AJ248" s="153">
        <f t="shared" si="767"/>
        <v>9.1851290584972194</v>
      </c>
      <c r="AK248" s="153">
        <f t="shared" si="767"/>
        <v>8.3862370644061919</v>
      </c>
      <c r="AL248" s="153">
        <f t="shared" si="767"/>
        <v>8.6321370167345872</v>
      </c>
      <c r="AM248" s="153">
        <f t="shared" si="767"/>
        <v>10.104154227532492</v>
      </c>
      <c r="AN248" s="153">
        <f t="shared" si="767"/>
        <v>9.3548919342533292</v>
      </c>
      <c r="AO248" s="153">
        <f t="shared" si="767"/>
        <v>9.5803287008026814</v>
      </c>
      <c r="AP248" s="153">
        <f t="shared" si="767"/>
        <v>11.266546406509342</v>
      </c>
      <c r="AQ248" s="153">
        <f t="shared" si="767"/>
        <v>10.406657680321475</v>
      </c>
      <c r="AR248" s="153">
        <f t="shared" si="767"/>
        <v>10.610460898709983</v>
      </c>
      <c r="AS248" s="153">
        <f t="shared" si="767"/>
        <v>12.53572506433099</v>
      </c>
      <c r="AT248" s="153">
        <f t="shared" si="767"/>
        <v>11.551877048315466</v>
      </c>
      <c r="AU248" s="153">
        <f t="shared" si="767"/>
        <v>11.876450116584646</v>
      </c>
      <c r="AV248" s="153">
        <f t="shared" si="767"/>
        <v>14.124427386386234</v>
      </c>
      <c r="AW248" s="153">
        <f t="shared" si="767"/>
        <v>12.972147282779474</v>
      </c>
      <c r="AX248" s="153">
        <f t="shared" si="767"/>
        <v>13.483304633745105</v>
      </c>
      <c r="AY248" s="153">
        <f t="shared" si="767"/>
        <v>16.169944019595679</v>
      </c>
      <c r="AZ248" s="153">
        <f t="shared" si="767"/>
        <v>14.787434116534902</v>
      </c>
      <c r="BA248" s="153">
        <f t="shared" si="767"/>
        <v>15.589196104288185</v>
      </c>
      <c r="BB248" s="153">
        <f t="shared" si="767"/>
        <v>18.568544753786924</v>
      </c>
      <c r="BC248" s="153">
        <f t="shared" si="767"/>
        <v>17.040733535026579</v>
      </c>
      <c r="BD248" s="153">
        <f t="shared" si="767"/>
        <v>17.800623964982535</v>
      </c>
      <c r="BE248" s="153">
        <f t="shared" si="767"/>
        <v>20.733181696831206</v>
      </c>
      <c r="BF248" s="153">
        <f t="shared" si="767"/>
        <v>19.246022448579541</v>
      </c>
      <c r="BG248" s="153">
        <f t="shared" si="767"/>
        <v>19.521320130038372</v>
      </c>
      <c r="BH248" s="153">
        <f t="shared" si="767"/>
        <v>22.712028598767155</v>
      </c>
      <c r="BI248" s="153">
        <f t="shared" si="767"/>
        <v>21.095116873585972</v>
      </c>
      <c r="BJ248" s="153">
        <f t="shared" si="767"/>
        <v>21.592440025022466</v>
      </c>
      <c r="BK248" s="153">
        <f t="shared" si="767"/>
        <v>25.089165689971878</v>
      </c>
      <c r="BL248" s="153">
        <f t="shared" si="767"/>
        <v>23.31860777640275</v>
      </c>
      <c r="BM248" s="153">
        <f t="shared" si="767"/>
        <v>24.131507368694614</v>
      </c>
      <c r="BN248" s="153">
        <f t="shared" si="767"/>
        <v>27.969798974523236</v>
      </c>
      <c r="BO248" s="153">
        <f t="shared" si="767"/>
        <v>26.029002741926345</v>
      </c>
      <c r="BP248" s="153">
        <f t="shared" si="767"/>
        <v>27.321578613089656</v>
      </c>
      <c r="BQ248" s="153">
        <f t="shared" si="767"/>
        <v>31.605817762466064</v>
      </c>
      <c r="BR248" s="153">
        <f t="shared" si="767"/>
        <v>29.441978478733859</v>
      </c>
    </row>
    <row r="249" spans="1:70" outlineLevel="1">
      <c r="B249" s="55"/>
      <c r="C249" s="57" t="s">
        <v>260</v>
      </c>
      <c r="D249" s="86"/>
      <c r="E249" s="86"/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62"/>
      <c r="T249" s="158">
        <f t="shared" ref="T249:AE249" si="768">-T11/T13</f>
        <v>5.0430769230769226</v>
      </c>
      <c r="U249" s="158">
        <f t="shared" si="768"/>
        <v>6.1713688610240327</v>
      </c>
      <c r="V249" s="158">
        <f t="shared" si="768"/>
        <v>5.6019668737060027</v>
      </c>
      <c r="W249" s="158">
        <f t="shared" si="768"/>
        <v>5.6514161220043571</v>
      </c>
      <c r="X249" s="158">
        <f t="shared" si="768"/>
        <v>6.9056847545219648</v>
      </c>
      <c r="Y249" s="158">
        <f t="shared" si="768"/>
        <v>6.2251773049645402</v>
      </c>
      <c r="Z249" s="158">
        <f t="shared" si="768"/>
        <v>6.2531969309462934</v>
      </c>
      <c r="AA249" s="158">
        <f t="shared" si="768"/>
        <v>6.3916478555304739</v>
      </c>
      <c r="AB249" s="158">
        <f t="shared" si="768"/>
        <v>6.3267386091127102</v>
      </c>
      <c r="AC249" s="153">
        <f t="shared" si="768"/>
        <v>5.2846481876332625</v>
      </c>
      <c r="AD249" s="153">
        <f t="shared" si="768"/>
        <v>6.3572961373390537</v>
      </c>
      <c r="AE249" s="158">
        <f t="shared" si="768"/>
        <v>5.8192513368983958</v>
      </c>
      <c r="AF249" s="158">
        <f t="shared" ref="AF249" si="769">-AF11/AF13</f>
        <v>5.0521140609636177</v>
      </c>
      <c r="AG249" s="957">
        <f t="shared" ref="AG249:BR249" si="770">-AG11/AG13</f>
        <v>6.3802633530106929</v>
      </c>
      <c r="AH249" s="153">
        <f t="shared" si="770"/>
        <v>5.7065953486247576</v>
      </c>
      <c r="AI249" s="153">
        <f t="shared" si="770"/>
        <v>5.7753357349006551</v>
      </c>
      <c r="AJ249" s="153">
        <f t="shared" si="770"/>
        <v>7.1457913098282235</v>
      </c>
      <c r="AK249" s="153">
        <f t="shared" si="770"/>
        <v>6.4497486062363336</v>
      </c>
      <c r="AL249" s="153">
        <f t="shared" si="770"/>
        <v>6.5763138542700519</v>
      </c>
      <c r="AM249" s="153">
        <f t="shared" si="770"/>
        <v>7.8919149188062105</v>
      </c>
      <c r="AN249" s="153">
        <f t="shared" si="770"/>
        <v>7.2222690319075413</v>
      </c>
      <c r="AO249" s="153">
        <f t="shared" si="770"/>
        <v>7.3335769097925549</v>
      </c>
      <c r="AP249" s="153">
        <f t="shared" si="770"/>
        <v>8.8396686795445554</v>
      </c>
      <c r="AQ249" s="153">
        <f t="shared" si="770"/>
        <v>8.0716353888068468</v>
      </c>
      <c r="AR249" s="153">
        <f t="shared" si="770"/>
        <v>8.1357994488256455</v>
      </c>
      <c r="AS249" s="153">
        <f t="shared" si="770"/>
        <v>9.8512109538911687</v>
      </c>
      <c r="AT249" s="153">
        <f t="shared" si="770"/>
        <v>8.9746017923818773</v>
      </c>
      <c r="AU249" s="153">
        <f t="shared" si="770"/>
        <v>9.1223316403025105</v>
      </c>
      <c r="AV249" s="153">
        <f t="shared" si="770"/>
        <v>11.11797956099244</v>
      </c>
      <c r="AW249" s="153">
        <f t="shared" si="770"/>
        <v>10.095039772540678</v>
      </c>
      <c r="AX249" s="153">
        <f t="shared" si="770"/>
        <v>10.375068788253065</v>
      </c>
      <c r="AY249" s="153">
        <f t="shared" si="770"/>
        <v>12.749637483215585</v>
      </c>
      <c r="AZ249" s="153">
        <f t="shared" si="770"/>
        <v>11.527715124162379</v>
      </c>
      <c r="BA249" s="153">
        <f t="shared" si="770"/>
        <v>12.017538203109066</v>
      </c>
      <c r="BB249" s="153">
        <f t="shared" si="770"/>
        <v>14.666297009800019</v>
      </c>
      <c r="BC249" s="153">
        <f t="shared" si="770"/>
        <v>13.308012399056809</v>
      </c>
      <c r="BD249" s="153">
        <f t="shared" si="770"/>
        <v>13.748185890737963</v>
      </c>
      <c r="BE249" s="153">
        <f t="shared" si="770"/>
        <v>16.405156339110817</v>
      </c>
      <c r="BF249" s="153">
        <f t="shared" si="770"/>
        <v>15.057752967741157</v>
      </c>
      <c r="BG249" s="153">
        <f t="shared" si="770"/>
        <v>15.10631190257312</v>
      </c>
      <c r="BH249" s="153">
        <f t="shared" si="770"/>
        <v>18.003635512146747</v>
      </c>
      <c r="BI249" s="153">
        <f t="shared" si="770"/>
        <v>16.535398422523102</v>
      </c>
      <c r="BJ249" s="153">
        <f t="shared" si="770"/>
        <v>16.742113173772459</v>
      </c>
      <c r="BK249" s="153">
        <f t="shared" si="770"/>
        <v>19.924982119441015</v>
      </c>
      <c r="BL249" s="153">
        <f t="shared" si="770"/>
        <v>18.313344736475653</v>
      </c>
      <c r="BM249" s="153">
        <f t="shared" si="770"/>
        <v>18.748734073873681</v>
      </c>
      <c r="BN249" s="153">
        <f t="shared" si="770"/>
        <v>22.254896387182637</v>
      </c>
      <c r="BO249" s="153">
        <f t="shared" si="770"/>
        <v>20.482038223355296</v>
      </c>
      <c r="BP249" s="153">
        <f t="shared" si="770"/>
        <v>21.271168539844588</v>
      </c>
      <c r="BQ249" s="153">
        <f t="shared" si="770"/>
        <v>25.196739549908223</v>
      </c>
      <c r="BR249" s="153">
        <f t="shared" si="770"/>
        <v>23.214052667479542</v>
      </c>
    </row>
    <row r="250" spans="1:70">
      <c r="B250" s="55"/>
      <c r="C250" s="55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</row>
    <row r="251" spans="1:70">
      <c r="A251" s="4" t="s">
        <v>152</v>
      </c>
      <c r="B251" s="65"/>
      <c r="C251" s="65"/>
      <c r="D251" s="66"/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5"/>
    </row>
    <row r="252" spans="1:70" outlineLevel="1">
      <c r="A252" s="67"/>
      <c r="B252" s="55" t="s">
        <v>153</v>
      </c>
      <c r="C252" s="55"/>
      <c r="E252" s="355"/>
      <c r="F252" s="355"/>
      <c r="G252" s="394"/>
      <c r="H252" s="394"/>
      <c r="I252" s="394"/>
      <c r="J252" s="394"/>
      <c r="K252" s="394"/>
      <c r="L252" s="394"/>
      <c r="M252" s="394"/>
      <c r="N252" s="394"/>
      <c r="O252" s="394"/>
      <c r="P252" s="65"/>
    </row>
    <row r="253" spans="1:70" outlineLevel="1">
      <c r="A253" s="67"/>
      <c r="B253" s="65"/>
      <c r="C253" s="60" t="s">
        <v>154</v>
      </c>
      <c r="D253" s="69">
        <v>1</v>
      </c>
      <c r="E253" s="69"/>
      <c r="F253" s="69"/>
      <c r="G253" s="69"/>
      <c r="H253" s="69"/>
      <c r="I253" s="69"/>
      <c r="J253" s="69"/>
      <c r="K253" s="69"/>
      <c r="L253" s="69"/>
      <c r="M253" s="69"/>
      <c r="N253" s="69"/>
      <c r="O253" s="69"/>
      <c r="P253" s="65"/>
    </row>
    <row r="254" spans="1:70" outlineLevel="1">
      <c r="A254" s="67"/>
      <c r="B254" s="65"/>
      <c r="C254" s="60" t="s">
        <v>155</v>
      </c>
      <c r="D254" s="69">
        <v>2</v>
      </c>
      <c r="E254" s="69"/>
      <c r="F254" s="69"/>
      <c r="G254" s="69"/>
      <c r="H254" s="69"/>
      <c r="I254" s="69"/>
      <c r="J254" s="69"/>
      <c r="K254" s="69"/>
      <c r="L254" s="69"/>
      <c r="M254" s="69"/>
      <c r="N254" s="69"/>
      <c r="O254" s="69"/>
      <c r="P254" s="65"/>
    </row>
    <row r="255" spans="1:70" outlineLevel="1">
      <c r="A255" s="65"/>
      <c r="B255" s="65"/>
      <c r="C255" s="60" t="s">
        <v>156</v>
      </c>
      <c r="D255" s="69">
        <v>3</v>
      </c>
      <c r="E255" s="69"/>
      <c r="F255" s="69"/>
      <c r="G255" s="69"/>
      <c r="H255" s="69"/>
      <c r="I255" s="69"/>
      <c r="J255" s="69"/>
      <c r="K255" s="69"/>
      <c r="L255" s="69"/>
      <c r="M255" s="69"/>
      <c r="N255" s="69"/>
      <c r="O255" s="69"/>
      <c r="P255" s="65"/>
    </row>
    <row r="256" spans="1:70" outlineLevel="1">
      <c r="A256" s="65"/>
      <c r="B256" s="65"/>
      <c r="C256" s="60" t="s">
        <v>547</v>
      </c>
      <c r="D256" s="69">
        <v>4</v>
      </c>
      <c r="E256" s="69"/>
      <c r="F256" s="69"/>
      <c r="G256" s="69"/>
      <c r="H256" s="69"/>
      <c r="I256" s="69"/>
      <c r="J256" s="69"/>
      <c r="K256" s="69"/>
      <c r="L256" s="69"/>
      <c r="M256" s="69"/>
      <c r="N256" s="69"/>
      <c r="O256" s="69"/>
      <c r="P256" s="65"/>
    </row>
    <row r="257" spans="1:70" outlineLevel="1">
      <c r="A257" s="70"/>
      <c r="B257" s="65"/>
      <c r="C257" s="65"/>
      <c r="D257" s="618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</row>
    <row r="258" spans="1:70" outlineLevel="1">
      <c r="A258" s="70"/>
      <c r="B258" s="71" t="s">
        <v>157</v>
      </c>
      <c r="C258" s="65"/>
      <c r="D258" s="66"/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5"/>
    </row>
    <row r="259" spans="1:70" outlineLevel="1">
      <c r="A259" s="208" t="s">
        <v>413</v>
      </c>
      <c r="B259" s="55"/>
      <c r="C259" s="57" t="s">
        <v>270</v>
      </c>
      <c r="D259" s="56"/>
      <c r="E259" s="36">
        <v>1.4119340909090907</v>
      </c>
      <c r="F259" s="36">
        <v>1.3346747475961536</v>
      </c>
      <c r="G259" s="674">
        <f>AVERAGE(E259:F259)</f>
        <v>1.373304419252622</v>
      </c>
      <c r="H259" s="36">
        <v>1.453435606060606</v>
      </c>
      <c r="I259" s="36">
        <v>1.3282165745192307</v>
      </c>
      <c r="J259" s="674">
        <f t="shared" ref="J259" si="771">AVERAGE(H259:I259)</f>
        <v>1.3908260902899183</v>
      </c>
      <c r="K259" s="36">
        <v>1.325518181818182</v>
      </c>
      <c r="L259" s="36">
        <v>1.4047113341346154</v>
      </c>
      <c r="M259" s="674">
        <f t="shared" ref="M259" si="772">AVERAGE(K259:L259)</f>
        <v>1.3651147579763987</v>
      </c>
      <c r="N259" s="36">
        <v>1.3801107459207462</v>
      </c>
      <c r="O259" s="36">
        <v>1.2975523076923077</v>
      </c>
      <c r="P259" s="674">
        <f t="shared" ref="P259" si="773">AVERAGE(N259:O259)</f>
        <v>1.338831526806527</v>
      </c>
      <c r="Q259" s="36">
        <v>1.274349941724942</v>
      </c>
      <c r="R259" s="36">
        <v>1.3131240985576922</v>
      </c>
      <c r="S259" s="674">
        <f t="shared" ref="S259" si="774">AVERAGE(Q259:R259)</f>
        <v>1.2937370201413172</v>
      </c>
      <c r="T259" s="698">
        <f t="shared" ref="T259:AF259" si="775">T607/T626</f>
        <v>1.3430252682589132</v>
      </c>
      <c r="U259" s="698">
        <f t="shared" si="775"/>
        <v>1.3696816892530723</v>
      </c>
      <c r="V259" s="698">
        <f t="shared" si="775"/>
        <v>1.3569778950841307</v>
      </c>
      <c r="W259" s="698">
        <f t="shared" si="775"/>
        <v>1.3268651722984277</v>
      </c>
      <c r="X259" s="698">
        <f t="shared" si="775"/>
        <v>1.0933139534883725</v>
      </c>
      <c r="Y259" s="698">
        <f t="shared" si="775"/>
        <v>1.2018976512676933</v>
      </c>
      <c r="Z259" s="698">
        <f t="shared" si="775"/>
        <v>1.1034267912772586</v>
      </c>
      <c r="AA259" s="698">
        <f t="shared" si="775"/>
        <v>1.1152137701277067</v>
      </c>
      <c r="AB259" s="698">
        <f t="shared" si="775"/>
        <v>1.1096594245449207</v>
      </c>
      <c r="AC259" s="698">
        <f t="shared" si="775"/>
        <v>1.0970588235294119</v>
      </c>
      <c r="AD259" s="698">
        <f t="shared" si="775"/>
        <v>1.0824974924774322</v>
      </c>
      <c r="AE259" s="698">
        <f t="shared" si="775"/>
        <v>1.0891987005955606</v>
      </c>
      <c r="AF259" s="698">
        <f t="shared" si="775"/>
        <v>1.1760521636040309</v>
      </c>
      <c r="AG259" s="962">
        <f>CHOOSE($AG$1,AG376,AG415,AG454,AG493)</f>
        <v>1.1850000000000001</v>
      </c>
      <c r="AH259" s="674">
        <f t="shared" ref="AH259" si="776">AVERAGE(AF259:AG259)</f>
        <v>1.1805260818020153</v>
      </c>
      <c r="AI259" s="674">
        <f>CHOOSE($AG$1,AI376,AI415,AI454,AI493)</f>
        <v>1.145</v>
      </c>
      <c r="AJ259" s="674">
        <f>CHOOSE($AG$1,AJ376,AJ415,AJ454,AJ493)</f>
        <v>1.21</v>
      </c>
      <c r="AK259" s="674">
        <f t="shared" ref="AK259:AK262" si="777">AVERAGE(AI259:AJ259)</f>
        <v>1.1775</v>
      </c>
      <c r="AL259" s="674">
        <f>CHOOSE($AG$1,AL376,AL415,AL454,AL493)</f>
        <v>1.25</v>
      </c>
      <c r="AM259" s="674">
        <f>CHOOSE($AG$1,AM376,AM415,AM454,AM493)</f>
        <v>1.25</v>
      </c>
      <c r="AN259" s="674">
        <f t="shared" ref="AN259:AN262" si="778">AVERAGE(AL259:AM259)</f>
        <v>1.25</v>
      </c>
      <c r="AO259" s="674">
        <f>CHOOSE($AG$1,AO376,AO415,AO454,AO493)</f>
        <v>1.25</v>
      </c>
      <c r="AP259" s="674">
        <f>CHOOSE($AG$1,AP376,AP415,AP454,AP493)</f>
        <v>1.25</v>
      </c>
      <c r="AQ259" s="674">
        <f t="shared" ref="AQ259:AQ262" si="779">AVERAGE(AO259:AP259)</f>
        <v>1.25</v>
      </c>
      <c r="AR259" s="674">
        <f>CHOOSE($AG$1,AR376,AR415,AR454,AR493)</f>
        <v>1.25</v>
      </c>
      <c r="AS259" s="674">
        <f>CHOOSE($AG$1,AS376,AS415,AS454,AS493)</f>
        <v>1.25</v>
      </c>
      <c r="AT259" s="674">
        <f t="shared" ref="AT259:AT262" si="780">AVERAGE(AR259:AS259)</f>
        <v>1.25</v>
      </c>
      <c r="AU259" s="674">
        <f>CHOOSE($AG$1,AU376,AU415,AU454,AU493)</f>
        <v>1.25</v>
      </c>
      <c r="AV259" s="674">
        <f>CHOOSE($AG$1,AV376,AV415,AV454,AV493)</f>
        <v>1.25</v>
      </c>
      <c r="AW259" s="674">
        <f t="shared" ref="AW259:AW262" si="781">AVERAGE(AU259:AV259)</f>
        <v>1.25</v>
      </c>
      <c r="AX259" s="674">
        <f>CHOOSE($AG$1,AX376,AX415,AX454,AX493)</f>
        <v>1.25</v>
      </c>
      <c r="AY259" s="674">
        <f>CHOOSE($AG$1,AY376,AY415,AY454,AY493)</f>
        <v>1.25</v>
      </c>
      <c r="AZ259" s="674">
        <f t="shared" ref="AZ259:AZ262" si="782">AVERAGE(AX259:AY259)</f>
        <v>1.25</v>
      </c>
      <c r="BA259" s="674">
        <f>CHOOSE($AG$1,BA376,BA415,BA454,BA493)</f>
        <v>1.25</v>
      </c>
      <c r="BB259" s="674">
        <f>CHOOSE($AG$1,BB376,BB415,BB454,BB493)</f>
        <v>1.25</v>
      </c>
      <c r="BC259" s="674">
        <f t="shared" ref="BC259:BC262" si="783">AVERAGE(BA259:BB259)</f>
        <v>1.25</v>
      </c>
      <c r="BD259" s="674">
        <f>CHOOSE($AG$1,BD376,BD415,BD454,BD493)</f>
        <v>1.25</v>
      </c>
      <c r="BE259" s="674">
        <f>CHOOSE($AG$1,BE376,BE415,BE454,BE493)</f>
        <v>1.25</v>
      </c>
      <c r="BF259" s="674">
        <f t="shared" ref="BF259:BF262" si="784">AVERAGE(BD259:BE259)</f>
        <v>1.25</v>
      </c>
      <c r="BG259" s="674">
        <f>CHOOSE($AG$1,BG376,BG415,BG454,BG493)</f>
        <v>1.25</v>
      </c>
      <c r="BH259" s="674">
        <f>CHOOSE($AG$1,BH376,BH415,BH454,BH493)</f>
        <v>1.25</v>
      </c>
      <c r="BI259" s="674">
        <f t="shared" ref="BI259:BI262" si="785">AVERAGE(BG259:BH259)</f>
        <v>1.25</v>
      </c>
      <c r="BJ259" s="674">
        <f>CHOOSE($AG$1,BJ376,BJ415,BJ454,BJ493)</f>
        <v>1.25</v>
      </c>
      <c r="BK259" s="674">
        <f>CHOOSE($AG$1,BK376,BK415,BK454,BK493)</f>
        <v>1.25</v>
      </c>
      <c r="BL259" s="674">
        <f t="shared" ref="BL259:BL262" si="786">AVERAGE(BJ259:BK259)</f>
        <v>1.25</v>
      </c>
      <c r="BM259" s="674">
        <f>CHOOSE($AG$1,BM376,BM415,BM454,BM493)</f>
        <v>1.25</v>
      </c>
      <c r="BN259" s="674">
        <f>CHOOSE($AG$1,BN376,BN415,BN454,BN493)</f>
        <v>1.25</v>
      </c>
      <c r="BO259" s="674">
        <f t="shared" ref="BO259:BO262" si="787">AVERAGE(BM259:BN259)</f>
        <v>1.25</v>
      </c>
      <c r="BP259" s="674">
        <f>CHOOSE($AG$1,BP376,BP415,BP454,BP493)</f>
        <v>1.25</v>
      </c>
      <c r="BQ259" s="674">
        <f>CHOOSE($AG$1,BQ376,BQ415,BQ454,BQ493)</f>
        <v>1.25</v>
      </c>
      <c r="BR259" s="674">
        <f t="shared" ref="BR259:BR262" si="788">AVERAGE(BP259:BQ259)</f>
        <v>1.25</v>
      </c>
    </row>
    <row r="260" spans="1:70" outlineLevel="1">
      <c r="A260" s="356"/>
      <c r="B260" s="55"/>
      <c r="C260" s="57" t="s">
        <v>340</v>
      </c>
      <c r="D260" s="56"/>
      <c r="E260" s="674">
        <v>0.78063939393939397</v>
      </c>
      <c r="F260" s="674">
        <v>0.71302849759615372</v>
      </c>
      <c r="G260" s="674">
        <v>0.74683394576777384</v>
      </c>
      <c r="H260" s="674">
        <v>0.87149621212121209</v>
      </c>
      <c r="I260" s="674">
        <v>0.89371639423076921</v>
      </c>
      <c r="J260" s="674">
        <v>0.88260630317599065</v>
      </c>
      <c r="K260" s="674">
        <v>0.94730833333333342</v>
      </c>
      <c r="L260" s="674">
        <v>1.0343629567307691</v>
      </c>
      <c r="M260" s="674">
        <v>0.99083564503205124</v>
      </c>
      <c r="N260" s="674">
        <v>1.0313166083916085</v>
      </c>
      <c r="O260" s="674">
        <v>1.0327715384615384</v>
      </c>
      <c r="P260" s="674">
        <v>1.0320440734265734</v>
      </c>
      <c r="Q260" s="674">
        <v>1.0387977972027973</v>
      </c>
      <c r="R260" s="674">
        <v>1.0153915985576925</v>
      </c>
      <c r="S260" s="674">
        <v>1.0270946978802449</v>
      </c>
      <c r="T260" s="674">
        <v>0.92176136363636352</v>
      </c>
      <c r="U260" s="674">
        <v>0.91492667067307698</v>
      </c>
      <c r="V260" s="674">
        <v>0.91834401715472025</v>
      </c>
      <c r="W260" s="674">
        <v>0.88985075757575749</v>
      </c>
      <c r="X260" s="674">
        <v>0.78227740384615374</v>
      </c>
      <c r="Y260" s="674">
        <v>0.83606408071095561</v>
      </c>
      <c r="Z260" s="674">
        <v>0.72294393939393942</v>
      </c>
      <c r="AA260" s="674">
        <v>0.73435846153846152</v>
      </c>
      <c r="AB260" s="674">
        <v>0.72865120046620047</v>
      </c>
      <c r="AC260" s="674">
        <v>0.75374449883449857</v>
      </c>
      <c r="AD260" s="674">
        <v>0.75447230769230766</v>
      </c>
      <c r="AE260" s="675">
        <v>0.75410840326340312</v>
      </c>
      <c r="AF260" s="675">
        <f>AC260</f>
        <v>0.75374449883449857</v>
      </c>
      <c r="AG260" s="962">
        <f>AD260</f>
        <v>0.75447230769230766</v>
      </c>
      <c r="AH260" s="674">
        <f t="shared" ref="AH260:AH262" si="789">AVERAGE(AF260:AG260)</f>
        <v>0.75410840326340312</v>
      </c>
      <c r="AI260" s="675">
        <f>AF260</f>
        <v>0.75374449883449857</v>
      </c>
      <c r="AJ260" s="675">
        <f>AG260</f>
        <v>0.75447230769230766</v>
      </c>
      <c r="AK260" s="674">
        <f t="shared" si="777"/>
        <v>0.75410840326340312</v>
      </c>
      <c r="AL260" s="675">
        <f>AI260</f>
        <v>0.75374449883449857</v>
      </c>
      <c r="AM260" s="675">
        <f>AJ260</f>
        <v>0.75447230769230766</v>
      </c>
      <c r="AN260" s="674">
        <f t="shared" si="778"/>
        <v>0.75410840326340312</v>
      </c>
      <c r="AO260" s="675">
        <f>AL260</f>
        <v>0.75374449883449857</v>
      </c>
      <c r="AP260" s="675">
        <f>AM260</f>
        <v>0.75447230769230766</v>
      </c>
      <c r="AQ260" s="674">
        <f t="shared" si="779"/>
        <v>0.75410840326340312</v>
      </c>
      <c r="AR260" s="675">
        <f>AO260</f>
        <v>0.75374449883449857</v>
      </c>
      <c r="AS260" s="675">
        <f>AP260</f>
        <v>0.75447230769230766</v>
      </c>
      <c r="AT260" s="674">
        <f t="shared" si="780"/>
        <v>0.75410840326340312</v>
      </c>
      <c r="AU260" s="675">
        <f>AR260</f>
        <v>0.75374449883449857</v>
      </c>
      <c r="AV260" s="675">
        <f>AS260</f>
        <v>0.75447230769230766</v>
      </c>
      <c r="AW260" s="674">
        <f t="shared" si="781"/>
        <v>0.75410840326340312</v>
      </c>
      <c r="AX260" s="675">
        <f>AU260</f>
        <v>0.75374449883449857</v>
      </c>
      <c r="AY260" s="675">
        <f>AV260</f>
        <v>0.75447230769230766</v>
      </c>
      <c r="AZ260" s="674">
        <f t="shared" si="782"/>
        <v>0.75410840326340312</v>
      </c>
      <c r="BA260" s="675">
        <f>AX260</f>
        <v>0.75374449883449857</v>
      </c>
      <c r="BB260" s="675">
        <f>AY260</f>
        <v>0.75447230769230766</v>
      </c>
      <c r="BC260" s="674">
        <f t="shared" si="783"/>
        <v>0.75410840326340312</v>
      </c>
      <c r="BD260" s="675">
        <f>BA260</f>
        <v>0.75374449883449857</v>
      </c>
      <c r="BE260" s="675">
        <f>BB260</f>
        <v>0.75447230769230766</v>
      </c>
      <c r="BF260" s="674">
        <f t="shared" si="784"/>
        <v>0.75410840326340312</v>
      </c>
      <c r="BG260" s="675">
        <f>BD260</f>
        <v>0.75374449883449857</v>
      </c>
      <c r="BH260" s="675">
        <f>BE260</f>
        <v>0.75447230769230766</v>
      </c>
      <c r="BI260" s="674">
        <f t="shared" si="785"/>
        <v>0.75410840326340312</v>
      </c>
      <c r="BJ260" s="675">
        <f>BG260</f>
        <v>0.75374449883449857</v>
      </c>
      <c r="BK260" s="675">
        <f>BH260</f>
        <v>0.75447230769230766</v>
      </c>
      <c r="BL260" s="674">
        <f t="shared" si="786"/>
        <v>0.75410840326340312</v>
      </c>
      <c r="BM260" s="675">
        <f>BJ260</f>
        <v>0.75374449883449857</v>
      </c>
      <c r="BN260" s="675">
        <f>BK260</f>
        <v>0.75447230769230766</v>
      </c>
      <c r="BO260" s="674">
        <f t="shared" si="787"/>
        <v>0.75410840326340312</v>
      </c>
      <c r="BP260" s="675">
        <f>BM260</f>
        <v>0.75374449883449857</v>
      </c>
      <c r="BQ260" s="675">
        <f>BN260</f>
        <v>0.75447230769230766</v>
      </c>
      <c r="BR260" s="674">
        <f t="shared" si="788"/>
        <v>0.75410840326340312</v>
      </c>
    </row>
    <row r="261" spans="1:70" outlineLevel="1">
      <c r="A261" s="356"/>
      <c r="B261" s="55"/>
      <c r="C261" s="57" t="s">
        <v>510</v>
      </c>
      <c r="D261" s="56"/>
      <c r="E261" s="674">
        <v>0.63346893939393945</v>
      </c>
      <c r="F261" s="674">
        <v>0.62252305288461529</v>
      </c>
      <c r="G261" s="674">
        <v>0.62794829980354772</v>
      </c>
      <c r="H261" s="674">
        <v>0.63942954545454533</v>
      </c>
      <c r="I261" s="674">
        <v>0.73016918269230768</v>
      </c>
      <c r="J261" s="674">
        <v>0.68179349031024716</v>
      </c>
      <c r="K261" s="674">
        <v>0.73605454545454541</v>
      </c>
      <c r="L261" s="674">
        <v>0.72953804086538476</v>
      </c>
      <c r="M261" s="674">
        <v>0.73278180590325515</v>
      </c>
      <c r="N261" s="674">
        <v>0.72418151515151508</v>
      </c>
      <c r="O261" s="674">
        <v>0.76652615384615408</v>
      </c>
      <c r="P261" s="674">
        <v>0.744752419324193</v>
      </c>
      <c r="Q261" s="674">
        <v>0.79031848484848499</v>
      </c>
      <c r="R261" s="674">
        <v>0.75010890624999982</v>
      </c>
      <c r="S261" s="674">
        <v>0.76968890281301527</v>
      </c>
      <c r="T261" s="674">
        <v>0.71319015151515153</v>
      </c>
      <c r="U261" s="674">
        <v>0.66528403846153839</v>
      </c>
      <c r="V261" s="674">
        <v>0.68840465442304699</v>
      </c>
      <c r="W261" s="674">
        <v>0.69908181818181814</v>
      </c>
      <c r="X261" s="674">
        <v>0.72576530048076915</v>
      </c>
      <c r="Y261" s="674">
        <v>0.71217370507736255</v>
      </c>
      <c r="Z261" s="674">
        <v>0.68568333333333331</v>
      </c>
      <c r="AA261" s="674">
        <v>0.67408461538461562</v>
      </c>
      <c r="AB261" s="674">
        <v>0.67983450626473785</v>
      </c>
      <c r="AC261" s="674">
        <v>0.69112181818181817</v>
      </c>
      <c r="AD261" s="674">
        <v>0.69244230769230752</v>
      </c>
      <c r="AE261" s="675">
        <v>0.69178143279187665</v>
      </c>
      <c r="AF261" s="675">
        <f t="shared" ref="AF261:AG262" si="790">AC261</f>
        <v>0.69112181818181817</v>
      </c>
      <c r="AG261" s="962">
        <f t="shared" si="790"/>
        <v>0.69244230769230752</v>
      </c>
      <c r="AH261" s="674">
        <f t="shared" si="789"/>
        <v>0.69178206293706279</v>
      </c>
      <c r="AI261" s="675">
        <f t="shared" ref="AI261:AI262" si="791">AF261</f>
        <v>0.69112181818181817</v>
      </c>
      <c r="AJ261" s="675">
        <f t="shared" ref="AJ261:AJ262" si="792">AG261</f>
        <v>0.69244230769230752</v>
      </c>
      <c r="AK261" s="674">
        <f t="shared" si="777"/>
        <v>0.69178206293706279</v>
      </c>
      <c r="AL261" s="675">
        <f t="shared" ref="AL261:AL262" si="793">AI261</f>
        <v>0.69112181818181817</v>
      </c>
      <c r="AM261" s="675">
        <f t="shared" ref="AM261:AM262" si="794">AJ261</f>
        <v>0.69244230769230752</v>
      </c>
      <c r="AN261" s="674">
        <f t="shared" si="778"/>
        <v>0.69178206293706279</v>
      </c>
      <c r="AO261" s="675">
        <f t="shared" ref="AO261:AO262" si="795">AL261</f>
        <v>0.69112181818181817</v>
      </c>
      <c r="AP261" s="675">
        <f t="shared" ref="AP261:AP262" si="796">AM261</f>
        <v>0.69244230769230752</v>
      </c>
      <c r="AQ261" s="674">
        <f t="shared" si="779"/>
        <v>0.69178206293706279</v>
      </c>
      <c r="AR261" s="675">
        <f t="shared" ref="AR261:AR262" si="797">AO261</f>
        <v>0.69112181818181817</v>
      </c>
      <c r="AS261" s="675">
        <f t="shared" ref="AS261:AS262" si="798">AP261</f>
        <v>0.69244230769230752</v>
      </c>
      <c r="AT261" s="674">
        <f t="shared" si="780"/>
        <v>0.69178206293706279</v>
      </c>
      <c r="AU261" s="675">
        <f t="shared" ref="AU261:AU262" si="799">AR261</f>
        <v>0.69112181818181817</v>
      </c>
      <c r="AV261" s="675">
        <f t="shared" ref="AV261:AV262" si="800">AS261</f>
        <v>0.69244230769230752</v>
      </c>
      <c r="AW261" s="674">
        <f t="shared" si="781"/>
        <v>0.69178206293706279</v>
      </c>
      <c r="AX261" s="675">
        <f t="shared" ref="AX261:AX262" si="801">AU261</f>
        <v>0.69112181818181817</v>
      </c>
      <c r="AY261" s="675">
        <f t="shared" ref="AY261:AY262" si="802">AV261</f>
        <v>0.69244230769230752</v>
      </c>
      <c r="AZ261" s="674">
        <f t="shared" si="782"/>
        <v>0.69178206293706279</v>
      </c>
      <c r="BA261" s="675">
        <f t="shared" ref="BA261:BA262" si="803">AX261</f>
        <v>0.69112181818181817</v>
      </c>
      <c r="BB261" s="675">
        <f t="shared" ref="BB261:BB262" si="804">AY261</f>
        <v>0.69244230769230752</v>
      </c>
      <c r="BC261" s="674">
        <f t="shared" si="783"/>
        <v>0.69178206293706279</v>
      </c>
      <c r="BD261" s="675">
        <f t="shared" ref="BD261:BD262" si="805">BA261</f>
        <v>0.69112181818181817</v>
      </c>
      <c r="BE261" s="675">
        <f t="shared" ref="BE261:BE262" si="806">BB261</f>
        <v>0.69244230769230752</v>
      </c>
      <c r="BF261" s="674">
        <f t="shared" si="784"/>
        <v>0.69178206293706279</v>
      </c>
      <c r="BG261" s="675">
        <f t="shared" ref="BG261:BG262" si="807">BD261</f>
        <v>0.69112181818181817</v>
      </c>
      <c r="BH261" s="675">
        <f t="shared" ref="BH261:BH262" si="808">BE261</f>
        <v>0.69244230769230752</v>
      </c>
      <c r="BI261" s="674">
        <f t="shared" si="785"/>
        <v>0.69178206293706279</v>
      </c>
      <c r="BJ261" s="675">
        <f t="shared" ref="BJ261:BJ262" si="809">BG261</f>
        <v>0.69112181818181817</v>
      </c>
      <c r="BK261" s="675">
        <f t="shared" ref="BK261:BK262" si="810">BH261</f>
        <v>0.69244230769230752</v>
      </c>
      <c r="BL261" s="674">
        <f t="shared" si="786"/>
        <v>0.69178206293706279</v>
      </c>
      <c r="BM261" s="675">
        <f t="shared" ref="BM261:BM262" si="811">BJ261</f>
        <v>0.69112181818181817</v>
      </c>
      <c r="BN261" s="675">
        <f t="shared" ref="BN261:BN262" si="812">BK261</f>
        <v>0.69244230769230752</v>
      </c>
      <c r="BO261" s="674">
        <f t="shared" si="787"/>
        <v>0.69178206293706279</v>
      </c>
      <c r="BP261" s="675">
        <f t="shared" ref="BP261:BP262" si="813">BM261</f>
        <v>0.69112181818181817</v>
      </c>
      <c r="BQ261" s="675">
        <f t="shared" ref="BQ261:BQ262" si="814">BN261</f>
        <v>0.69244230769230752</v>
      </c>
      <c r="BR261" s="674">
        <f t="shared" si="788"/>
        <v>0.69178206293706279</v>
      </c>
    </row>
    <row r="262" spans="1:70" outlineLevel="1">
      <c r="A262" s="356"/>
      <c r="B262" s="55"/>
      <c r="C262" s="57" t="s">
        <v>514</v>
      </c>
      <c r="D262" s="56"/>
      <c r="E262" s="674">
        <v>0.55263009637006621</v>
      </c>
      <c r="F262" s="674">
        <v>0.53423390146578409</v>
      </c>
      <c r="G262" s="674">
        <v>0.54327631247158492</v>
      </c>
      <c r="H262" s="674">
        <v>0.59961116164156503</v>
      </c>
      <c r="I262" s="674">
        <v>0.67286947880037118</v>
      </c>
      <c r="J262" s="674">
        <v>0.63413153331200733</v>
      </c>
      <c r="K262" s="674">
        <v>0.71467019187464709</v>
      </c>
      <c r="L262" s="674">
        <v>0.73635268086449757</v>
      </c>
      <c r="M262" s="674">
        <v>0.72534943674240326</v>
      </c>
      <c r="N262" s="674">
        <v>0.74727090665724927</v>
      </c>
      <c r="O262" s="674">
        <v>0.79593826957027969</v>
      </c>
      <c r="P262" s="674">
        <v>0.77083718980853322</v>
      </c>
      <c r="Q262" s="674">
        <v>0.81515897885685562</v>
      </c>
      <c r="R262" s="674">
        <v>0.77326400427269371</v>
      </c>
      <c r="S262" s="674">
        <v>0.7936589973884598</v>
      </c>
      <c r="T262" s="674">
        <v>0.68609926158582824</v>
      </c>
      <c r="U262" s="674">
        <v>0.6673317228761122</v>
      </c>
      <c r="V262" s="674">
        <v>0.67658537088999893</v>
      </c>
      <c r="W262" s="674">
        <v>0.69139682285547455</v>
      </c>
      <c r="X262" s="674">
        <v>0.70044055594197785</v>
      </c>
      <c r="Y262" s="674">
        <v>0.69588930769458968</v>
      </c>
      <c r="Z262" s="674">
        <v>0.65494299448475413</v>
      </c>
      <c r="AA262" s="674">
        <v>0.65764063450425159</v>
      </c>
      <c r="AB262" s="674">
        <v>0.65628904238097274</v>
      </c>
      <c r="AC262" s="674">
        <v>0.68703160047068601</v>
      </c>
      <c r="AD262" s="674">
        <v>0.69641141649679117</v>
      </c>
      <c r="AE262" s="675">
        <v>0.69168971066207019</v>
      </c>
      <c r="AF262" s="675">
        <f t="shared" si="790"/>
        <v>0.68703160047068601</v>
      </c>
      <c r="AG262" s="962">
        <f t="shared" si="790"/>
        <v>0.69641141649679117</v>
      </c>
      <c r="AH262" s="674">
        <f t="shared" si="789"/>
        <v>0.69172150848373859</v>
      </c>
      <c r="AI262" s="675">
        <f t="shared" si="791"/>
        <v>0.68703160047068601</v>
      </c>
      <c r="AJ262" s="675">
        <f t="shared" si="792"/>
        <v>0.69641141649679117</v>
      </c>
      <c r="AK262" s="674">
        <f t="shared" si="777"/>
        <v>0.69172150848373859</v>
      </c>
      <c r="AL262" s="675">
        <f t="shared" si="793"/>
        <v>0.68703160047068601</v>
      </c>
      <c r="AM262" s="675">
        <f t="shared" si="794"/>
        <v>0.69641141649679117</v>
      </c>
      <c r="AN262" s="674">
        <f t="shared" si="778"/>
        <v>0.69172150848373859</v>
      </c>
      <c r="AO262" s="675">
        <f t="shared" si="795"/>
        <v>0.68703160047068601</v>
      </c>
      <c r="AP262" s="675">
        <f t="shared" si="796"/>
        <v>0.69641141649679117</v>
      </c>
      <c r="AQ262" s="674">
        <f t="shared" si="779"/>
        <v>0.69172150848373859</v>
      </c>
      <c r="AR262" s="675">
        <f t="shared" si="797"/>
        <v>0.68703160047068601</v>
      </c>
      <c r="AS262" s="675">
        <f t="shared" si="798"/>
        <v>0.69641141649679117</v>
      </c>
      <c r="AT262" s="674">
        <f t="shared" si="780"/>
        <v>0.69172150848373859</v>
      </c>
      <c r="AU262" s="675">
        <f t="shared" si="799"/>
        <v>0.68703160047068601</v>
      </c>
      <c r="AV262" s="675">
        <f t="shared" si="800"/>
        <v>0.69641141649679117</v>
      </c>
      <c r="AW262" s="674">
        <f t="shared" si="781"/>
        <v>0.69172150848373859</v>
      </c>
      <c r="AX262" s="675">
        <f t="shared" si="801"/>
        <v>0.68703160047068601</v>
      </c>
      <c r="AY262" s="675">
        <f t="shared" si="802"/>
        <v>0.69641141649679117</v>
      </c>
      <c r="AZ262" s="674">
        <f t="shared" si="782"/>
        <v>0.69172150848373859</v>
      </c>
      <c r="BA262" s="675">
        <f t="shared" si="803"/>
        <v>0.68703160047068601</v>
      </c>
      <c r="BB262" s="675">
        <f t="shared" si="804"/>
        <v>0.69641141649679117</v>
      </c>
      <c r="BC262" s="674">
        <f t="shared" si="783"/>
        <v>0.69172150848373859</v>
      </c>
      <c r="BD262" s="675">
        <f t="shared" si="805"/>
        <v>0.68703160047068601</v>
      </c>
      <c r="BE262" s="675">
        <f t="shared" si="806"/>
        <v>0.69641141649679117</v>
      </c>
      <c r="BF262" s="674">
        <f t="shared" si="784"/>
        <v>0.69172150848373859</v>
      </c>
      <c r="BG262" s="675">
        <f t="shared" si="807"/>
        <v>0.68703160047068601</v>
      </c>
      <c r="BH262" s="675">
        <f t="shared" si="808"/>
        <v>0.69641141649679117</v>
      </c>
      <c r="BI262" s="674">
        <f t="shared" si="785"/>
        <v>0.69172150848373859</v>
      </c>
      <c r="BJ262" s="675">
        <f t="shared" si="809"/>
        <v>0.68703160047068601</v>
      </c>
      <c r="BK262" s="675">
        <f t="shared" si="810"/>
        <v>0.69641141649679117</v>
      </c>
      <c r="BL262" s="674">
        <f t="shared" si="786"/>
        <v>0.69172150848373859</v>
      </c>
      <c r="BM262" s="675">
        <f t="shared" si="811"/>
        <v>0.68703160047068601</v>
      </c>
      <c r="BN262" s="675">
        <f t="shared" si="812"/>
        <v>0.69641141649679117</v>
      </c>
      <c r="BO262" s="674">
        <f t="shared" si="787"/>
        <v>0.69172150848373859</v>
      </c>
      <c r="BP262" s="675">
        <f t="shared" si="813"/>
        <v>0.68703160047068601</v>
      </c>
      <c r="BQ262" s="675">
        <f t="shared" si="814"/>
        <v>0.69641141649679117</v>
      </c>
      <c r="BR262" s="674">
        <f t="shared" si="788"/>
        <v>0.69172150848373859</v>
      </c>
    </row>
    <row r="263" spans="1:70" outlineLevel="1">
      <c r="A263" s="356"/>
      <c r="B263" s="55"/>
      <c r="C263" s="57" t="s">
        <v>541</v>
      </c>
      <c r="D263" s="56"/>
      <c r="E263" s="674">
        <v>0.10414098484848486</v>
      </c>
      <c r="F263" s="674">
        <v>0.10977327403846153</v>
      </c>
      <c r="G263" s="674">
        <v>0.10695712944347319</v>
      </c>
      <c r="H263" s="674">
        <v>0.10079848484848485</v>
      </c>
      <c r="I263" s="674">
        <v>0.11063160456730767</v>
      </c>
      <c r="J263" s="674">
        <v>0.10571504470789625</v>
      </c>
      <c r="K263" s="674">
        <v>0.11250848484848484</v>
      </c>
      <c r="L263" s="674">
        <v>0.10892609855769229</v>
      </c>
      <c r="M263" s="674">
        <v>0.11071729170308857</v>
      </c>
      <c r="N263" s="674">
        <v>0.11360210372960372</v>
      </c>
      <c r="O263" s="674">
        <v>0.12200076923076922</v>
      </c>
      <c r="P263" s="674">
        <v>0.11780143648018647</v>
      </c>
      <c r="Q263" s="674">
        <v>0.1246438508158508</v>
      </c>
      <c r="R263" s="674">
        <v>0.12307724158653846</v>
      </c>
      <c r="S263" s="674">
        <v>0.12386054620119463</v>
      </c>
      <c r="T263" s="674">
        <v>0.12189075757575756</v>
      </c>
      <c r="U263" s="674">
        <v>0.11831889423076924</v>
      </c>
      <c r="V263" s="674">
        <v>0.12010482590326341</v>
      </c>
      <c r="W263" s="674">
        <v>0.12635992424242423</v>
      </c>
      <c r="X263" s="674">
        <v>0.14408001682692306</v>
      </c>
      <c r="Y263" s="674">
        <v>0.13521997053467366</v>
      </c>
      <c r="Z263" s="674">
        <v>0.14278750000000001</v>
      </c>
      <c r="AA263" s="674">
        <v>0.13709038461538459</v>
      </c>
      <c r="AB263" s="674">
        <v>0.1399389423076923</v>
      </c>
      <c r="AC263" s="674">
        <v>0.13506820163170163</v>
      </c>
      <c r="AD263" s="674">
        <v>0.13435730769230772</v>
      </c>
      <c r="AE263" s="675">
        <v>0.13471275466200466</v>
      </c>
      <c r="AF263" s="675">
        <f>AC263</f>
        <v>0.13506820163170163</v>
      </c>
      <c r="AG263" s="962">
        <f>AD263</f>
        <v>0.13435730769230772</v>
      </c>
      <c r="AH263" s="674">
        <f t="shared" ref="AH263:AH265" si="815">AVERAGE(AF263:AG263)</f>
        <v>0.13471275466200466</v>
      </c>
      <c r="AI263" s="675">
        <f>AF263</f>
        <v>0.13506820163170163</v>
      </c>
      <c r="AJ263" s="675">
        <f>AG263</f>
        <v>0.13435730769230772</v>
      </c>
      <c r="AK263" s="674">
        <f t="shared" ref="AK263:AK265" si="816">AVERAGE(AI263:AJ263)</f>
        <v>0.13471275466200466</v>
      </c>
      <c r="AL263" s="675">
        <f>AI263</f>
        <v>0.13506820163170163</v>
      </c>
      <c r="AM263" s="675">
        <f>AJ263</f>
        <v>0.13435730769230772</v>
      </c>
      <c r="AN263" s="674">
        <f t="shared" ref="AN263:AN265" si="817">AVERAGE(AL263:AM263)</f>
        <v>0.13471275466200466</v>
      </c>
      <c r="AO263" s="675">
        <f>AL263</f>
        <v>0.13506820163170163</v>
      </c>
      <c r="AP263" s="675">
        <f>AM263</f>
        <v>0.13435730769230772</v>
      </c>
      <c r="AQ263" s="674">
        <f t="shared" ref="AQ263:AQ265" si="818">AVERAGE(AO263:AP263)</f>
        <v>0.13471275466200466</v>
      </c>
      <c r="AR263" s="675">
        <f>AO263</f>
        <v>0.13506820163170163</v>
      </c>
      <c r="AS263" s="675">
        <f>AP263</f>
        <v>0.13435730769230772</v>
      </c>
      <c r="AT263" s="674">
        <f t="shared" ref="AT263:AT265" si="819">AVERAGE(AR263:AS263)</f>
        <v>0.13471275466200466</v>
      </c>
      <c r="AU263" s="675">
        <f>AR263</f>
        <v>0.13506820163170163</v>
      </c>
      <c r="AV263" s="675">
        <f>AS263</f>
        <v>0.13435730769230772</v>
      </c>
      <c r="AW263" s="674">
        <f t="shared" ref="AW263:AW265" si="820">AVERAGE(AU263:AV263)</f>
        <v>0.13471275466200466</v>
      </c>
      <c r="AX263" s="675">
        <f>AU263</f>
        <v>0.13506820163170163</v>
      </c>
      <c r="AY263" s="675">
        <f>AV263</f>
        <v>0.13435730769230772</v>
      </c>
      <c r="AZ263" s="674">
        <f t="shared" ref="AZ263:AZ265" si="821">AVERAGE(AX263:AY263)</f>
        <v>0.13471275466200466</v>
      </c>
      <c r="BA263" s="675">
        <f>AX263</f>
        <v>0.13506820163170163</v>
      </c>
      <c r="BB263" s="675">
        <f>AY263</f>
        <v>0.13435730769230772</v>
      </c>
      <c r="BC263" s="674">
        <f t="shared" ref="BC263:BC265" si="822">AVERAGE(BA263:BB263)</f>
        <v>0.13471275466200466</v>
      </c>
      <c r="BD263" s="675">
        <f>BA263</f>
        <v>0.13506820163170163</v>
      </c>
      <c r="BE263" s="675">
        <f>BB263</f>
        <v>0.13435730769230772</v>
      </c>
      <c r="BF263" s="674">
        <f t="shared" ref="BF263:BF265" si="823">AVERAGE(BD263:BE263)</f>
        <v>0.13471275466200466</v>
      </c>
      <c r="BG263" s="675">
        <f>BD263</f>
        <v>0.13506820163170163</v>
      </c>
      <c r="BH263" s="675">
        <f>BE263</f>
        <v>0.13435730769230772</v>
      </c>
      <c r="BI263" s="674">
        <f t="shared" ref="BI263:BI265" si="824">AVERAGE(BG263:BH263)</f>
        <v>0.13471275466200466</v>
      </c>
      <c r="BJ263" s="675">
        <f>BG263</f>
        <v>0.13506820163170163</v>
      </c>
      <c r="BK263" s="675">
        <f>BH263</f>
        <v>0.13435730769230772</v>
      </c>
      <c r="BL263" s="674">
        <f t="shared" ref="BL263:BL265" si="825">AVERAGE(BJ263:BK263)</f>
        <v>0.13471275466200466</v>
      </c>
      <c r="BM263" s="675">
        <f>BJ263</f>
        <v>0.13506820163170163</v>
      </c>
      <c r="BN263" s="675">
        <f>BK263</f>
        <v>0.13435730769230772</v>
      </c>
      <c r="BO263" s="674">
        <f t="shared" ref="BO263:BO265" si="826">AVERAGE(BM263:BN263)</f>
        <v>0.13471275466200466</v>
      </c>
      <c r="BP263" s="675">
        <f>BM263</f>
        <v>0.13506820163170163</v>
      </c>
      <c r="BQ263" s="675">
        <f>BN263</f>
        <v>0.13435730769230772</v>
      </c>
      <c r="BR263" s="674">
        <f t="shared" ref="BR263:BR265" si="827">AVERAGE(BP263:BQ263)</f>
        <v>0.13471275466200466</v>
      </c>
    </row>
    <row r="264" spans="1:70" outlineLevel="1">
      <c r="A264" s="356"/>
      <c r="B264" s="55"/>
      <c r="C264" s="57" t="s">
        <v>531</v>
      </c>
      <c r="D264" s="56"/>
      <c r="E264" s="674">
        <v>8.0947727272727282E-2</v>
      </c>
      <c r="F264" s="674">
        <v>8.2080336538461515E-2</v>
      </c>
      <c r="G264" s="674">
        <v>8.1514031905594392E-2</v>
      </c>
      <c r="H264" s="674">
        <v>9.0096969696969703E-2</v>
      </c>
      <c r="I264" s="674">
        <v>0.10031431490384612</v>
      </c>
      <c r="J264" s="674">
        <v>9.5205642300407914E-2</v>
      </c>
      <c r="K264" s="674">
        <v>0.10628257575757577</v>
      </c>
      <c r="L264" s="674">
        <v>0.10337808894230768</v>
      </c>
      <c r="M264" s="674">
        <v>0.10483033234994173</v>
      </c>
      <c r="N264" s="674">
        <v>9.5386503496503489E-2</v>
      </c>
      <c r="O264" s="674">
        <v>9.7186923076923074E-2</v>
      </c>
      <c r="P264" s="674">
        <v>9.6286713286713288E-2</v>
      </c>
      <c r="Q264" s="674">
        <v>9.2753974358974367E-2</v>
      </c>
      <c r="R264" s="674">
        <v>8.2845552884615398E-2</v>
      </c>
      <c r="S264" s="674">
        <v>8.7799763621794882E-2</v>
      </c>
      <c r="T264" s="674">
        <v>7.3934090909090894E-2</v>
      </c>
      <c r="U264" s="674">
        <v>6.8214242788461554E-2</v>
      </c>
      <c r="V264" s="674">
        <v>7.1074166848776224E-2</v>
      </c>
      <c r="W264" s="674">
        <v>7.0728030303030306E-2</v>
      </c>
      <c r="X264" s="674">
        <v>7.5232584134615393E-2</v>
      </c>
      <c r="Y264" s="674">
        <v>7.2980307218822843E-2</v>
      </c>
      <c r="Z264" s="674">
        <v>6.6765909090909098E-2</v>
      </c>
      <c r="AA264" s="674">
        <v>5.8216153846153841E-2</v>
      </c>
      <c r="AB264" s="674">
        <v>6.2491031468531466E-2</v>
      </c>
      <c r="AC264" s="674">
        <v>6.5248997668997666E-2</v>
      </c>
      <c r="AD264" s="674">
        <v>6.9920769230769231E-2</v>
      </c>
      <c r="AE264" s="675">
        <v>6.7584883449883448E-2</v>
      </c>
      <c r="AF264" s="675">
        <f t="shared" ref="AF264:AF265" si="828">AC264</f>
        <v>6.5248997668997666E-2</v>
      </c>
      <c r="AG264" s="962">
        <f t="shared" ref="AG264:AG265" si="829">AD264</f>
        <v>6.9920769230769231E-2</v>
      </c>
      <c r="AH264" s="674">
        <f t="shared" si="815"/>
        <v>6.7584883449883448E-2</v>
      </c>
      <c r="AI264" s="675">
        <f t="shared" ref="AI264:AI265" si="830">AF264</f>
        <v>6.5248997668997666E-2</v>
      </c>
      <c r="AJ264" s="675">
        <f t="shared" ref="AJ264:AJ265" si="831">AG264</f>
        <v>6.9920769230769231E-2</v>
      </c>
      <c r="AK264" s="674">
        <f t="shared" si="816"/>
        <v>6.7584883449883448E-2</v>
      </c>
      <c r="AL264" s="675">
        <f t="shared" ref="AL264:AL265" si="832">AI264</f>
        <v>6.5248997668997666E-2</v>
      </c>
      <c r="AM264" s="675">
        <f t="shared" ref="AM264:AM265" si="833">AJ264</f>
        <v>6.9920769230769231E-2</v>
      </c>
      <c r="AN264" s="674">
        <f t="shared" si="817"/>
        <v>6.7584883449883448E-2</v>
      </c>
      <c r="AO264" s="675">
        <f t="shared" ref="AO264:AO265" si="834">AL264</f>
        <v>6.5248997668997666E-2</v>
      </c>
      <c r="AP264" s="675">
        <f t="shared" ref="AP264:AP265" si="835">AM264</f>
        <v>6.9920769230769231E-2</v>
      </c>
      <c r="AQ264" s="674">
        <f t="shared" si="818"/>
        <v>6.7584883449883448E-2</v>
      </c>
      <c r="AR264" s="675">
        <f t="shared" ref="AR264:AR265" si="836">AO264</f>
        <v>6.5248997668997666E-2</v>
      </c>
      <c r="AS264" s="675">
        <f t="shared" ref="AS264:AS265" si="837">AP264</f>
        <v>6.9920769230769231E-2</v>
      </c>
      <c r="AT264" s="674">
        <f t="shared" si="819"/>
        <v>6.7584883449883448E-2</v>
      </c>
      <c r="AU264" s="675">
        <f t="shared" ref="AU264:AU265" si="838">AR264</f>
        <v>6.5248997668997666E-2</v>
      </c>
      <c r="AV264" s="675">
        <f t="shared" ref="AV264:AV265" si="839">AS264</f>
        <v>6.9920769230769231E-2</v>
      </c>
      <c r="AW264" s="674">
        <f t="shared" si="820"/>
        <v>6.7584883449883448E-2</v>
      </c>
      <c r="AX264" s="675">
        <f t="shared" ref="AX264:AX265" si="840">AU264</f>
        <v>6.5248997668997666E-2</v>
      </c>
      <c r="AY264" s="675">
        <f t="shared" ref="AY264:AY265" si="841">AV264</f>
        <v>6.9920769230769231E-2</v>
      </c>
      <c r="AZ264" s="674">
        <f t="shared" si="821"/>
        <v>6.7584883449883448E-2</v>
      </c>
      <c r="BA264" s="675">
        <f t="shared" ref="BA264:BA265" si="842">AX264</f>
        <v>6.5248997668997666E-2</v>
      </c>
      <c r="BB264" s="675">
        <f t="shared" ref="BB264:BB265" si="843">AY264</f>
        <v>6.9920769230769231E-2</v>
      </c>
      <c r="BC264" s="674">
        <f t="shared" si="822"/>
        <v>6.7584883449883448E-2</v>
      </c>
      <c r="BD264" s="675">
        <f t="shared" ref="BD264:BD265" si="844">BA264</f>
        <v>6.5248997668997666E-2</v>
      </c>
      <c r="BE264" s="675">
        <f t="shared" ref="BE264:BE265" si="845">BB264</f>
        <v>6.9920769230769231E-2</v>
      </c>
      <c r="BF264" s="674">
        <f t="shared" si="823"/>
        <v>6.7584883449883448E-2</v>
      </c>
      <c r="BG264" s="675">
        <f t="shared" ref="BG264:BG265" si="846">BD264</f>
        <v>6.5248997668997666E-2</v>
      </c>
      <c r="BH264" s="675">
        <f t="shared" ref="BH264:BH265" si="847">BE264</f>
        <v>6.9920769230769231E-2</v>
      </c>
      <c r="BI264" s="674">
        <f t="shared" si="824"/>
        <v>6.7584883449883448E-2</v>
      </c>
      <c r="BJ264" s="675">
        <f t="shared" ref="BJ264:BJ265" si="848">BG264</f>
        <v>6.5248997668997666E-2</v>
      </c>
      <c r="BK264" s="675">
        <f t="shared" ref="BK264:BK265" si="849">BH264</f>
        <v>6.9920769230769231E-2</v>
      </c>
      <c r="BL264" s="674">
        <f t="shared" si="825"/>
        <v>6.7584883449883448E-2</v>
      </c>
      <c r="BM264" s="675">
        <f t="shared" ref="BM264:BM265" si="850">BJ264</f>
        <v>6.5248997668997666E-2</v>
      </c>
      <c r="BN264" s="675">
        <f t="shared" ref="BN264:BN265" si="851">BK264</f>
        <v>6.9920769230769231E-2</v>
      </c>
      <c r="BO264" s="674">
        <f t="shared" si="826"/>
        <v>6.7584883449883448E-2</v>
      </c>
      <c r="BP264" s="675">
        <f t="shared" ref="BP264:BP265" si="852">BM264</f>
        <v>6.5248997668997666E-2</v>
      </c>
      <c r="BQ264" s="675">
        <f t="shared" ref="BQ264:BQ265" si="853">BN264</f>
        <v>6.9920769230769231E-2</v>
      </c>
      <c r="BR264" s="674">
        <f t="shared" si="827"/>
        <v>6.7584883449883448E-2</v>
      </c>
    </row>
    <row r="265" spans="1:70" outlineLevel="1">
      <c r="A265" s="356"/>
      <c r="B265" s="55"/>
      <c r="C265" s="57" t="s">
        <v>532</v>
      </c>
      <c r="D265" s="56"/>
      <c r="E265" s="674">
        <v>0.36635386363636369</v>
      </c>
      <c r="F265" s="674">
        <v>0.34260457331730765</v>
      </c>
      <c r="G265" s="674">
        <v>0.35447921847683567</v>
      </c>
      <c r="H265" s="674">
        <v>0.38209295454545444</v>
      </c>
      <c r="I265" s="674">
        <v>0.42024312740384606</v>
      </c>
      <c r="J265" s="674">
        <v>0.40116804097465025</v>
      </c>
      <c r="K265" s="674">
        <v>0.43843878787878798</v>
      </c>
      <c r="L265" s="674">
        <v>0.43707365144230775</v>
      </c>
      <c r="M265" s="674">
        <v>0.4377562196605479</v>
      </c>
      <c r="N265" s="674">
        <v>0.42304253496503497</v>
      </c>
      <c r="O265" s="674">
        <v>0.41462676923076913</v>
      </c>
      <c r="P265" s="674">
        <v>0.41883465209790205</v>
      </c>
      <c r="Q265" s="674">
        <v>0.38446304662004671</v>
      </c>
      <c r="R265" s="674">
        <v>0.37514642307692303</v>
      </c>
      <c r="S265" s="674">
        <v>0.37980473484848487</v>
      </c>
      <c r="T265" s="674">
        <v>0.32646606060606065</v>
      </c>
      <c r="U265" s="674">
        <v>0.31800914783653839</v>
      </c>
      <c r="V265" s="674">
        <v>0.32223760422129955</v>
      </c>
      <c r="W265" s="674">
        <v>0.32305651515151512</v>
      </c>
      <c r="X265" s="674">
        <v>0.30269132692307699</v>
      </c>
      <c r="Y265" s="674">
        <v>0.31287392103729605</v>
      </c>
      <c r="Z265" s="674">
        <v>0.24675840909090907</v>
      </c>
      <c r="AA265" s="674">
        <v>0.24301846153846154</v>
      </c>
      <c r="AB265" s="674">
        <v>0.24488843531468529</v>
      </c>
      <c r="AC265" s="674">
        <v>0.27902020396270405</v>
      </c>
      <c r="AD265" s="674">
        <v>0.2907249230769231</v>
      </c>
      <c r="AE265" s="675">
        <v>0.2848725635198136</v>
      </c>
      <c r="AF265" s="675">
        <f t="shared" si="828"/>
        <v>0.27902020396270405</v>
      </c>
      <c r="AG265" s="962">
        <f t="shared" si="829"/>
        <v>0.2907249230769231</v>
      </c>
      <c r="AH265" s="674">
        <f t="shared" si="815"/>
        <v>0.2848725635198136</v>
      </c>
      <c r="AI265" s="675">
        <f t="shared" si="830"/>
        <v>0.27902020396270405</v>
      </c>
      <c r="AJ265" s="675">
        <f t="shared" si="831"/>
        <v>0.2907249230769231</v>
      </c>
      <c r="AK265" s="674">
        <f t="shared" si="816"/>
        <v>0.2848725635198136</v>
      </c>
      <c r="AL265" s="675">
        <f t="shared" si="832"/>
        <v>0.27902020396270405</v>
      </c>
      <c r="AM265" s="675">
        <f t="shared" si="833"/>
        <v>0.2907249230769231</v>
      </c>
      <c r="AN265" s="674">
        <f t="shared" si="817"/>
        <v>0.2848725635198136</v>
      </c>
      <c r="AO265" s="675">
        <f t="shared" si="834"/>
        <v>0.27902020396270405</v>
      </c>
      <c r="AP265" s="675">
        <f t="shared" si="835"/>
        <v>0.2907249230769231</v>
      </c>
      <c r="AQ265" s="674">
        <f t="shared" si="818"/>
        <v>0.2848725635198136</v>
      </c>
      <c r="AR265" s="675">
        <f t="shared" si="836"/>
        <v>0.27902020396270405</v>
      </c>
      <c r="AS265" s="675">
        <f t="shared" si="837"/>
        <v>0.2907249230769231</v>
      </c>
      <c r="AT265" s="674">
        <f t="shared" si="819"/>
        <v>0.2848725635198136</v>
      </c>
      <c r="AU265" s="675">
        <f t="shared" si="838"/>
        <v>0.27902020396270405</v>
      </c>
      <c r="AV265" s="675">
        <f t="shared" si="839"/>
        <v>0.2907249230769231</v>
      </c>
      <c r="AW265" s="674">
        <f t="shared" si="820"/>
        <v>0.2848725635198136</v>
      </c>
      <c r="AX265" s="675">
        <f t="shared" si="840"/>
        <v>0.27902020396270405</v>
      </c>
      <c r="AY265" s="675">
        <f t="shared" si="841"/>
        <v>0.2907249230769231</v>
      </c>
      <c r="AZ265" s="674">
        <f t="shared" si="821"/>
        <v>0.2848725635198136</v>
      </c>
      <c r="BA265" s="675">
        <f t="shared" si="842"/>
        <v>0.27902020396270405</v>
      </c>
      <c r="BB265" s="675">
        <f t="shared" si="843"/>
        <v>0.2907249230769231</v>
      </c>
      <c r="BC265" s="674">
        <f t="shared" si="822"/>
        <v>0.2848725635198136</v>
      </c>
      <c r="BD265" s="675">
        <f t="shared" si="844"/>
        <v>0.27902020396270405</v>
      </c>
      <c r="BE265" s="675">
        <f t="shared" si="845"/>
        <v>0.2907249230769231</v>
      </c>
      <c r="BF265" s="674">
        <f t="shared" si="823"/>
        <v>0.2848725635198136</v>
      </c>
      <c r="BG265" s="675">
        <f t="shared" si="846"/>
        <v>0.27902020396270405</v>
      </c>
      <c r="BH265" s="675">
        <f t="shared" si="847"/>
        <v>0.2907249230769231</v>
      </c>
      <c r="BI265" s="674">
        <f t="shared" si="824"/>
        <v>0.2848725635198136</v>
      </c>
      <c r="BJ265" s="675">
        <f t="shared" si="848"/>
        <v>0.27902020396270405</v>
      </c>
      <c r="BK265" s="675">
        <f t="shared" si="849"/>
        <v>0.2907249230769231</v>
      </c>
      <c r="BL265" s="674">
        <f t="shared" si="825"/>
        <v>0.2848725635198136</v>
      </c>
      <c r="BM265" s="675">
        <f t="shared" si="850"/>
        <v>0.27902020396270405</v>
      </c>
      <c r="BN265" s="675">
        <f t="shared" si="851"/>
        <v>0.2907249230769231</v>
      </c>
      <c r="BO265" s="674">
        <f t="shared" si="826"/>
        <v>0.2848725635198136</v>
      </c>
      <c r="BP265" s="675">
        <f t="shared" si="852"/>
        <v>0.27902020396270405</v>
      </c>
      <c r="BQ265" s="675">
        <f t="shared" si="853"/>
        <v>0.2907249230769231</v>
      </c>
      <c r="BR265" s="674">
        <f t="shared" si="827"/>
        <v>0.2848725635198136</v>
      </c>
    </row>
    <row r="266" spans="1:70" outlineLevel="1">
      <c r="A266" s="356"/>
      <c r="B266" s="451" t="s">
        <v>716</v>
      </c>
      <c r="C266" s="57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Y266" s="36"/>
      <c r="Z266" s="36"/>
      <c r="AA266" s="36"/>
      <c r="AB266" s="36"/>
      <c r="AC266" s="36"/>
      <c r="AD266" s="36"/>
      <c r="AE266" s="425"/>
      <c r="AF266" s="425"/>
      <c r="AG266" s="963"/>
      <c r="AH266" s="24"/>
      <c r="AI266" s="36"/>
      <c r="AJ266" s="36"/>
      <c r="AK266" s="24"/>
      <c r="AL266" s="36"/>
      <c r="AM266" s="36"/>
      <c r="AN266" s="24"/>
      <c r="AO266" s="36"/>
      <c r="AP266" s="36"/>
      <c r="AQ266" s="24"/>
      <c r="AR266" s="36"/>
      <c r="AS266" s="36"/>
      <c r="AT266" s="24"/>
      <c r="AU266" s="36"/>
      <c r="AV266" s="36"/>
      <c r="AW266" s="24"/>
      <c r="AX266" s="36"/>
      <c r="AY266" s="36"/>
      <c r="AZ266" s="24"/>
      <c r="BA266" s="36"/>
      <c r="BB266" s="36"/>
      <c r="BC266" s="24"/>
      <c r="BD266" s="36"/>
      <c r="BE266" s="36"/>
      <c r="BF266" s="24"/>
      <c r="BG266" s="36"/>
      <c r="BH266" s="36"/>
      <c r="BI266" s="24"/>
      <c r="BJ266" s="36"/>
      <c r="BK266" s="36"/>
      <c r="BL266" s="24"/>
      <c r="BM266" s="36"/>
      <c r="BN266" s="36"/>
      <c r="BO266" s="24"/>
      <c r="BP266" s="36"/>
      <c r="BQ266" s="36"/>
      <c r="BR266" s="24"/>
    </row>
    <row r="267" spans="1:70" s="30" customFormat="1" outlineLevel="1">
      <c r="B267" s="678"/>
      <c r="C267" s="663" t="s">
        <v>597</v>
      </c>
      <c r="D267" s="31"/>
      <c r="AE267" s="168"/>
      <c r="AF267" s="168"/>
      <c r="AG267" s="964"/>
    </row>
    <row r="268" spans="1:70" s="30" customFormat="1" outlineLevel="1">
      <c r="B268" s="678"/>
      <c r="C268" s="168" t="s">
        <v>714</v>
      </c>
      <c r="D268" s="31"/>
      <c r="T268" s="426"/>
      <c r="U268" s="426"/>
      <c r="V268" s="426"/>
      <c r="W268" s="426"/>
      <c r="X268" s="426"/>
      <c r="Y268" s="426"/>
      <c r="Z268" s="426"/>
      <c r="AA268" s="426"/>
      <c r="AB268" s="426"/>
      <c r="AC268" s="426">
        <f t="shared" ref="AC268:AM268" si="854">(AC279*AC277*AC276)+(AC282*AC280*AC276)+((AC284+AC285)*AC283*AC276)+(AC289*AC287*AC276)+(AC338*AC336)</f>
        <v>0.32479937550939297</v>
      </c>
      <c r="AD268" s="426">
        <f t="shared" si="854"/>
        <v>0.30791296133963308</v>
      </c>
      <c r="AE268" s="426">
        <f t="shared" si="854"/>
        <v>0.31618621417698617</v>
      </c>
      <c r="AF268" s="426">
        <f>(AF279*AF277*AF276)+(AF282*AF280*AF276)+((AF284+AF285)*AF283*AF276)+(AF289*AF287*AF276)+(AF338*AF336)</f>
        <v>0.3241306227185996</v>
      </c>
      <c r="AG268" s="965">
        <f t="shared" si="854"/>
        <v>0.30418690220521621</v>
      </c>
      <c r="AH268" s="426">
        <f>(AH279*AH277*AH276)+(AH282*AH280*AH276)+((AH284+AH285)*AH283*AH276)+(AH289*AH287*AH276)+(AH338*AH336)</f>
        <v>0.3137968110588521</v>
      </c>
      <c r="AI268" s="426">
        <f>(AI279*AI277*AI276)+(AI282*AI280*AI276)+((AI284+AI285)*AI283*AI276)+(AI289*AI287*AI276)+(AI338*AI336)</f>
        <v>0.33263340779754536</v>
      </c>
      <c r="AJ268" s="426">
        <f t="shared" si="854"/>
        <v>0.30831855986496798</v>
      </c>
      <c r="AK268" s="426">
        <f>(AK279*AK277*AK276)+(AK282*AK280*AK276)+((AK284+AK285)*AK283*AK276)+(AK289*AK287*AK276)+(AK338*AK336)</f>
        <v>0.31999817845853334</v>
      </c>
      <c r="AL268" s="426">
        <f>(AL279*AL277*AL276)+(AL282*AL280*AL276)+((AL284+AL285)*AL283*AL276)+(AL289*AL287*AL276)+(AL338*AL336)</f>
        <v>0.33962957980576602</v>
      </c>
      <c r="AM268" s="426">
        <f t="shared" si="854"/>
        <v>0.31499129465754749</v>
      </c>
      <c r="AN268" s="426">
        <f>(AN279*AN277*AN276)+(AN282*AN280*AN276)+((AN284+AN285)*AN283*AN276)+(AN289*AN287*AN276)+(AN338*AN336)</f>
        <v>0.32681135758819974</v>
      </c>
      <c r="AO268" s="426">
        <f>(AO279*AO277*AO276)+(AO282*AO280*AO276)+((AO284+AO285)*AO283*AO276)+(AO289*AO287*AO276)+(AO338*AO336)</f>
        <v>0.34293689241077902</v>
      </c>
      <c r="AP268" s="426">
        <f t="shared" ref="AP268" si="855">(AP279*AP277*AP276)+(AP282*AP280*AP276)+((AP284+AP285)*AP283*AP276)+(AP289*AP287*AP276)+(AP338*AP336)</f>
        <v>0.31781580632161766</v>
      </c>
      <c r="AQ268" s="426">
        <f>(AQ279*AQ277*AQ276)+(AQ282*AQ280*AQ276)+((AQ284+AQ285)*AQ283*AQ276)+(AQ289*AQ287*AQ276)+(AQ338*AQ336)</f>
        <v>0.32989918494869513</v>
      </c>
      <c r="AR268" s="426">
        <f>(AR279*AR277*AR276)+(AR282*AR280*AR276)+((AR284+AR285)*AR283*AR276)+(AR289*AR287*AR276)+(AR338*AR336)</f>
        <v>0.34675152908755058</v>
      </c>
      <c r="AS268" s="426">
        <f t="shared" ref="AS268" si="856">(AS279*AS277*AS276)+(AS282*AS280*AS276)+((AS284+AS285)*AS283*AS276)+(AS289*AS287*AS276)+(AS338*AS336)</f>
        <v>0.32131931766576594</v>
      </c>
      <c r="AT268" s="426">
        <f>(AT279*AT277*AT276)+(AT282*AT280*AT276)+((AT284+AT285)*AT283*AT276)+(AT289*AT287*AT276)+(AT338*AT336)</f>
        <v>0.33354844079704976</v>
      </c>
      <c r="AU268" s="426">
        <f>(AU279*AU277*AU276)+(AU282*AU280*AU276)+((AU284+AU285)*AU283*AU276)+(AU289*AU287*AU276)+(AU338*AU336)</f>
        <v>0.35060549630957638</v>
      </c>
      <c r="AV268" s="426">
        <f t="shared" ref="AV268" si="857">(AV279*AV277*AV276)+(AV282*AV280*AV276)+((AV284+AV285)*AV283*AV276)+(AV289*AV287*AV276)+(AV338*AV336)</f>
        <v>0.32486172569018684</v>
      </c>
      <c r="AW268" s="426">
        <f>(AW279*AW277*AW276)+(AW282*AW280*AW276)+((AW284+AW285)*AW283*AW276)+(AW289*AW287*AW276)+(AW338*AW336)</f>
        <v>0.33723680121596616</v>
      </c>
      <c r="AX268" s="426">
        <f>(AX279*AX277*AX276)+(AX282*AX280*AX276)+((AX284+AX285)*AX283*AX276)+(AX289*AX287*AX276)+(AX338*AX336)</f>
        <v>0.35449840213013917</v>
      </c>
      <c r="AY268" s="426">
        <f t="shared" ref="AY268" si="858">(AY279*AY277*AY276)+(AY282*AY280*AY276)+((AY284+AY285)*AY283*AY276)+(AY289*AY287*AY276)+(AY338*AY336)</f>
        <v>0.32844273559553439</v>
      </c>
      <c r="AZ268" s="426">
        <f>(AZ279*AZ277*AZ276)+(AZ282*AZ280*AZ276)+((AZ284+AZ285)*AZ283*AZ276)+(AZ289*AZ287*AZ276)+(AZ338*AZ336)</f>
        <v>0.34096392723429192</v>
      </c>
      <c r="BA268" s="426">
        <f>(BA279*BA277*BA276)+(BA282*BA280*BA276)+((BA284+BA285)*BA283*BA276)+(BA289*BA287*BA276)+(BA338*BA336)</f>
        <v>0.35842981945286212</v>
      </c>
      <c r="BB268" s="426">
        <f t="shared" ref="BB268" si="859">(BB279*BB277*BB276)+(BB282*BB280*BB276)+((BB284+BB285)*BB283*BB276)+(BB289*BB287*BB276)+(BB338*BB336)</f>
        <v>0.33206202196773354</v>
      </c>
      <c r="BC268" s="426">
        <f>(BC279*BC277*BC276)+(BC282*BC280*BC276)+((BC284+BC285)*BC283*BC276)+(BC289*BC287*BC276)+(BC338*BC336)</f>
        <v>0.34472944711412595</v>
      </c>
      <c r="BD268" s="426">
        <f>(BD279*BD277*BD276)+(BD282*BD280*BD276)+((BD284+BD285)*BD283*BD276)+(BD289*BD287*BD276)+(BD338*BD336)</f>
        <v>0.36239928623179368</v>
      </c>
      <c r="BE268" s="426">
        <f t="shared" ref="BE268" si="860">(BE279*BE277*BE276)+(BE282*BE280*BE276)+((BE284+BE285)*BE283*BE276)+(BE289*BE287*BE276)+(BE338*BE336)</f>
        <v>0.33571922893098727</v>
      </c>
      <c r="BF268" s="426">
        <f>(BF279*BF277*BF276)+(BF282*BF280*BF276)+((BF284+BF285)*BF283*BF276)+(BF289*BF287*BF276)+(BF338*BF336)</f>
        <v>0.3485329565257515</v>
      </c>
      <c r="BG268" s="426">
        <f>(BG279*BG277*BG276)+(BG282*BG280*BG276)+((BG284+BG285)*BG283*BG276)+(BG289*BG287*BG276)+(BG338*BG336)</f>
        <v>0.36640630572605487</v>
      </c>
      <c r="BH268" s="426">
        <f t="shared" ref="BH268" si="861">(BH279*BH277*BH276)+(BH282*BH280*BH276)+((BH284+BH285)*BH283*BH276)+(BH289*BH287*BH276)+(BH338*BH336)</f>
        <v>0.33941397034312593</v>
      </c>
      <c r="BI268" s="426">
        <f>(BI279*BI277*BI276)+(BI282*BI280*BI276)+((BI284+BI285)*BI283*BI276)+(BI289*BI287*BI276)+(BI338*BI336)</f>
        <v>0.35237401877055491</v>
      </c>
      <c r="BJ268" s="426">
        <f>(BJ279*BJ277*BJ276)+(BJ282*BJ280*BJ276)+((BJ284+BJ285)*BJ283*BJ276)+(BJ289*BJ287*BJ276)+(BJ338*BJ336)</f>
        <v>0.37045034680880456</v>
      </c>
      <c r="BK268" s="426">
        <f t="shared" ref="BK268" si="862">(BK279*BK277*BK276)+(BK282*BK280*BK276)+((BK284+BK285)*BK283*BK276)+(BK289*BK287*BK276)+(BK338*BK336)</f>
        <v>0.34314583003310889</v>
      </c>
      <c r="BL268" s="426">
        <f>(BL279*BL277*BL276)+(BL282*BL280*BL276)+((BL284+BL285)*BL283*BL276)+(BL289*BL287*BL276)+(BL338*BL336)</f>
        <v>0.35625216505170626</v>
      </c>
      <c r="BM268" s="426">
        <f>(BM279*BM277*BM276)+(BM282*BM280*BM276)+((BM284+BM285)*BM283*BM276)+(BM289*BM287*BM276)+(BM338*BM336)</f>
        <v>0.37453084433016914</v>
      </c>
      <c r="BN268" s="426">
        <f t="shared" ref="BN268" si="863">(BN279*BN277*BN276)+(BN282*BN280*BN276)+((BN284+BN285)*BN283*BN276)+(BN289*BN287*BN276)+(BN338*BN336)</f>
        <v>0.34691436208040749</v>
      </c>
      <c r="BO268" s="426">
        <f>(BO279*BO277*BO276)+(BO282*BO280*BO276)+((BO284+BO285)*BO283*BO276)+(BO289*BO287*BO276)+(BO338*BO336)</f>
        <v>0.36016689479229452</v>
      </c>
      <c r="BP268" s="426">
        <f>(BP279*BP277*BP276)+(BP282*BP280*BP276)+((BP284+BP285)*BP283*BP276)+(BP289*BP287*BP276)+(BP338*BP336)</f>
        <v>0.37864719953366766</v>
      </c>
      <c r="BQ268" s="426">
        <f t="shared" ref="BQ268" si="864">(BQ279*BQ277*BQ276)+(BQ282*BQ280*BQ276)+((BQ284+BQ285)*BQ283*BQ276)+(BQ289*BQ287*BQ276)+(BQ338*BQ336)</f>
        <v>0.3507190911359202</v>
      </c>
      <c r="BR268" s="426">
        <f>(BR279*BR277*BR276)+(BR282*BR280*BR276)+((BR284+BR285)*BR283*BR276)+(BR289*BR287*BR276)+(BR338*BR336)</f>
        <v>0.36411767600050293</v>
      </c>
    </row>
    <row r="269" spans="1:70" s="30" customFormat="1" outlineLevel="1">
      <c r="B269" s="678"/>
      <c r="C269" s="658" t="s">
        <v>702</v>
      </c>
      <c r="D269" s="31"/>
      <c r="T269" s="426"/>
      <c r="U269" s="426"/>
      <c r="V269" s="426"/>
      <c r="W269" s="426"/>
      <c r="X269" s="426"/>
      <c r="Y269" s="426"/>
      <c r="Z269" s="426"/>
      <c r="AA269" s="426"/>
      <c r="AB269" s="426"/>
      <c r="AC269" s="426">
        <f t="shared" ref="AC269:AM269" si="865">((AC279*AC277*AC276)+(AC282*AC280*AC276)+((AC284+AC285)*AC283*AC276)+(AC289*AC287*AC276))/((AC279*AC277*AC276)+(AC282*AC280*AC276)+((AC284+AC285)*AC283*AC276)+(AC289*AC287*AC276)+(AC338*AC336))</f>
        <v>0.81465736537443434</v>
      </c>
      <c r="AD269" s="426">
        <f t="shared" si="865"/>
        <v>0.82623033182885186</v>
      </c>
      <c r="AE269" s="426">
        <f t="shared" si="865"/>
        <v>0.82038640066455681</v>
      </c>
      <c r="AF269" s="426">
        <f>((AF279*AF277*AF276)+(AF282*AF280*AF276)+((AF284+AF285)*AF283*AF276)+(AF289*AF287*AF276))/((AF279*AF277*AF276)+(AF282*AF280*AF276)+((AF284+AF285)*AF283*AF276)+(AF289*AF287*AF276)+(AF338*AF336))</f>
        <v>0.80882105356245182</v>
      </c>
      <c r="AG269" s="965">
        <f t="shared" si="865"/>
        <v>0.82555848103502738</v>
      </c>
      <c r="AH269" s="426">
        <f>((AH279*AH277*AH276)+(AH282*AH280*AH276)+((AH284+AH285)*AH283*AH276)+(AH289*AH287*AH276))/((AH279*AH277*AH276)+(AH282*AH280*AH276)+((AH284+AH285)*AH283*AH276)+(AH289*AH287*AH276)+(AH338*AH336))</f>
        <v>0.81730897312516315</v>
      </c>
      <c r="AI269" s="426">
        <f>((AI279*AI277*AI276)+(AI282*AI280*AI276)+((AI284+AI285)*AI283*AI276)+(AI289*AI287*AI276))/((AI279*AI277*AI276)+(AI282*AI280*AI276)+((AI284+AI285)*AI283*AI276)+(AI289*AI287*AI276)+(AI338*AI336))</f>
        <v>0.80796811863284712</v>
      </c>
      <c r="AJ269" s="426">
        <f t="shared" si="865"/>
        <v>0.82396471098653978</v>
      </c>
      <c r="AK269" s="426">
        <f>((AK279*AK277*AK276)+(AK282*AK280*AK276)+((AK284+AK285)*AK283*AK276)+(AK289*AK287*AK276))/((AK279*AK277*AK276)+(AK282*AK280*AK276)+((AK284+AK285)*AK283*AK276)+(AK289*AK287*AK276)+(AK338*AK336))</f>
        <v>0.81622564348995119</v>
      </c>
      <c r="AL269" s="426">
        <f>((AL279*AL277*AL276)+(AL282*AL280*AL276)+((AL284+AL285)*AL283*AL276)+(AL289*AL287*AL276))/((AL279*AL277*AL276)+(AL282*AL280*AL276)+((AL284+AL285)*AL283*AL276)+(AL289*AL287*AL276)+(AL338*AL336))</f>
        <v>0.80505052794969445</v>
      </c>
      <c r="AM269" s="426">
        <f t="shared" si="865"/>
        <v>0.8201456892241511</v>
      </c>
      <c r="AN269" s="426">
        <f>((AN279*AN277*AN276)+(AN282*AN280*AN276)+((AN284+AN285)*AN283*AN276)+(AN289*AN287*AN276))/((AN279*AN277*AN276)+(AN282*AN280*AN276)+((AN284+AN285)*AN283*AN276)+(AN289*AN287*AN276)+(AN338*AN336))</f>
        <v>0.81267207346610826</v>
      </c>
      <c r="AO269" s="426">
        <f>((AO279*AO277*AO276)+(AO282*AO280*AO276)+((AO284+AO285)*AO283*AO276)+(AO289*AO287*AO276))/((AO279*AO277*AO276)+(AO282*AO280*AO276)+((AO284+AO285)*AO283*AO276)+(AO289*AO287*AO276)+(AO338*AO336))</f>
        <v>0.80192618850058739</v>
      </c>
      <c r="AP269" s="426">
        <f t="shared" ref="AP269" si="866">((AP279*AP277*AP276)+(AP282*AP280*AP276)+((AP284+AP285)*AP283*AP276)+(AP289*AP287*AP276))/((AP279*AP277*AP276)+(AP282*AP280*AP276)+((AP284+AP285)*AP283*AP276)+(AP289*AP287*AP276)+(AP338*AP336))</f>
        <v>0.8187102499133565</v>
      </c>
      <c r="AQ269" s="426">
        <f>((AQ279*AQ277*AQ276)+(AQ282*AQ280*AQ276)+((AQ284+AQ285)*AQ283*AQ276)+(AQ289*AQ287*AQ276))/((AQ279*AQ277*AQ276)+(AQ282*AQ280*AQ276)+((AQ284+AQ285)*AQ283*AQ276)+(AQ289*AQ287*AQ276)+(AQ338*AQ336))</f>
        <v>0.81038457200795866</v>
      </c>
      <c r="AR269" s="426">
        <f>((AR279*AR277*AR276)+(AR282*AR280*AR276)+((AR284+AR285)*AR283*AR276)+(AR289*AR287*AR276))/((AR279*AR277*AR276)+(AR282*AR280*AR276)+((AR284+AR285)*AR283*AR276)+(AR289*AR287*AR276)+(AR338*AR336))</f>
        <v>0.80091208015938842</v>
      </c>
      <c r="AS269" s="426">
        <f t="shared" ref="AS269" si="867">((AS279*AS277*AS276)+(AS282*AS280*AS276)+((AS284+AS285)*AS283*AS276)+(AS289*AS287*AS276))/((AS279*AS277*AS276)+(AS282*AS280*AS276)+((AS284+AS285)*AS283*AS276)+(AS289*AS287*AS276)+(AS338*AS336))</f>
        <v>0.8178490129337842</v>
      </c>
      <c r="AT269" s="426">
        <f>((AT279*AT277*AT276)+(AT282*AT280*AT276)+((AT284+AT285)*AT283*AT276)+(AT289*AT287*AT276))/((AT279*AT277*AT276)+(AT282*AT280*AT276)+((AT284+AT285)*AT283*AT276)+(AT289*AT287*AT276)+(AT338*AT336))</f>
        <v>0.80944842832402686</v>
      </c>
      <c r="AU269" s="426">
        <f>((AU279*AU277*AU276)+(AU282*AU280*AU276)+((AU284+AU285)*AU283*AU276)+(AU289*AU287*AU276))/((AU279*AU277*AU276)+(AU282*AU280*AU276)+((AU284+AU285)*AU283*AU276)+(AU289*AU287*AU276)+(AU338*AU336))</f>
        <v>0.79994043279615179</v>
      </c>
      <c r="AV269" s="426">
        <f t="shared" ref="AV269" si="868">((AV279*AV277*AV276)+(AV282*AV280*AV276)+((AV284+AV285)*AV283*AV276)+(AV289*AV287*AV276))/((AV279*AV277*AV276)+(AV282*AV280*AV276)+((AV284+AV285)*AV283*AV276)+(AV289*AV287*AV276)+(AV338*AV336))</f>
        <v>0.81702672457798176</v>
      </c>
      <c r="AW269" s="426">
        <f>((AW279*AW277*AW276)+(AW282*AW280*AW276)+((AW284+AW285)*AW283*AW276)+(AW289*AW287*AW276))/((AW279*AW277*AW276)+(AW282*AW280*AW276)+((AW284+AW285)*AW283*AW276)+(AW289*AW287*AW276)+(AW338*AW336))</f>
        <v>0.80855298787701269</v>
      </c>
      <c r="AX269" s="426">
        <f>((AX279*AX277*AX276)+(AX282*AX280*AX276)+((AX284+AX285)*AX283*AX276)+(AX289*AX287*AX276))/((AX279*AX277*AX276)+(AX282*AX280*AX276)+((AX284+AX285)*AX283*AX276)+(AX289*AX287*AX276)+(AX338*AX336))</f>
        <v>0.79901142532962155</v>
      </c>
      <c r="AY269" s="426">
        <f t="shared" ref="AY269" si="869">((AY279*AY277*AY276)+(AY282*AY280*AY276)+((AY284+AY285)*AY283*AY276)+(AY289*AY287*AY276))/((AY279*AY277*AY276)+(AY282*AY280*AY276)+((AY284+AY285)*AY283*AY276)+(AY289*AY287*AY276)+(AY338*AY336))</f>
        <v>0.81624349950559438</v>
      </c>
      <c r="AZ269" s="426">
        <f>((AZ279*AZ277*AZ276)+(AZ282*AZ280*AZ276)+((AZ284+AZ285)*AZ283*AZ276)+(AZ289*AZ287*AZ276))/((AZ279*AZ277*AZ276)+(AZ282*AZ280*AZ276)+((AZ284+AZ285)*AZ283*AZ276)+(AZ289*AZ287*AZ276)+(AZ338*AZ336))</f>
        <v>0.80769839652321118</v>
      </c>
      <c r="BA269" s="426">
        <f>((BA279*BA277*BA276)+(BA282*BA280*BA276)+((BA284+BA285)*BA283*BA276)+(BA289*BA287*BA276))/((BA279*BA277*BA276)+(BA282*BA280*BA276)+((BA284+BA285)*BA283*BA276)+(BA289*BA287*BA276)+(BA338*BA336))</f>
        <v>0.79812519638206436</v>
      </c>
      <c r="BB269" s="426">
        <f t="shared" ref="BB269" si="870">((BB279*BB277*BB276)+(BB282*BB280*BB276)+((BB284+BB285)*BB283*BB276)+(BB289*BB287*BB276))/((BB279*BB277*BB276)+(BB282*BB280*BB276)+((BB284+BB285)*BB283*BB276)+(BB289*BB287*BB276)+(BB338*BB336))</f>
        <v>0.8154994168041273</v>
      </c>
      <c r="BC269" s="426">
        <f>((BC279*BC277*BC276)+(BC282*BC280*BC276)+((BC284+BC285)*BC283*BC276)+(BC289*BC287*BC276))/((BC279*BC277*BC276)+(BC282*BC280*BC276)+((BC284+BC285)*BC283*BC276)+(BC289*BC287*BC276)+(BC338*BC336))</f>
        <v>0.80688476220928262</v>
      </c>
      <c r="BD269" s="426">
        <f>((BD279*BD277*BD276)+(BD282*BD280*BD276)+((BD284+BD285)*BD283*BD276)+(BD289*BD287*BD276))/((BD279*BD277*BD276)+(BD282*BD280*BD276)+((BD284+BD285)*BD283*BD276)+(BD289*BD287*BD276)+(BD338*BD336))</f>
        <v>0.79728184518030543</v>
      </c>
      <c r="BE269" s="426">
        <f t="shared" ref="BE269" si="871">((BE279*BE277*BE276)+(BE282*BE280*BE276)+((BE284+BE285)*BE283*BE276)+(BE289*BE287*BE276))/((BE279*BE277*BE276)+(BE282*BE280*BE276)+((BE284+BE285)*BE283*BE276)+(BE289*BE287*BE276)+(BE338*BE336))</f>
        <v>0.81479452085977389</v>
      </c>
      <c r="BF269" s="426">
        <f>((BF279*BF277*BF276)+(BF282*BF280*BF276)+((BF284+BF285)*BF283*BF276)+(BF289*BF287*BF276))/((BF279*BF277*BF276)+(BF282*BF280*BF276)+((BF284+BF285)*BF283*BF276)+(BF289*BF287*BF276)+(BF338*BF336))</f>
        <v>0.8061121558594041</v>
      </c>
      <c r="BG269" s="426">
        <f>((BG279*BG277*BG276)+(BG282*BG280*BG276)+((BG284+BG285)*BG283*BG276)+(BG289*BG287*BG276))/((BG279*BG277*BG276)+(BG282*BG280*BG276)+((BG284+BG285)*BG283*BG276)+(BG289*BG287*BG276)+(BG338*BG336))</f>
        <v>0.7964814325134173</v>
      </c>
      <c r="BH269" s="426">
        <f t="shared" ref="BH269" si="872">((BH279*BH277*BH276)+(BH282*BH280*BH276)+((BH284+BH285)*BH283*BH276)+(BH289*BH287*BH276))/((BH279*BH277*BH276)+(BH282*BH280*BH276)+((BH284+BH285)*BH283*BH276)+(BH289*BH287*BH276)+(BH338*BH336))</f>
        <v>0.81412882227266647</v>
      </c>
      <c r="BI269" s="426">
        <f>((BI279*BI277*BI276)+(BI282*BI280*BI276)+((BI284+BI285)*BI283*BI276)+(BI289*BI287*BI276))/((BI279*BI277*BI276)+(BI282*BI280*BI276)+((BI284+BI285)*BI283*BI276)+(BI289*BI287*BI276)+(BI338*BI336))</f>
        <v>0.80538061231278435</v>
      </c>
      <c r="BJ269" s="426">
        <f>((BJ279*BJ277*BJ276)+(BJ282*BJ280*BJ276)+((BJ284+BJ285)*BJ283*BJ276)+(BJ289*BJ287*BJ276))/((BJ279*BJ277*BJ276)+(BJ282*BJ280*BJ276)+((BJ284+BJ285)*BJ283*BJ276)+(BJ289*BJ287*BJ276)+(BJ338*BJ336))</f>
        <v>0.79572398174103709</v>
      </c>
      <c r="BK269" s="426">
        <f t="shared" ref="BK269" si="873">((BK279*BK277*BK276)+(BK282*BK280*BK276)+((BK284+BK285)*BK283*BK276)+(BK289*BK287*BK276))/((BK279*BK277*BK276)+(BK282*BK280*BK276)+((BK284+BK285)*BK283*BK276)+(BK289*BK287*BK276)+(BK338*BK336))</f>
        <v>0.81350229881127667</v>
      </c>
      <c r="BL269" s="426">
        <f>((BL279*BL277*BL276)+(BL282*BL280*BL276)+((BL284+BL285)*BL283*BL276)+(BL289*BL287*BL276))/((BL279*BL277*BL276)+(BL282*BL280*BL276)+((BL284+BL285)*BL283*BL276)+(BL289*BL287*BL276)+(BL338*BL336))</f>
        <v>0.80469013130589673</v>
      </c>
      <c r="BM269" s="426">
        <f>((BM279*BM277*BM276)+(BM282*BM280*BM276)+((BM284+BM285)*BM283*BM276)+(BM289*BM287*BM276))/((BM279*BM277*BM276)+(BM282*BM280*BM276)+((BM284+BM285)*BM283*BM276)+(BM289*BM287*BM276)+(BM338*BM336))</f>
        <v>0.79500947984637715</v>
      </c>
      <c r="BN269" s="426">
        <f t="shared" ref="BN269" si="874">((BN279*BN277*BN276)+(BN282*BN280*BN276)+((BN284+BN285)*BN283*BN276)+(BN289*BN287*BN276))/((BN279*BN277*BN276)+(BN282*BN280*BN276)+((BN284+BN285)*BN283*BN276)+(BN289*BN287*BN276)+(BN338*BN336))</f>
        <v>0.81291489640080827</v>
      </c>
      <c r="BO269" s="426">
        <f>((BO279*BO277*BO276)+(BO282*BO280*BO276)+((BO284+BO285)*BO283*BO276)+(BO289*BO287*BO276))/((BO279*BO277*BO276)+(BO282*BO280*BO276)+((BO284+BO285)*BO283*BO276)+(BO289*BO287*BO276)+(BO338*BO336))</f>
        <v>0.8040406784938896</v>
      </c>
      <c r="BP269" s="426">
        <f>((BP279*BP277*BP276)+(BP282*BP280*BP276)+((BP284+BP285)*BP283*BP276)+(BP289*BP287*BP276))/((BP279*BP277*BP276)+(BP282*BP280*BP276)+((BP284+BP285)*BP283*BP276)+(BP289*BP287*BP276)+(BP338*BP336))</f>
        <v>0.79433787852811455</v>
      </c>
      <c r="BQ269" s="426">
        <f t="shared" ref="BQ269" si="875">((BQ279*BQ277*BQ276)+(BQ282*BQ280*BQ276)+((BQ284+BQ285)*BQ283*BQ276)+(BQ289*BQ287*BQ276))/((BQ279*BQ277*BQ276)+(BQ282*BQ280*BQ276)+((BQ284+BQ285)*BQ283*BQ276)+(BQ289*BQ287*BQ276)+(BQ338*BQ336))</f>
        <v>0.8123665301405586</v>
      </c>
      <c r="BR269" s="426">
        <f>((BR279*BR277*BR276)+(BR282*BR280*BR276)+((BR284+BR285)*BR283*BR276)+(BR289*BR287*BR276))/((BR279*BR277*BR276)+(BR282*BR280*BR276)+((BR284+BR285)*BR283*BR276)+(BR289*BR287*BR276)+(BR338*BR336))</f>
        <v>0.80343218650575665</v>
      </c>
    </row>
    <row r="270" spans="1:70" s="30" customFormat="1" outlineLevel="1">
      <c r="B270" s="678"/>
      <c r="C270" s="658" t="s">
        <v>703</v>
      </c>
      <c r="D270" s="31"/>
      <c r="T270" s="426"/>
      <c r="U270" s="426"/>
      <c r="V270" s="426"/>
      <c r="W270" s="426"/>
      <c r="X270" s="426"/>
      <c r="Y270" s="426"/>
      <c r="Z270" s="426"/>
      <c r="AA270" s="426"/>
      <c r="AB270" s="426"/>
      <c r="AC270" s="426">
        <f t="shared" ref="AC270:AM270" si="876">(AC338*AC336)/((AC279*AC277*AC276)+(AC282*AC280*AC276)+((AC284+AC285)*AC283*AC276)+(AC289*AC287*AC276)+(AC338*AC336))</f>
        <v>0.18534263462556566</v>
      </c>
      <c r="AD270" s="426">
        <f t="shared" si="876"/>
        <v>0.17376966817114811</v>
      </c>
      <c r="AE270" s="426">
        <f t="shared" si="876"/>
        <v>0.17961359933544319</v>
      </c>
      <c r="AF270" s="426">
        <f>(AF338*AF336)/((AF279*AF277*AF276)+(AF282*AF280*AF276)+((AF284+AF285)*AF283*AF276)+(AF289*AF287*AF276)+(AF338*AF336))</f>
        <v>0.19117894643754813</v>
      </c>
      <c r="AG270" s="965">
        <f t="shared" si="876"/>
        <v>0.1744415189649727</v>
      </c>
      <c r="AH270" s="426">
        <f>(AH338*AH336)/((AH279*AH277*AH276)+(AH282*AH280*AH276)+((AH284+AH285)*AH283*AH276)+(AH289*AH287*AH276)+(AH338*AH336))</f>
        <v>0.18269102687483685</v>
      </c>
      <c r="AI270" s="426">
        <f>(AI338*AI336)/((AI279*AI277*AI276)+(AI282*AI280*AI276)+((AI284+AI285)*AI283*AI276)+(AI289*AI287*AI276)+(AI338*AI336))</f>
        <v>0.19203188136715291</v>
      </c>
      <c r="AJ270" s="426">
        <f t="shared" si="876"/>
        <v>0.17603528901346027</v>
      </c>
      <c r="AK270" s="426">
        <f>(AK338*AK336)/((AK279*AK277*AK276)+(AK282*AK280*AK276)+((AK284+AK285)*AK283*AK276)+(AK289*AK287*AK276)+(AK338*AK336))</f>
        <v>0.1837743565100487</v>
      </c>
      <c r="AL270" s="426">
        <f>(AL338*AL336)/((AL279*AL277*AL276)+(AL282*AL280*AL276)+((AL284+AL285)*AL283*AL276)+(AL289*AL287*AL276)+(AL338*AL336))</f>
        <v>0.19494947205030552</v>
      </c>
      <c r="AM270" s="426">
        <f t="shared" si="876"/>
        <v>0.17985431077584904</v>
      </c>
      <c r="AN270" s="426">
        <f>(AN338*AN336)/((AN279*AN277*AN276)+(AN282*AN280*AN276)+((AN284+AN285)*AN283*AN276)+(AN289*AN287*AN276)+(AN338*AN336))</f>
        <v>0.18732792653389174</v>
      </c>
      <c r="AO270" s="426">
        <f>(AO338*AO336)/((AO279*AO277*AO276)+(AO282*AO280*AO276)+((AO284+AO285)*AO283*AO276)+(AO289*AO287*AO276)+(AO338*AO336))</f>
        <v>0.19807381149941261</v>
      </c>
      <c r="AP270" s="426">
        <f t="shared" ref="AP270" si="877">(AP338*AP336)/((AP279*AP277*AP276)+(AP282*AP280*AP276)+((AP284+AP285)*AP283*AP276)+(AP289*AP287*AP276)+(AP338*AP336))</f>
        <v>0.1812897500866435</v>
      </c>
      <c r="AQ270" s="426">
        <f>(AQ338*AQ336)/((AQ279*AQ277*AQ276)+(AQ282*AQ280*AQ276)+((AQ284+AQ285)*AQ283*AQ276)+(AQ289*AQ287*AQ276)+(AQ338*AQ336))</f>
        <v>0.1896154279920414</v>
      </c>
      <c r="AR270" s="426">
        <f>(AR338*AR336)/((AR279*AR277*AR276)+(AR282*AR280*AR276)+((AR284+AR285)*AR283*AR276)+(AR289*AR287*AR276)+(AR338*AR336))</f>
        <v>0.19908791984061161</v>
      </c>
      <c r="AS270" s="426">
        <f t="shared" ref="AS270" si="878">(AS338*AS336)/((AS279*AS277*AS276)+(AS282*AS280*AS276)+((AS284+AS285)*AS283*AS276)+(AS289*AS287*AS276)+(AS338*AS336))</f>
        <v>0.18215098706621582</v>
      </c>
      <c r="AT270" s="426">
        <f>(AT338*AT336)/((AT279*AT277*AT276)+(AT282*AT280*AT276)+((AT284+AT285)*AT283*AT276)+(AT289*AT287*AT276)+(AT338*AT336))</f>
        <v>0.19055157167597317</v>
      </c>
      <c r="AU270" s="426">
        <f>(AU338*AU336)/((AU279*AU277*AU276)+(AU282*AU280*AU276)+((AU284+AU285)*AU283*AU276)+(AU289*AU287*AU276)+(AU338*AU336))</f>
        <v>0.20005956720384827</v>
      </c>
      <c r="AV270" s="426">
        <f t="shared" ref="AV270" si="879">(AV338*AV336)/((AV279*AV277*AV276)+(AV282*AV280*AV276)+((AV284+AV285)*AV283*AV276)+(AV289*AV287*AV276)+(AV338*AV336))</f>
        <v>0.1829732754220183</v>
      </c>
      <c r="AW270" s="426">
        <f>(AW338*AW336)/((AW279*AW277*AW276)+(AW282*AW280*AW276)+((AW284+AW285)*AW283*AW276)+(AW289*AW287*AW276)+(AW338*AW336))</f>
        <v>0.19144701212298731</v>
      </c>
      <c r="AX270" s="426">
        <f>(AX338*AX336)/((AX279*AX277*AX276)+(AX282*AX280*AX276)+((AX284+AX285)*AX283*AX276)+(AX289*AX287*AX276)+(AX338*AX336))</f>
        <v>0.20098857467037834</v>
      </c>
      <c r="AY270" s="426">
        <f t="shared" ref="AY270" si="880">(AY338*AY336)/((AY279*AY277*AY276)+(AY282*AY280*AY276)+((AY284+AY285)*AY283*AY276)+(AY289*AY287*AY276)+(AY338*AY336))</f>
        <v>0.18375650049440559</v>
      </c>
      <c r="AZ270" s="426">
        <f>(AZ338*AZ336)/((AZ279*AZ277*AZ276)+(AZ282*AZ280*AZ276)+((AZ284+AZ285)*AZ283*AZ276)+(AZ289*AZ287*AZ276)+(AZ338*AZ336))</f>
        <v>0.19230160347678879</v>
      </c>
      <c r="BA270" s="426">
        <f>(BA338*BA336)/((BA279*BA277*BA276)+(BA282*BA280*BA276)+((BA284+BA285)*BA283*BA276)+(BA289*BA287*BA276)+(BA338*BA336))</f>
        <v>0.20187480361793556</v>
      </c>
      <c r="BB270" s="426">
        <f t="shared" ref="BB270" si="881">(BB338*BB336)/((BB279*BB277*BB276)+(BB282*BB280*BB276)+((BB284+BB285)*BB283*BB276)+(BB289*BB287*BB276)+(BB338*BB336))</f>
        <v>0.18450058319587267</v>
      </c>
      <c r="BC270" s="426">
        <f>(BC338*BC336)/((BC279*BC277*BC276)+(BC282*BC280*BC276)+((BC284+BC285)*BC283*BC276)+(BC289*BC287*BC276)+(BC338*BC336))</f>
        <v>0.19311523779071735</v>
      </c>
      <c r="BD270" s="426">
        <f>(BD338*BD336)/((BD279*BD277*BD276)+(BD282*BD280*BD276)+((BD284+BD285)*BD283*BD276)+(BD289*BD287*BD276)+(BD338*BD336))</f>
        <v>0.20271815481969463</v>
      </c>
      <c r="BE270" s="426">
        <f t="shared" ref="BE270" si="882">(BE338*BE336)/((BE279*BE277*BE276)+(BE282*BE280*BE276)+((BE284+BE285)*BE283*BE276)+(BE289*BE287*BE276)+(BE338*BE336))</f>
        <v>0.185205479140226</v>
      </c>
      <c r="BF270" s="426">
        <f>(BF338*BF336)/((BF279*BF277*BF276)+(BF282*BF280*BF276)+((BF284+BF285)*BF283*BF276)+(BF289*BF287*BF276)+(BF338*BF336))</f>
        <v>0.1938878441405959</v>
      </c>
      <c r="BG270" s="426">
        <f>(BG338*BG336)/((BG279*BG277*BG276)+(BG282*BG280*BG276)+((BG284+BG285)*BG283*BG276)+(BG289*BG287*BG276)+(BG338*BG336))</f>
        <v>0.20351856748658273</v>
      </c>
      <c r="BH270" s="426">
        <f t="shared" ref="BH270" si="883">(BH338*BH336)/((BH279*BH277*BH276)+(BH282*BH280*BH276)+((BH284+BH285)*BH283*BH276)+(BH289*BH287*BH276)+(BH338*BH336))</f>
        <v>0.18587117772733341</v>
      </c>
      <c r="BI270" s="426">
        <f>(BI338*BI336)/((BI279*BI277*BI276)+(BI282*BI280*BI276)+((BI284+BI285)*BI283*BI276)+(BI289*BI287*BI276)+(BI338*BI336))</f>
        <v>0.19461938768721568</v>
      </c>
      <c r="BJ270" s="426">
        <f>(BJ338*BJ336)/((BJ279*BJ277*BJ276)+(BJ282*BJ280*BJ276)+((BJ284+BJ285)*BJ283*BJ276)+(BJ289*BJ287*BJ276)+(BJ338*BJ336))</f>
        <v>0.20427601825896283</v>
      </c>
      <c r="BK270" s="426">
        <f t="shared" ref="BK270" si="884">(BK338*BK336)/((BK279*BK277*BK276)+(BK282*BK280*BK276)+((BK284+BK285)*BK283*BK276)+(BK289*BK287*BK276)+(BK338*BK336))</f>
        <v>0.18649770118872339</v>
      </c>
      <c r="BL270" s="426">
        <f>(BL338*BL336)/((BL279*BL277*BL276)+(BL282*BL280*BL276)+((BL284+BL285)*BL283*BL276)+(BL289*BL287*BL276)+(BL338*BL336))</f>
        <v>0.19530986869410324</v>
      </c>
      <c r="BM270" s="426">
        <f>(BM338*BM336)/((BM279*BM277*BM276)+(BM282*BM280*BM276)+((BM284+BM285)*BM283*BM276)+(BM289*BM287*BM276)+(BM338*BM336))</f>
        <v>0.20499052015362279</v>
      </c>
      <c r="BN270" s="426">
        <f t="shared" ref="BN270" si="885">(BN338*BN336)/((BN279*BN277*BN276)+(BN282*BN280*BN276)+((BN284+BN285)*BN283*BN276)+(BN289*BN287*BN276)+(BN338*BN336))</f>
        <v>0.18708510359919164</v>
      </c>
      <c r="BO270" s="426">
        <f>(BO338*BO336)/((BO279*BO277*BO276)+(BO282*BO280*BO276)+((BO284+BO285)*BO283*BO276)+(BO289*BO287*BO276)+(BO338*BO336))</f>
        <v>0.19595932150611031</v>
      </c>
      <c r="BP270" s="426">
        <f>(BP338*BP336)/((BP279*BP277*BP276)+(BP282*BP280*BP276)+((BP284+BP285)*BP283*BP276)+(BP289*BP287*BP276)+(BP338*BP336))</f>
        <v>0.20566212147188542</v>
      </c>
      <c r="BQ270" s="426">
        <f t="shared" ref="BQ270" si="886">(BQ338*BQ336)/((BQ279*BQ277*BQ276)+(BQ282*BQ280*BQ276)+((BQ284+BQ285)*BQ283*BQ276)+(BQ289*BQ287*BQ276)+(BQ338*BQ336))</f>
        <v>0.18763346985944135</v>
      </c>
      <c r="BR270" s="426">
        <f>(BR338*BR336)/((BR279*BR277*BR276)+(BR282*BR280*BR276)+((BR284+BR285)*BR283*BR276)+(BR289*BR287*BR276)+(BR338*BR336))</f>
        <v>0.19656781349424338</v>
      </c>
    </row>
    <row r="271" spans="1:70" s="30" customFormat="1" outlineLevel="1">
      <c r="B271" s="678"/>
      <c r="C271" s="168" t="s">
        <v>715</v>
      </c>
      <c r="D271" s="31"/>
      <c r="T271" s="426"/>
      <c r="U271" s="426"/>
      <c r="V271" s="426"/>
      <c r="W271" s="426"/>
      <c r="X271" s="426"/>
      <c r="Y271" s="426"/>
      <c r="Z271" s="426"/>
      <c r="AA271" s="426"/>
      <c r="AB271" s="426"/>
      <c r="AC271" s="426">
        <f t="shared" ref="AC271:AM271" si="887">((AC278*AC277*AC276)+(AC281*AC280*AC276)+(AC286*AC283*AC276)+(AC288*AC287*AC276)+(AC337*AC336))</f>
        <v>0.67520062449060714</v>
      </c>
      <c r="AD271" s="426">
        <f t="shared" si="887"/>
        <v>0.6920870386603668</v>
      </c>
      <c r="AE271" s="426">
        <f t="shared" si="887"/>
        <v>0.68381378582301389</v>
      </c>
      <c r="AF271" s="426">
        <f>((AF278*AF277*AF276)+(AF281*AF280*AF276)+(AF286*AF283*AF276)+(AF288*AF287*AF276)+(AF337*AF336))</f>
        <v>0.67586937728140051</v>
      </c>
      <c r="AG271" s="965">
        <f t="shared" si="887"/>
        <v>0.69581309779478373</v>
      </c>
      <c r="AH271" s="426">
        <f>((AH278*AH277*AH276)+(AH281*AH280*AH276)+(AH286*AH283*AH276)+(AH288*AH287*AH276)+(AH337*AH336))</f>
        <v>0.68620318894114796</v>
      </c>
      <c r="AI271" s="426">
        <f>((AI278*AI277*AI276)+(AI281*AI280*AI276)+(AI286*AI283*AI276)+(AI288*AI287*AI276)+(AI337*AI336))</f>
        <v>0.66736659220245464</v>
      </c>
      <c r="AJ271" s="426">
        <f t="shared" si="887"/>
        <v>0.69168144013503208</v>
      </c>
      <c r="AK271" s="426">
        <f>((AK278*AK277*AK276)+(AK281*AK280*AK276)+(AK286*AK283*AK276)+(AK288*AK287*AK276)+(AK337*AK336))</f>
        <v>0.68000182154146671</v>
      </c>
      <c r="AL271" s="426">
        <f>((AL278*AL277*AL276)+(AL281*AL280*AL276)+(AL286*AL283*AL276)+(AL288*AL287*AL276)+(AL337*AL336))</f>
        <v>0.66037042019423398</v>
      </c>
      <c r="AM271" s="426">
        <f t="shared" si="887"/>
        <v>0.68500870534245262</v>
      </c>
      <c r="AN271" s="426">
        <f>((AN278*AN277*AN276)+(AN281*AN280*AN276)+(AN286*AN283*AN276)+(AN288*AN287*AN276)+(AN337*AN336))</f>
        <v>0.67318864241180021</v>
      </c>
      <c r="AO271" s="426">
        <f>((AO278*AO277*AO276)+(AO281*AO280*AO276)+(AO286*AO283*AO276)+(AO288*AO287*AO276)+(AO337*AO336))</f>
        <v>0.65706310758922093</v>
      </c>
      <c r="AP271" s="426">
        <f t="shared" ref="AP271" si="888">((AP278*AP277*AP276)+(AP281*AP280*AP276)+(AP286*AP283*AP276)+(AP288*AP287*AP276)+(AP337*AP336))</f>
        <v>0.68218419367838234</v>
      </c>
      <c r="AQ271" s="426">
        <f>((AQ278*AQ277*AQ276)+(AQ281*AQ280*AQ276)+(AQ286*AQ283*AQ276)+(AQ288*AQ287*AQ276)+(AQ337*AQ336))</f>
        <v>0.67010081505130481</v>
      </c>
      <c r="AR271" s="426">
        <f>((AR278*AR277*AR276)+(AR281*AR280*AR276)+(AR286*AR283*AR276)+(AR288*AR287*AR276)+(AR337*AR336))</f>
        <v>0.65324847091244931</v>
      </c>
      <c r="AS271" s="426">
        <f t="shared" ref="AS271" si="889">((AS278*AS277*AS276)+(AS281*AS280*AS276)+(AS286*AS283*AS276)+(AS288*AS287*AS276)+(AS337*AS336))</f>
        <v>0.67868068233423395</v>
      </c>
      <c r="AT271" s="426">
        <f>((AT278*AT277*AT276)+(AT281*AT280*AT276)+(AT286*AT283*AT276)+(AT288*AT287*AT276)+(AT337*AT336))</f>
        <v>0.66645155920295029</v>
      </c>
      <c r="AU271" s="426">
        <f>((AU278*AU277*AU276)+(AU281*AU280*AU276)+(AU286*AU283*AU276)+(AU288*AU287*AU276)+(AU337*AU336))</f>
        <v>0.64939450369042362</v>
      </c>
      <c r="AV271" s="426">
        <f t="shared" ref="AV271" si="890">((AV278*AV277*AV276)+(AV281*AV280*AV276)+(AV286*AV283*AV276)+(AV288*AV287*AV276)+(AV337*AV336))</f>
        <v>0.67513827430981332</v>
      </c>
      <c r="AW271" s="426">
        <f>((AW278*AW277*AW276)+(AW281*AW280*AW276)+(AW286*AW283*AW276)+(AW288*AW287*AW276)+(AW337*AW336))</f>
        <v>0.66276319878403378</v>
      </c>
      <c r="AX271" s="426">
        <f>((AX278*AX277*AX276)+(AX281*AX280*AX276)+(AX286*AX283*AX276)+(AX288*AX287*AX276)+(AX337*AX336))</f>
        <v>0.64550159786986083</v>
      </c>
      <c r="AY271" s="426">
        <f t="shared" ref="AY271" si="891">((AY278*AY277*AY276)+(AY281*AY280*AY276)+(AY286*AY283*AY276)+(AY288*AY287*AY276)+(AY337*AY336))</f>
        <v>0.67155726440446561</v>
      </c>
      <c r="AZ271" s="426">
        <f>((AZ278*AZ277*AZ276)+(AZ281*AZ280*AZ276)+(AZ286*AZ283*AZ276)+(AZ288*AZ287*AZ276)+(AZ337*AZ336))</f>
        <v>0.65903607276570797</v>
      </c>
      <c r="BA271" s="426">
        <f>((BA278*BA277*BA276)+(BA281*BA280*BA276)+(BA286*BA283*BA276)+(BA288*BA287*BA276)+(BA337*BA336))</f>
        <v>0.64157018054713799</v>
      </c>
      <c r="BB271" s="426">
        <f t="shared" ref="BB271" si="892">((BB278*BB277*BB276)+(BB281*BB280*BB276)+(BB286*BB283*BB276)+(BB288*BB287*BB276)+(BB337*BB336))</f>
        <v>0.66793797803226651</v>
      </c>
      <c r="BC271" s="426">
        <f>((BC278*BC277*BC276)+(BC281*BC280*BC276)+(BC286*BC283*BC276)+(BC288*BC287*BC276)+(BC337*BC336))</f>
        <v>0.6552705528858741</v>
      </c>
      <c r="BD271" s="426">
        <f>((BD278*BD277*BD276)+(BD281*BD280*BD276)+(BD286*BD283*BD276)+(BD288*BD287*BD276)+(BD337*BD336))</f>
        <v>0.63760071376820637</v>
      </c>
      <c r="BE271" s="426">
        <f t="shared" ref="BE271" si="893">((BE278*BE277*BE276)+(BE281*BE280*BE276)+(BE286*BE283*BE276)+(BE288*BE287*BE276)+(BE337*BE336))</f>
        <v>0.66428077106901284</v>
      </c>
      <c r="BF271" s="426">
        <f>((BF278*BF277*BF276)+(BF281*BF280*BF276)+(BF286*BF283*BF276)+(BF288*BF287*BF276)+(BF337*BF336))</f>
        <v>0.65146704347424833</v>
      </c>
      <c r="BG271" s="426">
        <f>((BG278*BG277*BG276)+(BG281*BG280*BG276)+(BG286*BG283*BG276)+(BG288*BG287*BG276)+(BG337*BG336))</f>
        <v>0.63359369427394496</v>
      </c>
      <c r="BH271" s="426">
        <f t="shared" ref="BH271" si="894">((BH278*BH277*BH276)+(BH281*BH280*BH276)+(BH286*BH283*BH276)+(BH288*BH287*BH276)+(BH337*BH336))</f>
        <v>0.66058602965687407</v>
      </c>
      <c r="BI271" s="426">
        <f>((BI278*BI277*BI276)+(BI281*BI280*BI276)+(BI286*BI283*BI276)+(BI288*BI287*BI276)+(BI337*BI336))</f>
        <v>0.64762598122944515</v>
      </c>
      <c r="BJ271" s="426">
        <f>((BJ278*BJ277*BJ276)+(BJ281*BJ280*BJ276)+(BJ286*BJ283*BJ276)+(BJ288*BJ287*BJ276)+(BJ337*BJ336))</f>
        <v>0.62954965319119549</v>
      </c>
      <c r="BK271" s="426">
        <f t="shared" ref="BK271" si="895">((BK278*BK277*BK276)+(BK281*BK280*BK276)+(BK286*BK283*BK276)+(BK288*BK287*BK276)+(BK337*BK336))</f>
        <v>0.65685416996689105</v>
      </c>
      <c r="BL271" s="426">
        <f>((BL278*BL277*BL276)+(BL281*BL280*BL276)+(BL286*BL283*BL276)+(BL288*BL287*BL276)+(BL337*BL336))</f>
        <v>0.64374783494829368</v>
      </c>
      <c r="BM271" s="426">
        <f>((BM278*BM277*BM276)+(BM281*BM280*BM276)+(BM286*BM283*BM276)+(BM288*BM287*BM276)+(BM337*BM336))</f>
        <v>0.62546915566983086</v>
      </c>
      <c r="BN271" s="426">
        <f t="shared" ref="BN271" si="896">((BN278*BN277*BN276)+(BN281*BN280*BN276)+(BN286*BN283*BN276)+(BN288*BN287*BN276)+(BN337*BN336))</f>
        <v>0.6530856379195924</v>
      </c>
      <c r="BO271" s="426">
        <f>((BO278*BO277*BO276)+(BO281*BO280*BO276)+(BO286*BO283*BO276)+(BO288*BO287*BO276)+(BO337*BO336))</f>
        <v>0.63983310520770553</v>
      </c>
      <c r="BP271" s="426">
        <f>((BP278*BP277*BP276)+(BP281*BP280*BP276)+(BP286*BP283*BP276)+(BP288*BP287*BP276)+(BP337*BP336))</f>
        <v>0.62135280046633234</v>
      </c>
      <c r="BQ271" s="426">
        <f t="shared" ref="BQ271" si="897">((BQ278*BQ277*BQ276)+(BQ281*BQ280*BQ276)+(BQ286*BQ283*BQ276)+(BQ288*BQ287*BQ276)+(BQ337*BQ336))</f>
        <v>0.64928090886407963</v>
      </c>
      <c r="BR271" s="426">
        <f>((BR278*BR277*BR276)+(BR281*BR280*BR276)+(BR286*BR283*BR276)+(BR288*BR287*BR276)+(BR337*BR336))</f>
        <v>0.63588232399949718</v>
      </c>
    </row>
    <row r="272" spans="1:70" s="30" customFormat="1" outlineLevel="1">
      <c r="B272" s="678"/>
      <c r="C272" s="658" t="s">
        <v>712</v>
      </c>
      <c r="D272" s="31"/>
      <c r="T272" s="483"/>
      <c r="U272" s="483"/>
      <c r="V272" s="483"/>
      <c r="W272" s="483"/>
      <c r="X272" s="483"/>
      <c r="Y272" s="483"/>
      <c r="Z272" s="483"/>
      <c r="AA272" s="483"/>
      <c r="AB272" s="483"/>
      <c r="AC272" s="483">
        <f t="shared" ref="AC272:AM272" si="898">((AC278*AC277*AC276)+(AC281*AC280*AC276)+(AC286*AC283*AC276)+(AC288*AC287*AC276))/((AC278*AC277*AC276)+(AC281*AC280*AC276)+(AC286*AC283*AC276)+(AC288*AC287*AC276)+(AC337*AC336))</f>
        <v>0.63276407230324583</v>
      </c>
      <c r="AD272" s="483">
        <f t="shared" si="898"/>
        <v>0.60970420299370842</v>
      </c>
      <c r="AE272" s="483">
        <f t="shared" si="898"/>
        <v>0.62088955113640976</v>
      </c>
      <c r="AF272" s="483">
        <f>((AF278*AF277*AF276)+(AF281*AF280*AF276)+(AF286*AF283*AF276)+(AF288*AF287*AF276))/((AF278*AF277*AF276)+(AF281*AF280*AF276)+(AF286*AF283*AF276)+(AF288*AF287*AF276)+(AF337*AF336))</f>
        <v>0.65264932917016127</v>
      </c>
      <c r="AG272" s="966">
        <f t="shared" si="898"/>
        <v>0.61823196839453454</v>
      </c>
      <c r="AH272" s="483">
        <f>((AH278*AH277*AH276)+(AH281*AH280*AH276)+(AH286*AH283*AH276)+(AH288*AH287*AH276))/((AH278*AH277*AH276)+(AH281*AH280*AH276)+(AH286*AH283*AH276)+(AH288*AH287*AH276)+(AH337*AH336))</f>
        <v>0.63443777712807703</v>
      </c>
      <c r="AI272" s="483">
        <f>((AI278*AI277*AI276)+(AI281*AI280*AI276)+(AI286*AI283*AI276)+(AI288*AI287*AI276))/((AI278*AI277*AI276)+(AI281*AI280*AI276)+(AI286*AI283*AI276)+(AI288*AI287*AI276)+(AI337*AI336))</f>
        <v>0.65131795151562899</v>
      </c>
      <c r="AJ272" s="483">
        <f t="shared" si="898"/>
        <v>0.61255192082789667</v>
      </c>
      <c r="AK272" s="483">
        <f>((AK278*AK277*AK276)+(AK281*AK280*AK276)+(AK286*AK283*AK276)+(AK288*AK287*AK276))/((AK278*AK277*AK276)+(AK281*AK280*AK276)+(AK286*AK283*AK276)+(AK288*AK287*AK276)+(AK337*AK336))</f>
        <v>0.63039767562603211</v>
      </c>
      <c r="AL272" s="483">
        <f>((AL278*AL277*AL276)+(AL281*AL280*AL276)+(AL286*AL283*AL276)+(AL288*AL287*AL276))/((AL278*AL277*AL276)+(AL281*AL280*AL276)+(AL286*AL283*AL276)+(AL288*AL287*AL276)+(AL337*AL336))</f>
        <v>0.66352957018034486</v>
      </c>
      <c r="AM272" s="483">
        <f t="shared" si="898"/>
        <v>0.61617801332436661</v>
      </c>
      <c r="AN272" s="483">
        <f>((AN278*AN277*AN276)+(AN281*AN280*AN276)+(AN286*AN283*AN276)+(AN288*AN287*AN276))/((AN278*AN277*AN276)+(AN281*AN280*AN276)+(AN286*AN283*AN276)+(AN288*AN287*AN276)+(AN337*AN336))</f>
        <v>0.638354033228687</v>
      </c>
      <c r="AO272" s="483">
        <f>((AO278*AO277*AO276)+(AO281*AO280*AO276)+(AO286*AO283*AO276)+(AO288*AO287*AO276))/((AO278*AO277*AO276)+(AO281*AO280*AO276)+(AO286*AO283*AO276)+(AO288*AO287*AO276)+(AO337*AO336))</f>
        <v>0.66120413848672066</v>
      </c>
      <c r="AP272" s="483">
        <f t="shared" ref="AP272" si="899">((AP278*AP277*AP276)+(AP281*AP280*AP276)+(AP286*AP283*AP276)+(AP288*AP287*AP276))/((AP278*AP277*AP276)+(AP281*AP280*AP276)+(AP286*AP283*AP276)+(AP288*AP287*AP276)+(AP337*AP336))</f>
        <v>0.61486417938538607</v>
      </c>
      <c r="AQ272" s="483">
        <f>((AQ278*AQ277*AQ276)+(AQ281*AQ280*AQ276)+(AQ286*AQ283*AQ276)+(AQ288*AQ287*AQ276))/((AQ278*AQ277*AQ276)+(AQ281*AQ280*AQ276)+(AQ286*AQ283*AQ276)+(AQ288*AQ287*AQ276)+(AQ337*AQ336))</f>
        <v>0.63659266851951513</v>
      </c>
      <c r="AR272" s="483">
        <f>((AR278*AR277*AR276)+(AR281*AR280*AR276)+(AR286*AR283*AR276)+(AR288*AR287*AR276))/((AR278*AR277*AR276)+(AR281*AR280*AR276)+(AR286*AR283*AR276)+(AR288*AR287*AR276)+(AR337*AR336))</f>
        <v>0.66017180600636161</v>
      </c>
      <c r="AS272" s="483">
        <f t="shared" ref="AS272" si="900">((AS278*AS277*AS276)+(AS281*AS280*AS276)+(AS286*AS283*AS276)+(AS288*AS287*AS276))/((AS278*AS277*AS276)+(AS281*AS280*AS276)+(AS286*AS283*AS276)+(AS288*AS287*AS276)+(AS337*AS336))</f>
        <v>0.61353301876507049</v>
      </c>
      <c r="AT272" s="483">
        <f>((AT278*AT277*AT276)+(AT281*AT280*AT276)+(AT286*AT283*AT276)+(AT288*AT287*AT276))/((AT278*AT277*AT276)+(AT281*AT280*AT276)+(AT286*AT283*AT276)+(AT288*AT287*AT276)+(AT337*AT336))</f>
        <v>0.63538847763901452</v>
      </c>
      <c r="AU272" s="483">
        <f>((AU278*AU277*AU276)+(AU281*AU280*AU276)+(AU286*AU283*AU276)+(AU288*AU287*AU276))/((AU278*AU277*AU276)+(AU281*AU280*AU276)+(AU286*AU283*AU276)+(AU288*AU287*AU276)+(AU337*AU336))</f>
        <v>0.65912539040508611</v>
      </c>
      <c r="AV272" s="483">
        <f t="shared" ref="AV272" si="901">((AV278*AV277*AV276)+(AV281*AV280*AV276)+(AV286*AV283*AV276)+(AV288*AV287*AV276))/((AV278*AV277*AV276)+(AV281*AV280*AV276)+(AV286*AV283*AV276)+(AV288*AV287*AV276)+(AV337*AV336))</f>
        <v>0.61218194533203141</v>
      </c>
      <c r="AW272" s="483">
        <f>((AW278*AW277*AW276)+(AW281*AW280*AW276)+(AW286*AW283*AW276)+(AW288*AW287*AW276))/((AW278*AW277*AW276)+(AW281*AW280*AW276)+(AW286*AW283*AW276)+(AW288*AW287*AW276)+(AW337*AW336))</f>
        <v>0.63416696718269805</v>
      </c>
      <c r="AX272" s="483">
        <f>((AX278*AX277*AX276)+(AX281*AX280*AX276)+(AX286*AX283*AX276)+(AX288*AX287*AX276))/((AX278*AX277*AX276)+(AX281*AX280*AX276)+(AX286*AX283*AX276)+(AX288*AX287*AX276)+(AX337*AX336))</f>
        <v>0.65806430312263464</v>
      </c>
      <c r="AY272" s="483">
        <f t="shared" ref="AY272" si="902">((AY278*AY277*AY276)+(AY281*AY280*AY276)+(AY286*AY283*AY276)+(AY288*AY287*AY276))/((AY278*AY277*AY276)+(AY281*AY280*AY276)+(AY286*AY283*AY276)+(AY288*AY287*AY276)+(AY337*AY336))</f>
        <v>0.61081049502782536</v>
      </c>
      <c r="AZ272" s="483">
        <f>((AZ278*AZ277*AZ276)+(AZ281*AZ280*AZ276)+(AZ286*AZ283*AZ276)+(AZ288*AZ287*AZ276))/((AZ278*AZ277*AZ276)+(AZ281*AZ280*AZ276)+(AZ286*AZ283*AZ276)+(AZ288*AZ287*AZ276)+(AZ337*AZ336))</f>
        <v>0.63292760785431068</v>
      </c>
      <c r="BA272" s="483">
        <f>((BA278*BA277*BA276)+(BA281*BA280*BA276)+(BA286*BA283*BA276)+(BA288*BA287*BA276))/((BA278*BA277*BA276)+(BA281*BA280*BA276)+(BA286*BA283*BA276)+(BA288*BA287*BA276)+(BA337*BA336))</f>
        <v>0.65698797062442593</v>
      </c>
      <c r="BB272" s="483">
        <f t="shared" ref="BB272" si="903">((BB278*BB277*BB276)+(BB281*BB280*BB276)+(BB286*BB283*BB276)+(BB288*BB287*BB276))/((BB278*BB277*BB276)+(BB281*BB280*BB276)+(BB286*BB283*BB276)+(BB288*BB287*BB276)+(BB337*BB336))</f>
        <v>0.60941822354705344</v>
      </c>
      <c r="BC272" s="483">
        <f>((BC278*BC277*BC276)+(BC281*BC280*BC276)+(BC286*BC283*BC276)+(BC288*BC287*BC276))/((BC278*BC277*BC276)+(BC281*BC280*BC276)+(BC286*BC283*BC276)+(BC288*BC287*BC276)+(BC337*BC336))</f>
        <v>0.63166988801856261</v>
      </c>
      <c r="BD272" s="483">
        <f>((BD278*BD277*BD276)+(BD281*BD280*BD276)+(BD286*BD283*BD276)+(BD288*BD287*BD276))/((BD278*BD277*BD276)+(BD281*BD280*BD276)+(BD286*BD283*BD276)+(BD288*BD287*BD276)+(BD337*BD336))</f>
        <v>0.65589583474450153</v>
      </c>
      <c r="BE272" s="483">
        <f t="shared" ref="BE272" si="904">((BE278*BE277*BE276)+(BE281*BE280*BE276)+(BE286*BE283*BE276)+(BE288*BE287*BE276))/((BE278*BE277*BE276)+(BE281*BE280*BE276)+(BE286*BE283*BE276)+(BE288*BE287*BE276)+(BE337*BE336))</f>
        <v>0.60800470654364935</v>
      </c>
      <c r="BF272" s="483">
        <f>((BF278*BF277*BF276)+(BF281*BF280*BF276)+(BF286*BF283*BF276)+(BF288*BF287*BF276))/((BF278*BF277*BF276)+(BF281*BF280*BF276)+(BF286*BF283*BF276)+(BF288*BF287*BF276)+(BF337*BF336))</f>
        <v>0.63039331397878906</v>
      </c>
      <c r="BG272" s="483">
        <f>((BG278*BG277*BG276)+(BG281*BG280*BG276)+(BG286*BG283*BG276)+(BG288*BG287*BG276))/((BG278*BG277*BG276)+(BG281*BG280*BG276)+(BG286*BG283*BG276)+(BG288*BG287*BG276)+(BG337*BG336))</f>
        <v>0.65478735300429147</v>
      </c>
      <c r="BH272" s="483">
        <f t="shared" ref="BH272" si="905">((BH278*BH277*BH276)+(BH281*BH280*BH276)+(BH286*BH283*BH276)+(BH288*BH287*BH276))/((BH278*BH277*BH276)+(BH281*BH280*BH276)+(BH286*BH283*BH276)+(BH288*BH287*BH276)+(BH337*BH336))</f>
        <v>0.60656953981414607</v>
      </c>
      <c r="BI272" s="483">
        <f>((BI278*BI277*BI276)+(BI281*BI280*BI276)+(BI286*BI283*BI276)+(BI288*BI287*BI276))/((BI278*BI277*BI276)+(BI281*BI280*BI276)+(BI286*BI283*BI276)+(BI288*BI287*BI276)+(BI337*BI336))</f>
        <v>0.62909741023096755</v>
      </c>
      <c r="BJ272" s="483">
        <f>((BJ278*BJ277*BJ276)+(BJ281*BJ280*BJ276)+(BJ286*BJ283*BJ276)+(BJ288*BJ287*BJ276))/((BJ278*BJ277*BJ276)+(BJ281*BJ280*BJ276)+(BJ286*BJ283*BJ276)+(BJ288*BJ287*BJ276)+(BJ337*BJ336))</f>
        <v>0.65366199890786314</v>
      </c>
      <c r="BK272" s="483">
        <f t="shared" ref="BK272" si="906">((BK278*BK277*BK276)+(BK281*BK280*BK276)+(BK286*BK283*BK276)+(BK288*BK287*BK276))/((BK278*BK277*BK276)+(BK281*BK280*BK276)+(BK286*BK283*BK276)+(BK288*BK287*BK276)+(BK337*BK336))</f>
        <v>0.60511233945851173</v>
      </c>
      <c r="BL272" s="483">
        <f>((BL278*BL277*BL276)+(BL281*BL280*BL276)+(BL286*BL283*BL276)+(BL288*BL287*BL276))/((BL278*BL277*BL276)+(BL281*BL280*BL276)+(BL286*BL283*BL276)+(BL288*BL287*BL276)+(BL337*BL336))</f>
        <v>0.62778171969472862</v>
      </c>
      <c r="BM272" s="483">
        <f>((BM278*BM277*BM276)+(BM281*BM280*BM276)+(BM286*BM283*BM276)+(BM288*BM287*BM276))/((BM278*BM277*BM276)+(BM281*BM280*BM276)+(BM286*BM283*BM276)+(BM288*BM287*BM276)+(BM337*BM336))</f>
        <v>0.65251926221432976</v>
      </c>
      <c r="BN272" s="483">
        <f t="shared" ref="BN272" si="907">((BN278*BN277*BN276)+(BN281*BN280*BN276)+(BN286*BN283*BN276)+(BN288*BN287*BN276))/((BN278*BN277*BN276)+(BN281*BN280*BN276)+(BN286*BN283*BN276)+(BN288*BN287*BN276)+(BN337*BN336))</f>
        <v>0.60363274201912953</v>
      </c>
      <c r="BO272" s="483">
        <f>((BO278*BO277*BO276)+(BO281*BO280*BO276)+(BO286*BO283*BO276)+(BO288*BO287*BO276))/((BO278*BO277*BO276)+(BO281*BO280*BO276)+(BO286*BO283*BO276)+(BO288*BO287*BO276)+(BO337*BO336))</f>
        <v>0.62644580392199056</v>
      </c>
      <c r="BP272" s="483">
        <f>((BP278*BP277*BP276)+(BP281*BP280*BP276)+(BP286*BP283*BP276)+(BP288*BP287*BP276))/((BP278*BP277*BP276)+(BP281*BP280*BP276)+(BP286*BP283*BP276)+(BP288*BP287*BP276)+(BP337*BP336))</f>
        <v>0.65135864918809394</v>
      </c>
      <c r="BQ272" s="483">
        <f t="shared" ref="BQ272" si="908">((BQ278*BQ277*BQ276)+(BQ281*BQ280*BQ276)+(BQ286*BQ283*BQ276)+(BQ288*BQ287*BQ276))/((BQ278*BQ277*BQ276)+(BQ281*BQ280*BQ276)+(BQ286*BQ283*BQ276)+(BQ288*BQ287*BQ276)+(BQ337*BQ336))</f>
        <v>0.60213040459849232</v>
      </c>
      <c r="BR272" s="483">
        <f>((BR278*BR277*BR276)+(BR281*BR280*BR276)+(BR286*BR283*BR276)+(BR288*BR287*BR276))/((BR278*BR277*BR276)+(BR281*BR280*BR276)+(BR286*BR283*BR276)+(BR288*BR287*BR276)+(BR337*BR336))</f>
        <v>0.62508924328384619</v>
      </c>
    </row>
    <row r="273" spans="1:70" s="30" customFormat="1" outlineLevel="1">
      <c r="B273" s="678"/>
      <c r="C273" s="658" t="s">
        <v>713</v>
      </c>
      <c r="D273" s="31"/>
      <c r="T273" s="426"/>
      <c r="U273" s="426"/>
      <c r="V273" s="426"/>
      <c r="W273" s="426"/>
      <c r="X273" s="426"/>
      <c r="Y273" s="426"/>
      <c r="Z273" s="426"/>
      <c r="AA273" s="426"/>
      <c r="AB273" s="426"/>
      <c r="AC273" s="426">
        <f t="shared" ref="AC273:AM273" si="909">(AC337*AC336)/((AC278*AC277*AC276)+(AC281*AC280*AC276)+(AC286*AC283*AC276)+(AC288*AC287*AC276)+(AC337*AC336))</f>
        <v>0.36723592769675417</v>
      </c>
      <c r="AD273" s="426">
        <f t="shared" si="909"/>
        <v>0.39029579700629163</v>
      </c>
      <c r="AE273" s="426">
        <f t="shared" si="909"/>
        <v>0.37911044886359024</v>
      </c>
      <c r="AF273" s="426">
        <f>(AF337*AF336)/((AF278*AF277*AF276)+(AF281*AF280*AF276)+(AF286*AF283*AF276)+(AF288*AF287*AF276)+(AF337*AF336))</f>
        <v>0.34735067082983867</v>
      </c>
      <c r="AG273" s="965">
        <f t="shared" si="909"/>
        <v>0.38176803160546541</v>
      </c>
      <c r="AH273" s="426">
        <f>(AH337*AH336)/((AH278*AH277*AH276)+(AH281*AH280*AH276)+(AH286*AH283*AH276)+(AH288*AH287*AH276)+(AH337*AH336))</f>
        <v>0.36556222287192286</v>
      </c>
      <c r="AI273" s="426">
        <f>(AI337*AI336)/((AI278*AI277*AI276)+(AI281*AI280*AI276)+(AI286*AI283*AI276)+(AI288*AI287*AI276)+(AI337*AI336))</f>
        <v>0.34868204848437095</v>
      </c>
      <c r="AJ273" s="426">
        <f t="shared" si="909"/>
        <v>0.38744807917210328</v>
      </c>
      <c r="AK273" s="426">
        <f>(AK337*AK336)/((AK278*AK277*AK276)+(AK281*AK280*AK276)+(AK286*AK283*AK276)+(AK288*AK287*AK276)+(AK337*AK336))</f>
        <v>0.36960232437396778</v>
      </c>
      <c r="AL273" s="426">
        <f>(AL337*AL336)/((AL278*AL277*AL276)+(AL281*AL280*AL276)+(AL286*AL283*AL276)+(AL288*AL287*AL276)+(AL337*AL336))</f>
        <v>0.33647042981965514</v>
      </c>
      <c r="AM273" s="426">
        <f t="shared" si="909"/>
        <v>0.38382198667563339</v>
      </c>
      <c r="AN273" s="426">
        <f>(AN337*AN336)/((AN278*AN277*AN276)+(AN281*AN280*AN276)+(AN286*AN283*AN276)+(AN288*AN287*AN276)+(AN337*AN336))</f>
        <v>0.361645966771313</v>
      </c>
      <c r="AO273" s="426">
        <f>(AO337*AO336)/((AO278*AO277*AO276)+(AO281*AO280*AO276)+(AO286*AO283*AO276)+(AO288*AO287*AO276)+(AO337*AO336))</f>
        <v>0.33879586151327934</v>
      </c>
      <c r="AP273" s="426">
        <f t="shared" ref="AP273" si="910">(AP337*AP336)/((AP278*AP277*AP276)+(AP281*AP280*AP276)+(AP286*AP283*AP276)+(AP288*AP287*AP276)+(AP337*AP336))</f>
        <v>0.38513582061461388</v>
      </c>
      <c r="AQ273" s="426">
        <f>(AQ337*AQ336)/((AQ278*AQ277*AQ276)+(AQ281*AQ280*AQ276)+(AQ286*AQ283*AQ276)+(AQ288*AQ287*AQ276)+(AQ337*AQ336))</f>
        <v>0.36340733148048482</v>
      </c>
      <c r="AR273" s="426">
        <f>(AR337*AR336)/((AR278*AR277*AR276)+(AR281*AR280*AR276)+(AR286*AR283*AR276)+(AR288*AR287*AR276)+(AR337*AR336))</f>
        <v>0.33982819399363851</v>
      </c>
      <c r="AS273" s="426">
        <f t="shared" ref="AS273" si="911">(AS337*AS336)/((AS278*AS277*AS276)+(AS281*AS280*AS276)+(AS286*AS283*AS276)+(AS288*AS287*AS276)+(AS337*AS336))</f>
        <v>0.38646698123492951</v>
      </c>
      <c r="AT273" s="426">
        <f>(AT337*AT336)/((AT278*AT277*AT276)+(AT281*AT280*AT276)+(AT286*AT283*AT276)+(AT288*AT287*AT276)+(AT337*AT336))</f>
        <v>0.3646115223609856</v>
      </c>
      <c r="AU273" s="426">
        <f>(AU337*AU336)/((AU278*AU277*AU276)+(AU281*AU280*AU276)+(AU286*AU283*AU276)+(AU288*AU287*AU276)+(AU337*AU336))</f>
        <v>0.34087460959491395</v>
      </c>
      <c r="AV273" s="426">
        <f t="shared" ref="AV273" si="912">(AV337*AV336)/((AV278*AV277*AV276)+(AV281*AV280*AV276)+(AV286*AV283*AV276)+(AV288*AV287*AV276)+(AV337*AV336))</f>
        <v>0.38781805466796848</v>
      </c>
      <c r="AW273" s="426">
        <f>(AW337*AW336)/((AW278*AW277*AW276)+(AW281*AW280*AW276)+(AW286*AW283*AW276)+(AW288*AW287*AW276)+(AW337*AW336))</f>
        <v>0.36583303281730195</v>
      </c>
      <c r="AX273" s="426">
        <f>(AX337*AX336)/((AX278*AX277*AX276)+(AX281*AX280*AX276)+(AX286*AX283*AX276)+(AX288*AX287*AX276)+(AX337*AX336))</f>
        <v>0.3419356968773653</v>
      </c>
      <c r="AY273" s="426">
        <f t="shared" ref="AY273" si="913">(AY337*AY336)/((AY278*AY277*AY276)+(AY281*AY280*AY276)+(AY286*AY283*AY276)+(AY288*AY287*AY276)+(AY337*AY336))</f>
        <v>0.38918950497217469</v>
      </c>
      <c r="AZ273" s="426">
        <f>(AZ337*AZ336)/((AZ278*AZ277*AZ276)+(AZ281*AZ280*AZ276)+(AZ286*AZ283*AZ276)+(AZ288*AZ287*AZ276)+(AZ337*AZ336))</f>
        <v>0.36707239214568937</v>
      </c>
      <c r="BA273" s="426">
        <f>(BA337*BA336)/((BA278*BA277*BA276)+(BA281*BA280*BA276)+(BA286*BA283*BA276)+(BA288*BA287*BA276)+(BA337*BA336))</f>
        <v>0.34301202937557407</v>
      </c>
      <c r="BB273" s="426">
        <f t="shared" ref="BB273" si="914">(BB337*BB336)/((BB278*BB277*BB276)+(BB281*BB280*BB276)+(BB286*BB283*BB276)+(BB288*BB287*BB276)+(BB337*BB336))</f>
        <v>0.39058177645294656</v>
      </c>
      <c r="BC273" s="426">
        <f>(BC337*BC336)/((BC278*BC277*BC276)+(BC281*BC280*BC276)+(BC286*BC283*BC276)+(BC288*BC287*BC276)+(BC337*BC336))</f>
        <v>0.36833011198143734</v>
      </c>
      <c r="BD273" s="426">
        <f>(BD337*BD336)/((BD278*BD277*BD276)+(BD281*BD280*BD276)+(BD286*BD283*BD276)+(BD288*BD287*BD276)+(BD337*BD336))</f>
        <v>0.34410416525549836</v>
      </c>
      <c r="BE273" s="426">
        <f t="shared" ref="BE273" si="915">(BE337*BE336)/((BE278*BE277*BE276)+(BE281*BE280*BE276)+(BE286*BE283*BE276)+(BE288*BE287*BE276)+(BE337*BE336))</f>
        <v>0.39199529345635076</v>
      </c>
      <c r="BF273" s="426">
        <f>(BF337*BF336)/((BF278*BF277*BF276)+(BF281*BF280*BF276)+(BF286*BF283*BF276)+(BF288*BF287*BF276)+(BF337*BF336))</f>
        <v>0.36960668602121088</v>
      </c>
      <c r="BG273" s="426">
        <f>(BG337*BG336)/((BG278*BG277*BG276)+(BG281*BG280*BG276)+(BG286*BG283*BG276)+(BG288*BG287*BG276)+(BG337*BG336))</f>
        <v>0.34521264699570853</v>
      </c>
      <c r="BH273" s="426">
        <f t="shared" ref="BH273" si="916">(BH337*BH336)/((BH278*BH277*BH276)+(BH281*BH280*BH276)+(BH286*BH283*BH276)+(BH288*BH287*BH276)+(BH337*BH336))</f>
        <v>0.39343046018585393</v>
      </c>
      <c r="BI273" s="426">
        <f>(BI337*BI336)/((BI278*BI277*BI276)+(BI281*BI280*BI276)+(BI286*BI283*BI276)+(BI288*BI287*BI276)+(BI337*BI336))</f>
        <v>0.3709025897690324</v>
      </c>
      <c r="BJ273" s="426">
        <f>(BJ337*BJ336)/((BJ278*BJ277*BJ276)+(BJ281*BJ280*BJ276)+(BJ286*BJ283*BJ276)+(BJ288*BJ287*BJ276)+(BJ337*BJ336))</f>
        <v>0.3463380010921368</v>
      </c>
      <c r="BK273" s="426">
        <f t="shared" ref="BK273" si="917">(BK337*BK336)/((BK278*BK277*BK276)+(BK281*BK280*BK276)+(BK286*BK283*BK276)+(BK288*BK287*BK276)+(BK337*BK336))</f>
        <v>0.39488766054148822</v>
      </c>
      <c r="BL273" s="426">
        <f>(BL337*BL336)/((BL278*BL277*BL276)+(BL281*BL280*BL276)+(BL286*BL283*BL276)+(BL288*BL287*BL276)+(BL337*BL336))</f>
        <v>0.37221828030527143</v>
      </c>
      <c r="BM273" s="426">
        <f>(BM337*BM336)/((BM278*BM277*BM276)+(BM281*BM280*BM276)+(BM286*BM283*BM276)+(BM288*BM287*BM276)+(BM337*BM336))</f>
        <v>0.34748073778567035</v>
      </c>
      <c r="BN273" s="426">
        <f t="shared" ref="BN273" si="918">(BN337*BN336)/((BN278*BN277*BN276)+(BN281*BN280*BN276)+(BN286*BN283*BN276)+(BN288*BN287*BN276)+(BN337*BN336))</f>
        <v>0.39636725798087052</v>
      </c>
      <c r="BO273" s="426">
        <f>(BO337*BO336)/((BO278*BO277*BO276)+(BO281*BO280*BO276)+(BO286*BO283*BO276)+(BO288*BO287*BO276)+(BO337*BO336))</f>
        <v>0.37355419607800933</v>
      </c>
      <c r="BP273" s="426">
        <f>(BP337*BP336)/((BP278*BP277*BP276)+(BP281*BP280*BP276)+(BP286*BP283*BP276)+(BP288*BP287*BP276)+(BP337*BP336))</f>
        <v>0.348641350811906</v>
      </c>
      <c r="BQ273" s="426">
        <f t="shared" ref="BQ273" si="919">(BQ337*BQ336)/((BQ278*BQ277*BQ276)+(BQ281*BQ280*BQ276)+(BQ286*BQ283*BQ276)+(BQ288*BQ287*BQ276)+(BQ337*BQ336))</f>
        <v>0.39786959540150779</v>
      </c>
      <c r="BR273" s="426">
        <f>(BR337*BR336)/((BR278*BR277*BR276)+(BR281*BR280*BR276)+(BR286*BR283*BR276)+(BR288*BR287*BR276)+(BR337*BR336))</f>
        <v>0.37491075671615381</v>
      </c>
    </row>
    <row r="274" spans="1:70" outlineLevel="1">
      <c r="B274" s="451" t="s">
        <v>306</v>
      </c>
      <c r="AG274" s="967"/>
      <c r="AH274" s="166"/>
      <c r="AI274" s="166"/>
    </row>
    <row r="275" spans="1:70" customFormat="1" ht="11.25" customHeight="1" outlineLevel="1">
      <c r="A275" s="6"/>
      <c r="B275" s="6"/>
      <c r="C275" s="85" t="s">
        <v>666</v>
      </c>
      <c r="D275" s="7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W275" s="6"/>
      <c r="X275" s="6"/>
      <c r="AE275" s="44"/>
      <c r="AF275" s="679"/>
      <c r="AG275" s="968"/>
      <c r="AH275" s="679"/>
      <c r="AI275" s="679"/>
      <c r="AJ275" s="679"/>
      <c r="AK275" s="679"/>
      <c r="AL275" s="679"/>
      <c r="AM275" s="679"/>
      <c r="AN275" s="679"/>
      <c r="AO275" s="679"/>
      <c r="AP275" s="679"/>
      <c r="AQ275" s="679"/>
      <c r="AR275" s="679"/>
      <c r="AS275" s="679"/>
      <c r="AT275" s="679"/>
      <c r="AU275" s="679"/>
      <c r="AV275" s="679"/>
      <c r="AW275" s="679"/>
      <c r="AX275" s="679"/>
      <c r="AY275" s="679"/>
      <c r="AZ275" s="679"/>
      <c r="BA275" s="679"/>
      <c r="BB275" s="679"/>
      <c r="BC275" s="679"/>
      <c r="BD275" s="679"/>
      <c r="BE275" s="679"/>
      <c r="BF275" s="679"/>
      <c r="BG275" s="679"/>
      <c r="BH275" s="679"/>
      <c r="BI275" s="679"/>
      <c r="BJ275" s="679"/>
      <c r="BK275" s="679"/>
      <c r="BL275" s="679"/>
      <c r="BM275" s="679"/>
      <c r="BN275" s="679"/>
      <c r="BO275" s="679"/>
      <c r="BP275" s="679"/>
      <c r="BQ275" s="679"/>
      <c r="BR275" s="679"/>
    </row>
    <row r="276" spans="1:70" customFormat="1" ht="11.25" customHeight="1" outlineLevel="1">
      <c r="A276" s="6"/>
      <c r="B276" s="6"/>
      <c r="C276" s="677" t="s">
        <v>707</v>
      </c>
      <c r="D276" s="7" t="s">
        <v>66</v>
      </c>
      <c r="E276" s="6"/>
      <c r="F276" s="6"/>
      <c r="G276" s="565"/>
      <c r="H276" s="565"/>
      <c r="I276" s="565"/>
      <c r="J276" s="565"/>
      <c r="K276" s="683"/>
      <c r="L276" s="683"/>
      <c r="M276" s="683"/>
      <c r="N276" s="565"/>
      <c r="O276" s="565"/>
      <c r="P276" s="681"/>
      <c r="Q276" s="683"/>
      <c r="R276" s="683"/>
      <c r="S276" s="683"/>
      <c r="T276" s="426">
        <f t="shared" ref="T276:AE276" si="920">+T535/T538</f>
        <v>0.6898159713548172</v>
      </c>
      <c r="U276" s="426">
        <f t="shared" si="920"/>
        <v>0.67065288904369369</v>
      </c>
      <c r="V276" s="426">
        <f t="shared" si="920"/>
        <v>0.67988446958300741</v>
      </c>
      <c r="W276" s="426">
        <f t="shared" si="920"/>
        <v>0.67499792065208353</v>
      </c>
      <c r="X276" s="426">
        <f t="shared" si="920"/>
        <v>0.63476595035815431</v>
      </c>
      <c r="Y276" s="426">
        <f t="shared" si="920"/>
        <v>0.65489616713138288</v>
      </c>
      <c r="Z276" s="426">
        <f t="shared" si="920"/>
        <v>0.65660518389869627</v>
      </c>
      <c r="AA276" s="426">
        <f t="shared" si="920"/>
        <v>0.63173443847195432</v>
      </c>
      <c r="AB276" s="426">
        <f t="shared" si="920"/>
        <v>0.64374024981693534</v>
      </c>
      <c r="AC276" s="426">
        <f t="shared" si="920"/>
        <v>0.69184290030211482</v>
      </c>
      <c r="AD276" s="426">
        <f t="shared" si="920"/>
        <v>0.6763754045307443</v>
      </c>
      <c r="AE276" s="426">
        <f t="shared" si="920"/>
        <v>0.68396770472895041</v>
      </c>
      <c r="AF276" s="426">
        <f>+AF535/AF538</f>
        <v>0.70326936744847202</v>
      </c>
      <c r="AG276" s="965">
        <f t="shared" ref="AG276:AM276" si="921">+AG535/AG538</f>
        <v>0.68129797801965664</v>
      </c>
      <c r="AH276" s="426">
        <f>+AH535/AH538</f>
        <v>0.69182217526648104</v>
      </c>
      <c r="AI276" s="426">
        <f>+AI535/AI538</f>
        <v>0.70342503043588422</v>
      </c>
      <c r="AJ276" s="426">
        <f t="shared" si="921"/>
        <v>0.67773440782664418</v>
      </c>
      <c r="AK276" s="426">
        <f>+AK535/AK538</f>
        <v>0.6898622868491372</v>
      </c>
      <c r="AL276" s="426">
        <f>+AL535/AL538</f>
        <v>0.7115942736012586</v>
      </c>
      <c r="AM276" s="426">
        <f t="shared" si="921"/>
        <v>0.68042605562433078</v>
      </c>
      <c r="AN276" s="426">
        <f>+AN535/AN538</f>
        <v>0.69532314861079303</v>
      </c>
      <c r="AO276" s="426">
        <f>+AO535/AO538</f>
        <v>0.70946292101215036</v>
      </c>
      <c r="AP276" s="426">
        <f t="shared" ref="AP276" si="922">+AP535/AP538</f>
        <v>0.67964968265572634</v>
      </c>
      <c r="AQ276" s="426">
        <f>+AQ535/AQ538</f>
        <v>0.69392647583103484</v>
      </c>
      <c r="AR276" s="426">
        <f>+AR535/AR538</f>
        <v>0.7089737112731247</v>
      </c>
      <c r="AS276" s="426">
        <f t="shared" ref="AS276" si="923">+AS535/AS538</f>
        <v>0.67918369459956418</v>
      </c>
      <c r="AT276" s="426">
        <f>+AT535/AT538</f>
        <v>0.69344590279521168</v>
      </c>
      <c r="AU276" s="426">
        <f>+AU535/AU538</f>
        <v>0.70849591823045976</v>
      </c>
      <c r="AV276" s="426">
        <f t="shared" ref="AV276" si="924">+AV535/AV538</f>
        <v>0.67872817381649631</v>
      </c>
      <c r="AW276" s="426">
        <f>+AW535/AW538</f>
        <v>0.69297635097843002</v>
      </c>
      <c r="AX276" s="426">
        <f>+AX535/AX538</f>
        <v>0.70802983272985298</v>
      </c>
      <c r="AY276" s="426">
        <f t="shared" ref="AY276" si="925">+AY535/AY538</f>
        <v>0.67828347300011349</v>
      </c>
      <c r="AZ276" s="426">
        <f>+AZ535/AZ538</f>
        <v>0.69251814232469344</v>
      </c>
      <c r="BA276" s="426">
        <f>+BA535/BA538</f>
        <v>0.7075757609708142</v>
      </c>
      <c r="BB276" s="426">
        <f t="shared" ref="BB276" si="926">+BB535/BB538</f>
        <v>0.67784996126952068</v>
      </c>
      <c r="BC276" s="426">
        <f>+BC535/BC538</f>
        <v>0.69207161472450074</v>
      </c>
      <c r="BD276" s="426">
        <f>+BD535/BD538</f>
        <v>0.70713402400959779</v>
      </c>
      <c r="BE276" s="426">
        <f t="shared" ref="BE276" si="927">+BE535/BE538</f>
        <v>0.67742802355664078</v>
      </c>
      <c r="BF276" s="426">
        <f>+BF535/BF538</f>
        <v>0.69163712145672096</v>
      </c>
      <c r="BG276" s="426">
        <f>+BG535/BG538</f>
        <v>0.7067049572204841</v>
      </c>
      <c r="BH276" s="426">
        <f t="shared" ref="BH276" si="928">+BH535/BH538</f>
        <v>0.67701805995496289</v>
      </c>
      <c r="BI276" s="426">
        <f>+BI535/BI538</f>
        <v>0.69121503059027922</v>
      </c>
      <c r="BJ276" s="426">
        <f>+BJ535/BJ538</f>
        <v>0.70628890971675884</v>
      </c>
      <c r="BK276" s="426">
        <f t="shared" ref="BK276" si="929">+BK535/BK538</f>
        <v>0.67662048503118211</v>
      </c>
      <c r="BL276" s="426">
        <f>+BL535/BL538</f>
        <v>0.69080572434706555</v>
      </c>
      <c r="BM276" s="426">
        <f>+BM535/BM538</f>
        <v>0.70588624373284992</v>
      </c>
      <c r="BN276" s="426">
        <f t="shared" ref="BN276" si="930">+BN535/BN538</f>
        <v>0.6762357271012629</v>
      </c>
      <c r="BO276" s="426">
        <f>+BO535/BO538</f>
        <v>0.69040959842757854</v>
      </c>
      <c r="BP276" s="426">
        <f>+BP535/BP538</f>
        <v>0.7054973339691748</v>
      </c>
      <c r="BQ276" s="426">
        <f t="shared" ref="BQ276" si="931">+BQ535/BQ538</f>
        <v>0.67586422747254293</v>
      </c>
      <c r="BR276" s="426">
        <f>+BR535/BR538</f>
        <v>0.69002706130089797</v>
      </c>
    </row>
    <row r="277" spans="1:70" customFormat="1" ht="11.25" customHeight="1" outlineLevel="1">
      <c r="A277" s="6"/>
      <c r="B277" s="6"/>
      <c r="C277" s="9" t="s">
        <v>706</v>
      </c>
      <c r="D277" s="7" t="s">
        <v>66</v>
      </c>
      <c r="E277" s="6"/>
      <c r="F277" s="6"/>
      <c r="G277" s="565"/>
      <c r="H277" s="565"/>
      <c r="I277" s="565"/>
      <c r="J277" s="565"/>
      <c r="K277" s="426">
        <f>+K636/(K669-K668)</f>
        <v>0.68855368234250225</v>
      </c>
      <c r="L277" s="426">
        <f>+L636/(L669-L668)</f>
        <v>0.68576314664386495</v>
      </c>
      <c r="M277" s="426">
        <f>+M636/(M669-M668)</f>
        <v>0.68713259307642061</v>
      </c>
      <c r="N277" s="426">
        <f t="shared" ref="N277:Y277" si="932">+N636/(N669-N668)</f>
        <v>0.65352606219886111</v>
      </c>
      <c r="O277" s="426">
        <f t="shared" si="932"/>
        <v>0.64247422680412369</v>
      </c>
      <c r="P277" s="426">
        <f t="shared" si="932"/>
        <v>0.64783347493627863</v>
      </c>
      <c r="Q277" s="426">
        <f t="shared" si="932"/>
        <v>0.59010600706713778</v>
      </c>
      <c r="R277" s="426">
        <f t="shared" si="932"/>
        <v>0.60888196338137901</v>
      </c>
      <c r="S277" s="426">
        <f t="shared" si="932"/>
        <v>0.59953070003910836</v>
      </c>
      <c r="T277" s="426">
        <f t="shared" si="932"/>
        <v>0.59451833937928256</v>
      </c>
      <c r="U277" s="426">
        <f t="shared" si="932"/>
        <v>0.61187573731812817</v>
      </c>
      <c r="V277" s="426">
        <f t="shared" si="932"/>
        <v>0.60330414012738853</v>
      </c>
      <c r="W277" s="426">
        <f t="shared" si="932"/>
        <v>0.48579321231254935</v>
      </c>
      <c r="X277" s="426">
        <f t="shared" si="932"/>
        <v>0.49229074889867841</v>
      </c>
      <c r="Y277" s="426">
        <f t="shared" si="932"/>
        <v>0.4891593761886649</v>
      </c>
      <c r="Z277" s="426">
        <f t="shared" ref="Z277:AE277" si="933">+Z636/(Z669-Z668)</f>
        <v>0.50547045951859959</v>
      </c>
      <c r="AA277" s="426">
        <f t="shared" si="933"/>
        <v>0.50107449856733521</v>
      </c>
      <c r="AB277" s="426">
        <f t="shared" si="933"/>
        <v>0.50325262016624506</v>
      </c>
      <c r="AC277" s="426">
        <f t="shared" si="933"/>
        <v>0.46968103750438134</v>
      </c>
      <c r="AD277" s="426">
        <f t="shared" si="933"/>
        <v>0.48449744463373084</v>
      </c>
      <c r="AE277" s="426">
        <f t="shared" si="933"/>
        <v>0.47719419488597098</v>
      </c>
      <c r="AF277" s="426">
        <f>+AF636/(AF669-AF668)</f>
        <v>0.49236522281084444</v>
      </c>
      <c r="AG277" s="965">
        <f t="shared" ref="AG277:AM277" si="934">+AG636/(AG669-AG668)</f>
        <v>0.51393100938760372</v>
      </c>
      <c r="AH277" s="426">
        <f>+AH636/(AH669-AH668)</f>
        <v>0.50338565368161314</v>
      </c>
      <c r="AI277" s="426">
        <f>+AI636/(AI669-AI668)</f>
        <v>0.49572539094115509</v>
      </c>
      <c r="AJ277" s="426">
        <f t="shared" si="934"/>
        <v>0.52368603841203754</v>
      </c>
      <c r="AK277" s="426">
        <f>+AK636/(AK669-AK668)</f>
        <v>0.50983562315520203</v>
      </c>
      <c r="AL277" s="426">
        <f>+AL636/(AL669-AL668)</f>
        <v>0.51036243530679604</v>
      </c>
      <c r="AM277" s="426">
        <f t="shared" si="934"/>
        <v>0.52627289701391899</v>
      </c>
      <c r="AN277" s="426">
        <f>+AN636/(AN669-AN668)</f>
        <v>0.51848719893614736</v>
      </c>
      <c r="AO277" s="426">
        <f>+AO636/(AO669-AO668)</f>
        <v>0.51016317963814017</v>
      </c>
      <c r="AP277" s="426">
        <f t="shared" ref="AP277" si="935">+AP636/(AP669-AP668)</f>
        <v>0.52603757886528457</v>
      </c>
      <c r="AQ277" s="426">
        <f>+AQ636/(AQ669-AQ668)</f>
        <v>0.5182623262496614</v>
      </c>
      <c r="AR277" s="426">
        <f>+AR636/(AR669-AR668)</f>
        <v>0.50940452996296226</v>
      </c>
      <c r="AS277" s="426">
        <f t="shared" ref="AS277" si="936">+AS636/(AS669-AS668)</f>
        <v>0.52496264280384441</v>
      </c>
      <c r="AT277" s="426">
        <f>+AT636/(AT669-AT668)</f>
        <v>0.51734413284236069</v>
      </c>
      <c r="AU277" s="426">
        <f>+AU636/(AU669-AU668)</f>
        <v>0.50852985820325336</v>
      </c>
      <c r="AV277" s="426">
        <f t="shared" ref="AV277" si="937">+AV636/(AV669-AV668)</f>
        <v>0.52377587792877534</v>
      </c>
      <c r="AW277" s="426">
        <f>+AW636/(AW669-AW668)</f>
        <v>0.51631193260453745</v>
      </c>
      <c r="AX277" s="426">
        <f>+AX636/(AX669-AX668)</f>
        <v>0.50753982192653169</v>
      </c>
      <c r="AY277" s="426">
        <f t="shared" ref="AY277" si="938">+AY636/(AY669-AY668)</f>
        <v>0.52247801117046411</v>
      </c>
      <c r="AZ277" s="426">
        <f>+AZ636/(AZ669-AZ668)</f>
        <v>0.51516642378892186</v>
      </c>
      <c r="BA277" s="426">
        <f>+BA636/(BA669-BA668)</f>
        <v>0.50643514908978826</v>
      </c>
      <c r="BB277" s="426">
        <f t="shared" ref="BB277" si="939">+BB636/(BB669-BB668)</f>
        <v>0.52106983029096177</v>
      </c>
      <c r="BC277" s="426">
        <f>+BC636/(BC669-BC668)</f>
        <v>0.51390837006158085</v>
      </c>
      <c r="BD277" s="426">
        <f>+BD636/(BD669-BD668)</f>
        <v>0.50521663768770486</v>
      </c>
      <c r="BE277" s="426">
        <f t="shared" ref="BE277" si="940">+BE636/(BE669-BE668)</f>
        <v>0.51955218385244661</v>
      </c>
      <c r="BF277" s="426">
        <f>+BF636/(BF669-BF668)</f>
        <v>0.51253860030567688</v>
      </c>
      <c r="BG277" s="426">
        <f>+BG636/(BG669-BG668)</f>
        <v>0.50388515537839573</v>
      </c>
      <c r="BH277" s="426">
        <f t="shared" ref="BH277" si="941">+BH636/(BH669-BH668)</f>
        <v>0.51792598117360611</v>
      </c>
      <c r="BI277" s="426">
        <f>+BI636/(BI669-BI668)</f>
        <v>0.5110580084090085</v>
      </c>
      <c r="BJ277" s="426">
        <f>+BJ636/(BJ669-BJ668)</f>
        <v>0.50244163908326944</v>
      </c>
      <c r="BK277" s="426">
        <f t="shared" ref="BK277" si="942">+BK636/(BK669-BK668)</f>
        <v>0.51619219226916091</v>
      </c>
      <c r="BL277" s="426">
        <f>+BL636/(BL669-BL668)</f>
        <v>0.50946755303118962</v>
      </c>
      <c r="BM277" s="426">
        <f>+BM636/(BM669-BM668)</f>
        <v>0.50088709455736469</v>
      </c>
      <c r="BN277" s="426">
        <f t="shared" ref="BN277" si="943">+BN636/(BN669-BN668)</f>
        <v>0.51435184776754717</v>
      </c>
      <c r="BO277" s="426">
        <f>+BO636/(BO669-BO668)</f>
        <v>0.50776825734609876</v>
      </c>
      <c r="BP277" s="426">
        <f>+BP636/(BP669-BP668)</f>
        <v>0.49922259592630119</v>
      </c>
      <c r="BQ277" s="426">
        <f t="shared" ref="BQ277" si="944">+BQ636/(BQ669-BQ668)</f>
        <v>0.51240603880160662</v>
      </c>
      <c r="BR277" s="426">
        <f>+BR636/(BR669-BR668)</f>
        <v>0.50596120875503592</v>
      </c>
    </row>
    <row r="278" spans="1:70" customFormat="1" ht="11.25" customHeight="1" outlineLevel="1">
      <c r="A278" s="6"/>
      <c r="B278" s="6"/>
      <c r="C278" s="108" t="s">
        <v>704</v>
      </c>
      <c r="D278" s="31" t="s">
        <v>66</v>
      </c>
      <c r="E278" s="31"/>
      <c r="F278" s="31"/>
      <c r="G278" s="564"/>
      <c r="H278" s="564"/>
      <c r="I278" s="564"/>
      <c r="J278" s="564"/>
      <c r="K278" s="682"/>
      <c r="L278" s="682"/>
      <c r="M278" s="682"/>
      <c r="N278" s="682"/>
      <c r="O278" s="682"/>
      <c r="P278" s="682"/>
      <c r="Q278" s="682"/>
      <c r="R278" s="682"/>
      <c r="S278" s="682"/>
      <c r="T278" s="682"/>
      <c r="U278" s="682"/>
      <c r="V278" s="682"/>
      <c r="W278" s="682"/>
      <c r="X278" s="682"/>
      <c r="Y278" s="682"/>
      <c r="Z278" s="682"/>
      <c r="AA278" s="682"/>
      <c r="AB278" s="682"/>
      <c r="AC278" s="450">
        <v>0.8</v>
      </c>
      <c r="AD278" s="450">
        <v>0.8</v>
      </c>
      <c r="AE278" s="680">
        <f>AVERAGE(AC278,AD278)</f>
        <v>0.8</v>
      </c>
      <c r="AF278" s="680">
        <f t="shared" ref="AF278:BR278" si="945">(AC278*(1+AF294+AF295+AF315+AF322+AF642))/((AC278*(1+AF294+AF295+AF315+AF322+AF642))+(AC279*(1+AF296+AF297+AF315+AF323+AF642)))</f>
        <v>0.79546231521882316</v>
      </c>
      <c r="AG278" s="969">
        <f t="shared" si="945"/>
        <v>0.79742374748315292</v>
      </c>
      <c r="AH278" s="680">
        <f t="shared" si="945"/>
        <v>0.79639240844879011</v>
      </c>
      <c r="AI278" s="680">
        <f t="shared" si="945"/>
        <v>0.78938351881548263</v>
      </c>
      <c r="AJ278" s="680">
        <f t="shared" si="945"/>
        <v>0.7979863658208759</v>
      </c>
      <c r="AK278" s="680">
        <f t="shared" si="945"/>
        <v>0.7936219053494058</v>
      </c>
      <c r="AL278" s="680">
        <f t="shared" si="945"/>
        <v>0.78780476646666664</v>
      </c>
      <c r="AM278" s="680">
        <f t="shared" si="945"/>
        <v>0.79359219827802352</v>
      </c>
      <c r="AN278" s="680">
        <f t="shared" si="945"/>
        <v>0.79061226040199828</v>
      </c>
      <c r="AO278" s="680">
        <f t="shared" si="945"/>
        <v>0.78502647191684027</v>
      </c>
      <c r="AP278" s="680">
        <f t="shared" si="945"/>
        <v>0.79133259245612886</v>
      </c>
      <c r="AQ278" s="680">
        <f t="shared" si="945"/>
        <v>0.7880944011435721</v>
      </c>
      <c r="AR278" s="680">
        <f t="shared" si="945"/>
        <v>0.78269877109915886</v>
      </c>
      <c r="AS278" s="680">
        <f t="shared" si="945"/>
        <v>0.7890548253145111</v>
      </c>
      <c r="AT278" s="680">
        <f t="shared" si="945"/>
        <v>0.78579084770713381</v>
      </c>
      <c r="AU278" s="680">
        <f t="shared" si="945"/>
        <v>0.7803529182596346</v>
      </c>
      <c r="AV278" s="680">
        <f t="shared" si="945"/>
        <v>0.78675889458885728</v>
      </c>
      <c r="AW278" s="680">
        <f t="shared" si="945"/>
        <v>0.78346913320866629</v>
      </c>
      <c r="AX278" s="680">
        <f t="shared" si="945"/>
        <v>0.77798892423228749</v>
      </c>
      <c r="AY278" s="680">
        <f t="shared" si="945"/>
        <v>0.78444480143442374</v>
      </c>
      <c r="AZ278" s="680">
        <f t="shared" si="945"/>
        <v>0.78112926374922198</v>
      </c>
      <c r="BA278" s="680">
        <f t="shared" si="945"/>
        <v>0.77560680347007804</v>
      </c>
      <c r="BB278" s="680">
        <f t="shared" si="945"/>
        <v>0.78211255048020289</v>
      </c>
      <c r="BC278" s="680">
        <f t="shared" si="945"/>
        <v>0.77877124897933148</v>
      </c>
      <c r="BD278" s="680">
        <f t="shared" si="945"/>
        <v>0.77320657409621285</v>
      </c>
      <c r="BE278" s="680">
        <f t="shared" si="945"/>
        <v>0.77976214988239734</v>
      </c>
      <c r="BF278" s="680">
        <f t="shared" si="945"/>
        <v>0.77639510215141117</v>
      </c>
      <c r="BG278" s="680">
        <f t="shared" si="945"/>
        <v>0.77078825795456152</v>
      </c>
      <c r="BH278" s="680">
        <f t="shared" si="945"/>
        <v>0.77739361137715224</v>
      </c>
      <c r="BI278" s="680">
        <f t="shared" si="945"/>
        <v>0.77400084017135085</v>
      </c>
      <c r="BJ278" s="680">
        <f t="shared" si="945"/>
        <v>0.76835188065913007</v>
      </c>
      <c r="BK278" s="680">
        <f t="shared" si="945"/>
        <v>0.77500695033249245</v>
      </c>
      <c r="BL278" s="680">
        <f t="shared" si="945"/>
        <v>0.7715884836492326</v>
      </c>
      <c r="BM278" s="680">
        <f t="shared" si="945"/>
        <v>0.7658974716425343</v>
      </c>
      <c r="BN278" s="680">
        <f t="shared" si="945"/>
        <v>0.77260218579941031</v>
      </c>
      <c r="BO278" s="680">
        <f t="shared" si="945"/>
        <v>0.76915805694912187</v>
      </c>
      <c r="BP278" s="680">
        <f t="shared" si="945"/>
        <v>0.76342506420342293</v>
      </c>
      <c r="BQ278" s="680">
        <f t="shared" si="945"/>
        <v>0.77017934056205095</v>
      </c>
      <c r="BR278" s="680">
        <f t="shared" si="945"/>
        <v>0.76670958823787982</v>
      </c>
    </row>
    <row r="279" spans="1:70" customFormat="1" ht="11.25" customHeight="1" outlineLevel="1">
      <c r="A279" s="6"/>
      <c r="B279" s="6"/>
      <c r="C279" s="108" t="s">
        <v>705</v>
      </c>
      <c r="D279" s="31" t="s">
        <v>66</v>
      </c>
      <c r="E279" s="31"/>
      <c r="F279" s="31"/>
      <c r="G279" s="564"/>
      <c r="H279" s="564"/>
      <c r="I279" s="564"/>
      <c r="J279" s="564"/>
      <c r="K279" s="682"/>
      <c r="L279" s="682"/>
      <c r="M279" s="682"/>
      <c r="N279" s="682"/>
      <c r="O279" s="682"/>
      <c r="P279" s="682"/>
      <c r="Q279" s="682"/>
      <c r="R279" s="682"/>
      <c r="S279" s="682"/>
      <c r="T279" s="682"/>
      <c r="U279" s="682"/>
      <c r="V279" s="682"/>
      <c r="W279" s="682"/>
      <c r="X279" s="682"/>
      <c r="Y279" s="682"/>
      <c r="Z279" s="682"/>
      <c r="AA279" s="682"/>
      <c r="AB279" s="682"/>
      <c r="AC279" s="450">
        <v>0.2</v>
      </c>
      <c r="AD279" s="450">
        <v>0.2</v>
      </c>
      <c r="AE279" s="680">
        <f>AVERAGE(AC279,AD279)</f>
        <v>0.2</v>
      </c>
      <c r="AF279" s="680">
        <f t="shared" ref="AF279:BR279" si="946">(AC279*(1+AF296+AF297+AF315+AF323+AF642))/((AC278*(1+AF294+AF295+AF315+AF322+AF642))+(AC279*(1+AF296+AF297+AF315+AF323+AF642)))</f>
        <v>0.20453768478117698</v>
      </c>
      <c r="AG279" s="969">
        <f t="shared" si="946"/>
        <v>0.20257625251684702</v>
      </c>
      <c r="AH279" s="680">
        <f t="shared" si="946"/>
        <v>0.20360759155120989</v>
      </c>
      <c r="AI279" s="680">
        <f t="shared" si="946"/>
        <v>0.21061648118451734</v>
      </c>
      <c r="AJ279" s="680">
        <f t="shared" si="946"/>
        <v>0.20201363417912407</v>
      </c>
      <c r="AK279" s="680">
        <f t="shared" si="946"/>
        <v>0.20637809465059415</v>
      </c>
      <c r="AL279" s="680">
        <f t="shared" si="946"/>
        <v>0.21219523353333325</v>
      </c>
      <c r="AM279" s="680">
        <f t="shared" si="946"/>
        <v>0.20640780172197648</v>
      </c>
      <c r="AN279" s="680">
        <f t="shared" si="946"/>
        <v>0.20938773959800158</v>
      </c>
      <c r="AO279" s="680">
        <f t="shared" si="946"/>
        <v>0.21497352808315978</v>
      </c>
      <c r="AP279" s="680">
        <f t="shared" si="946"/>
        <v>0.20866740754387128</v>
      </c>
      <c r="AQ279" s="680">
        <f t="shared" si="946"/>
        <v>0.21190559885642798</v>
      </c>
      <c r="AR279" s="680">
        <f t="shared" si="946"/>
        <v>0.21730122890084116</v>
      </c>
      <c r="AS279" s="680">
        <f t="shared" si="946"/>
        <v>0.2109451746854889</v>
      </c>
      <c r="AT279" s="680">
        <f t="shared" si="946"/>
        <v>0.21420915229286616</v>
      </c>
      <c r="AU279" s="680">
        <f t="shared" si="946"/>
        <v>0.21964708174036535</v>
      </c>
      <c r="AV279" s="680">
        <f t="shared" si="946"/>
        <v>0.2132411054111428</v>
      </c>
      <c r="AW279" s="680">
        <f t="shared" si="946"/>
        <v>0.21653086679133368</v>
      </c>
      <c r="AX279" s="680">
        <f t="shared" si="946"/>
        <v>0.22201107576771245</v>
      </c>
      <c r="AY279" s="680">
        <f t="shared" si="946"/>
        <v>0.2155551985655762</v>
      </c>
      <c r="AZ279" s="680">
        <f t="shared" si="946"/>
        <v>0.21887073625077808</v>
      </c>
      <c r="BA279" s="680">
        <f t="shared" si="946"/>
        <v>0.22439319652992201</v>
      </c>
      <c r="BB279" s="680">
        <f t="shared" si="946"/>
        <v>0.21788744951979699</v>
      </c>
      <c r="BC279" s="680">
        <f t="shared" si="946"/>
        <v>0.22122875102066841</v>
      </c>
      <c r="BD279" s="680">
        <f t="shared" si="946"/>
        <v>0.2267934259037872</v>
      </c>
      <c r="BE279" s="680">
        <f t="shared" si="946"/>
        <v>0.22023785011760266</v>
      </c>
      <c r="BF279" s="680">
        <f t="shared" si="946"/>
        <v>0.22360489784858883</v>
      </c>
      <c r="BG279" s="680">
        <f t="shared" si="946"/>
        <v>0.22921174204543834</v>
      </c>
      <c r="BH279" s="680">
        <f t="shared" si="946"/>
        <v>0.22260638862284782</v>
      </c>
      <c r="BI279" s="680">
        <f t="shared" si="946"/>
        <v>0.2259991598286491</v>
      </c>
      <c r="BJ279" s="680">
        <f t="shared" si="946"/>
        <v>0.23164811934086996</v>
      </c>
      <c r="BK279" s="680">
        <f t="shared" si="946"/>
        <v>0.22499304966750763</v>
      </c>
      <c r="BL279" s="680">
        <f t="shared" si="946"/>
        <v>0.2284115163507674</v>
      </c>
      <c r="BM279" s="680">
        <f t="shared" si="946"/>
        <v>0.23410252835746567</v>
      </c>
      <c r="BN279" s="680">
        <f t="shared" si="946"/>
        <v>0.22739781420058972</v>
      </c>
      <c r="BO279" s="680">
        <f t="shared" si="946"/>
        <v>0.23084194305087816</v>
      </c>
      <c r="BP279" s="680">
        <f t="shared" si="946"/>
        <v>0.2365749357965771</v>
      </c>
      <c r="BQ279" s="680">
        <f t="shared" si="946"/>
        <v>0.22982065943794908</v>
      </c>
      <c r="BR279" s="680">
        <f t="shared" si="946"/>
        <v>0.23329041176212026</v>
      </c>
    </row>
    <row r="280" spans="1:70" customFormat="1" ht="11.25" customHeight="1" outlineLevel="1">
      <c r="A280" s="6"/>
      <c r="B280" s="6"/>
      <c r="C280" s="9" t="s">
        <v>81</v>
      </c>
      <c r="D280" s="7" t="s">
        <v>66</v>
      </c>
      <c r="E280" s="6"/>
      <c r="F280" s="6"/>
      <c r="G280" s="565"/>
      <c r="H280" s="565"/>
      <c r="I280" s="565"/>
      <c r="J280" s="565"/>
      <c r="K280" s="683"/>
      <c r="L280" s="683"/>
      <c r="M280" s="683"/>
      <c r="N280" s="683"/>
      <c r="O280" s="683"/>
      <c r="P280" s="683"/>
      <c r="Q280" s="683"/>
      <c r="R280" s="683"/>
      <c r="S280" s="683"/>
      <c r="T280" s="683"/>
      <c r="U280" s="683"/>
      <c r="V280" s="683"/>
      <c r="W280" s="426">
        <f t="shared" ref="W280:AE280" si="947">+W644/(W669-W668)</f>
        <v>0.10497237569060773</v>
      </c>
      <c r="X280" s="426">
        <f t="shared" si="947"/>
        <v>0.10646108663729809</v>
      </c>
      <c r="Y280" s="426">
        <f t="shared" si="947"/>
        <v>0.10574362875618105</v>
      </c>
      <c r="Z280" s="426">
        <f t="shared" si="947"/>
        <v>7.36688548504741E-2</v>
      </c>
      <c r="AA280" s="426">
        <f t="shared" si="947"/>
        <v>9.4197707736389691E-2</v>
      </c>
      <c r="AB280" s="426">
        <f t="shared" si="947"/>
        <v>8.4026020961329967E-2</v>
      </c>
      <c r="AC280" s="426">
        <f t="shared" si="947"/>
        <v>0.12828601472134596</v>
      </c>
      <c r="AD280" s="426">
        <f t="shared" si="947"/>
        <v>0.13696763202725723</v>
      </c>
      <c r="AE280" s="426">
        <f t="shared" si="947"/>
        <v>0.13268832066344161</v>
      </c>
      <c r="AF280" s="426">
        <f>+AF644/(AF669-AF668)</f>
        <v>0.1290121533187909</v>
      </c>
      <c r="AG280" s="965">
        <f t="shared" ref="AG280:AM280" si="948">+AG644/(AG669-AG668)</f>
        <v>0.13051973797765043</v>
      </c>
      <c r="AH280" s="426">
        <f>+AH644/(AH669-AH668)</f>
        <v>0.12978255102516056</v>
      </c>
      <c r="AI280" s="426">
        <f>+AI644/(AI669-AI668)</f>
        <v>0.13036376631270652</v>
      </c>
      <c r="AJ280" s="426">
        <f t="shared" si="948"/>
        <v>0.13045652063594879</v>
      </c>
      <c r="AK280" s="426">
        <f>+AK644/(AK669-AK668)</f>
        <v>0.13041057442189527</v>
      </c>
      <c r="AL280" s="426">
        <f>+AL644/(AL669-AL668)</f>
        <v>0.12597763556916186</v>
      </c>
      <c r="AM280" s="426">
        <f t="shared" si="948"/>
        <v>0.12923562511529169</v>
      </c>
      <c r="AN280" s="426">
        <f>+AN644/(AN669-AN668)</f>
        <v>0.12764134561456877</v>
      </c>
      <c r="AO280" s="426">
        <f>+AO644/(AO669-AO668)</f>
        <v>0.12697668139789617</v>
      </c>
      <c r="AP280" s="426">
        <f t="shared" ref="AP280" si="949">+AP644/(AP669-AP668)</f>
        <v>0.1300976706746306</v>
      </c>
      <c r="AQ280" s="426">
        <f>+AQ644/(AQ669-AQ668)</f>
        <v>0.12856901565657067</v>
      </c>
      <c r="AR280" s="426">
        <f>+AR644/(AR669-AR668)</f>
        <v>0.12769110049044405</v>
      </c>
      <c r="AS280" s="426">
        <f t="shared" ref="AS280" si="950">+AS644/(AS669-AS668)</f>
        <v>0.13076692601523313</v>
      </c>
      <c r="AT280" s="426">
        <f>+AT644/(AT669-AT668)</f>
        <v>0.12926075314966448</v>
      </c>
      <c r="AU280" s="426">
        <f>+AU644/(AU669-AU668)</f>
        <v>0.12839028628434779</v>
      </c>
      <c r="AV280" s="426">
        <f t="shared" ref="AV280" si="951">+AV644/(AV669-AV668)</f>
        <v>0.13142167058273868</v>
      </c>
      <c r="AW280" s="426">
        <f>+AW644/(AW669-AW668)</f>
        <v>0.12993760542558383</v>
      </c>
      <c r="AX280" s="426">
        <f>+AX644/(AX669-AX668)</f>
        <v>0.12907394169403213</v>
      </c>
      <c r="AY280" s="426">
        <f t="shared" ref="AY280" si="952">+AY644/(AY669-AY668)</f>
        <v>0.13206162402986835</v>
      </c>
      <c r="AZ280" s="426">
        <f>+AZ644/(AZ669-AZ668)</f>
        <v>0.13059928477910346</v>
      </c>
      <c r="BA280" s="426">
        <f>+BA644/(BA669-BA668)</f>
        <v>0.12974176974317089</v>
      </c>
      <c r="BB280" s="426">
        <f t="shared" ref="BB280" si="953">+BB644/(BB669-BB668)</f>
        <v>0.13268650433187354</v>
      </c>
      <c r="BC280" s="426">
        <f>+BC644/(BC669-BC668)</f>
        <v>0.13124550268973426</v>
      </c>
      <c r="BD280" s="426">
        <f>+BD644/(BD669-BD668)</f>
        <v>0.13039347375467375</v>
      </c>
      <c r="BE280" s="426">
        <f t="shared" ref="BE280" si="954">+BE644/(BE669-BE668)</f>
        <v>0.1332960280004141</v>
      </c>
      <c r="BF280" s="426">
        <f>+BF644/(BF669-BF668)</f>
        <v>0.13187597002232326</v>
      </c>
      <c r="BG280" s="426">
        <f>+BG644/(BG669-BG668)</f>
        <v>0.13102875756575755</v>
      </c>
      <c r="BH280" s="426">
        <f t="shared" ref="BH280" si="955">+BH644/(BH669-BH668)</f>
        <v>0.13388991032489933</v>
      </c>
      <c r="BI280" s="426">
        <f>+BI644/(BI669-BI668)</f>
        <v>0.1324903972541053</v>
      </c>
      <c r="BJ280" s="426">
        <f>+BJ644/(BJ669-BJ668)</f>
        <v>0.13164732576809468</v>
      </c>
      <c r="BK280" s="426">
        <f t="shared" ref="BK280" si="956">+BK644/(BK669-BK668)</f>
        <v>0.13446786564116928</v>
      </c>
      <c r="BL280" s="426">
        <f>+BL644/(BL669-BL668)</f>
        <v>0.13308849472813569</v>
      </c>
      <c r="BM280" s="426">
        <f>+BM644/(BM669-BM668)</f>
        <v>0.13224888397290535</v>
      </c>
      <c r="BN280" s="426">
        <f t="shared" ref="BN280" si="957">+BN644/(BN669-BN668)</f>
        <v>0.13502960762727603</v>
      </c>
      <c r="BO280" s="426">
        <f>+BO644/(BO669-BO668)</f>
        <v>0.13366997293291227</v>
      </c>
      <c r="BP280" s="426">
        <f>+BP644/(BP669-BP668)</f>
        <v>0.1328331391007346</v>
      </c>
      <c r="BQ280" s="426">
        <f t="shared" ref="BQ280" si="958">+BQ644/(BQ669-BQ668)</f>
        <v>0.13557484962600336</v>
      </c>
      <c r="BR280" s="426">
        <f>+BR644/(BR669-BR668)</f>
        <v>0.13423454280786939</v>
      </c>
    </row>
    <row r="281" spans="1:70" customFormat="1" ht="11.25" customHeight="1" outlineLevel="1">
      <c r="A281" s="6"/>
      <c r="B281" s="6"/>
      <c r="C281" s="108" t="s">
        <v>59</v>
      </c>
      <c r="D281" s="31" t="s">
        <v>66</v>
      </c>
      <c r="E281" s="31"/>
      <c r="F281" s="31"/>
      <c r="G281" s="564"/>
      <c r="H281" s="564"/>
      <c r="I281" s="564"/>
      <c r="J281" s="564"/>
      <c r="K281" s="682"/>
      <c r="L281" s="682"/>
      <c r="M281" s="682"/>
      <c r="N281" s="682"/>
      <c r="O281" s="682"/>
      <c r="P281" s="682"/>
      <c r="Q281" s="682"/>
      <c r="R281" s="682"/>
      <c r="S281" s="682"/>
      <c r="T281" s="682"/>
      <c r="U281" s="682"/>
      <c r="V281" s="682"/>
      <c r="W281" s="682"/>
      <c r="X281" s="682"/>
      <c r="Y281" s="682"/>
      <c r="Z281" s="682"/>
      <c r="AA281" s="682"/>
      <c r="AB281" s="682"/>
      <c r="AC281" s="450">
        <v>0.55000000000000004</v>
      </c>
      <c r="AD281" s="450">
        <v>0.55000000000000004</v>
      </c>
      <c r="AE281" s="680">
        <f>AVERAGE(AC281,AD281)</f>
        <v>0.55000000000000004</v>
      </c>
      <c r="AF281" s="680">
        <f t="shared" ref="AF281:BR281" si="959">(AC281*(1+AF299+AF300+AF315+AF325+AF650))/((AC281*(1+AF299+AF300+AF315+AF325+AF650))+(AC282*(1+AF301+AF302+AF315+AF326+AF650)))</f>
        <v>0.55474226039742658</v>
      </c>
      <c r="AG281" s="969">
        <f t="shared" si="959"/>
        <v>0.55903645432986837</v>
      </c>
      <c r="AH281" s="680">
        <f t="shared" si="959"/>
        <v>0.55683235593884106</v>
      </c>
      <c r="AI281" s="680">
        <f t="shared" si="959"/>
        <v>0.56131077239587857</v>
      </c>
      <c r="AJ281" s="680">
        <f t="shared" si="959"/>
        <v>0.55531379582017026</v>
      </c>
      <c r="AK281" s="680">
        <f t="shared" si="959"/>
        <v>0.55834564138731435</v>
      </c>
      <c r="AL281" s="680">
        <f t="shared" si="959"/>
        <v>0.54298820799084591</v>
      </c>
      <c r="AM281" s="680">
        <f t="shared" si="959"/>
        <v>0.54245419440614417</v>
      </c>
      <c r="AN281" s="680">
        <f t="shared" si="959"/>
        <v>0.54283577695129825</v>
      </c>
      <c r="AO281" s="680">
        <f t="shared" si="959"/>
        <v>0.53670941396015359</v>
      </c>
      <c r="AP281" s="680">
        <f t="shared" si="959"/>
        <v>0.53717136336210114</v>
      </c>
      <c r="AQ281" s="680">
        <f t="shared" si="959"/>
        <v>0.53705375699376623</v>
      </c>
      <c r="AR281" s="680">
        <f t="shared" si="959"/>
        <v>0.53141755014798064</v>
      </c>
      <c r="AS281" s="680">
        <f t="shared" si="959"/>
        <v>0.53188017387385955</v>
      </c>
      <c r="AT281" s="680">
        <f t="shared" si="959"/>
        <v>0.53176239318151475</v>
      </c>
      <c r="AU281" s="680">
        <f t="shared" si="959"/>
        <v>0.52611861049532638</v>
      </c>
      <c r="AV281" s="680">
        <f t="shared" si="959"/>
        <v>0.52658180519756903</v>
      </c>
      <c r="AW281" s="680">
        <f t="shared" si="959"/>
        <v>0.52646387648710058</v>
      </c>
      <c r="AX281" s="680">
        <f t="shared" si="959"/>
        <v>0.52081378122461508</v>
      </c>
      <c r="AY281" s="680">
        <f t="shared" si="959"/>
        <v>0.52127744304190604</v>
      </c>
      <c r="AZ281" s="680">
        <f t="shared" si="959"/>
        <v>0.52115939275237544</v>
      </c>
      <c r="BA281" s="680">
        <f t="shared" si="959"/>
        <v>0.51550425386242871</v>
      </c>
      <c r="BB281" s="680">
        <f t="shared" si="959"/>
        <v>0.51596827851244831</v>
      </c>
      <c r="BC281" s="680">
        <f t="shared" si="959"/>
        <v>0.51585013319248951</v>
      </c>
      <c r="BD281" s="680">
        <f t="shared" si="959"/>
        <v>0.51019122417276974</v>
      </c>
      <c r="BE281" s="680">
        <f t="shared" si="959"/>
        <v>0.51065550704574214</v>
      </c>
      <c r="BF281" s="680">
        <f t="shared" si="959"/>
        <v>0.5105372933297484</v>
      </c>
      <c r="BG281" s="680">
        <f t="shared" si="959"/>
        <v>0.50487589108220998</v>
      </c>
      <c r="BH281" s="680">
        <f t="shared" si="959"/>
        <v>0.50534032733508016</v>
      </c>
      <c r="BI281" s="680">
        <f t="shared" si="959"/>
        <v>0.50522207191922663</v>
      </c>
      <c r="BJ281" s="680">
        <f t="shared" si="959"/>
        <v>0.49955945559897724</v>
      </c>
      <c r="BK281" s="680">
        <f t="shared" si="959"/>
        <v>0.50002394025003349</v>
      </c>
      <c r="BL281" s="680">
        <f t="shared" si="959"/>
        <v>0.49990566986818202</v>
      </c>
      <c r="BM281" s="680">
        <f t="shared" si="959"/>
        <v>0.49424311972804486</v>
      </c>
      <c r="BN281" s="680">
        <f t="shared" si="959"/>
        <v>0.49470754775180892</v>
      </c>
      <c r="BO281" s="680">
        <f t="shared" si="959"/>
        <v>0.4945892891513396</v>
      </c>
      <c r="BP281" s="680">
        <f t="shared" si="959"/>
        <v>0.48892808538430704</v>
      </c>
      <c r="BQ281" s="680">
        <f t="shared" si="959"/>
        <v>0.48939235180650831</v>
      </c>
      <c r="BR281" s="680">
        <f t="shared" si="959"/>
        <v>0.4892741317241257</v>
      </c>
    </row>
    <row r="282" spans="1:70" customFormat="1" ht="11.25" customHeight="1" outlineLevel="1">
      <c r="A282" s="6"/>
      <c r="B282" s="6"/>
      <c r="C282" s="108" t="s">
        <v>93</v>
      </c>
      <c r="D282" s="31" t="s">
        <v>66</v>
      </c>
      <c r="E282" s="31"/>
      <c r="F282" s="31"/>
      <c r="G282" s="564"/>
      <c r="H282" s="564"/>
      <c r="I282" s="564"/>
      <c r="J282" s="564"/>
      <c r="K282" s="682"/>
      <c r="L282" s="682"/>
      <c r="M282" s="682"/>
      <c r="N282" s="682"/>
      <c r="O282" s="682"/>
      <c r="P282" s="682"/>
      <c r="Q282" s="682"/>
      <c r="R282" s="682"/>
      <c r="S282" s="682"/>
      <c r="T282" s="682"/>
      <c r="U282" s="682"/>
      <c r="V282" s="682"/>
      <c r="W282" s="682"/>
      <c r="X282" s="682"/>
      <c r="Y282" s="682"/>
      <c r="Z282" s="682"/>
      <c r="AA282" s="682"/>
      <c r="AB282" s="682"/>
      <c r="AC282" s="450">
        <v>0.45</v>
      </c>
      <c r="AD282" s="450">
        <v>0.45</v>
      </c>
      <c r="AE282" s="680">
        <f>AVERAGE(AC282,AD282)</f>
        <v>0.45</v>
      </c>
      <c r="AF282" s="680">
        <f t="shared" ref="AF282:BR282" si="960">(AC282*(1+AF301+AF302+AF315+AF326+AF650))/((AC281*(1+AF299+AF300+AF315+AF325+AF650))+(AC282*(1+AF301+AF302+AF315+AF326+AF650)))</f>
        <v>0.44525773960257337</v>
      </c>
      <c r="AG282" s="969">
        <f t="shared" si="960"/>
        <v>0.44096354567013163</v>
      </c>
      <c r="AH282" s="680">
        <f t="shared" si="960"/>
        <v>0.44316764406115888</v>
      </c>
      <c r="AI282" s="680">
        <f t="shared" si="960"/>
        <v>0.43868922760412132</v>
      </c>
      <c r="AJ282" s="680">
        <f t="shared" si="960"/>
        <v>0.44468620417982968</v>
      </c>
      <c r="AK282" s="680">
        <f t="shared" si="960"/>
        <v>0.44165435861268559</v>
      </c>
      <c r="AL282" s="680">
        <f t="shared" si="960"/>
        <v>0.45701179200915398</v>
      </c>
      <c r="AM282" s="680">
        <f t="shared" si="960"/>
        <v>0.45754580559385594</v>
      </c>
      <c r="AN282" s="680">
        <f t="shared" si="960"/>
        <v>0.45716422304870175</v>
      </c>
      <c r="AO282" s="680">
        <f t="shared" si="960"/>
        <v>0.46329058603984641</v>
      </c>
      <c r="AP282" s="680">
        <f t="shared" si="960"/>
        <v>0.4628286366378988</v>
      </c>
      <c r="AQ282" s="680">
        <f t="shared" si="960"/>
        <v>0.46294624300623383</v>
      </c>
      <c r="AR282" s="680">
        <f t="shared" si="960"/>
        <v>0.46858244985201941</v>
      </c>
      <c r="AS282" s="680">
        <f t="shared" si="960"/>
        <v>0.4681198261261405</v>
      </c>
      <c r="AT282" s="680">
        <f t="shared" si="960"/>
        <v>0.46823760681848525</v>
      </c>
      <c r="AU282" s="680">
        <f t="shared" si="960"/>
        <v>0.47388138950467351</v>
      </c>
      <c r="AV282" s="680">
        <f t="shared" si="960"/>
        <v>0.47341819480243091</v>
      </c>
      <c r="AW282" s="680">
        <f t="shared" si="960"/>
        <v>0.47353612351289937</v>
      </c>
      <c r="AX282" s="680">
        <f t="shared" si="960"/>
        <v>0.47918621877538492</v>
      </c>
      <c r="AY282" s="680">
        <f t="shared" si="960"/>
        <v>0.47872255695809401</v>
      </c>
      <c r="AZ282" s="680">
        <f t="shared" si="960"/>
        <v>0.47884060724762445</v>
      </c>
      <c r="BA282" s="680">
        <f t="shared" si="960"/>
        <v>0.48449574613757124</v>
      </c>
      <c r="BB282" s="680">
        <f t="shared" si="960"/>
        <v>0.48403172148755186</v>
      </c>
      <c r="BC282" s="680">
        <f t="shared" si="960"/>
        <v>0.4841498668075106</v>
      </c>
      <c r="BD282" s="680">
        <f t="shared" si="960"/>
        <v>0.48980877582723026</v>
      </c>
      <c r="BE282" s="680">
        <f t="shared" si="960"/>
        <v>0.4893444929542578</v>
      </c>
      <c r="BF282" s="680">
        <f t="shared" si="960"/>
        <v>0.4894627066702516</v>
      </c>
      <c r="BG282" s="680">
        <f t="shared" si="960"/>
        <v>0.49512410891778996</v>
      </c>
      <c r="BH282" s="680">
        <f t="shared" si="960"/>
        <v>0.49465967266491989</v>
      </c>
      <c r="BI282" s="680">
        <f t="shared" si="960"/>
        <v>0.49477792808077331</v>
      </c>
      <c r="BJ282" s="680">
        <f t="shared" si="960"/>
        <v>0.5004405444010227</v>
      </c>
      <c r="BK282" s="680">
        <f t="shared" si="960"/>
        <v>0.49997605974996656</v>
      </c>
      <c r="BL282" s="680">
        <f t="shared" si="960"/>
        <v>0.50009433013181803</v>
      </c>
      <c r="BM282" s="680">
        <f t="shared" si="960"/>
        <v>0.5057568802719552</v>
      </c>
      <c r="BN282" s="680">
        <f t="shared" si="960"/>
        <v>0.50529245224819119</v>
      </c>
      <c r="BO282" s="680">
        <f t="shared" si="960"/>
        <v>0.5054107108486604</v>
      </c>
      <c r="BP282" s="680">
        <f t="shared" si="960"/>
        <v>0.5110719146156929</v>
      </c>
      <c r="BQ282" s="680">
        <f t="shared" si="960"/>
        <v>0.5106076481934918</v>
      </c>
      <c r="BR282" s="680">
        <f t="shared" si="960"/>
        <v>0.51072586827587441</v>
      </c>
    </row>
    <row r="283" spans="1:70" customFormat="1" ht="11.25" customHeight="1" outlineLevel="1">
      <c r="A283" s="6"/>
      <c r="B283" s="6"/>
      <c r="C283" s="9" t="s">
        <v>83</v>
      </c>
      <c r="D283" s="7" t="s">
        <v>66</v>
      </c>
      <c r="E283" s="6"/>
      <c r="F283" s="6"/>
      <c r="G283" s="565"/>
      <c r="H283" s="565"/>
      <c r="I283" s="565"/>
      <c r="J283" s="565"/>
      <c r="K283" s="426">
        <f>+K652/(K669-K668)</f>
        <v>0.12156166814551908</v>
      </c>
      <c r="L283" s="426">
        <f>+L652/(L669-L668)</f>
        <v>0.12099187687045745</v>
      </c>
      <c r="M283" s="426">
        <f>+M652/(M669-M668)</f>
        <v>0.12127150010886131</v>
      </c>
      <c r="N283" s="426">
        <f t="shared" ref="N283:Y283" si="961">+N652/(N669-N668)</f>
        <v>0.13666228646517739</v>
      </c>
      <c r="O283" s="426">
        <f t="shared" si="961"/>
        <v>0.15216494845360826</v>
      </c>
      <c r="P283" s="426">
        <f t="shared" si="961"/>
        <v>0.14464740866610026</v>
      </c>
      <c r="Q283" s="426">
        <f t="shared" si="961"/>
        <v>0.19905771495877503</v>
      </c>
      <c r="R283" s="426">
        <f t="shared" si="961"/>
        <v>0.17101675107128944</v>
      </c>
      <c r="S283" s="426">
        <f t="shared" si="961"/>
        <v>0.18498240125146656</v>
      </c>
      <c r="T283" s="426">
        <f t="shared" si="961"/>
        <v>0.18339379282547361</v>
      </c>
      <c r="U283" s="426">
        <f t="shared" si="961"/>
        <v>0.17538340542666142</v>
      </c>
      <c r="V283" s="426">
        <f t="shared" si="961"/>
        <v>0.17933917197452229</v>
      </c>
      <c r="W283" s="426">
        <f t="shared" si="961"/>
        <v>0.19850039463299132</v>
      </c>
      <c r="X283" s="426">
        <f t="shared" si="961"/>
        <v>0.18575624082232012</v>
      </c>
      <c r="Y283" s="426">
        <f t="shared" si="961"/>
        <v>0.19189806009889693</v>
      </c>
      <c r="Z283" s="426">
        <f t="shared" ref="Z283:AE283" si="962">+Z652/(Z669-Z668)</f>
        <v>0.19839533187454414</v>
      </c>
      <c r="AA283" s="426">
        <f t="shared" si="962"/>
        <v>0.18230659025787965</v>
      </c>
      <c r="AB283" s="426">
        <f t="shared" si="962"/>
        <v>0.19027827972533429</v>
      </c>
      <c r="AC283" s="426">
        <f t="shared" si="962"/>
        <v>0.19348054679284962</v>
      </c>
      <c r="AD283" s="426">
        <f t="shared" si="962"/>
        <v>0.18807495741056218</v>
      </c>
      <c r="AE283" s="426">
        <f t="shared" si="962"/>
        <v>0.19073946095369732</v>
      </c>
      <c r="AF283" s="426">
        <f>+AF652/(AF669-AF668)</f>
        <v>0.19009037083203489</v>
      </c>
      <c r="AG283" s="965">
        <f t="shared" ref="AG283:AM283" si="963">+AG652/(AG669-AG668)</f>
        <v>0.18716597347811106</v>
      </c>
      <c r="AH283" s="426">
        <f>+AH652/(AH669-AH668)</f>
        <v>0.18859596121414934</v>
      </c>
      <c r="AI283" s="426">
        <f>+AI652/(AI669-AI668)</f>
        <v>0.18916380036240071</v>
      </c>
      <c r="AJ283" s="426">
        <f t="shared" si="963"/>
        <v>0.18217118774102695</v>
      </c>
      <c r="AK283" s="426">
        <f>+AK652/(AK669-AK668)</f>
        <v>0.18563500554557075</v>
      </c>
      <c r="AL283" s="426">
        <f>+AL652/(AL669-AL668)</f>
        <v>0.18455685704535463</v>
      </c>
      <c r="AM283" s="426">
        <f t="shared" si="963"/>
        <v>0.18436982570624072</v>
      </c>
      <c r="AN283" s="426">
        <f>+AN652/(AN669-AN668)</f>
        <v>0.18446134847686971</v>
      </c>
      <c r="AO283" s="426">
        <f>+AO652/(AO669-AO668)</f>
        <v>0.18906508699865526</v>
      </c>
      <c r="AP283" s="426">
        <f t="shared" ref="AP283" si="964">+AP652/(AP669-AP668)</f>
        <v>0.18868887410400229</v>
      </c>
      <c r="AQ283" s="426">
        <f>+AQ652/(AQ669-AQ668)</f>
        <v>0.18887314251323947</v>
      </c>
      <c r="AR283" s="426">
        <f>+AR652/(AR669-AR668)</f>
        <v>0.19325782936415001</v>
      </c>
      <c r="AS283" s="426">
        <f t="shared" ref="AS283" si="965">+AS652/(AS669-AS668)</f>
        <v>0.1928146560618125</v>
      </c>
      <c r="AT283" s="426">
        <f>+AT652/(AT669-AT668)</f>
        <v>0.19303166954237105</v>
      </c>
      <c r="AU283" s="426">
        <f>+AU652/(AU669-AU668)</f>
        <v>0.19751214837951342</v>
      </c>
      <c r="AV283" s="426">
        <f t="shared" ref="AV283" si="966">+AV652/(AV669-AV668)</f>
        <v>0.19700195649283742</v>
      </c>
      <c r="AW283" s="426">
        <f>+AW652/(AW669-AW668)</f>
        <v>0.19725172951002984</v>
      </c>
      <c r="AX283" s="426">
        <f>+AX652/(AX669-AX668)</f>
        <v>0.20182798492353998</v>
      </c>
      <c r="AY283" s="426">
        <f t="shared" ref="AY283" si="967">+AY652/(AY669-AY668)</f>
        <v>0.20125078744812155</v>
      </c>
      <c r="AZ283" s="426">
        <f>+AZ652/(AZ669-AZ668)</f>
        <v>0.20153330025533089</v>
      </c>
      <c r="BA283" s="426">
        <f>+BA652/(BA669-BA668)</f>
        <v>0.20620523915330097</v>
      </c>
      <c r="BB283" s="426">
        <f t="shared" ref="BB283" si="968">+BB652/(BB669-BB668)</f>
        <v>0.20556112060558418</v>
      </c>
      <c r="BC283" s="426">
        <f>+BC652/(BC669-BC668)</f>
        <v>0.20587631909191065</v>
      </c>
      <c r="BD283" s="426">
        <f>+BD652/(BD669-BD668)</f>
        <v>0.21064376923277742</v>
      </c>
      <c r="BE283" s="426">
        <f t="shared" ref="BE283" si="969">+BE652/(BE669-BE668)</f>
        <v>0.2099328858876042</v>
      </c>
      <c r="BF283" s="426">
        <f>+BF652/(BF669-BF668)</f>
        <v>0.21028068147739776</v>
      </c>
      <c r="BG283" s="426">
        <f>+BG652/(BG669-BG668)</f>
        <v>0.21514339009339661</v>
      </c>
      <c r="BH283" s="426">
        <f t="shared" ref="BH283" si="970">+BH652/(BH669-BH668)</f>
        <v>0.21436597010818337</v>
      </c>
      <c r="BI283" s="426">
        <f>+BI652/(BI669-BI668)</f>
        <v>0.21474623971361639</v>
      </c>
      <c r="BJ283" s="426">
        <f>+BJ652/(BJ669-BJ668)</f>
        <v>0.21970387223171994</v>
      </c>
      <c r="BK283" s="426">
        <f t="shared" ref="BK283" si="971">+BK652/(BK669-BK668)</f>
        <v>0.21886021565505803</v>
      </c>
      <c r="BL283" s="426">
        <f>+BL652/(BL669-BL668)</f>
        <v>0.21927280168284161</v>
      </c>
      <c r="BM283" s="426">
        <f>+BM652/(BM669-BM668)</f>
        <v>0.22432494054962326</v>
      </c>
      <c r="BN283" s="426">
        <f t="shared" ref="BN283" si="972">+BN652/(BN669-BN668)</f>
        <v>0.22341541921224187</v>
      </c>
      <c r="BO283" s="426">
        <f>+BO652/(BO669-BO668)</f>
        <v>0.22386012962552734</v>
      </c>
      <c r="BP283" s="426">
        <f>+BP652/(BP669-BP668)</f>
        <v>0.22900627324238498</v>
      </c>
      <c r="BQ283" s="426">
        <f t="shared" ref="BQ283" si="973">+BQ652/(BQ669-BQ668)</f>
        <v>0.22803133052857508</v>
      </c>
      <c r="BR283" s="426">
        <f>+BR652/(BR669-BR668)</f>
        <v>0.22850793896501143</v>
      </c>
    </row>
    <row r="284" spans="1:70" customFormat="1" ht="11.25" customHeight="1" outlineLevel="1">
      <c r="A284" s="6"/>
      <c r="B284" s="6"/>
      <c r="C284" s="108" t="s">
        <v>289</v>
      </c>
      <c r="D284" s="31" t="s">
        <v>66</v>
      </c>
      <c r="E284" s="31"/>
      <c r="F284" s="31"/>
      <c r="G284" s="564"/>
      <c r="H284" s="564"/>
      <c r="I284" s="564"/>
      <c r="J284" s="564"/>
      <c r="K284" s="682"/>
      <c r="L284" s="682"/>
      <c r="M284" s="682"/>
      <c r="N284" s="682"/>
      <c r="O284" s="682"/>
      <c r="P284" s="682"/>
      <c r="Q284" s="682"/>
      <c r="R284" s="682"/>
      <c r="S284" s="682"/>
      <c r="T284" s="682"/>
      <c r="U284" s="682"/>
      <c r="V284" s="682"/>
      <c r="W284" s="682"/>
      <c r="X284" s="682"/>
      <c r="Y284" s="682"/>
      <c r="Z284" s="682"/>
      <c r="AA284" s="682"/>
      <c r="AB284" s="682"/>
      <c r="AC284" s="450">
        <v>0.35</v>
      </c>
      <c r="AD284" s="450">
        <v>0.35</v>
      </c>
      <c r="AE284" s="680">
        <f>AVERAGE(AC284,AD284)</f>
        <v>0.35</v>
      </c>
      <c r="AF284" s="680">
        <f t="shared" ref="AF284:BR284" si="974">(AC284*(1+AF304+AF305+AF315+AF328+AF658))/((AC284*(1+AF304+AF305+AF315+AF328+AF658))+(AC285*(1+AF306+AF307+AF315+AF329+AF658))+(AC286*(1+AF308+AF309+AF315+AF330+AF658)))</f>
        <v>0.34888369913191863</v>
      </c>
      <c r="AG284" s="969">
        <f t="shared" si="974"/>
        <v>0.36033274485598787</v>
      </c>
      <c r="AH284" s="680">
        <f t="shared" si="974"/>
        <v>0.35471888988550904</v>
      </c>
      <c r="AI284" s="680">
        <f t="shared" si="974"/>
        <v>0.36926360002487679</v>
      </c>
      <c r="AJ284" s="680">
        <f t="shared" si="974"/>
        <v>0.38479902849351794</v>
      </c>
      <c r="AK284" s="680">
        <f t="shared" si="974"/>
        <v>0.37712824909538978</v>
      </c>
      <c r="AL284" s="680">
        <f t="shared" si="974"/>
        <v>0.38064417247963578</v>
      </c>
      <c r="AM284" s="680">
        <f t="shared" si="974"/>
        <v>0.38835937692646899</v>
      </c>
      <c r="AN284" s="680">
        <f t="shared" si="974"/>
        <v>0.38446246660903771</v>
      </c>
      <c r="AO284" s="680">
        <f t="shared" si="974"/>
        <v>0.38523024724867211</v>
      </c>
      <c r="AP284" s="680">
        <f t="shared" si="974"/>
        <v>0.39282449845155265</v>
      </c>
      <c r="AQ284" s="680">
        <f t="shared" si="974"/>
        <v>0.38898843815179424</v>
      </c>
      <c r="AR284" s="680">
        <f t="shared" si="974"/>
        <v>0.38968348679066017</v>
      </c>
      <c r="AS284" s="680">
        <f t="shared" si="974"/>
        <v>0.39729967767571434</v>
      </c>
      <c r="AT284" s="680">
        <f t="shared" si="974"/>
        <v>0.39345309904795089</v>
      </c>
      <c r="AU284" s="680">
        <f t="shared" si="974"/>
        <v>0.39414729140443627</v>
      </c>
      <c r="AV284" s="680">
        <f t="shared" si="974"/>
        <v>0.40178412933053426</v>
      </c>
      <c r="AW284" s="680">
        <f t="shared" si="974"/>
        <v>0.39792768948084495</v>
      </c>
      <c r="AX284" s="680">
        <f t="shared" si="974"/>
        <v>0.39862088091056525</v>
      </c>
      <c r="AY284" s="680">
        <f t="shared" si="974"/>
        <v>0.40627706465317415</v>
      </c>
      <c r="AZ284" s="680">
        <f t="shared" si="974"/>
        <v>0.40241142467932917</v>
      </c>
      <c r="BA284" s="680">
        <f t="shared" si="974"/>
        <v>0.4031034712708344</v>
      </c>
      <c r="BB284" s="680">
        <f t="shared" si="974"/>
        <v>0.4107776919677073</v>
      </c>
      <c r="BC284" s="680">
        <f t="shared" si="974"/>
        <v>0.40690351647729806</v>
      </c>
      <c r="BD284" s="680">
        <f t="shared" si="974"/>
        <v>0.40759427516490715</v>
      </c>
      <c r="BE284" s="680">
        <f t="shared" si="974"/>
        <v>0.41528521726823664</v>
      </c>
      <c r="BF284" s="680">
        <f t="shared" si="974"/>
        <v>0.41140317389402897</v>
      </c>
      <c r="BG284" s="680">
        <f t="shared" si="974"/>
        <v>0.41209250256934288</v>
      </c>
      <c r="BH284" s="680">
        <f t="shared" si="974"/>
        <v>0.41979884480288321</v>
      </c>
      <c r="BI284" s="680">
        <f t="shared" si="974"/>
        <v>0.41590960371615487</v>
      </c>
      <c r="BJ284" s="680">
        <f t="shared" si="974"/>
        <v>0.41659736133807046</v>
      </c>
      <c r="BK284" s="680">
        <f t="shared" si="974"/>
        <v>0.42431777765772805</v>
      </c>
      <c r="BL284" s="680">
        <f t="shared" si="974"/>
        <v>0.42042201108035337</v>
      </c>
      <c r="BM284" s="680">
        <f t="shared" si="974"/>
        <v>0.42110805778340327</v>
      </c>
      <c r="BN284" s="680">
        <f t="shared" si="974"/>
        <v>0.42884121833979477</v>
      </c>
      <c r="BO284" s="680">
        <f t="shared" si="974"/>
        <v>0.42493960005583825</v>
      </c>
      <c r="BP284" s="680">
        <f t="shared" si="974"/>
        <v>0.42562379725668836</v>
      </c>
      <c r="BQ284" s="680">
        <f t="shared" si="974"/>
        <v>0.4333683693581688</v>
      </c>
      <c r="BR284" s="680">
        <f t="shared" si="974"/>
        <v>0.42946157422574649</v>
      </c>
    </row>
    <row r="285" spans="1:70" customFormat="1" ht="11.25" customHeight="1" outlineLevel="1">
      <c r="A285" s="6"/>
      <c r="B285" s="6"/>
      <c r="C285" s="108" t="s">
        <v>537</v>
      </c>
      <c r="D285" s="31" t="s">
        <v>66</v>
      </c>
      <c r="E285" s="31"/>
      <c r="F285" s="31"/>
      <c r="G285" s="564"/>
      <c r="H285" s="564"/>
      <c r="I285" s="564"/>
      <c r="J285" s="564"/>
      <c r="K285" s="682"/>
      <c r="L285" s="682"/>
      <c r="M285" s="682"/>
      <c r="N285" s="682"/>
      <c r="O285" s="682"/>
      <c r="P285" s="682"/>
      <c r="Q285" s="682"/>
      <c r="R285" s="682"/>
      <c r="S285" s="682"/>
      <c r="T285" s="682"/>
      <c r="U285" s="682"/>
      <c r="V285" s="682"/>
      <c r="W285" s="682"/>
      <c r="X285" s="682"/>
      <c r="Y285" s="682"/>
      <c r="Z285" s="682"/>
      <c r="AA285" s="682"/>
      <c r="AB285" s="682"/>
      <c r="AC285" s="450">
        <v>0.25</v>
      </c>
      <c r="AD285" s="450">
        <v>0.25</v>
      </c>
      <c r="AE285" s="680">
        <f>AVERAGE(AC285,AD285)</f>
        <v>0.25</v>
      </c>
      <c r="AF285" s="680">
        <f t="shared" ref="AF285:BR285" si="975">(AC285*(1+AF306+AF307+AF315+AF329+AF658))/((AC284*(1+AF304+AF305+AF315+AF328+AF658))+(AC285*(1+AF306+AF307+AF315+AF329+AF658))+(AC286*(1+AF308+AF309+AF315+AF330+AF658)))</f>
        <v>0.2501965417418382</v>
      </c>
      <c r="AG285" s="969">
        <f t="shared" si="975"/>
        <v>0.25271886260207882</v>
      </c>
      <c r="AH285" s="680">
        <f t="shared" si="975"/>
        <v>0.25149663702502301</v>
      </c>
      <c r="AI285" s="680">
        <f t="shared" si="975"/>
        <v>0.26269353569184567</v>
      </c>
      <c r="AJ285" s="680">
        <f t="shared" si="975"/>
        <v>0.26587242808275197</v>
      </c>
      <c r="AK285" s="680">
        <f t="shared" si="975"/>
        <v>0.26434507455900086</v>
      </c>
      <c r="AL285" s="680">
        <f t="shared" si="975"/>
        <v>0.26738244326854571</v>
      </c>
      <c r="AM285" s="680">
        <f t="shared" si="975"/>
        <v>0.26659168503681663</v>
      </c>
      <c r="AN285" s="680">
        <f t="shared" si="975"/>
        <v>0.26693500746409704</v>
      </c>
      <c r="AO285" s="680">
        <f t="shared" si="975"/>
        <v>0.26769418129442152</v>
      </c>
      <c r="AP285" s="680">
        <f t="shared" si="975"/>
        <v>0.26637837977615358</v>
      </c>
      <c r="AQ285" s="680">
        <f t="shared" si="975"/>
        <v>0.26698368987403098</v>
      </c>
      <c r="AR285" s="680">
        <f t="shared" si="975"/>
        <v>0.26749653371641219</v>
      </c>
      <c r="AS285" s="680">
        <f t="shared" si="975"/>
        <v>0.26613759339916615</v>
      </c>
      <c r="AT285" s="680">
        <f t="shared" si="975"/>
        <v>0.26676486982512992</v>
      </c>
      <c r="AU285" s="680">
        <f t="shared" si="975"/>
        <v>0.26727128820130597</v>
      </c>
      <c r="AV285" s="680">
        <f t="shared" si="975"/>
        <v>0.26586942411089554</v>
      </c>
      <c r="AW285" s="680">
        <f t="shared" si="975"/>
        <v>0.26651855827721249</v>
      </c>
      <c r="AX285" s="680">
        <f t="shared" si="975"/>
        <v>0.26701853531230241</v>
      </c>
      <c r="AY285" s="680">
        <f t="shared" si="975"/>
        <v>0.26557398313713515</v>
      </c>
      <c r="AZ285" s="680">
        <f t="shared" si="975"/>
        <v>0.26624485595920944</v>
      </c>
      <c r="BA285" s="680">
        <f t="shared" si="975"/>
        <v>0.26673837870277178</v>
      </c>
      <c r="BB285" s="680">
        <f t="shared" si="975"/>
        <v>0.26525139460947705</v>
      </c>
      <c r="BC285" s="680">
        <f t="shared" si="975"/>
        <v>0.26594387660349283</v>
      </c>
      <c r="BD285" s="680">
        <f t="shared" si="975"/>
        <v>0.26643093501003046</v>
      </c>
      <c r="BE285" s="680">
        <f t="shared" si="975"/>
        <v>0.26490179543597048</v>
      </c>
      <c r="BF285" s="680">
        <f t="shared" si="975"/>
        <v>0.26561574682823702</v>
      </c>
      <c r="BG285" s="680">
        <f t="shared" si="975"/>
        <v>0.26609633373460989</v>
      </c>
      <c r="BH285" s="680">
        <f t="shared" si="975"/>
        <v>0.2645253351576502</v>
      </c>
      <c r="BI285" s="680">
        <f t="shared" si="975"/>
        <v>0.26526060600544688</v>
      </c>
      <c r="BJ285" s="680">
        <f t="shared" si="975"/>
        <v>0.26573471710525653</v>
      </c>
      <c r="BK285" s="680">
        <f t="shared" si="975"/>
        <v>0.2641221757912175</v>
      </c>
      <c r="BL285" s="680">
        <f t="shared" si="975"/>
        <v>0.26487860611491421</v>
      </c>
      <c r="BM285" s="680">
        <f t="shared" si="975"/>
        <v>0.26534623992992956</v>
      </c>
      <c r="BN285" s="680">
        <f t="shared" si="975"/>
        <v>0.26369249165818665</v>
      </c>
      <c r="BO285" s="680">
        <f t="shared" si="975"/>
        <v>0.26446991158439215</v>
      </c>
      <c r="BP285" s="680">
        <f t="shared" si="975"/>
        <v>0.26493106943309175</v>
      </c>
      <c r="BQ285" s="680">
        <f t="shared" si="975"/>
        <v>0.26323646920083593</v>
      </c>
      <c r="BR285" s="680">
        <f t="shared" si="975"/>
        <v>0.26403469911630384</v>
      </c>
    </row>
    <row r="286" spans="1:70" customFormat="1" ht="11.25" customHeight="1" outlineLevel="1">
      <c r="A286" s="6"/>
      <c r="B286" s="6"/>
      <c r="C286" s="108" t="s">
        <v>290</v>
      </c>
      <c r="D286" s="31" t="s">
        <v>66</v>
      </c>
      <c r="E286" s="31"/>
      <c r="F286" s="31"/>
      <c r="G286" s="564"/>
      <c r="H286" s="564"/>
      <c r="I286" s="564"/>
      <c r="J286" s="564"/>
      <c r="K286" s="682"/>
      <c r="L286" s="682"/>
      <c r="M286" s="682"/>
      <c r="N286" s="682"/>
      <c r="O286" s="682"/>
      <c r="P286" s="682"/>
      <c r="Q286" s="682"/>
      <c r="R286" s="682"/>
      <c r="S286" s="682"/>
      <c r="T286" s="682"/>
      <c r="U286" s="682"/>
      <c r="V286" s="682"/>
      <c r="W286" s="682"/>
      <c r="X286" s="682"/>
      <c r="Y286" s="682"/>
      <c r="Z286" s="682"/>
      <c r="AA286" s="682"/>
      <c r="AB286" s="682"/>
      <c r="AC286" s="450">
        <v>0.4</v>
      </c>
      <c r="AD286" s="450">
        <v>0.4</v>
      </c>
      <c r="AE286" s="680">
        <f>AVERAGE(AC286,AD286)</f>
        <v>0.4</v>
      </c>
      <c r="AF286" s="680">
        <f t="shared" ref="AF286:BR286" si="976">(AC286*(1+AF308+AF309+AF315+AF330+AF658))/((AC284*(1+AF304+AF305+AF315+AF328+AF658))+(AC285*(1+AF306+AF307+AF315+AF329+AF658))+(AC286*(1+AF308+AF309+AF315+AF330+AF658)))</f>
        <v>0.40091975912624311</v>
      </c>
      <c r="AG286" s="969">
        <f t="shared" si="976"/>
        <v>0.38694839254193331</v>
      </c>
      <c r="AH286" s="680">
        <f t="shared" si="976"/>
        <v>0.39378447308946801</v>
      </c>
      <c r="AI286" s="680">
        <f t="shared" si="976"/>
        <v>0.36804286428327748</v>
      </c>
      <c r="AJ286" s="680">
        <f t="shared" si="976"/>
        <v>0.34932854342373015</v>
      </c>
      <c r="AK286" s="680">
        <f t="shared" si="976"/>
        <v>0.35852667634560942</v>
      </c>
      <c r="AL286" s="680">
        <f t="shared" si="976"/>
        <v>0.35197338425181851</v>
      </c>
      <c r="AM286" s="680">
        <f t="shared" si="976"/>
        <v>0.34504893803671433</v>
      </c>
      <c r="AN286" s="680">
        <f t="shared" si="976"/>
        <v>0.34860252592686525</v>
      </c>
      <c r="AO286" s="680">
        <f t="shared" si="976"/>
        <v>0.34707557145690621</v>
      </c>
      <c r="AP286" s="680">
        <f t="shared" si="976"/>
        <v>0.34079712177229377</v>
      </c>
      <c r="AQ286" s="680">
        <f t="shared" si="976"/>
        <v>0.34402787197417461</v>
      </c>
      <c r="AR286" s="680">
        <f t="shared" si="976"/>
        <v>0.34281997949292764</v>
      </c>
      <c r="AS286" s="680">
        <f t="shared" si="976"/>
        <v>0.33656272892511951</v>
      </c>
      <c r="AT286" s="680">
        <f t="shared" si="976"/>
        <v>0.33978203112691924</v>
      </c>
      <c r="AU286" s="680">
        <f t="shared" si="976"/>
        <v>0.33858142039425781</v>
      </c>
      <c r="AV286" s="680">
        <f t="shared" si="976"/>
        <v>0.33234644655857026</v>
      </c>
      <c r="AW286" s="680">
        <f t="shared" si="976"/>
        <v>0.33555375224194267</v>
      </c>
      <c r="AX286" s="680">
        <f t="shared" si="976"/>
        <v>0.33436058377713235</v>
      </c>
      <c r="AY286" s="680">
        <f t="shared" si="976"/>
        <v>0.32814895220969065</v>
      </c>
      <c r="AZ286" s="680">
        <f t="shared" si="976"/>
        <v>0.3313437193614614</v>
      </c>
      <c r="BA286" s="680">
        <f t="shared" si="976"/>
        <v>0.33015815002639382</v>
      </c>
      <c r="BB286" s="680">
        <f t="shared" si="976"/>
        <v>0.3239709134228157</v>
      </c>
      <c r="BC286" s="680">
        <f t="shared" si="976"/>
        <v>0.327152606919209</v>
      </c>
      <c r="BD286" s="680">
        <f t="shared" si="976"/>
        <v>0.32597478982506245</v>
      </c>
      <c r="BE286" s="680">
        <f t="shared" si="976"/>
        <v>0.31981298729579299</v>
      </c>
      <c r="BF286" s="680">
        <f t="shared" si="976"/>
        <v>0.3229810792777339</v>
      </c>
      <c r="BG286" s="680">
        <f t="shared" si="976"/>
        <v>0.32181116369604723</v>
      </c>
      <c r="BH286" s="680">
        <f t="shared" si="976"/>
        <v>0.31567582003946665</v>
      </c>
      <c r="BI286" s="680">
        <f t="shared" si="976"/>
        <v>0.31882979027839825</v>
      </c>
      <c r="BJ286" s="680">
        <f t="shared" si="976"/>
        <v>0.31766792155667301</v>
      </c>
      <c r="BK286" s="680">
        <f t="shared" si="976"/>
        <v>0.31156004655105451</v>
      </c>
      <c r="BL286" s="680">
        <f t="shared" si="976"/>
        <v>0.31469938280473247</v>
      </c>
      <c r="BM286" s="680">
        <f t="shared" si="976"/>
        <v>0.31354570228666712</v>
      </c>
      <c r="BN286" s="680">
        <f t="shared" si="976"/>
        <v>0.30746629000201858</v>
      </c>
      <c r="BO286" s="680">
        <f t="shared" si="976"/>
        <v>0.31059048835976949</v>
      </c>
      <c r="BP286" s="680">
        <f t="shared" si="976"/>
        <v>0.30944513331022</v>
      </c>
      <c r="BQ286" s="680">
        <f t="shared" si="976"/>
        <v>0.30339516144099521</v>
      </c>
      <c r="BR286" s="680">
        <f t="shared" si="976"/>
        <v>0.30650372665794962</v>
      </c>
    </row>
    <row r="287" spans="1:70" customFormat="1" ht="11.25" customHeight="1" outlineLevel="1">
      <c r="A287" s="6"/>
      <c r="B287" s="6"/>
      <c r="C287" s="9" t="s">
        <v>82</v>
      </c>
      <c r="D287" s="7" t="s">
        <v>66</v>
      </c>
      <c r="E287" s="6"/>
      <c r="F287" s="6"/>
      <c r="G287" s="565"/>
      <c r="H287" s="565"/>
      <c r="I287" s="565"/>
      <c r="J287" s="565"/>
      <c r="K287" s="426">
        <f>K660/(K669-K668)</f>
        <v>0.1898846495119787</v>
      </c>
      <c r="L287" s="426">
        <f>L660/(L669-L668)</f>
        <v>0.19324497648567765</v>
      </c>
      <c r="M287" s="426">
        <f>M660/(M669-M668)</f>
        <v>0.19159590681471805</v>
      </c>
      <c r="N287" s="426">
        <f t="shared" ref="N287:Y287" si="977">N660/(N669-N668)</f>
        <v>0.20981165133596144</v>
      </c>
      <c r="O287" s="426">
        <f t="shared" si="977"/>
        <v>0.20536082474226805</v>
      </c>
      <c r="P287" s="426">
        <f t="shared" si="977"/>
        <v>0.20751911639762108</v>
      </c>
      <c r="Q287" s="426">
        <f t="shared" si="977"/>
        <v>0.21083627797408716</v>
      </c>
      <c r="R287" s="426">
        <f t="shared" si="977"/>
        <v>0.22010128554733152</v>
      </c>
      <c r="S287" s="426">
        <f t="shared" si="977"/>
        <v>0.21548689870942511</v>
      </c>
      <c r="T287" s="426">
        <f t="shared" si="977"/>
        <v>0.22208786779524387</v>
      </c>
      <c r="U287" s="426">
        <f t="shared" si="977"/>
        <v>0.21274085725521039</v>
      </c>
      <c r="V287" s="426">
        <f t="shared" si="977"/>
        <v>0.21735668789808918</v>
      </c>
      <c r="W287" s="426">
        <f t="shared" si="977"/>
        <v>0.21073401736385161</v>
      </c>
      <c r="X287" s="426">
        <f t="shared" si="977"/>
        <v>0.21549192364170339</v>
      </c>
      <c r="Y287" s="426">
        <f t="shared" si="977"/>
        <v>0.21319893495625714</v>
      </c>
      <c r="Z287" s="426">
        <f t="shared" ref="Z287:AE287" si="978">Z660/(Z669-Z668)</f>
        <v>0.22246535375638221</v>
      </c>
      <c r="AA287" s="426">
        <f t="shared" si="978"/>
        <v>0.22242120343839542</v>
      </c>
      <c r="AB287" s="426">
        <f t="shared" si="978"/>
        <v>0.22244307914709072</v>
      </c>
      <c r="AC287" s="426">
        <f t="shared" si="978"/>
        <v>0.20855240098142305</v>
      </c>
      <c r="AD287" s="426">
        <f t="shared" si="978"/>
        <v>0.19045996592844974</v>
      </c>
      <c r="AE287" s="426">
        <f t="shared" si="978"/>
        <v>0.19937802349689013</v>
      </c>
      <c r="AF287" s="426">
        <f>AF660/(AF669-AF668)</f>
        <v>0.18853225303832968</v>
      </c>
      <c r="AG287" s="965">
        <f t="shared" ref="AG287:AM287" si="979">AG660/(AG669-AG668)</f>
        <v>0.16838327915663476</v>
      </c>
      <c r="AH287" s="426">
        <f>AH660/(AH669-AH668)</f>
        <v>0.17823583407907695</v>
      </c>
      <c r="AI287" s="426">
        <f>AI660/(AI669-AI668)</f>
        <v>0.18474704238373768</v>
      </c>
      <c r="AJ287" s="426">
        <f t="shared" si="979"/>
        <v>0.16368625321098684</v>
      </c>
      <c r="AK287" s="426">
        <f>AK660/(AK669-AK668)</f>
        <v>0.17411879687733198</v>
      </c>
      <c r="AL287" s="426">
        <f>AL660/(AL669-AL668)</f>
        <v>0.17910307207868767</v>
      </c>
      <c r="AM287" s="426">
        <f t="shared" si="979"/>
        <v>0.16012165216454863</v>
      </c>
      <c r="AN287" s="426">
        <f>AN660/(AN669-AN668)</f>
        <v>0.16941010697241429</v>
      </c>
      <c r="AO287" s="426">
        <f>AO660/(AO669-AO668)</f>
        <v>0.17379505196530842</v>
      </c>
      <c r="AP287" s="426">
        <f t="shared" ref="AP287" si="980">AP660/(AP669-AP668)</f>
        <v>0.15517587635608251</v>
      </c>
      <c r="AQ287" s="426">
        <f>AQ660/(AQ669-AQ668)</f>
        <v>0.16429551558052846</v>
      </c>
      <c r="AR287" s="426">
        <f>AR660/(AR669-AR668)</f>
        <v>0.16964654018244363</v>
      </c>
      <c r="AS287" s="426">
        <f t="shared" ref="AS287" si="981">AS660/(AS669-AS668)</f>
        <v>0.1514557751191099</v>
      </c>
      <c r="AT287" s="426">
        <f>AT660/(AT669-AT668)</f>
        <v>0.16036344446560394</v>
      </c>
      <c r="AU287" s="426">
        <f>AU660/(AU669-AU668)</f>
        <v>0.16556770713288549</v>
      </c>
      <c r="AV287" s="426">
        <f t="shared" ref="AV287" si="982">AV660/(AV669-AV668)</f>
        <v>0.14780049499564851</v>
      </c>
      <c r="AW287" s="426">
        <f>AW660/(AW669-AW668)</f>
        <v>0.15649873245984877</v>
      </c>
      <c r="AX287" s="426">
        <f>AX660/(AX669-AX668)</f>
        <v>0.1615582514558962</v>
      </c>
      <c r="AY287" s="426">
        <f t="shared" ref="AY287" si="983">AY660/(AY669-AY668)</f>
        <v>0.14420957735154596</v>
      </c>
      <c r="AZ287" s="426">
        <f>AZ660/(AZ669-AZ668)</f>
        <v>0.15270099117664376</v>
      </c>
      <c r="BA287" s="426">
        <f>BA660/(BA669-BA668)</f>
        <v>0.15761784201373996</v>
      </c>
      <c r="BB287" s="426">
        <f t="shared" ref="BB287" si="984">BB660/(BB669-BB668)</f>
        <v>0.14068254477158051</v>
      </c>
      <c r="BC287" s="426">
        <f>BC660/(BC669-BC668)</f>
        <v>0.14896980815677424</v>
      </c>
      <c r="BD287" s="426">
        <f>BD660/(BD669-BD668)</f>
        <v>0.15374611932484403</v>
      </c>
      <c r="BE287" s="426">
        <f t="shared" ref="BE287" si="985">BE660/(BE669-BE668)</f>
        <v>0.13721890225953512</v>
      </c>
      <c r="BF287" s="426">
        <f>BF660/(BF669-BF668)</f>
        <v>0.14530474819460198</v>
      </c>
      <c r="BG287" s="426">
        <f>BG660/(BG669-BG668)</f>
        <v>0.14994269696245002</v>
      </c>
      <c r="BH287" s="426">
        <f t="shared" ref="BH287" si="986">BH660/(BH669-BH668)</f>
        <v>0.13381813839331111</v>
      </c>
      <c r="BI287" s="426">
        <f>BI660/(BI669-BI668)</f>
        <v>0.14170535462326977</v>
      </c>
      <c r="BJ287" s="426">
        <f>BJ660/(BJ669-BJ668)</f>
        <v>0.14620716291691604</v>
      </c>
      <c r="BK287" s="426">
        <f t="shared" ref="BK287" si="987">BK660/(BK669-BK668)</f>
        <v>0.13047972643461175</v>
      </c>
      <c r="BL287" s="426">
        <f>BL660/(BL669-BL668)</f>
        <v>0.13817115055783324</v>
      </c>
      <c r="BM287" s="426">
        <f>BM660/(BM669-BM668)</f>
        <v>0.14253908092010675</v>
      </c>
      <c r="BN287" s="426">
        <f t="shared" ref="BN287" si="988">BN660/(BN669-BN668)</f>
        <v>0.12720312539293502</v>
      </c>
      <c r="BO287" s="426">
        <f>BO660/(BO669-BO668)</f>
        <v>0.13470164009546168</v>
      </c>
      <c r="BP287" s="426">
        <f>BP660/(BP669-BP668)</f>
        <v>0.13893799173057911</v>
      </c>
      <c r="BQ287" s="426">
        <f t="shared" ref="BQ287" si="989">BQ660/(BQ669-BQ668)</f>
        <v>0.12398778104381493</v>
      </c>
      <c r="BR287" s="426">
        <f>BR660/(BR669-BR668)</f>
        <v>0.13129630947208315</v>
      </c>
    </row>
    <row r="288" spans="1:70" customFormat="1" ht="11.25" customHeight="1" outlineLevel="1">
      <c r="A288" s="6"/>
      <c r="B288" s="6"/>
      <c r="C288" s="108" t="s">
        <v>292</v>
      </c>
      <c r="D288" s="31" t="s">
        <v>66</v>
      </c>
      <c r="E288" s="31"/>
      <c r="F288" s="31"/>
      <c r="G288" s="564"/>
      <c r="H288" s="564"/>
      <c r="I288" s="564"/>
      <c r="J288" s="564"/>
      <c r="K288" s="564"/>
      <c r="L288" s="564"/>
      <c r="M288" s="564"/>
      <c r="N288" s="564"/>
      <c r="O288" s="564"/>
      <c r="P288" s="681"/>
      <c r="Q288" s="681"/>
      <c r="R288" s="681"/>
      <c r="S288" s="681"/>
      <c r="T288" s="681"/>
      <c r="U288" s="681"/>
      <c r="V288" s="681"/>
      <c r="W288" s="565"/>
      <c r="X288" s="565"/>
      <c r="Y288" s="681"/>
      <c r="Z288" s="681"/>
      <c r="AA288" s="681"/>
      <c r="AB288" s="681"/>
      <c r="AC288" s="473">
        <v>0.45</v>
      </c>
      <c r="AD288" s="473">
        <v>0.45</v>
      </c>
      <c r="AE288" s="680">
        <f>AVERAGE(AC288,AD288)</f>
        <v>0.45</v>
      </c>
      <c r="AF288" s="680">
        <f>(AC288*(1+AF311+AF312+AF315-AF317+AF332+AF666))/((AC288*(1+AF311+AF312+AF315-AF317+AF332+AF666))+(AC289*(1+AF313+AF314+AF315-AF317+AF333+AF666)))</f>
        <v>0.46561837183257226</v>
      </c>
      <c r="AG288" s="969">
        <f t="shared" ref="AG288:BR288" si="990">(AD288*(1+AG311+AG312+AG315+AG332+AG666))/((AD288*(1+AG311+AG312+AG315+AG332+AG666))+(AD289*(1+AG313+AG314+AG315+AG333+AG666)))</f>
        <v>0.45250220512039063</v>
      </c>
      <c r="AH288" s="680">
        <f t="shared" si="990"/>
        <v>0.45927391582971849</v>
      </c>
      <c r="AI288" s="680">
        <f t="shared" si="990"/>
        <v>0.45369148467325687</v>
      </c>
      <c r="AJ288" s="680">
        <f t="shared" si="990"/>
        <v>0.43486455061035362</v>
      </c>
      <c r="AK288" s="680">
        <f t="shared" si="990"/>
        <v>0.4445307806260243</v>
      </c>
      <c r="AL288" s="680">
        <f t="shared" si="990"/>
        <v>0.44854733435575256</v>
      </c>
      <c r="AM288" s="680">
        <f t="shared" si="990"/>
        <v>0.43067797952325881</v>
      </c>
      <c r="AN288" s="680">
        <f t="shared" si="990"/>
        <v>0.43987181249375801</v>
      </c>
      <c r="AO288" s="680">
        <f t="shared" si="990"/>
        <v>0.44942354474134094</v>
      </c>
      <c r="AP288" s="680">
        <f t="shared" si="990"/>
        <v>0.42981582065436408</v>
      </c>
      <c r="AQ288" s="680">
        <f t="shared" si="990"/>
        <v>0.4398769056695026</v>
      </c>
      <c r="AR288" s="680">
        <f t="shared" si="990"/>
        <v>0.44481987313715038</v>
      </c>
      <c r="AS288" s="680">
        <f t="shared" si="990"/>
        <v>0.42525786561247758</v>
      </c>
      <c r="AT288" s="680">
        <f t="shared" si="990"/>
        <v>0.43529370994079075</v>
      </c>
      <c r="AU288" s="680">
        <f t="shared" si="990"/>
        <v>0.44022565324997492</v>
      </c>
      <c r="AV288" s="680">
        <f t="shared" si="990"/>
        <v>0.42071258128762135</v>
      </c>
      <c r="AW288" s="680">
        <f t="shared" si="990"/>
        <v>0.43072154640048294</v>
      </c>
      <c r="AX288" s="680">
        <f t="shared" si="990"/>
        <v>0.43564165012249306</v>
      </c>
      <c r="AY288" s="680">
        <f t="shared" si="990"/>
        <v>0.41618069972414118</v>
      </c>
      <c r="AZ288" s="680">
        <f t="shared" si="990"/>
        <v>0.42616116515196595</v>
      </c>
      <c r="BA288" s="680">
        <f t="shared" si="990"/>
        <v>0.43106862186380984</v>
      </c>
      <c r="BB288" s="680">
        <f t="shared" si="990"/>
        <v>0.41166294402193154</v>
      </c>
      <c r="BC288" s="680">
        <f t="shared" si="990"/>
        <v>0.42161330836272376</v>
      </c>
      <c r="BD288" s="680">
        <f t="shared" si="990"/>
        <v>0.42650731916094642</v>
      </c>
      <c r="BE288" s="680">
        <f t="shared" si="990"/>
        <v>0.40716002789730482</v>
      </c>
      <c r="BF288" s="680">
        <f t="shared" si="990"/>
        <v>0.41707870979845962</v>
      </c>
      <c r="BG288" s="680">
        <f t="shared" si="990"/>
        <v>0.42195848480089787</v>
      </c>
      <c r="BH288" s="680">
        <f t="shared" si="990"/>
        <v>0.40267265525689461</v>
      </c>
      <c r="BI288" s="680">
        <f t="shared" si="990"/>
        <v>0.41255809436904756</v>
      </c>
      <c r="BJ288" s="680">
        <f t="shared" si="990"/>
        <v>0.41742285320388017</v>
      </c>
      <c r="BK288" s="680">
        <f t="shared" si="990"/>
        <v>0.39820151978509138</v>
      </c>
      <c r="BL288" s="680">
        <f t="shared" si="990"/>
        <v>0.40805217768687768</v>
      </c>
      <c r="BM288" s="680">
        <f t="shared" si="990"/>
        <v>0.41290114996836269</v>
      </c>
      <c r="BN288" s="680">
        <f t="shared" si="990"/>
        <v>0.39374730454547907</v>
      </c>
      <c r="BO288" s="680">
        <f t="shared" si="990"/>
        <v>0.40356166563813306</v>
      </c>
      <c r="BP288" s="680">
        <f t="shared" si="990"/>
        <v>0.40839409142845223</v>
      </c>
      <c r="BQ288" s="680">
        <f t="shared" si="990"/>
        <v>0.38931068159670873</v>
      </c>
      <c r="BR288" s="680">
        <f t="shared" si="990"/>
        <v>0.39908725396750233</v>
      </c>
    </row>
    <row r="289" spans="1:70" customFormat="1" ht="11.25" customHeight="1" outlineLevel="1">
      <c r="A289" s="6"/>
      <c r="B289" s="6"/>
      <c r="C289" s="108" t="s">
        <v>293</v>
      </c>
      <c r="D289" s="31" t="s">
        <v>66</v>
      </c>
      <c r="E289" s="31"/>
      <c r="F289" s="31"/>
      <c r="G289" s="564"/>
      <c r="H289" s="564"/>
      <c r="I289" s="564"/>
      <c r="J289" s="564"/>
      <c r="K289" s="564"/>
      <c r="L289" s="564"/>
      <c r="M289" s="564"/>
      <c r="N289" s="564"/>
      <c r="O289" s="564"/>
      <c r="P289" s="681"/>
      <c r="Q289" s="681"/>
      <c r="R289" s="681"/>
      <c r="S289" s="681"/>
      <c r="T289" s="681"/>
      <c r="U289" s="681"/>
      <c r="V289" s="681"/>
      <c r="W289" s="565"/>
      <c r="X289" s="565"/>
      <c r="Y289" s="681"/>
      <c r="Z289" s="681"/>
      <c r="AA289" s="681"/>
      <c r="AB289" s="681"/>
      <c r="AC289" s="473">
        <v>0.55000000000000004</v>
      </c>
      <c r="AD289" s="473">
        <v>0.55000000000000004</v>
      </c>
      <c r="AE289" s="680">
        <f>AVERAGE(AC289,AD289)</f>
        <v>0.55000000000000004</v>
      </c>
      <c r="AF289" s="680">
        <f>(AC289*(1+AF313+AF314+AF315-AF317+AF333+AF666))/((AC288*(1+AF311+AF312+AF315-AF317+AF332+AF666))+(AC289*(1+AF313+AF314+AF315-AF317+AF333+AF666)))</f>
        <v>0.53438162816742774</v>
      </c>
      <c r="AG289" s="969">
        <f t="shared" ref="AG289:BR289" si="991">(AD289*(1+AG313+AG314+AG315+AG333+AG666))/((AD288*(1+AG311+AG312+AG315+AG332+AG666))+(AD289*(1+AG313+AG314+AG315+AG333+AG666)))</f>
        <v>0.54749779487960926</v>
      </c>
      <c r="AH289" s="680">
        <f t="shared" si="991"/>
        <v>0.54072608417028156</v>
      </c>
      <c r="AI289" s="680">
        <f t="shared" si="991"/>
        <v>0.54630851532674307</v>
      </c>
      <c r="AJ289" s="680">
        <f t="shared" si="991"/>
        <v>0.56513544938964633</v>
      </c>
      <c r="AK289" s="680">
        <f t="shared" si="991"/>
        <v>0.55546921937397564</v>
      </c>
      <c r="AL289" s="680">
        <f t="shared" si="991"/>
        <v>0.55145266564424744</v>
      </c>
      <c r="AM289" s="680">
        <f t="shared" si="991"/>
        <v>0.56932202047674119</v>
      </c>
      <c r="AN289" s="680">
        <f t="shared" si="991"/>
        <v>0.56012818750624205</v>
      </c>
      <c r="AO289" s="680">
        <f t="shared" si="991"/>
        <v>0.55057645525865906</v>
      </c>
      <c r="AP289" s="680">
        <f t="shared" si="991"/>
        <v>0.57018417934563603</v>
      </c>
      <c r="AQ289" s="680">
        <f t="shared" si="991"/>
        <v>0.56012309433049745</v>
      </c>
      <c r="AR289" s="680">
        <f t="shared" si="991"/>
        <v>0.55518012686284957</v>
      </c>
      <c r="AS289" s="680">
        <f t="shared" si="991"/>
        <v>0.57474213438752231</v>
      </c>
      <c r="AT289" s="680">
        <f t="shared" si="991"/>
        <v>0.56470629005920925</v>
      </c>
      <c r="AU289" s="680">
        <f t="shared" si="991"/>
        <v>0.55977434675002513</v>
      </c>
      <c r="AV289" s="680">
        <f t="shared" si="991"/>
        <v>0.57928741871237865</v>
      </c>
      <c r="AW289" s="680">
        <f t="shared" si="991"/>
        <v>0.56927845359951712</v>
      </c>
      <c r="AX289" s="680">
        <f t="shared" si="991"/>
        <v>0.56435834987750688</v>
      </c>
      <c r="AY289" s="680">
        <f t="shared" si="991"/>
        <v>0.58381930027585882</v>
      </c>
      <c r="AZ289" s="680">
        <f t="shared" si="991"/>
        <v>0.57383883484803411</v>
      </c>
      <c r="BA289" s="680">
        <f t="shared" si="991"/>
        <v>0.5689313781361901</v>
      </c>
      <c r="BB289" s="680">
        <f t="shared" si="991"/>
        <v>0.58833705597806851</v>
      </c>
      <c r="BC289" s="680">
        <f t="shared" si="991"/>
        <v>0.5783866916372763</v>
      </c>
      <c r="BD289" s="680">
        <f t="shared" si="991"/>
        <v>0.57349268083905358</v>
      </c>
      <c r="BE289" s="680">
        <f t="shared" si="991"/>
        <v>0.59283997210269523</v>
      </c>
      <c r="BF289" s="680">
        <f t="shared" si="991"/>
        <v>0.58292129020154027</v>
      </c>
      <c r="BG289" s="680">
        <f t="shared" si="991"/>
        <v>0.57804151519910218</v>
      </c>
      <c r="BH289" s="680">
        <f t="shared" si="991"/>
        <v>0.59732734474310534</v>
      </c>
      <c r="BI289" s="680">
        <f t="shared" si="991"/>
        <v>0.58744190563095244</v>
      </c>
      <c r="BJ289" s="680">
        <f t="shared" si="991"/>
        <v>0.58257714679611972</v>
      </c>
      <c r="BK289" s="680">
        <f t="shared" si="991"/>
        <v>0.60179848021490856</v>
      </c>
      <c r="BL289" s="680">
        <f t="shared" si="991"/>
        <v>0.59194782231312237</v>
      </c>
      <c r="BM289" s="680">
        <f t="shared" si="991"/>
        <v>0.58709885003163742</v>
      </c>
      <c r="BN289" s="680">
        <f t="shared" si="991"/>
        <v>0.60625269545452087</v>
      </c>
      <c r="BO289" s="680">
        <f t="shared" si="991"/>
        <v>0.59643833436186688</v>
      </c>
      <c r="BP289" s="680">
        <f t="shared" si="991"/>
        <v>0.59160590857154782</v>
      </c>
      <c r="BQ289" s="680">
        <f t="shared" si="991"/>
        <v>0.61068931840329121</v>
      </c>
      <c r="BR289" s="680">
        <f t="shared" si="991"/>
        <v>0.60091274603249767</v>
      </c>
    </row>
    <row r="290" spans="1:70" customFormat="1" ht="11.25" customHeight="1" outlineLevel="1">
      <c r="A290" s="6"/>
      <c r="B290" s="6"/>
      <c r="C290" s="691" t="s">
        <v>533</v>
      </c>
      <c r="D290" s="31"/>
      <c r="E290" s="31"/>
      <c r="F290" s="31"/>
      <c r="G290" s="564"/>
      <c r="H290" s="564"/>
      <c r="I290" s="564"/>
      <c r="J290" s="564"/>
      <c r="K290" s="564"/>
      <c r="L290" s="564"/>
      <c r="M290" s="564"/>
      <c r="N290" s="564"/>
      <c r="O290" s="564"/>
      <c r="P290" s="681"/>
      <c r="Q290" s="681"/>
      <c r="R290" s="681"/>
      <c r="S290" s="681"/>
      <c r="T290" s="681"/>
      <c r="U290" s="681"/>
      <c r="V290" s="681"/>
      <c r="W290" s="565"/>
      <c r="X290" s="565"/>
      <c r="Y290" s="681"/>
      <c r="Z290" s="681"/>
      <c r="AA290" s="681"/>
      <c r="AB290" s="681"/>
      <c r="AC290" s="692">
        <f t="shared" ref="AC290:AE290" si="992">+AC278+AC279+AC281+AC282-AC284-AC285-AC286-AC288-AC289</f>
        <v>0</v>
      </c>
      <c r="AD290" s="692">
        <f t="shared" si="992"/>
        <v>0</v>
      </c>
      <c r="AE290" s="692">
        <f t="shared" si="992"/>
        <v>0</v>
      </c>
      <c r="AF290" s="692">
        <f>+AF278+AF279+AF281+AF282-AF284-AF285-AF286-AF288-AF289</f>
        <v>0</v>
      </c>
      <c r="AG290" s="970">
        <f t="shared" ref="AG290:AM290" si="993">+AG278+AG279+AG281+AG282-AG284-AG285-AG286-AG288-AG289</f>
        <v>0</v>
      </c>
      <c r="AH290" s="692">
        <f>+AH278+AH279+AH281+AH282-AH284-AH285-AH286-AH288-AH289</f>
        <v>0</v>
      </c>
      <c r="AI290" s="692">
        <f t="shared" si="993"/>
        <v>0</v>
      </c>
      <c r="AJ290" s="692">
        <f t="shared" si="993"/>
        <v>0</v>
      </c>
      <c r="AK290" s="692">
        <f>+AK278+AK279+AK281+AK282-AK284-AK285-AK286-AK288-AK289</f>
        <v>0</v>
      </c>
      <c r="AL290" s="692">
        <f t="shared" si="993"/>
        <v>0</v>
      </c>
      <c r="AM290" s="692">
        <f t="shared" si="993"/>
        <v>0</v>
      </c>
      <c r="AN290" s="692">
        <f>+AN278+AN279+AN281+AN282-AN284-AN285-AN286-AN288-AN289</f>
        <v>0</v>
      </c>
      <c r="AO290" s="692">
        <f t="shared" ref="AO290:AP290" si="994">+AO278+AO279+AO281+AO282-AO284-AO285-AO286-AO288-AO289</f>
        <v>0</v>
      </c>
      <c r="AP290" s="692">
        <f t="shared" si="994"/>
        <v>0</v>
      </c>
      <c r="AQ290" s="692">
        <f>+AQ278+AQ279+AQ281+AQ282-AQ284-AQ285-AQ286-AQ288-AQ289</f>
        <v>0</v>
      </c>
      <c r="AR290" s="692">
        <f t="shared" ref="AR290:AS290" si="995">+AR278+AR279+AR281+AR282-AR284-AR285-AR286-AR288-AR289</f>
        <v>0</v>
      </c>
      <c r="AS290" s="692">
        <f t="shared" si="995"/>
        <v>0</v>
      </c>
      <c r="AT290" s="692">
        <f>+AT278+AT279+AT281+AT282-AT284-AT285-AT286-AT288-AT289</f>
        <v>0</v>
      </c>
      <c r="AU290" s="692">
        <f t="shared" ref="AU290:AV290" si="996">+AU278+AU279+AU281+AU282-AU284-AU285-AU286-AU288-AU289</f>
        <v>0</v>
      </c>
      <c r="AV290" s="692">
        <f t="shared" si="996"/>
        <v>0</v>
      </c>
      <c r="AW290" s="692">
        <f>+AW278+AW279+AW281+AW282-AW284-AW285-AW286-AW288-AW289</f>
        <v>0</v>
      </c>
      <c r="AX290" s="692">
        <f t="shared" ref="AX290:AY290" si="997">+AX278+AX279+AX281+AX282-AX284-AX285-AX286-AX288-AX289</f>
        <v>0</v>
      </c>
      <c r="AY290" s="692">
        <f t="shared" si="997"/>
        <v>0</v>
      </c>
      <c r="AZ290" s="692">
        <f>+AZ278+AZ279+AZ281+AZ282-AZ284-AZ285-AZ286-AZ288-AZ289</f>
        <v>0</v>
      </c>
      <c r="BA290" s="692">
        <f t="shared" ref="BA290:BB290" si="998">+BA278+BA279+BA281+BA282-BA284-BA285-BA286-BA288-BA289</f>
        <v>0</v>
      </c>
      <c r="BB290" s="692">
        <f t="shared" si="998"/>
        <v>0</v>
      </c>
      <c r="BC290" s="692">
        <f>+BC278+BC279+BC281+BC282-BC284-BC285-BC286-BC288-BC289</f>
        <v>0</v>
      </c>
      <c r="BD290" s="692">
        <f t="shared" ref="BD290:BE290" si="999">+BD278+BD279+BD281+BD282-BD284-BD285-BD286-BD288-BD289</f>
        <v>0</v>
      </c>
      <c r="BE290" s="692">
        <f t="shared" si="999"/>
        <v>0</v>
      </c>
      <c r="BF290" s="692">
        <f>+BF278+BF279+BF281+BF282-BF284-BF285-BF286-BF288-BF289</f>
        <v>0</v>
      </c>
      <c r="BG290" s="692">
        <f t="shared" ref="BG290:BH290" si="1000">+BG278+BG279+BG281+BG282-BG284-BG285-BG286-BG288-BG289</f>
        <v>0</v>
      </c>
      <c r="BH290" s="692">
        <f t="shared" si="1000"/>
        <v>0</v>
      </c>
      <c r="BI290" s="692">
        <f>+BI278+BI279+BI281+BI282-BI284-BI285-BI286-BI288-BI289</f>
        <v>0</v>
      </c>
      <c r="BJ290" s="692">
        <f t="shared" ref="BJ290:BK290" si="1001">+BJ278+BJ279+BJ281+BJ282-BJ284-BJ285-BJ286-BJ288-BJ289</f>
        <v>0</v>
      </c>
      <c r="BK290" s="692">
        <f t="shared" si="1001"/>
        <v>0</v>
      </c>
      <c r="BL290" s="692">
        <f>+BL278+BL279+BL281+BL282-BL284-BL285-BL286-BL288-BL289</f>
        <v>0</v>
      </c>
      <c r="BM290" s="692">
        <f t="shared" ref="BM290:BN290" si="1002">+BM278+BM279+BM281+BM282-BM284-BM285-BM286-BM288-BM289</f>
        <v>0</v>
      </c>
      <c r="BN290" s="692">
        <f t="shared" si="1002"/>
        <v>0</v>
      </c>
      <c r="BO290" s="692">
        <f>+BO278+BO279+BO281+BO282-BO284-BO285-BO286-BO288-BO289</f>
        <v>0</v>
      </c>
      <c r="BP290" s="692">
        <f t="shared" ref="BP290:BQ290" si="1003">+BP278+BP279+BP281+BP282-BP284-BP285-BP286-BP288-BP289</f>
        <v>0</v>
      </c>
      <c r="BQ290" s="692">
        <f t="shared" si="1003"/>
        <v>0</v>
      </c>
      <c r="BR290" s="692">
        <f>+BR278+BR279+BR281+BR282-BR284-BR285-BR286-BR288-BR289</f>
        <v>0</v>
      </c>
    </row>
    <row r="291" spans="1:70" customFormat="1" ht="11.25" customHeight="1" outlineLevel="1">
      <c r="A291" s="6"/>
      <c r="B291" s="6"/>
      <c r="C291" s="691" t="s">
        <v>533</v>
      </c>
      <c r="D291" s="31"/>
      <c r="E291" s="31"/>
      <c r="F291" s="31"/>
      <c r="G291" s="564"/>
      <c r="H291" s="564"/>
      <c r="I291" s="564"/>
      <c r="J291" s="564"/>
      <c r="K291" s="564"/>
      <c r="L291" s="564"/>
      <c r="M291" s="564"/>
      <c r="N291" s="564"/>
      <c r="O291" s="564"/>
      <c r="P291" s="681"/>
      <c r="Q291" s="681"/>
      <c r="R291" s="681"/>
      <c r="S291" s="681"/>
      <c r="T291" s="681"/>
      <c r="U291" s="681"/>
      <c r="V291" s="681"/>
      <c r="W291" s="565"/>
      <c r="X291" s="565"/>
      <c r="Y291" s="681"/>
      <c r="Z291" s="681"/>
      <c r="AA291" s="681"/>
      <c r="AB291" s="681"/>
      <c r="AC291" s="692">
        <f>+AC277+AC280+AC283+AC287-100%</f>
        <v>0</v>
      </c>
      <c r="AD291" s="692">
        <f t="shared" ref="AD291:AM291" si="1004">+AD277+AD280+AD283+AD287-100%</f>
        <v>0</v>
      </c>
      <c r="AE291" s="692">
        <f t="shared" si="1004"/>
        <v>0</v>
      </c>
      <c r="AF291" s="692">
        <f>+AF277+AF280+AF283+AF287-100%</f>
        <v>0</v>
      </c>
      <c r="AG291" s="970">
        <f t="shared" si="1004"/>
        <v>0</v>
      </c>
      <c r="AH291" s="692">
        <f>+AH277+AH280+AH283+AH287-100%</f>
        <v>0</v>
      </c>
      <c r="AI291" s="692">
        <f>+AI277+AI280+AI283+AI287-100%</f>
        <v>0</v>
      </c>
      <c r="AJ291" s="692">
        <f t="shared" si="1004"/>
        <v>0</v>
      </c>
      <c r="AK291" s="692">
        <f>+AK277+AK280+AK283+AK287-100%</f>
        <v>0</v>
      </c>
      <c r="AL291" s="692">
        <f>+AL277+AL280+AL283+AL287-100%</f>
        <v>0</v>
      </c>
      <c r="AM291" s="692">
        <f t="shared" si="1004"/>
        <v>0</v>
      </c>
      <c r="AN291" s="692">
        <f>+AN277+AN280+AN283+AN287-100%</f>
        <v>0</v>
      </c>
      <c r="AO291" s="692">
        <f>+AO277+AO280+AO283+AO287-100%</f>
        <v>0</v>
      </c>
      <c r="AP291" s="692">
        <f t="shared" ref="AP291" si="1005">+AP277+AP280+AP283+AP287-100%</f>
        <v>0</v>
      </c>
      <c r="AQ291" s="692">
        <f>+AQ277+AQ280+AQ283+AQ287-100%</f>
        <v>0</v>
      </c>
      <c r="AR291" s="692">
        <f>+AR277+AR280+AR283+AR287-100%</f>
        <v>0</v>
      </c>
      <c r="AS291" s="692">
        <f t="shared" ref="AS291" si="1006">+AS277+AS280+AS283+AS287-100%</f>
        <v>0</v>
      </c>
      <c r="AT291" s="692">
        <f>+AT277+AT280+AT283+AT287-100%</f>
        <v>0</v>
      </c>
      <c r="AU291" s="692">
        <f>+AU277+AU280+AU283+AU287-100%</f>
        <v>0</v>
      </c>
      <c r="AV291" s="692">
        <f t="shared" ref="AV291" si="1007">+AV277+AV280+AV283+AV287-100%</f>
        <v>0</v>
      </c>
      <c r="AW291" s="692">
        <f>+AW277+AW280+AW283+AW287-100%</f>
        <v>0</v>
      </c>
      <c r="AX291" s="692">
        <f>+AX277+AX280+AX283+AX287-100%</f>
        <v>0</v>
      </c>
      <c r="AY291" s="692">
        <f t="shared" ref="AY291" si="1008">+AY277+AY280+AY283+AY287-100%</f>
        <v>0</v>
      </c>
      <c r="AZ291" s="692">
        <f>+AZ277+AZ280+AZ283+AZ287-100%</f>
        <v>0</v>
      </c>
      <c r="BA291" s="692">
        <f>+BA277+BA280+BA283+BA287-100%</f>
        <v>0</v>
      </c>
      <c r="BB291" s="692">
        <f t="shared" ref="BB291" si="1009">+BB277+BB280+BB283+BB287-100%</f>
        <v>0</v>
      </c>
      <c r="BC291" s="692">
        <f>+BC277+BC280+BC283+BC287-100%</f>
        <v>0</v>
      </c>
      <c r="BD291" s="692">
        <f>+BD277+BD280+BD283+BD287-100%</f>
        <v>0</v>
      </c>
      <c r="BE291" s="692">
        <f t="shared" ref="BE291" si="1010">+BE277+BE280+BE283+BE287-100%</f>
        <v>0</v>
      </c>
      <c r="BF291" s="692">
        <f>+BF277+BF280+BF283+BF287-100%</f>
        <v>0</v>
      </c>
      <c r="BG291" s="692">
        <f>+BG277+BG280+BG283+BG287-100%</f>
        <v>0</v>
      </c>
      <c r="BH291" s="692">
        <f t="shared" ref="BH291" si="1011">+BH277+BH280+BH283+BH287-100%</f>
        <v>0</v>
      </c>
      <c r="BI291" s="692">
        <f>+BI277+BI280+BI283+BI287-100%</f>
        <v>0</v>
      </c>
      <c r="BJ291" s="692">
        <f>+BJ277+BJ280+BJ283+BJ287-100%</f>
        <v>0</v>
      </c>
      <c r="BK291" s="692">
        <f t="shared" ref="BK291" si="1012">+BK277+BK280+BK283+BK287-100%</f>
        <v>0</v>
      </c>
      <c r="BL291" s="692">
        <f>+BL277+BL280+BL283+BL287-100%</f>
        <v>0</v>
      </c>
      <c r="BM291" s="692">
        <f>+BM277+BM280+BM283+BM287-100%</f>
        <v>0</v>
      </c>
      <c r="BN291" s="692">
        <f t="shared" ref="BN291" si="1013">+BN277+BN280+BN283+BN287-100%</f>
        <v>0</v>
      </c>
      <c r="BO291" s="692">
        <f>+BO277+BO280+BO283+BO287-100%</f>
        <v>0</v>
      </c>
      <c r="BP291" s="692">
        <f>+BP277+BP280+BP283+BP287-100%</f>
        <v>0</v>
      </c>
      <c r="BQ291" s="692">
        <f t="shared" ref="BQ291" si="1014">+BQ277+BQ280+BQ283+BQ287-100%</f>
        <v>0</v>
      </c>
      <c r="BR291" s="692">
        <f>+BR277+BR280+BR283+BR287-100%</f>
        <v>0</v>
      </c>
    </row>
    <row r="292" spans="1:70" customFormat="1" ht="11.25" customHeight="1" outlineLevel="1">
      <c r="A292" s="6"/>
      <c r="B292" s="6"/>
      <c r="C292" s="113" t="s">
        <v>664</v>
      </c>
      <c r="D292" s="7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W292" s="6"/>
      <c r="X292" s="6"/>
      <c r="AE292" s="44"/>
      <c r="AF292" s="130"/>
      <c r="AG292" s="931"/>
      <c r="AH292" s="6"/>
    </row>
    <row r="293" spans="1:70" s="543" customFormat="1" ht="11.25" customHeight="1" outlineLevel="1">
      <c r="A293" s="8"/>
      <c r="B293" s="8"/>
      <c r="C293" s="95" t="s">
        <v>80</v>
      </c>
      <c r="D293" s="445" t="s">
        <v>66</v>
      </c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W293" s="8"/>
      <c r="X293" s="8"/>
      <c r="AE293" s="829"/>
      <c r="AF293" s="544">
        <f>((AF278*(AF294+AF295))+(AF279*(AF296+AF297)))</f>
        <v>2.3409075369562358E-2</v>
      </c>
      <c r="AG293" s="971">
        <f t="shared" ref="AG293:AN293" si="1015">((AG278*(AG294+AG295))+(AG279*(AG296+AG297)))</f>
        <v>2.3810305010067388E-2</v>
      </c>
      <c r="AH293" s="544">
        <f t="shared" si="1015"/>
        <v>2.3610822774653629E-2</v>
      </c>
      <c r="AI293" s="544">
        <f t="shared" si="1015"/>
        <v>2.107962360888388E-2</v>
      </c>
      <c r="AJ293" s="544">
        <f t="shared" si="1015"/>
        <v>1.9616109073432992E-2</v>
      </c>
      <c r="AK293" s="544">
        <f t="shared" si="1015"/>
        <v>2.0349430233542104E-2</v>
      </c>
      <c r="AL293" s="544">
        <f t="shared" si="1015"/>
        <v>1.8909757101799998E-2</v>
      </c>
      <c r="AM293" s="544">
        <f t="shared" si="1015"/>
        <v>1.4889709224107671E-2</v>
      </c>
      <c r="AN293" s="544">
        <f t="shared" si="1015"/>
        <v>1.6907959005377015E-2</v>
      </c>
      <c r="AO293" s="544">
        <f t="shared" ref="AO293:BR293" si="1016">((AO278*(AO294+AO295))+(AO279*(AO296+AO297)))</f>
        <v>1.5009629393164237E-2</v>
      </c>
      <c r="AP293" s="544">
        <f t="shared" si="1016"/>
        <v>1.4921343705614199E-2</v>
      </c>
      <c r="AQ293" s="544">
        <f t="shared" si="1016"/>
        <v>1.4966678383989993E-2</v>
      </c>
      <c r="AR293" s="544">
        <f t="shared" si="1016"/>
        <v>1.5042217204611776E-2</v>
      </c>
      <c r="AS293" s="544">
        <f t="shared" si="1016"/>
        <v>1.4953232445596844E-2</v>
      </c>
      <c r="AT293" s="544">
        <f t="shared" si="1016"/>
        <v>1.4998928132100126E-2</v>
      </c>
      <c r="AU293" s="544">
        <f t="shared" si="1016"/>
        <v>1.5075059144365115E-2</v>
      </c>
      <c r="AV293" s="544">
        <f t="shared" si="1016"/>
        <v>1.4985375475755999E-2</v>
      </c>
      <c r="AW293" s="544">
        <f t="shared" si="1016"/>
        <v>1.5031432135078671E-2</v>
      </c>
      <c r="AX293" s="544">
        <f t="shared" si="1016"/>
        <v>1.5108155060747974E-2</v>
      </c>
      <c r="AY293" s="544">
        <f t="shared" si="1016"/>
        <v>1.5017772779918066E-2</v>
      </c>
      <c r="AZ293" s="544">
        <f t="shared" si="1016"/>
        <v>1.5064190307510893E-2</v>
      </c>
      <c r="BA293" s="544">
        <f t="shared" si="1016"/>
        <v>1.514150475141891E-2</v>
      </c>
      <c r="BB293" s="544">
        <f t="shared" si="1016"/>
        <v>1.5050424293277158E-2</v>
      </c>
      <c r="BC293" s="544">
        <f t="shared" si="1016"/>
        <v>1.5097202514289356E-2</v>
      </c>
      <c r="BD293" s="544">
        <f t="shared" si="1016"/>
        <v>1.5175107962653023E-2</v>
      </c>
      <c r="BE293" s="544">
        <f t="shared" si="1016"/>
        <v>1.5083329901646438E-2</v>
      </c>
      <c r="BF293" s="544">
        <f t="shared" si="1016"/>
        <v>1.5130468569880245E-2</v>
      </c>
      <c r="BG293" s="544">
        <f t="shared" si="1016"/>
        <v>1.5208964388636136E-2</v>
      </c>
      <c r="BH293" s="544">
        <f t="shared" si="1016"/>
        <v>1.5116489440719871E-2</v>
      </c>
      <c r="BI293" s="544">
        <f t="shared" si="1016"/>
        <v>1.5163988237601086E-2</v>
      </c>
      <c r="BJ293" s="544">
        <f t="shared" si="1016"/>
        <v>1.524307367077218E-2</v>
      </c>
      <c r="BK293" s="544">
        <f t="shared" si="1016"/>
        <v>1.5149902695345108E-2</v>
      </c>
      <c r="BL293" s="544">
        <f t="shared" si="1016"/>
        <v>1.5197761228910743E-2</v>
      </c>
      <c r="BM293" s="544">
        <f t="shared" si="1016"/>
        <v>1.5277435397004518E-2</v>
      </c>
      <c r="BN293" s="544">
        <f t="shared" si="1016"/>
        <v>1.5183569398808255E-2</v>
      </c>
      <c r="BO293" s="544">
        <f t="shared" si="1016"/>
        <v>1.5231787202712295E-2</v>
      </c>
      <c r="BP293" s="544">
        <f t="shared" si="1016"/>
        <v>1.5312049101152081E-2</v>
      </c>
      <c r="BQ293" s="544">
        <f t="shared" si="1016"/>
        <v>1.5217489232131287E-2</v>
      </c>
      <c r="BR293" s="544">
        <f t="shared" si="1016"/>
        <v>1.5266065764669684E-2</v>
      </c>
    </row>
    <row r="294" spans="1:70" customFormat="1" ht="11.25" customHeight="1" outlineLevel="1">
      <c r="A294" s="208" t="s">
        <v>413</v>
      </c>
      <c r="B294" s="6"/>
      <c r="C294" s="108" t="s">
        <v>633</v>
      </c>
      <c r="D294" s="31" t="s">
        <v>66</v>
      </c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W294" s="6"/>
      <c r="X294" s="6"/>
      <c r="AE294" s="44"/>
      <c r="AF294" s="542">
        <f>CHOOSE($AG$1,AF380,AF419,AF458,AF497)</f>
        <v>2.3E-2</v>
      </c>
      <c r="AG294" s="972">
        <f>CHOOSE($AG$1,AG380,AG419,AG458,AG497)</f>
        <v>2.3E-2</v>
      </c>
      <c r="AH294" s="396">
        <f>AVERAGE(AF294,AG294)</f>
        <v>2.3E-2</v>
      </c>
      <c r="AI294" s="443">
        <f>CHOOSE($AG$1,AI380,AI419,AI458,AI497)</f>
        <v>1.95E-2</v>
      </c>
      <c r="AJ294" s="443">
        <f>CHOOSE($AG$1,AJ380,AJ419,AJ458,AJ497)</f>
        <v>1.7999999999999999E-2</v>
      </c>
      <c r="AK294" s="396">
        <f>AVERAGE(AI294,AJ294)</f>
        <v>1.8749999999999999E-2</v>
      </c>
      <c r="AL294" s="443">
        <f>CHOOSE($AG$1,AL380,AL419,AL458,AL497)</f>
        <v>1.7000000000000001E-2</v>
      </c>
      <c r="AM294" s="443">
        <f>CHOOSE($AG$1,AM380,AM419,AM458,AM497)</f>
        <v>1.2E-2</v>
      </c>
      <c r="AN294" s="396">
        <f>AVERAGE(AL294,AM294)</f>
        <v>1.4500000000000001E-2</v>
      </c>
      <c r="AO294" s="443">
        <f>CHOOSE($AG$1,AO380,AO419,AO458,AO497)</f>
        <v>1.2E-2</v>
      </c>
      <c r="AP294" s="443">
        <f>CHOOSE($AG$1,AP380,AP419,AP458,AP497)</f>
        <v>1.2E-2</v>
      </c>
      <c r="AQ294" s="396">
        <f>AVERAGE(AO294,AP294)</f>
        <v>1.2E-2</v>
      </c>
      <c r="AR294" s="443">
        <f>CHOOSE($AG$1,AR380,AR419,AR458,AR497)</f>
        <v>1.2E-2</v>
      </c>
      <c r="AS294" s="443">
        <f>CHOOSE($AG$1,AS380,AS419,AS458,AS497)</f>
        <v>1.2E-2</v>
      </c>
      <c r="AT294" s="396">
        <f>AVERAGE(AR294,AS294)</f>
        <v>1.2E-2</v>
      </c>
      <c r="AU294" s="443">
        <f>CHOOSE($AG$1,AU380,AU419,AU458,AU497)</f>
        <v>1.2E-2</v>
      </c>
      <c r="AV294" s="443">
        <f>CHOOSE($AG$1,AV380,AV419,AV458,AV497)</f>
        <v>1.2E-2</v>
      </c>
      <c r="AW294" s="396">
        <f>AVERAGE(AU294,AV294)</f>
        <v>1.2E-2</v>
      </c>
      <c r="AX294" s="443">
        <f>CHOOSE($AG$1,AX380,AX419,AX458,AX497)</f>
        <v>1.2E-2</v>
      </c>
      <c r="AY294" s="443">
        <f>CHOOSE($AG$1,AY380,AY419,AY458,AY497)</f>
        <v>1.2E-2</v>
      </c>
      <c r="AZ294" s="396">
        <f>AVERAGE(AX294,AY294)</f>
        <v>1.2E-2</v>
      </c>
      <c r="BA294" s="443">
        <f>CHOOSE($AG$1,BA380,BA419,BA458,BA497)</f>
        <v>1.2E-2</v>
      </c>
      <c r="BB294" s="443">
        <f>CHOOSE($AG$1,BB380,BB419,BB458,BB497)</f>
        <v>1.2E-2</v>
      </c>
      <c r="BC294" s="396">
        <f>AVERAGE(BA294,BB294)</f>
        <v>1.2E-2</v>
      </c>
      <c r="BD294" s="443">
        <f>CHOOSE($AG$1,BD380,BD419,BD458,BD497)</f>
        <v>1.2E-2</v>
      </c>
      <c r="BE294" s="443">
        <f>CHOOSE($AG$1,BE380,BE419,BE458,BE497)</f>
        <v>1.2E-2</v>
      </c>
      <c r="BF294" s="396">
        <f>AVERAGE(BD294,BE294)</f>
        <v>1.2E-2</v>
      </c>
      <c r="BG294" s="443">
        <f>CHOOSE($AG$1,BG380,BG419,BG458,BG497)</f>
        <v>1.2E-2</v>
      </c>
      <c r="BH294" s="443">
        <f>CHOOSE($AG$1,BH380,BH419,BH458,BH497)</f>
        <v>1.2E-2</v>
      </c>
      <c r="BI294" s="396">
        <f>AVERAGE(BG294,BH294)</f>
        <v>1.2E-2</v>
      </c>
      <c r="BJ294" s="443">
        <f>CHOOSE($AG$1,BJ380,BJ419,BJ458,BJ497)</f>
        <v>1.2E-2</v>
      </c>
      <c r="BK294" s="443">
        <f>CHOOSE($AG$1,BK380,BK419,BK458,BK497)</f>
        <v>1.2E-2</v>
      </c>
      <c r="BL294" s="396">
        <f>AVERAGE(BJ294,BK294)</f>
        <v>1.2E-2</v>
      </c>
      <c r="BM294" s="443">
        <f>CHOOSE($AG$1,BM380,BM419,BM458,BM497)</f>
        <v>1.2E-2</v>
      </c>
      <c r="BN294" s="443">
        <f>CHOOSE($AG$1,BN380,BN419,BN458,BN497)</f>
        <v>1.2E-2</v>
      </c>
      <c r="BO294" s="396">
        <f>AVERAGE(BM294,BN294)</f>
        <v>1.2E-2</v>
      </c>
      <c r="BP294" s="443">
        <f>CHOOSE($AG$1,BP380,BP419,BP458,BP497)</f>
        <v>1.2E-2</v>
      </c>
      <c r="BQ294" s="443">
        <f>CHOOSE($AG$1,BQ380,BQ419,BQ458,BQ497)</f>
        <v>1.2E-2</v>
      </c>
      <c r="BR294" s="396">
        <f>AVERAGE(BP294,BQ294)</f>
        <v>1.2E-2</v>
      </c>
    </row>
    <row r="295" spans="1:70" customFormat="1" ht="11.25" customHeight="1" outlineLevel="1">
      <c r="A295" s="356"/>
      <c r="B295" s="6"/>
      <c r="C295" s="108" t="s">
        <v>634</v>
      </c>
      <c r="D295" s="31" t="s">
        <v>66</v>
      </c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W295" s="6"/>
      <c r="X295" s="6"/>
      <c r="AE295" s="44"/>
      <c r="AF295" s="540">
        <v>0</v>
      </c>
      <c r="AG295" s="973">
        <v>0</v>
      </c>
      <c r="AH295" s="396">
        <f>AVERAGE(AF295,AG295)</f>
        <v>0</v>
      </c>
      <c r="AI295" s="540">
        <v>0</v>
      </c>
      <c r="AJ295" s="540">
        <v>0</v>
      </c>
      <c r="AK295" s="541">
        <f>AVERAGE(AI295,AJ295)</f>
        <v>0</v>
      </c>
      <c r="AL295" s="540">
        <v>0</v>
      </c>
      <c r="AM295" s="43">
        <v>0</v>
      </c>
      <c r="AN295" s="396">
        <f>AVERAGE(AL295,AM295)</f>
        <v>0</v>
      </c>
      <c r="AO295" s="540">
        <v>0</v>
      </c>
      <c r="AP295" s="43">
        <v>0</v>
      </c>
      <c r="AQ295" s="396">
        <f>AVERAGE(AO295,AP295)</f>
        <v>0</v>
      </c>
      <c r="AR295" s="540">
        <v>0</v>
      </c>
      <c r="AS295" s="43">
        <v>0</v>
      </c>
      <c r="AT295" s="396">
        <f>AVERAGE(AR295,AS295)</f>
        <v>0</v>
      </c>
      <c r="AU295" s="540">
        <v>0</v>
      </c>
      <c r="AV295" s="43">
        <v>0</v>
      </c>
      <c r="AW295" s="396">
        <f>AVERAGE(AU295,AV295)</f>
        <v>0</v>
      </c>
      <c r="AX295" s="540">
        <v>0</v>
      </c>
      <c r="AY295" s="43">
        <v>0</v>
      </c>
      <c r="AZ295" s="396">
        <f>AVERAGE(AX295,AY295)</f>
        <v>0</v>
      </c>
      <c r="BA295" s="540">
        <v>0</v>
      </c>
      <c r="BB295" s="43">
        <v>0</v>
      </c>
      <c r="BC295" s="396">
        <f>AVERAGE(BA295,BB295)</f>
        <v>0</v>
      </c>
      <c r="BD295" s="540">
        <v>0</v>
      </c>
      <c r="BE295" s="43">
        <v>0</v>
      </c>
      <c r="BF295" s="396">
        <f>AVERAGE(BD295,BE295)</f>
        <v>0</v>
      </c>
      <c r="BG295" s="540">
        <v>0</v>
      </c>
      <c r="BH295" s="43">
        <v>0</v>
      </c>
      <c r="BI295" s="396">
        <f>AVERAGE(BG295,BH295)</f>
        <v>0</v>
      </c>
      <c r="BJ295" s="540">
        <v>0</v>
      </c>
      <c r="BK295" s="43">
        <v>0</v>
      </c>
      <c r="BL295" s="396">
        <f>AVERAGE(BJ295,BK295)</f>
        <v>0</v>
      </c>
      <c r="BM295" s="540">
        <v>0</v>
      </c>
      <c r="BN295" s="43">
        <v>0</v>
      </c>
      <c r="BO295" s="396">
        <f>AVERAGE(BM295,BN295)</f>
        <v>0</v>
      </c>
      <c r="BP295" s="540">
        <v>0</v>
      </c>
      <c r="BQ295" s="43">
        <v>0</v>
      </c>
      <c r="BR295" s="396">
        <f>AVERAGE(BP295,BQ295)</f>
        <v>0</v>
      </c>
    </row>
    <row r="296" spans="1:70" customFormat="1" ht="11.25" customHeight="1" outlineLevel="1">
      <c r="A296" s="208" t="s">
        <v>413</v>
      </c>
      <c r="B296" s="6"/>
      <c r="C296" s="108" t="s">
        <v>635</v>
      </c>
      <c r="D296" s="31" t="s">
        <v>66</v>
      </c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W296" s="6"/>
      <c r="X296" s="6"/>
      <c r="AE296" s="44"/>
      <c r="AF296" s="542">
        <f>CHOOSE($AG$1,AF381,AF420,AF459,AF498)</f>
        <v>2.5000000000000001E-2</v>
      </c>
      <c r="AG296" s="972">
        <f>CHOOSE($AG$1,AG381,AG420,AG459,AG498)</f>
        <v>2.7E-2</v>
      </c>
      <c r="AH296" s="396">
        <f>AVERAGE(AF296,AG296)</f>
        <v>2.6000000000000002E-2</v>
      </c>
      <c r="AI296" s="542">
        <f>CHOOSE($AG$1,AI381,AI420,AI459,AI498)</f>
        <v>2.7E-2</v>
      </c>
      <c r="AJ296" s="542">
        <f>CHOOSE($AG$1,AJ381,AJ420,AJ459,AJ498)</f>
        <v>2.5999999999999999E-2</v>
      </c>
      <c r="AK296" s="541">
        <f>AVERAGE(AI296,AJ296)</f>
        <v>2.6499999999999999E-2</v>
      </c>
      <c r="AL296" s="542">
        <f>CHOOSE($AG$1,AL381,AL420,AL459,AL498)</f>
        <v>2.5999999999999999E-2</v>
      </c>
      <c r="AM296" s="443">
        <f>CHOOSE($AG$1,AM381,AM420,AM459,AM498)</f>
        <v>2.5999999999999999E-2</v>
      </c>
      <c r="AN296" s="396">
        <f>AVERAGE(AL296,AM296)</f>
        <v>2.5999999999999999E-2</v>
      </c>
      <c r="AO296" s="542">
        <f>CHOOSE($AG$1,AO381,AO420,AO459,AO498)</f>
        <v>2.5999999999999999E-2</v>
      </c>
      <c r="AP296" s="443">
        <f>CHOOSE($AG$1,AP381,AP420,AP459,AP498)</f>
        <v>2.5999999999999999E-2</v>
      </c>
      <c r="AQ296" s="396">
        <f>AVERAGE(AO296,AP296)</f>
        <v>2.5999999999999999E-2</v>
      </c>
      <c r="AR296" s="542">
        <f>CHOOSE($AG$1,AR381,AR420,AR459,AR498)</f>
        <v>2.5999999999999999E-2</v>
      </c>
      <c r="AS296" s="443">
        <f>CHOOSE($AG$1,AS381,AS420,AS459,AS498)</f>
        <v>2.5999999999999999E-2</v>
      </c>
      <c r="AT296" s="396">
        <f>AVERAGE(AR296,AS296)</f>
        <v>2.5999999999999999E-2</v>
      </c>
      <c r="AU296" s="542">
        <f>CHOOSE($AG$1,AU381,AU420,AU459,AU498)</f>
        <v>2.5999999999999999E-2</v>
      </c>
      <c r="AV296" s="443">
        <f>CHOOSE($AG$1,AV381,AV420,AV459,AV498)</f>
        <v>2.5999999999999999E-2</v>
      </c>
      <c r="AW296" s="396">
        <f>AVERAGE(AU296,AV296)</f>
        <v>2.5999999999999999E-2</v>
      </c>
      <c r="AX296" s="542">
        <f>CHOOSE($AG$1,AX381,AX420,AX459,AX498)</f>
        <v>2.5999999999999999E-2</v>
      </c>
      <c r="AY296" s="443">
        <f>CHOOSE($AG$1,AY381,AY420,AY459,AY498)</f>
        <v>2.5999999999999999E-2</v>
      </c>
      <c r="AZ296" s="396">
        <f>AVERAGE(AX296,AY296)</f>
        <v>2.5999999999999999E-2</v>
      </c>
      <c r="BA296" s="542">
        <f>CHOOSE($AG$1,BA381,BA420,BA459,BA498)</f>
        <v>2.5999999999999999E-2</v>
      </c>
      <c r="BB296" s="443">
        <f>CHOOSE($AG$1,BB381,BB420,BB459,BB498)</f>
        <v>2.5999999999999999E-2</v>
      </c>
      <c r="BC296" s="396">
        <f>AVERAGE(BA296,BB296)</f>
        <v>2.5999999999999999E-2</v>
      </c>
      <c r="BD296" s="542">
        <f>CHOOSE($AG$1,BD381,BD420,BD459,BD498)</f>
        <v>2.5999999999999999E-2</v>
      </c>
      <c r="BE296" s="443">
        <f>CHOOSE($AG$1,BE381,BE420,BE459,BE498)</f>
        <v>2.5999999999999999E-2</v>
      </c>
      <c r="BF296" s="396">
        <f>AVERAGE(BD296,BE296)</f>
        <v>2.5999999999999999E-2</v>
      </c>
      <c r="BG296" s="542">
        <f>CHOOSE($AG$1,BG381,BG420,BG459,BG498)</f>
        <v>2.5999999999999999E-2</v>
      </c>
      <c r="BH296" s="443">
        <f>CHOOSE($AG$1,BH381,BH420,BH459,BH498)</f>
        <v>2.5999999999999999E-2</v>
      </c>
      <c r="BI296" s="396">
        <f>AVERAGE(BG296,BH296)</f>
        <v>2.5999999999999999E-2</v>
      </c>
      <c r="BJ296" s="542">
        <f>CHOOSE($AG$1,BJ381,BJ420,BJ459,BJ498)</f>
        <v>2.5999999999999999E-2</v>
      </c>
      <c r="BK296" s="443">
        <f>CHOOSE($AG$1,BK381,BK420,BK459,BK498)</f>
        <v>2.5999999999999999E-2</v>
      </c>
      <c r="BL296" s="396">
        <f>AVERAGE(BJ296,BK296)</f>
        <v>2.5999999999999999E-2</v>
      </c>
      <c r="BM296" s="542">
        <f>CHOOSE($AG$1,BM381,BM420,BM459,BM498)</f>
        <v>2.5999999999999999E-2</v>
      </c>
      <c r="BN296" s="443">
        <f>CHOOSE($AG$1,BN381,BN420,BN459,BN498)</f>
        <v>2.5999999999999999E-2</v>
      </c>
      <c r="BO296" s="396">
        <f>AVERAGE(BM296,BN296)</f>
        <v>2.5999999999999999E-2</v>
      </c>
      <c r="BP296" s="542">
        <f>CHOOSE($AG$1,BP381,BP420,BP459,BP498)</f>
        <v>2.5999999999999999E-2</v>
      </c>
      <c r="BQ296" s="443">
        <f>CHOOSE($AG$1,BQ381,BQ420,BQ459,BQ498)</f>
        <v>2.5999999999999999E-2</v>
      </c>
      <c r="BR296" s="396">
        <f>AVERAGE(BP296,BQ296)</f>
        <v>2.5999999999999999E-2</v>
      </c>
    </row>
    <row r="297" spans="1:70" customFormat="1" ht="11.25" customHeight="1" outlineLevel="1">
      <c r="A297" s="356"/>
      <c r="B297" s="6"/>
      <c r="C297" s="108" t="s">
        <v>636</v>
      </c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W297" s="6"/>
      <c r="X297" s="6"/>
      <c r="AE297" s="44"/>
      <c r="AF297" s="540">
        <v>0</v>
      </c>
      <c r="AG297" s="973">
        <v>0</v>
      </c>
      <c r="AH297" s="396">
        <f>AVERAGE(AF297,AG297)</f>
        <v>0</v>
      </c>
      <c r="AI297" s="540">
        <v>0</v>
      </c>
      <c r="AJ297" s="540">
        <v>0</v>
      </c>
      <c r="AK297" s="541">
        <f>AVERAGE(AI297,AJ297)</f>
        <v>0</v>
      </c>
      <c r="AL297" s="540">
        <v>0</v>
      </c>
      <c r="AM297" s="43">
        <v>0</v>
      </c>
      <c r="AN297" s="396">
        <f>AVERAGE(AL297,AM297)</f>
        <v>0</v>
      </c>
      <c r="AO297" s="540">
        <v>0</v>
      </c>
      <c r="AP297" s="43">
        <v>0</v>
      </c>
      <c r="AQ297" s="396">
        <f>AVERAGE(AO297,AP297)</f>
        <v>0</v>
      </c>
      <c r="AR297" s="540">
        <v>0</v>
      </c>
      <c r="AS297" s="43">
        <v>0</v>
      </c>
      <c r="AT297" s="396">
        <f>AVERAGE(AR297,AS297)</f>
        <v>0</v>
      </c>
      <c r="AU297" s="540">
        <v>0</v>
      </c>
      <c r="AV297" s="43">
        <v>0</v>
      </c>
      <c r="AW297" s="396">
        <f>AVERAGE(AU297,AV297)</f>
        <v>0</v>
      </c>
      <c r="AX297" s="540">
        <v>0</v>
      </c>
      <c r="AY297" s="43">
        <v>0</v>
      </c>
      <c r="AZ297" s="396">
        <f>AVERAGE(AX297,AY297)</f>
        <v>0</v>
      </c>
      <c r="BA297" s="540">
        <v>0</v>
      </c>
      <c r="BB297" s="43">
        <v>0</v>
      </c>
      <c r="BC297" s="396">
        <f>AVERAGE(BA297,BB297)</f>
        <v>0</v>
      </c>
      <c r="BD297" s="540">
        <v>0</v>
      </c>
      <c r="BE297" s="43">
        <v>0</v>
      </c>
      <c r="BF297" s="396">
        <f>AVERAGE(BD297,BE297)</f>
        <v>0</v>
      </c>
      <c r="BG297" s="540">
        <v>0</v>
      </c>
      <c r="BH297" s="43">
        <v>0</v>
      </c>
      <c r="BI297" s="396">
        <f>AVERAGE(BG297,BH297)</f>
        <v>0</v>
      </c>
      <c r="BJ297" s="540">
        <v>0</v>
      </c>
      <c r="BK297" s="43">
        <v>0</v>
      </c>
      <c r="BL297" s="396">
        <f>AVERAGE(BJ297,BK297)</f>
        <v>0</v>
      </c>
      <c r="BM297" s="540">
        <v>0</v>
      </c>
      <c r="BN297" s="43">
        <v>0</v>
      </c>
      <c r="BO297" s="396">
        <f>AVERAGE(BM297,BN297)</f>
        <v>0</v>
      </c>
      <c r="BP297" s="540">
        <v>0</v>
      </c>
      <c r="BQ297" s="43">
        <v>0</v>
      </c>
      <c r="BR297" s="396">
        <f>AVERAGE(BP297,BQ297)</f>
        <v>0</v>
      </c>
    </row>
    <row r="298" spans="1:70" s="543" customFormat="1" ht="11.25" customHeight="1" outlineLevel="1">
      <c r="A298" s="8"/>
      <c r="B298" s="8"/>
      <c r="C298" s="95" t="s">
        <v>81</v>
      </c>
      <c r="D298" s="445" t="s">
        <v>66</v>
      </c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W298" s="8"/>
      <c r="X298" s="8"/>
      <c r="AE298" s="829"/>
      <c r="AF298" s="544">
        <f>((AF281*(AF299+AF300))+(AF282*(AF301+AF302)))</f>
        <v>2.6910581077826613E-2</v>
      </c>
      <c r="AG298" s="971">
        <f>((AG281*(AG299+AG300))+(AG282*(AG301+AG302)))</f>
        <v>2.9995738508299973E-2</v>
      </c>
      <c r="AH298" s="544">
        <f>((AH281*(AH299+AH300))+(AH282*(AH301+AH302)))</f>
        <v>2.8459008037284433E-2</v>
      </c>
      <c r="AI298" s="544">
        <f t="shared" ref="AI298:AN298" si="1017">((AI281*(AI299+AI300))+(AI282*(AI301+AI302)))</f>
        <v>2.4941427119692439E-2</v>
      </c>
      <c r="AJ298" s="544">
        <f t="shared" si="1017"/>
        <v>2.4839896991494588E-2</v>
      </c>
      <c r="AK298" s="544">
        <f t="shared" si="1017"/>
        <v>2.4882681878337164E-2</v>
      </c>
      <c r="AL298" s="544">
        <f t="shared" si="1017"/>
        <v>2.5236210461724938E-2</v>
      </c>
      <c r="AM298" s="544">
        <f t="shared" si="1017"/>
        <v>2.2033337068437343E-2</v>
      </c>
      <c r="AN298" s="544">
        <f t="shared" si="1017"/>
        <v>2.3631830116921538E-2</v>
      </c>
      <c r="AO298" s="544">
        <f t="shared" ref="AO298:BR298" si="1018">((AO281*(AO299+AO300))+(AO282*(AO301+AO302)))</f>
        <v>2.2158307586064307E-2</v>
      </c>
      <c r="AP298" s="544">
        <f t="shared" si="1018"/>
        <v>2.2148258454261688E-2</v>
      </c>
      <c r="AQ298" s="544">
        <f t="shared" si="1018"/>
        <v>2.2150816833796858E-2</v>
      </c>
      <c r="AR298" s="544">
        <f t="shared" si="1018"/>
        <v>2.2273425468468364E-2</v>
      </c>
      <c r="AS298" s="544">
        <f t="shared" si="1018"/>
        <v>2.226336166759153E-2</v>
      </c>
      <c r="AT298" s="544">
        <f t="shared" si="1018"/>
        <v>2.2265923839327625E-2</v>
      </c>
      <c r="AU298" s="544">
        <f t="shared" si="1018"/>
        <v>2.2388697276937288E-2</v>
      </c>
      <c r="AV298" s="544">
        <f t="shared" si="1018"/>
        <v>2.237862105518338E-2</v>
      </c>
      <c r="AW298" s="544">
        <f t="shared" si="1018"/>
        <v>2.238118644686873E-2</v>
      </c>
      <c r="AX298" s="544">
        <f t="shared" si="1018"/>
        <v>2.2504097206685027E-2</v>
      </c>
      <c r="AY298" s="544">
        <f t="shared" si="1018"/>
        <v>2.2494010823427134E-2</v>
      </c>
      <c r="AZ298" s="544">
        <f t="shared" si="1018"/>
        <v>2.2496578859913005E-2</v>
      </c>
      <c r="BA298" s="544">
        <f t="shared" si="1018"/>
        <v>2.2619599337540187E-2</v>
      </c>
      <c r="BB298" s="544">
        <f t="shared" si="1018"/>
        <v>2.2609505061309831E-2</v>
      </c>
      <c r="BC298" s="544">
        <f t="shared" si="1018"/>
        <v>2.2612075165063885E-2</v>
      </c>
      <c r="BD298" s="544">
        <f t="shared" si="1018"/>
        <v>2.2735177657151606E-2</v>
      </c>
      <c r="BE298" s="544">
        <f t="shared" si="1018"/>
        <v>2.2725077763603684E-2</v>
      </c>
      <c r="BF298" s="544">
        <f t="shared" si="1018"/>
        <v>2.2727649355227985E-2</v>
      </c>
      <c r="BG298" s="544">
        <f t="shared" si="1018"/>
        <v>2.285080608437037E-2</v>
      </c>
      <c r="BH298" s="544">
        <f t="shared" si="1018"/>
        <v>2.28407028542345E-2</v>
      </c>
      <c r="BI298" s="544">
        <f t="shared" si="1018"/>
        <v>2.2843275352987122E-2</v>
      </c>
      <c r="BJ298" s="544">
        <f t="shared" si="1018"/>
        <v>2.2966458492763745E-2</v>
      </c>
      <c r="BK298" s="544">
        <f t="shared" si="1018"/>
        <v>2.2956354209785836E-2</v>
      </c>
      <c r="BL298" s="544">
        <f t="shared" si="1018"/>
        <v>2.2958927034105035E-2</v>
      </c>
      <c r="BM298" s="544">
        <f t="shared" si="1018"/>
        <v>2.3082108734216043E-2</v>
      </c>
      <c r="BN298" s="544">
        <f t="shared" si="1018"/>
        <v>2.3072005683094088E-2</v>
      </c>
      <c r="BO298" s="544">
        <f t="shared" si="1018"/>
        <v>2.3074578251124044E-2</v>
      </c>
      <c r="BP298" s="544">
        <f t="shared" si="1018"/>
        <v>2.3197730662571126E-2</v>
      </c>
      <c r="BQ298" s="544">
        <f t="shared" si="1018"/>
        <v>2.3187631126889173E-2</v>
      </c>
      <c r="BR298" s="544">
        <f t="shared" si="1018"/>
        <v>2.3190202857006303E-2</v>
      </c>
    </row>
    <row r="299" spans="1:70" customFormat="1" ht="11.25" customHeight="1" outlineLevel="1">
      <c r="A299" s="208" t="s">
        <v>413</v>
      </c>
      <c r="B299" s="6"/>
      <c r="C299" s="108" t="s">
        <v>629</v>
      </c>
      <c r="D299" s="31" t="s">
        <v>66</v>
      </c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W299" s="6"/>
      <c r="X299" s="6"/>
      <c r="AE299" s="44"/>
      <c r="AF299" s="542">
        <f>CHOOSE($AG$1,AF383,AF422,AF461,AF500)</f>
        <v>2.5680000000000001E-2</v>
      </c>
      <c r="AG299" s="972">
        <f>CHOOSE($AG$1,AG383,AG422,AG461,AG500)</f>
        <v>2.6500000000000003E-2</v>
      </c>
      <c r="AH299" s="396">
        <f>AVERAGE(AF299,AG299)</f>
        <v>2.6090000000000002E-2</v>
      </c>
      <c r="AI299" s="443">
        <f>CHOOSE($AG$1,AI383,AI422,AI461,AI500)</f>
        <v>2.2340000000000002E-2</v>
      </c>
      <c r="AJ299" s="443">
        <f>CHOOSE($AG$1,AJ383,AJ422,AJ461,AJ500)</f>
        <v>1.992E-2</v>
      </c>
      <c r="AK299" s="396">
        <f>AVERAGE(AI299,AJ299)</f>
        <v>2.1130000000000003E-2</v>
      </c>
      <c r="AL299" s="443">
        <f>CHOOSE($AG$1,AL383,AL422,AL461,AL500)</f>
        <v>1.8000000000000002E-2</v>
      </c>
      <c r="AM299" s="443">
        <f>CHOOSE($AG$1,AM383,AM422,AM461,AM500)</f>
        <v>1.208E-2</v>
      </c>
      <c r="AN299" s="396">
        <f>AVERAGE(AL299,AM299)</f>
        <v>1.5040000000000001E-2</v>
      </c>
      <c r="AO299" s="443">
        <f>CHOOSE($AG$1,AO383,AO422,AO461,AO500)</f>
        <v>1.208E-2</v>
      </c>
      <c r="AP299" s="443">
        <f>CHOOSE($AG$1,AP383,AP422,AP461,AP500)</f>
        <v>1.208E-2</v>
      </c>
      <c r="AQ299" s="396">
        <f>AVERAGE(AO299,AP299)</f>
        <v>1.208E-2</v>
      </c>
      <c r="AR299" s="443">
        <f>CHOOSE($AG$1,AR383,AR422,AR461,AR500)</f>
        <v>1.208E-2</v>
      </c>
      <c r="AS299" s="443">
        <f>CHOOSE($AG$1,AS383,AS422,AS461,AS500)</f>
        <v>1.208E-2</v>
      </c>
      <c r="AT299" s="396">
        <f>AVERAGE(AR299,AS299)</f>
        <v>1.208E-2</v>
      </c>
      <c r="AU299" s="443">
        <f>CHOOSE($AG$1,AU383,AU422,AU461,AU500)</f>
        <v>1.208E-2</v>
      </c>
      <c r="AV299" s="443">
        <f>CHOOSE($AG$1,AV383,AV422,AV461,AV500)</f>
        <v>1.208E-2</v>
      </c>
      <c r="AW299" s="396">
        <f>AVERAGE(AU299,AV299)</f>
        <v>1.208E-2</v>
      </c>
      <c r="AX299" s="443">
        <f>CHOOSE($AG$1,AX383,AX422,AX461,AX500)</f>
        <v>1.208E-2</v>
      </c>
      <c r="AY299" s="443">
        <f>CHOOSE($AG$1,AY383,AY422,AY461,AY500)</f>
        <v>1.208E-2</v>
      </c>
      <c r="AZ299" s="396">
        <f>AVERAGE(AX299,AY299)</f>
        <v>1.208E-2</v>
      </c>
      <c r="BA299" s="443">
        <f>CHOOSE($AG$1,BA383,BA422,BA461,BA500)</f>
        <v>1.208E-2</v>
      </c>
      <c r="BB299" s="443">
        <f>CHOOSE($AG$1,BB383,BB422,BB461,BB500)</f>
        <v>1.208E-2</v>
      </c>
      <c r="BC299" s="396">
        <f>AVERAGE(BA299,BB299)</f>
        <v>1.208E-2</v>
      </c>
      <c r="BD299" s="443">
        <f>CHOOSE($AG$1,BD383,BD422,BD461,BD500)</f>
        <v>1.208E-2</v>
      </c>
      <c r="BE299" s="443">
        <f>CHOOSE($AG$1,BE383,BE422,BE461,BE500)</f>
        <v>1.208E-2</v>
      </c>
      <c r="BF299" s="396">
        <f>AVERAGE(BD299,BE299)</f>
        <v>1.208E-2</v>
      </c>
      <c r="BG299" s="443">
        <f>CHOOSE($AG$1,BG383,BG422,BG461,BG500)</f>
        <v>1.208E-2</v>
      </c>
      <c r="BH299" s="443">
        <f>CHOOSE($AG$1,BH383,BH422,BH461,BH500)</f>
        <v>1.208E-2</v>
      </c>
      <c r="BI299" s="396">
        <f>AVERAGE(BG299,BH299)</f>
        <v>1.208E-2</v>
      </c>
      <c r="BJ299" s="443">
        <f>CHOOSE($AG$1,BJ383,BJ422,BJ461,BJ500)</f>
        <v>1.208E-2</v>
      </c>
      <c r="BK299" s="443">
        <f>CHOOSE($AG$1,BK383,BK422,BK461,BK500)</f>
        <v>1.208E-2</v>
      </c>
      <c r="BL299" s="396">
        <f>AVERAGE(BJ299,BK299)</f>
        <v>1.208E-2</v>
      </c>
      <c r="BM299" s="443">
        <f>CHOOSE($AG$1,BM383,BM422,BM461,BM500)</f>
        <v>1.208E-2</v>
      </c>
      <c r="BN299" s="443">
        <f>CHOOSE($AG$1,BN383,BN422,BN461,BN500)</f>
        <v>1.208E-2</v>
      </c>
      <c r="BO299" s="396">
        <f>AVERAGE(BM299,BN299)</f>
        <v>1.208E-2</v>
      </c>
      <c r="BP299" s="443">
        <f>CHOOSE($AG$1,BP383,BP422,BP461,BP500)</f>
        <v>1.208E-2</v>
      </c>
      <c r="BQ299" s="443">
        <f>CHOOSE($AG$1,BQ383,BQ422,BQ461,BQ500)</f>
        <v>1.208E-2</v>
      </c>
      <c r="BR299" s="396">
        <f>AVERAGE(BP299,BQ299)</f>
        <v>1.208E-2</v>
      </c>
    </row>
    <row r="300" spans="1:70" customFormat="1" ht="11.25" customHeight="1" outlineLevel="1">
      <c r="A300" s="356"/>
      <c r="B300" s="6"/>
      <c r="C300" s="108" t="s">
        <v>630</v>
      </c>
      <c r="D300" s="31" t="s">
        <v>66</v>
      </c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W300" s="6"/>
      <c r="X300" s="6"/>
      <c r="AE300" s="44"/>
      <c r="AF300" s="540">
        <v>0</v>
      </c>
      <c r="AG300" s="973">
        <v>0</v>
      </c>
      <c r="AH300" s="396">
        <f>AVERAGE(AF300,AG300)</f>
        <v>0</v>
      </c>
      <c r="AI300" s="540">
        <v>0</v>
      </c>
      <c r="AJ300" s="540">
        <v>0</v>
      </c>
      <c r="AK300" s="541">
        <f>AVERAGE(AI300,AJ300)</f>
        <v>0</v>
      </c>
      <c r="AL300" s="540">
        <v>0</v>
      </c>
      <c r="AM300" s="43">
        <v>0</v>
      </c>
      <c r="AN300" s="396">
        <f>AVERAGE(AL300,AM300)</f>
        <v>0</v>
      </c>
      <c r="AO300" s="540">
        <v>0</v>
      </c>
      <c r="AP300" s="43">
        <v>0</v>
      </c>
      <c r="AQ300" s="396">
        <f>AVERAGE(AO300,AP300)</f>
        <v>0</v>
      </c>
      <c r="AR300" s="540">
        <v>0</v>
      </c>
      <c r="AS300" s="43">
        <v>0</v>
      </c>
      <c r="AT300" s="396">
        <f>AVERAGE(AR300,AS300)</f>
        <v>0</v>
      </c>
      <c r="AU300" s="540">
        <v>0</v>
      </c>
      <c r="AV300" s="43">
        <v>0</v>
      </c>
      <c r="AW300" s="396">
        <f>AVERAGE(AU300,AV300)</f>
        <v>0</v>
      </c>
      <c r="AX300" s="540">
        <v>0</v>
      </c>
      <c r="AY300" s="43">
        <v>0</v>
      </c>
      <c r="AZ300" s="396">
        <f>AVERAGE(AX300,AY300)</f>
        <v>0</v>
      </c>
      <c r="BA300" s="540">
        <v>0</v>
      </c>
      <c r="BB300" s="43">
        <v>0</v>
      </c>
      <c r="BC300" s="396">
        <f>AVERAGE(BA300,BB300)</f>
        <v>0</v>
      </c>
      <c r="BD300" s="540">
        <v>0</v>
      </c>
      <c r="BE300" s="43">
        <v>0</v>
      </c>
      <c r="BF300" s="396">
        <f>AVERAGE(BD300,BE300)</f>
        <v>0</v>
      </c>
      <c r="BG300" s="540">
        <v>0</v>
      </c>
      <c r="BH300" s="43">
        <v>0</v>
      </c>
      <c r="BI300" s="396">
        <f>AVERAGE(BG300,BH300)</f>
        <v>0</v>
      </c>
      <c r="BJ300" s="540">
        <v>0</v>
      </c>
      <c r="BK300" s="43">
        <v>0</v>
      </c>
      <c r="BL300" s="396">
        <f>AVERAGE(BJ300,BK300)</f>
        <v>0</v>
      </c>
      <c r="BM300" s="540">
        <v>0</v>
      </c>
      <c r="BN300" s="43">
        <v>0</v>
      </c>
      <c r="BO300" s="396">
        <f>AVERAGE(BM300,BN300)</f>
        <v>0</v>
      </c>
      <c r="BP300" s="540">
        <v>0</v>
      </c>
      <c r="BQ300" s="43">
        <v>0</v>
      </c>
      <c r="BR300" s="396">
        <f>AVERAGE(BP300,BQ300)</f>
        <v>0</v>
      </c>
    </row>
    <row r="301" spans="1:70" customFormat="1" ht="11.25" customHeight="1" outlineLevel="1">
      <c r="A301" s="208" t="s">
        <v>413</v>
      </c>
      <c r="B301" s="6"/>
      <c r="C301" s="108" t="s">
        <v>631</v>
      </c>
      <c r="D301" s="31" t="s">
        <v>66</v>
      </c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W301" s="6"/>
      <c r="X301" s="6"/>
      <c r="AE301" s="44"/>
      <c r="AF301" s="542">
        <f>CHOOSE($AG$1,AF384,AF423,AF462,AF501)</f>
        <v>2.8443750000000004E-2</v>
      </c>
      <c r="AG301" s="972">
        <f>CHOOSE($AG$1,AG384,AG423,AG462,AG501)</f>
        <v>3.44275E-2</v>
      </c>
      <c r="AH301" s="396">
        <f>AVERAGE(AF301,AG301)</f>
        <v>3.1435625000000002E-2</v>
      </c>
      <c r="AI301" s="443">
        <f>CHOOSE($AG$1,AI384,AI423,AI462,AI501)</f>
        <v>2.827E-2</v>
      </c>
      <c r="AJ301" s="443">
        <f>CHOOSE($AG$1,AJ384,AJ423,AJ462,AJ501)</f>
        <v>3.0983750000000001E-2</v>
      </c>
      <c r="AK301" s="396">
        <f>AVERAGE(AI301,AJ301)</f>
        <v>2.9626875E-2</v>
      </c>
      <c r="AL301" s="443">
        <f>CHOOSE($AG$1,AL384,AL423,AL462,AL501)</f>
        <v>3.3833749999999996E-2</v>
      </c>
      <c r="AM301" s="443">
        <f>CHOOSE($AG$1,AM384,AM423,AM462,AM501)</f>
        <v>3.3833749999999996E-2</v>
      </c>
      <c r="AN301" s="396">
        <f>AVERAGE(AL301,AM301)</f>
        <v>3.3833749999999996E-2</v>
      </c>
      <c r="AO301" s="443">
        <f>CHOOSE($AG$1,AO384,AO423,AO462,AO501)</f>
        <v>3.3833749999999996E-2</v>
      </c>
      <c r="AP301" s="443">
        <f>CHOOSE($AG$1,AP384,AP423,AP462,AP501)</f>
        <v>3.3833749999999996E-2</v>
      </c>
      <c r="AQ301" s="396">
        <f>AVERAGE(AO301,AP301)</f>
        <v>3.3833749999999996E-2</v>
      </c>
      <c r="AR301" s="443">
        <f>CHOOSE($AG$1,AR384,AR423,AR462,AR501)</f>
        <v>3.3833749999999996E-2</v>
      </c>
      <c r="AS301" s="443">
        <f>CHOOSE($AG$1,AS384,AS423,AS462,AS501)</f>
        <v>3.3833749999999996E-2</v>
      </c>
      <c r="AT301" s="396">
        <f>AVERAGE(AR301,AS301)</f>
        <v>3.3833749999999996E-2</v>
      </c>
      <c r="AU301" s="443">
        <f>CHOOSE($AG$1,AU384,AU423,AU462,AU501)</f>
        <v>3.3833749999999996E-2</v>
      </c>
      <c r="AV301" s="443">
        <f>CHOOSE($AG$1,AV384,AV423,AV462,AV501)</f>
        <v>3.3833749999999996E-2</v>
      </c>
      <c r="AW301" s="396">
        <f>AVERAGE(AU301,AV301)</f>
        <v>3.3833749999999996E-2</v>
      </c>
      <c r="AX301" s="443">
        <f>CHOOSE($AG$1,AX384,AX423,AX462,AX501)</f>
        <v>3.3833749999999996E-2</v>
      </c>
      <c r="AY301" s="443">
        <f>CHOOSE($AG$1,AY384,AY423,AY462,AY501)</f>
        <v>3.3833749999999996E-2</v>
      </c>
      <c r="AZ301" s="396">
        <f>AVERAGE(AX301,AY301)</f>
        <v>3.3833749999999996E-2</v>
      </c>
      <c r="BA301" s="443">
        <f>CHOOSE($AG$1,BA384,BA423,BA462,BA501)</f>
        <v>3.3833749999999996E-2</v>
      </c>
      <c r="BB301" s="443">
        <f>CHOOSE($AG$1,BB384,BB423,BB462,BB501)</f>
        <v>3.3833749999999996E-2</v>
      </c>
      <c r="BC301" s="396">
        <f>AVERAGE(BA301,BB301)</f>
        <v>3.3833749999999996E-2</v>
      </c>
      <c r="BD301" s="443">
        <f>CHOOSE($AG$1,BD384,BD423,BD462,BD501)</f>
        <v>3.3833749999999996E-2</v>
      </c>
      <c r="BE301" s="443">
        <f>CHOOSE($AG$1,BE384,BE423,BE462,BE501)</f>
        <v>3.3833749999999996E-2</v>
      </c>
      <c r="BF301" s="396">
        <f>AVERAGE(BD301,BE301)</f>
        <v>3.3833749999999996E-2</v>
      </c>
      <c r="BG301" s="443">
        <f>CHOOSE($AG$1,BG384,BG423,BG462,BG501)</f>
        <v>3.3833749999999996E-2</v>
      </c>
      <c r="BH301" s="443">
        <f>CHOOSE($AG$1,BH384,BH423,BH462,BH501)</f>
        <v>3.3833749999999996E-2</v>
      </c>
      <c r="BI301" s="396">
        <f>AVERAGE(BG301,BH301)</f>
        <v>3.3833749999999996E-2</v>
      </c>
      <c r="BJ301" s="443">
        <f>CHOOSE($AG$1,BJ384,BJ423,BJ462,BJ501)</f>
        <v>3.3833749999999996E-2</v>
      </c>
      <c r="BK301" s="443">
        <f>CHOOSE($AG$1,BK384,BK423,BK462,BK501)</f>
        <v>3.3833749999999996E-2</v>
      </c>
      <c r="BL301" s="396">
        <f>AVERAGE(BJ301,BK301)</f>
        <v>3.3833749999999996E-2</v>
      </c>
      <c r="BM301" s="443">
        <f>CHOOSE($AG$1,BM384,BM423,BM462,BM501)</f>
        <v>3.3833749999999996E-2</v>
      </c>
      <c r="BN301" s="443">
        <f>CHOOSE($AG$1,BN384,BN423,BN462,BN501)</f>
        <v>3.3833749999999996E-2</v>
      </c>
      <c r="BO301" s="396">
        <f>AVERAGE(BM301,BN301)</f>
        <v>3.3833749999999996E-2</v>
      </c>
      <c r="BP301" s="443">
        <f>CHOOSE($AG$1,BP384,BP423,BP462,BP501)</f>
        <v>3.3833749999999996E-2</v>
      </c>
      <c r="BQ301" s="443">
        <f>CHOOSE($AG$1,BQ384,BQ423,BQ462,BQ501)</f>
        <v>3.3833749999999996E-2</v>
      </c>
      <c r="BR301" s="396">
        <f>AVERAGE(BP301,BQ301)</f>
        <v>3.3833749999999996E-2</v>
      </c>
    </row>
    <row r="302" spans="1:70" customFormat="1" ht="11.25" customHeight="1" outlineLevel="1">
      <c r="A302" s="356"/>
      <c r="B302" s="6"/>
      <c r="C302" s="108" t="s">
        <v>632</v>
      </c>
      <c r="D302" s="31" t="s">
        <v>66</v>
      </c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W302" s="6"/>
      <c r="X302" s="6"/>
      <c r="AE302" s="44"/>
      <c r="AF302" s="540">
        <v>0</v>
      </c>
      <c r="AG302" s="973">
        <v>0</v>
      </c>
      <c r="AH302" s="396">
        <f>AVERAGE(AF302,AG302)</f>
        <v>0</v>
      </c>
      <c r="AI302" s="540">
        <v>0</v>
      </c>
      <c r="AJ302" s="540">
        <v>0</v>
      </c>
      <c r="AK302" s="541">
        <f>AVERAGE(AI302,AJ302)</f>
        <v>0</v>
      </c>
      <c r="AL302" s="540">
        <v>0</v>
      </c>
      <c r="AM302" s="43">
        <v>0</v>
      </c>
      <c r="AN302" s="396">
        <f>AVERAGE(AL302,AM302)</f>
        <v>0</v>
      </c>
      <c r="AO302" s="540">
        <v>0</v>
      </c>
      <c r="AP302" s="43">
        <v>0</v>
      </c>
      <c r="AQ302" s="396">
        <f>AVERAGE(AO302,AP302)</f>
        <v>0</v>
      </c>
      <c r="AR302" s="540">
        <v>0</v>
      </c>
      <c r="AS302" s="43">
        <v>0</v>
      </c>
      <c r="AT302" s="396">
        <f>AVERAGE(AR302,AS302)</f>
        <v>0</v>
      </c>
      <c r="AU302" s="540">
        <v>0</v>
      </c>
      <c r="AV302" s="43">
        <v>0</v>
      </c>
      <c r="AW302" s="396">
        <f>AVERAGE(AU302,AV302)</f>
        <v>0</v>
      </c>
      <c r="AX302" s="540">
        <v>0</v>
      </c>
      <c r="AY302" s="43">
        <v>0</v>
      </c>
      <c r="AZ302" s="396">
        <f>AVERAGE(AX302,AY302)</f>
        <v>0</v>
      </c>
      <c r="BA302" s="540">
        <v>0</v>
      </c>
      <c r="BB302" s="43">
        <v>0</v>
      </c>
      <c r="BC302" s="396">
        <f>AVERAGE(BA302,BB302)</f>
        <v>0</v>
      </c>
      <c r="BD302" s="540">
        <v>0</v>
      </c>
      <c r="BE302" s="43">
        <v>0</v>
      </c>
      <c r="BF302" s="396">
        <f>AVERAGE(BD302,BE302)</f>
        <v>0</v>
      </c>
      <c r="BG302" s="540">
        <v>0</v>
      </c>
      <c r="BH302" s="43">
        <v>0</v>
      </c>
      <c r="BI302" s="396">
        <f>AVERAGE(BG302,BH302)</f>
        <v>0</v>
      </c>
      <c r="BJ302" s="540">
        <v>0</v>
      </c>
      <c r="BK302" s="43">
        <v>0</v>
      </c>
      <c r="BL302" s="396">
        <f>AVERAGE(BJ302,BK302)</f>
        <v>0</v>
      </c>
      <c r="BM302" s="540">
        <v>0</v>
      </c>
      <c r="BN302" s="43">
        <v>0</v>
      </c>
      <c r="BO302" s="396">
        <f>AVERAGE(BM302,BN302)</f>
        <v>0</v>
      </c>
      <c r="BP302" s="540">
        <v>0</v>
      </c>
      <c r="BQ302" s="43">
        <v>0</v>
      </c>
      <c r="BR302" s="396">
        <f>AVERAGE(BP302,BQ302)</f>
        <v>0</v>
      </c>
    </row>
    <row r="303" spans="1:70" s="543" customFormat="1" ht="11.25" customHeight="1" outlineLevel="1">
      <c r="A303" s="8"/>
      <c r="B303" s="8"/>
      <c r="C303" s="95" t="s">
        <v>83</v>
      </c>
      <c r="D303" s="445" t="s">
        <v>66</v>
      </c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W303" s="8"/>
      <c r="X303" s="8"/>
      <c r="AE303" s="829"/>
      <c r="AF303" s="544">
        <f>((AF284*(AF304+AF305))+(AF285*(AF306+AF307))+(AF286*(AF308+AF309)))</f>
        <v>2.8915477721883333E-2</v>
      </c>
      <c r="AG303" s="971">
        <f t="shared" ref="AG303:AM303" si="1019">((AG284*(AG304+AG305))+(AG285*(AG306+AG307))+(AG286*(AG308+AG309)))</f>
        <v>3.3870347625591754E-2</v>
      </c>
      <c r="AH303" s="544">
        <f>((AH284*(AH304+AH305))+(AH285*(AH306+AH307))+(AH286*(AH308+AH309)))</f>
        <v>3.1342127389357197E-2</v>
      </c>
      <c r="AI303" s="544">
        <f t="shared" si="1019"/>
        <v>3.7431783627625878E-2</v>
      </c>
      <c r="AJ303" s="544">
        <f t="shared" si="1019"/>
        <v>3.7847916348077291E-2</v>
      </c>
      <c r="AK303" s="544">
        <f>((AK284*(AK304+AK305))+(AK285*(AK306+AK307))+(AK286*(AK308+AK309)))</f>
        <v>3.7659469633053104E-2</v>
      </c>
      <c r="AL303" s="544">
        <f t="shared" si="1019"/>
        <v>4.1377702782023386E-2</v>
      </c>
      <c r="AM303" s="544">
        <f t="shared" si="1019"/>
        <v>3.9053589474787556E-2</v>
      </c>
      <c r="AN303" s="544">
        <f>((AN284*(AN304+AN305))+(AN285*(AN306+AN307))+(AN286*(AN308+AN309)))</f>
        <v>4.0226954794195406E-2</v>
      </c>
      <c r="AO303" s="544">
        <f t="shared" ref="AO303:AP303" si="1020">((AO284*(AO304+AO305))+(AO285*(AO306+AO307))+(AO286*(AO308+AO309)))</f>
        <v>3.8989342845457291E-2</v>
      </c>
      <c r="AP303" s="544">
        <f t="shared" si="1020"/>
        <v>3.9161547494551543E-2</v>
      </c>
      <c r="AQ303" s="544">
        <f>((AQ284*(AQ304+AQ305))+(AQ285*(AQ306+AQ307))+(AQ286*(AQ308+AQ309)))</f>
        <v>3.9073851909137668E-2</v>
      </c>
      <c r="AR303" s="544">
        <f t="shared" ref="AR303:AS303" si="1021">((AR284*(AR304+AR305))+(AR285*(AR306+AR307))+(AR286*(AR308+AR309)))</f>
        <v>3.9097194243395889E-2</v>
      </c>
      <c r="AS303" s="544">
        <f t="shared" si="1021"/>
        <v>3.9269425432336171E-2</v>
      </c>
      <c r="AT303" s="544">
        <f>((AT284*(AT304+AT305))+(AT285*(AT306+AT307))+(AT286*(AT308+AT309)))</f>
        <v>3.9181732504065425E-2</v>
      </c>
      <c r="AU303" s="544">
        <f t="shared" ref="AU303:AV303" si="1022">((AU284*(AU304+AU305))+(AU285*(AU306+AU307))+(AU286*(AU308+AU309)))</f>
        <v>3.920497671822544E-2</v>
      </c>
      <c r="AV303" s="544">
        <f t="shared" si="1022"/>
        <v>3.9377205028480619E-2</v>
      </c>
      <c r="AW303" s="544">
        <f>((AW284*(AW304+AW305))+(AW285*(AW306+AW307))+(AW286*(AW308+AW309)))</f>
        <v>3.9289529720691989E-2</v>
      </c>
      <c r="AX303" s="544">
        <f t="shared" ref="AX303:AY303" si="1023">((AX284*(AX304+AX305))+(AX285*(AX306+AX307))+(AX286*(AX308+AX309)))</f>
        <v>3.9312672044747671E-2</v>
      </c>
      <c r="AY303" s="544">
        <f t="shared" si="1023"/>
        <v>3.9484868092724543E-2</v>
      </c>
      <c r="AZ303" s="544">
        <f>((AZ284*(AZ304+AZ305))+(AZ285*(AZ306+AZ307))+(AZ286*(AZ308+AZ309)))</f>
        <v>3.9397225341880601E-2</v>
      </c>
      <c r="BA303" s="544">
        <f t="shared" ref="BA303:BB303" si="1024">((BA284*(BA304+BA305))+(BA285*(BA306+BA307))+(BA286*(BA308+BA309)))</f>
        <v>3.9420262058978008E-2</v>
      </c>
      <c r="BB303" s="544">
        <f t="shared" si="1024"/>
        <v>3.9592396517219776E-2</v>
      </c>
      <c r="BC303" s="544">
        <f>((BC284*(BC304+BC305))+(BC285*(BC306+BC307))+(BC286*(BC308+BC309)))</f>
        <v>3.9504801222149388E-2</v>
      </c>
      <c r="BD303" s="544">
        <f t="shared" ref="BD303:BE303" si="1025">((BD284*(BD304+BD305))+(BD285*(BD306+BD307))+(BD286*(BD308+BD309)))</f>
        <v>3.9527728671145991E-2</v>
      </c>
      <c r="BE303" s="544">
        <f t="shared" si="1025"/>
        <v>3.9699772289413952E-2</v>
      </c>
      <c r="BF303" s="544">
        <f>((BF284*(BF304+BF305))+(BF285*(BF306+BF307))+(BF286*(BF308+BF309)))</f>
        <v>3.9612239300626392E-2</v>
      </c>
      <c r="BG303" s="544">
        <f t="shared" ref="BG303:BH303" si="1026">((BG284*(BG304+BG305))+(BG285*(BG306+BG307))+(BG286*(BG308+BG309)))</f>
        <v>3.9635053878580601E-2</v>
      </c>
      <c r="BH303" s="544">
        <f t="shared" si="1026"/>
        <v>3.9806977504786567E-2</v>
      </c>
      <c r="BI303" s="544">
        <f>((BI284*(BI304+BI305))+(BI285*(BI306+BI307))+(BI286*(BI308+BI309)))</f>
        <v>3.9719521613873376E-2</v>
      </c>
      <c r="BJ303" s="544">
        <f t="shared" ref="BJ303:BK303" si="1027">((BJ284*(BJ304+BJ305))+(BJ285*(BJ306+BJ307))+(BJ286*(BJ308+BJ309)))</f>
        <v>3.9742219778460736E-2</v>
      </c>
      <c r="BK303" s="544">
        <f t="shared" si="1027"/>
        <v>3.9913994379418075E-2</v>
      </c>
      <c r="BL303" s="544">
        <f>((BL284*(BL304+BL305))+(BL285*(BL306+BL307))+(BL286*(BL308+BL309)))</f>
        <v>3.9826630308558972E-2</v>
      </c>
      <c r="BM303" s="544">
        <f t="shared" ref="BM303:BN303" si="1028">((BM284*(BM304+BM305))+(BM285*(BM306+BM307))+(BM286*(BM308+BM309)))</f>
        <v>3.9849208580411445E-2</v>
      </c>
      <c r="BN303" s="544">
        <f t="shared" si="1028"/>
        <v>4.0020805262373213E-2</v>
      </c>
      <c r="BO303" s="544">
        <f>((BO284*(BO304+BO305))+(BO285*(BO306+BO307))+(BO286*(BO308+BO309)))</f>
        <v>3.9933547653961801E-2</v>
      </c>
      <c r="BP303" s="544">
        <f t="shared" ref="BP303:BQ303" si="1029">((BP284*(BP304+BP305))+(BP285*(BP306+BP307))+(BP286*(BP308+BP309)))</f>
        <v>3.9956002618927004E-2</v>
      </c>
      <c r="BQ303" s="544">
        <f t="shared" si="1029"/>
        <v>4.012739264788024E-2</v>
      </c>
      <c r="BR303" s="544">
        <f>((BR284*(BR304+BR305))+(BR285*(BR306+BR307))+(BR286*(BR308+BR309)))</f>
        <v>4.0040256054285205E-2</v>
      </c>
    </row>
    <row r="304" spans="1:70" customFormat="1" ht="11.25" customHeight="1" outlineLevel="1">
      <c r="A304" s="208" t="s">
        <v>413</v>
      </c>
      <c r="B304" s="6"/>
      <c r="C304" s="108" t="s">
        <v>627</v>
      </c>
      <c r="D304" s="31" t="s">
        <v>66</v>
      </c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W304" s="6"/>
      <c r="X304" s="6"/>
      <c r="AE304" s="44"/>
      <c r="AF304" s="542">
        <f>+AF306</f>
        <v>4.3611111111111101E-2</v>
      </c>
      <c r="AG304" s="972">
        <f>CHOOSE($AG$1,AG386,AG425,AG464,AG503)</f>
        <v>6.4500000000000002E-2</v>
      </c>
      <c r="AH304" s="396">
        <f t="shared" ref="AH304:AH309" si="1030">AVERAGE(AF304,AG304)</f>
        <v>5.4055555555555551E-2</v>
      </c>
      <c r="AI304" s="443">
        <f>CHOOSE($AG$1,AI386,AI425,AI464,AI503)</f>
        <v>6.5500000000000003E-2</v>
      </c>
      <c r="AJ304" s="443">
        <f>CHOOSE($AG$1,AJ386,AJ425,AJ464,AJ503)</f>
        <v>6.4500000000000002E-2</v>
      </c>
      <c r="AK304" s="396">
        <f t="shared" ref="AK304:AK309" si="1031">AVERAGE(AI304,AJ304)</f>
        <v>6.5000000000000002E-2</v>
      </c>
      <c r="AL304" s="443">
        <f>CHOOSE($AG$1,AL386,AL425,AL464,AL503)</f>
        <v>6.25E-2</v>
      </c>
      <c r="AM304" s="443">
        <f>CHOOSE($AG$1,AM386,AM425,AM464,AM503)</f>
        <v>5.6000000000000001E-2</v>
      </c>
      <c r="AN304" s="396">
        <f t="shared" ref="AN304:AN309" si="1032">AVERAGE(AL304,AM304)</f>
        <v>5.9249999999999997E-2</v>
      </c>
      <c r="AO304" s="443">
        <f>CHOOSE($AG$1,AO386,AO425,AO464,AO503)</f>
        <v>5.6000000000000001E-2</v>
      </c>
      <c r="AP304" s="443">
        <f>CHOOSE($AG$1,AP386,AP425,AP464,AP503)</f>
        <v>5.6000000000000001E-2</v>
      </c>
      <c r="AQ304" s="396">
        <f t="shared" ref="AQ304:AQ309" si="1033">AVERAGE(AO304,AP304)</f>
        <v>5.6000000000000001E-2</v>
      </c>
      <c r="AR304" s="443">
        <f>CHOOSE($AG$1,AR386,AR425,AR464,AR503)</f>
        <v>5.6000000000000001E-2</v>
      </c>
      <c r="AS304" s="443">
        <f>CHOOSE($AG$1,AS386,AS425,AS464,AS503)</f>
        <v>5.6000000000000001E-2</v>
      </c>
      <c r="AT304" s="396">
        <f t="shared" ref="AT304:AT309" si="1034">AVERAGE(AR304,AS304)</f>
        <v>5.6000000000000001E-2</v>
      </c>
      <c r="AU304" s="443">
        <f>CHOOSE($AG$1,AU386,AU425,AU464,AU503)</f>
        <v>5.6000000000000001E-2</v>
      </c>
      <c r="AV304" s="443">
        <f>CHOOSE($AG$1,AV386,AV425,AV464,AV503)</f>
        <v>5.6000000000000001E-2</v>
      </c>
      <c r="AW304" s="396">
        <f t="shared" ref="AW304:AW309" si="1035">AVERAGE(AU304,AV304)</f>
        <v>5.6000000000000001E-2</v>
      </c>
      <c r="AX304" s="443">
        <f>CHOOSE($AG$1,AX386,AX425,AX464,AX503)</f>
        <v>5.6000000000000001E-2</v>
      </c>
      <c r="AY304" s="443">
        <f>CHOOSE($AG$1,AY386,AY425,AY464,AY503)</f>
        <v>5.6000000000000001E-2</v>
      </c>
      <c r="AZ304" s="396">
        <f t="shared" ref="AZ304:AZ309" si="1036">AVERAGE(AX304,AY304)</f>
        <v>5.6000000000000001E-2</v>
      </c>
      <c r="BA304" s="443">
        <f>CHOOSE($AG$1,BA386,BA425,BA464,BA503)</f>
        <v>5.6000000000000001E-2</v>
      </c>
      <c r="BB304" s="443">
        <f>CHOOSE($AG$1,BB386,BB425,BB464,BB503)</f>
        <v>5.6000000000000001E-2</v>
      </c>
      <c r="BC304" s="396">
        <f t="shared" ref="BC304:BC309" si="1037">AVERAGE(BA304,BB304)</f>
        <v>5.6000000000000001E-2</v>
      </c>
      <c r="BD304" s="443">
        <f>CHOOSE($AG$1,BD386,BD425,BD464,BD503)</f>
        <v>5.6000000000000001E-2</v>
      </c>
      <c r="BE304" s="443">
        <f>CHOOSE($AG$1,BE386,BE425,BE464,BE503)</f>
        <v>5.6000000000000001E-2</v>
      </c>
      <c r="BF304" s="396">
        <f t="shared" ref="BF304:BF309" si="1038">AVERAGE(BD304,BE304)</f>
        <v>5.6000000000000001E-2</v>
      </c>
      <c r="BG304" s="443">
        <f>CHOOSE($AG$1,BG386,BG425,BG464,BG503)</f>
        <v>5.6000000000000001E-2</v>
      </c>
      <c r="BH304" s="443">
        <f>CHOOSE($AG$1,BH386,BH425,BH464,BH503)</f>
        <v>5.6000000000000001E-2</v>
      </c>
      <c r="BI304" s="396">
        <f t="shared" ref="BI304:BI309" si="1039">AVERAGE(BG304,BH304)</f>
        <v>5.6000000000000001E-2</v>
      </c>
      <c r="BJ304" s="443">
        <f>CHOOSE($AG$1,BJ386,BJ425,BJ464,BJ503)</f>
        <v>5.6000000000000001E-2</v>
      </c>
      <c r="BK304" s="443">
        <f>CHOOSE($AG$1,BK386,BK425,BK464,BK503)</f>
        <v>5.6000000000000001E-2</v>
      </c>
      <c r="BL304" s="396">
        <f t="shared" ref="BL304:BL309" si="1040">AVERAGE(BJ304,BK304)</f>
        <v>5.6000000000000001E-2</v>
      </c>
      <c r="BM304" s="443">
        <f>CHOOSE($AG$1,BM386,BM425,BM464,BM503)</f>
        <v>5.6000000000000001E-2</v>
      </c>
      <c r="BN304" s="443">
        <f>CHOOSE($AG$1,BN386,BN425,BN464,BN503)</f>
        <v>5.6000000000000001E-2</v>
      </c>
      <c r="BO304" s="396">
        <f t="shared" ref="BO304:BO309" si="1041">AVERAGE(BM304,BN304)</f>
        <v>5.6000000000000001E-2</v>
      </c>
      <c r="BP304" s="443">
        <f>CHOOSE($AG$1,BP386,BP425,BP464,BP503)</f>
        <v>5.6000000000000001E-2</v>
      </c>
      <c r="BQ304" s="443">
        <f>CHOOSE($AG$1,BQ386,BQ425,BQ464,BQ503)</f>
        <v>5.6000000000000001E-2</v>
      </c>
      <c r="BR304" s="396">
        <f t="shared" ref="BR304:BR309" si="1042">AVERAGE(BP304,BQ304)</f>
        <v>5.6000000000000001E-2</v>
      </c>
    </row>
    <row r="305" spans="1:71" customFormat="1" ht="11.25" customHeight="1" outlineLevel="1">
      <c r="A305" s="356"/>
      <c r="B305" s="6"/>
      <c r="C305" s="108" t="s">
        <v>628</v>
      </c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W305" s="6"/>
      <c r="X305" s="6"/>
      <c r="AE305" s="44"/>
      <c r="AF305" s="540">
        <v>-1.4999999999999999E-2</v>
      </c>
      <c r="AG305" s="973">
        <v>-0.02</v>
      </c>
      <c r="AH305" s="396">
        <f t="shared" si="1030"/>
        <v>-1.7500000000000002E-2</v>
      </c>
      <c r="AI305" s="540">
        <v>-1.4999999999999999E-2</v>
      </c>
      <c r="AJ305" s="540">
        <v>-1.4999999999999999E-2</v>
      </c>
      <c r="AK305" s="541">
        <f t="shared" si="1031"/>
        <v>-1.4999999999999999E-2</v>
      </c>
      <c r="AL305" s="540">
        <v>-5.0000000000000001E-3</v>
      </c>
      <c r="AM305" s="43">
        <v>-5.0000000000000001E-3</v>
      </c>
      <c r="AN305" s="396">
        <f t="shared" si="1032"/>
        <v>-5.0000000000000001E-3</v>
      </c>
      <c r="AO305" s="540">
        <v>-5.0000000000000001E-3</v>
      </c>
      <c r="AP305" s="43">
        <v>-5.0000000000000001E-3</v>
      </c>
      <c r="AQ305" s="396">
        <f t="shared" si="1033"/>
        <v>-5.0000000000000001E-3</v>
      </c>
      <c r="AR305" s="540">
        <v>-5.0000000000000001E-3</v>
      </c>
      <c r="AS305" s="43">
        <v>-5.0000000000000001E-3</v>
      </c>
      <c r="AT305" s="396">
        <f t="shared" si="1034"/>
        <v>-5.0000000000000001E-3</v>
      </c>
      <c r="AU305" s="540">
        <v>-5.0000000000000001E-3</v>
      </c>
      <c r="AV305" s="43">
        <v>-5.0000000000000001E-3</v>
      </c>
      <c r="AW305" s="396">
        <f t="shared" si="1035"/>
        <v>-5.0000000000000001E-3</v>
      </c>
      <c r="AX305" s="540">
        <v>-5.0000000000000001E-3</v>
      </c>
      <c r="AY305" s="43">
        <v>-5.0000000000000001E-3</v>
      </c>
      <c r="AZ305" s="396">
        <f t="shared" si="1036"/>
        <v>-5.0000000000000001E-3</v>
      </c>
      <c r="BA305" s="540">
        <v>-5.0000000000000001E-3</v>
      </c>
      <c r="BB305" s="43">
        <v>-5.0000000000000001E-3</v>
      </c>
      <c r="BC305" s="396">
        <f t="shared" si="1037"/>
        <v>-5.0000000000000001E-3</v>
      </c>
      <c r="BD305" s="540">
        <v>-5.0000000000000001E-3</v>
      </c>
      <c r="BE305" s="43">
        <v>-5.0000000000000001E-3</v>
      </c>
      <c r="BF305" s="396">
        <f t="shared" si="1038"/>
        <v>-5.0000000000000001E-3</v>
      </c>
      <c r="BG305" s="540">
        <v>-5.0000000000000001E-3</v>
      </c>
      <c r="BH305" s="43">
        <v>-5.0000000000000001E-3</v>
      </c>
      <c r="BI305" s="396">
        <f t="shared" si="1039"/>
        <v>-5.0000000000000001E-3</v>
      </c>
      <c r="BJ305" s="540">
        <v>-5.0000000000000001E-3</v>
      </c>
      <c r="BK305" s="43">
        <v>-5.0000000000000001E-3</v>
      </c>
      <c r="BL305" s="396">
        <f t="shared" si="1040"/>
        <v>-5.0000000000000001E-3</v>
      </c>
      <c r="BM305" s="540">
        <v>-5.0000000000000001E-3</v>
      </c>
      <c r="BN305" s="43">
        <v>-5.0000000000000001E-3</v>
      </c>
      <c r="BO305" s="396">
        <f t="shared" si="1041"/>
        <v>-5.0000000000000001E-3</v>
      </c>
      <c r="BP305" s="540">
        <v>-5.0000000000000001E-3</v>
      </c>
      <c r="BQ305" s="43">
        <v>-5.0000000000000001E-3</v>
      </c>
      <c r="BR305" s="396">
        <f t="shared" si="1042"/>
        <v>-5.0000000000000001E-3</v>
      </c>
    </row>
    <row r="306" spans="1:71" customFormat="1" ht="11.25" customHeight="1" outlineLevel="1">
      <c r="A306" s="208" t="s">
        <v>413</v>
      </c>
      <c r="B306" s="6"/>
      <c r="C306" s="108" t="s">
        <v>625</v>
      </c>
      <c r="D306" s="31" t="s">
        <v>66</v>
      </c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W306" s="6"/>
      <c r="X306" s="6"/>
      <c r="AE306" s="44"/>
      <c r="AF306" s="542">
        <f>CHOOSE($AG$1,AF387,AF426,AF465,AF504)</f>
        <v>4.3611111111111101E-2</v>
      </c>
      <c r="AG306" s="972">
        <f>CHOOSE($AG$1,AG387,AG426,AG465,AG504)</f>
        <v>4.5944444444444441E-2</v>
      </c>
      <c r="AH306" s="396">
        <f t="shared" si="1030"/>
        <v>4.4777777777777771E-2</v>
      </c>
      <c r="AI306" s="443">
        <f>CHOOSE($AG$1,AI387,AI426,AI465,AI504)</f>
        <v>4.5555555555555557E-2</v>
      </c>
      <c r="AJ306" s="443">
        <f>CHOOSE($AG$1,AJ387,AJ426,AJ465,AJ504)</f>
        <v>4.3722222222222218E-2</v>
      </c>
      <c r="AK306" s="396">
        <f t="shared" si="1031"/>
        <v>4.4638888888888888E-2</v>
      </c>
      <c r="AL306" s="443">
        <f>CHOOSE($AG$1,AL387,AL426,AL465,AL504)</f>
        <v>4.3833333333333328E-2</v>
      </c>
      <c r="AM306" s="443">
        <f>CHOOSE($AG$1,AM387,AM426,AM465,AM504)</f>
        <v>4.3222222222222224E-2</v>
      </c>
      <c r="AN306" s="396">
        <f t="shared" si="1032"/>
        <v>4.3527777777777776E-2</v>
      </c>
      <c r="AO306" s="443">
        <f>CHOOSE($AG$1,AO387,AO426,AO465,AO504)</f>
        <v>4.3222222222222224E-2</v>
      </c>
      <c r="AP306" s="443">
        <f>CHOOSE($AG$1,AP387,AP426,AP465,AP504)</f>
        <v>4.3222222222222224E-2</v>
      </c>
      <c r="AQ306" s="396">
        <f t="shared" si="1033"/>
        <v>4.3222222222222224E-2</v>
      </c>
      <c r="AR306" s="443">
        <f>CHOOSE($AG$1,AR387,AR426,AR465,AR504)</f>
        <v>4.3222222222222224E-2</v>
      </c>
      <c r="AS306" s="443">
        <f>CHOOSE($AG$1,AS387,AS426,AS465,AS504)</f>
        <v>4.3222222222222224E-2</v>
      </c>
      <c r="AT306" s="396">
        <f t="shared" si="1034"/>
        <v>4.3222222222222224E-2</v>
      </c>
      <c r="AU306" s="443">
        <f>CHOOSE($AG$1,AU387,AU426,AU465,AU504)</f>
        <v>4.3222222222222224E-2</v>
      </c>
      <c r="AV306" s="443">
        <f>CHOOSE($AG$1,AV387,AV426,AV465,AV504)</f>
        <v>4.3222222222222224E-2</v>
      </c>
      <c r="AW306" s="396">
        <f t="shared" si="1035"/>
        <v>4.3222222222222224E-2</v>
      </c>
      <c r="AX306" s="443">
        <f>CHOOSE($AG$1,AX387,AX426,AX465,AX504)</f>
        <v>4.3222222222222224E-2</v>
      </c>
      <c r="AY306" s="443">
        <f>CHOOSE($AG$1,AY387,AY426,AY465,AY504)</f>
        <v>4.3222222222222224E-2</v>
      </c>
      <c r="AZ306" s="396">
        <f t="shared" si="1036"/>
        <v>4.3222222222222224E-2</v>
      </c>
      <c r="BA306" s="443">
        <f>CHOOSE($AG$1,BA387,BA426,BA465,BA504)</f>
        <v>4.3222222222222224E-2</v>
      </c>
      <c r="BB306" s="443">
        <f>CHOOSE($AG$1,BB387,BB426,BB465,BB504)</f>
        <v>4.3222222222222224E-2</v>
      </c>
      <c r="BC306" s="396">
        <f t="shared" si="1037"/>
        <v>4.3222222222222224E-2</v>
      </c>
      <c r="BD306" s="443">
        <f>CHOOSE($AG$1,BD387,BD426,BD465,BD504)</f>
        <v>4.3222222222222224E-2</v>
      </c>
      <c r="BE306" s="443">
        <f>CHOOSE($AG$1,BE387,BE426,BE465,BE504)</f>
        <v>4.3222222222222224E-2</v>
      </c>
      <c r="BF306" s="396">
        <f t="shared" si="1038"/>
        <v>4.3222222222222224E-2</v>
      </c>
      <c r="BG306" s="443">
        <f>CHOOSE($AG$1,BG387,BG426,BG465,BG504)</f>
        <v>4.3222222222222224E-2</v>
      </c>
      <c r="BH306" s="443">
        <f>CHOOSE($AG$1,BH387,BH426,BH465,BH504)</f>
        <v>4.3222222222222224E-2</v>
      </c>
      <c r="BI306" s="396">
        <f t="shared" si="1039"/>
        <v>4.3222222222222224E-2</v>
      </c>
      <c r="BJ306" s="443">
        <f>CHOOSE($AG$1,BJ387,BJ426,BJ465,BJ504)</f>
        <v>4.3222222222222224E-2</v>
      </c>
      <c r="BK306" s="443">
        <f>CHOOSE($AG$1,BK387,BK426,BK465,BK504)</f>
        <v>4.3222222222222224E-2</v>
      </c>
      <c r="BL306" s="396">
        <f t="shared" si="1040"/>
        <v>4.3222222222222224E-2</v>
      </c>
      <c r="BM306" s="443">
        <f>CHOOSE($AG$1,BM387,BM426,BM465,BM504)</f>
        <v>4.3222222222222224E-2</v>
      </c>
      <c r="BN306" s="443">
        <f>CHOOSE($AG$1,BN387,BN426,BN465,BN504)</f>
        <v>4.3222222222222224E-2</v>
      </c>
      <c r="BO306" s="396">
        <f t="shared" si="1041"/>
        <v>4.3222222222222224E-2</v>
      </c>
      <c r="BP306" s="443">
        <f>CHOOSE($AG$1,BP387,BP426,BP465,BP504)</f>
        <v>4.3222222222222224E-2</v>
      </c>
      <c r="BQ306" s="443">
        <f>CHOOSE($AG$1,BQ387,BQ426,BQ465,BQ504)</f>
        <v>4.3222222222222224E-2</v>
      </c>
      <c r="BR306" s="396">
        <f t="shared" si="1042"/>
        <v>4.3222222222222224E-2</v>
      </c>
    </row>
    <row r="307" spans="1:71" customFormat="1" ht="11.25" customHeight="1" outlineLevel="1">
      <c r="A307" s="356"/>
      <c r="B307" s="6"/>
      <c r="C307" s="108" t="s">
        <v>626</v>
      </c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W307" s="6"/>
      <c r="X307" s="6"/>
      <c r="AE307" s="44"/>
      <c r="AF307" s="540">
        <v>-0.01</v>
      </c>
      <c r="AG307" s="973">
        <v>-1.2500000000000001E-2</v>
      </c>
      <c r="AH307" s="396">
        <f t="shared" si="1030"/>
        <v>-1.125E-2</v>
      </c>
      <c r="AI307" s="540">
        <v>-7.4999999999999997E-3</v>
      </c>
      <c r="AJ307" s="540">
        <v>-7.4999999999999997E-3</v>
      </c>
      <c r="AK307" s="541">
        <f t="shared" si="1031"/>
        <v>-7.4999999999999997E-3</v>
      </c>
      <c r="AL307" s="540">
        <v>-5.0000000000000001E-3</v>
      </c>
      <c r="AM307" s="540">
        <v>-5.0000000000000001E-3</v>
      </c>
      <c r="AN307" s="396">
        <f t="shared" si="1032"/>
        <v>-5.0000000000000001E-3</v>
      </c>
      <c r="AO307" s="540">
        <v>-5.0000000000000001E-3</v>
      </c>
      <c r="AP307" s="540">
        <v>-5.0000000000000001E-3</v>
      </c>
      <c r="AQ307" s="396">
        <f t="shared" si="1033"/>
        <v>-5.0000000000000001E-3</v>
      </c>
      <c r="AR307" s="540">
        <v>-5.0000000000000001E-3</v>
      </c>
      <c r="AS307" s="540">
        <v>-5.0000000000000001E-3</v>
      </c>
      <c r="AT307" s="396">
        <f t="shared" si="1034"/>
        <v>-5.0000000000000001E-3</v>
      </c>
      <c r="AU307" s="540">
        <v>-5.0000000000000001E-3</v>
      </c>
      <c r="AV307" s="540">
        <v>-5.0000000000000001E-3</v>
      </c>
      <c r="AW307" s="396">
        <f t="shared" si="1035"/>
        <v>-5.0000000000000001E-3</v>
      </c>
      <c r="AX307" s="540">
        <v>-5.0000000000000001E-3</v>
      </c>
      <c r="AY307" s="540">
        <v>-5.0000000000000001E-3</v>
      </c>
      <c r="AZ307" s="396">
        <f t="shared" si="1036"/>
        <v>-5.0000000000000001E-3</v>
      </c>
      <c r="BA307" s="540">
        <v>-5.0000000000000001E-3</v>
      </c>
      <c r="BB307" s="540">
        <v>-5.0000000000000001E-3</v>
      </c>
      <c r="BC307" s="396">
        <f t="shared" si="1037"/>
        <v>-5.0000000000000001E-3</v>
      </c>
      <c r="BD307" s="540">
        <v>-5.0000000000000001E-3</v>
      </c>
      <c r="BE307" s="540">
        <v>-5.0000000000000001E-3</v>
      </c>
      <c r="BF307" s="396">
        <f t="shared" si="1038"/>
        <v>-5.0000000000000001E-3</v>
      </c>
      <c r="BG307" s="540">
        <v>-5.0000000000000001E-3</v>
      </c>
      <c r="BH307" s="540">
        <v>-5.0000000000000001E-3</v>
      </c>
      <c r="BI307" s="396">
        <f t="shared" si="1039"/>
        <v>-5.0000000000000001E-3</v>
      </c>
      <c r="BJ307" s="540">
        <v>-5.0000000000000001E-3</v>
      </c>
      <c r="BK307" s="540">
        <v>-5.0000000000000001E-3</v>
      </c>
      <c r="BL307" s="396">
        <f t="shared" si="1040"/>
        <v>-5.0000000000000001E-3</v>
      </c>
      <c r="BM307" s="540">
        <v>-5.0000000000000001E-3</v>
      </c>
      <c r="BN307" s="540">
        <v>-5.0000000000000001E-3</v>
      </c>
      <c r="BO307" s="396">
        <f t="shared" si="1041"/>
        <v>-5.0000000000000001E-3</v>
      </c>
      <c r="BP307" s="540">
        <v>-5.0000000000000001E-3</v>
      </c>
      <c r="BQ307" s="540">
        <v>-5.0000000000000001E-3</v>
      </c>
      <c r="BR307" s="396">
        <f t="shared" si="1042"/>
        <v>-5.0000000000000001E-3</v>
      </c>
    </row>
    <row r="308" spans="1:71" customFormat="1" ht="11.25" customHeight="1" outlineLevel="1">
      <c r="A308" s="208" t="s">
        <v>413</v>
      </c>
      <c r="B308" s="6"/>
      <c r="C308" s="108" t="s">
        <v>624</v>
      </c>
      <c r="D308" s="31" t="s">
        <v>66</v>
      </c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W308" s="6"/>
      <c r="X308" s="6"/>
      <c r="AE308" s="44"/>
      <c r="AF308" s="542">
        <f>CHOOSE($AG$1,AF388,AF427,AF466,AF505)</f>
        <v>2.6250000000000002E-2</v>
      </c>
      <c r="AG308" s="972">
        <f>CHOOSE($AG$1,AG388,AG427,AG466,AG505)</f>
        <v>2.4250000000000001E-2</v>
      </c>
      <c r="AH308" s="396">
        <f t="shared" si="1030"/>
        <v>2.5250000000000002E-2</v>
      </c>
      <c r="AI308" s="443">
        <f>CHOOSE($AG$1,AI388,AI427,AI466,AI505)</f>
        <v>2.3875E-2</v>
      </c>
      <c r="AJ308" s="443">
        <f>CHOOSE($AG$1,AJ388,AJ427,AJ466,AJ505)</f>
        <v>2.6250000000000002E-2</v>
      </c>
      <c r="AK308" s="396">
        <f t="shared" si="1031"/>
        <v>2.5062500000000001E-2</v>
      </c>
      <c r="AL308" s="443">
        <f>CHOOSE($AG$1,AL388,AL427,AL466,AL505)</f>
        <v>2.5875000000000002E-2</v>
      </c>
      <c r="AM308" s="443">
        <f>CHOOSE($AG$1,AM388,AM427,AM466,AM505)</f>
        <v>2.6250000000000002E-2</v>
      </c>
      <c r="AN308" s="396">
        <f t="shared" si="1032"/>
        <v>2.6062500000000002E-2</v>
      </c>
      <c r="AO308" s="443">
        <f>CHOOSE($AG$1,AO388,AO427,AO466,AO505)</f>
        <v>2.6250000000000002E-2</v>
      </c>
      <c r="AP308" s="443">
        <f>CHOOSE($AG$1,AP388,AP427,AP466,AP505)</f>
        <v>2.6250000000000002E-2</v>
      </c>
      <c r="AQ308" s="396">
        <f t="shared" si="1033"/>
        <v>2.6250000000000002E-2</v>
      </c>
      <c r="AR308" s="443">
        <f>CHOOSE($AG$1,AR388,AR427,AR466,AR505)</f>
        <v>2.6250000000000002E-2</v>
      </c>
      <c r="AS308" s="443">
        <f>CHOOSE($AG$1,AS388,AS427,AS466,AS505)</f>
        <v>2.6250000000000002E-2</v>
      </c>
      <c r="AT308" s="396">
        <f t="shared" si="1034"/>
        <v>2.6250000000000002E-2</v>
      </c>
      <c r="AU308" s="443">
        <f>CHOOSE($AG$1,AU388,AU427,AU466,AU505)</f>
        <v>2.6250000000000002E-2</v>
      </c>
      <c r="AV308" s="443">
        <f>CHOOSE($AG$1,AV388,AV427,AV466,AV505)</f>
        <v>2.6250000000000002E-2</v>
      </c>
      <c r="AW308" s="396">
        <f t="shared" si="1035"/>
        <v>2.6250000000000002E-2</v>
      </c>
      <c r="AX308" s="443">
        <f>CHOOSE($AG$1,AX388,AX427,AX466,AX505)</f>
        <v>2.6250000000000002E-2</v>
      </c>
      <c r="AY308" s="443">
        <f>CHOOSE($AG$1,AY388,AY427,AY466,AY505)</f>
        <v>2.6250000000000002E-2</v>
      </c>
      <c r="AZ308" s="396">
        <f t="shared" si="1036"/>
        <v>2.6250000000000002E-2</v>
      </c>
      <c r="BA308" s="443">
        <f>CHOOSE($AG$1,BA388,BA427,BA466,BA505)</f>
        <v>2.6250000000000002E-2</v>
      </c>
      <c r="BB308" s="443">
        <f>CHOOSE($AG$1,BB388,BB427,BB466,BB505)</f>
        <v>2.6250000000000002E-2</v>
      </c>
      <c r="BC308" s="396">
        <f t="shared" si="1037"/>
        <v>2.6250000000000002E-2</v>
      </c>
      <c r="BD308" s="443">
        <f>CHOOSE($AG$1,BD388,BD427,BD466,BD505)</f>
        <v>2.6250000000000002E-2</v>
      </c>
      <c r="BE308" s="443">
        <f>CHOOSE($AG$1,BE388,BE427,BE466,BE505)</f>
        <v>2.6250000000000002E-2</v>
      </c>
      <c r="BF308" s="396">
        <f t="shared" si="1038"/>
        <v>2.6250000000000002E-2</v>
      </c>
      <c r="BG308" s="443">
        <f>CHOOSE($AG$1,BG388,BG427,BG466,BG505)</f>
        <v>2.6250000000000002E-2</v>
      </c>
      <c r="BH308" s="443">
        <f>CHOOSE($AG$1,BH388,BH427,BH466,BH505)</f>
        <v>2.6250000000000002E-2</v>
      </c>
      <c r="BI308" s="396">
        <f t="shared" si="1039"/>
        <v>2.6250000000000002E-2</v>
      </c>
      <c r="BJ308" s="443">
        <f>CHOOSE($AG$1,BJ388,BJ427,BJ466,BJ505)</f>
        <v>2.6250000000000002E-2</v>
      </c>
      <c r="BK308" s="443">
        <f>CHOOSE($AG$1,BK388,BK427,BK466,BK505)</f>
        <v>2.6250000000000002E-2</v>
      </c>
      <c r="BL308" s="396">
        <f t="shared" si="1040"/>
        <v>2.6250000000000002E-2</v>
      </c>
      <c r="BM308" s="443">
        <f>CHOOSE($AG$1,BM388,BM427,BM466,BM505)</f>
        <v>2.6250000000000002E-2</v>
      </c>
      <c r="BN308" s="443">
        <f>CHOOSE($AG$1,BN388,BN427,BN466,BN505)</f>
        <v>2.6250000000000002E-2</v>
      </c>
      <c r="BO308" s="396">
        <f t="shared" si="1041"/>
        <v>2.6250000000000002E-2</v>
      </c>
      <c r="BP308" s="443">
        <f>CHOOSE($AG$1,BP388,BP427,BP466,BP505)</f>
        <v>2.6250000000000002E-2</v>
      </c>
      <c r="BQ308" s="443">
        <f>CHOOSE($AG$1,BQ388,BQ427,BQ466,BQ505)</f>
        <v>2.6250000000000002E-2</v>
      </c>
      <c r="BR308" s="396">
        <f t="shared" si="1042"/>
        <v>2.6250000000000002E-2</v>
      </c>
    </row>
    <row r="309" spans="1:71" customFormat="1" ht="11.25" customHeight="1" outlineLevel="1">
      <c r="A309" s="356"/>
      <c r="B309" s="6"/>
      <c r="C309" s="108" t="s">
        <v>623</v>
      </c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W309" s="6"/>
      <c r="X309" s="6"/>
      <c r="AE309" s="44"/>
      <c r="AF309" s="540">
        <v>0</v>
      </c>
      <c r="AG309" s="973">
        <v>0</v>
      </c>
      <c r="AH309" s="396">
        <f t="shared" si="1030"/>
        <v>0</v>
      </c>
      <c r="AI309" s="540">
        <v>0</v>
      </c>
      <c r="AJ309" s="540">
        <v>0</v>
      </c>
      <c r="AK309" s="541">
        <f t="shared" si="1031"/>
        <v>0</v>
      </c>
      <c r="AL309" s="540">
        <v>0</v>
      </c>
      <c r="AM309" s="43">
        <v>0</v>
      </c>
      <c r="AN309" s="396">
        <f t="shared" si="1032"/>
        <v>0</v>
      </c>
      <c r="AO309" s="540">
        <v>0</v>
      </c>
      <c r="AP309" s="43">
        <v>0</v>
      </c>
      <c r="AQ309" s="396">
        <f t="shared" si="1033"/>
        <v>0</v>
      </c>
      <c r="AR309" s="540">
        <v>0</v>
      </c>
      <c r="AS309" s="43">
        <v>0</v>
      </c>
      <c r="AT309" s="396">
        <f t="shared" si="1034"/>
        <v>0</v>
      </c>
      <c r="AU309" s="540">
        <v>0</v>
      </c>
      <c r="AV309" s="43">
        <v>0</v>
      </c>
      <c r="AW309" s="396">
        <f t="shared" si="1035"/>
        <v>0</v>
      </c>
      <c r="AX309" s="540">
        <v>0</v>
      </c>
      <c r="AY309" s="43">
        <v>0</v>
      </c>
      <c r="AZ309" s="396">
        <f t="shared" si="1036"/>
        <v>0</v>
      </c>
      <c r="BA309" s="540">
        <v>0</v>
      </c>
      <c r="BB309" s="43">
        <v>0</v>
      </c>
      <c r="BC309" s="396">
        <f t="shared" si="1037"/>
        <v>0</v>
      </c>
      <c r="BD309" s="540">
        <v>0</v>
      </c>
      <c r="BE309" s="43">
        <v>0</v>
      </c>
      <c r="BF309" s="396">
        <f t="shared" si="1038"/>
        <v>0</v>
      </c>
      <c r="BG309" s="540">
        <v>0</v>
      </c>
      <c r="BH309" s="43">
        <v>0</v>
      </c>
      <c r="BI309" s="396">
        <f t="shared" si="1039"/>
        <v>0</v>
      </c>
      <c r="BJ309" s="540">
        <v>0</v>
      </c>
      <c r="BK309" s="43">
        <v>0</v>
      </c>
      <c r="BL309" s="396">
        <f t="shared" si="1040"/>
        <v>0</v>
      </c>
      <c r="BM309" s="540">
        <v>0</v>
      </c>
      <c r="BN309" s="43">
        <v>0</v>
      </c>
      <c r="BO309" s="396">
        <f t="shared" si="1041"/>
        <v>0</v>
      </c>
      <c r="BP309" s="540">
        <v>0</v>
      </c>
      <c r="BQ309" s="43">
        <v>0</v>
      </c>
      <c r="BR309" s="396">
        <f t="shared" si="1042"/>
        <v>0</v>
      </c>
    </row>
    <row r="310" spans="1:71" s="543" customFormat="1" ht="11.25" customHeight="1" outlineLevel="1">
      <c r="A310" s="8"/>
      <c r="B310" s="8"/>
      <c r="C310" s="95" t="s">
        <v>82</v>
      </c>
      <c r="D310" s="445" t="s">
        <v>66</v>
      </c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W310" s="8"/>
      <c r="X310" s="8"/>
      <c r="AE310" s="829"/>
      <c r="AF310" s="544">
        <f>((AF288*(AF311+AF312))+(AF289*(AF313+AF314)))</f>
        <v>-5.0690435463362313E-2</v>
      </c>
      <c r="AG310" s="971">
        <f t="shared" ref="AG310:AN310" si="1043">((AG288*(AG311+AG312))+(AG289*(AG313+AG314)))</f>
        <v>-4.9750526320862506E-2</v>
      </c>
      <c r="AH310" s="544">
        <f t="shared" si="1043"/>
        <v>-5.0217551024578047E-2</v>
      </c>
      <c r="AI310" s="544">
        <f t="shared" si="1043"/>
        <v>-2.4571089633675068E-3</v>
      </c>
      <c r="AJ310" s="544">
        <f t="shared" si="1043"/>
        <v>-2.5642734323540906E-3</v>
      </c>
      <c r="AK310" s="544">
        <f t="shared" si="1043"/>
        <v>-2.5301684621915465E-3</v>
      </c>
      <c r="AL310" s="544">
        <f t="shared" si="1043"/>
        <v>-1.5447987055185984E-3</v>
      </c>
      <c r="AM310" s="544">
        <f t="shared" si="1043"/>
        <v>-3.2172649900808273E-3</v>
      </c>
      <c r="AN310" s="544">
        <f t="shared" si="1043"/>
        <v>-2.4159789228707634E-3</v>
      </c>
      <c r="AO310" s="544">
        <f t="shared" ref="AO310:BR310" si="1044">((AO288*(AO311+AO312))+(AO289*(AO313+AO314)))</f>
        <v>-1.6055005464805039E-2</v>
      </c>
      <c r="AP310" s="544">
        <f t="shared" si="1044"/>
        <v>-1.59871627394641E-2</v>
      </c>
      <c r="AQ310" s="544">
        <f t="shared" si="1044"/>
        <v>-1.6021974093616477E-2</v>
      </c>
      <c r="AR310" s="544">
        <f t="shared" si="1044"/>
        <v>-7.7113748581117943E-3</v>
      </c>
      <c r="AS310" s="544">
        <f t="shared" si="1044"/>
        <v>-7.3502601992063345E-3</v>
      </c>
      <c r="AT310" s="544">
        <f t="shared" si="1044"/>
        <v>-7.5355218855069966E-3</v>
      </c>
      <c r="AU310" s="544">
        <f t="shared" si="1044"/>
        <v>-7.6265655589945356E-3</v>
      </c>
      <c r="AV310" s="544">
        <f t="shared" si="1044"/>
        <v>-7.2663542505694888E-3</v>
      </c>
      <c r="AW310" s="544">
        <f t="shared" si="1044"/>
        <v>-7.4511197465529141E-3</v>
      </c>
      <c r="AX310" s="544">
        <f t="shared" si="1044"/>
        <v>-7.5419448612612195E-3</v>
      </c>
      <c r="AY310" s="544">
        <f t="shared" si="1044"/>
        <v>-7.1826957169076446E-3</v>
      </c>
      <c r="AZ310" s="544">
        <f t="shared" si="1044"/>
        <v>-7.3669351087052894E-3</v>
      </c>
      <c r="BA310" s="544">
        <f t="shared" si="1044"/>
        <v>-7.4575267596059284E-3</v>
      </c>
      <c r="BB310" s="544">
        <f t="shared" si="1044"/>
        <v>-7.0992979466448546E-3</v>
      </c>
      <c r="BC310" s="544">
        <f t="shared" si="1044"/>
        <v>-7.2829816723758789E-3</v>
      </c>
      <c r="BD310" s="544">
        <f t="shared" si="1044"/>
        <v>-7.3733251117110692E-3</v>
      </c>
      <c r="BE310" s="544">
        <f t="shared" si="1044"/>
        <v>-7.0161741149842452E-3</v>
      </c>
      <c r="BF310" s="544">
        <f t="shared" si="1044"/>
        <v>-7.1992729828795638E-3</v>
      </c>
      <c r="BG310" s="544">
        <f t="shared" si="1044"/>
        <v>-7.2893536294245725E-3</v>
      </c>
      <c r="BH310" s="544">
        <f t="shared" si="1044"/>
        <v>-6.933337216042273E-3</v>
      </c>
      <c r="BI310" s="544">
        <f t="shared" si="1044"/>
        <v>-7.1158224220526159E-3</v>
      </c>
      <c r="BJ310" s="544">
        <f t="shared" si="1044"/>
        <v>-7.2056258701436266E-3</v>
      </c>
      <c r="BK310" s="544">
        <f t="shared" si="1044"/>
        <v>-6.850800055232786E-3</v>
      </c>
      <c r="BL310" s="544">
        <f t="shared" si="1044"/>
        <v>-7.0326432000997604E-3</v>
      </c>
      <c r="BM310" s="544">
        <f t="shared" si="1044"/>
        <v>-7.1221552284159734E-3</v>
      </c>
      <c r="BN310" s="544">
        <f t="shared" si="1044"/>
        <v>-6.7685752419095416E-3</v>
      </c>
      <c r="BO310" s="544">
        <f t="shared" si="1044"/>
        <v>-6.9497483476799347E-3</v>
      </c>
      <c r="BP310" s="544">
        <f t="shared" si="1044"/>
        <v>-7.0389549277692269E-3</v>
      </c>
      <c r="BQ310" s="544">
        <f t="shared" si="1044"/>
        <v>-6.6866751822752413E-3</v>
      </c>
      <c r="BR310" s="544">
        <f t="shared" si="1044"/>
        <v>-6.8671507082400914E-3</v>
      </c>
    </row>
    <row r="311" spans="1:71" customFormat="1" ht="11.25" customHeight="1" outlineLevel="1">
      <c r="A311" s="208" t="s">
        <v>413</v>
      </c>
      <c r="B311" s="6"/>
      <c r="C311" s="108" t="s">
        <v>619</v>
      </c>
      <c r="D311" s="31" t="s">
        <v>66</v>
      </c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W311" s="6"/>
      <c r="X311" s="6"/>
      <c r="AE311" s="44"/>
      <c r="AF311" s="542">
        <f>CHOOSE($AG$1,AF390,AF429,AF468,AF507)</f>
        <v>2.4340000000000001E-2</v>
      </c>
      <c r="AG311" s="972">
        <f>CHOOSE($AG$1,AG390,AG429,AG468,AG507)</f>
        <v>2.4750000000000001E-2</v>
      </c>
      <c r="AH311" s="396">
        <f>AVERAGE(AF311,AG311)</f>
        <v>2.4545000000000001E-2</v>
      </c>
      <c r="AI311" s="443">
        <f>CHOOSE($AG$1,AI390,AI429,AI468,AI507)</f>
        <v>2.0920000000000001E-2</v>
      </c>
      <c r="AJ311" s="443">
        <f>CHOOSE($AG$1,AJ390,AJ429,AJ468,AJ507)</f>
        <v>1.8959999999999998E-2</v>
      </c>
      <c r="AK311" s="396">
        <f>AVERAGE(AI311,AJ311)</f>
        <v>1.9939999999999999E-2</v>
      </c>
      <c r="AL311" s="443">
        <f>CHOOSE($AG$1,AL390,AL429,AL468,AL507)</f>
        <v>1.7499999999999998E-2</v>
      </c>
      <c r="AM311" s="443">
        <f>CHOOSE($AG$1,AM390,AM429,AM468,AM507)</f>
        <v>1.204E-2</v>
      </c>
      <c r="AN311" s="396">
        <f>AVERAGE(AL311,AM311)</f>
        <v>1.4769999999999998E-2</v>
      </c>
      <c r="AO311" s="443">
        <f>CHOOSE($AG$1,AO390,AO429,AO468,AO507)</f>
        <v>1.204E-2</v>
      </c>
      <c r="AP311" s="443">
        <f>CHOOSE($AG$1,AP390,AP429,AP468,AP507)</f>
        <v>1.204E-2</v>
      </c>
      <c r="AQ311" s="396">
        <f>AVERAGE(AO311,AP311)</f>
        <v>1.204E-2</v>
      </c>
      <c r="AR311" s="443">
        <f>CHOOSE($AG$1,AR390,AR429,AR468,AR507)</f>
        <v>1.204E-2</v>
      </c>
      <c r="AS311" s="443">
        <f>CHOOSE($AG$1,AS390,AS429,AS468,AS507)</f>
        <v>1.204E-2</v>
      </c>
      <c r="AT311" s="396">
        <f>AVERAGE(AR311,AS311)</f>
        <v>1.204E-2</v>
      </c>
      <c r="AU311" s="443">
        <f>CHOOSE($AG$1,AU390,AU429,AU468,AU507)</f>
        <v>1.204E-2</v>
      </c>
      <c r="AV311" s="443">
        <f>CHOOSE($AG$1,AV390,AV429,AV468,AV507)</f>
        <v>1.204E-2</v>
      </c>
      <c r="AW311" s="396">
        <f>AVERAGE(AU311,AV311)</f>
        <v>1.204E-2</v>
      </c>
      <c r="AX311" s="443">
        <f>CHOOSE($AG$1,AX390,AX429,AX468,AX507)</f>
        <v>1.204E-2</v>
      </c>
      <c r="AY311" s="443">
        <f>CHOOSE($AG$1,AY390,AY429,AY468,AY507)</f>
        <v>1.204E-2</v>
      </c>
      <c r="AZ311" s="396">
        <f>AVERAGE(AX311,AY311)</f>
        <v>1.204E-2</v>
      </c>
      <c r="BA311" s="443">
        <f>CHOOSE($AG$1,BA390,BA429,BA468,BA507)</f>
        <v>1.204E-2</v>
      </c>
      <c r="BB311" s="443">
        <f>CHOOSE($AG$1,BB390,BB429,BB468,BB507)</f>
        <v>1.204E-2</v>
      </c>
      <c r="BC311" s="396">
        <f>AVERAGE(BA311,BB311)</f>
        <v>1.204E-2</v>
      </c>
      <c r="BD311" s="443">
        <f>CHOOSE($AG$1,BD390,BD429,BD468,BD507)</f>
        <v>1.204E-2</v>
      </c>
      <c r="BE311" s="443">
        <f>CHOOSE($AG$1,BE390,BE429,BE468,BE507)</f>
        <v>1.204E-2</v>
      </c>
      <c r="BF311" s="396">
        <f>AVERAGE(BD311,BE311)</f>
        <v>1.204E-2</v>
      </c>
      <c r="BG311" s="443">
        <f>CHOOSE($AG$1,BG390,BG429,BG468,BG507)</f>
        <v>1.204E-2</v>
      </c>
      <c r="BH311" s="443">
        <f>CHOOSE($AG$1,BH390,BH429,BH468,BH507)</f>
        <v>1.204E-2</v>
      </c>
      <c r="BI311" s="396">
        <f>AVERAGE(BG311,BH311)</f>
        <v>1.204E-2</v>
      </c>
      <c r="BJ311" s="443">
        <f>CHOOSE($AG$1,BJ390,BJ429,BJ468,BJ507)</f>
        <v>1.204E-2</v>
      </c>
      <c r="BK311" s="443">
        <f>CHOOSE($AG$1,BK390,BK429,BK468,BK507)</f>
        <v>1.204E-2</v>
      </c>
      <c r="BL311" s="396">
        <f>AVERAGE(BJ311,BK311)</f>
        <v>1.204E-2</v>
      </c>
      <c r="BM311" s="443">
        <f>CHOOSE($AG$1,BM390,BM429,BM468,BM507)</f>
        <v>1.204E-2</v>
      </c>
      <c r="BN311" s="443">
        <f>CHOOSE($AG$1,BN390,BN429,BN468,BN507)</f>
        <v>1.204E-2</v>
      </c>
      <c r="BO311" s="396">
        <f>AVERAGE(BM311,BN311)</f>
        <v>1.204E-2</v>
      </c>
      <c r="BP311" s="443">
        <f>CHOOSE($AG$1,BP390,BP429,BP468,BP507)</f>
        <v>1.204E-2</v>
      </c>
      <c r="BQ311" s="443">
        <f>CHOOSE($AG$1,BQ390,BQ429,BQ468,BQ507)</f>
        <v>1.204E-2</v>
      </c>
      <c r="BR311" s="396">
        <f>AVERAGE(BP311,BQ311)</f>
        <v>1.204E-2</v>
      </c>
    </row>
    <row r="312" spans="1:71" customFormat="1" ht="11.25" customHeight="1" outlineLevel="1">
      <c r="A312" s="356"/>
      <c r="B312" s="6"/>
      <c r="C312" s="108" t="s">
        <v>620</v>
      </c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W312" s="6"/>
      <c r="X312" s="6"/>
      <c r="AE312" s="44"/>
      <c r="AF312" s="540">
        <v>-0.05</v>
      </c>
      <c r="AG312" s="973">
        <v>-0.05</v>
      </c>
      <c r="AH312" s="396">
        <f>AVERAGE(AF312,AG312)</f>
        <v>-0.05</v>
      </c>
      <c r="AI312" s="540">
        <v>-4.4999999999999998E-2</v>
      </c>
      <c r="AJ312" s="540">
        <v>-4.4999999999999998E-2</v>
      </c>
      <c r="AK312" s="541">
        <f>AVERAGE(AI312,AJ312)</f>
        <v>-4.4999999999999998E-2</v>
      </c>
      <c r="AL312" s="540">
        <v>-0.04</v>
      </c>
      <c r="AM312" s="43">
        <v>-0.04</v>
      </c>
      <c r="AN312" s="396">
        <f>AVERAGE(AL312,AM312)</f>
        <v>-0.04</v>
      </c>
      <c r="AO312" s="540">
        <v>-0.03</v>
      </c>
      <c r="AP312" s="43">
        <v>-0.03</v>
      </c>
      <c r="AQ312" s="396">
        <f>AVERAGE(AO312,AP312)</f>
        <v>-0.03</v>
      </c>
      <c r="AR312" s="540">
        <v>-0.03</v>
      </c>
      <c r="AS312" s="43">
        <v>-0.03</v>
      </c>
      <c r="AT312" s="396">
        <f>AVERAGE(AR312,AS312)</f>
        <v>-0.03</v>
      </c>
      <c r="AU312" s="540">
        <v>-0.03</v>
      </c>
      <c r="AV312" s="43">
        <v>-0.03</v>
      </c>
      <c r="AW312" s="396">
        <f>AVERAGE(AU312,AV312)</f>
        <v>-0.03</v>
      </c>
      <c r="AX312" s="540">
        <v>-0.03</v>
      </c>
      <c r="AY312" s="43">
        <v>-0.03</v>
      </c>
      <c r="AZ312" s="396">
        <f>AVERAGE(AX312,AY312)</f>
        <v>-0.03</v>
      </c>
      <c r="BA312" s="540">
        <v>-0.03</v>
      </c>
      <c r="BB312" s="43">
        <v>-0.03</v>
      </c>
      <c r="BC312" s="396">
        <f>AVERAGE(BA312,BB312)</f>
        <v>-0.03</v>
      </c>
      <c r="BD312" s="540">
        <v>-0.03</v>
      </c>
      <c r="BE312" s="43">
        <v>-0.03</v>
      </c>
      <c r="BF312" s="396">
        <f>AVERAGE(BD312,BE312)</f>
        <v>-0.03</v>
      </c>
      <c r="BG312" s="540">
        <v>-0.03</v>
      </c>
      <c r="BH312" s="43">
        <v>-0.03</v>
      </c>
      <c r="BI312" s="396">
        <f>AVERAGE(BG312,BH312)</f>
        <v>-0.03</v>
      </c>
      <c r="BJ312" s="540">
        <v>-0.03</v>
      </c>
      <c r="BK312" s="43">
        <v>-0.03</v>
      </c>
      <c r="BL312" s="396">
        <f>AVERAGE(BJ312,BK312)</f>
        <v>-0.03</v>
      </c>
      <c r="BM312" s="540">
        <v>-0.03</v>
      </c>
      <c r="BN312" s="43">
        <v>-0.03</v>
      </c>
      <c r="BO312" s="396">
        <f>AVERAGE(BM312,BN312)</f>
        <v>-0.03</v>
      </c>
      <c r="BP312" s="540">
        <v>-0.03</v>
      </c>
      <c r="BQ312" s="43">
        <v>-0.03</v>
      </c>
      <c r="BR312" s="396">
        <f>AVERAGE(BP312,BQ312)</f>
        <v>-0.03</v>
      </c>
    </row>
    <row r="313" spans="1:71" customFormat="1" ht="11.25" customHeight="1" outlineLevel="1">
      <c r="A313" s="208" t="s">
        <v>413</v>
      </c>
      <c r="B313" s="6"/>
      <c r="C313" s="108" t="s">
        <v>621</v>
      </c>
      <c r="D313" s="31" t="s">
        <v>66</v>
      </c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W313" s="6"/>
      <c r="X313" s="6"/>
      <c r="AE313" s="44"/>
      <c r="AF313" s="542">
        <f>CHOOSE($AG$1,AF391,AF430,AF469,AF508)</f>
        <v>4.7500000000000001E-2</v>
      </c>
      <c r="AG313" s="972">
        <f>CHOOSE($AG$1,AG391,AG430,AG469,AG508)</f>
        <v>0.05</v>
      </c>
      <c r="AH313" s="396">
        <f>AVERAGE(AF313,AG313)</f>
        <v>4.8750000000000002E-2</v>
      </c>
      <c r="AI313" s="443">
        <f>CHOOSE($AG$1,AI391,AI430,AI469,AI508)</f>
        <v>5.0500000000000003E-2</v>
      </c>
      <c r="AJ313" s="443">
        <f>CHOOSE($AG$1,AJ391,AJ430,AJ469,AJ508)</f>
        <v>5.0500000000000003E-2</v>
      </c>
      <c r="AK313" s="396">
        <f>AVERAGE(AI313,AJ313)</f>
        <v>5.0500000000000003E-2</v>
      </c>
      <c r="AL313" s="443">
        <f>CHOOSE($AG$1,AL391,AL430,AL469,AL508)</f>
        <v>5.0500000000000003E-2</v>
      </c>
      <c r="AM313" s="443">
        <f>CHOOSE($AG$1,AM391,AM430,AM469,AM508)</f>
        <v>5.0500000000000003E-2</v>
      </c>
      <c r="AN313" s="396">
        <f>AVERAGE(AL313,AM313)</f>
        <v>5.0500000000000003E-2</v>
      </c>
      <c r="AO313" s="443">
        <f>CHOOSE($AG$1,AO391,AO430,AO469,AO508)</f>
        <v>5.0500000000000003E-2</v>
      </c>
      <c r="AP313" s="443">
        <f>CHOOSE($AG$1,AP391,AP430,AP469,AP508)</f>
        <v>5.0500000000000003E-2</v>
      </c>
      <c r="AQ313" s="396">
        <f>AVERAGE(AO313,AP313)</f>
        <v>5.0500000000000003E-2</v>
      </c>
      <c r="AR313" s="443">
        <f>CHOOSE($AG$1,AR391,AR430,AR469,AR508)</f>
        <v>5.0500000000000003E-2</v>
      </c>
      <c r="AS313" s="443">
        <f>CHOOSE($AG$1,AS391,AS430,AS469,AS508)</f>
        <v>5.0500000000000003E-2</v>
      </c>
      <c r="AT313" s="396">
        <f>AVERAGE(AR313,AS313)</f>
        <v>5.0500000000000003E-2</v>
      </c>
      <c r="AU313" s="443">
        <f>CHOOSE($AG$1,AU391,AU430,AU469,AU508)</f>
        <v>5.0500000000000003E-2</v>
      </c>
      <c r="AV313" s="443">
        <f>CHOOSE($AG$1,AV391,AV430,AV469,AV508)</f>
        <v>5.0500000000000003E-2</v>
      </c>
      <c r="AW313" s="396">
        <f>AVERAGE(AU313,AV313)</f>
        <v>5.0500000000000003E-2</v>
      </c>
      <c r="AX313" s="443">
        <f>CHOOSE($AG$1,AX391,AX430,AX469,AX508)</f>
        <v>5.0500000000000003E-2</v>
      </c>
      <c r="AY313" s="443">
        <f>CHOOSE($AG$1,AY391,AY430,AY469,AY508)</f>
        <v>5.0500000000000003E-2</v>
      </c>
      <c r="AZ313" s="396">
        <f>AVERAGE(AX313,AY313)</f>
        <v>5.0500000000000003E-2</v>
      </c>
      <c r="BA313" s="443">
        <f>CHOOSE($AG$1,BA391,BA430,BA469,BA508)</f>
        <v>5.0500000000000003E-2</v>
      </c>
      <c r="BB313" s="443">
        <f>CHOOSE($AG$1,BB391,BB430,BB469,BB508)</f>
        <v>5.0500000000000003E-2</v>
      </c>
      <c r="BC313" s="396">
        <f>AVERAGE(BA313,BB313)</f>
        <v>5.0500000000000003E-2</v>
      </c>
      <c r="BD313" s="443">
        <f>CHOOSE($AG$1,BD391,BD430,BD469,BD508)</f>
        <v>5.0500000000000003E-2</v>
      </c>
      <c r="BE313" s="443">
        <f>CHOOSE($AG$1,BE391,BE430,BE469,BE508)</f>
        <v>5.0500000000000003E-2</v>
      </c>
      <c r="BF313" s="396">
        <f>AVERAGE(BD313,BE313)</f>
        <v>5.0500000000000003E-2</v>
      </c>
      <c r="BG313" s="443">
        <f>CHOOSE($AG$1,BG391,BG430,BG469,BG508)</f>
        <v>5.0500000000000003E-2</v>
      </c>
      <c r="BH313" s="443">
        <f>CHOOSE($AG$1,BH391,BH430,BH469,BH508)</f>
        <v>5.0500000000000003E-2</v>
      </c>
      <c r="BI313" s="396">
        <f>AVERAGE(BG313,BH313)</f>
        <v>5.0500000000000003E-2</v>
      </c>
      <c r="BJ313" s="443">
        <f>CHOOSE($AG$1,BJ391,BJ430,BJ469,BJ508)</f>
        <v>5.0500000000000003E-2</v>
      </c>
      <c r="BK313" s="443">
        <f>CHOOSE($AG$1,BK391,BK430,BK469,BK508)</f>
        <v>5.0500000000000003E-2</v>
      </c>
      <c r="BL313" s="396">
        <f>AVERAGE(BJ313,BK313)</f>
        <v>5.0500000000000003E-2</v>
      </c>
      <c r="BM313" s="443">
        <f>CHOOSE($AG$1,BM391,BM430,BM469,BM508)</f>
        <v>5.0500000000000003E-2</v>
      </c>
      <c r="BN313" s="443">
        <f>CHOOSE($AG$1,BN391,BN430,BN469,BN508)</f>
        <v>5.0500000000000003E-2</v>
      </c>
      <c r="BO313" s="396">
        <f>AVERAGE(BM313,BN313)</f>
        <v>5.0500000000000003E-2</v>
      </c>
      <c r="BP313" s="443">
        <f>CHOOSE($AG$1,BP391,BP430,BP469,BP508)</f>
        <v>5.0500000000000003E-2</v>
      </c>
      <c r="BQ313" s="443">
        <f>CHOOSE($AG$1,BQ391,BQ430,BQ469,BQ508)</f>
        <v>5.0500000000000003E-2</v>
      </c>
      <c r="BR313" s="396">
        <f>AVERAGE(BP313,BQ313)</f>
        <v>5.0500000000000003E-2</v>
      </c>
    </row>
    <row r="314" spans="1:71" customFormat="1" ht="11.25" customHeight="1" outlineLevel="1">
      <c r="A314" s="356"/>
      <c r="B314" s="6"/>
      <c r="C314" s="108" t="s">
        <v>622</v>
      </c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W314" s="6"/>
      <c r="X314" s="6"/>
      <c r="AE314" s="44"/>
      <c r="AF314" s="540">
        <v>-0.12</v>
      </c>
      <c r="AG314" s="973">
        <v>-0.12</v>
      </c>
      <c r="AH314" s="396">
        <f>AVERAGE(AF314,AG314)</f>
        <v>-0.12</v>
      </c>
      <c r="AI314" s="540">
        <v>-3.5000000000000003E-2</v>
      </c>
      <c r="AJ314" s="540">
        <v>-3.5000000000000003E-2</v>
      </c>
      <c r="AK314" s="541">
        <f>AVERAGE(AI314,AJ314)</f>
        <v>-3.5000000000000003E-2</v>
      </c>
      <c r="AL314" s="540">
        <v>-3.5000000000000003E-2</v>
      </c>
      <c r="AM314" s="43">
        <v>-3.5000000000000003E-2</v>
      </c>
      <c r="AN314" s="396">
        <f>AVERAGE(AL314,AM314)</f>
        <v>-3.5000000000000003E-2</v>
      </c>
      <c r="AO314" s="540">
        <v>-6.5000000000000002E-2</v>
      </c>
      <c r="AP314" s="43">
        <v>-6.5000000000000002E-2</v>
      </c>
      <c r="AQ314" s="396">
        <f>AVERAGE(AO314,AP314)</f>
        <v>-6.5000000000000002E-2</v>
      </c>
      <c r="AR314" s="540">
        <v>-0.05</v>
      </c>
      <c r="AS314" s="43">
        <v>-0.05</v>
      </c>
      <c r="AT314" s="396">
        <f>AVERAGE(AR314,AS314)</f>
        <v>-0.05</v>
      </c>
      <c r="AU314" s="540">
        <v>-0.05</v>
      </c>
      <c r="AV314" s="43">
        <v>-0.05</v>
      </c>
      <c r="AW314" s="396">
        <f>AVERAGE(AU314,AV314)</f>
        <v>-0.05</v>
      </c>
      <c r="AX314" s="540">
        <v>-0.05</v>
      </c>
      <c r="AY314" s="43">
        <v>-0.05</v>
      </c>
      <c r="AZ314" s="396">
        <f>AVERAGE(AX314,AY314)</f>
        <v>-0.05</v>
      </c>
      <c r="BA314" s="540">
        <v>-0.05</v>
      </c>
      <c r="BB314" s="43">
        <v>-0.05</v>
      </c>
      <c r="BC314" s="396">
        <f>AVERAGE(BA314,BB314)</f>
        <v>-0.05</v>
      </c>
      <c r="BD314" s="540">
        <v>-0.05</v>
      </c>
      <c r="BE314" s="43">
        <v>-0.05</v>
      </c>
      <c r="BF314" s="396">
        <f>AVERAGE(BD314,BE314)</f>
        <v>-0.05</v>
      </c>
      <c r="BG314" s="540">
        <v>-0.05</v>
      </c>
      <c r="BH314" s="43">
        <v>-0.05</v>
      </c>
      <c r="BI314" s="396">
        <f>AVERAGE(BG314,BH314)</f>
        <v>-0.05</v>
      </c>
      <c r="BJ314" s="540">
        <v>-0.05</v>
      </c>
      <c r="BK314" s="43">
        <v>-0.05</v>
      </c>
      <c r="BL314" s="396">
        <f>AVERAGE(BJ314,BK314)</f>
        <v>-0.05</v>
      </c>
      <c r="BM314" s="540">
        <v>-0.05</v>
      </c>
      <c r="BN314" s="43">
        <v>-0.05</v>
      </c>
      <c r="BO314" s="396">
        <f>AVERAGE(BM314,BN314)</f>
        <v>-0.05</v>
      </c>
      <c r="BP314" s="540">
        <v>-0.05</v>
      </c>
      <c r="BQ314" s="43">
        <v>-0.05</v>
      </c>
      <c r="BR314" s="396">
        <f>AVERAGE(BP314,BQ314)</f>
        <v>-0.05</v>
      </c>
      <c r="BS314" s="824"/>
    </row>
    <row r="315" spans="1:71" outlineLevel="1">
      <c r="C315" s="113" t="s">
        <v>665</v>
      </c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AF315" s="429">
        <f t="shared" ref="AF315:AN315" si="1045">AF316+AF317</f>
        <v>2.9830904337424481E-3</v>
      </c>
      <c r="AG315" s="974">
        <f t="shared" si="1045"/>
        <v>4.228032125730319E-3</v>
      </c>
      <c r="AH315" s="63">
        <f t="shared" si="1045"/>
        <v>3.6055612797363835E-3</v>
      </c>
      <c r="AI315" s="63">
        <f t="shared" si="1045"/>
        <v>4.0844918448508316E-3</v>
      </c>
      <c r="AJ315" s="63">
        <f t="shared" si="1045"/>
        <v>6.0483870967741884E-4</v>
      </c>
      <c r="AK315" s="63">
        <f t="shared" si="1045"/>
        <v>2.3446652772641254E-3</v>
      </c>
      <c r="AL315" s="63">
        <f t="shared" si="1045"/>
        <v>0</v>
      </c>
      <c r="AM315" s="63">
        <f t="shared" si="1045"/>
        <v>1.1904761904761945E-3</v>
      </c>
      <c r="AN315" s="63">
        <f t="shared" si="1045"/>
        <v>5.9523809523809724E-4</v>
      </c>
      <c r="AO315" s="63">
        <f t="shared" ref="AO315:BR315" si="1046">AO316+AO317</f>
        <v>1.1904761904761945E-3</v>
      </c>
      <c r="AP315" s="63">
        <f t="shared" si="1046"/>
        <v>0</v>
      </c>
      <c r="AQ315" s="63">
        <f t="shared" si="1046"/>
        <v>5.9523809523809724E-4</v>
      </c>
      <c r="AR315" s="63">
        <f t="shared" si="1046"/>
        <v>0</v>
      </c>
      <c r="AS315" s="63">
        <f t="shared" si="1046"/>
        <v>0</v>
      </c>
      <c r="AT315" s="63">
        <f t="shared" si="1046"/>
        <v>0</v>
      </c>
      <c r="AU315" s="63">
        <f t="shared" si="1046"/>
        <v>0</v>
      </c>
      <c r="AV315" s="63">
        <f t="shared" si="1046"/>
        <v>0</v>
      </c>
      <c r="AW315" s="63">
        <f t="shared" si="1046"/>
        <v>0</v>
      </c>
      <c r="AX315" s="63">
        <f t="shared" si="1046"/>
        <v>0</v>
      </c>
      <c r="AY315" s="63">
        <f t="shared" si="1046"/>
        <v>0</v>
      </c>
      <c r="AZ315" s="63">
        <f t="shared" si="1046"/>
        <v>0</v>
      </c>
      <c r="BA315" s="63">
        <f t="shared" si="1046"/>
        <v>0</v>
      </c>
      <c r="BB315" s="63">
        <f t="shared" si="1046"/>
        <v>0</v>
      </c>
      <c r="BC315" s="63">
        <f t="shared" si="1046"/>
        <v>0</v>
      </c>
      <c r="BD315" s="63">
        <f t="shared" si="1046"/>
        <v>0</v>
      </c>
      <c r="BE315" s="63">
        <f t="shared" si="1046"/>
        <v>0</v>
      </c>
      <c r="BF315" s="63">
        <f t="shared" si="1046"/>
        <v>0</v>
      </c>
      <c r="BG315" s="63">
        <f t="shared" si="1046"/>
        <v>0</v>
      </c>
      <c r="BH315" s="63">
        <f t="shared" si="1046"/>
        <v>0</v>
      </c>
      <c r="BI315" s="63">
        <f t="shared" si="1046"/>
        <v>0</v>
      </c>
      <c r="BJ315" s="63">
        <f t="shared" si="1046"/>
        <v>0</v>
      </c>
      <c r="BK315" s="63">
        <f t="shared" si="1046"/>
        <v>0</v>
      </c>
      <c r="BL315" s="63">
        <f t="shared" si="1046"/>
        <v>0</v>
      </c>
      <c r="BM315" s="63">
        <f t="shared" si="1046"/>
        <v>0</v>
      </c>
      <c r="BN315" s="63">
        <f t="shared" si="1046"/>
        <v>0</v>
      </c>
      <c r="BO315" s="63">
        <f t="shared" si="1046"/>
        <v>0</v>
      </c>
      <c r="BP315" s="63">
        <f t="shared" si="1046"/>
        <v>0</v>
      </c>
      <c r="BQ315" s="63">
        <f t="shared" si="1046"/>
        <v>0</v>
      </c>
      <c r="BR315" s="63">
        <f t="shared" si="1046"/>
        <v>0</v>
      </c>
    </row>
    <row r="316" spans="1:71" outlineLevel="1">
      <c r="C316" s="93" t="s">
        <v>282</v>
      </c>
      <c r="D316" s="31" t="s">
        <v>66</v>
      </c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Q316" s="45"/>
      <c r="R316" s="15"/>
      <c r="S316" s="45"/>
      <c r="T316" s="45"/>
      <c r="U316" s="45"/>
      <c r="V316" s="45"/>
      <c r="W316" s="45"/>
      <c r="X316" s="15"/>
      <c r="Y316" s="45"/>
      <c r="Z316" s="45"/>
      <c r="AA316" s="15"/>
      <c r="AB316" s="45"/>
      <c r="AC316" s="45"/>
      <c r="AD316" s="46"/>
      <c r="AE316" s="830"/>
      <c r="AF316" s="591">
        <v>0</v>
      </c>
      <c r="AG316" s="975">
        <v>0</v>
      </c>
      <c r="AH316" s="63">
        <f>AVERAGE(AF316,AG316)</f>
        <v>0</v>
      </c>
      <c r="AI316" s="134">
        <v>0</v>
      </c>
      <c r="AJ316" s="134">
        <v>0</v>
      </c>
      <c r="AK316" s="63">
        <f>AVERAGE(AI316,AJ316)</f>
        <v>0</v>
      </c>
      <c r="AL316" s="134">
        <v>0</v>
      </c>
      <c r="AM316" s="134">
        <v>0</v>
      </c>
      <c r="AN316" s="63">
        <f>AVERAGE(AL316,AM316)</f>
        <v>0</v>
      </c>
      <c r="AO316" s="134">
        <v>0</v>
      </c>
      <c r="AP316" s="134">
        <v>0</v>
      </c>
      <c r="AQ316" s="63">
        <f>AVERAGE(AO316,AP316)</f>
        <v>0</v>
      </c>
      <c r="AR316" s="134">
        <v>0</v>
      </c>
      <c r="AS316" s="134">
        <v>0</v>
      </c>
      <c r="AT316" s="63">
        <f>AVERAGE(AR316,AS316)</f>
        <v>0</v>
      </c>
      <c r="AU316" s="134">
        <v>0</v>
      </c>
      <c r="AV316" s="134">
        <v>0</v>
      </c>
      <c r="AW316" s="63">
        <f>AVERAGE(AU316,AV316)</f>
        <v>0</v>
      </c>
      <c r="AX316" s="134">
        <v>0</v>
      </c>
      <c r="AY316" s="134">
        <v>0</v>
      </c>
      <c r="AZ316" s="63">
        <f>AVERAGE(AX316,AY316)</f>
        <v>0</v>
      </c>
      <c r="BA316" s="134">
        <v>0</v>
      </c>
      <c r="BB316" s="134">
        <v>0</v>
      </c>
      <c r="BC316" s="63">
        <f>AVERAGE(BA316,BB316)</f>
        <v>0</v>
      </c>
      <c r="BD316" s="134">
        <v>0</v>
      </c>
      <c r="BE316" s="134">
        <v>0</v>
      </c>
      <c r="BF316" s="63">
        <f>AVERAGE(BD316,BE316)</f>
        <v>0</v>
      </c>
      <c r="BG316" s="134">
        <v>0</v>
      </c>
      <c r="BH316" s="134">
        <v>0</v>
      </c>
      <c r="BI316" s="63">
        <f>AVERAGE(BG316,BH316)</f>
        <v>0</v>
      </c>
      <c r="BJ316" s="134">
        <v>0</v>
      </c>
      <c r="BK316" s="134">
        <v>0</v>
      </c>
      <c r="BL316" s="63">
        <f>AVERAGE(BJ316,BK316)</f>
        <v>0</v>
      </c>
      <c r="BM316" s="134">
        <v>0</v>
      </c>
      <c r="BN316" s="134">
        <v>0</v>
      </c>
      <c r="BO316" s="63">
        <f>AVERAGE(BM316,BN316)</f>
        <v>0</v>
      </c>
      <c r="BP316" s="134">
        <v>0</v>
      </c>
      <c r="BQ316" s="134">
        <v>0</v>
      </c>
      <c r="BR316" s="63">
        <f>AVERAGE(BP316,BQ316)</f>
        <v>0</v>
      </c>
    </row>
    <row r="317" spans="1:71" ht="11.25" customHeight="1" outlineLevel="1">
      <c r="C317" s="93" t="s">
        <v>731</v>
      </c>
      <c r="D317" s="31" t="s">
        <v>66</v>
      </c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AF317" s="542">
        <f>0.15*AF318*AF319</f>
        <v>2.9830904337424481E-3</v>
      </c>
      <c r="AG317" s="972">
        <f>0.15*AG318*AG319</f>
        <v>4.228032125730319E-3</v>
      </c>
      <c r="AH317" s="744">
        <f>AVERAGE(AF317,AG317)</f>
        <v>3.6055612797363835E-3</v>
      </c>
      <c r="AI317" s="542">
        <f t="shared" ref="AI317:AJ317" si="1047">0.15*AI318*AI319</f>
        <v>4.0844918448508316E-3</v>
      </c>
      <c r="AJ317" s="542">
        <f t="shared" si="1047"/>
        <v>6.0483870967741884E-4</v>
      </c>
      <c r="AK317" s="744">
        <f t="shared" ref="AK317" si="1048">AVERAGE(AI317,AJ317)</f>
        <v>2.3446652772641254E-3</v>
      </c>
      <c r="AL317" s="542">
        <f t="shared" ref="AL317:AM317" si="1049">0.15*AL318*AL319</f>
        <v>0</v>
      </c>
      <c r="AM317" s="542">
        <f t="shared" si="1049"/>
        <v>1.1904761904761945E-3</v>
      </c>
      <c r="AN317" s="744">
        <f t="shared" ref="AN317" si="1050">AVERAGE(AL317,AM317)</f>
        <v>5.9523809523809724E-4</v>
      </c>
      <c r="AO317" s="542">
        <f t="shared" ref="AO317:AP317" si="1051">0.15*AO318*AO319</f>
        <v>1.1904761904761945E-3</v>
      </c>
      <c r="AP317" s="542">
        <f t="shared" si="1051"/>
        <v>0</v>
      </c>
      <c r="AQ317" s="744">
        <f t="shared" ref="AQ317" si="1052">AVERAGE(AO317,AP317)</f>
        <v>5.9523809523809724E-4</v>
      </c>
      <c r="AR317" s="542">
        <f t="shared" ref="AR317:AS317" si="1053">0.15*AR318*AR319</f>
        <v>0</v>
      </c>
      <c r="AS317" s="542">
        <f t="shared" si="1053"/>
        <v>0</v>
      </c>
      <c r="AT317" s="744">
        <f t="shared" ref="AT317" si="1054">AVERAGE(AR317,AS317)</f>
        <v>0</v>
      </c>
      <c r="AU317" s="542">
        <f t="shared" ref="AU317:AV317" si="1055">0.15*AU318*AU319</f>
        <v>0</v>
      </c>
      <c r="AV317" s="542">
        <f t="shared" si="1055"/>
        <v>0</v>
      </c>
      <c r="AW317" s="744">
        <f t="shared" ref="AW317" si="1056">AVERAGE(AU317,AV317)</f>
        <v>0</v>
      </c>
      <c r="AX317" s="542">
        <f t="shared" ref="AX317:AY317" si="1057">0.15*AX318*AX319</f>
        <v>0</v>
      </c>
      <c r="AY317" s="542">
        <f t="shared" si="1057"/>
        <v>0</v>
      </c>
      <c r="AZ317" s="744">
        <f t="shared" ref="AZ317" si="1058">AVERAGE(AX317,AY317)</f>
        <v>0</v>
      </c>
      <c r="BA317" s="542">
        <f t="shared" ref="BA317:BB317" si="1059">0.15*BA318*BA319</f>
        <v>0</v>
      </c>
      <c r="BB317" s="542">
        <f t="shared" si="1059"/>
        <v>0</v>
      </c>
      <c r="BC317" s="744">
        <f t="shared" ref="BC317" si="1060">AVERAGE(BA317,BB317)</f>
        <v>0</v>
      </c>
      <c r="BD317" s="542">
        <f t="shared" ref="BD317:BE317" si="1061">0.15*BD318*BD319</f>
        <v>0</v>
      </c>
      <c r="BE317" s="542">
        <f t="shared" si="1061"/>
        <v>0</v>
      </c>
      <c r="BF317" s="744">
        <f t="shared" ref="BF317" si="1062">AVERAGE(BD317,BE317)</f>
        <v>0</v>
      </c>
      <c r="BG317" s="542">
        <f t="shared" ref="BG317:BH317" si="1063">0.15*BG318*BG319</f>
        <v>0</v>
      </c>
      <c r="BH317" s="542">
        <f t="shared" si="1063"/>
        <v>0</v>
      </c>
      <c r="BI317" s="744">
        <f t="shared" ref="BI317" si="1064">AVERAGE(BG317,BH317)</f>
        <v>0</v>
      </c>
      <c r="BJ317" s="542">
        <f t="shared" ref="BJ317:BK317" si="1065">0.15*BJ318*BJ319</f>
        <v>0</v>
      </c>
      <c r="BK317" s="542">
        <f t="shared" si="1065"/>
        <v>0</v>
      </c>
      <c r="BL317" s="744">
        <f t="shared" ref="BL317" si="1066">AVERAGE(BJ317,BK317)</f>
        <v>0</v>
      </c>
      <c r="BM317" s="542">
        <f t="shared" ref="BM317:BN317" si="1067">0.15*BM318*BM319</f>
        <v>0</v>
      </c>
      <c r="BN317" s="542">
        <f t="shared" si="1067"/>
        <v>0</v>
      </c>
      <c r="BO317" s="744">
        <f t="shared" ref="BO317" si="1068">AVERAGE(BM317,BN317)</f>
        <v>0</v>
      </c>
      <c r="BP317" s="542">
        <f t="shared" ref="BP317:BQ317" si="1069">0.15*BP318*BP319</f>
        <v>0</v>
      </c>
      <c r="BQ317" s="542">
        <f t="shared" si="1069"/>
        <v>0</v>
      </c>
      <c r="BR317" s="744">
        <f t="shared" ref="BR317" si="1070">AVERAGE(BP317,BQ317)</f>
        <v>0</v>
      </c>
    </row>
    <row r="318" spans="1:71" ht="11.25" customHeight="1" outlineLevel="1">
      <c r="C318" s="93" t="s">
        <v>730</v>
      </c>
      <c r="D318" s="31" t="s">
        <v>66</v>
      </c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AF318" s="393">
        <v>0.25</v>
      </c>
      <c r="AG318" s="976">
        <v>0.32</v>
      </c>
      <c r="AH318" s="426">
        <f>AVERAGE(AF318,AG318)</f>
        <v>0.28500000000000003</v>
      </c>
      <c r="AI318" s="393">
        <v>0.5</v>
      </c>
      <c r="AJ318" s="393">
        <v>0.5</v>
      </c>
      <c r="AK318" s="426">
        <f>AVERAGE(AI318,AJ318)</f>
        <v>0.5</v>
      </c>
      <c r="AL318" s="393">
        <v>0.5</v>
      </c>
      <c r="AM318" s="393">
        <v>0.5</v>
      </c>
      <c r="AN318" s="426">
        <f>AVERAGE(AL318,AM318)</f>
        <v>0.5</v>
      </c>
      <c r="AO318" s="393">
        <v>0.5</v>
      </c>
      <c r="AP318" s="393">
        <v>0.5</v>
      </c>
      <c r="AQ318" s="426">
        <f>AVERAGE(AO318,AP318)</f>
        <v>0.5</v>
      </c>
      <c r="AR318" s="393">
        <v>0.5</v>
      </c>
      <c r="AS318" s="393">
        <v>0.5</v>
      </c>
      <c r="AT318" s="426">
        <f>AVERAGE(AR318,AS318)</f>
        <v>0.5</v>
      </c>
      <c r="AU318" s="393">
        <v>0.5</v>
      </c>
      <c r="AV318" s="393">
        <v>0.5</v>
      </c>
      <c r="AW318" s="426">
        <f>AVERAGE(AU318,AV318)</f>
        <v>0.5</v>
      </c>
      <c r="AX318" s="393">
        <v>0.5</v>
      </c>
      <c r="AY318" s="393">
        <v>0.5</v>
      </c>
      <c r="AZ318" s="426">
        <f>AVERAGE(AX318,AY318)</f>
        <v>0.5</v>
      </c>
      <c r="BA318" s="393">
        <v>0.5</v>
      </c>
      <c r="BB318" s="393">
        <v>0.5</v>
      </c>
      <c r="BC318" s="426">
        <f>AVERAGE(BA318,BB318)</f>
        <v>0.5</v>
      </c>
      <c r="BD318" s="393">
        <v>0.5</v>
      </c>
      <c r="BE318" s="393">
        <v>0.5</v>
      </c>
      <c r="BF318" s="426">
        <f>AVERAGE(BD318,BE318)</f>
        <v>0.5</v>
      </c>
      <c r="BG318" s="393">
        <v>0.5</v>
      </c>
      <c r="BH318" s="393">
        <v>0.5</v>
      </c>
      <c r="BI318" s="426">
        <f>AVERAGE(BG318,BH318)</f>
        <v>0.5</v>
      </c>
      <c r="BJ318" s="393">
        <v>0.5</v>
      </c>
      <c r="BK318" s="393">
        <v>0.5</v>
      </c>
      <c r="BL318" s="426">
        <f>AVERAGE(BJ318,BK318)</f>
        <v>0.5</v>
      </c>
      <c r="BM318" s="393">
        <v>0.5</v>
      </c>
      <c r="BN318" s="393">
        <v>0.5</v>
      </c>
      <c r="BO318" s="426">
        <f>AVERAGE(BM318,BN318)</f>
        <v>0.5</v>
      </c>
      <c r="BP318" s="393">
        <v>0.5</v>
      </c>
      <c r="BQ318" s="393">
        <v>0.5</v>
      </c>
      <c r="BR318" s="426">
        <f>AVERAGE(BP318,BQ318)</f>
        <v>0.5</v>
      </c>
    </row>
    <row r="319" spans="1:71" ht="11.25" customHeight="1" outlineLevel="1">
      <c r="C319" s="93" t="s">
        <v>546</v>
      </c>
      <c r="D319" s="31" t="s">
        <v>66</v>
      </c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AF319" s="540">
        <v>7.9549078233131953E-2</v>
      </c>
      <c r="AG319" s="973">
        <v>8.8084002619381652E-2</v>
      </c>
      <c r="AH319" s="647">
        <f>AVERAGE(AF319,AG319)</f>
        <v>8.3816540426256803E-2</v>
      </c>
      <c r="AI319" s="540">
        <v>5.4459891264677762E-2</v>
      </c>
      <c r="AJ319" s="540">
        <v>8.0645161290322509E-3</v>
      </c>
      <c r="AK319" s="647">
        <f>AVERAGE(AI319,AJ319)</f>
        <v>3.1262203696855007E-2</v>
      </c>
      <c r="AL319" s="540">
        <v>0</v>
      </c>
      <c r="AM319" s="43">
        <v>1.5873015873015928E-2</v>
      </c>
      <c r="AN319" s="504">
        <f>AVERAGE(AL319,AM319)</f>
        <v>7.9365079365079638E-3</v>
      </c>
      <c r="AO319" s="540">
        <v>1.5873015873015928E-2</v>
      </c>
      <c r="AP319" s="43">
        <v>0</v>
      </c>
      <c r="AQ319" s="504">
        <f>AVERAGE(AO319,AP319)</f>
        <v>7.9365079365079638E-3</v>
      </c>
      <c r="AR319" s="540">
        <v>0</v>
      </c>
      <c r="AS319" s="43">
        <v>0</v>
      </c>
      <c r="AT319" s="504">
        <f>AVERAGE(AR319,AS319)</f>
        <v>0</v>
      </c>
      <c r="AU319" s="540">
        <v>0</v>
      </c>
      <c r="AV319" s="43">
        <v>0</v>
      </c>
      <c r="AW319" s="504">
        <f>AVERAGE(AU319,AV319)</f>
        <v>0</v>
      </c>
      <c r="AX319" s="540">
        <v>0</v>
      </c>
      <c r="AY319" s="43">
        <v>0</v>
      </c>
      <c r="AZ319" s="504">
        <f>AVERAGE(AX319,AY319)</f>
        <v>0</v>
      </c>
      <c r="BA319" s="540">
        <v>0</v>
      </c>
      <c r="BB319" s="43">
        <v>0</v>
      </c>
      <c r="BC319" s="504">
        <f>AVERAGE(BA319,BB319)</f>
        <v>0</v>
      </c>
      <c r="BD319" s="540">
        <v>0</v>
      </c>
      <c r="BE319" s="43">
        <v>0</v>
      </c>
      <c r="BF319" s="504">
        <f>AVERAGE(BD319,BE319)</f>
        <v>0</v>
      </c>
      <c r="BG319" s="540">
        <v>0</v>
      </c>
      <c r="BH319" s="43">
        <v>0</v>
      </c>
      <c r="BI319" s="504">
        <f>AVERAGE(BG319,BH319)</f>
        <v>0</v>
      </c>
      <c r="BJ319" s="540">
        <v>0</v>
      </c>
      <c r="BK319" s="43">
        <v>0</v>
      </c>
      <c r="BL319" s="504">
        <f>AVERAGE(BJ319,BK319)</f>
        <v>0</v>
      </c>
      <c r="BM319" s="540">
        <v>0</v>
      </c>
      <c r="BN319" s="43">
        <v>0</v>
      </c>
      <c r="BO319" s="504">
        <f>AVERAGE(BM319,BN319)</f>
        <v>0</v>
      </c>
      <c r="BP319" s="540">
        <v>0</v>
      </c>
      <c r="BQ319" s="43">
        <v>0</v>
      </c>
      <c r="BR319" s="504">
        <f>AVERAGE(BP319,BQ319)</f>
        <v>0</v>
      </c>
    </row>
    <row r="320" spans="1:71" customFormat="1" ht="11.25" customHeight="1" outlineLevel="1">
      <c r="A320" s="6"/>
      <c r="B320" s="6"/>
      <c r="C320" s="113" t="s">
        <v>295</v>
      </c>
      <c r="D320" s="7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W320" s="6"/>
      <c r="X320" s="6"/>
      <c r="AE320" s="44"/>
      <c r="AF320" s="130"/>
      <c r="AG320" s="931"/>
      <c r="AH320" s="6"/>
    </row>
    <row r="321" spans="1:70" customFormat="1" ht="11.25" customHeight="1" outlineLevel="1">
      <c r="A321" s="6"/>
      <c r="B321" s="6"/>
      <c r="C321" s="9" t="s">
        <v>80</v>
      </c>
      <c r="D321" s="31" t="s">
        <v>66</v>
      </c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W321" s="6"/>
      <c r="X321" s="6"/>
      <c r="AE321" s="44"/>
      <c r="AF321" s="386">
        <f t="shared" ref="AF321:AN321" si="1071">((AF278*AF322)+(AF279*AF323))</f>
        <v>5.576394607964304E-3</v>
      </c>
      <c r="AG321" s="977">
        <f t="shared" si="1071"/>
        <v>2.5511295715911447E-3</v>
      </c>
      <c r="AH321" s="47">
        <f t="shared" si="1071"/>
        <v>4.0575773808359051E-3</v>
      </c>
      <c r="AI321" s="47">
        <f t="shared" si="1071"/>
        <v>6.5369411368578524E-3</v>
      </c>
      <c r="AJ321" s="47">
        <f t="shared" si="1071"/>
        <v>-2.3322793555036478E-3</v>
      </c>
      <c r="AK321" s="47">
        <f t="shared" si="1071"/>
        <v>2.0113629196367943E-3</v>
      </c>
      <c r="AL321" s="47">
        <f t="shared" si="1071"/>
        <v>1.4357704806907063E-4</v>
      </c>
      <c r="AM321" s="47">
        <f t="shared" si="1071"/>
        <v>2.8424170376898936E-3</v>
      </c>
      <c r="AN321" s="47">
        <f t="shared" si="1071"/>
        <v>1.5125654128487545E-3</v>
      </c>
      <c r="AO321" s="47">
        <f t="shared" ref="AO321:BR321" si="1072">((AO278*AO322)+(AO279*AO323))</f>
        <v>6.2311167560335807E-4</v>
      </c>
      <c r="AP321" s="47">
        <f t="shared" si="1072"/>
        <v>0</v>
      </c>
      <c r="AQ321" s="47">
        <f t="shared" si="1072"/>
        <v>3.0710956356003877E-4</v>
      </c>
      <c r="AR321" s="47">
        <f t="shared" si="1072"/>
        <v>0</v>
      </c>
      <c r="AS321" s="47">
        <f t="shared" si="1072"/>
        <v>0</v>
      </c>
      <c r="AT321" s="47">
        <f t="shared" si="1072"/>
        <v>0</v>
      </c>
      <c r="AU321" s="47">
        <f t="shared" si="1072"/>
        <v>0</v>
      </c>
      <c r="AV321" s="47">
        <f t="shared" si="1072"/>
        <v>0</v>
      </c>
      <c r="AW321" s="47">
        <f t="shared" si="1072"/>
        <v>0</v>
      </c>
      <c r="AX321" s="47">
        <f t="shared" si="1072"/>
        <v>0</v>
      </c>
      <c r="AY321" s="47">
        <f t="shared" si="1072"/>
        <v>0</v>
      </c>
      <c r="AZ321" s="47">
        <f t="shared" si="1072"/>
        <v>0</v>
      </c>
      <c r="BA321" s="47">
        <f t="shared" si="1072"/>
        <v>0</v>
      </c>
      <c r="BB321" s="47">
        <f t="shared" si="1072"/>
        <v>0</v>
      </c>
      <c r="BC321" s="47">
        <f t="shared" si="1072"/>
        <v>0</v>
      </c>
      <c r="BD321" s="47">
        <f t="shared" si="1072"/>
        <v>0</v>
      </c>
      <c r="BE321" s="47">
        <f t="shared" si="1072"/>
        <v>0</v>
      </c>
      <c r="BF321" s="47">
        <f t="shared" si="1072"/>
        <v>0</v>
      </c>
      <c r="BG321" s="47">
        <f t="shared" si="1072"/>
        <v>0</v>
      </c>
      <c r="BH321" s="47">
        <f t="shared" si="1072"/>
        <v>0</v>
      </c>
      <c r="BI321" s="47">
        <f t="shared" si="1072"/>
        <v>0</v>
      </c>
      <c r="BJ321" s="47">
        <f t="shared" si="1072"/>
        <v>0</v>
      </c>
      <c r="BK321" s="47">
        <f t="shared" si="1072"/>
        <v>0</v>
      </c>
      <c r="BL321" s="47">
        <f t="shared" si="1072"/>
        <v>0</v>
      </c>
      <c r="BM321" s="47">
        <f t="shared" si="1072"/>
        <v>0</v>
      </c>
      <c r="BN321" s="47">
        <f t="shared" si="1072"/>
        <v>0</v>
      </c>
      <c r="BO321" s="47">
        <f t="shared" si="1072"/>
        <v>0</v>
      </c>
      <c r="BP321" s="47">
        <f t="shared" si="1072"/>
        <v>0</v>
      </c>
      <c r="BQ321" s="47">
        <f t="shared" si="1072"/>
        <v>0</v>
      </c>
      <c r="BR321" s="47">
        <f t="shared" si="1072"/>
        <v>0</v>
      </c>
    </row>
    <row r="322" spans="1:70" customFormat="1" ht="11.25" customHeight="1" outlineLevel="1">
      <c r="A322" s="208" t="s">
        <v>413</v>
      </c>
      <c r="B322" s="6"/>
      <c r="C322" s="108" t="s">
        <v>288</v>
      </c>
      <c r="D322" s="31" t="s">
        <v>66</v>
      </c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W322" s="6"/>
      <c r="X322" s="6"/>
      <c r="AE322" s="44"/>
      <c r="AF322" s="542">
        <f>CHOOSE($AG$1,AF394,AF433,AF472,AF511)</f>
        <v>0</v>
      </c>
      <c r="AG322" s="972">
        <f>CHOOSE($AG$1,AG394,AG433,AG472,AG511)</f>
        <v>0</v>
      </c>
      <c r="AH322" s="396">
        <f>AVERAGE(AF322,AG322)</f>
        <v>0</v>
      </c>
      <c r="AI322" s="443">
        <f>CHOOSE($AG$1,AI394,AI433,AI472,AI511)</f>
        <v>0</v>
      </c>
      <c r="AJ322" s="443">
        <f>CHOOSE($AG$1,AJ394,AJ433,AJ472,AJ511)</f>
        <v>0</v>
      </c>
      <c r="AK322" s="396">
        <f>AVERAGE(AI322,AJ322)</f>
        <v>0</v>
      </c>
      <c r="AL322" s="443">
        <f>CHOOSE($AG$1,AL394,AL433,AL472,AL511)</f>
        <v>0</v>
      </c>
      <c r="AM322" s="443">
        <f>CHOOSE($AG$1,AM394,AM433,AM472,AM511)</f>
        <v>0</v>
      </c>
      <c r="AN322" s="396">
        <f>AVERAGE(AL322,AM322)</f>
        <v>0</v>
      </c>
      <c r="AO322" s="443">
        <f>CHOOSE($AG$1,AO394,AO433,AO472,AO511)</f>
        <v>0</v>
      </c>
      <c r="AP322" s="443">
        <f>CHOOSE($AG$1,AP394,AP433,AP472,AP511)</f>
        <v>0</v>
      </c>
      <c r="AQ322" s="396">
        <f>AVERAGE(AO322,AP322)</f>
        <v>0</v>
      </c>
      <c r="AR322" s="443">
        <f>CHOOSE($AG$1,AR394,AR433,AR472,AR511)</f>
        <v>0</v>
      </c>
      <c r="AS322" s="443">
        <f>CHOOSE($AG$1,AS394,AS433,AS472,AS511)</f>
        <v>0</v>
      </c>
      <c r="AT322" s="396">
        <f>AVERAGE(AR322,AS322)</f>
        <v>0</v>
      </c>
      <c r="AU322" s="443">
        <f>CHOOSE($AG$1,AU394,AU433,AU472,AU511)</f>
        <v>0</v>
      </c>
      <c r="AV322" s="443">
        <f>CHOOSE($AG$1,AV394,AV433,AV472,AV511)</f>
        <v>0</v>
      </c>
      <c r="AW322" s="396">
        <f>AVERAGE(AU322,AV322)</f>
        <v>0</v>
      </c>
      <c r="AX322" s="443">
        <f>CHOOSE($AG$1,AX394,AX433,AX472,AX511)</f>
        <v>0</v>
      </c>
      <c r="AY322" s="443">
        <f>CHOOSE($AG$1,AY394,AY433,AY472,AY511)</f>
        <v>0</v>
      </c>
      <c r="AZ322" s="396">
        <f>AVERAGE(AX322,AY322)</f>
        <v>0</v>
      </c>
      <c r="BA322" s="443">
        <f>CHOOSE($AG$1,BA394,BA433,BA472,BA511)</f>
        <v>0</v>
      </c>
      <c r="BB322" s="443">
        <f>CHOOSE($AG$1,BB394,BB433,BB472,BB511)</f>
        <v>0</v>
      </c>
      <c r="BC322" s="396">
        <f>AVERAGE(BA322,BB322)</f>
        <v>0</v>
      </c>
      <c r="BD322" s="443">
        <f>CHOOSE($AG$1,BD394,BD433,BD472,BD511)</f>
        <v>0</v>
      </c>
      <c r="BE322" s="443">
        <f>CHOOSE($AG$1,BE394,BE433,BE472,BE511)</f>
        <v>0</v>
      </c>
      <c r="BF322" s="396">
        <f>AVERAGE(BD322,BE322)</f>
        <v>0</v>
      </c>
      <c r="BG322" s="443">
        <f>CHOOSE($AG$1,BG394,BG433,BG472,BG511)</f>
        <v>0</v>
      </c>
      <c r="BH322" s="443">
        <f>CHOOSE($AG$1,BH394,BH433,BH472,BH511)</f>
        <v>0</v>
      </c>
      <c r="BI322" s="396">
        <f>AVERAGE(BG322,BH322)</f>
        <v>0</v>
      </c>
      <c r="BJ322" s="443">
        <f>CHOOSE($AG$1,BJ394,BJ433,BJ472,BJ511)</f>
        <v>0</v>
      </c>
      <c r="BK322" s="443">
        <f>CHOOSE($AG$1,BK394,BK433,BK472,BK511)</f>
        <v>0</v>
      </c>
      <c r="BL322" s="396">
        <f>AVERAGE(BJ322,BK322)</f>
        <v>0</v>
      </c>
      <c r="BM322" s="443">
        <f>CHOOSE($AG$1,BM394,BM433,BM472,BM511)</f>
        <v>0</v>
      </c>
      <c r="BN322" s="443">
        <f>CHOOSE($AG$1,BN394,BN433,BN472,BN511)</f>
        <v>0</v>
      </c>
      <c r="BO322" s="396">
        <f>AVERAGE(BM322,BN322)</f>
        <v>0</v>
      </c>
      <c r="BP322" s="443">
        <f>CHOOSE($AG$1,BP394,BP433,BP472,BP511)</f>
        <v>0</v>
      </c>
      <c r="BQ322" s="443">
        <f>CHOOSE($AG$1,BQ394,BQ433,BQ472,BQ511)</f>
        <v>0</v>
      </c>
      <c r="BR322" s="396">
        <f>AVERAGE(BP322,BQ322)</f>
        <v>0</v>
      </c>
    </row>
    <row r="323" spans="1:70" customFormat="1" ht="11.25" customHeight="1" outlineLevel="1">
      <c r="A323" s="208" t="s">
        <v>413</v>
      </c>
      <c r="B323" s="6"/>
      <c r="C323" s="93" t="s">
        <v>538</v>
      </c>
      <c r="D323" s="31" t="s">
        <v>66</v>
      </c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W323" s="6"/>
      <c r="X323" s="6"/>
      <c r="AE323" s="44"/>
      <c r="AF323" s="542">
        <f>CHOOSE($AG$1,AF395,AF434,AF473,AF512)</f>
        <v>2.7263409253557191E-2</v>
      </c>
      <c r="AG323" s="972">
        <f>CHOOSE($AG$1,AG395,AG434,AG473,AG512)</f>
        <v>1.2593428597357348E-2</v>
      </c>
      <c r="AH323" s="395">
        <f>AVERAGE(AF323,AG323)</f>
        <v>1.992841892545727E-2</v>
      </c>
      <c r="AI323" s="443">
        <f>CHOOSE($AG$1,AI395,AI434,AI473,AI512)</f>
        <v>3.1037177623013057E-2</v>
      </c>
      <c r="AJ323" s="443">
        <f>CHOOSE($AG$1,AJ395,AJ434,AJ473,AJ512)</f>
        <v>-1.1545158152224675E-2</v>
      </c>
      <c r="AK323" s="395">
        <f>AVERAGE(AI323,AJ323)</f>
        <v>9.7460097353941899E-3</v>
      </c>
      <c r="AL323" s="443">
        <f>CHOOSE($AG$1,AL395,AL434,AL473,AL512)</f>
        <v>6.7662711210954903E-4</v>
      </c>
      <c r="AM323" s="443">
        <f>CHOOSE($AG$1,AM395,AM434,AM473,AM512)</f>
        <v>1.3770879850358186E-2</v>
      </c>
      <c r="AN323" s="395">
        <f>AVERAGE(AL323,AM323)</f>
        <v>7.2237534812338682E-3</v>
      </c>
      <c r="AO323" s="443">
        <f>CHOOSE($AG$1,AO395,AO434,AO473,AO512)</f>
        <v>2.8985507246376643E-3</v>
      </c>
      <c r="AP323" s="443">
        <f>CHOOSE($AG$1,AP395,AP434,AP473,AP512)</f>
        <v>0</v>
      </c>
      <c r="AQ323" s="395">
        <f>AVERAGE(AO323,AP323)</f>
        <v>1.4492753623188321E-3</v>
      </c>
      <c r="AR323" s="443">
        <f>CHOOSE($AG$1,AR395,AR434,AR473,AR512)</f>
        <v>0</v>
      </c>
      <c r="AS323" s="443">
        <f>CHOOSE($AG$1,AS395,AS434,AS473,AS512)</f>
        <v>0</v>
      </c>
      <c r="AT323" s="395">
        <f>AVERAGE(AR323,AS323)</f>
        <v>0</v>
      </c>
      <c r="AU323" s="443">
        <f>CHOOSE($AG$1,AU395,AU434,AU473,AU512)</f>
        <v>0</v>
      </c>
      <c r="AV323" s="443">
        <f>CHOOSE($AG$1,AV395,AV434,AV473,AV512)</f>
        <v>0</v>
      </c>
      <c r="AW323" s="395">
        <f>AVERAGE(AU323,AV323)</f>
        <v>0</v>
      </c>
      <c r="AX323" s="443">
        <f>CHOOSE($AG$1,AX395,AX434,AX473,AX512)</f>
        <v>0</v>
      </c>
      <c r="AY323" s="443">
        <f>CHOOSE($AG$1,AY395,AY434,AY473,AY512)</f>
        <v>0</v>
      </c>
      <c r="AZ323" s="395">
        <f>AVERAGE(AX323,AY323)</f>
        <v>0</v>
      </c>
      <c r="BA323" s="443">
        <f>CHOOSE($AG$1,BA395,BA434,BA473,BA512)</f>
        <v>0</v>
      </c>
      <c r="BB323" s="443">
        <f>CHOOSE($AG$1,BB395,BB434,BB473,BB512)</f>
        <v>0</v>
      </c>
      <c r="BC323" s="395">
        <f>AVERAGE(BA323,BB323)</f>
        <v>0</v>
      </c>
      <c r="BD323" s="443">
        <f>CHOOSE($AG$1,BD395,BD434,BD473,BD512)</f>
        <v>0</v>
      </c>
      <c r="BE323" s="443">
        <f>CHOOSE($AG$1,BE395,BE434,BE473,BE512)</f>
        <v>0</v>
      </c>
      <c r="BF323" s="395">
        <f>AVERAGE(BD323,BE323)</f>
        <v>0</v>
      </c>
      <c r="BG323" s="443">
        <f>CHOOSE($AG$1,BG395,BG434,BG473,BG512)</f>
        <v>0</v>
      </c>
      <c r="BH323" s="443">
        <f>CHOOSE($AG$1,BH395,BH434,BH473,BH512)</f>
        <v>0</v>
      </c>
      <c r="BI323" s="395">
        <f>AVERAGE(BG323,BH323)</f>
        <v>0</v>
      </c>
      <c r="BJ323" s="443">
        <f>CHOOSE($AG$1,BJ395,BJ434,BJ473,BJ512)</f>
        <v>0</v>
      </c>
      <c r="BK323" s="443">
        <f>CHOOSE($AG$1,BK395,BK434,BK473,BK512)</f>
        <v>0</v>
      </c>
      <c r="BL323" s="395">
        <f>AVERAGE(BJ323,BK323)</f>
        <v>0</v>
      </c>
      <c r="BM323" s="443">
        <f>CHOOSE($AG$1,BM395,BM434,BM473,BM512)</f>
        <v>0</v>
      </c>
      <c r="BN323" s="443">
        <f>CHOOSE($AG$1,BN395,BN434,BN473,BN512)</f>
        <v>0</v>
      </c>
      <c r="BO323" s="395">
        <f>AVERAGE(BM323,BN323)</f>
        <v>0</v>
      </c>
      <c r="BP323" s="443">
        <f>CHOOSE($AG$1,BP395,BP434,BP473,BP512)</f>
        <v>0</v>
      </c>
      <c r="BQ323" s="443">
        <f>CHOOSE($AG$1,BQ395,BQ434,BQ473,BQ512)</f>
        <v>0</v>
      </c>
      <c r="BR323" s="395">
        <f>AVERAGE(BP323,BQ323)</f>
        <v>0</v>
      </c>
    </row>
    <row r="324" spans="1:70" customFormat="1" ht="11.25" customHeight="1" outlineLevel="1">
      <c r="A324" s="6"/>
      <c r="B324" s="6"/>
      <c r="C324" s="84" t="s">
        <v>81</v>
      </c>
      <c r="D324" s="31" t="s">
        <v>66</v>
      </c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W324" s="6"/>
      <c r="X324" s="6"/>
      <c r="AE324" s="44"/>
      <c r="AF324" s="542">
        <f t="shared" ref="AF324:AN324" si="1073">((AF281*AF325)+(AF282*AF326))</f>
        <v>-7.8087874845823815E-2</v>
      </c>
      <c r="AG324" s="972">
        <f t="shared" si="1073"/>
        <v>-0.10839512670135645</v>
      </c>
      <c r="AH324" s="443">
        <f t="shared" si="1073"/>
        <v>-9.3265532117478456E-2</v>
      </c>
      <c r="AI324" s="443">
        <f t="shared" si="1073"/>
        <v>6.4174621296180599E-3</v>
      </c>
      <c r="AJ324" s="443">
        <f t="shared" si="1073"/>
        <v>-2.7000750844886477E-2</v>
      </c>
      <c r="AK324" s="443">
        <f t="shared" si="1073"/>
        <v>-1.0347335304058266E-2</v>
      </c>
      <c r="AL324" s="443">
        <f t="shared" si="1073"/>
        <v>-6.8712079071634027E-2</v>
      </c>
      <c r="AM324" s="443">
        <f t="shared" si="1073"/>
        <v>-1.8798512382171693E-2</v>
      </c>
      <c r="AN324" s="443">
        <f t="shared" si="1073"/>
        <v>-4.3756907779832765E-2</v>
      </c>
      <c r="AO324" s="443">
        <f t="shared" ref="AO324:BR324" si="1074">((AO281*AO325)+(AO282*AO326))</f>
        <v>1.938482698010872E-3</v>
      </c>
      <c r="AP324" s="443">
        <f t="shared" si="1074"/>
        <v>0</v>
      </c>
      <c r="AQ324" s="443">
        <f t="shared" si="1074"/>
        <v>9.6852095554941493E-4</v>
      </c>
      <c r="AR324" s="443">
        <f t="shared" si="1074"/>
        <v>0</v>
      </c>
      <c r="AS324" s="443">
        <f t="shared" si="1074"/>
        <v>0</v>
      </c>
      <c r="AT324" s="443">
        <f t="shared" si="1074"/>
        <v>0</v>
      </c>
      <c r="AU324" s="443">
        <f t="shared" si="1074"/>
        <v>0</v>
      </c>
      <c r="AV324" s="443">
        <f t="shared" si="1074"/>
        <v>0</v>
      </c>
      <c r="AW324" s="443">
        <f t="shared" si="1074"/>
        <v>0</v>
      </c>
      <c r="AX324" s="443">
        <f t="shared" si="1074"/>
        <v>0</v>
      </c>
      <c r="AY324" s="443">
        <f t="shared" si="1074"/>
        <v>0</v>
      </c>
      <c r="AZ324" s="443">
        <f t="shared" si="1074"/>
        <v>0</v>
      </c>
      <c r="BA324" s="443">
        <f t="shared" si="1074"/>
        <v>0</v>
      </c>
      <c r="BB324" s="443">
        <f t="shared" si="1074"/>
        <v>0</v>
      </c>
      <c r="BC324" s="443">
        <f t="shared" si="1074"/>
        <v>0</v>
      </c>
      <c r="BD324" s="443">
        <f t="shared" si="1074"/>
        <v>0</v>
      </c>
      <c r="BE324" s="443">
        <f t="shared" si="1074"/>
        <v>0</v>
      </c>
      <c r="BF324" s="443">
        <f t="shared" si="1074"/>
        <v>0</v>
      </c>
      <c r="BG324" s="443">
        <f t="shared" si="1074"/>
        <v>0</v>
      </c>
      <c r="BH324" s="443">
        <f t="shared" si="1074"/>
        <v>0</v>
      </c>
      <c r="BI324" s="443">
        <f t="shared" si="1074"/>
        <v>0</v>
      </c>
      <c r="BJ324" s="443">
        <f t="shared" si="1074"/>
        <v>0</v>
      </c>
      <c r="BK324" s="443">
        <f t="shared" si="1074"/>
        <v>0</v>
      </c>
      <c r="BL324" s="443">
        <f t="shared" si="1074"/>
        <v>0</v>
      </c>
      <c r="BM324" s="443">
        <f t="shared" si="1074"/>
        <v>0</v>
      </c>
      <c r="BN324" s="443">
        <f t="shared" si="1074"/>
        <v>0</v>
      </c>
      <c r="BO324" s="443">
        <f t="shared" si="1074"/>
        <v>0</v>
      </c>
      <c r="BP324" s="443">
        <f t="shared" si="1074"/>
        <v>0</v>
      </c>
      <c r="BQ324" s="443">
        <f t="shared" si="1074"/>
        <v>0</v>
      </c>
      <c r="BR324" s="443">
        <f t="shared" si="1074"/>
        <v>0</v>
      </c>
    </row>
    <row r="325" spans="1:70" customFormat="1" ht="11.25" customHeight="1" outlineLevel="1">
      <c r="A325" s="208" t="s">
        <v>413</v>
      </c>
      <c r="B325" s="6"/>
      <c r="C325" s="93" t="s">
        <v>59</v>
      </c>
      <c r="D325" s="31" t="s">
        <v>66</v>
      </c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W325" s="6"/>
      <c r="X325" s="6"/>
      <c r="AE325" s="44"/>
      <c r="AF325" s="542">
        <f>CHOOSE($AG$1,AF397,AF436,AF475,AF514)</f>
        <v>-6.8737770017904876E-2</v>
      </c>
      <c r="AG325" s="972">
        <f>CHOOSE($AG$1,AG397,AG436,AG475,AG514)</f>
        <v>-8.9998474714680893E-2</v>
      </c>
      <c r="AH325" s="395">
        <f>AVERAGE(AF325,AG325)</f>
        <v>-7.9368122366292884E-2</v>
      </c>
      <c r="AI325" s="443">
        <f>CHOOSE($AG$1,AI397,AI436,AI475,AI514)</f>
        <v>2.1096241717193872E-2</v>
      </c>
      <c r="AJ325" s="443">
        <f>CHOOSE($AG$1,AJ397,AJ436,AJ475,AJ514)</f>
        <v>-2.8785306527674324E-2</v>
      </c>
      <c r="AK325" s="395">
        <f>AVERAGE(AI325,AJ325)</f>
        <v>-3.8445324052402263E-3</v>
      </c>
      <c r="AL325" s="443">
        <f>CHOOSE($AG$1,AL397,AL436,AL475,AL514)</f>
        <v>-9.3958974524242955E-2</v>
      </c>
      <c r="AM325" s="443">
        <f>CHOOSE($AG$1,AM397,AM436,AM475,AM514)</f>
        <v>-3.2761633934654553E-2</v>
      </c>
      <c r="AN325" s="395">
        <f>AVERAGE(AL325,AM325)</f>
        <v>-6.3360304229448758E-2</v>
      </c>
      <c r="AO325" s="443">
        <f>CHOOSE($AG$1,AO397,AO436,AO475,AO514)</f>
        <v>0</v>
      </c>
      <c r="AP325" s="443">
        <f>CHOOSE($AG$1,AP397,AP436,AP475,AP514)</f>
        <v>0</v>
      </c>
      <c r="AQ325" s="395">
        <f>AVERAGE(AO325,AP325)</f>
        <v>0</v>
      </c>
      <c r="AR325" s="443">
        <f>CHOOSE($AG$1,AR397,AR436,AR475,AR514)</f>
        <v>0</v>
      </c>
      <c r="AS325" s="443">
        <f>CHOOSE($AG$1,AS397,AS436,AS475,AS514)</f>
        <v>0</v>
      </c>
      <c r="AT325" s="395">
        <f>AVERAGE(AR325,AS325)</f>
        <v>0</v>
      </c>
      <c r="AU325" s="443">
        <f>CHOOSE($AG$1,AU397,AU436,AU475,AU514)</f>
        <v>0</v>
      </c>
      <c r="AV325" s="443">
        <f>CHOOSE($AG$1,AV397,AV436,AV475,AV514)</f>
        <v>0</v>
      </c>
      <c r="AW325" s="395">
        <f>AVERAGE(AU325,AV325)</f>
        <v>0</v>
      </c>
      <c r="AX325" s="443">
        <f>CHOOSE($AG$1,AX397,AX436,AX475,AX514)</f>
        <v>0</v>
      </c>
      <c r="AY325" s="443">
        <f>CHOOSE($AG$1,AY397,AY436,AY475,AY514)</f>
        <v>0</v>
      </c>
      <c r="AZ325" s="395">
        <f>AVERAGE(AX325,AY325)</f>
        <v>0</v>
      </c>
      <c r="BA325" s="443">
        <f>CHOOSE($AG$1,BA397,BA436,BA475,BA514)</f>
        <v>0</v>
      </c>
      <c r="BB325" s="443">
        <f>CHOOSE($AG$1,BB397,BB436,BB475,BB514)</f>
        <v>0</v>
      </c>
      <c r="BC325" s="395">
        <f>AVERAGE(BA325,BB325)</f>
        <v>0</v>
      </c>
      <c r="BD325" s="443">
        <f>CHOOSE($AG$1,BD397,BD436,BD475,BD514)</f>
        <v>0</v>
      </c>
      <c r="BE325" s="443">
        <f>CHOOSE($AG$1,BE397,BE436,BE475,BE514)</f>
        <v>0</v>
      </c>
      <c r="BF325" s="395">
        <f>AVERAGE(BD325,BE325)</f>
        <v>0</v>
      </c>
      <c r="BG325" s="443">
        <f>CHOOSE($AG$1,BG397,BG436,BG475,BG514)</f>
        <v>0</v>
      </c>
      <c r="BH325" s="443">
        <f>CHOOSE($AG$1,BH397,BH436,BH475,BH514)</f>
        <v>0</v>
      </c>
      <c r="BI325" s="395">
        <f>AVERAGE(BG325,BH325)</f>
        <v>0</v>
      </c>
      <c r="BJ325" s="443">
        <f>CHOOSE($AG$1,BJ397,BJ436,BJ475,BJ514)</f>
        <v>0</v>
      </c>
      <c r="BK325" s="443">
        <f>CHOOSE($AG$1,BK397,BK436,BK475,BK514)</f>
        <v>0</v>
      </c>
      <c r="BL325" s="395">
        <f>AVERAGE(BJ325,BK325)</f>
        <v>0</v>
      </c>
      <c r="BM325" s="443">
        <f>CHOOSE($AG$1,BM397,BM436,BM475,BM514)</f>
        <v>0</v>
      </c>
      <c r="BN325" s="443">
        <f>CHOOSE($AG$1,BN397,BN436,BN475,BN514)</f>
        <v>0</v>
      </c>
      <c r="BO325" s="395">
        <f>AVERAGE(BM325,BN325)</f>
        <v>0</v>
      </c>
      <c r="BP325" s="443">
        <f>CHOOSE($AG$1,BP397,BP436,BP475,BP514)</f>
        <v>0</v>
      </c>
      <c r="BQ325" s="443">
        <f>CHOOSE($AG$1,BQ397,BQ436,BQ475,BQ514)</f>
        <v>0</v>
      </c>
      <c r="BR325" s="395">
        <f>AVERAGE(BP325,BQ325)</f>
        <v>0</v>
      </c>
    </row>
    <row r="326" spans="1:70" customFormat="1" ht="11.25" customHeight="1" outlineLevel="1">
      <c r="A326" s="208" t="s">
        <v>413</v>
      </c>
      <c r="B326" s="6"/>
      <c r="C326" s="93" t="s">
        <v>93</v>
      </c>
      <c r="D326" s="31" t="s">
        <v>66</v>
      </c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W326" s="6"/>
      <c r="X326" s="6"/>
      <c r="AE326" s="44"/>
      <c r="AF326" s="542">
        <f>CHOOSE($AG$1,AF398,AF437,AF476,AF515)</f>
        <v>-8.9737078949097465E-2</v>
      </c>
      <c r="AG326" s="972">
        <f>CHOOSE($AG$1,AG398,AG437,AG476,AG515)</f>
        <v>-0.13171768748706145</v>
      </c>
      <c r="AH326" s="395">
        <f>AVERAGE(AF326,AG326)</f>
        <v>-0.11072738321807946</v>
      </c>
      <c r="AI326" s="443">
        <f>CHOOSE($AG$1,AI398,AI437,AI476,AI515)</f>
        <v>-1.2364300880907319E-2</v>
      </c>
      <c r="AJ326" s="443">
        <f>CHOOSE($AG$1,AJ398,AJ437,AJ476,AJ515)</f>
        <v>-2.4772239187122923E-2</v>
      </c>
      <c r="AK326" s="395">
        <f>AVERAGE(AI326,AJ326)</f>
        <v>-1.8568270034015122E-2</v>
      </c>
      <c r="AL326" s="443">
        <f>CHOOSE($AG$1,AL398,AL437,AL476,AL515)</f>
        <v>-3.8715552157357468E-2</v>
      </c>
      <c r="AM326" s="443">
        <f>CHOOSE($AG$1,AM398,AM437,AM476,AM515)</f>
        <v>-2.2442051181890505E-3</v>
      </c>
      <c r="AN326" s="395">
        <f>AVERAGE(AL326,AM326)</f>
        <v>-2.0479878637773258E-2</v>
      </c>
      <c r="AO326" s="443">
        <f>CHOOSE($AG$1,AO398,AO437,AO476,AO515)</f>
        <v>4.1841616394168394E-3</v>
      </c>
      <c r="AP326" s="443">
        <f>CHOOSE($AG$1,AP398,AP437,AP476,AP515)</f>
        <v>0</v>
      </c>
      <c r="AQ326" s="395">
        <f>AVERAGE(AO326,AP326)</f>
        <v>2.0920808197084197E-3</v>
      </c>
      <c r="AR326" s="443">
        <f>CHOOSE($AG$1,AR398,AR437,AR476,AR515)</f>
        <v>0</v>
      </c>
      <c r="AS326" s="443">
        <f>CHOOSE($AG$1,AS398,AS437,AS476,AS515)</f>
        <v>0</v>
      </c>
      <c r="AT326" s="395">
        <f>AVERAGE(AR326,AS326)</f>
        <v>0</v>
      </c>
      <c r="AU326" s="443">
        <f>CHOOSE($AG$1,AU398,AU437,AU476,AU515)</f>
        <v>0</v>
      </c>
      <c r="AV326" s="443">
        <f>CHOOSE($AG$1,AV398,AV437,AV476,AV515)</f>
        <v>0</v>
      </c>
      <c r="AW326" s="395">
        <f>AVERAGE(AU326,AV326)</f>
        <v>0</v>
      </c>
      <c r="AX326" s="443">
        <f>CHOOSE($AG$1,AX398,AX437,AX476,AX515)</f>
        <v>0</v>
      </c>
      <c r="AY326" s="443">
        <f>CHOOSE($AG$1,AY398,AY437,AY476,AY515)</f>
        <v>0</v>
      </c>
      <c r="AZ326" s="395">
        <f>AVERAGE(AX326,AY326)</f>
        <v>0</v>
      </c>
      <c r="BA326" s="443">
        <f>CHOOSE($AG$1,BA398,BA437,BA476,BA515)</f>
        <v>0</v>
      </c>
      <c r="BB326" s="443">
        <f>CHOOSE($AG$1,BB398,BB437,BB476,BB515)</f>
        <v>0</v>
      </c>
      <c r="BC326" s="395">
        <f>AVERAGE(BA326,BB326)</f>
        <v>0</v>
      </c>
      <c r="BD326" s="443">
        <f>CHOOSE($AG$1,BD398,BD437,BD476,BD515)</f>
        <v>0</v>
      </c>
      <c r="BE326" s="443">
        <f>CHOOSE($AG$1,BE398,BE437,BE476,BE515)</f>
        <v>0</v>
      </c>
      <c r="BF326" s="395">
        <f>AVERAGE(BD326,BE326)</f>
        <v>0</v>
      </c>
      <c r="BG326" s="443">
        <f>CHOOSE($AG$1,BG398,BG437,BG476,BG515)</f>
        <v>0</v>
      </c>
      <c r="BH326" s="443">
        <f>CHOOSE($AG$1,BH398,BH437,BH476,BH515)</f>
        <v>0</v>
      </c>
      <c r="BI326" s="395">
        <f>AVERAGE(BG326,BH326)</f>
        <v>0</v>
      </c>
      <c r="BJ326" s="443">
        <f>CHOOSE($AG$1,BJ398,BJ437,BJ476,BJ515)</f>
        <v>0</v>
      </c>
      <c r="BK326" s="443">
        <f>CHOOSE($AG$1,BK398,BK437,BK476,BK515)</f>
        <v>0</v>
      </c>
      <c r="BL326" s="395">
        <f>AVERAGE(BJ326,BK326)</f>
        <v>0</v>
      </c>
      <c r="BM326" s="443">
        <f>CHOOSE($AG$1,BM398,BM437,BM476,BM515)</f>
        <v>0</v>
      </c>
      <c r="BN326" s="443">
        <f>CHOOSE($AG$1,BN398,BN437,BN476,BN515)</f>
        <v>0</v>
      </c>
      <c r="BO326" s="395">
        <f>AVERAGE(BM326,BN326)</f>
        <v>0</v>
      </c>
      <c r="BP326" s="443">
        <f>CHOOSE($AG$1,BP398,BP437,BP476,BP515)</f>
        <v>0</v>
      </c>
      <c r="BQ326" s="443">
        <f>CHOOSE($AG$1,BQ398,BQ437,BQ476,BQ515)</f>
        <v>0</v>
      </c>
      <c r="BR326" s="395">
        <f>AVERAGE(BP326,BQ326)</f>
        <v>0</v>
      </c>
    </row>
    <row r="327" spans="1:70" customFormat="1" ht="11.25" customHeight="1" outlineLevel="1">
      <c r="A327" s="6"/>
      <c r="B327" s="6"/>
      <c r="C327" s="84" t="s">
        <v>83</v>
      </c>
      <c r="D327" s="31" t="s">
        <v>66</v>
      </c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W327" s="6"/>
      <c r="X327" s="6"/>
      <c r="AE327" s="44"/>
      <c r="AF327" s="542">
        <f t="shared" ref="AF327:AM327" si="1075">((AF284*AF328)+(AF285*AF329)+(AF286*AF330))</f>
        <v>-5.2296270380373128E-2</v>
      </c>
      <c r="AG327" s="972">
        <f t="shared" si="1075"/>
        <v>-7.1227917763370244E-2</v>
      </c>
      <c r="AH327" s="443">
        <f>((AH284*AH328)+(AH285*AH329)+(AH286*AH330))</f>
        <v>-6.1922191659358347E-2</v>
      </c>
      <c r="AI327" s="443">
        <f t="shared" si="1075"/>
        <v>-2.1803186612191112E-2</v>
      </c>
      <c r="AJ327" s="443">
        <f t="shared" si="1075"/>
        <v>-6.6182724388156006E-2</v>
      </c>
      <c r="AK327" s="443">
        <f>((AK284*AK328)+(AK285*AK329)+(AK286*AK330))</f>
        <v>-4.4063676190939795E-2</v>
      </c>
      <c r="AL327" s="443">
        <f t="shared" si="1075"/>
        <v>-7.5657021254131387E-2</v>
      </c>
      <c r="AM327" s="443">
        <f t="shared" si="1075"/>
        <v>-1.4092900571734537E-2</v>
      </c>
      <c r="AN327" s="443">
        <f>((AN284*AN328)+(AN285*AN329)+(AN286*AN330))</f>
        <v>-4.4802733916934567E-2</v>
      </c>
      <c r="AO327" s="443">
        <f t="shared" ref="AO327:AP327" si="1076">((AO284*AO328)+(AO285*AO329)+(AO286*AO330))</f>
        <v>1.8885116038676645E-3</v>
      </c>
      <c r="AP327" s="443">
        <f t="shared" si="1076"/>
        <v>0</v>
      </c>
      <c r="AQ327" s="443">
        <f>((AQ284*AQ328)+(AQ285*AQ329)+(AQ286*AQ330))</f>
        <v>9.4725305651405776E-4</v>
      </c>
      <c r="AR327" s="443">
        <f t="shared" ref="AR327:AS327" si="1077">((AR284*AR328)+(AR285*AR329)+(AR286*AR330))</f>
        <v>0</v>
      </c>
      <c r="AS327" s="443">
        <f t="shared" si="1077"/>
        <v>0</v>
      </c>
      <c r="AT327" s="443">
        <f>((AT284*AT328)+(AT285*AT329)+(AT286*AT330))</f>
        <v>0</v>
      </c>
      <c r="AU327" s="443">
        <f t="shared" ref="AU327:AV327" si="1078">((AU284*AU328)+(AU285*AU329)+(AU286*AU330))</f>
        <v>0</v>
      </c>
      <c r="AV327" s="443">
        <f t="shared" si="1078"/>
        <v>0</v>
      </c>
      <c r="AW327" s="443">
        <f>((AW284*AW328)+(AW285*AW329)+(AW286*AW330))</f>
        <v>0</v>
      </c>
      <c r="AX327" s="443">
        <f t="shared" ref="AX327:AY327" si="1079">((AX284*AX328)+(AX285*AX329)+(AX286*AX330))</f>
        <v>0</v>
      </c>
      <c r="AY327" s="443">
        <f t="shared" si="1079"/>
        <v>0</v>
      </c>
      <c r="AZ327" s="443">
        <f>((AZ284*AZ328)+(AZ285*AZ329)+(AZ286*AZ330))</f>
        <v>0</v>
      </c>
      <c r="BA327" s="443">
        <f t="shared" ref="BA327:BB327" si="1080">((BA284*BA328)+(BA285*BA329)+(BA286*BA330))</f>
        <v>0</v>
      </c>
      <c r="BB327" s="443">
        <f t="shared" si="1080"/>
        <v>0</v>
      </c>
      <c r="BC327" s="443">
        <f>((BC284*BC328)+(BC285*BC329)+(BC286*BC330))</f>
        <v>0</v>
      </c>
      <c r="BD327" s="443">
        <f t="shared" ref="BD327:BE327" si="1081">((BD284*BD328)+(BD285*BD329)+(BD286*BD330))</f>
        <v>0</v>
      </c>
      <c r="BE327" s="443">
        <f t="shared" si="1081"/>
        <v>0</v>
      </c>
      <c r="BF327" s="443">
        <f>((BF284*BF328)+(BF285*BF329)+(BF286*BF330))</f>
        <v>0</v>
      </c>
      <c r="BG327" s="443">
        <f t="shared" ref="BG327:BH327" si="1082">((BG284*BG328)+(BG285*BG329)+(BG286*BG330))</f>
        <v>0</v>
      </c>
      <c r="BH327" s="443">
        <f t="shared" si="1082"/>
        <v>0</v>
      </c>
      <c r="BI327" s="443">
        <f>((BI284*BI328)+(BI285*BI329)+(BI286*BI330))</f>
        <v>0</v>
      </c>
      <c r="BJ327" s="443">
        <f t="shared" ref="BJ327:BK327" si="1083">((BJ284*BJ328)+(BJ285*BJ329)+(BJ286*BJ330))</f>
        <v>0</v>
      </c>
      <c r="BK327" s="443">
        <f t="shared" si="1083"/>
        <v>0</v>
      </c>
      <c r="BL327" s="443">
        <f>((BL284*BL328)+(BL285*BL329)+(BL286*BL330))</f>
        <v>0</v>
      </c>
      <c r="BM327" s="443">
        <f t="shared" ref="BM327:BN327" si="1084">((BM284*BM328)+(BM285*BM329)+(BM286*BM330))</f>
        <v>0</v>
      </c>
      <c r="BN327" s="443">
        <f t="shared" si="1084"/>
        <v>0</v>
      </c>
      <c r="BO327" s="443">
        <f>((BO284*BO328)+(BO285*BO329)+(BO286*BO330))</f>
        <v>0</v>
      </c>
      <c r="BP327" s="443">
        <f t="shared" ref="BP327:BQ327" si="1085">((BP284*BP328)+(BP285*BP329)+(BP286*BP330))</f>
        <v>0</v>
      </c>
      <c r="BQ327" s="443">
        <f t="shared" si="1085"/>
        <v>0</v>
      </c>
      <c r="BR327" s="443">
        <f>((BR284*BR328)+(BR285*BR329)+(BR286*BR330))</f>
        <v>0</v>
      </c>
    </row>
    <row r="328" spans="1:70" customFormat="1" ht="11.25" customHeight="1" outlineLevel="1">
      <c r="A328" s="208" t="s">
        <v>413</v>
      </c>
      <c r="B328" s="6"/>
      <c r="C328" s="93" t="s">
        <v>289</v>
      </c>
      <c r="D328" s="31" t="s">
        <v>66</v>
      </c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W328" s="6"/>
      <c r="X328" s="6"/>
      <c r="AE328" s="44"/>
      <c r="AF328" s="542">
        <f t="shared" ref="AF328:AG330" si="1086">CHOOSE($AG$1,AF400,AF439,AF478,AF517)</f>
        <v>-5.5121970366292405E-2</v>
      </c>
      <c r="AG328" s="972">
        <f t="shared" si="1086"/>
        <v>-5.4069908699724056E-2</v>
      </c>
      <c r="AH328" s="395">
        <f>AVERAGE(AF328,AG328)</f>
        <v>-5.4595939533008231E-2</v>
      </c>
      <c r="AI328" s="443">
        <f t="shared" ref="AI328:AJ330" si="1087">CHOOSE($AG$1,AI400,AI439,AI478,AI517)</f>
        <v>1.9848262838689679E-2</v>
      </c>
      <c r="AJ328" s="443">
        <f t="shared" si="1087"/>
        <v>-1.8014489292253799E-2</v>
      </c>
      <c r="AK328" s="395">
        <f>AVERAGE(AI328,AJ328)</f>
        <v>9.1688677321793977E-4</v>
      </c>
      <c r="AL328" s="443">
        <f t="shared" ref="AL328:AM330" si="1088">CHOOSE($AG$1,AL400,AL439,AL478,AL517)</f>
        <v>-6.3145801920353239E-2</v>
      </c>
      <c r="AM328" s="443">
        <f t="shared" si="1088"/>
        <v>-1.6635281310802608E-2</v>
      </c>
      <c r="AN328" s="395">
        <f>AVERAGE(AL328,AM328)</f>
        <v>-3.9890541615577924E-2</v>
      </c>
      <c r="AO328" s="443">
        <f t="shared" ref="AO328:AP330" si="1089">CHOOSE($AG$1,AO400,AO439,AO478,AO517)</f>
        <v>2.3023791250960102E-3</v>
      </c>
      <c r="AP328" s="443">
        <f t="shared" si="1089"/>
        <v>0</v>
      </c>
      <c r="AQ328" s="395">
        <f>AVERAGE(AO328,AP328)</f>
        <v>1.1511895625480051E-3</v>
      </c>
      <c r="AR328" s="443">
        <f t="shared" ref="AR328:AS330" si="1090">CHOOSE($AG$1,AR400,AR439,AR478,AR517)</f>
        <v>0</v>
      </c>
      <c r="AS328" s="443">
        <f t="shared" si="1090"/>
        <v>0</v>
      </c>
      <c r="AT328" s="395">
        <f>AVERAGE(AR328,AS328)</f>
        <v>0</v>
      </c>
      <c r="AU328" s="443">
        <f t="shared" ref="AU328:AV330" si="1091">CHOOSE($AG$1,AU400,AU439,AU478,AU517)</f>
        <v>0</v>
      </c>
      <c r="AV328" s="443">
        <f t="shared" si="1091"/>
        <v>0</v>
      </c>
      <c r="AW328" s="395">
        <f>AVERAGE(AU328,AV328)</f>
        <v>0</v>
      </c>
      <c r="AX328" s="443">
        <f t="shared" ref="AX328:AY330" si="1092">CHOOSE($AG$1,AX400,AX439,AX478,AX517)</f>
        <v>0</v>
      </c>
      <c r="AY328" s="443">
        <f t="shared" si="1092"/>
        <v>0</v>
      </c>
      <c r="AZ328" s="395">
        <f>AVERAGE(AX328,AY328)</f>
        <v>0</v>
      </c>
      <c r="BA328" s="443">
        <f t="shared" ref="BA328:BB330" si="1093">CHOOSE($AG$1,BA400,BA439,BA478,BA517)</f>
        <v>0</v>
      </c>
      <c r="BB328" s="443">
        <f t="shared" si="1093"/>
        <v>0</v>
      </c>
      <c r="BC328" s="395">
        <f>AVERAGE(BA328,BB328)</f>
        <v>0</v>
      </c>
      <c r="BD328" s="443">
        <f t="shared" ref="BD328:BE330" si="1094">CHOOSE($AG$1,BD400,BD439,BD478,BD517)</f>
        <v>0</v>
      </c>
      <c r="BE328" s="443">
        <f t="shared" si="1094"/>
        <v>0</v>
      </c>
      <c r="BF328" s="395">
        <f>AVERAGE(BD328,BE328)</f>
        <v>0</v>
      </c>
      <c r="BG328" s="443">
        <f t="shared" ref="BG328:BH330" si="1095">CHOOSE($AG$1,BG400,BG439,BG478,BG517)</f>
        <v>0</v>
      </c>
      <c r="BH328" s="443">
        <f t="shared" si="1095"/>
        <v>0</v>
      </c>
      <c r="BI328" s="395">
        <f>AVERAGE(BG328,BH328)</f>
        <v>0</v>
      </c>
      <c r="BJ328" s="443">
        <f t="shared" ref="BJ328:BK330" si="1096">CHOOSE($AG$1,BJ400,BJ439,BJ478,BJ517)</f>
        <v>0</v>
      </c>
      <c r="BK328" s="443">
        <f t="shared" si="1096"/>
        <v>0</v>
      </c>
      <c r="BL328" s="395">
        <f>AVERAGE(BJ328,BK328)</f>
        <v>0</v>
      </c>
      <c r="BM328" s="443">
        <f t="shared" ref="BM328:BN330" si="1097">CHOOSE($AG$1,BM400,BM439,BM478,BM517)</f>
        <v>0</v>
      </c>
      <c r="BN328" s="443">
        <f t="shared" si="1097"/>
        <v>0</v>
      </c>
      <c r="BO328" s="395">
        <f>AVERAGE(BM328,BN328)</f>
        <v>0</v>
      </c>
      <c r="BP328" s="443">
        <f t="shared" ref="BP328:BQ330" si="1098">CHOOSE($AG$1,BP400,BP439,BP478,BP517)</f>
        <v>0</v>
      </c>
      <c r="BQ328" s="443">
        <f t="shared" si="1098"/>
        <v>0</v>
      </c>
      <c r="BR328" s="395">
        <f>AVERAGE(BP328,BQ328)</f>
        <v>0</v>
      </c>
    </row>
    <row r="329" spans="1:70" customFormat="1" ht="11.25" customHeight="1" outlineLevel="1">
      <c r="A329" s="208" t="s">
        <v>413</v>
      </c>
      <c r="B329" s="6"/>
      <c r="C329" s="93" t="s">
        <v>537</v>
      </c>
      <c r="D329" s="31" t="s">
        <v>66</v>
      </c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W329" s="6"/>
      <c r="X329" s="6"/>
      <c r="AE329" s="44"/>
      <c r="AF329" s="542">
        <f t="shared" si="1086"/>
        <v>-5.622748811577679E-2</v>
      </c>
      <c r="AG329" s="972">
        <f t="shared" si="1086"/>
        <v>-6.1029574957549515E-2</v>
      </c>
      <c r="AH329" s="395">
        <f>AVERAGE(AF329,AG329)</f>
        <v>-5.8628531536663156E-2</v>
      </c>
      <c r="AI329" s="443">
        <f t="shared" si="1087"/>
        <v>2.3698693801072427E-2</v>
      </c>
      <c r="AJ329" s="443">
        <f t="shared" si="1087"/>
        <v>-2.0056124559201617E-2</v>
      </c>
      <c r="AK329" s="395">
        <f>AVERAGE(AI329,AJ329)</f>
        <v>1.8212846209354049E-3</v>
      </c>
      <c r="AL329" s="443">
        <f t="shared" si="1088"/>
        <v>-5.699060667181325E-2</v>
      </c>
      <c r="AM329" s="443">
        <f t="shared" si="1088"/>
        <v>-1.0575351467034845E-2</v>
      </c>
      <c r="AN329" s="395">
        <f>AVERAGE(AL329,AM329)</f>
        <v>-3.3782979069424048E-2</v>
      </c>
      <c r="AO329" s="443">
        <f t="shared" si="1089"/>
        <v>3.7414542199002169E-3</v>
      </c>
      <c r="AP329" s="443">
        <f t="shared" si="1089"/>
        <v>0</v>
      </c>
      <c r="AQ329" s="395">
        <f>AVERAGE(AO329,AP329)</f>
        <v>1.8707271099501085E-3</v>
      </c>
      <c r="AR329" s="443">
        <f t="shared" si="1090"/>
        <v>0</v>
      </c>
      <c r="AS329" s="443">
        <f t="shared" si="1090"/>
        <v>0</v>
      </c>
      <c r="AT329" s="395">
        <f>AVERAGE(AR329,AS329)</f>
        <v>0</v>
      </c>
      <c r="AU329" s="443">
        <f t="shared" si="1091"/>
        <v>0</v>
      </c>
      <c r="AV329" s="443">
        <f t="shared" si="1091"/>
        <v>0</v>
      </c>
      <c r="AW329" s="395">
        <f>AVERAGE(AU329,AV329)</f>
        <v>0</v>
      </c>
      <c r="AX329" s="443">
        <f t="shared" si="1092"/>
        <v>0</v>
      </c>
      <c r="AY329" s="443">
        <f t="shared" si="1092"/>
        <v>0</v>
      </c>
      <c r="AZ329" s="395">
        <f>AVERAGE(AX329,AY329)</f>
        <v>0</v>
      </c>
      <c r="BA329" s="443">
        <f t="shared" si="1093"/>
        <v>0</v>
      </c>
      <c r="BB329" s="443">
        <f t="shared" si="1093"/>
        <v>0</v>
      </c>
      <c r="BC329" s="395">
        <f>AVERAGE(BA329,BB329)</f>
        <v>0</v>
      </c>
      <c r="BD329" s="443">
        <f t="shared" si="1094"/>
        <v>0</v>
      </c>
      <c r="BE329" s="443">
        <f t="shared" si="1094"/>
        <v>0</v>
      </c>
      <c r="BF329" s="395">
        <f>AVERAGE(BD329,BE329)</f>
        <v>0</v>
      </c>
      <c r="BG329" s="443">
        <f t="shared" si="1095"/>
        <v>0</v>
      </c>
      <c r="BH329" s="443">
        <f t="shared" si="1095"/>
        <v>0</v>
      </c>
      <c r="BI329" s="395">
        <f>AVERAGE(BG329,BH329)</f>
        <v>0</v>
      </c>
      <c r="BJ329" s="443">
        <f t="shared" si="1096"/>
        <v>0</v>
      </c>
      <c r="BK329" s="443">
        <f t="shared" si="1096"/>
        <v>0</v>
      </c>
      <c r="BL329" s="395">
        <f>AVERAGE(BJ329,BK329)</f>
        <v>0</v>
      </c>
      <c r="BM329" s="443">
        <f t="shared" si="1097"/>
        <v>0</v>
      </c>
      <c r="BN329" s="443">
        <f t="shared" si="1097"/>
        <v>0</v>
      </c>
      <c r="BO329" s="395">
        <f>AVERAGE(BM329,BN329)</f>
        <v>0</v>
      </c>
      <c r="BP329" s="443">
        <f t="shared" si="1098"/>
        <v>0</v>
      </c>
      <c r="BQ329" s="443">
        <f t="shared" si="1098"/>
        <v>0</v>
      </c>
      <c r="BR329" s="395">
        <f>AVERAGE(BP329,BQ329)</f>
        <v>0</v>
      </c>
    </row>
    <row r="330" spans="1:70" customFormat="1" ht="11.25" customHeight="1" outlineLevel="1">
      <c r="A330" s="208" t="s">
        <v>413</v>
      </c>
      <c r="B330" s="6"/>
      <c r="C330" s="93" t="s">
        <v>290</v>
      </c>
      <c r="D330" s="31" t="s">
        <v>66</v>
      </c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W330" s="6"/>
      <c r="X330" s="6"/>
      <c r="AE330" s="44"/>
      <c r="AF330" s="542">
        <f t="shared" si="1086"/>
        <v>-4.7384021230446438E-2</v>
      </c>
      <c r="AG330" s="972">
        <f t="shared" si="1086"/>
        <v>-9.3866352927644392E-2</v>
      </c>
      <c r="AH330" s="395">
        <f>AVERAGE(AF330,AG330)</f>
        <v>-7.0625187079045415E-2</v>
      </c>
      <c r="AI330" s="443">
        <f t="shared" si="1087"/>
        <v>-9.6070117639648844E-2</v>
      </c>
      <c r="AJ330" s="443">
        <f t="shared" si="1087"/>
        <v>-0.15434866944096987</v>
      </c>
      <c r="AK330" s="395">
        <f>AVERAGE(AI330,AJ330)</f>
        <v>-0.12520939354030935</v>
      </c>
      <c r="AL330" s="443">
        <f t="shared" si="1088"/>
        <v>-0.10336762297713836</v>
      </c>
      <c r="AM330" s="443">
        <f t="shared" si="1088"/>
        <v>-1.3949129496840185E-2</v>
      </c>
      <c r="AN330" s="395">
        <f>AVERAGE(AL330,AM330)</f>
        <v>-5.8658376236989274E-2</v>
      </c>
      <c r="AO330" s="443">
        <f t="shared" si="1089"/>
        <v>0</v>
      </c>
      <c r="AP330" s="443">
        <f t="shared" si="1089"/>
        <v>0</v>
      </c>
      <c r="AQ330" s="395">
        <f>AVERAGE(AO330,AP330)</f>
        <v>0</v>
      </c>
      <c r="AR330" s="443">
        <f t="shared" si="1090"/>
        <v>0</v>
      </c>
      <c r="AS330" s="443">
        <f t="shared" si="1090"/>
        <v>0</v>
      </c>
      <c r="AT330" s="395">
        <f>AVERAGE(AR330,AS330)</f>
        <v>0</v>
      </c>
      <c r="AU330" s="443">
        <f t="shared" si="1091"/>
        <v>0</v>
      </c>
      <c r="AV330" s="443">
        <f t="shared" si="1091"/>
        <v>0</v>
      </c>
      <c r="AW330" s="395">
        <f>AVERAGE(AU330,AV330)</f>
        <v>0</v>
      </c>
      <c r="AX330" s="443">
        <f t="shared" si="1092"/>
        <v>0</v>
      </c>
      <c r="AY330" s="443">
        <f t="shared" si="1092"/>
        <v>0</v>
      </c>
      <c r="AZ330" s="395">
        <f>AVERAGE(AX330,AY330)</f>
        <v>0</v>
      </c>
      <c r="BA330" s="443">
        <f t="shared" si="1093"/>
        <v>0</v>
      </c>
      <c r="BB330" s="443">
        <f t="shared" si="1093"/>
        <v>0</v>
      </c>
      <c r="BC330" s="395">
        <f>AVERAGE(BA330,BB330)</f>
        <v>0</v>
      </c>
      <c r="BD330" s="443">
        <f t="shared" si="1094"/>
        <v>0</v>
      </c>
      <c r="BE330" s="443">
        <f t="shared" si="1094"/>
        <v>0</v>
      </c>
      <c r="BF330" s="395">
        <f>AVERAGE(BD330,BE330)</f>
        <v>0</v>
      </c>
      <c r="BG330" s="443">
        <f t="shared" si="1095"/>
        <v>0</v>
      </c>
      <c r="BH330" s="443">
        <f t="shared" si="1095"/>
        <v>0</v>
      </c>
      <c r="BI330" s="395">
        <f>AVERAGE(BG330,BH330)</f>
        <v>0</v>
      </c>
      <c r="BJ330" s="443">
        <f t="shared" si="1096"/>
        <v>0</v>
      </c>
      <c r="BK330" s="443">
        <f t="shared" si="1096"/>
        <v>0</v>
      </c>
      <c r="BL330" s="395">
        <f>AVERAGE(BJ330,BK330)</f>
        <v>0</v>
      </c>
      <c r="BM330" s="443">
        <f t="shared" si="1097"/>
        <v>0</v>
      </c>
      <c r="BN330" s="443">
        <f t="shared" si="1097"/>
        <v>0</v>
      </c>
      <c r="BO330" s="395">
        <f>AVERAGE(BM330,BN330)</f>
        <v>0</v>
      </c>
      <c r="BP330" s="443">
        <f t="shared" si="1098"/>
        <v>0</v>
      </c>
      <c r="BQ330" s="443">
        <f t="shared" si="1098"/>
        <v>0</v>
      </c>
      <c r="BR330" s="395">
        <f>AVERAGE(BP330,BQ330)</f>
        <v>0</v>
      </c>
    </row>
    <row r="331" spans="1:70" customFormat="1" ht="11.25" customHeight="1" outlineLevel="1">
      <c r="A331" s="6"/>
      <c r="B331" s="6"/>
      <c r="C331" s="84" t="s">
        <v>82</v>
      </c>
      <c r="D331" s="31" t="s">
        <v>66</v>
      </c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W331" s="6"/>
      <c r="X331" s="6"/>
      <c r="AE331" s="44"/>
      <c r="AF331" s="542">
        <f t="shared" ref="AF331:AN331" si="1099">((AF288*AF332)+(AF289*AF333))</f>
        <v>-3.0076159809509694E-2</v>
      </c>
      <c r="AG331" s="972">
        <f t="shared" si="1099"/>
        <v>-6.1299980092032719E-2</v>
      </c>
      <c r="AH331" s="443">
        <f t="shared" si="1099"/>
        <v>-4.5839286592753645E-2</v>
      </c>
      <c r="AI331" s="443">
        <f t="shared" si="1099"/>
        <v>6.5916768842897476E-3</v>
      </c>
      <c r="AJ331" s="443">
        <f t="shared" si="1099"/>
        <v>-2.6372849617055501E-2</v>
      </c>
      <c r="AK331" s="443">
        <f t="shared" si="1099"/>
        <v>-9.9837918696736305E-3</v>
      </c>
      <c r="AL331" s="443">
        <f t="shared" si="1099"/>
        <v>-3.8866959447413155E-2</v>
      </c>
      <c r="AM331" s="443">
        <f t="shared" si="1099"/>
        <v>-4.9486199974079137E-3</v>
      </c>
      <c r="AN331" s="443">
        <f t="shared" si="1099"/>
        <v>-2.1864219893606946E-2</v>
      </c>
      <c r="AO331" s="443">
        <f t="shared" ref="AO331:BR331" si="1100">((AO288*AO332)+(AO289*AO333))</f>
        <v>3.128333343233224E-3</v>
      </c>
      <c r="AP331" s="443">
        <f t="shared" si="1100"/>
        <v>0</v>
      </c>
      <c r="AQ331" s="443">
        <f t="shared" si="1100"/>
        <v>1.5309406983963689E-3</v>
      </c>
      <c r="AR331" s="443">
        <f t="shared" si="1100"/>
        <v>0</v>
      </c>
      <c r="AS331" s="443">
        <f t="shared" si="1100"/>
        <v>0</v>
      </c>
      <c r="AT331" s="443">
        <f t="shared" si="1100"/>
        <v>0</v>
      </c>
      <c r="AU331" s="443">
        <f t="shared" si="1100"/>
        <v>0</v>
      </c>
      <c r="AV331" s="443">
        <f t="shared" si="1100"/>
        <v>0</v>
      </c>
      <c r="AW331" s="443">
        <f t="shared" si="1100"/>
        <v>0</v>
      </c>
      <c r="AX331" s="443">
        <f t="shared" si="1100"/>
        <v>0</v>
      </c>
      <c r="AY331" s="443">
        <f t="shared" si="1100"/>
        <v>0</v>
      </c>
      <c r="AZ331" s="443">
        <f t="shared" si="1100"/>
        <v>0</v>
      </c>
      <c r="BA331" s="443">
        <f t="shared" si="1100"/>
        <v>0</v>
      </c>
      <c r="BB331" s="443">
        <f t="shared" si="1100"/>
        <v>0</v>
      </c>
      <c r="BC331" s="443">
        <f t="shared" si="1100"/>
        <v>0</v>
      </c>
      <c r="BD331" s="443">
        <f t="shared" si="1100"/>
        <v>0</v>
      </c>
      <c r="BE331" s="443">
        <f t="shared" si="1100"/>
        <v>0</v>
      </c>
      <c r="BF331" s="443">
        <f t="shared" si="1100"/>
        <v>0</v>
      </c>
      <c r="BG331" s="443">
        <f t="shared" si="1100"/>
        <v>0</v>
      </c>
      <c r="BH331" s="443">
        <f t="shared" si="1100"/>
        <v>0</v>
      </c>
      <c r="BI331" s="443">
        <f t="shared" si="1100"/>
        <v>0</v>
      </c>
      <c r="BJ331" s="443">
        <f t="shared" si="1100"/>
        <v>0</v>
      </c>
      <c r="BK331" s="443">
        <f t="shared" si="1100"/>
        <v>0</v>
      </c>
      <c r="BL331" s="443">
        <f t="shared" si="1100"/>
        <v>0</v>
      </c>
      <c r="BM331" s="443">
        <f t="shared" si="1100"/>
        <v>0</v>
      </c>
      <c r="BN331" s="443">
        <f t="shared" si="1100"/>
        <v>0</v>
      </c>
      <c r="BO331" s="443">
        <f t="shared" si="1100"/>
        <v>0</v>
      </c>
      <c r="BP331" s="443">
        <f t="shared" si="1100"/>
        <v>0</v>
      </c>
      <c r="BQ331" s="443">
        <f t="shared" si="1100"/>
        <v>0</v>
      </c>
      <c r="BR331" s="443">
        <f t="shared" si="1100"/>
        <v>0</v>
      </c>
    </row>
    <row r="332" spans="1:70" customFormat="1" ht="11.25" customHeight="1" outlineLevel="1">
      <c r="A332" s="208" t="s">
        <v>413</v>
      </c>
      <c r="B332" s="6"/>
      <c r="C332" s="93" t="s">
        <v>292</v>
      </c>
      <c r="D332" s="31" t="s">
        <v>66</v>
      </c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W332" s="6"/>
      <c r="X332" s="6"/>
      <c r="AE332" s="44"/>
      <c r="AF332" s="542">
        <f>CHOOSE($AG$1,AF404,AF443,AF482,AF521)</f>
        <v>-2.5149478174665563E-2</v>
      </c>
      <c r="AG332" s="972">
        <f>CHOOSE($AG$1,AG404,AG443,AG482,AG521)</f>
        <v>-8.1022802657658433E-2</v>
      </c>
      <c r="AH332" s="395">
        <f>AVERAGE(AF332,AG332)</f>
        <v>-5.3086140416161998E-2</v>
      </c>
      <c r="AI332" s="443">
        <f>CHOOSE($AG$1,AI404,AI443,AI482,AI521)</f>
        <v>1.8275605043364396E-3</v>
      </c>
      <c r="AJ332" s="443">
        <f>CHOOSE($AG$1,AJ404,AJ443,AJ482,AJ521)</f>
        <v>-4.1941912766373185E-2</v>
      </c>
      <c r="AK332" s="395">
        <f>AVERAGE(AI332,AJ332)</f>
        <v>-2.0057176131018373E-2</v>
      </c>
      <c r="AL332" s="443">
        <f>CHOOSE($AG$1,AL404,AL443,AL482,AL521)</f>
        <v>-2.8893262702654798E-2</v>
      </c>
      <c r="AM332" s="443">
        <f>CHOOSE($AG$1,AM404,AM443,AM482,AM521)</f>
        <v>1.0163834752675432E-2</v>
      </c>
      <c r="AN332" s="395">
        <f>AVERAGE(AL332,AM332)</f>
        <v>-9.3647139749896829E-3</v>
      </c>
      <c r="AO332" s="443">
        <f>CHOOSE($AG$1,AO404,AO443,AO482,AO521)</f>
        <v>6.9607686998990892E-3</v>
      </c>
      <c r="AP332" s="443">
        <f>CHOOSE($AG$1,AP404,AP443,AP482,AP521)</f>
        <v>0</v>
      </c>
      <c r="AQ332" s="395">
        <f>AVERAGE(AO332,AP332)</f>
        <v>3.4803843499495446E-3</v>
      </c>
      <c r="AR332" s="443">
        <f>CHOOSE($AG$1,AR404,AR443,AR482,AR521)</f>
        <v>0</v>
      </c>
      <c r="AS332" s="443">
        <f>CHOOSE($AG$1,AS404,AS443,AS482,AS521)</f>
        <v>0</v>
      </c>
      <c r="AT332" s="395">
        <f>AVERAGE(AR332,AS332)</f>
        <v>0</v>
      </c>
      <c r="AU332" s="443">
        <f>CHOOSE($AG$1,AU404,AU443,AU482,AU521)</f>
        <v>0</v>
      </c>
      <c r="AV332" s="443">
        <f>CHOOSE($AG$1,AV404,AV443,AV482,AV521)</f>
        <v>0</v>
      </c>
      <c r="AW332" s="395">
        <f>AVERAGE(AU332,AV332)</f>
        <v>0</v>
      </c>
      <c r="AX332" s="443">
        <f>CHOOSE($AG$1,AX404,AX443,AX482,AX521)</f>
        <v>0</v>
      </c>
      <c r="AY332" s="443">
        <f>CHOOSE($AG$1,AY404,AY443,AY482,AY521)</f>
        <v>0</v>
      </c>
      <c r="AZ332" s="395">
        <f>AVERAGE(AX332,AY332)</f>
        <v>0</v>
      </c>
      <c r="BA332" s="443">
        <f>CHOOSE($AG$1,BA404,BA443,BA482,BA521)</f>
        <v>0</v>
      </c>
      <c r="BB332" s="443">
        <f>CHOOSE($AG$1,BB404,BB443,BB482,BB521)</f>
        <v>0</v>
      </c>
      <c r="BC332" s="395">
        <f>AVERAGE(BA332,BB332)</f>
        <v>0</v>
      </c>
      <c r="BD332" s="443">
        <f>CHOOSE($AG$1,BD404,BD443,BD482,BD521)</f>
        <v>0</v>
      </c>
      <c r="BE332" s="443">
        <f>CHOOSE($AG$1,BE404,BE443,BE482,BE521)</f>
        <v>0</v>
      </c>
      <c r="BF332" s="395">
        <f>AVERAGE(BD332,BE332)</f>
        <v>0</v>
      </c>
      <c r="BG332" s="443">
        <f>CHOOSE($AG$1,BG404,BG443,BG482,BG521)</f>
        <v>0</v>
      </c>
      <c r="BH332" s="443">
        <f>CHOOSE($AG$1,BH404,BH443,BH482,BH521)</f>
        <v>0</v>
      </c>
      <c r="BI332" s="395">
        <f>AVERAGE(BG332,BH332)</f>
        <v>0</v>
      </c>
      <c r="BJ332" s="443">
        <f>CHOOSE($AG$1,BJ404,BJ443,BJ482,BJ521)</f>
        <v>0</v>
      </c>
      <c r="BK332" s="443">
        <f>CHOOSE($AG$1,BK404,BK443,BK482,BK521)</f>
        <v>0</v>
      </c>
      <c r="BL332" s="395">
        <f>AVERAGE(BJ332,BK332)</f>
        <v>0</v>
      </c>
      <c r="BM332" s="443">
        <f>CHOOSE($AG$1,BM404,BM443,BM482,BM521)</f>
        <v>0</v>
      </c>
      <c r="BN332" s="443">
        <f>CHOOSE($AG$1,BN404,BN443,BN482,BN521)</f>
        <v>0</v>
      </c>
      <c r="BO332" s="395">
        <f>AVERAGE(BM332,BN332)</f>
        <v>0</v>
      </c>
      <c r="BP332" s="443">
        <f>CHOOSE($AG$1,BP404,BP443,BP482,BP521)</f>
        <v>0</v>
      </c>
      <c r="BQ332" s="443">
        <f>CHOOSE($AG$1,BQ404,BQ443,BQ482,BQ521)</f>
        <v>0</v>
      </c>
      <c r="BR332" s="395">
        <f>AVERAGE(BP332,BQ332)</f>
        <v>0</v>
      </c>
    </row>
    <row r="333" spans="1:70" customFormat="1" ht="11.25" customHeight="1" outlineLevel="1">
      <c r="A333" s="208" t="s">
        <v>413</v>
      </c>
      <c r="B333" s="6"/>
      <c r="C333" s="93" t="s">
        <v>293</v>
      </c>
      <c r="D333" s="31" t="s">
        <v>66</v>
      </c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W333" s="6"/>
      <c r="X333" s="6"/>
      <c r="AE333" s="44"/>
      <c r="AF333" s="542">
        <f>CHOOSE($AG$1,AF405,AF444,AF483,AF522)</f>
        <v>-3.4368885008952438E-2</v>
      </c>
      <c r="AG333" s="972">
        <f>CHOOSE($AG$1,AG405,AG444,AG483,AG522)</f>
        <v>-4.4999237357340446E-2</v>
      </c>
      <c r="AH333" s="395">
        <f>AVERAGE(AF333,AG333)</f>
        <v>-3.9684061183146442E-2</v>
      </c>
      <c r="AI333" s="443">
        <f>CHOOSE($AG$1,AI405,AI444,AI483,AI522)</f>
        <v>1.0548120858596936E-2</v>
      </c>
      <c r="AJ333" s="443">
        <f>CHOOSE($AG$1,AJ405,AJ444,AJ483,AJ522)</f>
        <v>-1.4392653263837162E-2</v>
      </c>
      <c r="AK333" s="395">
        <f>AVERAGE(AI333,AJ333)</f>
        <v>-1.9222662026201131E-3</v>
      </c>
      <c r="AL333" s="443">
        <f>CHOOSE($AG$1,AL405,AL444,AL483,AL522)</f>
        <v>-4.6979487262121478E-2</v>
      </c>
      <c r="AM333" s="443">
        <f>CHOOSE($AG$1,AM405,AM444,AM483,AM522)</f>
        <v>-1.6380816967327277E-2</v>
      </c>
      <c r="AN333" s="395">
        <f>AVERAGE(AL333,AM333)</f>
        <v>-3.1680152114724379E-2</v>
      </c>
      <c r="AO333" s="443">
        <f>CHOOSE($AG$1,AO405,AO444,AO483,AO522)</f>
        <v>0</v>
      </c>
      <c r="AP333" s="443">
        <f>CHOOSE($AG$1,AP405,AP444,AP483,AP522)</f>
        <v>0</v>
      </c>
      <c r="AQ333" s="395">
        <f>AVERAGE(AO333,AP333)</f>
        <v>0</v>
      </c>
      <c r="AR333" s="443">
        <f>CHOOSE($AG$1,AR405,AR444,AR483,AR522)</f>
        <v>0</v>
      </c>
      <c r="AS333" s="443">
        <f>CHOOSE($AG$1,AS405,AS444,AS483,AS522)</f>
        <v>0</v>
      </c>
      <c r="AT333" s="395">
        <f>AVERAGE(AR333,AS333)</f>
        <v>0</v>
      </c>
      <c r="AU333" s="443">
        <f>CHOOSE($AG$1,AU405,AU444,AU483,AU522)</f>
        <v>0</v>
      </c>
      <c r="AV333" s="443">
        <f>CHOOSE($AG$1,AV405,AV444,AV483,AV522)</f>
        <v>0</v>
      </c>
      <c r="AW333" s="395">
        <f>AVERAGE(AU333,AV333)</f>
        <v>0</v>
      </c>
      <c r="AX333" s="443">
        <f>CHOOSE($AG$1,AX405,AX444,AX483,AX522)</f>
        <v>0</v>
      </c>
      <c r="AY333" s="443">
        <f>CHOOSE($AG$1,AY405,AY444,AY483,AY522)</f>
        <v>0</v>
      </c>
      <c r="AZ333" s="395">
        <f>AVERAGE(AX333,AY333)</f>
        <v>0</v>
      </c>
      <c r="BA333" s="443">
        <f>CHOOSE($AG$1,BA405,BA444,BA483,BA522)</f>
        <v>0</v>
      </c>
      <c r="BB333" s="443">
        <f>CHOOSE($AG$1,BB405,BB444,BB483,BB522)</f>
        <v>0</v>
      </c>
      <c r="BC333" s="395">
        <f>AVERAGE(BA333,BB333)</f>
        <v>0</v>
      </c>
      <c r="BD333" s="443">
        <f>CHOOSE($AG$1,BD405,BD444,BD483,BD522)</f>
        <v>0</v>
      </c>
      <c r="BE333" s="443">
        <f>CHOOSE($AG$1,BE405,BE444,BE483,BE522)</f>
        <v>0</v>
      </c>
      <c r="BF333" s="395">
        <f>AVERAGE(BD333,BE333)</f>
        <v>0</v>
      </c>
      <c r="BG333" s="443">
        <f>CHOOSE($AG$1,BG405,BG444,BG483,BG522)</f>
        <v>0</v>
      </c>
      <c r="BH333" s="443">
        <f>CHOOSE($AG$1,BH405,BH444,BH483,BH522)</f>
        <v>0</v>
      </c>
      <c r="BI333" s="395">
        <f>AVERAGE(BG333,BH333)</f>
        <v>0</v>
      </c>
      <c r="BJ333" s="443">
        <f>CHOOSE($AG$1,BJ405,BJ444,BJ483,BJ522)</f>
        <v>0</v>
      </c>
      <c r="BK333" s="443">
        <f>CHOOSE($AG$1,BK405,BK444,BK483,BK522)</f>
        <v>0</v>
      </c>
      <c r="BL333" s="395">
        <f>AVERAGE(BJ333,BK333)</f>
        <v>0</v>
      </c>
      <c r="BM333" s="443">
        <f>CHOOSE($AG$1,BM405,BM444,BM483,BM522)</f>
        <v>0</v>
      </c>
      <c r="BN333" s="443">
        <f>CHOOSE($AG$1,BN405,BN444,BN483,BN522)</f>
        <v>0</v>
      </c>
      <c r="BO333" s="395">
        <f>AVERAGE(BM333,BN333)</f>
        <v>0</v>
      </c>
      <c r="BP333" s="443">
        <f>CHOOSE($AG$1,BP405,BP444,BP483,BP522)</f>
        <v>0</v>
      </c>
      <c r="BQ333" s="443">
        <f>CHOOSE($AG$1,BQ405,BQ444,BQ483,BQ522)</f>
        <v>0</v>
      </c>
      <c r="BR333" s="395">
        <f>AVERAGE(BP333,BQ333)</f>
        <v>0</v>
      </c>
    </row>
    <row r="334" spans="1:70" outlineLevel="1">
      <c r="B334" s="451" t="s">
        <v>307</v>
      </c>
    </row>
    <row r="335" spans="1:70" outlineLevel="1">
      <c r="B335" s="451"/>
      <c r="C335" s="8" t="s">
        <v>708</v>
      </c>
    </row>
    <row r="336" spans="1:70" outlineLevel="1">
      <c r="B336" s="451"/>
      <c r="C336" s="684" t="s">
        <v>711</v>
      </c>
      <c r="D336" s="31" t="s">
        <v>66</v>
      </c>
      <c r="G336" s="565"/>
      <c r="H336" s="565"/>
      <c r="I336" s="565"/>
      <c r="J336" s="565"/>
      <c r="K336" s="686"/>
      <c r="L336" s="686"/>
      <c r="M336" s="686"/>
      <c r="N336" s="686"/>
      <c r="O336" s="686"/>
      <c r="P336" s="686"/>
      <c r="Q336" s="686"/>
      <c r="R336" s="686"/>
      <c r="S336" s="686"/>
      <c r="T336" s="343">
        <f t="shared" ref="T336:Y336" si="1101">+T536/T538</f>
        <v>0.31018402864518274</v>
      </c>
      <c r="U336" s="343">
        <f t="shared" si="1101"/>
        <v>0.32934711095630642</v>
      </c>
      <c r="V336" s="343">
        <f t="shared" si="1101"/>
        <v>0.32011553041699259</v>
      </c>
      <c r="W336" s="343">
        <f t="shared" si="1101"/>
        <v>0.32500207934791653</v>
      </c>
      <c r="X336" s="343">
        <f t="shared" si="1101"/>
        <v>0.36523404964184569</v>
      </c>
      <c r="Y336" s="343">
        <f t="shared" si="1101"/>
        <v>0.34510383286861707</v>
      </c>
      <c r="Z336" s="343">
        <f t="shared" ref="Z336:AB336" si="1102">+Z536/Z538</f>
        <v>0.34339481610130368</v>
      </c>
      <c r="AA336" s="343">
        <f t="shared" si="1102"/>
        <v>0.36826556152804563</v>
      </c>
      <c r="AB336" s="343">
        <f t="shared" si="1102"/>
        <v>0.35625975018306466</v>
      </c>
      <c r="AC336" s="343">
        <f t="shared" ref="AC336:AE336" si="1103">+AC536/AC538</f>
        <v>0.30815709969788518</v>
      </c>
      <c r="AD336" s="343">
        <f t="shared" si="1103"/>
        <v>0.32362459546925565</v>
      </c>
      <c r="AE336" s="343">
        <f t="shared" si="1103"/>
        <v>0.31603229527104959</v>
      </c>
      <c r="AF336" s="343">
        <f>+AF536/AF538</f>
        <v>0.2967306325515281</v>
      </c>
      <c r="AG336" s="960">
        <f t="shared" ref="AG336:AM336" si="1104">+AG536/AG538</f>
        <v>0.31870202198034331</v>
      </c>
      <c r="AH336" s="343">
        <f>+AH536/AH538</f>
        <v>0.30817782473351901</v>
      </c>
      <c r="AI336" s="343">
        <f>+AI536/AI538</f>
        <v>0.29657496956411572</v>
      </c>
      <c r="AJ336" s="343">
        <f t="shared" si="1104"/>
        <v>0.32226559217335582</v>
      </c>
      <c r="AK336" s="343">
        <f>+AK536/AK538</f>
        <v>0.31013771315086286</v>
      </c>
      <c r="AL336" s="343">
        <f>+AL536/AL538</f>
        <v>0.2884057263987414</v>
      </c>
      <c r="AM336" s="343">
        <f t="shared" si="1104"/>
        <v>0.31957394437566927</v>
      </c>
      <c r="AN336" s="343">
        <f>+AN536/AN538</f>
        <v>0.30467685138920692</v>
      </c>
      <c r="AO336" s="343">
        <f>+AO536/AO538</f>
        <v>0.29053707898784964</v>
      </c>
      <c r="AP336" s="343">
        <f t="shared" ref="AP336" si="1105">+AP536/AP538</f>
        <v>0.32035031734427361</v>
      </c>
      <c r="AQ336" s="343">
        <f>+AQ536/AQ538</f>
        <v>0.30607352416896505</v>
      </c>
      <c r="AR336" s="343">
        <f>+AR536/AR538</f>
        <v>0.2910262887268753</v>
      </c>
      <c r="AS336" s="343">
        <f t="shared" ref="AS336" si="1106">+AS536/AS538</f>
        <v>0.32081630540043582</v>
      </c>
      <c r="AT336" s="343">
        <f>+AT536/AT538</f>
        <v>0.30655409720478832</v>
      </c>
      <c r="AU336" s="343">
        <f>+AU536/AU538</f>
        <v>0.29150408176954029</v>
      </c>
      <c r="AV336" s="343">
        <f t="shared" ref="AV336" si="1107">+AV536/AV538</f>
        <v>0.32127182618350381</v>
      </c>
      <c r="AW336" s="343">
        <f>+AW536/AW538</f>
        <v>0.30702364902156998</v>
      </c>
      <c r="AX336" s="343">
        <f>+AX536/AX538</f>
        <v>0.29197016727014696</v>
      </c>
      <c r="AY336" s="343">
        <f t="shared" ref="AY336" si="1108">+AY536/AY538</f>
        <v>0.32171652699988657</v>
      </c>
      <c r="AZ336" s="343">
        <f>+AZ536/AZ538</f>
        <v>0.3074818576753065</v>
      </c>
      <c r="BA336" s="343">
        <f>+BA536/BA538</f>
        <v>0.29242423902918591</v>
      </c>
      <c r="BB336" s="343">
        <f t="shared" ref="BB336" si="1109">+BB536/BB538</f>
        <v>0.32215003873047937</v>
      </c>
      <c r="BC336" s="343">
        <f>+BC536/BC538</f>
        <v>0.30792838527549932</v>
      </c>
      <c r="BD336" s="343">
        <f>+BD536/BD538</f>
        <v>0.29286597599040221</v>
      </c>
      <c r="BE336" s="343">
        <f t="shared" ref="BE336" si="1110">+BE536/BE538</f>
        <v>0.32257197644335933</v>
      </c>
      <c r="BF336" s="343">
        <f>+BF536/BF538</f>
        <v>0.30836287854327904</v>
      </c>
      <c r="BG336" s="343">
        <f>+BG536/BG538</f>
        <v>0.29329504277951579</v>
      </c>
      <c r="BH336" s="343">
        <f t="shared" ref="BH336" si="1111">+BH536/BH538</f>
        <v>0.32298194004503711</v>
      </c>
      <c r="BI336" s="343">
        <f>+BI536/BI538</f>
        <v>0.30878496940972083</v>
      </c>
      <c r="BJ336" s="343">
        <f>+BJ536/BJ538</f>
        <v>0.29371109028324111</v>
      </c>
      <c r="BK336" s="343">
        <f t="shared" ref="BK336" si="1112">+BK536/BK538</f>
        <v>0.32337951496881789</v>
      </c>
      <c r="BL336" s="343">
        <f>+BL536/BL538</f>
        <v>0.30919427565293434</v>
      </c>
      <c r="BM336" s="343">
        <f>+BM536/BM538</f>
        <v>0.29411375626715003</v>
      </c>
      <c r="BN336" s="343">
        <f t="shared" ref="BN336" si="1113">+BN536/BN538</f>
        <v>0.32376427289873699</v>
      </c>
      <c r="BO336" s="343">
        <f>+BO536/BO538</f>
        <v>0.30959040157242146</v>
      </c>
      <c r="BP336" s="343">
        <f>+BP536/BP538</f>
        <v>0.2945026660308252</v>
      </c>
      <c r="BQ336" s="343">
        <f t="shared" ref="BQ336" si="1114">+BQ536/BQ538</f>
        <v>0.32413577252745696</v>
      </c>
      <c r="BR336" s="343">
        <f>+BR536/BR538</f>
        <v>0.30997293869910214</v>
      </c>
    </row>
    <row r="337" spans="1:70" outlineLevel="1">
      <c r="B337" s="451"/>
      <c r="C337" s="685" t="s">
        <v>709</v>
      </c>
      <c r="D337" s="31" t="s">
        <v>66</v>
      </c>
      <c r="G337" s="565"/>
      <c r="H337" s="565"/>
      <c r="I337" s="565"/>
      <c r="J337" s="565"/>
      <c r="K337" s="343">
        <f t="shared" ref="K337:Y337" si="1115">+K1282/(K1285-K1284)</f>
        <v>0.73125884016973131</v>
      </c>
      <c r="L337" s="343">
        <f t="shared" si="1115"/>
        <v>0.75148279952550412</v>
      </c>
      <c r="M337" s="343">
        <f t="shared" si="1115"/>
        <v>0.74225806451612908</v>
      </c>
      <c r="N337" s="343">
        <f t="shared" si="1115"/>
        <v>0.71639950678175091</v>
      </c>
      <c r="O337" s="343">
        <f t="shared" si="1115"/>
        <v>0.75215146299483648</v>
      </c>
      <c r="P337" s="343">
        <f t="shared" si="1115"/>
        <v>0.73491827637444285</v>
      </c>
      <c r="Q337" s="343">
        <f t="shared" si="1115"/>
        <v>0.70505992010652463</v>
      </c>
      <c r="R337" s="343">
        <f t="shared" si="1115"/>
        <v>0.73693586698337288</v>
      </c>
      <c r="S337" s="343">
        <f t="shared" si="1115"/>
        <v>0.72190834902699308</v>
      </c>
      <c r="T337" s="343">
        <f t="shared" si="1115"/>
        <v>0.68833780160857905</v>
      </c>
      <c r="U337" s="343">
        <f t="shared" si="1115"/>
        <v>0.72577803875513802</v>
      </c>
      <c r="V337" s="343">
        <f t="shared" si="1115"/>
        <v>0.70829420970266044</v>
      </c>
      <c r="W337" s="343">
        <f t="shared" si="1115"/>
        <v>0.6675191815856778</v>
      </c>
      <c r="X337" s="343">
        <f t="shared" si="1115"/>
        <v>0.68244013683010263</v>
      </c>
      <c r="Y337" s="343">
        <f t="shared" si="1115"/>
        <v>0.67540687160940327</v>
      </c>
      <c r="Z337" s="343">
        <f t="shared" ref="Z337:AB337" si="1116">+Z1282/(Z1285-Z1284)</f>
        <v>0.68181818181818177</v>
      </c>
      <c r="AA337" s="343">
        <f t="shared" si="1116"/>
        <v>0.64178272980501394</v>
      </c>
      <c r="AB337" s="343">
        <f t="shared" si="1116"/>
        <v>0.66041108132260951</v>
      </c>
      <c r="AC337" s="343">
        <f t="shared" ref="AC337:AE337" si="1117">+AC1282/(AC1285-AC1284)</f>
        <v>0.80464778503994194</v>
      </c>
      <c r="AD337" s="343">
        <f t="shared" si="1117"/>
        <v>0.83466666666666667</v>
      </c>
      <c r="AE337" s="343">
        <f t="shared" si="1117"/>
        <v>0.82029892248870351</v>
      </c>
      <c r="AF337" s="343">
        <f>+AF1282/(AF1285-AF1284)</f>
        <v>0.79116766467065869</v>
      </c>
      <c r="AG337" s="960">
        <f t="shared" ref="AG337:AN337" si="1118">+AG1282/(AG1285-AG1284)</f>
        <v>0.83350333035163393</v>
      </c>
      <c r="AH337" s="343">
        <f t="shared" si="1118"/>
        <v>0.8139779794605202</v>
      </c>
      <c r="AI337" s="343">
        <f t="shared" si="1118"/>
        <v>0.78462032989901132</v>
      </c>
      <c r="AJ337" s="343">
        <f t="shared" si="1118"/>
        <v>0.83158317824743933</v>
      </c>
      <c r="AK337" s="343">
        <f t="shared" si="1118"/>
        <v>0.81038275309008123</v>
      </c>
      <c r="AL337" s="343">
        <f t="shared" si="1118"/>
        <v>0.77042547628107649</v>
      </c>
      <c r="AM337" s="343">
        <f t="shared" si="1118"/>
        <v>0.82272477716634895</v>
      </c>
      <c r="AN337" s="343">
        <f t="shared" si="1118"/>
        <v>0.79906286379952907</v>
      </c>
      <c r="AO337" s="343">
        <f t="shared" ref="AO337:BR337" si="1119">+AO1282/(AO1285-AO1284)</f>
        <v>0.76620258722155143</v>
      </c>
      <c r="AP337" s="343">
        <f t="shared" si="1119"/>
        <v>0.82014455743550374</v>
      </c>
      <c r="AQ337" s="343">
        <f t="shared" si="1119"/>
        <v>0.79562435098522233</v>
      </c>
      <c r="AR337" s="343">
        <f t="shared" si="1119"/>
        <v>0.76279104911934814</v>
      </c>
      <c r="AS337" s="343">
        <f t="shared" si="1119"/>
        <v>0.81756341591426251</v>
      </c>
      <c r="AT337" s="343">
        <f t="shared" si="1119"/>
        <v>0.79266896054079117</v>
      </c>
      <c r="AU337" s="343">
        <f t="shared" si="1119"/>
        <v>0.75937906795268251</v>
      </c>
      <c r="AV337" s="343">
        <f t="shared" si="1119"/>
        <v>0.81498217657333194</v>
      </c>
      <c r="AW337" s="343">
        <f t="shared" si="1119"/>
        <v>0.78971333909794472</v>
      </c>
      <c r="AX337" s="343">
        <f t="shared" si="1119"/>
        <v>0.75596777837532037</v>
      </c>
      <c r="AY337" s="343">
        <f t="shared" si="1119"/>
        <v>0.8124016559899454</v>
      </c>
      <c r="AZ337" s="343">
        <f t="shared" si="1119"/>
        <v>0.78675844347169377</v>
      </c>
      <c r="BA337" s="343">
        <f t="shared" si="1119"/>
        <v>0.75255830483451525</v>
      </c>
      <c r="BB337" s="343">
        <f t="shared" si="1119"/>
        <v>0.8098226622859287</v>
      </c>
      <c r="BC337" s="343">
        <f t="shared" si="1119"/>
        <v>0.78380522116093509</v>
      </c>
      <c r="BD337" s="343">
        <f t="shared" si="1119"/>
        <v>0.74915176006894302</v>
      </c>
      <c r="BE337" s="343">
        <f t="shared" si="1119"/>
        <v>0.80724599409934039</v>
      </c>
      <c r="BF337" s="343">
        <f t="shared" si="1119"/>
        <v>0.78085460911520965</v>
      </c>
      <c r="BG337" s="343">
        <f t="shared" si="1119"/>
        <v>0.74574924365334117</v>
      </c>
      <c r="BH337" s="343">
        <f t="shared" si="1119"/>
        <v>0.80467243959216406</v>
      </c>
      <c r="BI337" s="343">
        <f t="shared" si="1119"/>
        <v>0.77790753254245049</v>
      </c>
      <c r="BJ337" s="343">
        <f t="shared" si="1119"/>
        <v>0.74235184059349635</v>
      </c>
      <c r="BK337" s="343">
        <f t="shared" si="1119"/>
        <v>0.80210277549633269</v>
      </c>
      <c r="BL337" s="343">
        <f t="shared" si="1119"/>
        <v>0.77496490376057059</v>
      </c>
      <c r="BM337" s="343">
        <f t="shared" si="1119"/>
        <v>0.73896061997494522</v>
      </c>
      <c r="BN337" s="343">
        <f t="shared" si="1119"/>
        <v>0.79953776620016404</v>
      </c>
      <c r="BO337" s="343">
        <f t="shared" si="1119"/>
        <v>0.77202762109551204</v>
      </c>
      <c r="BP337" s="343">
        <f t="shared" si="1119"/>
        <v>0.73557663366846571</v>
      </c>
      <c r="BQ337" s="343">
        <f t="shared" si="1119"/>
        <v>0.79697816287707657</v>
      </c>
      <c r="BR337" s="343">
        <f t="shared" si="1119"/>
        <v>0.7690965678281273</v>
      </c>
    </row>
    <row r="338" spans="1:70" outlineLevel="1">
      <c r="B338" s="451"/>
      <c r="C338" s="108" t="s">
        <v>710</v>
      </c>
      <c r="D338" s="31" t="s">
        <v>66</v>
      </c>
      <c r="G338" s="565"/>
      <c r="H338" s="565"/>
      <c r="I338" s="565"/>
      <c r="J338" s="565"/>
      <c r="K338" s="343">
        <f t="shared" ref="K338:Y338" si="1120">+K1283/(K1285-K1284)</f>
        <v>0.26874115983026875</v>
      </c>
      <c r="L338" s="343">
        <f t="shared" si="1120"/>
        <v>0.24851720047449585</v>
      </c>
      <c r="M338" s="343">
        <f t="shared" si="1120"/>
        <v>0.25774193548387098</v>
      </c>
      <c r="N338" s="343">
        <f t="shared" si="1120"/>
        <v>0.28360049321824909</v>
      </c>
      <c r="O338" s="343">
        <f t="shared" si="1120"/>
        <v>0.24784853700516352</v>
      </c>
      <c r="P338" s="343">
        <f t="shared" si="1120"/>
        <v>0.26508172362555721</v>
      </c>
      <c r="Q338" s="343">
        <f t="shared" si="1120"/>
        <v>0.29494007989347537</v>
      </c>
      <c r="R338" s="343">
        <f t="shared" si="1120"/>
        <v>0.26306413301662707</v>
      </c>
      <c r="S338" s="343">
        <f t="shared" si="1120"/>
        <v>0.27809165097300692</v>
      </c>
      <c r="T338" s="343">
        <f t="shared" si="1120"/>
        <v>0.3116621983914209</v>
      </c>
      <c r="U338" s="343">
        <f t="shared" si="1120"/>
        <v>0.27422196124486203</v>
      </c>
      <c r="V338" s="343">
        <f t="shared" si="1120"/>
        <v>0.29170579029733962</v>
      </c>
      <c r="W338" s="343">
        <f t="shared" si="1120"/>
        <v>0.33248081841432225</v>
      </c>
      <c r="X338" s="343">
        <f t="shared" si="1120"/>
        <v>0.31755986316989737</v>
      </c>
      <c r="Y338" s="343">
        <f t="shared" si="1120"/>
        <v>0.32459312839059673</v>
      </c>
      <c r="Z338" s="343">
        <f t="shared" ref="Z338:AB338" si="1121">+Z1283/(Z1285-Z1284)</f>
        <v>0.31818181818181818</v>
      </c>
      <c r="AA338" s="343">
        <f t="shared" si="1121"/>
        <v>0.35821727019498606</v>
      </c>
      <c r="AB338" s="343">
        <f t="shared" si="1121"/>
        <v>0.33958891867739055</v>
      </c>
      <c r="AC338" s="343">
        <f t="shared" ref="AC338:AE338" si="1122">+AC1283/(AC1285-AC1284)</f>
        <v>0.19535221496005808</v>
      </c>
      <c r="AD338" s="343">
        <f t="shared" si="1122"/>
        <v>0.16533333333333333</v>
      </c>
      <c r="AE338" s="343">
        <f t="shared" si="1122"/>
        <v>0.17970107751129649</v>
      </c>
      <c r="AF338" s="343">
        <f>+AF1283/(AF1285-AF1284)</f>
        <v>0.20883233532934131</v>
      </c>
      <c r="AG338" s="960">
        <f t="shared" ref="AG338:AN338" si="1123">+AG1283/(AG1285-AG1284)</f>
        <v>0.16649666964836607</v>
      </c>
      <c r="AH338" s="343">
        <f t="shared" si="1123"/>
        <v>0.18602202053947969</v>
      </c>
      <c r="AI338" s="343">
        <f t="shared" si="1123"/>
        <v>0.21537967010098874</v>
      </c>
      <c r="AJ338" s="343">
        <f t="shared" si="1123"/>
        <v>0.1684168217525607</v>
      </c>
      <c r="AK338" s="343">
        <f t="shared" si="1123"/>
        <v>0.18961724690991869</v>
      </c>
      <c r="AL338" s="343">
        <f t="shared" si="1123"/>
        <v>0.22957452371892342</v>
      </c>
      <c r="AM338" s="343">
        <f t="shared" si="1123"/>
        <v>0.17727522283365107</v>
      </c>
      <c r="AN338" s="343">
        <f t="shared" si="1123"/>
        <v>0.20093713620047091</v>
      </c>
      <c r="AO338" s="343">
        <f t="shared" ref="AO338:BR338" si="1124">+AO1283/(AO1285-AO1284)</f>
        <v>0.23379741277844854</v>
      </c>
      <c r="AP338" s="343">
        <f t="shared" si="1124"/>
        <v>0.17985544256449629</v>
      </c>
      <c r="AQ338" s="343">
        <f t="shared" si="1124"/>
        <v>0.20437564901477759</v>
      </c>
      <c r="AR338" s="343">
        <f t="shared" si="1124"/>
        <v>0.23720895088065186</v>
      </c>
      <c r="AS338" s="343">
        <f t="shared" si="1124"/>
        <v>0.18243658408573743</v>
      </c>
      <c r="AT338" s="343">
        <f t="shared" si="1124"/>
        <v>0.20733103945920886</v>
      </c>
      <c r="AU338" s="343">
        <f t="shared" si="1124"/>
        <v>0.2406209320473176</v>
      </c>
      <c r="AV338" s="343">
        <f t="shared" si="1124"/>
        <v>0.18501782342666809</v>
      </c>
      <c r="AW338" s="343">
        <f t="shared" si="1124"/>
        <v>0.21028666090205531</v>
      </c>
      <c r="AX338" s="343">
        <f t="shared" si="1124"/>
        <v>0.24403222162467961</v>
      </c>
      <c r="AY338" s="343">
        <f t="shared" si="1124"/>
        <v>0.1875983440100546</v>
      </c>
      <c r="AZ338" s="343">
        <f t="shared" si="1124"/>
        <v>0.2132415565283062</v>
      </c>
      <c r="BA338" s="343">
        <f t="shared" si="1124"/>
        <v>0.24744169516548467</v>
      </c>
      <c r="BB338" s="343">
        <f t="shared" si="1124"/>
        <v>0.1901773377140713</v>
      </c>
      <c r="BC338" s="343">
        <f t="shared" si="1124"/>
        <v>0.21619477883906493</v>
      </c>
      <c r="BD338" s="343">
        <f t="shared" si="1124"/>
        <v>0.25084823993105698</v>
      </c>
      <c r="BE338" s="343">
        <f t="shared" si="1124"/>
        <v>0.19275400590065961</v>
      </c>
      <c r="BF338" s="343">
        <f t="shared" si="1124"/>
        <v>0.21914539088479029</v>
      </c>
      <c r="BG338" s="343">
        <f t="shared" si="1124"/>
        <v>0.25425075634665889</v>
      </c>
      <c r="BH338" s="343">
        <f t="shared" si="1124"/>
        <v>0.19532756040783594</v>
      </c>
      <c r="BI338" s="343">
        <f t="shared" si="1124"/>
        <v>0.22209246745754949</v>
      </c>
      <c r="BJ338" s="343">
        <f t="shared" si="1124"/>
        <v>0.2576481594065036</v>
      </c>
      <c r="BK338" s="343">
        <f t="shared" si="1124"/>
        <v>0.19789722450366731</v>
      </c>
      <c r="BL338" s="343">
        <f t="shared" si="1124"/>
        <v>0.22503509623942941</v>
      </c>
      <c r="BM338" s="343">
        <f t="shared" si="1124"/>
        <v>0.26103938002505472</v>
      </c>
      <c r="BN338" s="343">
        <f t="shared" si="1124"/>
        <v>0.20046223379983599</v>
      </c>
      <c r="BO338" s="343">
        <f t="shared" si="1124"/>
        <v>0.22797237890448799</v>
      </c>
      <c r="BP338" s="343">
        <f t="shared" si="1124"/>
        <v>0.26442336633153429</v>
      </c>
      <c r="BQ338" s="343">
        <f t="shared" si="1124"/>
        <v>0.20302183712292349</v>
      </c>
      <c r="BR338" s="343">
        <f t="shared" si="1124"/>
        <v>0.23090343217187276</v>
      </c>
    </row>
    <row r="339" spans="1:70" outlineLevel="1">
      <c r="B339" s="5"/>
      <c r="C339" s="102" t="s">
        <v>59</v>
      </c>
    </row>
    <row r="340" spans="1:70" outlineLevel="1">
      <c r="C340" s="467" t="s">
        <v>409</v>
      </c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</row>
    <row r="341" spans="1:70" outlineLevel="1">
      <c r="C341" s="108" t="s">
        <v>60</v>
      </c>
      <c r="D341" s="31" t="s">
        <v>66</v>
      </c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S341" s="349">
        <v>-7.5999999999999998E-2</v>
      </c>
      <c r="T341" s="349"/>
      <c r="U341" s="349"/>
      <c r="V341" s="673">
        <v>0</v>
      </c>
      <c r="W341" s="349">
        <v>7.0000000000000001E-3</v>
      </c>
      <c r="X341" s="350">
        <f>Y341*2-W341</f>
        <v>2.8999999999999998E-2</v>
      </c>
      <c r="Y341" s="349">
        <v>1.7999999999999999E-2</v>
      </c>
      <c r="Z341" s="349">
        <v>0.11</v>
      </c>
      <c r="AA341" s="350">
        <f>AB341*2-Z341</f>
        <v>6.0000000000000012E-2</v>
      </c>
      <c r="AB341" s="349">
        <v>8.5000000000000006E-2</v>
      </c>
      <c r="AC341" s="349">
        <v>0</v>
      </c>
      <c r="AD341" s="350">
        <f>AE341*2-AC341</f>
        <v>-0.02</v>
      </c>
      <c r="AE341" s="450">
        <v>-0.01</v>
      </c>
      <c r="AF341" s="429">
        <f>AF342+AF343</f>
        <v>-1.4319999999999999E-2</v>
      </c>
      <c r="AG341" s="974">
        <f>AG342+AG343</f>
        <v>-3.4999999999999962E-3</v>
      </c>
      <c r="AH341" s="20">
        <f>AH1210/AE1210-1</f>
        <v>-8.9057941412128194E-2</v>
      </c>
      <c r="AI341" s="63">
        <f>AI342+AI343</f>
        <v>7.3400000000000028E-3</v>
      </c>
      <c r="AJ341" s="63">
        <f>AJ342+AJ343</f>
        <v>4.9200000000000008E-3</v>
      </c>
      <c r="AK341" s="20">
        <f>AK1210/AH1210-1</f>
        <v>2.0677782230187791E-2</v>
      </c>
      <c r="AL341" s="63">
        <f>AL342+AL343</f>
        <v>3.0000000000000027E-3</v>
      </c>
      <c r="AM341" s="63">
        <f>AM342+AM343</f>
        <v>-2.919999999999999E-3</v>
      </c>
      <c r="AN341" s="20">
        <f>AN1210/AK1210-1</f>
        <v>4.0809655395828148E-3</v>
      </c>
      <c r="AO341" s="63">
        <f>AO342+AO343</f>
        <v>-2.919999999999999E-3</v>
      </c>
      <c r="AP341" s="63">
        <f>AP342+AP343</f>
        <v>-2.919999999999999E-3</v>
      </c>
      <c r="AQ341" s="20">
        <f>AQ1210/AN1210-1</f>
        <v>7.5811405106795959E-4</v>
      </c>
      <c r="AR341" s="63">
        <f>AR342+AR343</f>
        <v>-2.919999999999999E-3</v>
      </c>
      <c r="AS341" s="63">
        <f>AS342+AS343</f>
        <v>-2.919999999999999E-3</v>
      </c>
      <c r="AT341" s="20">
        <f>AT1210/AQ1210-1</f>
        <v>-2.9200000000001447E-3</v>
      </c>
      <c r="AU341" s="63">
        <f>AU342+AU343</f>
        <v>-2.919999999999999E-3</v>
      </c>
      <c r="AV341" s="63">
        <f>AV342+AV343</f>
        <v>-2.919999999999999E-3</v>
      </c>
      <c r="AW341" s="20">
        <f>AW1210/AT1210-1</f>
        <v>-2.9200000000000337E-3</v>
      </c>
      <c r="AX341" s="63">
        <f>AX342+AX343</f>
        <v>-2.919999999999999E-3</v>
      </c>
      <c r="AY341" s="63">
        <f>AY342+AY343</f>
        <v>-2.919999999999999E-3</v>
      </c>
      <c r="AZ341" s="20">
        <f>AZ1210/AW1210-1</f>
        <v>-2.9200000000000337E-3</v>
      </c>
      <c r="BA341" s="63">
        <f>BA342+BA343</f>
        <v>-2.919999999999999E-3</v>
      </c>
      <c r="BB341" s="63">
        <f>BB342+BB343</f>
        <v>-2.919999999999999E-3</v>
      </c>
      <c r="BC341" s="20">
        <f>BC1210/AZ1210-1</f>
        <v>-2.9200000000001447E-3</v>
      </c>
      <c r="BD341" s="63">
        <f>BD342+BD343</f>
        <v>-2.919999999999999E-3</v>
      </c>
      <c r="BE341" s="63">
        <f>BE342+BE343</f>
        <v>-2.919999999999999E-3</v>
      </c>
      <c r="BF341" s="20">
        <f>BF1210/BC1210-1</f>
        <v>-2.9200000000000337E-3</v>
      </c>
      <c r="BG341" s="63">
        <f>BG342+BG343</f>
        <v>-2.919999999999999E-3</v>
      </c>
      <c r="BH341" s="63">
        <f>BH342+BH343</f>
        <v>-2.919999999999999E-3</v>
      </c>
      <c r="BI341" s="20">
        <f>BI1210/BF1210-1</f>
        <v>-2.9199999999999227E-3</v>
      </c>
      <c r="BJ341" s="63">
        <f>BJ342+BJ343</f>
        <v>-2.919999999999999E-3</v>
      </c>
      <c r="BK341" s="63">
        <f>BK342+BK343</f>
        <v>-2.919999999999999E-3</v>
      </c>
      <c r="BL341" s="20">
        <f>BL1210/BI1210-1</f>
        <v>-2.9200000000001447E-3</v>
      </c>
      <c r="BM341" s="63">
        <f>BM342+BM343</f>
        <v>-2.919999999999999E-3</v>
      </c>
      <c r="BN341" s="63">
        <f>BN342+BN343</f>
        <v>-2.919999999999999E-3</v>
      </c>
      <c r="BO341" s="20">
        <f>BO1210/BL1210-1</f>
        <v>-2.9199999999999227E-3</v>
      </c>
      <c r="BP341" s="63">
        <f>BP342+BP343</f>
        <v>-2.919999999999999E-3</v>
      </c>
      <c r="BQ341" s="63">
        <f>BQ342+BQ343</f>
        <v>-2.919999999999999E-3</v>
      </c>
      <c r="BR341" s="20">
        <f>BR1210/BO1210-1</f>
        <v>-2.9200000000000337E-3</v>
      </c>
    </row>
    <row r="342" spans="1:70" outlineLevel="1">
      <c r="A342" s="208" t="s">
        <v>413</v>
      </c>
      <c r="C342" s="384" t="s">
        <v>536</v>
      </c>
      <c r="D342" s="31" t="s">
        <v>66</v>
      </c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0"/>
      <c r="Q342" s="94"/>
      <c r="R342" s="94"/>
      <c r="S342" s="349"/>
      <c r="T342" s="349"/>
      <c r="U342" s="349"/>
      <c r="V342" s="349"/>
      <c r="W342" s="349"/>
      <c r="X342" s="350"/>
      <c r="Y342" s="349"/>
      <c r="Z342" s="349"/>
      <c r="AA342" s="350"/>
      <c r="AB342" s="349"/>
      <c r="AC342" s="349"/>
      <c r="AD342" s="350"/>
      <c r="AE342" s="831"/>
      <c r="AF342" s="542">
        <f>CHOOSE($AG$1,AF409,AF448,AF487,AF526)</f>
        <v>2.5680000000000001E-2</v>
      </c>
      <c r="AG342" s="972">
        <f>CHOOSE($AG$1,AG409,AG448,AG487,AG526)</f>
        <v>2.6500000000000003E-2</v>
      </c>
      <c r="AH342" s="396">
        <f>AVERAGE(AF342,AG342)</f>
        <v>2.6090000000000002E-2</v>
      </c>
      <c r="AI342" s="443">
        <f>CHOOSE($AG$1,AI409,AI448,AI487,AI526)</f>
        <v>2.2340000000000002E-2</v>
      </c>
      <c r="AJ342" s="443">
        <f>CHOOSE($AG$1,AJ409,AJ448,AJ487,AJ526)</f>
        <v>1.992E-2</v>
      </c>
      <c r="AK342" s="396">
        <f>AVERAGE(AI342,AJ342)</f>
        <v>2.1130000000000003E-2</v>
      </c>
      <c r="AL342" s="443">
        <f>CHOOSE($AG$1,AL409,AL448,AL487,AL526)</f>
        <v>1.8000000000000002E-2</v>
      </c>
      <c r="AM342" s="443">
        <f>CHOOSE($AG$1,AM409,AM448,AM487,AM526)</f>
        <v>1.208E-2</v>
      </c>
      <c r="AN342" s="396">
        <f>AVERAGE(AL342,AM342)</f>
        <v>1.5040000000000001E-2</v>
      </c>
      <c r="AO342" s="443">
        <f>CHOOSE($AG$1,AO409,AO448,AO487,AO526)</f>
        <v>1.208E-2</v>
      </c>
      <c r="AP342" s="443">
        <f>CHOOSE($AG$1,AP409,AP448,AP487,AP526)</f>
        <v>1.208E-2</v>
      </c>
      <c r="AQ342" s="396">
        <f>AVERAGE(AO342,AP342)</f>
        <v>1.208E-2</v>
      </c>
      <c r="AR342" s="443">
        <f>CHOOSE($AG$1,AR409,AR448,AR487,AR526)</f>
        <v>1.208E-2</v>
      </c>
      <c r="AS342" s="443">
        <f>CHOOSE($AG$1,AS409,AS448,AS487,AS526)</f>
        <v>1.208E-2</v>
      </c>
      <c r="AT342" s="396">
        <f>AVERAGE(AR342,AS342)</f>
        <v>1.208E-2</v>
      </c>
      <c r="AU342" s="443">
        <f>CHOOSE($AG$1,AU409,AU448,AU487,AU526)</f>
        <v>1.208E-2</v>
      </c>
      <c r="AV342" s="443">
        <f>CHOOSE($AG$1,AV409,AV448,AV487,AV526)</f>
        <v>1.208E-2</v>
      </c>
      <c r="AW342" s="396">
        <f>AVERAGE(AU342,AV342)</f>
        <v>1.208E-2</v>
      </c>
      <c r="AX342" s="443">
        <f>CHOOSE($AG$1,AX409,AX448,AX487,AX526)</f>
        <v>1.208E-2</v>
      </c>
      <c r="AY342" s="443">
        <f>CHOOSE($AG$1,AY409,AY448,AY487,AY526)</f>
        <v>1.208E-2</v>
      </c>
      <c r="AZ342" s="396">
        <f>AVERAGE(AX342,AY342)</f>
        <v>1.208E-2</v>
      </c>
      <c r="BA342" s="443">
        <f>CHOOSE($AG$1,BA409,BA448,BA487,BA526)</f>
        <v>1.208E-2</v>
      </c>
      <c r="BB342" s="443">
        <f>CHOOSE($AG$1,BB409,BB448,BB487,BB526)</f>
        <v>1.208E-2</v>
      </c>
      <c r="BC342" s="396">
        <f>AVERAGE(BA342,BB342)</f>
        <v>1.208E-2</v>
      </c>
      <c r="BD342" s="443">
        <f>CHOOSE($AG$1,BD409,BD448,BD487,BD526)</f>
        <v>1.208E-2</v>
      </c>
      <c r="BE342" s="443">
        <f>CHOOSE($AG$1,BE409,BE448,BE487,BE526)</f>
        <v>1.208E-2</v>
      </c>
      <c r="BF342" s="396">
        <f>AVERAGE(BD342,BE342)</f>
        <v>1.208E-2</v>
      </c>
      <c r="BG342" s="443">
        <f>CHOOSE($AG$1,BG409,BG448,BG487,BG526)</f>
        <v>1.208E-2</v>
      </c>
      <c r="BH342" s="443">
        <f>CHOOSE($AG$1,BH409,BH448,BH487,BH526)</f>
        <v>1.208E-2</v>
      </c>
      <c r="BI342" s="396">
        <f>AVERAGE(BG342,BH342)</f>
        <v>1.208E-2</v>
      </c>
      <c r="BJ342" s="443">
        <f>CHOOSE($AG$1,BJ409,BJ448,BJ487,BJ526)</f>
        <v>1.208E-2</v>
      </c>
      <c r="BK342" s="443">
        <f>CHOOSE($AG$1,BK409,BK448,BK487,BK526)</f>
        <v>1.208E-2</v>
      </c>
      <c r="BL342" s="396">
        <f>AVERAGE(BJ342,BK342)</f>
        <v>1.208E-2</v>
      </c>
      <c r="BM342" s="443">
        <f>CHOOSE($AG$1,BM409,BM448,BM487,BM526)</f>
        <v>1.208E-2</v>
      </c>
      <c r="BN342" s="443">
        <f>CHOOSE($AG$1,BN409,BN448,BN487,BN526)</f>
        <v>1.208E-2</v>
      </c>
      <c r="BO342" s="396">
        <f>AVERAGE(BM342,BN342)</f>
        <v>1.208E-2</v>
      </c>
      <c r="BP342" s="443">
        <f>CHOOSE($AG$1,BP409,BP448,BP487,BP526)</f>
        <v>1.208E-2</v>
      </c>
      <c r="BQ342" s="443">
        <f>CHOOSE($AG$1,BQ409,BQ448,BQ487,BQ526)</f>
        <v>1.208E-2</v>
      </c>
      <c r="BR342" s="396">
        <f>AVERAGE(BP342,BQ342)</f>
        <v>1.208E-2</v>
      </c>
    </row>
    <row r="343" spans="1:70" outlineLevel="1">
      <c r="C343" s="384" t="s">
        <v>535</v>
      </c>
      <c r="D343" s="31" t="s">
        <v>66</v>
      </c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0"/>
      <c r="Q343" s="30"/>
      <c r="R343" s="30"/>
      <c r="S343" s="351"/>
      <c r="T343" s="351"/>
      <c r="U343" s="351"/>
      <c r="V343" s="351"/>
      <c r="W343" s="351"/>
      <c r="X343" s="351"/>
      <c r="Y343" s="351"/>
      <c r="Z343" s="351"/>
      <c r="AA343" s="351"/>
      <c r="AB343" s="351"/>
      <c r="AC343" s="351"/>
      <c r="AD343" s="351"/>
      <c r="AE343" s="426"/>
      <c r="AF343" s="591">
        <v>-0.04</v>
      </c>
      <c r="AG343" s="975">
        <v>-0.03</v>
      </c>
      <c r="AH343" s="63">
        <f>AVERAGE(AF343,AG343)</f>
        <v>-3.5000000000000003E-2</v>
      </c>
      <c r="AI343" s="134">
        <v>-1.4999999999999999E-2</v>
      </c>
      <c r="AJ343" s="134">
        <v>-1.4999999999999999E-2</v>
      </c>
      <c r="AK343" s="63">
        <f>AVERAGE(AI343,AJ343)</f>
        <v>-1.4999999999999999E-2</v>
      </c>
      <c r="AL343" s="134">
        <v>-1.4999999999999999E-2</v>
      </c>
      <c r="AM343" s="134">
        <v>-1.4999999999999999E-2</v>
      </c>
      <c r="AN343" s="63">
        <f>AVERAGE(AL343,AM343)</f>
        <v>-1.4999999999999999E-2</v>
      </c>
      <c r="AO343" s="134">
        <v>-1.4999999999999999E-2</v>
      </c>
      <c r="AP343" s="134">
        <v>-1.4999999999999999E-2</v>
      </c>
      <c r="AQ343" s="63">
        <f>AVERAGE(AO343,AP343)</f>
        <v>-1.4999999999999999E-2</v>
      </c>
      <c r="AR343" s="134">
        <v>-1.4999999999999999E-2</v>
      </c>
      <c r="AS343" s="134">
        <v>-1.4999999999999999E-2</v>
      </c>
      <c r="AT343" s="63">
        <f>AVERAGE(AR343,AS343)</f>
        <v>-1.4999999999999999E-2</v>
      </c>
      <c r="AU343" s="134">
        <v>-1.4999999999999999E-2</v>
      </c>
      <c r="AV343" s="134">
        <v>-1.4999999999999999E-2</v>
      </c>
      <c r="AW343" s="63">
        <f>AVERAGE(AU343,AV343)</f>
        <v>-1.4999999999999999E-2</v>
      </c>
      <c r="AX343" s="134">
        <v>-1.4999999999999999E-2</v>
      </c>
      <c r="AY343" s="134">
        <v>-1.4999999999999999E-2</v>
      </c>
      <c r="AZ343" s="63">
        <f>AVERAGE(AX343,AY343)</f>
        <v>-1.4999999999999999E-2</v>
      </c>
      <c r="BA343" s="134">
        <v>-1.4999999999999999E-2</v>
      </c>
      <c r="BB343" s="134">
        <v>-1.4999999999999999E-2</v>
      </c>
      <c r="BC343" s="63">
        <f>AVERAGE(BA343,BB343)</f>
        <v>-1.4999999999999999E-2</v>
      </c>
      <c r="BD343" s="134">
        <v>-1.4999999999999999E-2</v>
      </c>
      <c r="BE343" s="134">
        <v>-1.4999999999999999E-2</v>
      </c>
      <c r="BF343" s="63">
        <f>AVERAGE(BD343,BE343)</f>
        <v>-1.4999999999999999E-2</v>
      </c>
      <c r="BG343" s="134">
        <v>-1.4999999999999999E-2</v>
      </c>
      <c r="BH343" s="134">
        <v>-1.4999999999999999E-2</v>
      </c>
      <c r="BI343" s="63">
        <f>AVERAGE(BG343,BH343)</f>
        <v>-1.4999999999999999E-2</v>
      </c>
      <c r="BJ343" s="134">
        <v>-1.4999999999999999E-2</v>
      </c>
      <c r="BK343" s="134">
        <v>-1.4999999999999999E-2</v>
      </c>
      <c r="BL343" s="63">
        <f>AVERAGE(BJ343,BK343)</f>
        <v>-1.4999999999999999E-2</v>
      </c>
      <c r="BM343" s="134">
        <v>-1.4999999999999999E-2</v>
      </c>
      <c r="BN343" s="134">
        <v>-1.4999999999999999E-2</v>
      </c>
      <c r="BO343" s="63">
        <f>AVERAGE(BM343,BN343)</f>
        <v>-1.4999999999999999E-2</v>
      </c>
      <c r="BP343" s="134">
        <v>-1.4999999999999999E-2</v>
      </c>
      <c r="BQ343" s="134">
        <v>-1.4999999999999999E-2</v>
      </c>
      <c r="BR343" s="63">
        <f>AVERAGE(BP343,BQ343)</f>
        <v>-1.4999999999999999E-2</v>
      </c>
    </row>
    <row r="344" spans="1:70" outlineLevel="1">
      <c r="C344" s="108" t="s">
        <v>61</v>
      </c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S344" s="352">
        <v>0</v>
      </c>
      <c r="T344" s="352"/>
      <c r="U344" s="352"/>
      <c r="V344" s="352">
        <v>0.04</v>
      </c>
      <c r="W344" s="352">
        <v>5.6000000000000001E-2</v>
      </c>
      <c r="X344" s="350">
        <f>Y344*2-W344</f>
        <v>2.0000000000000018E-3</v>
      </c>
      <c r="Y344" s="352">
        <v>2.9000000000000001E-2</v>
      </c>
      <c r="Z344" s="352">
        <v>7.0000000000000007E-2</v>
      </c>
      <c r="AA344" s="350">
        <f>AB344*2-Z344</f>
        <v>5.3999999999999992E-2</v>
      </c>
      <c r="AB344" s="352">
        <v>6.2E-2</v>
      </c>
      <c r="AC344" s="138">
        <f>AC1189/Z1189-1</f>
        <v>0.12196583757866342</v>
      </c>
      <c r="AD344" s="350">
        <f>AD1189/AA1189-1</f>
        <v>6.2329390354868064E-2</v>
      </c>
      <c r="AE344" s="350">
        <f>AE1189/AB1189-1</f>
        <v>8.8064140695719662E-2</v>
      </c>
      <c r="AF344" s="429">
        <f>AF345+AF346</f>
        <v>-0.10432</v>
      </c>
      <c r="AG344" s="974">
        <f>AG345+AG346</f>
        <v>-3.3499999999999995E-2</v>
      </c>
      <c r="AH344" s="20">
        <f>AH1217/AE1217-1</f>
        <v>-8.5031513662739533E-2</v>
      </c>
      <c r="AI344" s="63">
        <f>AI345+AI346</f>
        <v>6.2340000000000007E-2</v>
      </c>
      <c r="AJ344" s="63">
        <f>AJ345+AJ346</f>
        <v>5.9920000000000001E-2</v>
      </c>
      <c r="AK344" s="20">
        <f>AK1217/AH1217-1</f>
        <v>7.4004804248434697E-2</v>
      </c>
      <c r="AL344" s="63">
        <f>AL345+AL346</f>
        <v>3.8000000000000006E-2</v>
      </c>
      <c r="AM344" s="63">
        <f>AM345+AM346</f>
        <v>3.2079999999999997E-2</v>
      </c>
      <c r="AN344" s="20">
        <f>AN1217/AK1217-1</f>
        <v>3.9213749313776525E-2</v>
      </c>
      <c r="AO344" s="63">
        <f>AO345+AO346</f>
        <v>3.2079999999999997E-2</v>
      </c>
      <c r="AP344" s="63">
        <f>AP345+AP346</f>
        <v>3.2079999999999997E-2</v>
      </c>
      <c r="AQ344" s="20">
        <f>AQ1217/AN1217-1</f>
        <v>3.5235781805317945E-2</v>
      </c>
      <c r="AR344" s="63">
        <f>AR345+AR346</f>
        <v>3.2079999999999997E-2</v>
      </c>
      <c r="AS344" s="63">
        <f>AS345+AS346</f>
        <v>3.2079999999999997E-2</v>
      </c>
      <c r="AT344" s="20">
        <f>AT1217/AQ1217-1</f>
        <v>3.2080000000000108E-2</v>
      </c>
      <c r="AU344" s="63">
        <f>AU345+AU346</f>
        <v>3.2079999999999997E-2</v>
      </c>
      <c r="AV344" s="63">
        <f>AV345+AV346</f>
        <v>3.2079999999999997E-2</v>
      </c>
      <c r="AW344" s="20">
        <f>AW1217/AT1217-1</f>
        <v>3.2080000000000108E-2</v>
      </c>
      <c r="AX344" s="63">
        <f>AX345+AX346</f>
        <v>3.2079999999999997E-2</v>
      </c>
      <c r="AY344" s="63">
        <f>AY345+AY346</f>
        <v>3.2079999999999997E-2</v>
      </c>
      <c r="AZ344" s="20">
        <f>AZ1217/AW1217-1</f>
        <v>3.208000000000033E-2</v>
      </c>
      <c r="BA344" s="63">
        <f>BA345+BA346</f>
        <v>3.2079999999999997E-2</v>
      </c>
      <c r="BB344" s="63">
        <f>BB345+BB346</f>
        <v>3.2079999999999997E-2</v>
      </c>
      <c r="BC344" s="20">
        <f>BC1217/AZ1217-1</f>
        <v>3.2080000000000108E-2</v>
      </c>
      <c r="BD344" s="63">
        <f>BD345+BD346</f>
        <v>3.2079999999999997E-2</v>
      </c>
      <c r="BE344" s="63">
        <f>BE345+BE346</f>
        <v>3.2079999999999997E-2</v>
      </c>
      <c r="BF344" s="20">
        <f>BF1217/BC1217-1</f>
        <v>3.2080000000000108E-2</v>
      </c>
      <c r="BG344" s="63">
        <f>BG345+BG346</f>
        <v>3.2079999999999997E-2</v>
      </c>
      <c r="BH344" s="63">
        <f>BH345+BH346</f>
        <v>3.2079999999999997E-2</v>
      </c>
      <c r="BI344" s="20">
        <f>BI1217/BF1217-1</f>
        <v>3.2079999999999886E-2</v>
      </c>
      <c r="BJ344" s="63">
        <f>BJ345+BJ346</f>
        <v>3.2079999999999997E-2</v>
      </c>
      <c r="BK344" s="63">
        <f>BK345+BK346</f>
        <v>3.2079999999999997E-2</v>
      </c>
      <c r="BL344" s="20">
        <f>BL1217/BI1217-1</f>
        <v>3.2080000000000108E-2</v>
      </c>
      <c r="BM344" s="63">
        <f>BM345+BM346</f>
        <v>3.2079999999999997E-2</v>
      </c>
      <c r="BN344" s="63">
        <f>BN345+BN346</f>
        <v>3.2079999999999997E-2</v>
      </c>
      <c r="BO344" s="20">
        <f>BO1217/BL1217-1</f>
        <v>3.2080000000000108E-2</v>
      </c>
      <c r="BP344" s="63">
        <f>BP345+BP346</f>
        <v>3.2079999999999997E-2</v>
      </c>
      <c r="BQ344" s="63">
        <f>BQ345+BQ346</f>
        <v>3.2079999999999997E-2</v>
      </c>
      <c r="BR344" s="20">
        <f>BR1217/BO1217-1</f>
        <v>3.2080000000000108E-2</v>
      </c>
    </row>
    <row r="345" spans="1:70" outlineLevel="1">
      <c r="A345" s="208" t="s">
        <v>413</v>
      </c>
      <c r="C345" s="384" t="s">
        <v>536</v>
      </c>
      <c r="D345" s="31" t="s">
        <v>66</v>
      </c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Q345" s="45">
        <v>0.04</v>
      </c>
      <c r="R345" s="15">
        <f>S344*2-Q345</f>
        <v>-0.04</v>
      </c>
      <c r="AF345" s="542">
        <f>CHOOSE($AG$1,AF409,AF448,AF487,AF526)</f>
        <v>2.5680000000000001E-2</v>
      </c>
      <c r="AG345" s="972">
        <f>CHOOSE($AG$1,AG409,AG448,AG487,AG526)</f>
        <v>2.6500000000000003E-2</v>
      </c>
      <c r="AH345" s="396">
        <f>AVERAGE(AF345,AG345)</f>
        <v>2.6090000000000002E-2</v>
      </c>
      <c r="AI345" s="443">
        <f>CHOOSE($AG$1,AI409,AI448,AI487,AI526)</f>
        <v>2.2340000000000002E-2</v>
      </c>
      <c r="AJ345" s="443">
        <f>CHOOSE($AG$1,AJ409,AJ448,AJ487,AJ526)</f>
        <v>1.992E-2</v>
      </c>
      <c r="AK345" s="396">
        <f>AVERAGE(AI345,AJ345)</f>
        <v>2.1130000000000003E-2</v>
      </c>
      <c r="AL345" s="443">
        <f>CHOOSE($AG$1,AL409,AL448,AL487,AL526)</f>
        <v>1.8000000000000002E-2</v>
      </c>
      <c r="AM345" s="443">
        <f>CHOOSE($AG$1,AM409,AM448,AM487,AM526)</f>
        <v>1.208E-2</v>
      </c>
      <c r="AN345" s="396">
        <f>AVERAGE(AL345,AM345)</f>
        <v>1.5040000000000001E-2</v>
      </c>
      <c r="AO345" s="443">
        <f>CHOOSE($AG$1,AO409,AO448,AO487,AO526)</f>
        <v>1.208E-2</v>
      </c>
      <c r="AP345" s="443">
        <f>CHOOSE($AG$1,AP409,AP448,AP487,AP526)</f>
        <v>1.208E-2</v>
      </c>
      <c r="AQ345" s="396">
        <f>AVERAGE(AO345,AP345)</f>
        <v>1.208E-2</v>
      </c>
      <c r="AR345" s="443">
        <f>CHOOSE($AG$1,AR409,AR448,AR487,AR526)</f>
        <v>1.208E-2</v>
      </c>
      <c r="AS345" s="443">
        <f>CHOOSE($AG$1,AS409,AS448,AS487,AS526)</f>
        <v>1.208E-2</v>
      </c>
      <c r="AT345" s="396">
        <f>AVERAGE(AR345,AS345)</f>
        <v>1.208E-2</v>
      </c>
      <c r="AU345" s="443">
        <f>CHOOSE($AG$1,AU409,AU448,AU487,AU526)</f>
        <v>1.208E-2</v>
      </c>
      <c r="AV345" s="443">
        <f>CHOOSE($AG$1,AV409,AV448,AV487,AV526)</f>
        <v>1.208E-2</v>
      </c>
      <c r="AW345" s="396">
        <f>AVERAGE(AU345,AV345)</f>
        <v>1.208E-2</v>
      </c>
      <c r="AX345" s="443">
        <f>CHOOSE($AG$1,AX409,AX448,AX487,AX526)</f>
        <v>1.208E-2</v>
      </c>
      <c r="AY345" s="443">
        <f>CHOOSE($AG$1,AY409,AY448,AY487,AY526)</f>
        <v>1.208E-2</v>
      </c>
      <c r="AZ345" s="396">
        <f>AVERAGE(AX345,AY345)</f>
        <v>1.208E-2</v>
      </c>
      <c r="BA345" s="443">
        <f>CHOOSE($AG$1,BA409,BA448,BA487,BA526)</f>
        <v>1.208E-2</v>
      </c>
      <c r="BB345" s="443">
        <f>CHOOSE($AG$1,BB409,BB448,BB487,BB526)</f>
        <v>1.208E-2</v>
      </c>
      <c r="BC345" s="396">
        <f>AVERAGE(BA345,BB345)</f>
        <v>1.208E-2</v>
      </c>
      <c r="BD345" s="443">
        <f>CHOOSE($AG$1,BD409,BD448,BD487,BD526)</f>
        <v>1.208E-2</v>
      </c>
      <c r="BE345" s="443">
        <f>CHOOSE($AG$1,BE409,BE448,BE487,BE526)</f>
        <v>1.208E-2</v>
      </c>
      <c r="BF345" s="396">
        <f>AVERAGE(BD345,BE345)</f>
        <v>1.208E-2</v>
      </c>
      <c r="BG345" s="443">
        <f>CHOOSE($AG$1,BG409,BG448,BG487,BG526)</f>
        <v>1.208E-2</v>
      </c>
      <c r="BH345" s="443">
        <f>CHOOSE($AG$1,BH409,BH448,BH487,BH526)</f>
        <v>1.208E-2</v>
      </c>
      <c r="BI345" s="396">
        <f>AVERAGE(BG345,BH345)</f>
        <v>1.208E-2</v>
      </c>
      <c r="BJ345" s="443">
        <f>CHOOSE($AG$1,BJ409,BJ448,BJ487,BJ526)</f>
        <v>1.208E-2</v>
      </c>
      <c r="BK345" s="443">
        <f>CHOOSE($AG$1,BK409,BK448,BK487,BK526)</f>
        <v>1.208E-2</v>
      </c>
      <c r="BL345" s="396">
        <f>AVERAGE(BJ345,BK345)</f>
        <v>1.208E-2</v>
      </c>
      <c r="BM345" s="443">
        <f>CHOOSE($AG$1,BM409,BM448,BM487,BM526)</f>
        <v>1.208E-2</v>
      </c>
      <c r="BN345" s="443">
        <f>CHOOSE($AG$1,BN409,BN448,BN487,BN526)</f>
        <v>1.208E-2</v>
      </c>
      <c r="BO345" s="396">
        <f>AVERAGE(BM345,BN345)</f>
        <v>1.208E-2</v>
      </c>
      <c r="BP345" s="443">
        <f>CHOOSE($AG$1,BP409,BP448,BP487,BP526)</f>
        <v>1.208E-2</v>
      </c>
      <c r="BQ345" s="443">
        <f>CHOOSE($AG$1,BQ409,BQ448,BQ487,BQ526)</f>
        <v>1.208E-2</v>
      </c>
      <c r="BR345" s="396">
        <f>AVERAGE(BP345,BQ345)</f>
        <v>1.208E-2</v>
      </c>
    </row>
    <row r="346" spans="1:70" s="17" customFormat="1" outlineLevel="1">
      <c r="C346" s="384" t="s">
        <v>535</v>
      </c>
      <c r="D346" s="31" t="s">
        <v>66</v>
      </c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S346" s="353"/>
      <c r="T346" s="353"/>
      <c r="U346" s="353"/>
      <c r="V346" s="353"/>
      <c r="W346" s="353"/>
      <c r="X346" s="353"/>
      <c r="Y346" s="353"/>
      <c r="Z346" s="353"/>
      <c r="AA346" s="353"/>
      <c r="AB346" s="353"/>
      <c r="AC346" s="353"/>
      <c r="AD346" s="353"/>
      <c r="AE346" s="392"/>
      <c r="AF346" s="591">
        <v>-0.13</v>
      </c>
      <c r="AG346" s="975">
        <v>-0.06</v>
      </c>
      <c r="AH346" s="63">
        <f>AVERAGE(AF346,AG346)</f>
        <v>-9.5000000000000001E-2</v>
      </c>
      <c r="AI346" s="134">
        <v>0.04</v>
      </c>
      <c r="AJ346" s="134">
        <v>0.04</v>
      </c>
      <c r="AK346" s="63">
        <f>AVERAGE(AI346,AJ346)</f>
        <v>0.04</v>
      </c>
      <c r="AL346" s="134">
        <v>0.02</v>
      </c>
      <c r="AM346" s="134">
        <v>0.02</v>
      </c>
      <c r="AN346" s="63">
        <f>AVERAGE(AL346,AM346)</f>
        <v>0.02</v>
      </c>
      <c r="AO346" s="134">
        <v>0.02</v>
      </c>
      <c r="AP346" s="134">
        <v>0.02</v>
      </c>
      <c r="AQ346" s="63">
        <f>AVERAGE(AO346,AP346)</f>
        <v>0.02</v>
      </c>
      <c r="AR346" s="134">
        <v>0.02</v>
      </c>
      <c r="AS346" s="134">
        <v>0.02</v>
      </c>
      <c r="AT346" s="63">
        <f>AVERAGE(AR346,AS346)</f>
        <v>0.02</v>
      </c>
      <c r="AU346" s="134">
        <v>0.02</v>
      </c>
      <c r="AV346" s="134">
        <v>0.02</v>
      </c>
      <c r="AW346" s="63">
        <f>AVERAGE(AU346,AV346)</f>
        <v>0.02</v>
      </c>
      <c r="AX346" s="134">
        <v>0.02</v>
      </c>
      <c r="AY346" s="134">
        <v>0.02</v>
      </c>
      <c r="AZ346" s="63">
        <f>AVERAGE(AX346,AY346)</f>
        <v>0.02</v>
      </c>
      <c r="BA346" s="134">
        <v>0.02</v>
      </c>
      <c r="BB346" s="134">
        <v>0.02</v>
      </c>
      <c r="BC346" s="63">
        <f>AVERAGE(BA346,BB346)</f>
        <v>0.02</v>
      </c>
      <c r="BD346" s="134">
        <v>0.02</v>
      </c>
      <c r="BE346" s="134">
        <v>0.02</v>
      </c>
      <c r="BF346" s="63">
        <f>AVERAGE(BD346,BE346)</f>
        <v>0.02</v>
      </c>
      <c r="BG346" s="134">
        <v>0.02</v>
      </c>
      <c r="BH346" s="134">
        <v>0.02</v>
      </c>
      <c r="BI346" s="63">
        <f>AVERAGE(BG346,BH346)</f>
        <v>0.02</v>
      </c>
      <c r="BJ346" s="134">
        <v>0.02</v>
      </c>
      <c r="BK346" s="134">
        <v>0.02</v>
      </c>
      <c r="BL346" s="63">
        <f>AVERAGE(BJ346,BK346)</f>
        <v>0.02</v>
      </c>
      <c r="BM346" s="134">
        <v>0.02</v>
      </c>
      <c r="BN346" s="134">
        <v>0.02</v>
      </c>
      <c r="BO346" s="63">
        <f>AVERAGE(BM346,BN346)</f>
        <v>0.02</v>
      </c>
      <c r="BP346" s="134">
        <v>0.02</v>
      </c>
      <c r="BQ346" s="134">
        <v>0.02</v>
      </c>
      <c r="BR346" s="63">
        <f>AVERAGE(BP346,BQ346)</f>
        <v>0.02</v>
      </c>
    </row>
    <row r="347" spans="1:70" outlineLevel="1">
      <c r="C347" s="444" t="s">
        <v>566</v>
      </c>
      <c r="D347" s="445" t="s">
        <v>66</v>
      </c>
      <c r="E347" s="445"/>
      <c r="F347" s="445"/>
      <c r="G347" s="445"/>
      <c r="H347" s="445"/>
      <c r="I347" s="445"/>
      <c r="J347" s="445"/>
      <c r="K347" s="445"/>
      <c r="L347" s="445"/>
      <c r="M347" s="445"/>
      <c r="N347" s="445"/>
      <c r="O347" s="445"/>
      <c r="P347" s="8"/>
      <c r="Q347" s="8"/>
      <c r="R347" s="8"/>
      <c r="S347" s="446">
        <v>-4.7E-2</v>
      </c>
      <c r="T347" s="446">
        <v>3.3000000000000002E-2</v>
      </c>
      <c r="U347" s="446"/>
      <c r="V347" s="446">
        <v>0.01</v>
      </c>
      <c r="W347" s="446">
        <v>2.5000000000000001E-2</v>
      </c>
      <c r="X347" s="447">
        <f>Y347*2-W347</f>
        <v>2.0999999999999998E-2</v>
      </c>
      <c r="Y347" s="446">
        <v>2.3E-2</v>
      </c>
      <c r="Z347" s="446">
        <v>9.6000000000000002E-2</v>
      </c>
      <c r="AA347" s="447">
        <f>AB347*2-Z347</f>
        <v>5.5999999999999994E-2</v>
      </c>
      <c r="AB347" s="446">
        <v>7.5999999999999998E-2</v>
      </c>
      <c r="AC347" s="446">
        <v>4.5999999999999999E-2</v>
      </c>
      <c r="AD347" s="447">
        <f>AE347*2-AC347</f>
        <v>5.9999999999999984E-3</v>
      </c>
      <c r="AE347" s="832">
        <v>2.5999999999999999E-2</v>
      </c>
      <c r="AF347" s="448">
        <f>((AF1205/(AF1205+AF1206))*AF341)+((AF1206/(AF1205+AF1206))*AF344)</f>
        <v>-6.0057704918032785E-2</v>
      </c>
      <c r="AG347" s="978">
        <f>((AG1205/(AG1205+AG1206))*AG341)+((AG1206/(AG1205+AG1206))*AG344)</f>
        <v>-2.07365086813328E-2</v>
      </c>
      <c r="AH347" s="448">
        <f>((30/66)*AH341)+((36/66)*AH344)</f>
        <v>-8.686170809427983E-2</v>
      </c>
      <c r="AI347" s="448">
        <f t="shared" ref="AI347:BR347" si="1125">((AI1205/(AI1205+AI1206))*AI341)+((AI1206/(AI1205+AI1206))*AI344)</f>
        <v>3.6002379188247127E-2</v>
      </c>
      <c r="AJ347" s="448">
        <f t="shared" si="1125"/>
        <v>3.7230886285608257E-2</v>
      </c>
      <c r="AK347" s="448">
        <f t="shared" si="1125"/>
        <v>5.0494881553432583E-2</v>
      </c>
      <c r="AL347" s="448">
        <f t="shared" si="1125"/>
        <v>2.1539040703417896E-2</v>
      </c>
      <c r="AM347" s="448">
        <f t="shared" si="1125"/>
        <v>1.7930946332278277E-2</v>
      </c>
      <c r="AN347" s="448">
        <f t="shared" si="1125"/>
        <v>2.4022207320868582E-2</v>
      </c>
      <c r="AO347" s="448">
        <f t="shared" si="1125"/>
        <v>1.5917188072969202E-2</v>
      </c>
      <c r="AP347" s="448">
        <f t="shared" si="1125"/>
        <v>1.8220770666375972E-2</v>
      </c>
      <c r="AQ347" s="448">
        <f t="shared" si="1125"/>
        <v>2.0613447869951305E-2</v>
      </c>
      <c r="AR347" s="448">
        <f t="shared" si="1125"/>
        <v>1.621687975220442E-2</v>
      </c>
      <c r="AS347" s="448">
        <f t="shared" si="1125"/>
        <v>1.8508522397037593E-2</v>
      </c>
      <c r="AT347" s="448">
        <f t="shared" si="1125"/>
        <v>1.7530264917552357E-2</v>
      </c>
      <c r="AU347" s="448">
        <f t="shared" si="1125"/>
        <v>1.6515605969732759E-2</v>
      </c>
      <c r="AV347" s="448">
        <f t="shared" si="1125"/>
        <v>1.8794054334552997E-2</v>
      </c>
      <c r="AW347" s="448">
        <f t="shared" si="1125"/>
        <v>1.7822684658935106E-2</v>
      </c>
      <c r="AX347" s="448">
        <f t="shared" si="1125"/>
        <v>1.6813194543635029E-2</v>
      </c>
      <c r="AY347" s="448">
        <f t="shared" si="1125"/>
        <v>1.9077224171320319E-2</v>
      </c>
      <c r="AZ347" s="448">
        <f t="shared" si="1125"/>
        <v>1.8113241158274621E-2</v>
      </c>
      <c r="BA347" s="448">
        <f t="shared" si="1125"/>
        <v>1.7109475948859601E-2</v>
      </c>
      <c r="BB347" s="448">
        <f t="shared" si="1125"/>
        <v>1.9357894730890012E-2</v>
      </c>
      <c r="BC347" s="448">
        <f t="shared" si="1125"/>
        <v>1.8401780973927237E-2</v>
      </c>
      <c r="BD347" s="448">
        <f t="shared" si="1125"/>
        <v>1.7404283694254376E-2</v>
      </c>
      <c r="BE347" s="448">
        <f t="shared" si="1125"/>
        <v>1.9635934194169351E-2</v>
      </c>
      <c r="BF347" s="448">
        <f t="shared" si="1125"/>
        <v>1.8688155168902102E-2</v>
      </c>
      <c r="BG347" s="448">
        <f t="shared" si="1125"/>
        <v>1.7697454684778732E-2</v>
      </c>
      <c r="BH347" s="448">
        <f t="shared" si="1125"/>
        <v>1.9911216302234778E-2</v>
      </c>
      <c r="BI347" s="448">
        <f t="shared" si="1125"/>
        <v>1.8972219590030214E-2</v>
      </c>
      <c r="BJ347" s="448">
        <f t="shared" si="1125"/>
        <v>1.7988829567287604E-2</v>
      </c>
      <c r="BK347" s="448">
        <f t="shared" si="1125"/>
        <v>2.0183620535366046E-2</v>
      </c>
      <c r="BL347" s="448">
        <f t="shared" si="1125"/>
        <v>1.9253835125327606E-2</v>
      </c>
      <c r="BM347" s="448">
        <f t="shared" si="1125"/>
        <v>1.8278253058414146E-2</v>
      </c>
      <c r="BN347" s="448">
        <f t="shared" si="1125"/>
        <v>2.0453032268080776E-2</v>
      </c>
      <c r="BO347" s="448">
        <f t="shared" si="1125"/>
        <v>1.9532867938764478E-2</v>
      </c>
      <c r="BP347" s="448">
        <f t="shared" si="1125"/>
        <v>1.856557425322233E-2</v>
      </c>
      <c r="BQ347" s="448">
        <f t="shared" si="1125"/>
        <v>2.0719342900108659E-2</v>
      </c>
      <c r="BR347" s="448">
        <f t="shared" si="1125"/>
        <v>1.9809189681829695E-2</v>
      </c>
    </row>
    <row r="348" spans="1:70" outlineLevel="1">
      <c r="C348" s="108" t="s">
        <v>100</v>
      </c>
      <c r="D348" s="31" t="s">
        <v>66</v>
      </c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AF348" s="429">
        <f>AF349+AF350</f>
        <v>2.5680000000000001E-2</v>
      </c>
      <c r="AG348" s="974">
        <f>AG349+AG350</f>
        <v>2.6500000000000003E-2</v>
      </c>
      <c r="AH348" s="20">
        <f>AH1224/AE1224-1</f>
        <v>9.6115024559399131E-2</v>
      </c>
      <c r="AI348" s="63">
        <f>AI349+AI350</f>
        <v>2.2340000000000002E-2</v>
      </c>
      <c r="AJ348" s="63">
        <f>AJ349+AJ350</f>
        <v>1.992E-2</v>
      </c>
      <c r="AK348" s="20">
        <f>AK1224/AH1224-1</f>
        <v>3.5501490014516968E-2</v>
      </c>
      <c r="AL348" s="63">
        <f>AL349+AL350</f>
        <v>1.8000000000000002E-2</v>
      </c>
      <c r="AM348" s="63">
        <f>AM349+AM350</f>
        <v>1.208E-2</v>
      </c>
      <c r="AN348" s="20">
        <f>AN1224/AK1224-1</f>
        <v>1.9095053696812636E-2</v>
      </c>
      <c r="AO348" s="63">
        <f>AO349+AO350</f>
        <v>1.208E-2</v>
      </c>
      <c r="AP348" s="63">
        <f>AP349+AP350</f>
        <v>1.208E-2</v>
      </c>
      <c r="AQ348" s="20">
        <f>AQ1224/AN1224-1</f>
        <v>1.5702733408801572E-2</v>
      </c>
      <c r="AR348" s="63">
        <f>AR349+AR350</f>
        <v>1.208E-2</v>
      </c>
      <c r="AS348" s="63">
        <f>AS349+AS350</f>
        <v>1.208E-2</v>
      </c>
      <c r="AT348" s="20">
        <f>AT1224/AQ1224-1</f>
        <v>1.2079999999999869E-2</v>
      </c>
      <c r="AU348" s="63">
        <f>AU349+AU350</f>
        <v>1.208E-2</v>
      </c>
      <c r="AV348" s="63">
        <f>AV349+AV350</f>
        <v>1.208E-2</v>
      </c>
      <c r="AW348" s="20">
        <f>AW1224/AT1224-1</f>
        <v>1.2080000000000091E-2</v>
      </c>
      <c r="AX348" s="63">
        <f>AX349+AX350</f>
        <v>1.208E-2</v>
      </c>
      <c r="AY348" s="63">
        <f>AY349+AY350</f>
        <v>1.208E-2</v>
      </c>
      <c r="AZ348" s="20">
        <f>AZ1224/AW1224-1</f>
        <v>1.2079999999999869E-2</v>
      </c>
      <c r="BA348" s="63">
        <f>BA349+BA350</f>
        <v>1.208E-2</v>
      </c>
      <c r="BB348" s="63">
        <f>BB349+BB350</f>
        <v>1.208E-2</v>
      </c>
      <c r="BC348" s="20">
        <f>BC1224/AZ1224-1</f>
        <v>1.2080000000000091E-2</v>
      </c>
      <c r="BD348" s="63">
        <f>BD349+BD350</f>
        <v>1.208E-2</v>
      </c>
      <c r="BE348" s="63">
        <f>BE349+BE350</f>
        <v>1.208E-2</v>
      </c>
      <c r="BF348" s="20">
        <f>BF1224/BC1224-1</f>
        <v>1.2080000000000091E-2</v>
      </c>
      <c r="BG348" s="63">
        <f>BG349+BG350</f>
        <v>1.208E-2</v>
      </c>
      <c r="BH348" s="63">
        <f>BH349+BH350</f>
        <v>1.208E-2</v>
      </c>
      <c r="BI348" s="20">
        <f>BI1224/BF1224-1</f>
        <v>1.2080000000000091E-2</v>
      </c>
      <c r="BJ348" s="63">
        <f>BJ349+BJ350</f>
        <v>1.208E-2</v>
      </c>
      <c r="BK348" s="63">
        <f>BK349+BK350</f>
        <v>1.208E-2</v>
      </c>
      <c r="BL348" s="20">
        <f>BL1224/BI1224-1</f>
        <v>1.2080000000000091E-2</v>
      </c>
      <c r="BM348" s="63">
        <f>BM349+BM350</f>
        <v>1.208E-2</v>
      </c>
      <c r="BN348" s="63">
        <f>BN349+BN350</f>
        <v>1.208E-2</v>
      </c>
      <c r="BO348" s="20">
        <f>BO1224/BL1224-1</f>
        <v>1.2080000000000091E-2</v>
      </c>
      <c r="BP348" s="63">
        <f>BP349+BP350</f>
        <v>1.208E-2</v>
      </c>
      <c r="BQ348" s="63">
        <f>BQ349+BQ350</f>
        <v>1.208E-2</v>
      </c>
      <c r="BR348" s="20">
        <f>BR1224/BO1224-1</f>
        <v>1.2080000000000091E-2</v>
      </c>
    </row>
    <row r="349" spans="1:70" outlineLevel="1">
      <c r="A349" s="208" t="s">
        <v>413</v>
      </c>
      <c r="C349" s="384" t="s">
        <v>536</v>
      </c>
      <c r="D349" s="31" t="s">
        <v>66</v>
      </c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Q349" s="45"/>
      <c r="R349" s="15"/>
      <c r="S349" s="45"/>
      <c r="T349" s="45"/>
      <c r="U349" s="45"/>
      <c r="V349" s="45"/>
      <c r="W349" s="45"/>
      <c r="X349" s="15"/>
      <c r="Y349" s="45"/>
      <c r="Z349" s="45"/>
      <c r="AA349" s="15"/>
      <c r="AB349" s="45"/>
      <c r="AC349" s="45"/>
      <c r="AD349" s="46"/>
      <c r="AE349" s="830"/>
      <c r="AF349" s="542">
        <f>CHOOSE($AG$1,AF409,AF448,AF487,AF526)</f>
        <v>2.5680000000000001E-2</v>
      </c>
      <c r="AG349" s="972">
        <f>CHOOSE($AG$1,AG409,AG448,AG487,AG526)</f>
        <v>2.6500000000000003E-2</v>
      </c>
      <c r="AH349" s="396">
        <f>AVERAGE(AF349,AG349)</f>
        <v>2.6090000000000002E-2</v>
      </c>
      <c r="AI349" s="443">
        <f>CHOOSE($AG$1,AI409,AI448,AI487,AI526)</f>
        <v>2.2340000000000002E-2</v>
      </c>
      <c r="AJ349" s="443">
        <f>CHOOSE($AG$1,AJ409,AJ448,AJ487,AJ526)</f>
        <v>1.992E-2</v>
      </c>
      <c r="AK349" s="396">
        <f>AVERAGE(AI349,AJ349)</f>
        <v>2.1130000000000003E-2</v>
      </c>
      <c r="AL349" s="443">
        <f>CHOOSE($AG$1,AL409,AL448,AL487,AL526)</f>
        <v>1.8000000000000002E-2</v>
      </c>
      <c r="AM349" s="443">
        <f>CHOOSE($AG$1,AM409,AM448,AM487,AM526)</f>
        <v>1.208E-2</v>
      </c>
      <c r="AN349" s="396">
        <f>AVERAGE(AL349,AM349)</f>
        <v>1.5040000000000001E-2</v>
      </c>
      <c r="AO349" s="443">
        <f>CHOOSE($AG$1,AO409,AO448,AO487,AO526)</f>
        <v>1.208E-2</v>
      </c>
      <c r="AP349" s="443">
        <f>CHOOSE($AG$1,AP409,AP448,AP487,AP526)</f>
        <v>1.208E-2</v>
      </c>
      <c r="AQ349" s="396">
        <f>AVERAGE(AO349,AP349)</f>
        <v>1.208E-2</v>
      </c>
      <c r="AR349" s="443">
        <f>CHOOSE($AG$1,AR409,AR448,AR487,AR526)</f>
        <v>1.208E-2</v>
      </c>
      <c r="AS349" s="443">
        <f>CHOOSE($AG$1,AS409,AS448,AS487,AS526)</f>
        <v>1.208E-2</v>
      </c>
      <c r="AT349" s="396">
        <f>AVERAGE(AR349,AS349)</f>
        <v>1.208E-2</v>
      </c>
      <c r="AU349" s="443">
        <f>CHOOSE($AG$1,AU409,AU448,AU487,AU526)</f>
        <v>1.208E-2</v>
      </c>
      <c r="AV349" s="443">
        <f>CHOOSE($AG$1,AV409,AV448,AV487,AV526)</f>
        <v>1.208E-2</v>
      </c>
      <c r="AW349" s="396">
        <f>AVERAGE(AU349,AV349)</f>
        <v>1.208E-2</v>
      </c>
      <c r="AX349" s="443">
        <f>CHOOSE($AG$1,AX409,AX448,AX487,AX526)</f>
        <v>1.208E-2</v>
      </c>
      <c r="AY349" s="443">
        <f>CHOOSE($AG$1,AY409,AY448,AY487,AY526)</f>
        <v>1.208E-2</v>
      </c>
      <c r="AZ349" s="396">
        <f>AVERAGE(AX349,AY349)</f>
        <v>1.208E-2</v>
      </c>
      <c r="BA349" s="443">
        <f>CHOOSE($AG$1,BA409,BA448,BA487,BA526)</f>
        <v>1.208E-2</v>
      </c>
      <c r="BB349" s="443">
        <f>CHOOSE($AG$1,BB409,BB448,BB487,BB526)</f>
        <v>1.208E-2</v>
      </c>
      <c r="BC349" s="396">
        <f>AVERAGE(BA349,BB349)</f>
        <v>1.208E-2</v>
      </c>
      <c r="BD349" s="443">
        <f>CHOOSE($AG$1,BD409,BD448,BD487,BD526)</f>
        <v>1.208E-2</v>
      </c>
      <c r="BE349" s="443">
        <f>CHOOSE($AG$1,BE409,BE448,BE487,BE526)</f>
        <v>1.208E-2</v>
      </c>
      <c r="BF349" s="396">
        <f>AVERAGE(BD349,BE349)</f>
        <v>1.208E-2</v>
      </c>
      <c r="BG349" s="443">
        <f>CHOOSE($AG$1,BG409,BG448,BG487,BG526)</f>
        <v>1.208E-2</v>
      </c>
      <c r="BH349" s="443">
        <f>CHOOSE($AG$1,BH409,BH448,BH487,BH526)</f>
        <v>1.208E-2</v>
      </c>
      <c r="BI349" s="396">
        <f>AVERAGE(BG349,BH349)</f>
        <v>1.208E-2</v>
      </c>
      <c r="BJ349" s="443">
        <f>CHOOSE($AG$1,BJ409,BJ448,BJ487,BJ526)</f>
        <v>1.208E-2</v>
      </c>
      <c r="BK349" s="443">
        <f>CHOOSE($AG$1,BK409,BK448,BK487,BK526)</f>
        <v>1.208E-2</v>
      </c>
      <c r="BL349" s="396">
        <f>AVERAGE(BJ349,BK349)</f>
        <v>1.208E-2</v>
      </c>
      <c r="BM349" s="443">
        <f>CHOOSE($AG$1,BM409,BM448,BM487,BM526)</f>
        <v>1.208E-2</v>
      </c>
      <c r="BN349" s="443">
        <f>CHOOSE($AG$1,BN409,BN448,BN487,BN526)</f>
        <v>1.208E-2</v>
      </c>
      <c r="BO349" s="396">
        <f>AVERAGE(BM349,BN349)</f>
        <v>1.208E-2</v>
      </c>
      <c r="BP349" s="443">
        <f>CHOOSE($AG$1,BP409,BP448,BP487,BP526)</f>
        <v>1.208E-2</v>
      </c>
      <c r="BQ349" s="443">
        <f>CHOOSE($AG$1,BQ409,BQ448,BQ487,BQ526)</f>
        <v>1.208E-2</v>
      </c>
      <c r="BR349" s="396">
        <f>AVERAGE(BP349,BQ349)</f>
        <v>1.208E-2</v>
      </c>
    </row>
    <row r="350" spans="1:70" outlineLevel="1">
      <c r="C350" s="384" t="s">
        <v>535</v>
      </c>
      <c r="D350" s="31" t="s">
        <v>66</v>
      </c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AF350" s="591">
        <v>0</v>
      </c>
      <c r="AG350" s="975">
        <v>0</v>
      </c>
      <c r="AH350" s="63">
        <f>AVERAGE(AF350,AG350)</f>
        <v>0</v>
      </c>
      <c r="AI350" s="134">
        <v>0</v>
      </c>
      <c r="AJ350" s="134">
        <v>0</v>
      </c>
      <c r="AK350" s="63">
        <f>AVERAGE(AI350,AJ350)</f>
        <v>0</v>
      </c>
      <c r="AL350" s="134">
        <v>0</v>
      </c>
      <c r="AM350" s="134">
        <v>0</v>
      </c>
      <c r="AN350" s="63">
        <f>AVERAGE(AL350,AM350)</f>
        <v>0</v>
      </c>
      <c r="AO350" s="134">
        <v>0</v>
      </c>
      <c r="AP350" s="134">
        <v>0</v>
      </c>
      <c r="AQ350" s="63">
        <f>AVERAGE(AO350,AP350)</f>
        <v>0</v>
      </c>
      <c r="AR350" s="134">
        <v>0</v>
      </c>
      <c r="AS350" s="134">
        <v>0</v>
      </c>
      <c r="AT350" s="63">
        <f>AVERAGE(AR350,AS350)</f>
        <v>0</v>
      </c>
      <c r="AU350" s="134">
        <v>0</v>
      </c>
      <c r="AV350" s="134">
        <v>0</v>
      </c>
      <c r="AW350" s="63">
        <f>AVERAGE(AU350,AV350)</f>
        <v>0</v>
      </c>
      <c r="AX350" s="134">
        <v>0</v>
      </c>
      <c r="AY350" s="134">
        <v>0</v>
      </c>
      <c r="AZ350" s="63">
        <f>AVERAGE(AX350,AY350)</f>
        <v>0</v>
      </c>
      <c r="BA350" s="134">
        <v>0</v>
      </c>
      <c r="BB350" s="134">
        <v>0</v>
      </c>
      <c r="BC350" s="63">
        <f>AVERAGE(BA350,BB350)</f>
        <v>0</v>
      </c>
      <c r="BD350" s="134">
        <v>0</v>
      </c>
      <c r="BE350" s="134">
        <v>0</v>
      </c>
      <c r="BF350" s="63">
        <f>AVERAGE(BD350,BE350)</f>
        <v>0</v>
      </c>
      <c r="BG350" s="134">
        <v>0</v>
      </c>
      <c r="BH350" s="134">
        <v>0</v>
      </c>
      <c r="BI350" s="63">
        <f>AVERAGE(BG350,BH350)</f>
        <v>0</v>
      </c>
      <c r="BJ350" s="134">
        <v>0</v>
      </c>
      <c r="BK350" s="134">
        <v>0</v>
      </c>
      <c r="BL350" s="63">
        <f>AVERAGE(BJ350,BK350)</f>
        <v>0</v>
      </c>
      <c r="BM350" s="134">
        <v>0</v>
      </c>
      <c r="BN350" s="134">
        <v>0</v>
      </c>
      <c r="BO350" s="63">
        <f>AVERAGE(BM350,BN350)</f>
        <v>0</v>
      </c>
      <c r="BP350" s="134">
        <v>0</v>
      </c>
      <c r="BQ350" s="134">
        <v>0</v>
      </c>
      <c r="BR350" s="63">
        <f>AVERAGE(BP350,BQ350)</f>
        <v>0</v>
      </c>
    </row>
    <row r="351" spans="1:70" outlineLevel="1">
      <c r="C351" s="108" t="s">
        <v>69</v>
      </c>
      <c r="D351" s="31" t="s">
        <v>66</v>
      </c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AF351" s="429">
        <f>AF352+AF353</f>
        <v>2.5680000000000001E-2</v>
      </c>
      <c r="AG351" s="974">
        <f>AG352+AG353</f>
        <v>2.6500000000000003E-2</v>
      </c>
      <c r="AH351" s="396">
        <f>AVERAGE(AF351,AG351)</f>
        <v>2.6090000000000002E-2</v>
      </c>
      <c r="AI351" s="63">
        <f>AI352+AI353</f>
        <v>2.2340000000000002E-2</v>
      </c>
      <c r="AJ351" s="63">
        <f>AJ352+AJ353</f>
        <v>1.992E-2</v>
      </c>
      <c r="AK351" s="396">
        <f>AVERAGE(AI351,AJ351)</f>
        <v>2.1130000000000003E-2</v>
      </c>
      <c r="AL351" s="63">
        <f>AL352+AL353</f>
        <v>1.8000000000000002E-2</v>
      </c>
      <c r="AM351" s="63">
        <f>AM352+AM353</f>
        <v>1.208E-2</v>
      </c>
      <c r="AN351" s="396">
        <f>AVERAGE(AL351,AM351)</f>
        <v>1.5040000000000001E-2</v>
      </c>
      <c r="AO351" s="63">
        <f>AO352+AO353</f>
        <v>1.208E-2</v>
      </c>
      <c r="AP351" s="63">
        <f>AP352+AP353</f>
        <v>1.208E-2</v>
      </c>
      <c r="AQ351" s="396">
        <f>AVERAGE(AO351,AP351)</f>
        <v>1.208E-2</v>
      </c>
      <c r="AR351" s="63">
        <f>AR352+AR353</f>
        <v>1.208E-2</v>
      </c>
      <c r="AS351" s="63">
        <f>AS352+AS353</f>
        <v>1.208E-2</v>
      </c>
      <c r="AT351" s="396">
        <f>AVERAGE(AR351,AS351)</f>
        <v>1.208E-2</v>
      </c>
      <c r="AU351" s="63">
        <f>AU352+AU353</f>
        <v>1.208E-2</v>
      </c>
      <c r="AV351" s="63">
        <f>AV352+AV353</f>
        <v>1.208E-2</v>
      </c>
      <c r="AW351" s="396">
        <f>AVERAGE(AU351,AV351)</f>
        <v>1.208E-2</v>
      </c>
      <c r="AX351" s="63">
        <f>AX352+AX353</f>
        <v>1.208E-2</v>
      </c>
      <c r="AY351" s="63">
        <f>AY352+AY353</f>
        <v>1.208E-2</v>
      </c>
      <c r="AZ351" s="396">
        <f>AVERAGE(AX351,AY351)</f>
        <v>1.208E-2</v>
      </c>
      <c r="BA351" s="63">
        <f>BA352+BA353</f>
        <v>1.208E-2</v>
      </c>
      <c r="BB351" s="63">
        <f>BB352+BB353</f>
        <v>1.208E-2</v>
      </c>
      <c r="BC351" s="396">
        <f>AVERAGE(BA351,BB351)</f>
        <v>1.208E-2</v>
      </c>
      <c r="BD351" s="63">
        <f>BD352+BD353</f>
        <v>1.208E-2</v>
      </c>
      <c r="BE351" s="63">
        <f>BE352+BE353</f>
        <v>1.208E-2</v>
      </c>
      <c r="BF351" s="396">
        <f>AVERAGE(BD351,BE351)</f>
        <v>1.208E-2</v>
      </c>
      <c r="BG351" s="63">
        <f>BG352+BG353</f>
        <v>1.208E-2</v>
      </c>
      <c r="BH351" s="63">
        <f>BH352+BH353</f>
        <v>1.208E-2</v>
      </c>
      <c r="BI351" s="396">
        <f>AVERAGE(BG351,BH351)</f>
        <v>1.208E-2</v>
      </c>
      <c r="BJ351" s="63">
        <f>BJ352+BJ353</f>
        <v>1.208E-2</v>
      </c>
      <c r="BK351" s="63">
        <f>BK352+BK353</f>
        <v>1.208E-2</v>
      </c>
      <c r="BL351" s="396">
        <f>AVERAGE(BJ351,BK351)</f>
        <v>1.208E-2</v>
      </c>
      <c r="BM351" s="63">
        <f>BM352+BM353</f>
        <v>1.208E-2</v>
      </c>
      <c r="BN351" s="63">
        <f>BN352+BN353</f>
        <v>1.208E-2</v>
      </c>
      <c r="BO351" s="396">
        <f>AVERAGE(BM351,BN351)</f>
        <v>1.208E-2</v>
      </c>
      <c r="BP351" s="63">
        <f>BP352+BP353</f>
        <v>1.208E-2</v>
      </c>
      <c r="BQ351" s="63">
        <f>BQ352+BQ353</f>
        <v>1.208E-2</v>
      </c>
      <c r="BR351" s="396">
        <f>AVERAGE(BP351,BQ351)</f>
        <v>1.208E-2</v>
      </c>
    </row>
    <row r="352" spans="1:70" outlineLevel="1">
      <c r="A352" s="208" t="s">
        <v>413</v>
      </c>
      <c r="C352" s="384" t="s">
        <v>536</v>
      </c>
      <c r="D352" s="31" t="s">
        <v>66</v>
      </c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AF352" s="542">
        <f>CHOOSE($AG$1,AF409,AF448,AF487,AF526)</f>
        <v>2.5680000000000001E-2</v>
      </c>
      <c r="AG352" s="972">
        <f>CHOOSE($AG$1,AG409,AG448,AG487,AG526)</f>
        <v>2.6500000000000003E-2</v>
      </c>
      <c r="AH352" s="396">
        <f>AVERAGE(AF352,AG352)</f>
        <v>2.6090000000000002E-2</v>
      </c>
      <c r="AI352" s="443">
        <f>CHOOSE($AG$1,AI409,AI448,AI487,AI526)</f>
        <v>2.2340000000000002E-2</v>
      </c>
      <c r="AJ352" s="443">
        <f>CHOOSE($AG$1,AJ409,AJ448,AJ487,AJ526)</f>
        <v>1.992E-2</v>
      </c>
      <c r="AK352" s="396">
        <f>AVERAGE(AI352,AJ352)</f>
        <v>2.1130000000000003E-2</v>
      </c>
      <c r="AL352" s="443">
        <f>CHOOSE($AG$1,AL409,AL448,AL487,AL526)</f>
        <v>1.8000000000000002E-2</v>
      </c>
      <c r="AM352" s="443">
        <f>CHOOSE($AG$1,AM409,AM448,AM487,AM526)</f>
        <v>1.208E-2</v>
      </c>
      <c r="AN352" s="396">
        <f>AVERAGE(AL352,AM352)</f>
        <v>1.5040000000000001E-2</v>
      </c>
      <c r="AO352" s="443">
        <f>CHOOSE($AG$1,AO409,AO448,AO487,AO526)</f>
        <v>1.208E-2</v>
      </c>
      <c r="AP352" s="443">
        <f>CHOOSE($AG$1,AP409,AP448,AP487,AP526)</f>
        <v>1.208E-2</v>
      </c>
      <c r="AQ352" s="396">
        <f>AVERAGE(AO352,AP352)</f>
        <v>1.208E-2</v>
      </c>
      <c r="AR352" s="443">
        <f>CHOOSE($AG$1,AR409,AR448,AR487,AR526)</f>
        <v>1.208E-2</v>
      </c>
      <c r="AS352" s="443">
        <f>CHOOSE($AG$1,AS409,AS448,AS487,AS526)</f>
        <v>1.208E-2</v>
      </c>
      <c r="AT352" s="396">
        <f>AVERAGE(AR352,AS352)</f>
        <v>1.208E-2</v>
      </c>
      <c r="AU352" s="443">
        <f>CHOOSE($AG$1,AU409,AU448,AU487,AU526)</f>
        <v>1.208E-2</v>
      </c>
      <c r="AV352" s="443">
        <f>CHOOSE($AG$1,AV409,AV448,AV487,AV526)</f>
        <v>1.208E-2</v>
      </c>
      <c r="AW352" s="396">
        <f>AVERAGE(AU352,AV352)</f>
        <v>1.208E-2</v>
      </c>
      <c r="AX352" s="443">
        <f>CHOOSE($AG$1,AX409,AX448,AX487,AX526)</f>
        <v>1.208E-2</v>
      </c>
      <c r="AY352" s="443">
        <f>CHOOSE($AG$1,AY409,AY448,AY487,AY526)</f>
        <v>1.208E-2</v>
      </c>
      <c r="AZ352" s="396">
        <f>AVERAGE(AX352,AY352)</f>
        <v>1.208E-2</v>
      </c>
      <c r="BA352" s="443">
        <f>CHOOSE($AG$1,BA409,BA448,BA487,BA526)</f>
        <v>1.208E-2</v>
      </c>
      <c r="BB352" s="443">
        <f>CHOOSE($AG$1,BB409,BB448,BB487,BB526)</f>
        <v>1.208E-2</v>
      </c>
      <c r="BC352" s="396">
        <f>AVERAGE(BA352,BB352)</f>
        <v>1.208E-2</v>
      </c>
      <c r="BD352" s="443">
        <f>CHOOSE($AG$1,BD409,BD448,BD487,BD526)</f>
        <v>1.208E-2</v>
      </c>
      <c r="BE352" s="443">
        <f>CHOOSE($AG$1,BE409,BE448,BE487,BE526)</f>
        <v>1.208E-2</v>
      </c>
      <c r="BF352" s="396">
        <f>AVERAGE(BD352,BE352)</f>
        <v>1.208E-2</v>
      </c>
      <c r="BG352" s="443">
        <f>CHOOSE($AG$1,BG409,BG448,BG487,BG526)</f>
        <v>1.208E-2</v>
      </c>
      <c r="BH352" s="443">
        <f>CHOOSE($AG$1,BH409,BH448,BH487,BH526)</f>
        <v>1.208E-2</v>
      </c>
      <c r="BI352" s="396">
        <f>AVERAGE(BG352,BH352)</f>
        <v>1.208E-2</v>
      </c>
      <c r="BJ352" s="443">
        <f>CHOOSE($AG$1,BJ409,BJ448,BJ487,BJ526)</f>
        <v>1.208E-2</v>
      </c>
      <c r="BK352" s="443">
        <f>CHOOSE($AG$1,BK409,BK448,BK487,BK526)</f>
        <v>1.208E-2</v>
      </c>
      <c r="BL352" s="396">
        <f>AVERAGE(BJ352,BK352)</f>
        <v>1.208E-2</v>
      </c>
      <c r="BM352" s="443">
        <f>CHOOSE($AG$1,BM409,BM448,BM487,BM526)</f>
        <v>1.208E-2</v>
      </c>
      <c r="BN352" s="443">
        <f>CHOOSE($AG$1,BN409,BN448,BN487,BN526)</f>
        <v>1.208E-2</v>
      </c>
      <c r="BO352" s="396">
        <f>AVERAGE(BM352,BN352)</f>
        <v>1.208E-2</v>
      </c>
      <c r="BP352" s="443">
        <f>CHOOSE($AG$1,BP409,BP448,BP487,BP526)</f>
        <v>1.208E-2</v>
      </c>
      <c r="BQ352" s="443">
        <f>CHOOSE($AG$1,BQ409,BQ448,BQ487,BQ526)</f>
        <v>1.208E-2</v>
      </c>
      <c r="BR352" s="396">
        <f>AVERAGE(BP352,BQ352)</f>
        <v>1.208E-2</v>
      </c>
    </row>
    <row r="353" spans="1:70" outlineLevel="1">
      <c r="A353" s="356"/>
      <c r="C353" s="384" t="s">
        <v>535</v>
      </c>
      <c r="D353" s="31" t="s">
        <v>66</v>
      </c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AF353" s="591">
        <v>0</v>
      </c>
      <c r="AG353" s="975">
        <v>0</v>
      </c>
      <c r="AH353" s="63">
        <f>AVERAGE(AF353,AG353)</f>
        <v>0</v>
      </c>
      <c r="AI353" s="134">
        <v>0</v>
      </c>
      <c r="AJ353" s="134">
        <v>0</v>
      </c>
      <c r="AK353" s="63">
        <f>AVERAGE(AI353,AJ353)</f>
        <v>0</v>
      </c>
      <c r="AL353" s="134">
        <v>0</v>
      </c>
      <c r="AM353" s="134">
        <v>0</v>
      </c>
      <c r="AN353" s="63">
        <f>AVERAGE(AL353,AM353)</f>
        <v>0</v>
      </c>
      <c r="AO353" s="134">
        <v>0</v>
      </c>
      <c r="AP353" s="134">
        <v>0</v>
      </c>
      <c r="AQ353" s="63">
        <f>AVERAGE(AO353,AP353)</f>
        <v>0</v>
      </c>
      <c r="AR353" s="134">
        <v>0</v>
      </c>
      <c r="AS353" s="134">
        <v>0</v>
      </c>
      <c r="AT353" s="63">
        <f>AVERAGE(AR353,AS353)</f>
        <v>0</v>
      </c>
      <c r="AU353" s="134">
        <v>0</v>
      </c>
      <c r="AV353" s="134">
        <v>0</v>
      </c>
      <c r="AW353" s="63">
        <f>AVERAGE(AU353,AV353)</f>
        <v>0</v>
      </c>
      <c r="AX353" s="134">
        <v>0</v>
      </c>
      <c r="AY353" s="134">
        <v>0</v>
      </c>
      <c r="AZ353" s="63">
        <f>AVERAGE(AX353,AY353)</f>
        <v>0</v>
      </c>
      <c r="BA353" s="134">
        <v>0</v>
      </c>
      <c r="BB353" s="134">
        <v>0</v>
      </c>
      <c r="BC353" s="63">
        <f>AVERAGE(BA353,BB353)</f>
        <v>0</v>
      </c>
      <c r="BD353" s="134">
        <v>0</v>
      </c>
      <c r="BE353" s="134">
        <v>0</v>
      </c>
      <c r="BF353" s="63">
        <f>AVERAGE(BD353,BE353)</f>
        <v>0</v>
      </c>
      <c r="BG353" s="134">
        <v>0</v>
      </c>
      <c r="BH353" s="134">
        <v>0</v>
      </c>
      <c r="BI353" s="63">
        <f>AVERAGE(BG353,BH353)</f>
        <v>0</v>
      </c>
      <c r="BJ353" s="134">
        <v>0</v>
      </c>
      <c r="BK353" s="134">
        <v>0</v>
      </c>
      <c r="BL353" s="63">
        <f>AVERAGE(BJ353,BK353)</f>
        <v>0</v>
      </c>
      <c r="BM353" s="134">
        <v>0</v>
      </c>
      <c r="BN353" s="134">
        <v>0</v>
      </c>
      <c r="BO353" s="63">
        <f>AVERAGE(BM353,BN353)</f>
        <v>0</v>
      </c>
      <c r="BP353" s="134">
        <v>0</v>
      </c>
      <c r="BQ353" s="134">
        <v>0</v>
      </c>
      <c r="BR353" s="63">
        <f>AVERAGE(BP353,BQ353)</f>
        <v>0</v>
      </c>
    </row>
    <row r="354" spans="1:70" outlineLevel="1">
      <c r="C354" s="102" t="s">
        <v>93</v>
      </c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</row>
    <row r="355" spans="1:70" outlineLevel="1">
      <c r="C355" s="95" t="s">
        <v>98</v>
      </c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</row>
    <row r="356" spans="1:70" outlineLevel="1">
      <c r="C356" s="108" t="s">
        <v>60</v>
      </c>
      <c r="D356" s="31" t="s">
        <v>66</v>
      </c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AF356" s="429">
        <f>+AF357+AF358</f>
        <v>-1.5562499999999951E-3</v>
      </c>
      <c r="AG356" s="974">
        <f t="shared" ref="AG356:AN356" si="1126">+AG357+AG358</f>
        <v>1.4427499999999999E-2</v>
      </c>
      <c r="AH356" s="429">
        <f t="shared" si="1126"/>
        <v>6.4356250000000004E-3</v>
      </c>
      <c r="AI356" s="429">
        <f t="shared" si="1126"/>
        <v>4.3270000000000003E-2</v>
      </c>
      <c r="AJ356" s="429">
        <f t="shared" si="1126"/>
        <v>4.0983749999999999E-2</v>
      </c>
      <c r="AK356" s="429">
        <f t="shared" si="1126"/>
        <v>4.2126875000000001E-2</v>
      </c>
      <c r="AL356" s="429">
        <f t="shared" si="1126"/>
        <v>4.3833749999999998E-2</v>
      </c>
      <c r="AM356" s="429">
        <f t="shared" si="1126"/>
        <v>4.3833749999999998E-2</v>
      </c>
      <c r="AN356" s="429">
        <f t="shared" si="1126"/>
        <v>4.3833749999999998E-2</v>
      </c>
      <c r="AO356" s="429">
        <f t="shared" ref="AO356:BR356" si="1127">+AO357+AO358</f>
        <v>3.3833749999999996E-2</v>
      </c>
      <c r="AP356" s="429">
        <f t="shared" si="1127"/>
        <v>3.3833749999999996E-2</v>
      </c>
      <c r="AQ356" s="429">
        <f t="shared" si="1127"/>
        <v>3.3833749999999996E-2</v>
      </c>
      <c r="AR356" s="429">
        <f t="shared" si="1127"/>
        <v>3.3833749999999996E-2</v>
      </c>
      <c r="AS356" s="429">
        <f t="shared" si="1127"/>
        <v>3.3833749999999996E-2</v>
      </c>
      <c r="AT356" s="429">
        <f t="shared" si="1127"/>
        <v>3.3833749999999996E-2</v>
      </c>
      <c r="AU356" s="429">
        <f t="shared" si="1127"/>
        <v>3.3833749999999996E-2</v>
      </c>
      <c r="AV356" s="429">
        <f t="shared" si="1127"/>
        <v>3.3833749999999996E-2</v>
      </c>
      <c r="AW356" s="429">
        <f t="shared" si="1127"/>
        <v>3.3833749999999996E-2</v>
      </c>
      <c r="AX356" s="429">
        <f t="shared" si="1127"/>
        <v>3.3833749999999996E-2</v>
      </c>
      <c r="AY356" s="429">
        <f t="shared" si="1127"/>
        <v>3.3833749999999996E-2</v>
      </c>
      <c r="AZ356" s="429">
        <f t="shared" si="1127"/>
        <v>3.3833749999999996E-2</v>
      </c>
      <c r="BA356" s="429">
        <f t="shared" si="1127"/>
        <v>3.3833749999999996E-2</v>
      </c>
      <c r="BB356" s="429">
        <f t="shared" si="1127"/>
        <v>3.3833749999999996E-2</v>
      </c>
      <c r="BC356" s="429">
        <f t="shared" si="1127"/>
        <v>3.3833749999999996E-2</v>
      </c>
      <c r="BD356" s="429">
        <f t="shared" si="1127"/>
        <v>3.3833749999999996E-2</v>
      </c>
      <c r="BE356" s="429">
        <f t="shared" si="1127"/>
        <v>3.3833749999999996E-2</v>
      </c>
      <c r="BF356" s="429">
        <f t="shared" si="1127"/>
        <v>3.3833749999999996E-2</v>
      </c>
      <c r="BG356" s="429">
        <f t="shared" si="1127"/>
        <v>3.3833749999999996E-2</v>
      </c>
      <c r="BH356" s="429">
        <f t="shared" si="1127"/>
        <v>3.3833749999999996E-2</v>
      </c>
      <c r="BI356" s="429">
        <f t="shared" si="1127"/>
        <v>3.3833749999999996E-2</v>
      </c>
      <c r="BJ356" s="429">
        <f t="shared" si="1127"/>
        <v>3.3833749999999996E-2</v>
      </c>
      <c r="BK356" s="429">
        <f t="shared" si="1127"/>
        <v>3.3833749999999996E-2</v>
      </c>
      <c r="BL356" s="429">
        <f t="shared" si="1127"/>
        <v>3.3833749999999996E-2</v>
      </c>
      <c r="BM356" s="429">
        <f t="shared" si="1127"/>
        <v>3.3833749999999996E-2</v>
      </c>
      <c r="BN356" s="429">
        <f t="shared" si="1127"/>
        <v>3.3833749999999996E-2</v>
      </c>
      <c r="BO356" s="429">
        <f t="shared" si="1127"/>
        <v>3.3833749999999996E-2</v>
      </c>
      <c r="BP356" s="429">
        <f t="shared" si="1127"/>
        <v>3.3833749999999996E-2</v>
      </c>
      <c r="BQ356" s="429">
        <f t="shared" si="1127"/>
        <v>3.3833749999999996E-2</v>
      </c>
      <c r="BR356" s="429">
        <f t="shared" si="1127"/>
        <v>3.3833749999999996E-2</v>
      </c>
    </row>
    <row r="357" spans="1:70" outlineLevel="1">
      <c r="A357" s="208" t="s">
        <v>413</v>
      </c>
      <c r="C357" s="384" t="s">
        <v>536</v>
      </c>
      <c r="D357" s="31" t="s">
        <v>66</v>
      </c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AF357" s="542">
        <f>CHOOSE($AG$1,AF412,AF451,AF490,AF529)</f>
        <v>2.8443750000000004E-2</v>
      </c>
      <c r="AG357" s="972">
        <f>CHOOSE($AG$1,AG412,AG451,AG490,AG529)</f>
        <v>3.44275E-2</v>
      </c>
      <c r="AH357" s="396">
        <f>AVERAGE(AF357,AG357)</f>
        <v>3.1435625000000002E-2</v>
      </c>
      <c r="AI357" s="443">
        <f>CHOOSE($AG$1,AI412,AI451,AI490,AI529)</f>
        <v>2.827E-2</v>
      </c>
      <c r="AJ357" s="443">
        <f>CHOOSE($AG$1,AJ412,AJ451,AJ490,AJ529)</f>
        <v>3.0983750000000001E-2</v>
      </c>
      <c r="AK357" s="396">
        <f>AVERAGE(AI357,AJ357)</f>
        <v>2.9626875E-2</v>
      </c>
      <c r="AL357" s="443">
        <f>CHOOSE($AG$1,AL412,AL451,AL490,AL529)</f>
        <v>3.3833749999999996E-2</v>
      </c>
      <c r="AM357" s="443">
        <f>CHOOSE($AG$1,AM412,AM451,AM490,AM529)</f>
        <v>3.3833749999999996E-2</v>
      </c>
      <c r="AN357" s="396">
        <f>AVERAGE(AL357,AM357)</f>
        <v>3.3833749999999996E-2</v>
      </c>
      <c r="AO357" s="443">
        <f>CHOOSE($AG$1,AO412,AO451,AO490,AO529)</f>
        <v>3.3833749999999996E-2</v>
      </c>
      <c r="AP357" s="443">
        <f>CHOOSE($AG$1,AP412,AP451,AP490,AP529)</f>
        <v>3.3833749999999996E-2</v>
      </c>
      <c r="AQ357" s="396">
        <f>AVERAGE(AO357,AP357)</f>
        <v>3.3833749999999996E-2</v>
      </c>
      <c r="AR357" s="443">
        <f>CHOOSE($AG$1,AR412,AR451,AR490,AR529)</f>
        <v>3.3833749999999996E-2</v>
      </c>
      <c r="AS357" s="443">
        <f>CHOOSE($AG$1,AS412,AS451,AS490,AS529)</f>
        <v>3.3833749999999996E-2</v>
      </c>
      <c r="AT357" s="396">
        <f>AVERAGE(AR357,AS357)</f>
        <v>3.3833749999999996E-2</v>
      </c>
      <c r="AU357" s="443">
        <f>CHOOSE($AG$1,AU412,AU451,AU490,AU529)</f>
        <v>3.3833749999999996E-2</v>
      </c>
      <c r="AV357" s="443">
        <f>CHOOSE($AG$1,AV412,AV451,AV490,AV529)</f>
        <v>3.3833749999999996E-2</v>
      </c>
      <c r="AW357" s="396">
        <f>AVERAGE(AU357,AV357)</f>
        <v>3.3833749999999996E-2</v>
      </c>
      <c r="AX357" s="443">
        <f>CHOOSE($AG$1,AX412,AX451,AX490,AX529)</f>
        <v>3.3833749999999996E-2</v>
      </c>
      <c r="AY357" s="443">
        <f>CHOOSE($AG$1,AY412,AY451,AY490,AY529)</f>
        <v>3.3833749999999996E-2</v>
      </c>
      <c r="AZ357" s="396">
        <f>AVERAGE(AX357,AY357)</f>
        <v>3.3833749999999996E-2</v>
      </c>
      <c r="BA357" s="443">
        <f>CHOOSE($AG$1,BA412,BA451,BA490,BA529)</f>
        <v>3.3833749999999996E-2</v>
      </c>
      <c r="BB357" s="443">
        <f>CHOOSE($AG$1,BB412,BB451,BB490,BB529)</f>
        <v>3.3833749999999996E-2</v>
      </c>
      <c r="BC357" s="396">
        <f>AVERAGE(BA357,BB357)</f>
        <v>3.3833749999999996E-2</v>
      </c>
      <c r="BD357" s="443">
        <f>CHOOSE($AG$1,BD412,BD451,BD490,BD529)</f>
        <v>3.3833749999999996E-2</v>
      </c>
      <c r="BE357" s="443">
        <f>CHOOSE($AG$1,BE412,BE451,BE490,BE529)</f>
        <v>3.3833749999999996E-2</v>
      </c>
      <c r="BF357" s="396">
        <f>AVERAGE(BD357,BE357)</f>
        <v>3.3833749999999996E-2</v>
      </c>
      <c r="BG357" s="443">
        <f>CHOOSE($AG$1,BG412,BG451,BG490,BG529)</f>
        <v>3.3833749999999996E-2</v>
      </c>
      <c r="BH357" s="443">
        <f>CHOOSE($AG$1,BH412,BH451,BH490,BH529)</f>
        <v>3.3833749999999996E-2</v>
      </c>
      <c r="BI357" s="396">
        <f>AVERAGE(BG357,BH357)</f>
        <v>3.3833749999999996E-2</v>
      </c>
      <c r="BJ357" s="443">
        <f>CHOOSE($AG$1,BJ412,BJ451,BJ490,BJ529)</f>
        <v>3.3833749999999996E-2</v>
      </c>
      <c r="BK357" s="443">
        <f>CHOOSE($AG$1,BK412,BK451,BK490,BK529)</f>
        <v>3.3833749999999996E-2</v>
      </c>
      <c r="BL357" s="396">
        <f>AVERAGE(BJ357,BK357)</f>
        <v>3.3833749999999996E-2</v>
      </c>
      <c r="BM357" s="443">
        <f>CHOOSE($AG$1,BM412,BM451,BM490,BM529)</f>
        <v>3.3833749999999996E-2</v>
      </c>
      <c r="BN357" s="443">
        <f>CHOOSE($AG$1,BN412,BN451,BN490,BN529)</f>
        <v>3.3833749999999996E-2</v>
      </c>
      <c r="BO357" s="396">
        <f>AVERAGE(BM357,BN357)</f>
        <v>3.3833749999999996E-2</v>
      </c>
      <c r="BP357" s="443">
        <f>CHOOSE($AG$1,BP412,BP451,BP490,BP529)</f>
        <v>3.3833749999999996E-2</v>
      </c>
      <c r="BQ357" s="443">
        <f>CHOOSE($AG$1,BQ412,BQ451,BQ490,BQ529)</f>
        <v>3.3833749999999996E-2</v>
      </c>
      <c r="BR357" s="396">
        <f>AVERAGE(BP357,BQ357)</f>
        <v>3.3833749999999996E-2</v>
      </c>
    </row>
    <row r="358" spans="1:70" outlineLevel="1">
      <c r="C358" s="384" t="s">
        <v>535</v>
      </c>
      <c r="D358" s="31" t="s">
        <v>66</v>
      </c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AF358" s="591">
        <v>-0.03</v>
      </c>
      <c r="AG358" s="975">
        <v>-0.02</v>
      </c>
      <c r="AH358" s="63">
        <f>AVERAGE(AF358,AG358)</f>
        <v>-2.5000000000000001E-2</v>
      </c>
      <c r="AI358" s="134">
        <v>1.4999999999999999E-2</v>
      </c>
      <c r="AJ358" s="134">
        <v>0.01</v>
      </c>
      <c r="AK358" s="63">
        <f>AVERAGE(AI358,AJ358)</f>
        <v>1.2500000000000001E-2</v>
      </c>
      <c r="AL358" s="134">
        <v>0.01</v>
      </c>
      <c r="AM358" s="134">
        <v>0.01</v>
      </c>
      <c r="AN358" s="63">
        <f>AVERAGE(AL358,AM358)</f>
        <v>0.01</v>
      </c>
      <c r="AO358" s="134">
        <v>0</v>
      </c>
      <c r="AP358" s="134">
        <v>0</v>
      </c>
      <c r="AQ358" s="63">
        <f>AVERAGE(AO358,AP358)</f>
        <v>0</v>
      </c>
      <c r="AR358" s="134">
        <v>0</v>
      </c>
      <c r="AS358" s="134">
        <v>0</v>
      </c>
      <c r="AT358" s="63">
        <f>AVERAGE(AR358,AS358)</f>
        <v>0</v>
      </c>
      <c r="AU358" s="134">
        <v>0</v>
      </c>
      <c r="AV358" s="134">
        <v>0</v>
      </c>
      <c r="AW358" s="63">
        <f>AVERAGE(AU358,AV358)</f>
        <v>0</v>
      </c>
      <c r="AX358" s="134">
        <v>0</v>
      </c>
      <c r="AY358" s="134">
        <v>0</v>
      </c>
      <c r="AZ358" s="63">
        <f>AVERAGE(AX358,AY358)</f>
        <v>0</v>
      </c>
      <c r="BA358" s="134">
        <v>0</v>
      </c>
      <c r="BB358" s="134">
        <v>0</v>
      </c>
      <c r="BC358" s="63">
        <f>AVERAGE(BA358,BB358)</f>
        <v>0</v>
      </c>
      <c r="BD358" s="134">
        <v>0</v>
      </c>
      <c r="BE358" s="134">
        <v>0</v>
      </c>
      <c r="BF358" s="63">
        <f>AVERAGE(BD358,BE358)</f>
        <v>0</v>
      </c>
      <c r="BG358" s="134">
        <v>0</v>
      </c>
      <c r="BH358" s="134">
        <v>0</v>
      </c>
      <c r="BI358" s="63">
        <f>AVERAGE(BG358,BH358)</f>
        <v>0</v>
      </c>
      <c r="BJ358" s="134">
        <v>0</v>
      </c>
      <c r="BK358" s="134">
        <v>0</v>
      </c>
      <c r="BL358" s="63">
        <f>AVERAGE(BJ358,BK358)</f>
        <v>0</v>
      </c>
      <c r="BM358" s="134">
        <v>0</v>
      </c>
      <c r="BN358" s="134">
        <v>0</v>
      </c>
      <c r="BO358" s="63">
        <f>AVERAGE(BM358,BN358)</f>
        <v>0</v>
      </c>
      <c r="BP358" s="134">
        <v>0</v>
      </c>
      <c r="BQ358" s="134">
        <v>0</v>
      </c>
      <c r="BR358" s="63">
        <f>AVERAGE(BP358,BQ358)</f>
        <v>0</v>
      </c>
    </row>
    <row r="359" spans="1:70" outlineLevel="1">
      <c r="C359" s="108" t="s">
        <v>61</v>
      </c>
      <c r="D359" s="31" t="s">
        <v>66</v>
      </c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AF359" s="429">
        <f>+AF360+AF361</f>
        <v>-1.5562499999999951E-3</v>
      </c>
      <c r="AG359" s="974">
        <f t="shared" ref="AG359" si="1128">+AG360+AG361</f>
        <v>1.4427499999999999E-2</v>
      </c>
      <c r="AH359" s="429">
        <f t="shared" ref="AH359" si="1129">+AH360+AH361</f>
        <v>6.4356250000000004E-3</v>
      </c>
      <c r="AI359" s="429">
        <f t="shared" ref="AI359" si="1130">+AI360+AI361</f>
        <v>4.3270000000000003E-2</v>
      </c>
      <c r="AJ359" s="429">
        <f t="shared" ref="AJ359" si="1131">+AJ360+AJ361</f>
        <v>4.0983749999999999E-2</v>
      </c>
      <c r="AK359" s="429">
        <f t="shared" ref="AK359" si="1132">+AK360+AK361</f>
        <v>4.2126875000000001E-2</v>
      </c>
      <c r="AL359" s="429">
        <f t="shared" ref="AL359" si="1133">+AL360+AL361</f>
        <v>4.3833749999999998E-2</v>
      </c>
      <c r="AM359" s="429">
        <f t="shared" ref="AM359" si="1134">+AM360+AM361</f>
        <v>4.3833749999999998E-2</v>
      </c>
      <c r="AN359" s="429">
        <f t="shared" ref="AN359:AP359" si="1135">+AN360+AN361</f>
        <v>4.3833749999999998E-2</v>
      </c>
      <c r="AO359" s="429">
        <f t="shared" si="1135"/>
        <v>3.3833749999999996E-2</v>
      </c>
      <c r="AP359" s="429">
        <f t="shared" si="1135"/>
        <v>3.3833749999999996E-2</v>
      </c>
      <c r="AQ359" s="429">
        <f t="shared" ref="AQ359:BR359" si="1136">+AQ360+AQ361</f>
        <v>3.3833749999999996E-2</v>
      </c>
      <c r="AR359" s="429">
        <f t="shared" si="1136"/>
        <v>3.3833749999999996E-2</v>
      </c>
      <c r="AS359" s="429">
        <f t="shared" si="1136"/>
        <v>3.3833749999999996E-2</v>
      </c>
      <c r="AT359" s="429">
        <f t="shared" si="1136"/>
        <v>3.3833749999999996E-2</v>
      </c>
      <c r="AU359" s="429">
        <f t="shared" si="1136"/>
        <v>3.3833749999999996E-2</v>
      </c>
      <c r="AV359" s="429">
        <f t="shared" si="1136"/>
        <v>3.3833749999999996E-2</v>
      </c>
      <c r="AW359" s="429">
        <f t="shared" si="1136"/>
        <v>3.3833749999999996E-2</v>
      </c>
      <c r="AX359" s="429">
        <f t="shared" si="1136"/>
        <v>3.3833749999999996E-2</v>
      </c>
      <c r="AY359" s="429">
        <f t="shared" si="1136"/>
        <v>3.3833749999999996E-2</v>
      </c>
      <c r="AZ359" s="429">
        <f t="shared" si="1136"/>
        <v>3.3833749999999996E-2</v>
      </c>
      <c r="BA359" s="429">
        <f t="shared" si="1136"/>
        <v>3.3833749999999996E-2</v>
      </c>
      <c r="BB359" s="429">
        <f t="shared" si="1136"/>
        <v>3.3833749999999996E-2</v>
      </c>
      <c r="BC359" s="429">
        <f t="shared" si="1136"/>
        <v>3.3833749999999996E-2</v>
      </c>
      <c r="BD359" s="429">
        <f t="shared" si="1136"/>
        <v>3.3833749999999996E-2</v>
      </c>
      <c r="BE359" s="429">
        <f t="shared" si="1136"/>
        <v>3.3833749999999996E-2</v>
      </c>
      <c r="BF359" s="429">
        <f t="shared" si="1136"/>
        <v>3.3833749999999996E-2</v>
      </c>
      <c r="BG359" s="429">
        <f t="shared" si="1136"/>
        <v>3.3833749999999996E-2</v>
      </c>
      <c r="BH359" s="429">
        <f t="shared" si="1136"/>
        <v>3.3833749999999996E-2</v>
      </c>
      <c r="BI359" s="429">
        <f t="shared" si="1136"/>
        <v>3.3833749999999996E-2</v>
      </c>
      <c r="BJ359" s="429">
        <f t="shared" si="1136"/>
        <v>3.3833749999999996E-2</v>
      </c>
      <c r="BK359" s="429">
        <f t="shared" si="1136"/>
        <v>3.3833749999999996E-2</v>
      </c>
      <c r="BL359" s="429">
        <f t="shared" si="1136"/>
        <v>3.3833749999999996E-2</v>
      </c>
      <c r="BM359" s="429">
        <f t="shared" si="1136"/>
        <v>3.3833749999999996E-2</v>
      </c>
      <c r="BN359" s="429">
        <f t="shared" si="1136"/>
        <v>3.3833749999999996E-2</v>
      </c>
      <c r="BO359" s="429">
        <f t="shared" si="1136"/>
        <v>3.3833749999999996E-2</v>
      </c>
      <c r="BP359" s="429">
        <f t="shared" si="1136"/>
        <v>3.3833749999999996E-2</v>
      </c>
      <c r="BQ359" s="429">
        <f t="shared" si="1136"/>
        <v>3.3833749999999996E-2</v>
      </c>
      <c r="BR359" s="429">
        <f t="shared" si="1136"/>
        <v>3.3833749999999996E-2</v>
      </c>
    </row>
    <row r="360" spans="1:70" outlineLevel="1">
      <c r="A360" s="208" t="s">
        <v>413</v>
      </c>
      <c r="C360" s="384" t="s">
        <v>536</v>
      </c>
      <c r="D360" s="31" t="s">
        <v>66</v>
      </c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AF360" s="542">
        <f>CHOOSE($AG$1,AF412,AF451,AF490,AF529)</f>
        <v>2.8443750000000004E-2</v>
      </c>
      <c r="AG360" s="972">
        <f>CHOOSE($AG$1,AG412,AG451,AG490,AG529)</f>
        <v>3.44275E-2</v>
      </c>
      <c r="AH360" s="396">
        <f>AVERAGE(AF360,AG360)</f>
        <v>3.1435625000000002E-2</v>
      </c>
      <c r="AI360" s="443">
        <f>CHOOSE($AG$1,AI412,AI451,AI490,AI529)</f>
        <v>2.827E-2</v>
      </c>
      <c r="AJ360" s="443">
        <f>CHOOSE($AG$1,AJ412,AJ451,AJ490,AJ529)</f>
        <v>3.0983750000000001E-2</v>
      </c>
      <c r="AK360" s="396">
        <f>AVERAGE(AI360,AJ360)</f>
        <v>2.9626875E-2</v>
      </c>
      <c r="AL360" s="443">
        <f>CHOOSE($AG$1,AL412,AL451,AL490,AL529)</f>
        <v>3.3833749999999996E-2</v>
      </c>
      <c r="AM360" s="443">
        <f>CHOOSE($AG$1,AM412,AM451,AM490,AM529)</f>
        <v>3.3833749999999996E-2</v>
      </c>
      <c r="AN360" s="396">
        <f>AVERAGE(AL360,AM360)</f>
        <v>3.3833749999999996E-2</v>
      </c>
      <c r="AO360" s="443">
        <f>CHOOSE($AG$1,AO412,AO451,AO490,AO529)</f>
        <v>3.3833749999999996E-2</v>
      </c>
      <c r="AP360" s="443">
        <f>CHOOSE($AG$1,AP412,AP451,AP490,AP529)</f>
        <v>3.3833749999999996E-2</v>
      </c>
      <c r="AQ360" s="396">
        <f>AVERAGE(AO360,AP360)</f>
        <v>3.3833749999999996E-2</v>
      </c>
      <c r="AR360" s="443">
        <f>CHOOSE($AG$1,AR412,AR451,AR490,AR529)</f>
        <v>3.3833749999999996E-2</v>
      </c>
      <c r="AS360" s="443">
        <f>CHOOSE($AG$1,AS412,AS451,AS490,AS529)</f>
        <v>3.3833749999999996E-2</v>
      </c>
      <c r="AT360" s="396">
        <f>AVERAGE(AR360,AS360)</f>
        <v>3.3833749999999996E-2</v>
      </c>
      <c r="AU360" s="443">
        <f>CHOOSE($AG$1,AU412,AU451,AU490,AU529)</f>
        <v>3.3833749999999996E-2</v>
      </c>
      <c r="AV360" s="443">
        <f>CHOOSE($AG$1,AV412,AV451,AV490,AV529)</f>
        <v>3.3833749999999996E-2</v>
      </c>
      <c r="AW360" s="396">
        <f>AVERAGE(AU360,AV360)</f>
        <v>3.3833749999999996E-2</v>
      </c>
      <c r="AX360" s="443">
        <f>CHOOSE($AG$1,AX412,AX451,AX490,AX529)</f>
        <v>3.3833749999999996E-2</v>
      </c>
      <c r="AY360" s="443">
        <f>CHOOSE($AG$1,AY412,AY451,AY490,AY529)</f>
        <v>3.3833749999999996E-2</v>
      </c>
      <c r="AZ360" s="396">
        <f>AVERAGE(AX360,AY360)</f>
        <v>3.3833749999999996E-2</v>
      </c>
      <c r="BA360" s="443">
        <f>CHOOSE($AG$1,BA412,BA451,BA490,BA529)</f>
        <v>3.3833749999999996E-2</v>
      </c>
      <c r="BB360" s="443">
        <f>CHOOSE($AG$1,BB412,BB451,BB490,BB529)</f>
        <v>3.3833749999999996E-2</v>
      </c>
      <c r="BC360" s="396">
        <f>AVERAGE(BA360,BB360)</f>
        <v>3.3833749999999996E-2</v>
      </c>
      <c r="BD360" s="443">
        <f>CHOOSE($AG$1,BD412,BD451,BD490,BD529)</f>
        <v>3.3833749999999996E-2</v>
      </c>
      <c r="BE360" s="443">
        <f>CHOOSE($AG$1,BE412,BE451,BE490,BE529)</f>
        <v>3.3833749999999996E-2</v>
      </c>
      <c r="BF360" s="396">
        <f>AVERAGE(BD360,BE360)</f>
        <v>3.3833749999999996E-2</v>
      </c>
      <c r="BG360" s="443">
        <f>CHOOSE($AG$1,BG412,BG451,BG490,BG529)</f>
        <v>3.3833749999999996E-2</v>
      </c>
      <c r="BH360" s="443">
        <f>CHOOSE($AG$1,BH412,BH451,BH490,BH529)</f>
        <v>3.3833749999999996E-2</v>
      </c>
      <c r="BI360" s="396">
        <f>AVERAGE(BG360,BH360)</f>
        <v>3.3833749999999996E-2</v>
      </c>
      <c r="BJ360" s="443">
        <f>CHOOSE($AG$1,BJ412,BJ451,BJ490,BJ529)</f>
        <v>3.3833749999999996E-2</v>
      </c>
      <c r="BK360" s="443">
        <f>CHOOSE($AG$1,BK412,BK451,BK490,BK529)</f>
        <v>3.3833749999999996E-2</v>
      </c>
      <c r="BL360" s="396">
        <f>AVERAGE(BJ360,BK360)</f>
        <v>3.3833749999999996E-2</v>
      </c>
      <c r="BM360" s="443">
        <f>CHOOSE($AG$1,BM412,BM451,BM490,BM529)</f>
        <v>3.3833749999999996E-2</v>
      </c>
      <c r="BN360" s="443">
        <f>CHOOSE($AG$1,BN412,BN451,BN490,BN529)</f>
        <v>3.3833749999999996E-2</v>
      </c>
      <c r="BO360" s="396">
        <f>AVERAGE(BM360,BN360)</f>
        <v>3.3833749999999996E-2</v>
      </c>
      <c r="BP360" s="443">
        <f>CHOOSE($AG$1,BP412,BP451,BP490,BP529)</f>
        <v>3.3833749999999996E-2</v>
      </c>
      <c r="BQ360" s="443">
        <f>CHOOSE($AG$1,BQ412,BQ451,BQ490,BQ529)</f>
        <v>3.3833749999999996E-2</v>
      </c>
      <c r="BR360" s="396">
        <f>AVERAGE(BP360,BQ360)</f>
        <v>3.3833749999999996E-2</v>
      </c>
    </row>
    <row r="361" spans="1:70" outlineLevel="1">
      <c r="C361" s="384" t="s">
        <v>535</v>
      </c>
      <c r="D361" s="31" t="s">
        <v>66</v>
      </c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AF361" s="591">
        <v>-0.03</v>
      </c>
      <c r="AG361" s="975">
        <v>-0.02</v>
      </c>
      <c r="AH361" s="63">
        <f>AVERAGE(AF361,AG361)</f>
        <v>-2.5000000000000001E-2</v>
      </c>
      <c r="AI361" s="134">
        <v>1.4999999999999999E-2</v>
      </c>
      <c r="AJ361" s="134">
        <v>0.01</v>
      </c>
      <c r="AK361" s="63">
        <f>AVERAGE(AI361,AJ361)</f>
        <v>1.2500000000000001E-2</v>
      </c>
      <c r="AL361" s="134">
        <v>0.01</v>
      </c>
      <c r="AM361" s="134">
        <v>0.01</v>
      </c>
      <c r="AN361" s="63">
        <f>AVERAGE(AL361,AM361)</f>
        <v>0.01</v>
      </c>
      <c r="AO361" s="134">
        <v>0</v>
      </c>
      <c r="AP361" s="134">
        <v>0</v>
      </c>
      <c r="AQ361" s="63">
        <f>AVERAGE(AO361,AP361)</f>
        <v>0</v>
      </c>
      <c r="AR361" s="134">
        <v>0</v>
      </c>
      <c r="AS361" s="134">
        <v>0</v>
      </c>
      <c r="AT361" s="63">
        <f>AVERAGE(AR361,AS361)</f>
        <v>0</v>
      </c>
      <c r="AU361" s="134">
        <v>0</v>
      </c>
      <c r="AV361" s="134">
        <v>0</v>
      </c>
      <c r="AW361" s="63">
        <f>AVERAGE(AU361,AV361)</f>
        <v>0</v>
      </c>
      <c r="AX361" s="134">
        <v>0</v>
      </c>
      <c r="AY361" s="134">
        <v>0</v>
      </c>
      <c r="AZ361" s="63">
        <f>AVERAGE(AX361,AY361)</f>
        <v>0</v>
      </c>
      <c r="BA361" s="134">
        <v>0</v>
      </c>
      <c r="BB361" s="134">
        <v>0</v>
      </c>
      <c r="BC361" s="63">
        <f>AVERAGE(BA361,BB361)</f>
        <v>0</v>
      </c>
      <c r="BD361" s="134">
        <v>0</v>
      </c>
      <c r="BE361" s="134">
        <v>0</v>
      </c>
      <c r="BF361" s="63">
        <f>AVERAGE(BD361,BE361)</f>
        <v>0</v>
      </c>
      <c r="BG361" s="134">
        <v>0</v>
      </c>
      <c r="BH361" s="134">
        <v>0</v>
      </c>
      <c r="BI361" s="63">
        <f>AVERAGE(BG361,BH361)</f>
        <v>0</v>
      </c>
      <c r="BJ361" s="134">
        <v>0</v>
      </c>
      <c r="BK361" s="134">
        <v>0</v>
      </c>
      <c r="BL361" s="63">
        <f>AVERAGE(BJ361,BK361)</f>
        <v>0</v>
      </c>
      <c r="BM361" s="134">
        <v>0</v>
      </c>
      <c r="BN361" s="134">
        <v>0</v>
      </c>
      <c r="BO361" s="63">
        <f>AVERAGE(BM361,BN361)</f>
        <v>0</v>
      </c>
      <c r="BP361" s="134">
        <v>0</v>
      </c>
      <c r="BQ361" s="134">
        <v>0</v>
      </c>
      <c r="BR361" s="63">
        <f>AVERAGE(BP361,BQ361)</f>
        <v>0</v>
      </c>
    </row>
    <row r="362" spans="1:70" s="29" customFormat="1" outlineLevel="1">
      <c r="A362" s="356"/>
      <c r="B362" s="6"/>
      <c r="C362" s="444" t="s">
        <v>271</v>
      </c>
      <c r="D362" s="445" t="s">
        <v>66</v>
      </c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130"/>
      <c r="AF362" s="449">
        <f t="shared" ref="AF362:BR362" si="1137">(AF356*(AF1248/(AF1248+AF1249)))+(AF359*(AF1249/(AF1248+AF1249)))</f>
        <v>-1.5562499999999951E-3</v>
      </c>
      <c r="AG362" s="979">
        <f t="shared" si="1137"/>
        <v>1.4427499999999998E-2</v>
      </c>
      <c r="AH362" s="449">
        <f t="shared" si="1137"/>
        <v>6.4356250000000004E-3</v>
      </c>
      <c r="AI362" s="449">
        <f t="shared" si="1137"/>
        <v>4.3270000000000003E-2</v>
      </c>
      <c r="AJ362" s="449">
        <f t="shared" si="1137"/>
        <v>4.0983749999999992E-2</v>
      </c>
      <c r="AK362" s="449">
        <f t="shared" si="1137"/>
        <v>4.2126875000000001E-2</v>
      </c>
      <c r="AL362" s="449">
        <f t="shared" si="1137"/>
        <v>4.3833749999999991E-2</v>
      </c>
      <c r="AM362" s="449">
        <f t="shared" si="1137"/>
        <v>4.3833749999999998E-2</v>
      </c>
      <c r="AN362" s="449">
        <f t="shared" si="1137"/>
        <v>4.3833750000000005E-2</v>
      </c>
      <c r="AO362" s="449">
        <f t="shared" si="1137"/>
        <v>3.3833749999999996E-2</v>
      </c>
      <c r="AP362" s="449">
        <f t="shared" si="1137"/>
        <v>3.3833749999999996E-2</v>
      </c>
      <c r="AQ362" s="449">
        <f t="shared" si="1137"/>
        <v>3.3833749999999996E-2</v>
      </c>
      <c r="AR362" s="449">
        <f t="shared" si="1137"/>
        <v>3.3833749999999996E-2</v>
      </c>
      <c r="AS362" s="449">
        <f t="shared" si="1137"/>
        <v>3.3833749999999996E-2</v>
      </c>
      <c r="AT362" s="449">
        <f t="shared" si="1137"/>
        <v>3.3833749999999996E-2</v>
      </c>
      <c r="AU362" s="449">
        <f t="shared" si="1137"/>
        <v>3.3833749999999996E-2</v>
      </c>
      <c r="AV362" s="449">
        <f t="shared" si="1137"/>
        <v>3.3833749999999996E-2</v>
      </c>
      <c r="AW362" s="449">
        <f t="shared" si="1137"/>
        <v>3.3833749999999996E-2</v>
      </c>
      <c r="AX362" s="449">
        <f t="shared" si="1137"/>
        <v>3.3833749999999996E-2</v>
      </c>
      <c r="AY362" s="449">
        <f t="shared" si="1137"/>
        <v>3.3833749999999996E-2</v>
      </c>
      <c r="AZ362" s="449">
        <f t="shared" si="1137"/>
        <v>3.3833749999999996E-2</v>
      </c>
      <c r="BA362" s="449">
        <f t="shared" si="1137"/>
        <v>3.3833749999999996E-2</v>
      </c>
      <c r="BB362" s="449">
        <f t="shared" si="1137"/>
        <v>3.3833749999999996E-2</v>
      </c>
      <c r="BC362" s="449">
        <f t="shared" si="1137"/>
        <v>3.3833749999999996E-2</v>
      </c>
      <c r="BD362" s="449">
        <f t="shared" si="1137"/>
        <v>3.3833749999999996E-2</v>
      </c>
      <c r="BE362" s="449">
        <f t="shared" si="1137"/>
        <v>3.3833749999999996E-2</v>
      </c>
      <c r="BF362" s="449">
        <f t="shared" si="1137"/>
        <v>3.3833749999999996E-2</v>
      </c>
      <c r="BG362" s="449">
        <f t="shared" si="1137"/>
        <v>3.3833749999999996E-2</v>
      </c>
      <c r="BH362" s="449">
        <f t="shared" si="1137"/>
        <v>3.3833749999999996E-2</v>
      </c>
      <c r="BI362" s="449">
        <f t="shared" si="1137"/>
        <v>3.3833749999999996E-2</v>
      </c>
      <c r="BJ362" s="449">
        <f t="shared" si="1137"/>
        <v>3.3833749999999996E-2</v>
      </c>
      <c r="BK362" s="449">
        <f t="shared" si="1137"/>
        <v>3.3833749999999996E-2</v>
      </c>
      <c r="BL362" s="449">
        <f t="shared" si="1137"/>
        <v>3.3833749999999996E-2</v>
      </c>
      <c r="BM362" s="449">
        <f t="shared" si="1137"/>
        <v>3.3833749999999996E-2</v>
      </c>
      <c r="BN362" s="449">
        <f t="shared" si="1137"/>
        <v>3.3833749999999996E-2</v>
      </c>
      <c r="BO362" s="449">
        <f t="shared" si="1137"/>
        <v>3.3833749999999996E-2</v>
      </c>
      <c r="BP362" s="449">
        <f t="shared" si="1137"/>
        <v>3.3833749999999996E-2</v>
      </c>
      <c r="BQ362" s="449">
        <f t="shared" si="1137"/>
        <v>3.3833749999999996E-2</v>
      </c>
      <c r="BR362" s="449">
        <f t="shared" si="1137"/>
        <v>3.3833749999999996E-2</v>
      </c>
    </row>
    <row r="363" spans="1:70" outlineLevel="1">
      <c r="C363" s="108" t="s">
        <v>100</v>
      </c>
      <c r="D363" s="31" t="s">
        <v>66</v>
      </c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AF363" s="429">
        <f>+AF364+AF365</f>
        <v>2.8443750000000004E-2</v>
      </c>
      <c r="AG363" s="974">
        <f t="shared" ref="AG363" si="1138">+AG364+AG365</f>
        <v>1.4427499999999999E-2</v>
      </c>
      <c r="AH363" s="429">
        <f t="shared" ref="AH363" si="1139">+AH364+AH365</f>
        <v>2.1435625E-2</v>
      </c>
      <c r="AI363" s="429">
        <f t="shared" ref="AI363" si="1140">+AI364+AI365</f>
        <v>4.3270000000000003E-2</v>
      </c>
      <c r="AJ363" s="429">
        <f t="shared" ref="AJ363" si="1141">+AJ364+AJ365</f>
        <v>4.0983749999999999E-2</v>
      </c>
      <c r="AK363" s="429">
        <f t="shared" ref="AK363" si="1142">+AK364+AK365</f>
        <v>4.2126875000000001E-2</v>
      </c>
      <c r="AL363" s="429">
        <f t="shared" ref="AL363" si="1143">+AL364+AL365</f>
        <v>4.3833749999999998E-2</v>
      </c>
      <c r="AM363" s="429">
        <f t="shared" ref="AM363" si="1144">+AM364+AM365</f>
        <v>4.3833749999999998E-2</v>
      </c>
      <c r="AN363" s="429">
        <f t="shared" ref="AN363:AP363" si="1145">+AN364+AN365</f>
        <v>4.3833749999999998E-2</v>
      </c>
      <c r="AO363" s="429">
        <f t="shared" si="1145"/>
        <v>3.3833749999999996E-2</v>
      </c>
      <c r="AP363" s="429">
        <f t="shared" si="1145"/>
        <v>3.3833749999999996E-2</v>
      </c>
      <c r="AQ363" s="429">
        <f t="shared" ref="AQ363:BR363" si="1146">+AQ364+AQ365</f>
        <v>3.3833749999999996E-2</v>
      </c>
      <c r="AR363" s="429">
        <f t="shared" si="1146"/>
        <v>3.3833749999999996E-2</v>
      </c>
      <c r="AS363" s="429">
        <f t="shared" si="1146"/>
        <v>3.3833749999999996E-2</v>
      </c>
      <c r="AT363" s="429">
        <f t="shared" si="1146"/>
        <v>3.3833749999999996E-2</v>
      </c>
      <c r="AU363" s="429">
        <f t="shared" si="1146"/>
        <v>3.3833749999999996E-2</v>
      </c>
      <c r="AV363" s="429">
        <f t="shared" si="1146"/>
        <v>3.3833749999999996E-2</v>
      </c>
      <c r="AW363" s="429">
        <f t="shared" si="1146"/>
        <v>3.3833749999999996E-2</v>
      </c>
      <c r="AX363" s="429">
        <f t="shared" si="1146"/>
        <v>3.3833749999999996E-2</v>
      </c>
      <c r="AY363" s="429">
        <f t="shared" si="1146"/>
        <v>3.3833749999999996E-2</v>
      </c>
      <c r="AZ363" s="429">
        <f t="shared" si="1146"/>
        <v>3.3833749999999996E-2</v>
      </c>
      <c r="BA363" s="429">
        <f t="shared" si="1146"/>
        <v>3.3833749999999996E-2</v>
      </c>
      <c r="BB363" s="429">
        <f t="shared" si="1146"/>
        <v>3.3833749999999996E-2</v>
      </c>
      <c r="BC363" s="429">
        <f t="shared" si="1146"/>
        <v>3.3833749999999996E-2</v>
      </c>
      <c r="BD363" s="429">
        <f t="shared" si="1146"/>
        <v>3.3833749999999996E-2</v>
      </c>
      <c r="BE363" s="429">
        <f t="shared" si="1146"/>
        <v>3.3833749999999996E-2</v>
      </c>
      <c r="BF363" s="429">
        <f t="shared" si="1146"/>
        <v>3.3833749999999996E-2</v>
      </c>
      <c r="BG363" s="429">
        <f t="shared" si="1146"/>
        <v>3.3833749999999996E-2</v>
      </c>
      <c r="BH363" s="429">
        <f t="shared" si="1146"/>
        <v>3.3833749999999996E-2</v>
      </c>
      <c r="BI363" s="429">
        <f t="shared" si="1146"/>
        <v>3.3833749999999996E-2</v>
      </c>
      <c r="BJ363" s="429">
        <f t="shared" si="1146"/>
        <v>3.3833749999999996E-2</v>
      </c>
      <c r="BK363" s="429">
        <f t="shared" si="1146"/>
        <v>3.3833749999999996E-2</v>
      </c>
      <c r="BL363" s="429">
        <f t="shared" si="1146"/>
        <v>3.3833749999999996E-2</v>
      </c>
      <c r="BM363" s="429">
        <f t="shared" si="1146"/>
        <v>3.3833749999999996E-2</v>
      </c>
      <c r="BN363" s="429">
        <f t="shared" si="1146"/>
        <v>3.3833749999999996E-2</v>
      </c>
      <c r="BO363" s="429">
        <f t="shared" si="1146"/>
        <v>3.3833749999999996E-2</v>
      </c>
      <c r="BP363" s="429">
        <f t="shared" si="1146"/>
        <v>3.3833749999999996E-2</v>
      </c>
      <c r="BQ363" s="429">
        <f t="shared" si="1146"/>
        <v>3.3833749999999996E-2</v>
      </c>
      <c r="BR363" s="429">
        <f t="shared" si="1146"/>
        <v>3.3833749999999996E-2</v>
      </c>
    </row>
    <row r="364" spans="1:70" outlineLevel="1">
      <c r="A364" s="208" t="s">
        <v>413</v>
      </c>
      <c r="C364" s="384" t="s">
        <v>536</v>
      </c>
      <c r="D364" s="31" t="s">
        <v>66</v>
      </c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AF364" s="542">
        <f>CHOOSE($AG$1,AF412,AF451,AF490,AF529)</f>
        <v>2.8443750000000004E-2</v>
      </c>
      <c r="AG364" s="972">
        <f>CHOOSE($AG$1,AG412,AG451,AG490,AG529)</f>
        <v>3.44275E-2</v>
      </c>
      <c r="AH364" s="396">
        <f>AVERAGE(AF364,AG364)</f>
        <v>3.1435625000000002E-2</v>
      </c>
      <c r="AI364" s="443">
        <f>CHOOSE($AG$1,AI412,AI451,AI490,AI529)</f>
        <v>2.827E-2</v>
      </c>
      <c r="AJ364" s="443">
        <f>CHOOSE($AG$1,AJ412,AJ451,AJ490,AJ529)</f>
        <v>3.0983750000000001E-2</v>
      </c>
      <c r="AK364" s="396">
        <f>AVERAGE(AI364,AJ364)</f>
        <v>2.9626875E-2</v>
      </c>
      <c r="AL364" s="443">
        <f>CHOOSE($AG$1,AL412,AL451,AL490,AL529)</f>
        <v>3.3833749999999996E-2</v>
      </c>
      <c r="AM364" s="443">
        <f>CHOOSE($AG$1,AM412,AM451,AM490,AM529)</f>
        <v>3.3833749999999996E-2</v>
      </c>
      <c r="AN364" s="396">
        <f>AVERAGE(AL364,AM364)</f>
        <v>3.3833749999999996E-2</v>
      </c>
      <c r="AO364" s="443">
        <f>CHOOSE($AG$1,AO412,AO451,AO490,AO529)</f>
        <v>3.3833749999999996E-2</v>
      </c>
      <c r="AP364" s="443">
        <f>CHOOSE($AG$1,AP412,AP451,AP490,AP529)</f>
        <v>3.3833749999999996E-2</v>
      </c>
      <c r="AQ364" s="396">
        <f>AVERAGE(AO364,AP364)</f>
        <v>3.3833749999999996E-2</v>
      </c>
      <c r="AR364" s="443">
        <f>CHOOSE($AG$1,AR412,AR451,AR490,AR529)</f>
        <v>3.3833749999999996E-2</v>
      </c>
      <c r="AS364" s="443">
        <f>CHOOSE($AG$1,AS412,AS451,AS490,AS529)</f>
        <v>3.3833749999999996E-2</v>
      </c>
      <c r="AT364" s="396">
        <f>AVERAGE(AR364,AS364)</f>
        <v>3.3833749999999996E-2</v>
      </c>
      <c r="AU364" s="443">
        <f>CHOOSE($AG$1,AU412,AU451,AU490,AU529)</f>
        <v>3.3833749999999996E-2</v>
      </c>
      <c r="AV364" s="443">
        <f>CHOOSE($AG$1,AV412,AV451,AV490,AV529)</f>
        <v>3.3833749999999996E-2</v>
      </c>
      <c r="AW364" s="396">
        <f>AVERAGE(AU364,AV364)</f>
        <v>3.3833749999999996E-2</v>
      </c>
      <c r="AX364" s="443">
        <f>CHOOSE($AG$1,AX412,AX451,AX490,AX529)</f>
        <v>3.3833749999999996E-2</v>
      </c>
      <c r="AY364" s="443">
        <f>CHOOSE($AG$1,AY412,AY451,AY490,AY529)</f>
        <v>3.3833749999999996E-2</v>
      </c>
      <c r="AZ364" s="396">
        <f>AVERAGE(AX364,AY364)</f>
        <v>3.3833749999999996E-2</v>
      </c>
      <c r="BA364" s="443">
        <f>CHOOSE($AG$1,BA412,BA451,BA490,BA529)</f>
        <v>3.3833749999999996E-2</v>
      </c>
      <c r="BB364" s="443">
        <f>CHOOSE($AG$1,BB412,BB451,BB490,BB529)</f>
        <v>3.3833749999999996E-2</v>
      </c>
      <c r="BC364" s="396">
        <f>AVERAGE(BA364,BB364)</f>
        <v>3.3833749999999996E-2</v>
      </c>
      <c r="BD364" s="443">
        <f>CHOOSE($AG$1,BD412,BD451,BD490,BD529)</f>
        <v>3.3833749999999996E-2</v>
      </c>
      <c r="BE364" s="443">
        <f>CHOOSE($AG$1,BE412,BE451,BE490,BE529)</f>
        <v>3.3833749999999996E-2</v>
      </c>
      <c r="BF364" s="396">
        <f>AVERAGE(BD364,BE364)</f>
        <v>3.3833749999999996E-2</v>
      </c>
      <c r="BG364" s="443">
        <f>CHOOSE($AG$1,BG412,BG451,BG490,BG529)</f>
        <v>3.3833749999999996E-2</v>
      </c>
      <c r="BH364" s="443">
        <f>CHOOSE($AG$1,BH412,BH451,BH490,BH529)</f>
        <v>3.3833749999999996E-2</v>
      </c>
      <c r="BI364" s="396">
        <f>AVERAGE(BG364,BH364)</f>
        <v>3.3833749999999996E-2</v>
      </c>
      <c r="BJ364" s="443">
        <f>CHOOSE($AG$1,BJ412,BJ451,BJ490,BJ529)</f>
        <v>3.3833749999999996E-2</v>
      </c>
      <c r="BK364" s="443">
        <f>CHOOSE($AG$1,BK412,BK451,BK490,BK529)</f>
        <v>3.3833749999999996E-2</v>
      </c>
      <c r="BL364" s="396">
        <f>AVERAGE(BJ364,BK364)</f>
        <v>3.3833749999999996E-2</v>
      </c>
      <c r="BM364" s="443">
        <f>CHOOSE($AG$1,BM412,BM451,BM490,BM529)</f>
        <v>3.3833749999999996E-2</v>
      </c>
      <c r="BN364" s="443">
        <f>CHOOSE($AG$1,BN412,BN451,BN490,BN529)</f>
        <v>3.3833749999999996E-2</v>
      </c>
      <c r="BO364" s="396">
        <f>AVERAGE(BM364,BN364)</f>
        <v>3.3833749999999996E-2</v>
      </c>
      <c r="BP364" s="443">
        <f>CHOOSE($AG$1,BP412,BP451,BP490,BP529)</f>
        <v>3.3833749999999996E-2</v>
      </c>
      <c r="BQ364" s="443">
        <f>CHOOSE($AG$1,BQ412,BQ451,BQ490,BQ529)</f>
        <v>3.3833749999999996E-2</v>
      </c>
      <c r="BR364" s="396">
        <f>AVERAGE(BP364,BQ364)</f>
        <v>3.3833749999999996E-2</v>
      </c>
    </row>
    <row r="365" spans="1:70" outlineLevel="1">
      <c r="C365" s="384" t="s">
        <v>535</v>
      </c>
      <c r="D365" s="31" t="s">
        <v>66</v>
      </c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AF365" s="591">
        <v>0</v>
      </c>
      <c r="AG365" s="975">
        <v>-0.02</v>
      </c>
      <c r="AH365" s="63">
        <f>AVERAGE(AF365,AG365)</f>
        <v>-0.01</v>
      </c>
      <c r="AI365" s="134">
        <v>1.4999999999999999E-2</v>
      </c>
      <c r="AJ365" s="134">
        <v>0.01</v>
      </c>
      <c r="AK365" s="63">
        <f>AVERAGE(AI365,AJ365)</f>
        <v>1.2500000000000001E-2</v>
      </c>
      <c r="AL365" s="134">
        <v>0.01</v>
      </c>
      <c r="AM365" s="134">
        <v>0.01</v>
      </c>
      <c r="AN365" s="63">
        <f>AVERAGE(AL365,AM365)</f>
        <v>0.01</v>
      </c>
      <c r="AO365" s="134">
        <v>0</v>
      </c>
      <c r="AP365" s="134">
        <v>0</v>
      </c>
      <c r="AQ365" s="63">
        <f>AVERAGE(AO365,AP365)</f>
        <v>0</v>
      </c>
      <c r="AR365" s="134">
        <v>0</v>
      </c>
      <c r="AS365" s="134">
        <v>0</v>
      </c>
      <c r="AT365" s="63">
        <f>AVERAGE(AR365,AS365)</f>
        <v>0</v>
      </c>
      <c r="AU365" s="134">
        <v>0</v>
      </c>
      <c r="AV365" s="134">
        <v>0</v>
      </c>
      <c r="AW365" s="63">
        <f>AVERAGE(AU365,AV365)</f>
        <v>0</v>
      </c>
      <c r="AX365" s="134">
        <v>0</v>
      </c>
      <c r="AY365" s="134">
        <v>0</v>
      </c>
      <c r="AZ365" s="63">
        <f>AVERAGE(AX365,AY365)</f>
        <v>0</v>
      </c>
      <c r="BA365" s="134">
        <v>0</v>
      </c>
      <c r="BB365" s="134">
        <v>0</v>
      </c>
      <c r="BC365" s="63">
        <f>AVERAGE(BA365,BB365)</f>
        <v>0</v>
      </c>
      <c r="BD365" s="134">
        <v>0</v>
      </c>
      <c r="BE365" s="134">
        <v>0</v>
      </c>
      <c r="BF365" s="63">
        <f>AVERAGE(BD365,BE365)</f>
        <v>0</v>
      </c>
      <c r="BG365" s="134">
        <v>0</v>
      </c>
      <c r="BH365" s="134">
        <v>0</v>
      </c>
      <c r="BI365" s="63">
        <f>AVERAGE(BG365,BH365)</f>
        <v>0</v>
      </c>
      <c r="BJ365" s="134">
        <v>0</v>
      </c>
      <c r="BK365" s="134">
        <v>0</v>
      </c>
      <c r="BL365" s="63">
        <f>AVERAGE(BJ365,BK365)</f>
        <v>0</v>
      </c>
      <c r="BM365" s="134">
        <v>0</v>
      </c>
      <c r="BN365" s="134">
        <v>0</v>
      </c>
      <c r="BO365" s="63">
        <f>AVERAGE(BM365,BN365)</f>
        <v>0</v>
      </c>
      <c r="BP365" s="134">
        <v>0</v>
      </c>
      <c r="BQ365" s="134">
        <v>0</v>
      </c>
      <c r="BR365" s="63">
        <f>AVERAGE(BP365,BQ365)</f>
        <v>0</v>
      </c>
    </row>
    <row r="366" spans="1:70" outlineLevel="1">
      <c r="C366" s="113" t="s">
        <v>92</v>
      </c>
      <c r="D366" s="31" t="s">
        <v>66</v>
      </c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AF366" s="334">
        <f t="shared" ref="AF366:AN366" si="1147">AF367+AF368</f>
        <v>3.9774539116565977E-2</v>
      </c>
      <c r="AG366" s="980">
        <f t="shared" si="1147"/>
        <v>4.4042001309690826E-2</v>
      </c>
      <c r="AH366" s="51">
        <f t="shared" si="1147"/>
        <v>4.1908270213128401E-2</v>
      </c>
      <c r="AI366" s="51">
        <f t="shared" si="1147"/>
        <v>2.7229945632338881E-2</v>
      </c>
      <c r="AJ366" s="51">
        <f t="shared" si="1147"/>
        <v>4.0322580645161255E-3</v>
      </c>
      <c r="AK366" s="51">
        <f t="shared" si="1147"/>
        <v>1.5631101848427503E-2</v>
      </c>
      <c r="AL366" s="51">
        <f t="shared" si="1147"/>
        <v>0</v>
      </c>
      <c r="AM366" s="51">
        <f t="shared" si="1147"/>
        <v>7.9365079365079638E-3</v>
      </c>
      <c r="AN366" s="51">
        <f t="shared" si="1147"/>
        <v>3.9682539682539819E-3</v>
      </c>
      <c r="AO366" s="51">
        <f t="shared" ref="AO366:BR366" si="1148">AO367+AO368</f>
        <v>7.9365079365079638E-3</v>
      </c>
      <c r="AP366" s="51">
        <f t="shared" si="1148"/>
        <v>0</v>
      </c>
      <c r="AQ366" s="51">
        <f t="shared" si="1148"/>
        <v>3.9682539682539819E-3</v>
      </c>
      <c r="AR366" s="51">
        <f t="shared" si="1148"/>
        <v>0</v>
      </c>
      <c r="AS366" s="51">
        <f t="shared" si="1148"/>
        <v>0</v>
      </c>
      <c r="AT366" s="51">
        <f t="shared" si="1148"/>
        <v>0</v>
      </c>
      <c r="AU366" s="51">
        <f t="shared" si="1148"/>
        <v>0</v>
      </c>
      <c r="AV366" s="51">
        <f t="shared" si="1148"/>
        <v>0</v>
      </c>
      <c r="AW366" s="51">
        <f t="shared" si="1148"/>
        <v>0</v>
      </c>
      <c r="AX366" s="51">
        <f t="shared" si="1148"/>
        <v>0</v>
      </c>
      <c r="AY366" s="51">
        <f t="shared" si="1148"/>
        <v>0</v>
      </c>
      <c r="AZ366" s="51">
        <f t="shared" si="1148"/>
        <v>0</v>
      </c>
      <c r="BA366" s="51">
        <f t="shared" si="1148"/>
        <v>0</v>
      </c>
      <c r="BB366" s="51">
        <f t="shared" si="1148"/>
        <v>0</v>
      </c>
      <c r="BC366" s="51">
        <f t="shared" si="1148"/>
        <v>0</v>
      </c>
      <c r="BD366" s="51">
        <f t="shared" si="1148"/>
        <v>0</v>
      </c>
      <c r="BE366" s="51">
        <f t="shared" si="1148"/>
        <v>0</v>
      </c>
      <c r="BF366" s="51">
        <f t="shared" si="1148"/>
        <v>0</v>
      </c>
      <c r="BG366" s="51">
        <f t="shared" si="1148"/>
        <v>0</v>
      </c>
      <c r="BH366" s="51">
        <f t="shared" si="1148"/>
        <v>0</v>
      </c>
      <c r="BI366" s="51">
        <f t="shared" si="1148"/>
        <v>0</v>
      </c>
      <c r="BJ366" s="51">
        <f t="shared" si="1148"/>
        <v>0</v>
      </c>
      <c r="BK366" s="51">
        <f t="shared" si="1148"/>
        <v>0</v>
      </c>
      <c r="BL366" s="51">
        <f t="shared" si="1148"/>
        <v>0</v>
      </c>
      <c r="BM366" s="51">
        <f t="shared" si="1148"/>
        <v>0</v>
      </c>
      <c r="BN366" s="51">
        <f t="shared" si="1148"/>
        <v>0</v>
      </c>
      <c r="BO366" s="51">
        <f t="shared" si="1148"/>
        <v>0</v>
      </c>
      <c r="BP366" s="51">
        <f t="shared" si="1148"/>
        <v>0</v>
      </c>
      <c r="BQ366" s="51">
        <f t="shared" si="1148"/>
        <v>0</v>
      </c>
      <c r="BR366" s="51">
        <f t="shared" si="1148"/>
        <v>0</v>
      </c>
    </row>
    <row r="367" spans="1:70" outlineLevel="1">
      <c r="C367" s="93" t="s">
        <v>282</v>
      </c>
      <c r="D367" s="31" t="s">
        <v>66</v>
      </c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Q367" s="45"/>
      <c r="R367" s="15"/>
      <c r="S367" s="45"/>
      <c r="T367" s="45"/>
      <c r="U367" s="45"/>
      <c r="V367" s="45"/>
      <c r="W367" s="45"/>
      <c r="X367" s="15"/>
      <c r="Y367" s="45"/>
      <c r="Z367" s="45"/>
      <c r="AA367" s="15"/>
      <c r="AB367" s="45"/>
      <c r="AC367" s="45"/>
      <c r="AD367" s="46"/>
      <c r="AE367" s="830"/>
      <c r="AF367" s="393">
        <v>0</v>
      </c>
      <c r="AG367" s="976">
        <v>0</v>
      </c>
      <c r="AH367" s="351">
        <f>AVERAGE(AF367,AG367)</f>
        <v>0</v>
      </c>
      <c r="AI367" s="213">
        <v>0</v>
      </c>
      <c r="AJ367" s="213">
        <v>0</v>
      </c>
      <c r="AK367" s="351">
        <f>AVERAGE(AI367,AJ367)</f>
        <v>0</v>
      </c>
      <c r="AL367" s="213">
        <v>0</v>
      </c>
      <c r="AM367" s="213">
        <v>0</v>
      </c>
      <c r="AN367" s="351">
        <f>AVERAGE(AL367,AM367)</f>
        <v>0</v>
      </c>
      <c r="AO367" s="213">
        <v>0</v>
      </c>
      <c r="AP367" s="213">
        <v>0</v>
      </c>
      <c r="AQ367" s="351">
        <f>AVERAGE(AO367,AP367)</f>
        <v>0</v>
      </c>
      <c r="AR367" s="213">
        <v>0</v>
      </c>
      <c r="AS367" s="213">
        <v>0</v>
      </c>
      <c r="AT367" s="351">
        <f>AVERAGE(AR367,AS367)</f>
        <v>0</v>
      </c>
      <c r="AU367" s="213">
        <v>0</v>
      </c>
      <c r="AV367" s="213">
        <v>0</v>
      </c>
      <c r="AW367" s="351">
        <f>AVERAGE(AU367,AV367)</f>
        <v>0</v>
      </c>
      <c r="AX367" s="213">
        <v>0</v>
      </c>
      <c r="AY367" s="213">
        <v>0</v>
      </c>
      <c r="AZ367" s="351">
        <f>AVERAGE(AX367,AY367)</f>
        <v>0</v>
      </c>
      <c r="BA367" s="213">
        <v>0</v>
      </c>
      <c r="BB367" s="213">
        <v>0</v>
      </c>
      <c r="BC367" s="351">
        <f>AVERAGE(BA367,BB367)</f>
        <v>0</v>
      </c>
      <c r="BD367" s="213">
        <v>0</v>
      </c>
      <c r="BE367" s="213">
        <v>0</v>
      </c>
      <c r="BF367" s="351">
        <f>AVERAGE(BD367,BE367)</f>
        <v>0</v>
      </c>
      <c r="BG367" s="213">
        <v>0</v>
      </c>
      <c r="BH367" s="213">
        <v>0</v>
      </c>
      <c r="BI367" s="351">
        <f>AVERAGE(BG367,BH367)</f>
        <v>0</v>
      </c>
      <c r="BJ367" s="213">
        <v>0</v>
      </c>
      <c r="BK367" s="213">
        <v>0</v>
      </c>
      <c r="BL367" s="351">
        <f>AVERAGE(BJ367,BK367)</f>
        <v>0</v>
      </c>
      <c r="BM367" s="213">
        <v>0</v>
      </c>
      <c r="BN367" s="213">
        <v>0</v>
      </c>
      <c r="BO367" s="351">
        <f>AVERAGE(BM367,BN367)</f>
        <v>0</v>
      </c>
      <c r="BP367" s="213">
        <v>0</v>
      </c>
      <c r="BQ367" s="213">
        <v>0</v>
      </c>
      <c r="BR367" s="351">
        <f>AVERAGE(BP367,BQ367)</f>
        <v>0</v>
      </c>
    </row>
    <row r="368" spans="1:70" outlineLevel="1">
      <c r="C368" s="93" t="s">
        <v>731</v>
      </c>
      <c r="D368" s="31" t="s">
        <v>66</v>
      </c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AF368" s="427">
        <f>0.5*AF369*AF370</f>
        <v>3.9774539116565977E-2</v>
      </c>
      <c r="AG368" s="981">
        <f>0.5*AG369*AG370</f>
        <v>4.4042001309690826E-2</v>
      </c>
      <c r="AH368" s="680">
        <f>AVERAGE(AF368,AG368)</f>
        <v>4.1908270213128401E-2</v>
      </c>
      <c r="AI368" s="427">
        <f t="shared" ref="AI368:AJ368" si="1149">0.5*AI369*AI370</f>
        <v>2.7229945632338881E-2</v>
      </c>
      <c r="AJ368" s="427">
        <f t="shared" si="1149"/>
        <v>4.0322580645161255E-3</v>
      </c>
      <c r="AK368" s="680">
        <f t="shared" ref="AK368" si="1150">AVERAGE(AI368,AJ368)</f>
        <v>1.5631101848427503E-2</v>
      </c>
      <c r="AL368" s="427">
        <f t="shared" ref="AL368:AM368" si="1151">0.5*AL369*AL370</f>
        <v>0</v>
      </c>
      <c r="AM368" s="427">
        <f t="shared" si="1151"/>
        <v>7.9365079365079638E-3</v>
      </c>
      <c r="AN368" s="680">
        <f t="shared" ref="AN368" si="1152">AVERAGE(AL368,AM368)</f>
        <v>3.9682539682539819E-3</v>
      </c>
      <c r="AO368" s="427">
        <f t="shared" ref="AO368:AP368" si="1153">0.5*AO369*AO370</f>
        <v>7.9365079365079638E-3</v>
      </c>
      <c r="AP368" s="427">
        <f t="shared" si="1153"/>
        <v>0</v>
      </c>
      <c r="AQ368" s="680">
        <f t="shared" ref="AQ368" si="1154">AVERAGE(AO368,AP368)</f>
        <v>3.9682539682539819E-3</v>
      </c>
      <c r="AR368" s="427">
        <f t="shared" ref="AR368:AS368" si="1155">0.5*AR369*AR370</f>
        <v>0</v>
      </c>
      <c r="AS368" s="427">
        <f t="shared" si="1155"/>
        <v>0</v>
      </c>
      <c r="AT368" s="680">
        <f t="shared" ref="AT368" si="1156">AVERAGE(AR368,AS368)</f>
        <v>0</v>
      </c>
      <c r="AU368" s="427">
        <f t="shared" ref="AU368:AV368" si="1157">0.5*AU369*AU370</f>
        <v>0</v>
      </c>
      <c r="AV368" s="427">
        <f t="shared" si="1157"/>
        <v>0</v>
      </c>
      <c r="AW368" s="680">
        <f t="shared" ref="AW368" si="1158">AVERAGE(AU368,AV368)</f>
        <v>0</v>
      </c>
      <c r="AX368" s="427">
        <f t="shared" ref="AX368:AY368" si="1159">0.5*AX369*AX370</f>
        <v>0</v>
      </c>
      <c r="AY368" s="427">
        <f t="shared" si="1159"/>
        <v>0</v>
      </c>
      <c r="AZ368" s="680">
        <f t="shared" ref="AZ368" si="1160">AVERAGE(AX368,AY368)</f>
        <v>0</v>
      </c>
      <c r="BA368" s="427">
        <f t="shared" ref="BA368:BB368" si="1161">0.5*BA369*BA370</f>
        <v>0</v>
      </c>
      <c r="BB368" s="427">
        <f t="shared" si="1161"/>
        <v>0</v>
      </c>
      <c r="BC368" s="680">
        <f t="shared" ref="BC368" si="1162">AVERAGE(BA368,BB368)</f>
        <v>0</v>
      </c>
      <c r="BD368" s="427">
        <f t="shared" ref="BD368:BE368" si="1163">0.5*BD369*BD370</f>
        <v>0</v>
      </c>
      <c r="BE368" s="427">
        <f t="shared" si="1163"/>
        <v>0</v>
      </c>
      <c r="BF368" s="680">
        <f t="shared" ref="BF368" si="1164">AVERAGE(BD368,BE368)</f>
        <v>0</v>
      </c>
      <c r="BG368" s="427">
        <f t="shared" ref="BG368:BH368" si="1165">0.5*BG369*BG370</f>
        <v>0</v>
      </c>
      <c r="BH368" s="427">
        <f t="shared" si="1165"/>
        <v>0</v>
      </c>
      <c r="BI368" s="680">
        <f t="shared" ref="BI368" si="1166">AVERAGE(BG368,BH368)</f>
        <v>0</v>
      </c>
      <c r="BJ368" s="427">
        <f t="shared" ref="BJ368:BK368" si="1167">0.5*BJ369*BJ370</f>
        <v>0</v>
      </c>
      <c r="BK368" s="427">
        <f t="shared" si="1167"/>
        <v>0</v>
      </c>
      <c r="BL368" s="680">
        <f t="shared" ref="BL368" si="1168">AVERAGE(BJ368,BK368)</f>
        <v>0</v>
      </c>
      <c r="BM368" s="427">
        <f t="shared" ref="BM368:BN368" si="1169">0.5*BM369*BM370</f>
        <v>0</v>
      </c>
      <c r="BN368" s="427">
        <f t="shared" si="1169"/>
        <v>0</v>
      </c>
      <c r="BO368" s="680">
        <f t="shared" ref="BO368" si="1170">AVERAGE(BM368,BN368)</f>
        <v>0</v>
      </c>
      <c r="BP368" s="427">
        <f t="shared" ref="BP368:BQ368" si="1171">0.5*BP369*BP370</f>
        <v>0</v>
      </c>
      <c r="BQ368" s="427">
        <f t="shared" si="1171"/>
        <v>0</v>
      </c>
      <c r="BR368" s="680">
        <f t="shared" ref="BR368" si="1172">AVERAGE(BP368,BQ368)</f>
        <v>0</v>
      </c>
    </row>
    <row r="369" spans="1:71" outlineLevel="1">
      <c r="C369" s="93" t="s">
        <v>730</v>
      </c>
      <c r="D369" s="31" t="s">
        <v>66</v>
      </c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AF369" s="393">
        <v>1</v>
      </c>
      <c r="AG369" s="976">
        <v>1</v>
      </c>
      <c r="AH369" s="426">
        <f>AVERAGE(AF369,AG369)</f>
        <v>1</v>
      </c>
      <c r="AI369" s="393">
        <v>1</v>
      </c>
      <c r="AJ369" s="393">
        <v>1</v>
      </c>
      <c r="AK369" s="426">
        <f>AVERAGE(AI369,AJ369)</f>
        <v>1</v>
      </c>
      <c r="AL369" s="393">
        <v>1</v>
      </c>
      <c r="AM369" s="393">
        <v>1</v>
      </c>
      <c r="AN369" s="426">
        <f>AVERAGE(AL369,AM369)</f>
        <v>1</v>
      </c>
      <c r="AO369" s="393">
        <v>1</v>
      </c>
      <c r="AP369" s="393">
        <v>1</v>
      </c>
      <c r="AQ369" s="426">
        <f>AVERAGE(AO369,AP369)</f>
        <v>1</v>
      </c>
      <c r="AR369" s="393">
        <v>1</v>
      </c>
      <c r="AS369" s="393">
        <v>1</v>
      </c>
      <c r="AT369" s="426">
        <f>AVERAGE(AR369,AS369)</f>
        <v>1</v>
      </c>
      <c r="AU369" s="393">
        <v>1</v>
      </c>
      <c r="AV369" s="393">
        <v>1</v>
      </c>
      <c r="AW369" s="426">
        <f>AVERAGE(AU369,AV369)</f>
        <v>1</v>
      </c>
      <c r="AX369" s="393">
        <v>1</v>
      </c>
      <c r="AY369" s="393">
        <v>1</v>
      </c>
      <c r="AZ369" s="426">
        <f>AVERAGE(AX369,AY369)</f>
        <v>1</v>
      </c>
      <c r="BA369" s="393">
        <v>1</v>
      </c>
      <c r="BB369" s="393">
        <v>1</v>
      </c>
      <c r="BC369" s="426">
        <f>AVERAGE(BA369,BB369)</f>
        <v>1</v>
      </c>
      <c r="BD369" s="393">
        <v>1</v>
      </c>
      <c r="BE369" s="393">
        <v>1</v>
      </c>
      <c r="BF369" s="426">
        <f>AVERAGE(BD369,BE369)</f>
        <v>1</v>
      </c>
      <c r="BG369" s="393">
        <v>1</v>
      </c>
      <c r="BH369" s="393">
        <v>1</v>
      </c>
      <c r="BI369" s="426">
        <f>AVERAGE(BG369,BH369)</f>
        <v>1</v>
      </c>
      <c r="BJ369" s="393">
        <v>1</v>
      </c>
      <c r="BK369" s="393">
        <v>1</v>
      </c>
      <c r="BL369" s="426">
        <f>AVERAGE(BJ369,BK369)</f>
        <v>1</v>
      </c>
      <c r="BM369" s="393">
        <v>1</v>
      </c>
      <c r="BN369" s="393">
        <v>1</v>
      </c>
      <c r="BO369" s="426">
        <f>AVERAGE(BM369,BN369)</f>
        <v>1</v>
      </c>
      <c r="BP369" s="393">
        <v>1</v>
      </c>
      <c r="BQ369" s="393">
        <v>1</v>
      </c>
      <c r="BR369" s="426">
        <f>AVERAGE(BP369,BQ369)</f>
        <v>1</v>
      </c>
    </row>
    <row r="370" spans="1:71" s="30" customFormat="1" ht="11.25" customHeight="1" outlineLevel="1">
      <c r="C370" s="93" t="s">
        <v>546</v>
      </c>
      <c r="D370" s="31" t="s">
        <v>66</v>
      </c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AE370" s="168"/>
      <c r="AF370" s="540">
        <v>7.9549078233131953E-2</v>
      </c>
      <c r="AG370" s="973">
        <v>8.8084002619381652E-2</v>
      </c>
      <c r="AH370" s="504">
        <f>AVERAGE(AF370,AG370)</f>
        <v>8.3816540426256803E-2</v>
      </c>
      <c r="AI370" s="43">
        <v>5.4459891264677762E-2</v>
      </c>
      <c r="AJ370" s="43">
        <v>8.0645161290322509E-3</v>
      </c>
      <c r="AK370" s="504">
        <f>AVERAGE(AI370,AJ370)</f>
        <v>3.1262203696855007E-2</v>
      </c>
      <c r="AL370" s="43">
        <v>0</v>
      </c>
      <c r="AM370" s="43">
        <v>1.5873015873015928E-2</v>
      </c>
      <c r="AN370" s="504">
        <f>AVERAGE(AL370,AM370)</f>
        <v>7.9365079365079638E-3</v>
      </c>
      <c r="AO370" s="43">
        <v>1.5873015873015928E-2</v>
      </c>
      <c r="AP370" s="43">
        <v>0</v>
      </c>
      <c r="AQ370" s="504">
        <f>AVERAGE(AO370,AP370)</f>
        <v>7.9365079365079638E-3</v>
      </c>
      <c r="AR370" s="43">
        <v>0</v>
      </c>
      <c r="AS370" s="43">
        <v>0</v>
      </c>
      <c r="AT370" s="504">
        <f>AVERAGE(AR370,AS370)</f>
        <v>0</v>
      </c>
      <c r="AU370" s="43">
        <v>0</v>
      </c>
      <c r="AV370" s="43">
        <v>0</v>
      </c>
      <c r="AW370" s="504">
        <f>AVERAGE(AU370,AV370)</f>
        <v>0</v>
      </c>
      <c r="AX370" s="43">
        <v>0</v>
      </c>
      <c r="AY370" s="43">
        <v>0</v>
      </c>
      <c r="AZ370" s="504">
        <f>AVERAGE(AX370,AY370)</f>
        <v>0</v>
      </c>
      <c r="BA370" s="43">
        <v>0</v>
      </c>
      <c r="BB370" s="43">
        <v>0</v>
      </c>
      <c r="BC370" s="504">
        <f>AVERAGE(BA370,BB370)</f>
        <v>0</v>
      </c>
      <c r="BD370" s="43">
        <v>0</v>
      </c>
      <c r="BE370" s="43">
        <v>0</v>
      </c>
      <c r="BF370" s="504">
        <f>AVERAGE(BD370,BE370)</f>
        <v>0</v>
      </c>
      <c r="BG370" s="43">
        <v>0</v>
      </c>
      <c r="BH370" s="43">
        <v>0</v>
      </c>
      <c r="BI370" s="504">
        <f>AVERAGE(BG370,BH370)</f>
        <v>0</v>
      </c>
      <c r="BJ370" s="43">
        <v>0</v>
      </c>
      <c r="BK370" s="43">
        <v>0</v>
      </c>
      <c r="BL370" s="504">
        <f>AVERAGE(BJ370,BK370)</f>
        <v>0</v>
      </c>
      <c r="BM370" s="43">
        <v>0</v>
      </c>
      <c r="BN370" s="43">
        <v>0</v>
      </c>
      <c r="BO370" s="504">
        <f>AVERAGE(BM370,BN370)</f>
        <v>0</v>
      </c>
      <c r="BP370" s="43">
        <v>0</v>
      </c>
      <c r="BQ370" s="43">
        <v>0</v>
      </c>
      <c r="BR370" s="504">
        <f>AVERAGE(BP370,BQ370)</f>
        <v>0</v>
      </c>
    </row>
    <row r="371" spans="1:71" outlineLevel="1">
      <c r="C371" s="467" t="s">
        <v>280</v>
      </c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AF371" s="591"/>
      <c r="AG371" s="975"/>
      <c r="AH371" s="63"/>
      <c r="AI371" s="134"/>
      <c r="AJ371" s="134"/>
      <c r="AK371" s="63"/>
      <c r="AL371" s="134"/>
      <c r="AM371" s="134"/>
      <c r="AN371" s="63"/>
      <c r="AO371" s="134"/>
      <c r="AP371" s="134"/>
      <c r="AQ371" s="63"/>
      <c r="AR371" s="134"/>
      <c r="AS371" s="134"/>
      <c r="AT371" s="63"/>
      <c r="AU371" s="134"/>
      <c r="AV371" s="134"/>
      <c r="AW371" s="63"/>
      <c r="AX371" s="134"/>
      <c r="AY371" s="134"/>
      <c r="AZ371" s="63"/>
      <c r="BA371" s="134"/>
      <c r="BB371" s="134"/>
      <c r="BC371" s="63"/>
      <c r="BD371" s="134"/>
      <c r="BE371" s="134"/>
      <c r="BF371" s="63"/>
      <c r="BG371" s="134"/>
      <c r="BH371" s="134"/>
      <c r="BI371" s="63"/>
      <c r="BJ371" s="134"/>
      <c r="BK371" s="134"/>
      <c r="BL371" s="63"/>
      <c r="BM371" s="134"/>
      <c r="BN371" s="134"/>
      <c r="BO371" s="63"/>
      <c r="BP371" s="134"/>
      <c r="BQ371" s="134"/>
      <c r="BR371" s="63"/>
    </row>
    <row r="372" spans="1:71" outlineLevel="1">
      <c r="A372" s="208" t="s">
        <v>413</v>
      </c>
      <c r="C372" s="384" t="s">
        <v>281</v>
      </c>
      <c r="D372" s="31" t="s">
        <v>66</v>
      </c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AF372" s="542">
        <f>CHOOSE($AG$1,AF413,AF452,AF491,AF530)</f>
        <v>-9.8665504121241213E-3</v>
      </c>
      <c r="AG372" s="972">
        <f>CHOOSE($AG$1,AG413,AG452,AG491,AG530)</f>
        <v>-3.2476239617845515E-2</v>
      </c>
      <c r="AH372" s="395">
        <f>AVERAGE(AF372,AG372)</f>
        <v>-2.1171395014984818E-2</v>
      </c>
      <c r="AI372" s="443">
        <f>CHOOSE($AG$1,AI413,AI452,AI491,AI530)</f>
        <v>-4.2471475535473417E-2</v>
      </c>
      <c r="AJ372" s="443">
        <f>CHOOSE($AG$1,AJ413,AJ452,AJ491,AJ530)</f>
        <v>3.7722209356274104E-3</v>
      </c>
      <c r="AK372" s="395">
        <f>AVERAGE(AI372,AJ372)</f>
        <v>-1.9349627299923004E-2</v>
      </c>
      <c r="AL372" s="443">
        <f>CHOOSE($AG$1,AL413,AL452,AL491,AL530)</f>
        <v>6.3397845407995007E-2</v>
      </c>
      <c r="AM372" s="443">
        <f>CHOOSE($AG$1,AM413,AM452,AM491,AM530)</f>
        <v>3.7218646965437578E-2</v>
      </c>
      <c r="AN372" s="395">
        <f>AVERAGE(AL372,AM372)</f>
        <v>5.0308246186716296E-2</v>
      </c>
      <c r="AO372" s="443">
        <f>CHOOSE($AG$1,AO413,AO452,AO491,AO530)</f>
        <v>4.9487842933246158E-3</v>
      </c>
      <c r="AP372" s="443">
        <f>CHOOSE($AG$1,AP413,AP452,AP491,AP530)</f>
        <v>0</v>
      </c>
      <c r="AQ372" s="395">
        <f>AVERAGE(AO372,AP372)</f>
        <v>2.4743921466623079E-3</v>
      </c>
      <c r="AR372" s="443">
        <f>CHOOSE($AG$1,AR413,AR452,AR491,AR530)</f>
        <v>0</v>
      </c>
      <c r="AS372" s="443">
        <f>CHOOSE($AG$1,AS413,AS452,AS491,AS530)</f>
        <v>0</v>
      </c>
      <c r="AT372" s="395">
        <f>AVERAGE(AR372,AS372)</f>
        <v>0</v>
      </c>
      <c r="AU372" s="443">
        <f>CHOOSE($AG$1,AU413,AU452,AU491,AU530)</f>
        <v>0</v>
      </c>
      <c r="AV372" s="443">
        <f>CHOOSE($AG$1,AV413,AV452,AV491,AV530)</f>
        <v>0</v>
      </c>
      <c r="AW372" s="395">
        <f>AVERAGE(AU372,AV372)</f>
        <v>0</v>
      </c>
      <c r="AX372" s="443">
        <f>CHOOSE($AG$1,AX413,AX452,AX491,AX530)</f>
        <v>0</v>
      </c>
      <c r="AY372" s="443">
        <f>CHOOSE($AG$1,AY413,AY452,AY491,AY530)</f>
        <v>0</v>
      </c>
      <c r="AZ372" s="395">
        <f>AVERAGE(AX372,AY372)</f>
        <v>0</v>
      </c>
      <c r="BA372" s="443">
        <f>CHOOSE($AG$1,BA413,BA452,BA491,BA530)</f>
        <v>0</v>
      </c>
      <c r="BB372" s="443">
        <f>CHOOSE($AG$1,BB413,BB452,BB491,BB530)</f>
        <v>0</v>
      </c>
      <c r="BC372" s="395">
        <f>AVERAGE(BA372,BB372)</f>
        <v>0</v>
      </c>
      <c r="BD372" s="443">
        <f>CHOOSE($AG$1,BD413,BD452,BD491,BD530)</f>
        <v>0</v>
      </c>
      <c r="BE372" s="443">
        <f>CHOOSE($AG$1,BE413,BE452,BE491,BE530)</f>
        <v>0</v>
      </c>
      <c r="BF372" s="395">
        <f>AVERAGE(BD372,BE372)</f>
        <v>0</v>
      </c>
      <c r="BG372" s="443">
        <f>CHOOSE($AG$1,BG413,BG452,BG491,BG530)</f>
        <v>0</v>
      </c>
      <c r="BH372" s="443">
        <f>CHOOSE($AG$1,BH413,BH452,BH491,BH530)</f>
        <v>0</v>
      </c>
      <c r="BI372" s="395">
        <f>AVERAGE(BG372,BH372)</f>
        <v>0</v>
      </c>
      <c r="BJ372" s="443">
        <f>CHOOSE($AG$1,BJ413,BJ452,BJ491,BJ530)</f>
        <v>0</v>
      </c>
      <c r="BK372" s="443">
        <f>CHOOSE($AG$1,BK413,BK452,BK491,BK530)</f>
        <v>0</v>
      </c>
      <c r="BL372" s="395">
        <f>AVERAGE(BJ372,BK372)</f>
        <v>0</v>
      </c>
      <c r="BM372" s="443">
        <f>CHOOSE($AG$1,BM413,BM452,BM491,BM530)</f>
        <v>0</v>
      </c>
      <c r="BN372" s="443">
        <f>CHOOSE($AG$1,BN413,BN452,BN491,BN530)</f>
        <v>0</v>
      </c>
      <c r="BO372" s="395">
        <f>AVERAGE(BM372,BN372)</f>
        <v>0</v>
      </c>
      <c r="BP372" s="443">
        <f>CHOOSE($AG$1,BP413,BP452,BP491,BP530)</f>
        <v>0</v>
      </c>
      <c r="BQ372" s="443">
        <f>CHOOSE($AG$1,BQ413,BQ452,BQ491,BQ530)</f>
        <v>0</v>
      </c>
      <c r="BR372" s="395">
        <f>AVERAGE(BP372,BQ372)</f>
        <v>0</v>
      </c>
    </row>
    <row r="373" spans="1:71" outlineLevel="1">
      <c r="A373" s="356"/>
      <c r="C373" s="384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AF373" s="542"/>
      <c r="AG373" s="972"/>
      <c r="AH373" s="396"/>
      <c r="AI373" s="443"/>
      <c r="AJ373" s="443"/>
      <c r="AK373" s="396"/>
      <c r="AL373" s="443"/>
      <c r="AM373" s="443"/>
      <c r="AN373" s="396"/>
      <c r="AR373" s="676"/>
    </row>
    <row r="374" spans="1:71" outlineLevel="1">
      <c r="A374" s="356"/>
      <c r="C374" s="384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AF374" s="542"/>
      <c r="AG374" s="972"/>
      <c r="AH374" s="396"/>
      <c r="AI374" s="443"/>
      <c r="AJ374" s="443"/>
      <c r="AK374" s="396"/>
      <c r="AL374" s="443"/>
      <c r="AM374" s="443"/>
      <c r="AN374" s="396"/>
    </row>
    <row r="375" spans="1:71" customFormat="1" ht="15" outlineLevel="1">
      <c r="B375" s="209" t="s">
        <v>414</v>
      </c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Q375" s="122"/>
      <c r="R375" s="122"/>
      <c r="S375" s="122"/>
      <c r="T375" s="122"/>
      <c r="U375" s="122"/>
      <c r="Y375" s="44"/>
      <c r="AB375" s="44"/>
      <c r="AC375" s="44"/>
      <c r="AD375" s="44"/>
      <c r="AE375" s="44"/>
      <c r="AF375" s="44"/>
      <c r="AG375" s="982"/>
      <c r="BS375" s="210" t="s">
        <v>52</v>
      </c>
    </row>
    <row r="376" spans="1:71" outlineLevel="2">
      <c r="B376" s="55"/>
      <c r="C376" s="57" t="s">
        <v>270</v>
      </c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AF376" s="675">
        <v>1.1760278846153844</v>
      </c>
      <c r="AG376" s="962">
        <v>1.1850000000000001</v>
      </c>
      <c r="AH376" s="676">
        <f>AVERAGE(AF376,AG376)</f>
        <v>1.1805139423076922</v>
      </c>
      <c r="AI376" s="675">
        <v>1.145</v>
      </c>
      <c r="AJ376" s="675">
        <v>1.21</v>
      </c>
      <c r="AK376" s="676">
        <f>AVERAGE(AI376,AJ376)</f>
        <v>1.1775</v>
      </c>
      <c r="AL376" s="675">
        <v>1.25</v>
      </c>
      <c r="AM376" s="675">
        <v>1.25</v>
      </c>
      <c r="AN376" s="676">
        <f>AVERAGE(AL376,AM376)</f>
        <v>1.25</v>
      </c>
      <c r="AO376" s="675">
        <v>1.25</v>
      </c>
      <c r="AP376" s="675">
        <v>1.25</v>
      </c>
      <c r="AQ376" s="676">
        <f>AVERAGE(AO376,AP376)</f>
        <v>1.25</v>
      </c>
      <c r="AR376" s="675">
        <f>AO376</f>
        <v>1.25</v>
      </c>
      <c r="AS376" s="675">
        <f>AP376</f>
        <v>1.25</v>
      </c>
      <c r="AT376" s="676">
        <f>AVERAGE(AR376,AS376)</f>
        <v>1.25</v>
      </c>
      <c r="AU376" s="675">
        <f>AR376</f>
        <v>1.25</v>
      </c>
      <c r="AV376" s="675">
        <f>AS376</f>
        <v>1.25</v>
      </c>
      <c r="AW376" s="676">
        <f>AVERAGE(AU376,AV376)</f>
        <v>1.25</v>
      </c>
      <c r="AX376" s="675">
        <f>AU376</f>
        <v>1.25</v>
      </c>
      <c r="AY376" s="675">
        <f>AV376</f>
        <v>1.25</v>
      </c>
      <c r="AZ376" s="676">
        <f>AVERAGE(AX376,AY376)</f>
        <v>1.25</v>
      </c>
      <c r="BA376" s="675">
        <f>AX376</f>
        <v>1.25</v>
      </c>
      <c r="BB376" s="675">
        <f>AY376</f>
        <v>1.25</v>
      </c>
      <c r="BC376" s="676">
        <f>AVERAGE(BA376,BB376)</f>
        <v>1.25</v>
      </c>
      <c r="BD376" s="675">
        <f>BA376</f>
        <v>1.25</v>
      </c>
      <c r="BE376" s="675">
        <f>BB376</f>
        <v>1.25</v>
      </c>
      <c r="BF376" s="676">
        <f>AVERAGE(BD376,BE376)</f>
        <v>1.25</v>
      </c>
      <c r="BG376" s="675">
        <f>BD376</f>
        <v>1.25</v>
      </c>
      <c r="BH376" s="675">
        <f>BE376</f>
        <v>1.25</v>
      </c>
      <c r="BI376" s="676">
        <f>AVERAGE(BG376,BH376)</f>
        <v>1.25</v>
      </c>
      <c r="BJ376" s="675">
        <f>BG376</f>
        <v>1.25</v>
      </c>
      <c r="BK376" s="675">
        <f>BH376</f>
        <v>1.25</v>
      </c>
      <c r="BL376" s="676">
        <f>AVERAGE(BJ376,BK376)</f>
        <v>1.25</v>
      </c>
      <c r="BM376" s="675">
        <f>BJ376</f>
        <v>1.25</v>
      </c>
      <c r="BN376" s="675">
        <f>BK376</f>
        <v>1.25</v>
      </c>
      <c r="BO376" s="676">
        <f>AVERAGE(BM376,BN376)</f>
        <v>1.25</v>
      </c>
      <c r="BP376" s="675">
        <f>BM376</f>
        <v>1.25</v>
      </c>
      <c r="BQ376" s="675">
        <f>BN376</f>
        <v>1.25</v>
      </c>
      <c r="BR376" s="676">
        <f>AVERAGE(BP376,BQ376)</f>
        <v>1.25</v>
      </c>
    </row>
    <row r="377" spans="1:71" outlineLevel="2">
      <c r="B377" s="451" t="s">
        <v>306</v>
      </c>
      <c r="AG377" s="1068"/>
      <c r="AH377" s="693"/>
      <c r="AI377" s="693"/>
      <c r="AJ377" s="693"/>
      <c r="AK377" s="693"/>
    </row>
    <row r="378" spans="1:71" customFormat="1" ht="11.25" customHeight="1" outlineLevel="2">
      <c r="A378" s="6"/>
      <c r="B378" s="6"/>
      <c r="C378" s="113" t="s">
        <v>567</v>
      </c>
      <c r="D378" s="7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W378" s="6"/>
      <c r="X378" s="6"/>
      <c r="AE378" s="44"/>
      <c r="AF378" s="130"/>
      <c r="AG378" s="931"/>
      <c r="AH378" s="6"/>
    </row>
    <row r="379" spans="1:71" customFormat="1" ht="11.25" customHeight="1" outlineLevel="2">
      <c r="A379" s="6"/>
      <c r="B379" s="6"/>
      <c r="C379" s="9" t="s">
        <v>80</v>
      </c>
      <c r="D379" s="31" t="s">
        <v>66</v>
      </c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W379" s="6"/>
      <c r="X379" s="6"/>
      <c r="AE379" s="44"/>
      <c r="AF379" s="133">
        <f t="shared" ref="AF379:AN379" si="1173">((AF278*AF380)+(AF279*AF381))</f>
        <v>2.3409075369562358E-2</v>
      </c>
      <c r="AG379" s="938">
        <f t="shared" si="1173"/>
        <v>2.3810305010067388E-2</v>
      </c>
      <c r="AH379" s="20">
        <f t="shared" si="1173"/>
        <v>2.3610822774653629E-2</v>
      </c>
      <c r="AI379" s="20">
        <f t="shared" si="1173"/>
        <v>2.107962360888388E-2</v>
      </c>
      <c r="AJ379" s="20">
        <f t="shared" si="1173"/>
        <v>1.9616109073432992E-2</v>
      </c>
      <c r="AK379" s="20">
        <f t="shared" si="1173"/>
        <v>2.0349430233542104E-2</v>
      </c>
      <c r="AL379" s="20">
        <f t="shared" si="1173"/>
        <v>1.8909757101799998E-2</v>
      </c>
      <c r="AM379" s="20">
        <f t="shared" si="1173"/>
        <v>1.4889709224107671E-2</v>
      </c>
      <c r="AN379" s="20">
        <f t="shared" si="1173"/>
        <v>1.6907959005377015E-2</v>
      </c>
      <c r="AO379" s="20">
        <f t="shared" ref="AO379:BR379" si="1174">((AO278*AO380)+(AO279*AO381))</f>
        <v>1.5009629393164237E-2</v>
      </c>
      <c r="AP379" s="20">
        <f t="shared" si="1174"/>
        <v>1.4921343705614199E-2</v>
      </c>
      <c r="AQ379" s="20">
        <f t="shared" si="1174"/>
        <v>1.4966678383989993E-2</v>
      </c>
      <c r="AR379" s="20">
        <f t="shared" si="1174"/>
        <v>1.5042217204611776E-2</v>
      </c>
      <c r="AS379" s="20">
        <f t="shared" si="1174"/>
        <v>1.4953232445596844E-2</v>
      </c>
      <c r="AT379" s="20">
        <f t="shared" si="1174"/>
        <v>1.4998928132100126E-2</v>
      </c>
      <c r="AU379" s="20">
        <f t="shared" si="1174"/>
        <v>1.5075059144365115E-2</v>
      </c>
      <c r="AV379" s="20">
        <f t="shared" si="1174"/>
        <v>1.4985375475755999E-2</v>
      </c>
      <c r="AW379" s="20">
        <f t="shared" si="1174"/>
        <v>1.5031432135078671E-2</v>
      </c>
      <c r="AX379" s="20">
        <f t="shared" si="1174"/>
        <v>1.5108155060747974E-2</v>
      </c>
      <c r="AY379" s="20">
        <f t="shared" si="1174"/>
        <v>1.5017772779918066E-2</v>
      </c>
      <c r="AZ379" s="20">
        <f t="shared" si="1174"/>
        <v>1.5064190307510893E-2</v>
      </c>
      <c r="BA379" s="20">
        <f t="shared" si="1174"/>
        <v>1.514150475141891E-2</v>
      </c>
      <c r="BB379" s="20">
        <f t="shared" si="1174"/>
        <v>1.5050424293277158E-2</v>
      </c>
      <c r="BC379" s="20">
        <f t="shared" si="1174"/>
        <v>1.5097202514289356E-2</v>
      </c>
      <c r="BD379" s="20">
        <f t="shared" si="1174"/>
        <v>1.5175107962653023E-2</v>
      </c>
      <c r="BE379" s="20">
        <f t="shared" si="1174"/>
        <v>1.5083329901646438E-2</v>
      </c>
      <c r="BF379" s="20">
        <f t="shared" si="1174"/>
        <v>1.5130468569880245E-2</v>
      </c>
      <c r="BG379" s="20">
        <f t="shared" si="1174"/>
        <v>1.5208964388636136E-2</v>
      </c>
      <c r="BH379" s="20">
        <f t="shared" si="1174"/>
        <v>1.5116489440719871E-2</v>
      </c>
      <c r="BI379" s="20">
        <f t="shared" si="1174"/>
        <v>1.5163988237601086E-2</v>
      </c>
      <c r="BJ379" s="20">
        <f t="shared" si="1174"/>
        <v>1.524307367077218E-2</v>
      </c>
      <c r="BK379" s="20">
        <f t="shared" si="1174"/>
        <v>1.5149902695345108E-2</v>
      </c>
      <c r="BL379" s="20">
        <f t="shared" si="1174"/>
        <v>1.5197761228910743E-2</v>
      </c>
      <c r="BM379" s="20">
        <f t="shared" si="1174"/>
        <v>1.5277435397004518E-2</v>
      </c>
      <c r="BN379" s="20">
        <f t="shared" si="1174"/>
        <v>1.5183569398808255E-2</v>
      </c>
      <c r="BO379" s="20">
        <f t="shared" si="1174"/>
        <v>1.5231787202712295E-2</v>
      </c>
      <c r="BP379" s="20">
        <f t="shared" si="1174"/>
        <v>1.5312049101152081E-2</v>
      </c>
      <c r="BQ379" s="20">
        <f t="shared" si="1174"/>
        <v>1.5217489232131287E-2</v>
      </c>
      <c r="BR379" s="20">
        <f t="shared" si="1174"/>
        <v>1.5266065764669684E-2</v>
      </c>
    </row>
    <row r="380" spans="1:71" customFormat="1" ht="11.25" customHeight="1" outlineLevel="2">
      <c r="A380" s="6"/>
      <c r="B380" s="6"/>
      <c r="C380" s="108" t="s">
        <v>288</v>
      </c>
      <c r="D380" s="31" t="s">
        <v>66</v>
      </c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W380" s="6"/>
      <c r="X380" s="6"/>
      <c r="AE380" s="44"/>
      <c r="AF380" s="907">
        <v>2.3E-2</v>
      </c>
      <c r="AG380" s="947">
        <v>2.3E-2</v>
      </c>
      <c r="AH380" s="396">
        <f>AVERAGE(AF380,AG380)</f>
        <v>2.3E-2</v>
      </c>
      <c r="AI380" s="22">
        <v>1.95E-2</v>
      </c>
      <c r="AJ380" s="22">
        <v>1.7999999999999999E-2</v>
      </c>
      <c r="AK380" s="396">
        <f>AVERAGE(AI380,AJ380)</f>
        <v>1.8749999999999999E-2</v>
      </c>
      <c r="AL380" s="22">
        <v>1.7000000000000001E-2</v>
      </c>
      <c r="AM380" s="22">
        <v>1.2E-2</v>
      </c>
      <c r="AN380" s="396">
        <f>AVERAGE(AL380,AM380)</f>
        <v>1.4500000000000001E-2</v>
      </c>
      <c r="AO380" s="22">
        <f>AM380</f>
        <v>1.2E-2</v>
      </c>
      <c r="AP380" s="22">
        <f>AO380</f>
        <v>1.2E-2</v>
      </c>
      <c r="AQ380" s="396">
        <f>AVERAGE(AO380,AP380)</f>
        <v>1.2E-2</v>
      </c>
      <c r="AR380" s="22">
        <f>AO380</f>
        <v>1.2E-2</v>
      </c>
      <c r="AS380" s="22">
        <f>AP380</f>
        <v>1.2E-2</v>
      </c>
      <c r="AT380" s="396">
        <f>AVERAGE(AR380,AS380)</f>
        <v>1.2E-2</v>
      </c>
      <c r="AU380" s="22">
        <f>AR380</f>
        <v>1.2E-2</v>
      </c>
      <c r="AV380" s="22">
        <f>AS380</f>
        <v>1.2E-2</v>
      </c>
      <c r="AW380" s="396">
        <f>AVERAGE(AU380,AV380)</f>
        <v>1.2E-2</v>
      </c>
      <c r="AX380" s="22">
        <f>AU380</f>
        <v>1.2E-2</v>
      </c>
      <c r="AY380" s="22">
        <f>AV380</f>
        <v>1.2E-2</v>
      </c>
      <c r="AZ380" s="396">
        <f>AVERAGE(AX380,AY380)</f>
        <v>1.2E-2</v>
      </c>
      <c r="BA380" s="22">
        <f>AX380</f>
        <v>1.2E-2</v>
      </c>
      <c r="BB380" s="22">
        <f>AY380</f>
        <v>1.2E-2</v>
      </c>
      <c r="BC380" s="396">
        <f>AVERAGE(BA380,BB380)</f>
        <v>1.2E-2</v>
      </c>
      <c r="BD380" s="22">
        <f>BA380</f>
        <v>1.2E-2</v>
      </c>
      <c r="BE380" s="22">
        <f>BB380</f>
        <v>1.2E-2</v>
      </c>
      <c r="BF380" s="396">
        <f>AVERAGE(BD380,BE380)</f>
        <v>1.2E-2</v>
      </c>
      <c r="BG380" s="22">
        <f>BD380</f>
        <v>1.2E-2</v>
      </c>
      <c r="BH380" s="22">
        <f>BE380</f>
        <v>1.2E-2</v>
      </c>
      <c r="BI380" s="396">
        <f>AVERAGE(BG380,BH380)</f>
        <v>1.2E-2</v>
      </c>
      <c r="BJ380" s="22">
        <f>BG380</f>
        <v>1.2E-2</v>
      </c>
      <c r="BK380" s="22">
        <f>BH380</f>
        <v>1.2E-2</v>
      </c>
      <c r="BL380" s="396">
        <f>AVERAGE(BJ380,BK380)</f>
        <v>1.2E-2</v>
      </c>
      <c r="BM380" s="22">
        <f>BJ380</f>
        <v>1.2E-2</v>
      </c>
      <c r="BN380" s="22">
        <f>BK380</f>
        <v>1.2E-2</v>
      </c>
      <c r="BO380" s="396">
        <f>AVERAGE(BM380,BN380)</f>
        <v>1.2E-2</v>
      </c>
      <c r="BP380" s="22">
        <f>BM380</f>
        <v>1.2E-2</v>
      </c>
      <c r="BQ380" s="22">
        <f>BN380</f>
        <v>1.2E-2</v>
      </c>
      <c r="BR380" s="396">
        <f>AVERAGE(BP380,BQ380)</f>
        <v>1.2E-2</v>
      </c>
    </row>
    <row r="381" spans="1:71" customFormat="1" ht="11.25" customHeight="1" outlineLevel="2">
      <c r="A381" s="6"/>
      <c r="B381" s="6"/>
      <c r="C381" s="108" t="s">
        <v>538</v>
      </c>
      <c r="D381" s="31" t="s">
        <v>66</v>
      </c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W381" s="6"/>
      <c r="X381" s="6"/>
      <c r="AE381" s="44"/>
      <c r="AF381" s="907">
        <v>2.5000000000000001E-2</v>
      </c>
      <c r="AG381" s="947">
        <v>2.7E-2</v>
      </c>
      <c r="AH381" s="396">
        <f>AVERAGE(AF381,AG381)</f>
        <v>2.6000000000000002E-2</v>
      </c>
      <c r="AI381" s="22">
        <v>2.7E-2</v>
      </c>
      <c r="AJ381" s="22">
        <v>2.5999999999999999E-2</v>
      </c>
      <c r="AK381" s="396">
        <f>AVERAGE(AI381,AJ381)</f>
        <v>2.6499999999999999E-2</v>
      </c>
      <c r="AL381" s="22">
        <v>2.5999999999999999E-2</v>
      </c>
      <c r="AM381" s="22">
        <v>2.5999999999999999E-2</v>
      </c>
      <c r="AN381" s="396">
        <f>AVERAGE(AL381,AM381)</f>
        <v>2.5999999999999999E-2</v>
      </c>
      <c r="AO381" s="22">
        <f>AM381</f>
        <v>2.5999999999999999E-2</v>
      </c>
      <c r="AP381" s="22">
        <f>AO381</f>
        <v>2.5999999999999999E-2</v>
      </c>
      <c r="AQ381" s="396">
        <f>AVERAGE(AO381,AP381)</f>
        <v>2.5999999999999999E-2</v>
      </c>
      <c r="AR381" s="22">
        <f>AO381</f>
        <v>2.5999999999999999E-2</v>
      </c>
      <c r="AS381" s="22">
        <f>AP381</f>
        <v>2.5999999999999999E-2</v>
      </c>
      <c r="AT381" s="396">
        <f>AVERAGE(AR381,AS381)</f>
        <v>2.5999999999999999E-2</v>
      </c>
      <c r="AU381" s="22">
        <f>AR381</f>
        <v>2.5999999999999999E-2</v>
      </c>
      <c r="AV381" s="22">
        <f>AS381</f>
        <v>2.5999999999999999E-2</v>
      </c>
      <c r="AW381" s="396">
        <f>AVERAGE(AU381,AV381)</f>
        <v>2.5999999999999999E-2</v>
      </c>
      <c r="AX381" s="22">
        <f>AU381</f>
        <v>2.5999999999999999E-2</v>
      </c>
      <c r="AY381" s="22">
        <f>AV381</f>
        <v>2.5999999999999999E-2</v>
      </c>
      <c r="AZ381" s="396">
        <f>AVERAGE(AX381,AY381)</f>
        <v>2.5999999999999999E-2</v>
      </c>
      <c r="BA381" s="22">
        <f>AX381</f>
        <v>2.5999999999999999E-2</v>
      </c>
      <c r="BB381" s="22">
        <f>AY381</f>
        <v>2.5999999999999999E-2</v>
      </c>
      <c r="BC381" s="396">
        <f>AVERAGE(BA381,BB381)</f>
        <v>2.5999999999999999E-2</v>
      </c>
      <c r="BD381" s="22">
        <f>BA381</f>
        <v>2.5999999999999999E-2</v>
      </c>
      <c r="BE381" s="22">
        <f>BB381</f>
        <v>2.5999999999999999E-2</v>
      </c>
      <c r="BF381" s="396">
        <f>AVERAGE(BD381,BE381)</f>
        <v>2.5999999999999999E-2</v>
      </c>
      <c r="BG381" s="22">
        <f>BD381</f>
        <v>2.5999999999999999E-2</v>
      </c>
      <c r="BH381" s="22">
        <f>BE381</f>
        <v>2.5999999999999999E-2</v>
      </c>
      <c r="BI381" s="396">
        <f>AVERAGE(BG381,BH381)</f>
        <v>2.5999999999999999E-2</v>
      </c>
      <c r="BJ381" s="22">
        <f>BG381</f>
        <v>2.5999999999999999E-2</v>
      </c>
      <c r="BK381" s="22">
        <f>BH381</f>
        <v>2.5999999999999999E-2</v>
      </c>
      <c r="BL381" s="396">
        <f>AVERAGE(BJ381,BK381)</f>
        <v>2.5999999999999999E-2</v>
      </c>
      <c r="BM381" s="22">
        <f>BJ381</f>
        <v>2.5999999999999999E-2</v>
      </c>
      <c r="BN381" s="22">
        <f>BK381</f>
        <v>2.5999999999999999E-2</v>
      </c>
      <c r="BO381" s="396">
        <f>AVERAGE(BM381,BN381)</f>
        <v>2.5999999999999999E-2</v>
      </c>
      <c r="BP381" s="22">
        <f>BM381</f>
        <v>2.5999999999999999E-2</v>
      </c>
      <c r="BQ381" s="22">
        <f>BN381</f>
        <v>2.5999999999999999E-2</v>
      </c>
      <c r="BR381" s="396">
        <f>AVERAGE(BP381,BQ381)</f>
        <v>2.5999999999999999E-2</v>
      </c>
    </row>
    <row r="382" spans="1:71" customFormat="1" ht="11.25" customHeight="1" outlineLevel="2">
      <c r="A382" s="6"/>
      <c r="B382" s="6"/>
      <c r="C382" s="9" t="s">
        <v>81</v>
      </c>
      <c r="D382" s="31" t="s">
        <v>66</v>
      </c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W382" s="6"/>
      <c r="X382" s="6"/>
      <c r="AE382" s="44"/>
      <c r="AF382" s="133">
        <f t="shared" ref="AF382:AN382" si="1175">((AF281*AF383)+(AF282*AF384))</f>
        <v>2.6910581077826613E-2</v>
      </c>
      <c r="AG382" s="938">
        <f t="shared" si="1175"/>
        <v>2.9995738508299973E-2</v>
      </c>
      <c r="AH382" s="20">
        <f t="shared" si="1175"/>
        <v>2.8459008037284433E-2</v>
      </c>
      <c r="AI382" s="20">
        <f t="shared" si="1175"/>
        <v>2.4941427119692439E-2</v>
      </c>
      <c r="AJ382" s="20">
        <f t="shared" si="1175"/>
        <v>2.4839896991494588E-2</v>
      </c>
      <c r="AK382" s="20">
        <f t="shared" si="1175"/>
        <v>2.4882681878337164E-2</v>
      </c>
      <c r="AL382" s="20">
        <f t="shared" si="1175"/>
        <v>2.5236210461724938E-2</v>
      </c>
      <c r="AM382" s="20">
        <f t="shared" si="1175"/>
        <v>2.2033337068437343E-2</v>
      </c>
      <c r="AN382" s="20">
        <f t="shared" si="1175"/>
        <v>2.3631830116921538E-2</v>
      </c>
      <c r="AO382" s="20">
        <f t="shared" ref="AO382:BR382" si="1176">((AO281*AO383)+(AO282*AO384))</f>
        <v>2.2158307586064307E-2</v>
      </c>
      <c r="AP382" s="20">
        <f t="shared" si="1176"/>
        <v>2.2148258454261688E-2</v>
      </c>
      <c r="AQ382" s="20">
        <f t="shared" si="1176"/>
        <v>2.2150816833796858E-2</v>
      </c>
      <c r="AR382" s="20">
        <f t="shared" si="1176"/>
        <v>2.2273425468468364E-2</v>
      </c>
      <c r="AS382" s="20">
        <f t="shared" si="1176"/>
        <v>2.226336166759153E-2</v>
      </c>
      <c r="AT382" s="20">
        <f t="shared" si="1176"/>
        <v>2.2265923839327625E-2</v>
      </c>
      <c r="AU382" s="20">
        <f t="shared" ref="AU382:AV382" si="1177">((AU281*AU383)+(AU282*AU384))</f>
        <v>2.2388697276937288E-2</v>
      </c>
      <c r="AV382" s="20">
        <f t="shared" si="1177"/>
        <v>2.237862105518338E-2</v>
      </c>
      <c r="AW382" s="20">
        <f t="shared" si="1176"/>
        <v>2.238118644686873E-2</v>
      </c>
      <c r="AX382" s="20">
        <f t="shared" ref="AX382:AY382" si="1178">((AX281*AX383)+(AX282*AX384))</f>
        <v>2.2504097206685027E-2</v>
      </c>
      <c r="AY382" s="20">
        <f t="shared" si="1178"/>
        <v>2.2494010823427134E-2</v>
      </c>
      <c r="AZ382" s="20">
        <f t="shared" si="1176"/>
        <v>2.2496578859913005E-2</v>
      </c>
      <c r="BA382" s="20">
        <f t="shared" ref="BA382:BB382" si="1179">((BA281*BA383)+(BA282*BA384))</f>
        <v>2.2619599337540187E-2</v>
      </c>
      <c r="BB382" s="20">
        <f t="shared" si="1179"/>
        <v>2.2609505061309831E-2</v>
      </c>
      <c r="BC382" s="20">
        <f t="shared" si="1176"/>
        <v>2.2612075165063885E-2</v>
      </c>
      <c r="BD382" s="20">
        <f t="shared" ref="BD382:BE382" si="1180">((BD281*BD383)+(BD282*BD384))</f>
        <v>2.2735177657151606E-2</v>
      </c>
      <c r="BE382" s="20">
        <f t="shared" si="1180"/>
        <v>2.2725077763603684E-2</v>
      </c>
      <c r="BF382" s="20">
        <f t="shared" si="1176"/>
        <v>2.2727649355227985E-2</v>
      </c>
      <c r="BG382" s="20">
        <f t="shared" ref="BG382:BH382" si="1181">((BG281*BG383)+(BG282*BG384))</f>
        <v>2.285080608437037E-2</v>
      </c>
      <c r="BH382" s="20">
        <f t="shared" si="1181"/>
        <v>2.28407028542345E-2</v>
      </c>
      <c r="BI382" s="20">
        <f t="shared" si="1176"/>
        <v>2.2843275352987122E-2</v>
      </c>
      <c r="BJ382" s="20">
        <f t="shared" ref="BJ382:BK382" si="1182">((BJ281*BJ383)+(BJ282*BJ384))</f>
        <v>2.2966458492763745E-2</v>
      </c>
      <c r="BK382" s="20">
        <f t="shared" si="1182"/>
        <v>2.2956354209785836E-2</v>
      </c>
      <c r="BL382" s="20">
        <f t="shared" si="1176"/>
        <v>2.2958927034105035E-2</v>
      </c>
      <c r="BM382" s="20">
        <f t="shared" ref="BM382:BN382" si="1183">((BM281*BM383)+(BM282*BM384))</f>
        <v>2.3082108734216043E-2</v>
      </c>
      <c r="BN382" s="20">
        <f t="shared" si="1183"/>
        <v>2.3072005683094088E-2</v>
      </c>
      <c r="BO382" s="20">
        <f t="shared" si="1176"/>
        <v>2.3074578251124044E-2</v>
      </c>
      <c r="BP382" s="20">
        <f t="shared" ref="BP382:BQ382" si="1184">((BP281*BP383)+(BP282*BP384))</f>
        <v>2.3197730662571126E-2</v>
      </c>
      <c r="BQ382" s="20">
        <f t="shared" si="1184"/>
        <v>2.3187631126889173E-2</v>
      </c>
      <c r="BR382" s="20">
        <f t="shared" si="1176"/>
        <v>2.3190202857006303E-2</v>
      </c>
    </row>
    <row r="383" spans="1:71" customFormat="1" ht="11.25" customHeight="1" outlineLevel="2">
      <c r="A383" s="6"/>
      <c r="B383" s="6"/>
      <c r="C383" s="108" t="s">
        <v>59</v>
      </c>
      <c r="D383" s="31" t="s">
        <v>66</v>
      </c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W383" s="6"/>
      <c r="X383" s="6"/>
      <c r="AE383" s="44"/>
      <c r="AF383" s="907">
        <v>2.5680000000000001E-2</v>
      </c>
      <c r="AG383" s="947">
        <v>2.6500000000000003E-2</v>
      </c>
      <c r="AH383" s="396">
        <f>AVERAGE(AF383,AG383)</f>
        <v>2.6090000000000002E-2</v>
      </c>
      <c r="AI383" s="22">
        <v>2.2340000000000002E-2</v>
      </c>
      <c r="AJ383" s="22">
        <v>1.992E-2</v>
      </c>
      <c r="AK383" s="396">
        <f>AVERAGE(AI383,AJ383)</f>
        <v>2.1130000000000003E-2</v>
      </c>
      <c r="AL383" s="22">
        <v>1.8000000000000002E-2</v>
      </c>
      <c r="AM383" s="22">
        <v>1.208E-2</v>
      </c>
      <c r="AN383" s="396">
        <f>AVERAGE(AL383,AM383)</f>
        <v>1.5040000000000001E-2</v>
      </c>
      <c r="AO383" s="22">
        <f>AM383</f>
        <v>1.208E-2</v>
      </c>
      <c r="AP383" s="22">
        <f>AO383</f>
        <v>1.208E-2</v>
      </c>
      <c r="AQ383" s="396">
        <f>AVERAGE(AO383,AP383)</f>
        <v>1.208E-2</v>
      </c>
      <c r="AR383" s="22">
        <f>AO383</f>
        <v>1.208E-2</v>
      </c>
      <c r="AS383" s="22">
        <f>AP383</f>
        <v>1.208E-2</v>
      </c>
      <c r="AT383" s="396">
        <f>AVERAGE(AR383,AS383)</f>
        <v>1.208E-2</v>
      </c>
      <c r="AU383" s="22">
        <f>AR383</f>
        <v>1.208E-2</v>
      </c>
      <c r="AV383" s="22">
        <f>AS383</f>
        <v>1.208E-2</v>
      </c>
      <c r="AW383" s="396">
        <f>AVERAGE(AU383,AV383)</f>
        <v>1.208E-2</v>
      </c>
      <c r="AX383" s="22">
        <f>AU383</f>
        <v>1.208E-2</v>
      </c>
      <c r="AY383" s="22">
        <f>AV383</f>
        <v>1.208E-2</v>
      </c>
      <c r="AZ383" s="396">
        <f>AVERAGE(AX383,AY383)</f>
        <v>1.208E-2</v>
      </c>
      <c r="BA383" s="22">
        <f>AX383</f>
        <v>1.208E-2</v>
      </c>
      <c r="BB383" s="22">
        <f>AY383</f>
        <v>1.208E-2</v>
      </c>
      <c r="BC383" s="396">
        <f>AVERAGE(BA383,BB383)</f>
        <v>1.208E-2</v>
      </c>
      <c r="BD383" s="22">
        <f>BA383</f>
        <v>1.208E-2</v>
      </c>
      <c r="BE383" s="22">
        <f>BB383</f>
        <v>1.208E-2</v>
      </c>
      <c r="BF383" s="396">
        <f>AVERAGE(BD383,BE383)</f>
        <v>1.208E-2</v>
      </c>
      <c r="BG383" s="22">
        <f>BD383</f>
        <v>1.208E-2</v>
      </c>
      <c r="BH383" s="22">
        <f>BE383</f>
        <v>1.208E-2</v>
      </c>
      <c r="BI383" s="396">
        <f>AVERAGE(BG383,BH383)</f>
        <v>1.208E-2</v>
      </c>
      <c r="BJ383" s="22">
        <f>BG383</f>
        <v>1.208E-2</v>
      </c>
      <c r="BK383" s="22">
        <f>BH383</f>
        <v>1.208E-2</v>
      </c>
      <c r="BL383" s="396">
        <f>AVERAGE(BJ383,BK383)</f>
        <v>1.208E-2</v>
      </c>
      <c r="BM383" s="22">
        <f>BJ383</f>
        <v>1.208E-2</v>
      </c>
      <c r="BN383" s="22">
        <f>BK383</f>
        <v>1.208E-2</v>
      </c>
      <c r="BO383" s="396">
        <f>AVERAGE(BM383,BN383)</f>
        <v>1.208E-2</v>
      </c>
      <c r="BP383" s="22">
        <f>BM383</f>
        <v>1.208E-2</v>
      </c>
      <c r="BQ383" s="22">
        <f>BN383</f>
        <v>1.208E-2</v>
      </c>
      <c r="BR383" s="396">
        <f>AVERAGE(BP383,BQ383)</f>
        <v>1.208E-2</v>
      </c>
    </row>
    <row r="384" spans="1:71" customFormat="1" ht="11.25" customHeight="1" outlineLevel="2">
      <c r="A384" s="6"/>
      <c r="B384" s="6"/>
      <c r="C384" s="108" t="s">
        <v>93</v>
      </c>
      <c r="D384" s="31" t="s">
        <v>66</v>
      </c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W384" s="6"/>
      <c r="X384" s="6"/>
      <c r="AE384" s="44"/>
      <c r="AF384" s="907">
        <v>2.8443750000000004E-2</v>
      </c>
      <c r="AG384" s="947">
        <v>3.44275E-2</v>
      </c>
      <c r="AH384" s="396">
        <f>AVERAGE(AF384,AG384)</f>
        <v>3.1435625000000002E-2</v>
      </c>
      <c r="AI384" s="22">
        <v>2.827E-2</v>
      </c>
      <c r="AJ384" s="22">
        <v>3.0983750000000001E-2</v>
      </c>
      <c r="AK384" s="396">
        <f>AVERAGE(AI384,AJ384)</f>
        <v>2.9626875E-2</v>
      </c>
      <c r="AL384" s="22">
        <v>3.3833749999999996E-2</v>
      </c>
      <c r="AM384" s="22">
        <f>AL384</f>
        <v>3.3833749999999996E-2</v>
      </c>
      <c r="AN384" s="396">
        <f>AVERAGE(AL384,AM384)</f>
        <v>3.3833749999999996E-2</v>
      </c>
      <c r="AO384" s="22">
        <f>AM384</f>
        <v>3.3833749999999996E-2</v>
      </c>
      <c r="AP384" s="22">
        <f>AO384</f>
        <v>3.3833749999999996E-2</v>
      </c>
      <c r="AQ384" s="396">
        <f>AVERAGE(AO384,AP384)</f>
        <v>3.3833749999999996E-2</v>
      </c>
      <c r="AR384" s="22">
        <f>AO384</f>
        <v>3.3833749999999996E-2</v>
      </c>
      <c r="AS384" s="22">
        <f>AP384</f>
        <v>3.3833749999999996E-2</v>
      </c>
      <c r="AT384" s="396">
        <f>AVERAGE(AR384,AS384)</f>
        <v>3.3833749999999996E-2</v>
      </c>
      <c r="AU384" s="22">
        <f>AR384</f>
        <v>3.3833749999999996E-2</v>
      </c>
      <c r="AV384" s="22">
        <f>AS384</f>
        <v>3.3833749999999996E-2</v>
      </c>
      <c r="AW384" s="396">
        <f>AVERAGE(AU384,AV384)</f>
        <v>3.3833749999999996E-2</v>
      </c>
      <c r="AX384" s="22">
        <f>AU384</f>
        <v>3.3833749999999996E-2</v>
      </c>
      <c r="AY384" s="22">
        <f>AV384</f>
        <v>3.3833749999999996E-2</v>
      </c>
      <c r="AZ384" s="396">
        <f>AVERAGE(AX384,AY384)</f>
        <v>3.3833749999999996E-2</v>
      </c>
      <c r="BA384" s="22">
        <f>AX384</f>
        <v>3.3833749999999996E-2</v>
      </c>
      <c r="BB384" s="22">
        <f>AY384</f>
        <v>3.3833749999999996E-2</v>
      </c>
      <c r="BC384" s="396">
        <f>AVERAGE(BA384,BB384)</f>
        <v>3.3833749999999996E-2</v>
      </c>
      <c r="BD384" s="22">
        <f>BA384</f>
        <v>3.3833749999999996E-2</v>
      </c>
      <c r="BE384" s="22">
        <f>BB384</f>
        <v>3.3833749999999996E-2</v>
      </c>
      <c r="BF384" s="396">
        <f>AVERAGE(BD384,BE384)</f>
        <v>3.3833749999999996E-2</v>
      </c>
      <c r="BG384" s="22">
        <f>BD384</f>
        <v>3.3833749999999996E-2</v>
      </c>
      <c r="BH384" s="22">
        <f>BE384</f>
        <v>3.3833749999999996E-2</v>
      </c>
      <c r="BI384" s="396">
        <f>AVERAGE(BG384,BH384)</f>
        <v>3.3833749999999996E-2</v>
      </c>
      <c r="BJ384" s="22">
        <f>BG384</f>
        <v>3.3833749999999996E-2</v>
      </c>
      <c r="BK384" s="22">
        <f>BH384</f>
        <v>3.3833749999999996E-2</v>
      </c>
      <c r="BL384" s="396">
        <f>AVERAGE(BJ384,BK384)</f>
        <v>3.3833749999999996E-2</v>
      </c>
      <c r="BM384" s="22">
        <f>BJ384</f>
        <v>3.3833749999999996E-2</v>
      </c>
      <c r="BN384" s="22">
        <f>BK384</f>
        <v>3.3833749999999996E-2</v>
      </c>
      <c r="BO384" s="396">
        <f>AVERAGE(BM384,BN384)</f>
        <v>3.3833749999999996E-2</v>
      </c>
      <c r="BP384" s="22">
        <f>BM384</f>
        <v>3.3833749999999996E-2</v>
      </c>
      <c r="BQ384" s="22">
        <f>BN384</f>
        <v>3.3833749999999996E-2</v>
      </c>
      <c r="BR384" s="396">
        <f>AVERAGE(BP384,BQ384)</f>
        <v>3.3833749999999996E-2</v>
      </c>
    </row>
    <row r="385" spans="1:70" customFormat="1" ht="11.25" customHeight="1" outlineLevel="2">
      <c r="A385" s="6"/>
      <c r="B385" s="6"/>
      <c r="C385" s="9" t="s">
        <v>83</v>
      </c>
      <c r="D385" s="31" t="s">
        <v>66</v>
      </c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W385" s="6"/>
      <c r="X385" s="6"/>
      <c r="AE385" s="44"/>
      <c r="AF385" s="133">
        <f t="shared" ref="AF385:AM385" si="1185">((AF284*AF386)+(AF285*AF387)+(AF286*AF388))</f>
        <v>4.4461817001289566E-2</v>
      </c>
      <c r="AG385" s="938">
        <f t="shared" si="1185"/>
        <v>4.4235988305237506E-2</v>
      </c>
      <c r="AH385" s="20">
        <f>((AH284*AH386)+(AH285*AH387)+(AH286*AH388))</f>
        <v>4.4349926035103446E-2</v>
      </c>
      <c r="AI385" s="20">
        <f t="shared" si="1185"/>
        <v>4.4940939145687878E-2</v>
      </c>
      <c r="AJ385" s="20">
        <f t="shared" si="1185"/>
        <v>4.5613944986100698E-2</v>
      </c>
      <c r="AK385" s="20">
        <f>((AK284*AK386)+(AK285*AK387)+(AK286*AK388))</f>
        <v>4.5298981428676457E-2</v>
      </c>
      <c r="AL385" s="20">
        <f t="shared" si="1185"/>
        <v>4.4617835860764295E-2</v>
      </c>
      <c r="AM385" s="20">
        <f t="shared" si="1185"/>
        <v>4.2328344784603976E-2</v>
      </c>
      <c r="AN385" s="20">
        <f>((AN284*AN386)+(AN285*AN387)+(AN286*AN388))</f>
        <v>4.3483942164561078E-2</v>
      </c>
      <c r="AO385" s="20">
        <f t="shared" ref="AO385:AP385" si="1186">((AO284*AO386)+(AO285*AO387)+(AO286*AO388))</f>
        <v>4.2253964988172757E-2</v>
      </c>
      <c r="AP385" s="20">
        <f t="shared" si="1186"/>
        <v>4.2457561885690082E-2</v>
      </c>
      <c r="AQ385" s="20">
        <f>((AQ284*AQ386)+(AQ285*AQ387)+(AQ286*AQ388))</f>
        <v>4.2353712549266787E-2</v>
      </c>
      <c r="AR385" s="20">
        <f t="shared" ref="AR385:AS385" si="1187">((AR284*AR386)+(AR285*AR387)+(AR286*AR388))</f>
        <v>4.2383094345931252E-2</v>
      </c>
      <c r="AS385" s="20">
        <f t="shared" si="1187"/>
        <v>4.2586611787710574E-2</v>
      </c>
      <c r="AT385" s="20">
        <f>((AT284*AT386)+(AT285*AT387)+(AT286*AT388))</f>
        <v>4.2482822348430829E-2</v>
      </c>
      <c r="AU385" s="20">
        <f t="shared" ref="AU385:AV385" si="1188">((AU284*AU386)+(AU285*AU387)+(AU286*AU388))</f>
        <v>4.2512069616254144E-2</v>
      </c>
      <c r="AV385" s="20">
        <f t="shared" si="1188"/>
        <v>4.2715472795687763E-2</v>
      </c>
      <c r="AW385" s="20">
        <f>((AW284*AW386)+(AW285*AW387)+(AW286*AW388))</f>
        <v>4.261176095948227E-2</v>
      </c>
      <c r="AX385" s="20">
        <f t="shared" ref="AX385:AY385" si="1189">((AX284*AX386)+(AX285*AX387)+(AX286*AX388))</f>
        <v>4.2640869125862006E-2</v>
      </c>
      <c r="AY385" s="20">
        <f t="shared" si="1189"/>
        <v>4.2844123331676087E-2</v>
      </c>
      <c r="AZ385" s="20">
        <f>((AZ284*AZ386)+(AZ285*AZ387)+(AZ286*AZ388))</f>
        <v>4.2740506745073299E-2</v>
      </c>
      <c r="BA385" s="20">
        <f t="shared" ref="BA385:BB385" si="1190">((BA284*BA386)+(BA285*BA387)+(BA286*BA388))</f>
        <v>4.2769471308846035E-2</v>
      </c>
      <c r="BB385" s="20">
        <f t="shared" si="1190"/>
        <v>4.2972541950105692E-2</v>
      </c>
      <c r="BC385" s="20">
        <f>((BC284*BC386)+(BC285*BC387)+(BC286*BC388))</f>
        <v>4.2869038187553339E-2</v>
      </c>
      <c r="BD385" s="20">
        <f t="shared" ref="BD385:BE385" si="1191">((BD284*BD386)+(BD285*BD387)+(BD286*BD388))</f>
        <v>4.2897854722020672E-2</v>
      </c>
      <c r="BE385" s="20">
        <f t="shared" si="1191"/>
        <v>4.3100707352934989E-2</v>
      </c>
      <c r="BF385" s="20">
        <f>((BF284*BF386)+(BF285*BF387)+(BF286*BF388))</f>
        <v>4.2997333904237725E-2</v>
      </c>
      <c r="BG385" s="20">
        <f t="shared" ref="BG385:BH385" si="1192">((BG284*BG386)+(BG285*BG387)+(BG286*BG388))</f>
        <v>4.3025998060100365E-2</v>
      </c>
      <c r="BH385" s="20">
        <f t="shared" si="1192"/>
        <v>4.322859840458923E-2</v>
      </c>
      <c r="BI385" s="20">
        <f>((BI284*BI386)+(BI285*BI387)+(BI286*BI388))</f>
        <v>4.3125372662481384E-2</v>
      </c>
      <c r="BJ385" s="20">
        <f t="shared" ref="BJ385:BK385" si="1193">((BJ284*BJ386)+(BJ285*BJ387)+(BJ286*BJ388))</f>
        <v>4.3153880170677367E-2</v>
      </c>
      <c r="BK385" s="20">
        <f t="shared" si="1193"/>
        <v>4.3356194146662794E-2</v>
      </c>
      <c r="BL385" s="20">
        <f>((BL284*BL386)+(BL285*BL387)+(BL286*BL388))</f>
        <v>4.3253133394535306E-2</v>
      </c>
      <c r="BM385" s="20">
        <f t="shared" ref="BM385:BN385" si="1194">((BM284*BM386)+(BM285*BM387)+(BM286*BM388))</f>
        <v>4.3281480068978112E-2</v>
      </c>
      <c r="BN385" s="20">
        <f t="shared" si="1194"/>
        <v>4.3483473812363123E-2</v>
      </c>
      <c r="BO385" s="20">
        <f>((BO284*BO386)+(BO285*BO387)+(BO286*BO388))</f>
        <v>4.3380595212162955E-2</v>
      </c>
      <c r="BP385" s="20">
        <f t="shared" ref="BP385:BQ385" si="1195">((BP284*BP386)+(BP285*BP387)+(BP286*BP388))</f>
        <v>4.3408776952375903E-2</v>
      </c>
      <c r="BQ385" s="20">
        <f t="shared" si="1195"/>
        <v>4.3610416840675265E-2</v>
      </c>
      <c r="BR385" s="20">
        <f>((BR284*BR386)+(BR285*BR387)+(BR286*BR388))</f>
        <v>4.3507737420995451E-2</v>
      </c>
    </row>
    <row r="386" spans="1:70" customFormat="1" ht="11.25" customHeight="1" outlineLevel="2">
      <c r="A386" s="6"/>
      <c r="B386" s="6"/>
      <c r="C386" s="108" t="s">
        <v>289</v>
      </c>
      <c r="D386" s="31" t="s">
        <v>66</v>
      </c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W386" s="6"/>
      <c r="X386" s="6"/>
      <c r="AE386" s="44"/>
      <c r="AF386" s="907">
        <v>6.6000000000000003E-2</v>
      </c>
      <c r="AG386" s="947">
        <v>6.4500000000000002E-2</v>
      </c>
      <c r="AH386" s="396">
        <f>AVERAGE(AF386,AG386)</f>
        <v>6.5250000000000002E-2</v>
      </c>
      <c r="AI386" s="22">
        <v>6.5500000000000003E-2</v>
      </c>
      <c r="AJ386" s="22">
        <v>6.4500000000000002E-2</v>
      </c>
      <c r="AK386" s="396">
        <f>AVERAGE(AI386,AJ386)</f>
        <v>6.5000000000000002E-2</v>
      </c>
      <c r="AL386" s="22">
        <v>6.25E-2</v>
      </c>
      <c r="AM386" s="22">
        <v>5.6000000000000001E-2</v>
      </c>
      <c r="AN386" s="396">
        <f>AVERAGE(AL386,AM386)</f>
        <v>5.9249999999999997E-2</v>
      </c>
      <c r="AO386" s="22">
        <f>AM386</f>
        <v>5.6000000000000001E-2</v>
      </c>
      <c r="AP386" s="22">
        <f>AO386</f>
        <v>5.6000000000000001E-2</v>
      </c>
      <c r="AQ386" s="396">
        <f>AVERAGE(AO386,AP386)</f>
        <v>5.6000000000000001E-2</v>
      </c>
      <c r="AR386" s="22">
        <f>AO386</f>
        <v>5.6000000000000001E-2</v>
      </c>
      <c r="AS386" s="22">
        <f>AP386</f>
        <v>5.6000000000000001E-2</v>
      </c>
      <c r="AT386" s="396">
        <f>AVERAGE(AR386,AS386)</f>
        <v>5.6000000000000001E-2</v>
      </c>
      <c r="AU386" s="22">
        <f>AR386</f>
        <v>5.6000000000000001E-2</v>
      </c>
      <c r="AV386" s="22">
        <f>AS386</f>
        <v>5.6000000000000001E-2</v>
      </c>
      <c r="AW386" s="396">
        <f>AVERAGE(AU386,AV386)</f>
        <v>5.6000000000000001E-2</v>
      </c>
      <c r="AX386" s="22">
        <f>AU386</f>
        <v>5.6000000000000001E-2</v>
      </c>
      <c r="AY386" s="22">
        <f>AV386</f>
        <v>5.6000000000000001E-2</v>
      </c>
      <c r="AZ386" s="396">
        <f>AVERAGE(AX386,AY386)</f>
        <v>5.6000000000000001E-2</v>
      </c>
      <c r="BA386" s="22">
        <f>AX386</f>
        <v>5.6000000000000001E-2</v>
      </c>
      <c r="BB386" s="22">
        <f>AY386</f>
        <v>5.6000000000000001E-2</v>
      </c>
      <c r="BC386" s="396">
        <f>AVERAGE(BA386,BB386)</f>
        <v>5.6000000000000001E-2</v>
      </c>
      <c r="BD386" s="22">
        <f>BA386</f>
        <v>5.6000000000000001E-2</v>
      </c>
      <c r="BE386" s="22">
        <f>BB386</f>
        <v>5.6000000000000001E-2</v>
      </c>
      <c r="BF386" s="396">
        <f>AVERAGE(BD386,BE386)</f>
        <v>5.6000000000000001E-2</v>
      </c>
      <c r="BG386" s="22">
        <f>BD386</f>
        <v>5.6000000000000001E-2</v>
      </c>
      <c r="BH386" s="22">
        <f>BE386</f>
        <v>5.6000000000000001E-2</v>
      </c>
      <c r="BI386" s="396">
        <f>AVERAGE(BG386,BH386)</f>
        <v>5.6000000000000001E-2</v>
      </c>
      <c r="BJ386" s="22">
        <f>BG386</f>
        <v>5.6000000000000001E-2</v>
      </c>
      <c r="BK386" s="22">
        <f>BH386</f>
        <v>5.6000000000000001E-2</v>
      </c>
      <c r="BL386" s="396">
        <f>AVERAGE(BJ386,BK386)</f>
        <v>5.6000000000000001E-2</v>
      </c>
      <c r="BM386" s="22">
        <f>BJ386</f>
        <v>5.6000000000000001E-2</v>
      </c>
      <c r="BN386" s="22">
        <f>BK386</f>
        <v>5.6000000000000001E-2</v>
      </c>
      <c r="BO386" s="396">
        <f>AVERAGE(BM386,BN386)</f>
        <v>5.6000000000000001E-2</v>
      </c>
      <c r="BP386" s="22">
        <f>BM386</f>
        <v>5.6000000000000001E-2</v>
      </c>
      <c r="BQ386" s="22">
        <f>BN386</f>
        <v>5.6000000000000001E-2</v>
      </c>
      <c r="BR386" s="396">
        <f>AVERAGE(BP386,BQ386)</f>
        <v>5.6000000000000001E-2</v>
      </c>
    </row>
    <row r="387" spans="1:70" customFormat="1" ht="11.25" customHeight="1" outlineLevel="2">
      <c r="A387" s="6"/>
      <c r="B387" s="6"/>
      <c r="C387" s="108" t="s">
        <v>537</v>
      </c>
      <c r="D387" s="31" t="s">
        <v>66</v>
      </c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W387" s="6"/>
      <c r="X387" s="6"/>
      <c r="AE387" s="44"/>
      <c r="AF387" s="907">
        <v>4.3611111111111101E-2</v>
      </c>
      <c r="AG387" s="947">
        <v>4.5944444444444441E-2</v>
      </c>
      <c r="AH387" s="396">
        <f>AVERAGE(AF387,AG387)</f>
        <v>4.4777777777777771E-2</v>
      </c>
      <c r="AI387" s="22">
        <v>4.5555555555555557E-2</v>
      </c>
      <c r="AJ387" s="22">
        <v>4.3722222222222218E-2</v>
      </c>
      <c r="AK387" s="396">
        <f>AVERAGE(AI387,AJ387)</f>
        <v>4.4638888888888888E-2</v>
      </c>
      <c r="AL387" s="22">
        <v>4.3833333333333328E-2</v>
      </c>
      <c r="AM387" s="22">
        <v>4.3222222222222224E-2</v>
      </c>
      <c r="AN387" s="396">
        <f>AVERAGE(AL387,AM387)</f>
        <v>4.3527777777777776E-2</v>
      </c>
      <c r="AO387" s="22">
        <f>AM387</f>
        <v>4.3222222222222224E-2</v>
      </c>
      <c r="AP387" s="22">
        <f>AO387</f>
        <v>4.3222222222222224E-2</v>
      </c>
      <c r="AQ387" s="396">
        <f>AVERAGE(AO387,AP387)</f>
        <v>4.3222222222222224E-2</v>
      </c>
      <c r="AR387" s="22">
        <f t="shared" ref="AR387:AR388" si="1196">AO387</f>
        <v>4.3222222222222224E-2</v>
      </c>
      <c r="AS387" s="22">
        <f t="shared" ref="AS387:AS388" si="1197">AP387</f>
        <v>4.3222222222222224E-2</v>
      </c>
      <c r="AT387" s="396">
        <f>AVERAGE(AR387,AS387)</f>
        <v>4.3222222222222224E-2</v>
      </c>
      <c r="AU387" s="22">
        <f t="shared" ref="AU387:AU388" si="1198">AR387</f>
        <v>4.3222222222222224E-2</v>
      </c>
      <c r="AV387" s="22">
        <f t="shared" ref="AV387:AV388" si="1199">AS387</f>
        <v>4.3222222222222224E-2</v>
      </c>
      <c r="AW387" s="396">
        <f>AVERAGE(AU387,AV387)</f>
        <v>4.3222222222222224E-2</v>
      </c>
      <c r="AX387" s="22">
        <f t="shared" ref="AX387:AX388" si="1200">AU387</f>
        <v>4.3222222222222224E-2</v>
      </c>
      <c r="AY387" s="22">
        <f t="shared" ref="AY387:AY388" si="1201">AV387</f>
        <v>4.3222222222222224E-2</v>
      </c>
      <c r="AZ387" s="396">
        <f>AVERAGE(AX387,AY387)</f>
        <v>4.3222222222222224E-2</v>
      </c>
      <c r="BA387" s="22">
        <f t="shared" ref="BA387:BA388" si="1202">AX387</f>
        <v>4.3222222222222224E-2</v>
      </c>
      <c r="BB387" s="22">
        <f t="shared" ref="BB387:BB388" si="1203">AY387</f>
        <v>4.3222222222222224E-2</v>
      </c>
      <c r="BC387" s="396">
        <f>AVERAGE(BA387,BB387)</f>
        <v>4.3222222222222224E-2</v>
      </c>
      <c r="BD387" s="22">
        <f t="shared" ref="BD387:BD388" si="1204">BA387</f>
        <v>4.3222222222222224E-2</v>
      </c>
      <c r="BE387" s="22">
        <f t="shared" ref="BE387:BE388" si="1205">BB387</f>
        <v>4.3222222222222224E-2</v>
      </c>
      <c r="BF387" s="396">
        <f>AVERAGE(BD387,BE387)</f>
        <v>4.3222222222222224E-2</v>
      </c>
      <c r="BG387" s="22">
        <f t="shared" ref="BG387:BG388" si="1206">BD387</f>
        <v>4.3222222222222224E-2</v>
      </c>
      <c r="BH387" s="22">
        <f t="shared" ref="BH387:BH388" si="1207">BE387</f>
        <v>4.3222222222222224E-2</v>
      </c>
      <c r="BI387" s="396">
        <f>AVERAGE(BG387,BH387)</f>
        <v>4.3222222222222224E-2</v>
      </c>
      <c r="BJ387" s="22">
        <f t="shared" ref="BJ387:BJ388" si="1208">BG387</f>
        <v>4.3222222222222224E-2</v>
      </c>
      <c r="BK387" s="22">
        <f t="shared" ref="BK387:BK388" si="1209">BH387</f>
        <v>4.3222222222222224E-2</v>
      </c>
      <c r="BL387" s="396">
        <f>AVERAGE(BJ387,BK387)</f>
        <v>4.3222222222222224E-2</v>
      </c>
      <c r="BM387" s="22">
        <f t="shared" ref="BM387:BM388" si="1210">BJ387</f>
        <v>4.3222222222222224E-2</v>
      </c>
      <c r="BN387" s="22">
        <f t="shared" ref="BN387:BN388" si="1211">BK387</f>
        <v>4.3222222222222224E-2</v>
      </c>
      <c r="BO387" s="396">
        <f>AVERAGE(BM387,BN387)</f>
        <v>4.3222222222222224E-2</v>
      </c>
      <c r="BP387" s="22">
        <f t="shared" ref="BP387:BP388" si="1212">BM387</f>
        <v>4.3222222222222224E-2</v>
      </c>
      <c r="BQ387" s="22">
        <f t="shared" ref="BQ387:BQ388" si="1213">BN387</f>
        <v>4.3222222222222224E-2</v>
      </c>
      <c r="BR387" s="396">
        <f>AVERAGE(BP387,BQ387)</f>
        <v>4.3222222222222224E-2</v>
      </c>
    </row>
    <row r="388" spans="1:70" customFormat="1" ht="11.25" customHeight="1" outlineLevel="2">
      <c r="A388" s="6"/>
      <c r="B388" s="6"/>
      <c r="C388" s="108" t="s">
        <v>290</v>
      </c>
      <c r="D388" s="31" t="s">
        <v>66</v>
      </c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W388" s="6"/>
      <c r="X388" s="6"/>
      <c r="AE388" s="44"/>
      <c r="AF388" s="907">
        <v>2.6250000000000002E-2</v>
      </c>
      <c r="AG388" s="947">
        <v>2.4250000000000001E-2</v>
      </c>
      <c r="AH388" s="396">
        <f>AVERAGE(AF388,AG388)</f>
        <v>2.5250000000000002E-2</v>
      </c>
      <c r="AI388" s="22">
        <v>2.3875E-2</v>
      </c>
      <c r="AJ388" s="22">
        <v>2.6250000000000002E-2</v>
      </c>
      <c r="AK388" s="396">
        <f>AVERAGE(AI388,AJ388)</f>
        <v>2.5062500000000001E-2</v>
      </c>
      <c r="AL388" s="22">
        <v>2.5875000000000002E-2</v>
      </c>
      <c r="AM388" s="22">
        <v>2.6250000000000002E-2</v>
      </c>
      <c r="AN388" s="396">
        <f>AVERAGE(AL388,AM388)</f>
        <v>2.6062500000000002E-2</v>
      </c>
      <c r="AO388" s="22">
        <f>AM388</f>
        <v>2.6250000000000002E-2</v>
      </c>
      <c r="AP388" s="22">
        <f>AO388</f>
        <v>2.6250000000000002E-2</v>
      </c>
      <c r="AQ388" s="396">
        <f>AVERAGE(AO388,AP388)</f>
        <v>2.6250000000000002E-2</v>
      </c>
      <c r="AR388" s="22">
        <f t="shared" si="1196"/>
        <v>2.6250000000000002E-2</v>
      </c>
      <c r="AS388" s="22">
        <f t="shared" si="1197"/>
        <v>2.6250000000000002E-2</v>
      </c>
      <c r="AT388" s="396">
        <f>AVERAGE(AR388,AS388)</f>
        <v>2.6250000000000002E-2</v>
      </c>
      <c r="AU388" s="22">
        <f t="shared" si="1198"/>
        <v>2.6250000000000002E-2</v>
      </c>
      <c r="AV388" s="22">
        <f t="shared" si="1199"/>
        <v>2.6250000000000002E-2</v>
      </c>
      <c r="AW388" s="396">
        <f>AVERAGE(AU388,AV388)</f>
        <v>2.6250000000000002E-2</v>
      </c>
      <c r="AX388" s="22">
        <f t="shared" si="1200"/>
        <v>2.6250000000000002E-2</v>
      </c>
      <c r="AY388" s="22">
        <f t="shared" si="1201"/>
        <v>2.6250000000000002E-2</v>
      </c>
      <c r="AZ388" s="396">
        <f>AVERAGE(AX388,AY388)</f>
        <v>2.6250000000000002E-2</v>
      </c>
      <c r="BA388" s="22">
        <f t="shared" si="1202"/>
        <v>2.6250000000000002E-2</v>
      </c>
      <c r="BB388" s="22">
        <f t="shared" si="1203"/>
        <v>2.6250000000000002E-2</v>
      </c>
      <c r="BC388" s="396">
        <f>AVERAGE(BA388,BB388)</f>
        <v>2.6250000000000002E-2</v>
      </c>
      <c r="BD388" s="22">
        <f t="shared" si="1204"/>
        <v>2.6250000000000002E-2</v>
      </c>
      <c r="BE388" s="22">
        <f t="shared" si="1205"/>
        <v>2.6250000000000002E-2</v>
      </c>
      <c r="BF388" s="396">
        <f>AVERAGE(BD388,BE388)</f>
        <v>2.6250000000000002E-2</v>
      </c>
      <c r="BG388" s="22">
        <f t="shared" si="1206"/>
        <v>2.6250000000000002E-2</v>
      </c>
      <c r="BH388" s="22">
        <f t="shared" si="1207"/>
        <v>2.6250000000000002E-2</v>
      </c>
      <c r="BI388" s="396">
        <f>AVERAGE(BG388,BH388)</f>
        <v>2.6250000000000002E-2</v>
      </c>
      <c r="BJ388" s="22">
        <f t="shared" si="1208"/>
        <v>2.6250000000000002E-2</v>
      </c>
      <c r="BK388" s="22">
        <f t="shared" si="1209"/>
        <v>2.6250000000000002E-2</v>
      </c>
      <c r="BL388" s="396">
        <f>AVERAGE(BJ388,BK388)</f>
        <v>2.6250000000000002E-2</v>
      </c>
      <c r="BM388" s="22">
        <f t="shared" si="1210"/>
        <v>2.6250000000000002E-2</v>
      </c>
      <c r="BN388" s="22">
        <f t="shared" si="1211"/>
        <v>2.6250000000000002E-2</v>
      </c>
      <c r="BO388" s="396">
        <f>AVERAGE(BM388,BN388)</f>
        <v>2.6250000000000002E-2</v>
      </c>
      <c r="BP388" s="22">
        <f t="shared" si="1212"/>
        <v>2.6250000000000002E-2</v>
      </c>
      <c r="BQ388" s="22">
        <f t="shared" si="1213"/>
        <v>2.6250000000000002E-2</v>
      </c>
      <c r="BR388" s="396">
        <f>AVERAGE(BP388,BQ388)</f>
        <v>2.6250000000000002E-2</v>
      </c>
    </row>
    <row r="389" spans="1:70" customFormat="1" ht="11.25" customHeight="1" outlineLevel="2">
      <c r="A389" s="6"/>
      <c r="B389" s="6"/>
      <c r="C389" s="9" t="s">
        <v>294</v>
      </c>
      <c r="D389" s="31" t="s">
        <v>66</v>
      </c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W389" s="6"/>
      <c r="X389" s="6"/>
      <c r="AE389" s="44"/>
      <c r="AF389" s="133">
        <f t="shared" ref="AF389:AN389" si="1214">((AF288*AF390)+(AF289*AF391))</f>
        <v>3.6716278508357625E-2</v>
      </c>
      <c r="AG389" s="938">
        <f t="shared" si="1214"/>
        <v>3.8574319320710135E-2</v>
      </c>
      <c r="AH389" s="20">
        <f t="shared" si="1214"/>
        <v>3.7633274867341665E-2</v>
      </c>
      <c r="AI389" s="20">
        <f t="shared" si="1214"/>
        <v>3.7079805883365062E-2</v>
      </c>
      <c r="AJ389" s="20">
        <f t="shared" si="1214"/>
        <v>3.6784372073749447E-2</v>
      </c>
      <c r="AK389" s="20">
        <f t="shared" si="1214"/>
        <v>3.6915139344068697E-2</v>
      </c>
      <c r="AL389" s="20">
        <f t="shared" si="1214"/>
        <v>3.5697937966260168E-2</v>
      </c>
      <c r="AM389" s="20">
        <f t="shared" si="1214"/>
        <v>3.3936124907535468E-2</v>
      </c>
      <c r="AN389" s="20">
        <f t="shared" si="1214"/>
        <v>3.478338013959803E-2</v>
      </c>
      <c r="AO389" s="20">
        <f t="shared" ref="AO389:BR389" si="1215">((AO288*AO390)+(AO289*AO391))</f>
        <v>3.3215170469248032E-2</v>
      </c>
      <c r="AP389" s="20">
        <f t="shared" si="1215"/>
        <v>3.3969283537633163E-2</v>
      </c>
      <c r="AQ389" s="20">
        <f t="shared" si="1215"/>
        <v>3.358233420795094E-2</v>
      </c>
      <c r="AR389" s="20">
        <f t="shared" si="1215"/>
        <v>3.3392227679145195E-2</v>
      </c>
      <c r="AS389" s="20">
        <f t="shared" si="1215"/>
        <v>3.4144582488544108E-2</v>
      </c>
      <c r="AT389" s="20">
        <f t="shared" si="1215"/>
        <v>3.3758603915677185E-2</v>
      </c>
      <c r="AU389" s="20">
        <f t="shared" ref="AU389:AV389" si="1216">((AU288*AU390)+(AU289*AU391))</f>
        <v>3.3568921376005971E-2</v>
      </c>
      <c r="AV389" s="20">
        <f t="shared" si="1216"/>
        <v>3.4319394123678085E-2</v>
      </c>
      <c r="AW389" s="20">
        <f t="shared" si="1215"/>
        <v>3.3934449325437432E-2</v>
      </c>
      <c r="AX389" s="20">
        <f t="shared" ref="AX389:AY389" si="1217">((AX288*AX390)+(AX289*AX391))</f>
        <v>3.3745222136288916E-2</v>
      </c>
      <c r="AY389" s="20">
        <f t="shared" si="1217"/>
        <v>3.4493690288609533E-2</v>
      </c>
      <c r="AZ389" s="20">
        <f t="shared" si="1215"/>
        <v>3.4109841588255391E-2</v>
      </c>
      <c r="BA389" s="20">
        <f t="shared" ref="BA389:BB389" si="1218">((BA288*BA390)+(BA289*BA391))</f>
        <v>3.3921100803117873E-2</v>
      </c>
      <c r="BB389" s="20">
        <f t="shared" si="1218"/>
        <v>3.4667443172916521E-2</v>
      </c>
      <c r="BC389" s="20">
        <f t="shared" si="1215"/>
        <v>3.428475216036965E-2</v>
      </c>
      <c r="BD389" s="20">
        <f t="shared" ref="BD389:BE389" si="1219">((BD288*BD390)+(BD289*BD391))</f>
        <v>3.4096528505070001E-2</v>
      </c>
      <c r="BE389" s="20">
        <f t="shared" si="1219"/>
        <v>3.4840625327069663E-2</v>
      </c>
      <c r="BF389" s="20">
        <f t="shared" si="1215"/>
        <v>3.4459152821151237E-2</v>
      </c>
      <c r="BG389" s="20">
        <f t="shared" ref="BG389:BH389" si="1220">((BG288*BG390)+(BG289*BG391))</f>
        <v>3.4271476674557474E-2</v>
      </c>
      <c r="BH389" s="20">
        <f t="shared" si="1220"/>
        <v>3.501320967881983E-2</v>
      </c>
      <c r="BI389" s="20">
        <f t="shared" si="1215"/>
        <v>3.4633015690566434E-2</v>
      </c>
      <c r="BJ389" s="20">
        <f t="shared" ref="BJ389:BK389" si="1221">((BJ288*BJ390)+(BJ289*BJ391))</f>
        <v>3.4445917065778764E-2</v>
      </c>
      <c r="BK389" s="20">
        <f t="shared" si="1221"/>
        <v>3.5185169549065386E-2</v>
      </c>
      <c r="BL389" s="20">
        <f t="shared" si="1215"/>
        <v>3.4806313246162693E-2</v>
      </c>
      <c r="BM389" s="20">
        <f t="shared" ref="BM389:BN389" si="1222">((BM288*BM390)+(BM289*BM391))</f>
        <v>3.4619821772216779E-2</v>
      </c>
      <c r="BN389" s="20">
        <f t="shared" si="1222"/>
        <v>3.5356478667180877E-2</v>
      </c>
      <c r="BO389" s="20">
        <f t="shared" si="1215"/>
        <v>3.4979018339557404E-2</v>
      </c>
      <c r="BP389" s="20">
        <f t="shared" ref="BP389:BQ389" si="1223">((BP288*BP390)+(BP289*BP391))</f>
        <v>3.4793163243661732E-2</v>
      </c>
      <c r="BQ389" s="20">
        <f t="shared" si="1223"/>
        <v>3.5527111185790584E-2</v>
      </c>
      <c r="BR389" s="20">
        <f t="shared" si="1215"/>
        <v>3.5151104212409863E-2</v>
      </c>
    </row>
    <row r="390" spans="1:70" customFormat="1" ht="11.25" customHeight="1" outlineLevel="2">
      <c r="A390" s="6"/>
      <c r="B390" s="6"/>
      <c r="C390" s="108" t="s">
        <v>292</v>
      </c>
      <c r="D390" s="31" t="s">
        <v>66</v>
      </c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W390" s="6"/>
      <c r="X390" s="6"/>
      <c r="AE390" s="44"/>
      <c r="AF390" s="907">
        <v>2.4340000000000001E-2</v>
      </c>
      <c r="AG390" s="947">
        <v>2.4750000000000001E-2</v>
      </c>
      <c r="AH390" s="396">
        <f>AVERAGE(AF390,AG390)</f>
        <v>2.4545000000000001E-2</v>
      </c>
      <c r="AI390" s="22">
        <v>2.0920000000000001E-2</v>
      </c>
      <c r="AJ390" s="22">
        <v>1.8959999999999998E-2</v>
      </c>
      <c r="AK390" s="396">
        <f>AVERAGE(AI390,AJ390)</f>
        <v>1.9939999999999999E-2</v>
      </c>
      <c r="AL390" s="22">
        <v>1.7499999999999998E-2</v>
      </c>
      <c r="AM390" s="22">
        <v>1.204E-2</v>
      </c>
      <c r="AN390" s="396">
        <f>AVERAGE(AL390,AM390)</f>
        <v>1.4769999999999998E-2</v>
      </c>
      <c r="AO390" s="22">
        <f>AM390</f>
        <v>1.204E-2</v>
      </c>
      <c r="AP390" s="22">
        <f>AO390</f>
        <v>1.204E-2</v>
      </c>
      <c r="AQ390" s="396">
        <f>AVERAGE(AO390,AP390)</f>
        <v>1.204E-2</v>
      </c>
      <c r="AR390" s="22">
        <f t="shared" ref="AR390:AR391" si="1224">AO390</f>
        <v>1.204E-2</v>
      </c>
      <c r="AS390" s="22">
        <f t="shared" ref="AS390:AS391" si="1225">AP390</f>
        <v>1.204E-2</v>
      </c>
      <c r="AT390" s="396">
        <f>AVERAGE(AR390,AS390)</f>
        <v>1.204E-2</v>
      </c>
      <c r="AU390" s="22">
        <f t="shared" ref="AU390:AU391" si="1226">AR390</f>
        <v>1.204E-2</v>
      </c>
      <c r="AV390" s="22">
        <f t="shared" ref="AV390:AV391" si="1227">AS390</f>
        <v>1.204E-2</v>
      </c>
      <c r="AW390" s="396">
        <f>AVERAGE(AU390,AV390)</f>
        <v>1.204E-2</v>
      </c>
      <c r="AX390" s="22">
        <f t="shared" ref="AX390:AX391" si="1228">AU390</f>
        <v>1.204E-2</v>
      </c>
      <c r="AY390" s="22">
        <f t="shared" ref="AY390:AY391" si="1229">AV390</f>
        <v>1.204E-2</v>
      </c>
      <c r="AZ390" s="396">
        <f>AVERAGE(AX390,AY390)</f>
        <v>1.204E-2</v>
      </c>
      <c r="BA390" s="22">
        <f t="shared" ref="BA390:BA391" si="1230">AX390</f>
        <v>1.204E-2</v>
      </c>
      <c r="BB390" s="22">
        <f t="shared" ref="BB390:BB391" si="1231">AY390</f>
        <v>1.204E-2</v>
      </c>
      <c r="BC390" s="396">
        <f>AVERAGE(BA390,BB390)</f>
        <v>1.204E-2</v>
      </c>
      <c r="BD390" s="22">
        <f t="shared" ref="BD390:BD391" si="1232">BA390</f>
        <v>1.204E-2</v>
      </c>
      <c r="BE390" s="22">
        <f t="shared" ref="BE390:BE391" si="1233">BB390</f>
        <v>1.204E-2</v>
      </c>
      <c r="BF390" s="396">
        <f>AVERAGE(BD390,BE390)</f>
        <v>1.204E-2</v>
      </c>
      <c r="BG390" s="22">
        <f t="shared" ref="BG390:BG391" si="1234">BD390</f>
        <v>1.204E-2</v>
      </c>
      <c r="BH390" s="22">
        <f t="shared" ref="BH390:BH391" si="1235">BE390</f>
        <v>1.204E-2</v>
      </c>
      <c r="BI390" s="396">
        <f>AVERAGE(BG390,BH390)</f>
        <v>1.204E-2</v>
      </c>
      <c r="BJ390" s="22">
        <f t="shared" ref="BJ390:BJ391" si="1236">BG390</f>
        <v>1.204E-2</v>
      </c>
      <c r="BK390" s="22">
        <f t="shared" ref="BK390:BK391" si="1237">BH390</f>
        <v>1.204E-2</v>
      </c>
      <c r="BL390" s="396">
        <f>AVERAGE(BJ390,BK390)</f>
        <v>1.204E-2</v>
      </c>
      <c r="BM390" s="22">
        <f t="shared" ref="BM390:BM391" si="1238">BJ390</f>
        <v>1.204E-2</v>
      </c>
      <c r="BN390" s="22">
        <f t="shared" ref="BN390:BN391" si="1239">BK390</f>
        <v>1.204E-2</v>
      </c>
      <c r="BO390" s="396">
        <f>AVERAGE(BM390,BN390)</f>
        <v>1.204E-2</v>
      </c>
      <c r="BP390" s="22">
        <f t="shared" ref="BP390:BP391" si="1240">BM390</f>
        <v>1.204E-2</v>
      </c>
      <c r="BQ390" s="22">
        <f t="shared" ref="BQ390:BQ391" si="1241">BN390</f>
        <v>1.204E-2</v>
      </c>
      <c r="BR390" s="396">
        <f>AVERAGE(BP390,BQ390)</f>
        <v>1.204E-2</v>
      </c>
    </row>
    <row r="391" spans="1:70" customFormat="1" ht="11.25" customHeight="1" outlineLevel="2">
      <c r="A391" s="6"/>
      <c r="B391" s="6"/>
      <c r="C391" s="108" t="s">
        <v>293</v>
      </c>
      <c r="D391" s="31" t="s">
        <v>66</v>
      </c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W391" s="6"/>
      <c r="X391" s="6"/>
      <c r="AE391" s="44"/>
      <c r="AF391" s="907">
        <v>4.7500000000000001E-2</v>
      </c>
      <c r="AG391" s="947">
        <v>0.05</v>
      </c>
      <c r="AH391" s="396">
        <f>AVERAGE(AF391,AG391)</f>
        <v>4.8750000000000002E-2</v>
      </c>
      <c r="AI391" s="22">
        <v>5.0500000000000003E-2</v>
      </c>
      <c r="AJ391" s="22">
        <v>5.0500000000000003E-2</v>
      </c>
      <c r="AK391" s="396">
        <f>AVERAGE(AI391,AJ391)</f>
        <v>5.0500000000000003E-2</v>
      </c>
      <c r="AL391" s="22">
        <v>5.0500000000000003E-2</v>
      </c>
      <c r="AM391" s="22">
        <f>AL391</f>
        <v>5.0500000000000003E-2</v>
      </c>
      <c r="AN391" s="396">
        <f>AVERAGE(AL391,AM391)</f>
        <v>5.0500000000000003E-2</v>
      </c>
      <c r="AO391" s="22">
        <f>AM391</f>
        <v>5.0500000000000003E-2</v>
      </c>
      <c r="AP391" s="22">
        <f>AO391</f>
        <v>5.0500000000000003E-2</v>
      </c>
      <c r="AQ391" s="396">
        <f>AVERAGE(AO391,AP391)</f>
        <v>5.0500000000000003E-2</v>
      </c>
      <c r="AR391" s="22">
        <f t="shared" si="1224"/>
        <v>5.0500000000000003E-2</v>
      </c>
      <c r="AS391" s="22">
        <f t="shared" si="1225"/>
        <v>5.0500000000000003E-2</v>
      </c>
      <c r="AT391" s="396">
        <f>AVERAGE(AR391,AS391)</f>
        <v>5.0500000000000003E-2</v>
      </c>
      <c r="AU391" s="22">
        <f t="shared" si="1226"/>
        <v>5.0500000000000003E-2</v>
      </c>
      <c r="AV391" s="22">
        <f t="shared" si="1227"/>
        <v>5.0500000000000003E-2</v>
      </c>
      <c r="AW391" s="396">
        <f>AVERAGE(AU391,AV391)</f>
        <v>5.0500000000000003E-2</v>
      </c>
      <c r="AX391" s="22">
        <f t="shared" si="1228"/>
        <v>5.0500000000000003E-2</v>
      </c>
      <c r="AY391" s="22">
        <f t="shared" si="1229"/>
        <v>5.0500000000000003E-2</v>
      </c>
      <c r="AZ391" s="396">
        <f>AVERAGE(AX391,AY391)</f>
        <v>5.0500000000000003E-2</v>
      </c>
      <c r="BA391" s="22">
        <f t="shared" si="1230"/>
        <v>5.0500000000000003E-2</v>
      </c>
      <c r="BB391" s="22">
        <f t="shared" si="1231"/>
        <v>5.0500000000000003E-2</v>
      </c>
      <c r="BC391" s="396">
        <f>AVERAGE(BA391,BB391)</f>
        <v>5.0500000000000003E-2</v>
      </c>
      <c r="BD391" s="22">
        <f t="shared" si="1232"/>
        <v>5.0500000000000003E-2</v>
      </c>
      <c r="BE391" s="22">
        <f t="shared" si="1233"/>
        <v>5.0500000000000003E-2</v>
      </c>
      <c r="BF391" s="396">
        <f>AVERAGE(BD391,BE391)</f>
        <v>5.0500000000000003E-2</v>
      </c>
      <c r="BG391" s="22">
        <f t="shared" si="1234"/>
        <v>5.0500000000000003E-2</v>
      </c>
      <c r="BH391" s="22">
        <f t="shared" si="1235"/>
        <v>5.0500000000000003E-2</v>
      </c>
      <c r="BI391" s="396">
        <f>AVERAGE(BG391,BH391)</f>
        <v>5.0500000000000003E-2</v>
      </c>
      <c r="BJ391" s="22">
        <f t="shared" si="1236"/>
        <v>5.0500000000000003E-2</v>
      </c>
      <c r="BK391" s="22">
        <f t="shared" si="1237"/>
        <v>5.0500000000000003E-2</v>
      </c>
      <c r="BL391" s="396">
        <f>AVERAGE(BJ391,BK391)</f>
        <v>5.0500000000000003E-2</v>
      </c>
      <c r="BM391" s="22">
        <f t="shared" si="1238"/>
        <v>5.0500000000000003E-2</v>
      </c>
      <c r="BN391" s="22">
        <f t="shared" si="1239"/>
        <v>5.0500000000000003E-2</v>
      </c>
      <c r="BO391" s="396">
        <f>AVERAGE(BM391,BN391)</f>
        <v>5.0500000000000003E-2</v>
      </c>
      <c r="BP391" s="22">
        <f t="shared" si="1240"/>
        <v>5.0500000000000003E-2</v>
      </c>
      <c r="BQ391" s="22">
        <f t="shared" si="1241"/>
        <v>5.0500000000000003E-2</v>
      </c>
      <c r="BR391" s="396">
        <f>AVERAGE(BP391,BQ391)</f>
        <v>5.0500000000000003E-2</v>
      </c>
    </row>
    <row r="392" spans="1:70" customFormat="1" ht="11.25" customHeight="1" outlineLevel="2">
      <c r="A392" s="6"/>
      <c r="B392" s="6"/>
      <c r="C392" s="113" t="s">
        <v>295</v>
      </c>
      <c r="D392" s="7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W392" s="6"/>
      <c r="X392" s="6"/>
      <c r="AE392" s="44"/>
      <c r="AF392" s="130"/>
      <c r="AG392" s="931"/>
      <c r="AH392" s="6"/>
    </row>
    <row r="393" spans="1:70" customFormat="1" ht="11.25" customHeight="1" outlineLevel="2">
      <c r="A393" s="6"/>
      <c r="B393" s="6"/>
      <c r="C393" s="9" t="s">
        <v>80</v>
      </c>
      <c r="D393" s="31" t="s">
        <v>66</v>
      </c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W393" s="6"/>
      <c r="X393" s="6"/>
      <c r="AE393" s="44"/>
      <c r="AF393" s="133">
        <f t="shared" ref="AF393:AN393" si="1242">((AF278*AF394)+(AF279*AF395))</f>
        <v>5.576394607964304E-3</v>
      </c>
      <c r="AG393" s="938">
        <f t="shared" si="1242"/>
        <v>2.5511295715911447E-3</v>
      </c>
      <c r="AH393" s="20">
        <f t="shared" si="1242"/>
        <v>4.0575773808359051E-3</v>
      </c>
      <c r="AI393" s="20">
        <f t="shared" si="1242"/>
        <v>6.5369411368578524E-3</v>
      </c>
      <c r="AJ393" s="20">
        <f t="shared" si="1242"/>
        <v>-2.3322793555036478E-3</v>
      </c>
      <c r="AK393" s="20">
        <f t="shared" si="1242"/>
        <v>2.0113629196367943E-3</v>
      </c>
      <c r="AL393" s="20">
        <f t="shared" si="1242"/>
        <v>1.4357704806907063E-4</v>
      </c>
      <c r="AM393" s="20">
        <f t="shared" si="1242"/>
        <v>2.8424170376898936E-3</v>
      </c>
      <c r="AN393" s="20">
        <f t="shared" si="1242"/>
        <v>1.5125654128487545E-3</v>
      </c>
      <c r="AO393" s="20">
        <f t="shared" ref="AO393:BR393" si="1243">((AO278*AO394)+(AO279*AO395))</f>
        <v>6.2311167560335807E-4</v>
      </c>
      <c r="AP393" s="20">
        <f t="shared" si="1243"/>
        <v>0</v>
      </c>
      <c r="AQ393" s="20">
        <f t="shared" si="1243"/>
        <v>3.0710956356003877E-4</v>
      </c>
      <c r="AR393" s="20">
        <f t="shared" si="1243"/>
        <v>0</v>
      </c>
      <c r="AS393" s="20">
        <f t="shared" si="1243"/>
        <v>0</v>
      </c>
      <c r="AT393" s="20">
        <f t="shared" si="1243"/>
        <v>0</v>
      </c>
      <c r="AU393" s="20">
        <f t="shared" si="1243"/>
        <v>0</v>
      </c>
      <c r="AV393" s="20">
        <f t="shared" si="1243"/>
        <v>0</v>
      </c>
      <c r="AW393" s="20">
        <f t="shared" si="1243"/>
        <v>0</v>
      </c>
      <c r="AX393" s="20">
        <f t="shared" si="1243"/>
        <v>0</v>
      </c>
      <c r="AY393" s="20">
        <f t="shared" si="1243"/>
        <v>0</v>
      </c>
      <c r="AZ393" s="20">
        <f t="shared" si="1243"/>
        <v>0</v>
      </c>
      <c r="BA393" s="20">
        <f t="shared" si="1243"/>
        <v>0</v>
      </c>
      <c r="BB393" s="20">
        <f t="shared" si="1243"/>
        <v>0</v>
      </c>
      <c r="BC393" s="20">
        <f t="shared" si="1243"/>
        <v>0</v>
      </c>
      <c r="BD393" s="20">
        <f t="shared" si="1243"/>
        <v>0</v>
      </c>
      <c r="BE393" s="20">
        <f t="shared" si="1243"/>
        <v>0</v>
      </c>
      <c r="BF393" s="20">
        <f t="shared" si="1243"/>
        <v>0</v>
      </c>
      <c r="BG393" s="20">
        <f t="shared" si="1243"/>
        <v>0</v>
      </c>
      <c r="BH393" s="20">
        <f t="shared" si="1243"/>
        <v>0</v>
      </c>
      <c r="BI393" s="20">
        <f t="shared" si="1243"/>
        <v>0</v>
      </c>
      <c r="BJ393" s="20">
        <f t="shared" si="1243"/>
        <v>0</v>
      </c>
      <c r="BK393" s="20">
        <f t="shared" si="1243"/>
        <v>0</v>
      </c>
      <c r="BL393" s="20">
        <f t="shared" si="1243"/>
        <v>0</v>
      </c>
      <c r="BM393" s="20">
        <f t="shared" si="1243"/>
        <v>0</v>
      </c>
      <c r="BN393" s="20">
        <f t="shared" si="1243"/>
        <v>0</v>
      </c>
      <c r="BO393" s="20">
        <f t="shared" si="1243"/>
        <v>0</v>
      </c>
      <c r="BP393" s="20">
        <f t="shared" si="1243"/>
        <v>0</v>
      </c>
      <c r="BQ393" s="20">
        <f t="shared" si="1243"/>
        <v>0</v>
      </c>
      <c r="BR393" s="20">
        <f t="shared" si="1243"/>
        <v>0</v>
      </c>
    </row>
    <row r="394" spans="1:70" customFormat="1" ht="11.25" customHeight="1" outlineLevel="2">
      <c r="A394" s="6"/>
      <c r="B394" s="6"/>
      <c r="C394" s="108" t="s">
        <v>288</v>
      </c>
      <c r="D394" s="31" t="s">
        <v>66</v>
      </c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W394" s="6"/>
      <c r="X394" s="6"/>
      <c r="AE394" s="44"/>
      <c r="AF394" s="907">
        <v>0</v>
      </c>
      <c r="AG394" s="947">
        <v>0</v>
      </c>
      <c r="AH394" s="396">
        <f>AVERAGE(AF394,AG394)</f>
        <v>0</v>
      </c>
      <c r="AI394" s="22">
        <v>0</v>
      </c>
      <c r="AJ394" s="22">
        <v>0</v>
      </c>
      <c r="AK394" s="396">
        <f>AVERAGE(AI394,AJ394)</f>
        <v>0</v>
      </c>
      <c r="AL394" s="22">
        <v>0</v>
      </c>
      <c r="AM394" s="22">
        <v>0</v>
      </c>
      <c r="AN394" s="396">
        <f>AVERAGE(AL394,AM394)</f>
        <v>0</v>
      </c>
      <c r="AO394" s="22">
        <v>0</v>
      </c>
      <c r="AP394" s="22">
        <v>0</v>
      </c>
      <c r="AQ394" s="396">
        <f>AVERAGE(AO394,AP394)</f>
        <v>0</v>
      </c>
      <c r="AR394" s="22">
        <v>0</v>
      </c>
      <c r="AS394" s="22">
        <v>0</v>
      </c>
      <c r="AT394" s="396">
        <f>AVERAGE(AR394,AS394)</f>
        <v>0</v>
      </c>
      <c r="AU394" s="22">
        <v>0</v>
      </c>
      <c r="AV394" s="22">
        <v>0</v>
      </c>
      <c r="AW394" s="396">
        <f>AVERAGE(AU394,AV394)</f>
        <v>0</v>
      </c>
      <c r="AX394" s="22">
        <v>0</v>
      </c>
      <c r="AY394" s="22">
        <v>0</v>
      </c>
      <c r="AZ394" s="396">
        <f>AVERAGE(AX394,AY394)</f>
        <v>0</v>
      </c>
      <c r="BA394" s="22">
        <v>0</v>
      </c>
      <c r="BB394" s="22">
        <v>0</v>
      </c>
      <c r="BC394" s="396">
        <f>AVERAGE(BA394,BB394)</f>
        <v>0</v>
      </c>
      <c r="BD394" s="22">
        <v>0</v>
      </c>
      <c r="BE394" s="22">
        <v>0</v>
      </c>
      <c r="BF394" s="396">
        <f>AVERAGE(BD394,BE394)</f>
        <v>0</v>
      </c>
      <c r="BG394" s="22">
        <v>0</v>
      </c>
      <c r="BH394" s="22">
        <v>0</v>
      </c>
      <c r="BI394" s="396">
        <f>AVERAGE(BG394,BH394)</f>
        <v>0</v>
      </c>
      <c r="BJ394" s="22">
        <v>0</v>
      </c>
      <c r="BK394" s="22">
        <v>0</v>
      </c>
      <c r="BL394" s="396">
        <f>AVERAGE(BJ394,BK394)</f>
        <v>0</v>
      </c>
      <c r="BM394" s="22">
        <v>0</v>
      </c>
      <c r="BN394" s="22">
        <v>0</v>
      </c>
      <c r="BO394" s="396">
        <f>AVERAGE(BM394,BN394)</f>
        <v>0</v>
      </c>
      <c r="BP394" s="22">
        <v>0</v>
      </c>
      <c r="BQ394" s="22">
        <v>0</v>
      </c>
      <c r="BR394" s="396">
        <f>AVERAGE(BP394,BQ394)</f>
        <v>0</v>
      </c>
    </row>
    <row r="395" spans="1:70" customFormat="1" ht="11.25" customHeight="1" outlineLevel="2">
      <c r="A395" s="6"/>
      <c r="B395" s="6"/>
      <c r="C395" s="108" t="s">
        <v>538</v>
      </c>
      <c r="D395" s="31" t="s">
        <v>66</v>
      </c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W395" s="6"/>
      <c r="X395" s="6"/>
      <c r="AE395" s="44"/>
      <c r="AF395" s="166">
        <v>2.7263409253557191E-2</v>
      </c>
      <c r="AG395" s="983">
        <v>1.2593428597357348E-2</v>
      </c>
      <c r="AH395" s="395">
        <f>AVERAGE(AF395,AG395)</f>
        <v>1.992841892545727E-2</v>
      </c>
      <c r="AI395" s="166">
        <v>3.1037177623013057E-2</v>
      </c>
      <c r="AJ395" s="166">
        <v>-1.1545158152224675E-2</v>
      </c>
      <c r="AK395" s="395">
        <f>AVERAGE(AI395,AJ395)</f>
        <v>9.7460097353941899E-3</v>
      </c>
      <c r="AL395" s="166">
        <v>6.7662711210954903E-4</v>
      </c>
      <c r="AM395" s="166">
        <v>1.3770879850358186E-2</v>
      </c>
      <c r="AN395" s="395">
        <f>AVERAGE(AL395,AM395)</f>
        <v>7.2237534812338682E-3</v>
      </c>
      <c r="AO395" s="166">
        <v>2.8985507246376643E-3</v>
      </c>
      <c r="AP395" s="166">
        <v>0</v>
      </c>
      <c r="AQ395" s="395">
        <f>AVERAGE(AO395,AP395)</f>
        <v>1.4492753623188321E-3</v>
      </c>
      <c r="AR395" s="166">
        <v>0</v>
      </c>
      <c r="AS395" s="166">
        <v>0</v>
      </c>
      <c r="AT395" s="395">
        <f>AVERAGE(AR395,AS395)</f>
        <v>0</v>
      </c>
      <c r="AU395" s="166">
        <v>0</v>
      </c>
      <c r="AV395" s="166">
        <v>0</v>
      </c>
      <c r="AW395" s="395">
        <f>AVERAGE(AU395,AV395)</f>
        <v>0</v>
      </c>
      <c r="AX395" s="166">
        <v>0</v>
      </c>
      <c r="AY395" s="166">
        <v>0</v>
      </c>
      <c r="AZ395" s="395">
        <f>AVERAGE(AX395,AY395)</f>
        <v>0</v>
      </c>
      <c r="BA395" s="166">
        <v>0</v>
      </c>
      <c r="BB395" s="166">
        <v>0</v>
      </c>
      <c r="BC395" s="395">
        <f>AVERAGE(BA395,BB395)</f>
        <v>0</v>
      </c>
      <c r="BD395" s="166">
        <v>0</v>
      </c>
      <c r="BE395" s="166">
        <v>0</v>
      </c>
      <c r="BF395" s="395">
        <f>AVERAGE(BD395,BE395)</f>
        <v>0</v>
      </c>
      <c r="BG395" s="166">
        <v>0</v>
      </c>
      <c r="BH395" s="166">
        <v>0</v>
      </c>
      <c r="BI395" s="395">
        <f>AVERAGE(BG395,BH395)</f>
        <v>0</v>
      </c>
      <c r="BJ395" s="166">
        <v>0</v>
      </c>
      <c r="BK395" s="166">
        <v>0</v>
      </c>
      <c r="BL395" s="395">
        <f>AVERAGE(BJ395,BK395)</f>
        <v>0</v>
      </c>
      <c r="BM395" s="166">
        <v>0</v>
      </c>
      <c r="BN395" s="166">
        <v>0</v>
      </c>
      <c r="BO395" s="395">
        <f>AVERAGE(BM395,BN395)</f>
        <v>0</v>
      </c>
      <c r="BP395" s="166">
        <v>0</v>
      </c>
      <c r="BQ395" s="166">
        <v>0</v>
      </c>
      <c r="BR395" s="395">
        <f>AVERAGE(BP395,BQ395)</f>
        <v>0</v>
      </c>
    </row>
    <row r="396" spans="1:70" customFormat="1" ht="11.25" customHeight="1" outlineLevel="2">
      <c r="A396" s="6"/>
      <c r="B396" s="6"/>
      <c r="C396" s="9" t="s">
        <v>81</v>
      </c>
      <c r="D396" s="31" t="s">
        <v>66</v>
      </c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W396" s="6"/>
      <c r="X396" s="6"/>
      <c r="AE396" s="44"/>
      <c r="AF396" s="162">
        <f t="shared" ref="AF396:AN396" si="1244">((AF281*AF397)+(AF282*AF398))</f>
        <v>-7.8087874845823815E-2</v>
      </c>
      <c r="AG396" s="984">
        <f t="shared" si="1244"/>
        <v>-0.10839512670135645</v>
      </c>
      <c r="AH396" s="40">
        <f t="shared" si="1244"/>
        <v>-9.3265532117478456E-2</v>
      </c>
      <c r="AI396" s="40">
        <f t="shared" si="1244"/>
        <v>6.4174621296180599E-3</v>
      </c>
      <c r="AJ396" s="40">
        <f t="shared" si="1244"/>
        <v>-2.7000750844886477E-2</v>
      </c>
      <c r="AK396" s="40">
        <f t="shared" si="1244"/>
        <v>-1.0347335304058266E-2</v>
      </c>
      <c r="AL396" s="40">
        <f t="shared" si="1244"/>
        <v>-6.8712079071634027E-2</v>
      </c>
      <c r="AM396" s="40">
        <f t="shared" si="1244"/>
        <v>-1.8798512382171693E-2</v>
      </c>
      <c r="AN396" s="40">
        <f t="shared" si="1244"/>
        <v>-4.3756907779832765E-2</v>
      </c>
      <c r="AO396" s="40">
        <f t="shared" ref="AO396:BR396" si="1245">((AO281*AO397)+(AO282*AO398))</f>
        <v>1.938482698010872E-3</v>
      </c>
      <c r="AP396" s="40">
        <f t="shared" si="1245"/>
        <v>0</v>
      </c>
      <c r="AQ396" s="40">
        <f t="shared" si="1245"/>
        <v>9.6852095554941493E-4</v>
      </c>
      <c r="AR396" s="40">
        <f t="shared" si="1245"/>
        <v>0</v>
      </c>
      <c r="AS396" s="40">
        <f t="shared" si="1245"/>
        <v>0</v>
      </c>
      <c r="AT396" s="40">
        <f t="shared" si="1245"/>
        <v>0</v>
      </c>
      <c r="AU396" s="40">
        <f t="shared" si="1245"/>
        <v>0</v>
      </c>
      <c r="AV396" s="40">
        <f t="shared" si="1245"/>
        <v>0</v>
      </c>
      <c r="AW396" s="40">
        <f t="shared" si="1245"/>
        <v>0</v>
      </c>
      <c r="AX396" s="40">
        <f t="shared" si="1245"/>
        <v>0</v>
      </c>
      <c r="AY396" s="40">
        <f t="shared" si="1245"/>
        <v>0</v>
      </c>
      <c r="AZ396" s="40">
        <f t="shared" si="1245"/>
        <v>0</v>
      </c>
      <c r="BA396" s="40">
        <f t="shared" si="1245"/>
        <v>0</v>
      </c>
      <c r="BB396" s="40">
        <f t="shared" si="1245"/>
        <v>0</v>
      </c>
      <c r="BC396" s="40">
        <f t="shared" si="1245"/>
        <v>0</v>
      </c>
      <c r="BD396" s="40">
        <f t="shared" si="1245"/>
        <v>0</v>
      </c>
      <c r="BE396" s="40">
        <f t="shared" si="1245"/>
        <v>0</v>
      </c>
      <c r="BF396" s="40">
        <f t="shared" si="1245"/>
        <v>0</v>
      </c>
      <c r="BG396" s="40">
        <f t="shared" si="1245"/>
        <v>0</v>
      </c>
      <c r="BH396" s="40">
        <f t="shared" si="1245"/>
        <v>0</v>
      </c>
      <c r="BI396" s="40">
        <f t="shared" si="1245"/>
        <v>0</v>
      </c>
      <c r="BJ396" s="40">
        <f t="shared" si="1245"/>
        <v>0</v>
      </c>
      <c r="BK396" s="40">
        <f t="shared" si="1245"/>
        <v>0</v>
      </c>
      <c r="BL396" s="40">
        <f t="shared" si="1245"/>
        <v>0</v>
      </c>
      <c r="BM396" s="40">
        <f t="shared" si="1245"/>
        <v>0</v>
      </c>
      <c r="BN396" s="40">
        <f t="shared" si="1245"/>
        <v>0</v>
      </c>
      <c r="BO396" s="40">
        <f t="shared" si="1245"/>
        <v>0</v>
      </c>
      <c r="BP396" s="40">
        <f t="shared" si="1245"/>
        <v>0</v>
      </c>
      <c r="BQ396" s="40">
        <f t="shared" si="1245"/>
        <v>0</v>
      </c>
      <c r="BR396" s="40">
        <f t="shared" si="1245"/>
        <v>0</v>
      </c>
    </row>
    <row r="397" spans="1:70" customFormat="1" ht="11.25" customHeight="1" outlineLevel="2">
      <c r="A397" s="6"/>
      <c r="B397" s="6"/>
      <c r="C397" s="108" t="s">
        <v>59</v>
      </c>
      <c r="D397" s="31" t="s">
        <v>66</v>
      </c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W397" s="6"/>
      <c r="X397" s="6"/>
      <c r="AE397" s="44"/>
      <c r="AF397" s="166">
        <v>-6.8737770017904876E-2</v>
      </c>
      <c r="AG397" s="983">
        <v>-8.9998474714680893E-2</v>
      </c>
      <c r="AH397" s="395">
        <f>AVERAGE(AF397,AG397)</f>
        <v>-7.9368122366292884E-2</v>
      </c>
      <c r="AI397" s="166">
        <v>2.1096241717193872E-2</v>
      </c>
      <c r="AJ397" s="166">
        <v>-2.8785306527674324E-2</v>
      </c>
      <c r="AK397" s="395">
        <f>AVERAGE(AI397,AJ397)</f>
        <v>-3.8445324052402263E-3</v>
      </c>
      <c r="AL397" s="166">
        <v>-9.3958974524242955E-2</v>
      </c>
      <c r="AM397" s="166">
        <v>-3.2761633934654553E-2</v>
      </c>
      <c r="AN397" s="395">
        <f>AVERAGE(AL397,AM397)</f>
        <v>-6.3360304229448758E-2</v>
      </c>
      <c r="AO397" s="166">
        <v>0</v>
      </c>
      <c r="AP397" s="166">
        <v>0</v>
      </c>
      <c r="AQ397" s="395">
        <f>AVERAGE(AO397,AP397)</f>
        <v>0</v>
      </c>
      <c r="AR397" s="166">
        <v>0</v>
      </c>
      <c r="AS397" s="166">
        <v>0</v>
      </c>
      <c r="AT397" s="395">
        <f>AVERAGE(AR397,AS397)</f>
        <v>0</v>
      </c>
      <c r="AU397" s="166">
        <v>0</v>
      </c>
      <c r="AV397" s="166">
        <v>0</v>
      </c>
      <c r="AW397" s="395">
        <f>AVERAGE(AU397,AV397)</f>
        <v>0</v>
      </c>
      <c r="AX397" s="166">
        <v>0</v>
      </c>
      <c r="AY397" s="166">
        <v>0</v>
      </c>
      <c r="AZ397" s="395">
        <f>AVERAGE(AX397,AY397)</f>
        <v>0</v>
      </c>
      <c r="BA397" s="166">
        <v>0</v>
      </c>
      <c r="BB397" s="166">
        <v>0</v>
      </c>
      <c r="BC397" s="395">
        <f>AVERAGE(BA397,BB397)</f>
        <v>0</v>
      </c>
      <c r="BD397" s="166">
        <v>0</v>
      </c>
      <c r="BE397" s="166">
        <v>0</v>
      </c>
      <c r="BF397" s="395">
        <f>AVERAGE(BD397,BE397)</f>
        <v>0</v>
      </c>
      <c r="BG397" s="166">
        <v>0</v>
      </c>
      <c r="BH397" s="166">
        <v>0</v>
      </c>
      <c r="BI397" s="395">
        <f>AVERAGE(BG397,BH397)</f>
        <v>0</v>
      </c>
      <c r="BJ397" s="166">
        <v>0</v>
      </c>
      <c r="BK397" s="166">
        <v>0</v>
      </c>
      <c r="BL397" s="395">
        <f>AVERAGE(BJ397,BK397)</f>
        <v>0</v>
      </c>
      <c r="BM397" s="166">
        <v>0</v>
      </c>
      <c r="BN397" s="166">
        <v>0</v>
      </c>
      <c r="BO397" s="395">
        <f>AVERAGE(BM397,BN397)</f>
        <v>0</v>
      </c>
      <c r="BP397" s="166">
        <v>0</v>
      </c>
      <c r="BQ397" s="166">
        <v>0</v>
      </c>
      <c r="BR397" s="395">
        <f>AVERAGE(BP397,BQ397)</f>
        <v>0</v>
      </c>
    </row>
    <row r="398" spans="1:70" customFormat="1" ht="11.25" customHeight="1" outlineLevel="2">
      <c r="A398" s="6"/>
      <c r="B398" s="6"/>
      <c r="C398" s="108" t="s">
        <v>93</v>
      </c>
      <c r="D398" s="31" t="s">
        <v>66</v>
      </c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W398" s="6"/>
      <c r="X398" s="6"/>
      <c r="AE398" s="44"/>
      <c r="AF398" s="166">
        <v>-8.9737078949097465E-2</v>
      </c>
      <c r="AG398" s="983">
        <v>-0.13171768748706145</v>
      </c>
      <c r="AH398" s="395">
        <f>AVERAGE(AF398,AG398)</f>
        <v>-0.11072738321807946</v>
      </c>
      <c r="AI398" s="87">
        <v>-1.2364300880907319E-2</v>
      </c>
      <c r="AJ398" s="87">
        <v>-2.4772239187122923E-2</v>
      </c>
      <c r="AK398" s="395">
        <f>AVERAGE(AI398,AJ398)</f>
        <v>-1.8568270034015122E-2</v>
      </c>
      <c r="AL398" s="87">
        <v>-3.8715552157357468E-2</v>
      </c>
      <c r="AM398" s="87">
        <v>-2.2442051181890505E-3</v>
      </c>
      <c r="AN398" s="395">
        <f>AVERAGE(AL398,AM398)</f>
        <v>-2.0479878637773258E-2</v>
      </c>
      <c r="AO398" s="87">
        <v>4.1841616394168394E-3</v>
      </c>
      <c r="AP398" s="87">
        <v>0</v>
      </c>
      <c r="AQ398" s="395">
        <f>AVERAGE(AO398,AP398)</f>
        <v>2.0920808197084197E-3</v>
      </c>
      <c r="AR398" s="87">
        <v>0</v>
      </c>
      <c r="AS398" s="87">
        <v>0</v>
      </c>
      <c r="AT398" s="395">
        <f>AVERAGE(AR398,AS398)</f>
        <v>0</v>
      </c>
      <c r="AU398" s="87">
        <v>0</v>
      </c>
      <c r="AV398" s="87">
        <v>0</v>
      </c>
      <c r="AW398" s="395">
        <f>AVERAGE(AU398,AV398)</f>
        <v>0</v>
      </c>
      <c r="AX398" s="87">
        <v>0</v>
      </c>
      <c r="AY398" s="87">
        <v>0</v>
      </c>
      <c r="AZ398" s="395">
        <f>AVERAGE(AX398,AY398)</f>
        <v>0</v>
      </c>
      <c r="BA398" s="87">
        <v>0</v>
      </c>
      <c r="BB398" s="87">
        <v>0</v>
      </c>
      <c r="BC398" s="395">
        <f>AVERAGE(BA398,BB398)</f>
        <v>0</v>
      </c>
      <c r="BD398" s="87">
        <v>0</v>
      </c>
      <c r="BE398" s="87">
        <v>0</v>
      </c>
      <c r="BF398" s="395">
        <f>AVERAGE(BD398,BE398)</f>
        <v>0</v>
      </c>
      <c r="BG398" s="87">
        <v>0</v>
      </c>
      <c r="BH398" s="87">
        <v>0</v>
      </c>
      <c r="BI398" s="395">
        <f>AVERAGE(BG398,BH398)</f>
        <v>0</v>
      </c>
      <c r="BJ398" s="87">
        <v>0</v>
      </c>
      <c r="BK398" s="87">
        <v>0</v>
      </c>
      <c r="BL398" s="395">
        <f>AVERAGE(BJ398,BK398)</f>
        <v>0</v>
      </c>
      <c r="BM398" s="87">
        <v>0</v>
      </c>
      <c r="BN398" s="87">
        <v>0</v>
      </c>
      <c r="BO398" s="395">
        <f>AVERAGE(BM398,BN398)</f>
        <v>0</v>
      </c>
      <c r="BP398" s="87">
        <v>0</v>
      </c>
      <c r="BQ398" s="87">
        <v>0</v>
      </c>
      <c r="BR398" s="395">
        <f>AVERAGE(BP398,BQ398)</f>
        <v>0</v>
      </c>
    </row>
    <row r="399" spans="1:70" customFormat="1" ht="11.25" customHeight="1" outlineLevel="2">
      <c r="A399" s="6"/>
      <c r="B399" s="6"/>
      <c r="C399" s="9" t="s">
        <v>83</v>
      </c>
      <c r="D399" s="31" t="s">
        <v>66</v>
      </c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W399" s="6"/>
      <c r="X399" s="6"/>
      <c r="AE399" s="44"/>
      <c r="AF399" s="162">
        <f t="shared" ref="AF399:AM399" si="1246">((AF284*AF400)+(AF285*AF401)+(AF286*AF402))</f>
        <v>-5.2296270380373128E-2</v>
      </c>
      <c r="AG399" s="984">
        <f t="shared" si="1246"/>
        <v>-7.1227917763370244E-2</v>
      </c>
      <c r="AH399" s="40">
        <f>((AH284*AH400)+(AH285*AH401)+(AH286*AH402))</f>
        <v>-6.1922191659358347E-2</v>
      </c>
      <c r="AI399" s="40">
        <f t="shared" si="1246"/>
        <v>-2.1803186612191112E-2</v>
      </c>
      <c r="AJ399" s="40">
        <f t="shared" si="1246"/>
        <v>-6.6182724388156006E-2</v>
      </c>
      <c r="AK399" s="40">
        <f>((AK284*AK400)+(AK285*AK401)+(AK286*AK402))</f>
        <v>-4.4063676190939795E-2</v>
      </c>
      <c r="AL399" s="40">
        <f t="shared" si="1246"/>
        <v>-7.5657021254131387E-2</v>
      </c>
      <c r="AM399" s="40">
        <f t="shared" si="1246"/>
        <v>-1.4092900571734537E-2</v>
      </c>
      <c r="AN399" s="40">
        <f>((AN284*AN400)+(AN285*AN401)+(AN286*AN402))</f>
        <v>-4.4802733916934567E-2</v>
      </c>
      <c r="AO399" s="40">
        <f t="shared" ref="AO399:AP399" si="1247">((AO284*AO400)+(AO285*AO401)+(AO286*AO402))</f>
        <v>1.8885116038676645E-3</v>
      </c>
      <c r="AP399" s="40">
        <f t="shared" si="1247"/>
        <v>0</v>
      </c>
      <c r="AQ399" s="40">
        <f>((AQ284*AQ400)+(AQ285*AQ401)+(AQ286*AQ402))</f>
        <v>9.4725305651405776E-4</v>
      </c>
      <c r="AR399" s="40">
        <f t="shared" ref="AR399:AS399" si="1248">((AR284*AR400)+(AR285*AR401)+(AR286*AR402))</f>
        <v>0</v>
      </c>
      <c r="AS399" s="40">
        <f t="shared" si="1248"/>
        <v>0</v>
      </c>
      <c r="AT399" s="40">
        <f>((AT284*AT400)+(AT285*AT401)+(AT286*AT402))</f>
        <v>0</v>
      </c>
      <c r="AU399" s="40">
        <f t="shared" ref="AU399:AV399" si="1249">((AU284*AU400)+(AU285*AU401)+(AU286*AU402))</f>
        <v>0</v>
      </c>
      <c r="AV399" s="40">
        <f t="shared" si="1249"/>
        <v>0</v>
      </c>
      <c r="AW399" s="40">
        <f>((AW284*AW400)+(AW285*AW401)+(AW286*AW402))</f>
        <v>0</v>
      </c>
      <c r="AX399" s="40">
        <f t="shared" ref="AX399:AY399" si="1250">((AX284*AX400)+(AX285*AX401)+(AX286*AX402))</f>
        <v>0</v>
      </c>
      <c r="AY399" s="40">
        <f t="shared" si="1250"/>
        <v>0</v>
      </c>
      <c r="AZ399" s="40">
        <f>((AZ284*AZ400)+(AZ285*AZ401)+(AZ286*AZ402))</f>
        <v>0</v>
      </c>
      <c r="BA399" s="40">
        <f t="shared" ref="BA399:BB399" si="1251">((BA284*BA400)+(BA285*BA401)+(BA286*BA402))</f>
        <v>0</v>
      </c>
      <c r="BB399" s="40">
        <f t="shared" si="1251"/>
        <v>0</v>
      </c>
      <c r="BC399" s="40">
        <f>((BC284*BC400)+(BC285*BC401)+(BC286*BC402))</f>
        <v>0</v>
      </c>
      <c r="BD399" s="40">
        <f t="shared" ref="BD399:BE399" si="1252">((BD284*BD400)+(BD285*BD401)+(BD286*BD402))</f>
        <v>0</v>
      </c>
      <c r="BE399" s="40">
        <f t="shared" si="1252"/>
        <v>0</v>
      </c>
      <c r="BF399" s="40">
        <f>((BF284*BF400)+(BF285*BF401)+(BF286*BF402))</f>
        <v>0</v>
      </c>
      <c r="BG399" s="40">
        <f t="shared" ref="BG399:BH399" si="1253">((BG284*BG400)+(BG285*BG401)+(BG286*BG402))</f>
        <v>0</v>
      </c>
      <c r="BH399" s="40">
        <f t="shared" si="1253"/>
        <v>0</v>
      </c>
      <c r="BI399" s="40">
        <f>((BI284*BI400)+(BI285*BI401)+(BI286*BI402))</f>
        <v>0</v>
      </c>
      <c r="BJ399" s="40">
        <f t="shared" ref="BJ399:BK399" si="1254">((BJ284*BJ400)+(BJ285*BJ401)+(BJ286*BJ402))</f>
        <v>0</v>
      </c>
      <c r="BK399" s="40">
        <f t="shared" si="1254"/>
        <v>0</v>
      </c>
      <c r="BL399" s="40">
        <f>((BL284*BL400)+(BL285*BL401)+(BL286*BL402))</f>
        <v>0</v>
      </c>
      <c r="BM399" s="40">
        <f t="shared" ref="BM399:BN399" si="1255">((BM284*BM400)+(BM285*BM401)+(BM286*BM402))</f>
        <v>0</v>
      </c>
      <c r="BN399" s="40">
        <f t="shared" si="1255"/>
        <v>0</v>
      </c>
      <c r="BO399" s="40">
        <f>((BO284*BO400)+(BO285*BO401)+(BO286*BO402))</f>
        <v>0</v>
      </c>
      <c r="BP399" s="40">
        <f t="shared" ref="BP399:BQ399" si="1256">((BP284*BP400)+(BP285*BP401)+(BP286*BP402))</f>
        <v>0</v>
      </c>
      <c r="BQ399" s="40">
        <f t="shared" si="1256"/>
        <v>0</v>
      </c>
      <c r="BR399" s="40">
        <f>((BR284*BR400)+(BR285*BR401)+(BR286*BR402))</f>
        <v>0</v>
      </c>
    </row>
    <row r="400" spans="1:70" customFormat="1" ht="11.25" customHeight="1" outlineLevel="2">
      <c r="A400" s="6"/>
      <c r="B400" s="6"/>
      <c r="C400" s="108" t="s">
        <v>289</v>
      </c>
      <c r="D400" s="31" t="s">
        <v>66</v>
      </c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W400" s="6"/>
      <c r="X400" s="6"/>
      <c r="AE400" s="44"/>
      <c r="AF400" s="166">
        <v>-5.5121970366292405E-2</v>
      </c>
      <c r="AG400" s="983">
        <v>-5.4069908699724056E-2</v>
      </c>
      <c r="AH400" s="395">
        <f>AVERAGE(AF400,AG400)</f>
        <v>-5.4595939533008231E-2</v>
      </c>
      <c r="AI400" s="87">
        <v>1.9848262838689679E-2</v>
      </c>
      <c r="AJ400" s="87">
        <v>-1.8014489292253799E-2</v>
      </c>
      <c r="AK400" s="395">
        <f>AVERAGE(AI400,AJ400)</f>
        <v>9.1688677321793977E-4</v>
      </c>
      <c r="AL400" s="87">
        <v>-6.3145801920353239E-2</v>
      </c>
      <c r="AM400" s="87">
        <v>-1.6635281310802608E-2</v>
      </c>
      <c r="AN400" s="395">
        <f>AVERAGE(AL400,AM400)</f>
        <v>-3.9890541615577924E-2</v>
      </c>
      <c r="AO400" s="87">
        <v>2.3023791250960102E-3</v>
      </c>
      <c r="AP400" s="87">
        <v>0</v>
      </c>
      <c r="AQ400" s="395">
        <f>AVERAGE(AO400,AP400)</f>
        <v>1.1511895625480051E-3</v>
      </c>
      <c r="AR400" s="87">
        <v>0</v>
      </c>
      <c r="AS400" s="87">
        <v>0</v>
      </c>
      <c r="AT400" s="395">
        <f>AVERAGE(AR400,AS400)</f>
        <v>0</v>
      </c>
      <c r="AU400" s="87">
        <v>0</v>
      </c>
      <c r="AV400" s="87">
        <v>0</v>
      </c>
      <c r="AW400" s="395">
        <f>AVERAGE(AU400,AV400)</f>
        <v>0</v>
      </c>
      <c r="AX400" s="87">
        <v>0</v>
      </c>
      <c r="AY400" s="87">
        <v>0</v>
      </c>
      <c r="AZ400" s="395">
        <f>AVERAGE(AX400,AY400)</f>
        <v>0</v>
      </c>
      <c r="BA400" s="87">
        <v>0</v>
      </c>
      <c r="BB400" s="87">
        <v>0</v>
      </c>
      <c r="BC400" s="395">
        <f>AVERAGE(BA400,BB400)</f>
        <v>0</v>
      </c>
      <c r="BD400" s="87">
        <v>0</v>
      </c>
      <c r="BE400" s="87">
        <v>0</v>
      </c>
      <c r="BF400" s="395">
        <f>AVERAGE(BD400,BE400)</f>
        <v>0</v>
      </c>
      <c r="BG400" s="87">
        <v>0</v>
      </c>
      <c r="BH400" s="87">
        <v>0</v>
      </c>
      <c r="BI400" s="395">
        <f>AVERAGE(BG400,BH400)</f>
        <v>0</v>
      </c>
      <c r="BJ400" s="87">
        <v>0</v>
      </c>
      <c r="BK400" s="87">
        <v>0</v>
      </c>
      <c r="BL400" s="395">
        <f>AVERAGE(BJ400,BK400)</f>
        <v>0</v>
      </c>
      <c r="BM400" s="87">
        <v>0</v>
      </c>
      <c r="BN400" s="87">
        <v>0</v>
      </c>
      <c r="BO400" s="395">
        <f>AVERAGE(BM400,BN400)</f>
        <v>0</v>
      </c>
      <c r="BP400" s="87">
        <v>0</v>
      </c>
      <c r="BQ400" s="87">
        <v>0</v>
      </c>
      <c r="BR400" s="395">
        <f>AVERAGE(BP400,BQ400)</f>
        <v>0</v>
      </c>
    </row>
    <row r="401" spans="1:70" customFormat="1" ht="11.25" customHeight="1" outlineLevel="2">
      <c r="A401" s="6"/>
      <c r="B401" s="6"/>
      <c r="C401" s="108" t="s">
        <v>537</v>
      </c>
      <c r="D401" s="31" t="s">
        <v>66</v>
      </c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W401" s="6"/>
      <c r="X401" s="6"/>
      <c r="AE401" s="44"/>
      <c r="AF401" s="166">
        <v>-5.622748811577679E-2</v>
      </c>
      <c r="AG401" s="983">
        <v>-6.1029574957549515E-2</v>
      </c>
      <c r="AH401" s="395">
        <f>AVERAGE(AF401,AG401)</f>
        <v>-5.8628531536663156E-2</v>
      </c>
      <c r="AI401" s="87">
        <v>2.3698693801072427E-2</v>
      </c>
      <c r="AJ401" s="87">
        <v>-2.0056124559201617E-2</v>
      </c>
      <c r="AK401" s="395">
        <f>AVERAGE(AI401,AJ401)</f>
        <v>1.8212846209354049E-3</v>
      </c>
      <c r="AL401" s="87">
        <v>-5.699060667181325E-2</v>
      </c>
      <c r="AM401" s="87">
        <v>-1.0575351467034845E-2</v>
      </c>
      <c r="AN401" s="395">
        <f>AVERAGE(AL401,AM401)</f>
        <v>-3.3782979069424048E-2</v>
      </c>
      <c r="AO401" s="87">
        <v>3.7414542199002169E-3</v>
      </c>
      <c r="AP401" s="87">
        <v>0</v>
      </c>
      <c r="AQ401" s="395">
        <f>AVERAGE(AO401,AP401)</f>
        <v>1.8707271099501085E-3</v>
      </c>
      <c r="AR401" s="87">
        <v>0</v>
      </c>
      <c r="AS401" s="87">
        <v>0</v>
      </c>
      <c r="AT401" s="395">
        <f>AVERAGE(AR401,AS401)</f>
        <v>0</v>
      </c>
      <c r="AU401" s="87">
        <v>0</v>
      </c>
      <c r="AV401" s="87">
        <v>0</v>
      </c>
      <c r="AW401" s="395">
        <f>AVERAGE(AU401,AV401)</f>
        <v>0</v>
      </c>
      <c r="AX401" s="87">
        <v>0</v>
      </c>
      <c r="AY401" s="87">
        <v>0</v>
      </c>
      <c r="AZ401" s="395">
        <f>AVERAGE(AX401,AY401)</f>
        <v>0</v>
      </c>
      <c r="BA401" s="87">
        <v>0</v>
      </c>
      <c r="BB401" s="87">
        <v>0</v>
      </c>
      <c r="BC401" s="395">
        <f>AVERAGE(BA401,BB401)</f>
        <v>0</v>
      </c>
      <c r="BD401" s="87">
        <v>0</v>
      </c>
      <c r="BE401" s="87">
        <v>0</v>
      </c>
      <c r="BF401" s="395">
        <f>AVERAGE(BD401,BE401)</f>
        <v>0</v>
      </c>
      <c r="BG401" s="87">
        <v>0</v>
      </c>
      <c r="BH401" s="87">
        <v>0</v>
      </c>
      <c r="BI401" s="395">
        <f>AVERAGE(BG401,BH401)</f>
        <v>0</v>
      </c>
      <c r="BJ401" s="87">
        <v>0</v>
      </c>
      <c r="BK401" s="87">
        <v>0</v>
      </c>
      <c r="BL401" s="395">
        <f>AVERAGE(BJ401,BK401)</f>
        <v>0</v>
      </c>
      <c r="BM401" s="87">
        <v>0</v>
      </c>
      <c r="BN401" s="87">
        <v>0</v>
      </c>
      <c r="BO401" s="395">
        <f>AVERAGE(BM401,BN401)</f>
        <v>0</v>
      </c>
      <c r="BP401" s="87">
        <v>0</v>
      </c>
      <c r="BQ401" s="87">
        <v>0</v>
      </c>
      <c r="BR401" s="395">
        <f>AVERAGE(BP401,BQ401)</f>
        <v>0</v>
      </c>
    </row>
    <row r="402" spans="1:70" customFormat="1" ht="11.25" customHeight="1" outlineLevel="2">
      <c r="A402" s="6"/>
      <c r="B402" s="6"/>
      <c r="C402" s="108" t="s">
        <v>290</v>
      </c>
      <c r="D402" s="31" t="s">
        <v>66</v>
      </c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W402" s="6"/>
      <c r="X402" s="6"/>
      <c r="AE402" s="44"/>
      <c r="AF402" s="166">
        <v>-4.7384021230446438E-2</v>
      </c>
      <c r="AG402" s="983">
        <v>-9.3866352927644392E-2</v>
      </c>
      <c r="AH402" s="395">
        <f>AVERAGE(AF402,AG402)</f>
        <v>-7.0625187079045415E-2</v>
      </c>
      <c r="AI402" s="87">
        <v>-9.6070117639648844E-2</v>
      </c>
      <c r="AJ402" s="87">
        <v>-0.15434866944096987</v>
      </c>
      <c r="AK402" s="395">
        <f>AVERAGE(AI402,AJ402)</f>
        <v>-0.12520939354030935</v>
      </c>
      <c r="AL402" s="87">
        <v>-0.10336762297713836</v>
      </c>
      <c r="AM402" s="87">
        <v>-1.3949129496840185E-2</v>
      </c>
      <c r="AN402" s="395">
        <f>AVERAGE(AL402,AM402)</f>
        <v>-5.8658376236989274E-2</v>
      </c>
      <c r="AO402" s="87">
        <v>0</v>
      </c>
      <c r="AP402" s="87">
        <v>0</v>
      </c>
      <c r="AQ402" s="395">
        <f>AVERAGE(AO402,AP402)</f>
        <v>0</v>
      </c>
      <c r="AR402" s="87">
        <v>0</v>
      </c>
      <c r="AS402" s="87">
        <v>0</v>
      </c>
      <c r="AT402" s="395">
        <f>AVERAGE(AR402,AS402)</f>
        <v>0</v>
      </c>
      <c r="AU402" s="87">
        <v>0</v>
      </c>
      <c r="AV402" s="87">
        <v>0</v>
      </c>
      <c r="AW402" s="395">
        <f>AVERAGE(AU402,AV402)</f>
        <v>0</v>
      </c>
      <c r="AX402" s="87">
        <v>0</v>
      </c>
      <c r="AY402" s="87">
        <v>0</v>
      </c>
      <c r="AZ402" s="395">
        <f>AVERAGE(AX402,AY402)</f>
        <v>0</v>
      </c>
      <c r="BA402" s="87">
        <v>0</v>
      </c>
      <c r="BB402" s="87">
        <v>0</v>
      </c>
      <c r="BC402" s="395">
        <f>AVERAGE(BA402,BB402)</f>
        <v>0</v>
      </c>
      <c r="BD402" s="87">
        <v>0</v>
      </c>
      <c r="BE402" s="87">
        <v>0</v>
      </c>
      <c r="BF402" s="395">
        <f>AVERAGE(BD402,BE402)</f>
        <v>0</v>
      </c>
      <c r="BG402" s="87">
        <v>0</v>
      </c>
      <c r="BH402" s="87">
        <v>0</v>
      </c>
      <c r="BI402" s="395">
        <f>AVERAGE(BG402,BH402)</f>
        <v>0</v>
      </c>
      <c r="BJ402" s="87">
        <v>0</v>
      </c>
      <c r="BK402" s="87">
        <v>0</v>
      </c>
      <c r="BL402" s="395">
        <f>AVERAGE(BJ402,BK402)</f>
        <v>0</v>
      </c>
      <c r="BM402" s="87">
        <v>0</v>
      </c>
      <c r="BN402" s="87">
        <v>0</v>
      </c>
      <c r="BO402" s="395">
        <f>AVERAGE(BM402,BN402)</f>
        <v>0</v>
      </c>
      <c r="BP402" s="87">
        <v>0</v>
      </c>
      <c r="BQ402" s="87">
        <v>0</v>
      </c>
      <c r="BR402" s="395">
        <f>AVERAGE(BP402,BQ402)</f>
        <v>0</v>
      </c>
    </row>
    <row r="403" spans="1:70" customFormat="1" ht="11.25" customHeight="1" outlineLevel="2">
      <c r="A403" s="6"/>
      <c r="B403" s="6"/>
      <c r="C403" s="9" t="s">
        <v>82</v>
      </c>
      <c r="D403" s="31" t="s">
        <v>66</v>
      </c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W403" s="6"/>
      <c r="X403" s="6"/>
      <c r="AE403" s="44"/>
      <c r="AF403" s="162">
        <f t="shared" ref="AF403:AN403" si="1257">((AF288*AF404)+(AF289*AF405))</f>
        <v>-3.0076159809509694E-2</v>
      </c>
      <c r="AG403" s="984">
        <f t="shared" si="1257"/>
        <v>-6.1299980092032719E-2</v>
      </c>
      <c r="AH403" s="40">
        <f t="shared" si="1257"/>
        <v>-4.5839286592753645E-2</v>
      </c>
      <c r="AI403" s="40">
        <f t="shared" si="1257"/>
        <v>6.5916768842897476E-3</v>
      </c>
      <c r="AJ403" s="40">
        <f t="shared" si="1257"/>
        <v>-2.6372849617055501E-2</v>
      </c>
      <c r="AK403" s="40">
        <f t="shared" si="1257"/>
        <v>-9.9837918696736305E-3</v>
      </c>
      <c r="AL403" s="40">
        <f t="shared" si="1257"/>
        <v>-3.8866959447413155E-2</v>
      </c>
      <c r="AM403" s="40">
        <f t="shared" si="1257"/>
        <v>-4.9486199974079137E-3</v>
      </c>
      <c r="AN403" s="40">
        <f t="shared" si="1257"/>
        <v>-2.1864219893606946E-2</v>
      </c>
      <c r="AO403" s="40">
        <f t="shared" ref="AO403:BR403" si="1258">((AO288*AO404)+(AO289*AO405))</f>
        <v>3.128333343233224E-3</v>
      </c>
      <c r="AP403" s="40">
        <f t="shared" si="1258"/>
        <v>0</v>
      </c>
      <c r="AQ403" s="40">
        <f t="shared" si="1258"/>
        <v>1.5309406983963689E-3</v>
      </c>
      <c r="AR403" s="40">
        <f t="shared" si="1258"/>
        <v>0</v>
      </c>
      <c r="AS403" s="40">
        <f t="shared" si="1258"/>
        <v>0</v>
      </c>
      <c r="AT403" s="40">
        <f t="shared" si="1258"/>
        <v>0</v>
      </c>
      <c r="AU403" s="40">
        <f t="shared" si="1258"/>
        <v>0</v>
      </c>
      <c r="AV403" s="40">
        <f t="shared" si="1258"/>
        <v>0</v>
      </c>
      <c r="AW403" s="40">
        <f t="shared" si="1258"/>
        <v>0</v>
      </c>
      <c r="AX403" s="40">
        <f t="shared" si="1258"/>
        <v>0</v>
      </c>
      <c r="AY403" s="40">
        <f t="shared" si="1258"/>
        <v>0</v>
      </c>
      <c r="AZ403" s="40">
        <f t="shared" si="1258"/>
        <v>0</v>
      </c>
      <c r="BA403" s="40">
        <f t="shared" si="1258"/>
        <v>0</v>
      </c>
      <c r="BB403" s="40">
        <f t="shared" si="1258"/>
        <v>0</v>
      </c>
      <c r="BC403" s="40">
        <f t="shared" si="1258"/>
        <v>0</v>
      </c>
      <c r="BD403" s="40">
        <f t="shared" si="1258"/>
        <v>0</v>
      </c>
      <c r="BE403" s="40">
        <f t="shared" si="1258"/>
        <v>0</v>
      </c>
      <c r="BF403" s="40">
        <f t="shared" si="1258"/>
        <v>0</v>
      </c>
      <c r="BG403" s="40">
        <f t="shared" si="1258"/>
        <v>0</v>
      </c>
      <c r="BH403" s="40">
        <f t="shared" si="1258"/>
        <v>0</v>
      </c>
      <c r="BI403" s="40">
        <f t="shared" si="1258"/>
        <v>0</v>
      </c>
      <c r="BJ403" s="40">
        <f t="shared" si="1258"/>
        <v>0</v>
      </c>
      <c r="BK403" s="40">
        <f t="shared" si="1258"/>
        <v>0</v>
      </c>
      <c r="BL403" s="40">
        <f t="shared" si="1258"/>
        <v>0</v>
      </c>
      <c r="BM403" s="40">
        <f t="shared" si="1258"/>
        <v>0</v>
      </c>
      <c r="BN403" s="40">
        <f t="shared" si="1258"/>
        <v>0</v>
      </c>
      <c r="BO403" s="40">
        <f t="shared" si="1258"/>
        <v>0</v>
      </c>
      <c r="BP403" s="40">
        <f t="shared" si="1258"/>
        <v>0</v>
      </c>
      <c r="BQ403" s="40">
        <f t="shared" si="1258"/>
        <v>0</v>
      </c>
      <c r="BR403" s="40">
        <f t="shared" si="1258"/>
        <v>0</v>
      </c>
    </row>
    <row r="404" spans="1:70" customFormat="1" ht="11.25" customHeight="1" outlineLevel="2">
      <c r="A404" s="6"/>
      <c r="B404" s="6"/>
      <c r="C404" s="108" t="s">
        <v>292</v>
      </c>
      <c r="D404" s="31" t="s">
        <v>66</v>
      </c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W404" s="6"/>
      <c r="X404" s="6"/>
      <c r="AE404" s="44"/>
      <c r="AF404" s="166">
        <v>-2.5149478174665563E-2</v>
      </c>
      <c r="AG404" s="983">
        <v>-8.1022802657658433E-2</v>
      </c>
      <c r="AH404" s="395">
        <f>AVERAGE(AF404,AG404)</f>
        <v>-5.3086140416161998E-2</v>
      </c>
      <c r="AI404" s="87">
        <v>1.8275605043364396E-3</v>
      </c>
      <c r="AJ404" s="87">
        <v>-4.1941912766373185E-2</v>
      </c>
      <c r="AK404" s="395">
        <f>AVERAGE(AI404,AJ404)</f>
        <v>-2.0057176131018373E-2</v>
      </c>
      <c r="AL404" s="87">
        <v>-2.8893262702654798E-2</v>
      </c>
      <c r="AM404" s="87">
        <v>1.0163834752675432E-2</v>
      </c>
      <c r="AN404" s="395">
        <f>AVERAGE(AL404,AM404)</f>
        <v>-9.3647139749896829E-3</v>
      </c>
      <c r="AO404" s="87">
        <v>6.9607686998990892E-3</v>
      </c>
      <c r="AP404" s="87">
        <v>0</v>
      </c>
      <c r="AQ404" s="395">
        <f>AVERAGE(AO404,AP404)</f>
        <v>3.4803843499495446E-3</v>
      </c>
      <c r="AR404" s="87">
        <v>0</v>
      </c>
      <c r="AS404" s="87">
        <v>0</v>
      </c>
      <c r="AT404" s="395">
        <f>AVERAGE(AR404,AS404)</f>
        <v>0</v>
      </c>
      <c r="AU404" s="87">
        <v>0</v>
      </c>
      <c r="AV404" s="87">
        <v>0</v>
      </c>
      <c r="AW404" s="395">
        <f>AVERAGE(AU404,AV404)</f>
        <v>0</v>
      </c>
      <c r="AX404" s="87">
        <v>0</v>
      </c>
      <c r="AY404" s="87">
        <v>0</v>
      </c>
      <c r="AZ404" s="395">
        <f>AVERAGE(AX404,AY404)</f>
        <v>0</v>
      </c>
      <c r="BA404" s="87">
        <v>0</v>
      </c>
      <c r="BB404" s="87">
        <v>0</v>
      </c>
      <c r="BC404" s="395">
        <f>AVERAGE(BA404,BB404)</f>
        <v>0</v>
      </c>
      <c r="BD404" s="87">
        <v>0</v>
      </c>
      <c r="BE404" s="87">
        <v>0</v>
      </c>
      <c r="BF404" s="395">
        <f>AVERAGE(BD404,BE404)</f>
        <v>0</v>
      </c>
      <c r="BG404" s="87">
        <v>0</v>
      </c>
      <c r="BH404" s="87">
        <v>0</v>
      </c>
      <c r="BI404" s="395">
        <f>AVERAGE(BG404,BH404)</f>
        <v>0</v>
      </c>
      <c r="BJ404" s="87">
        <v>0</v>
      </c>
      <c r="BK404" s="87">
        <v>0</v>
      </c>
      <c r="BL404" s="395">
        <f>AVERAGE(BJ404,BK404)</f>
        <v>0</v>
      </c>
      <c r="BM404" s="87">
        <v>0</v>
      </c>
      <c r="BN404" s="87">
        <v>0</v>
      </c>
      <c r="BO404" s="395">
        <f>AVERAGE(BM404,BN404)</f>
        <v>0</v>
      </c>
      <c r="BP404" s="87">
        <v>0</v>
      </c>
      <c r="BQ404" s="87">
        <v>0</v>
      </c>
      <c r="BR404" s="395">
        <f>AVERAGE(BP404,BQ404)</f>
        <v>0</v>
      </c>
    </row>
    <row r="405" spans="1:70" customFormat="1" ht="11.25" customHeight="1" outlineLevel="2">
      <c r="A405" s="6"/>
      <c r="B405" s="6"/>
      <c r="C405" s="108" t="s">
        <v>293</v>
      </c>
      <c r="D405" s="31" t="s">
        <v>66</v>
      </c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W405" s="6"/>
      <c r="X405" s="6"/>
      <c r="AE405" s="44"/>
      <c r="AF405" s="166">
        <v>-3.4368885008952438E-2</v>
      </c>
      <c r="AG405" s="983">
        <v>-4.4999237357340446E-2</v>
      </c>
      <c r="AH405" s="395">
        <f>AVERAGE(AF405,AG405)</f>
        <v>-3.9684061183146442E-2</v>
      </c>
      <c r="AI405" s="87">
        <v>1.0548120858596936E-2</v>
      </c>
      <c r="AJ405" s="87">
        <v>-1.4392653263837162E-2</v>
      </c>
      <c r="AK405" s="395">
        <f>AVERAGE(AI405,AJ405)</f>
        <v>-1.9222662026201131E-3</v>
      </c>
      <c r="AL405" s="87">
        <v>-4.6979487262121478E-2</v>
      </c>
      <c r="AM405" s="87">
        <v>-1.6380816967327277E-2</v>
      </c>
      <c r="AN405" s="395">
        <f>AVERAGE(AL405,AM405)</f>
        <v>-3.1680152114724379E-2</v>
      </c>
      <c r="AO405" s="87">
        <v>0</v>
      </c>
      <c r="AP405" s="87">
        <v>0</v>
      </c>
      <c r="AQ405" s="395">
        <f>AVERAGE(AO405,AP405)</f>
        <v>0</v>
      </c>
      <c r="AR405" s="87">
        <v>0</v>
      </c>
      <c r="AS405" s="87">
        <v>0</v>
      </c>
      <c r="AT405" s="395">
        <f>AVERAGE(AR405,AS405)</f>
        <v>0</v>
      </c>
      <c r="AU405" s="87">
        <v>0</v>
      </c>
      <c r="AV405" s="87">
        <v>0</v>
      </c>
      <c r="AW405" s="395">
        <f>AVERAGE(AU405,AV405)</f>
        <v>0</v>
      </c>
      <c r="AX405" s="87">
        <v>0</v>
      </c>
      <c r="AY405" s="87">
        <v>0</v>
      </c>
      <c r="AZ405" s="395">
        <f>AVERAGE(AX405,AY405)</f>
        <v>0</v>
      </c>
      <c r="BA405" s="87">
        <v>0</v>
      </c>
      <c r="BB405" s="87">
        <v>0</v>
      </c>
      <c r="BC405" s="395">
        <f>AVERAGE(BA405,BB405)</f>
        <v>0</v>
      </c>
      <c r="BD405" s="87">
        <v>0</v>
      </c>
      <c r="BE405" s="87">
        <v>0</v>
      </c>
      <c r="BF405" s="395">
        <f>AVERAGE(BD405,BE405)</f>
        <v>0</v>
      </c>
      <c r="BG405" s="87">
        <v>0</v>
      </c>
      <c r="BH405" s="87">
        <v>0</v>
      </c>
      <c r="BI405" s="395">
        <f>AVERAGE(BG405,BH405)</f>
        <v>0</v>
      </c>
      <c r="BJ405" s="87">
        <v>0</v>
      </c>
      <c r="BK405" s="87">
        <v>0</v>
      </c>
      <c r="BL405" s="395">
        <f>AVERAGE(BJ405,BK405)</f>
        <v>0</v>
      </c>
      <c r="BM405" s="87">
        <v>0</v>
      </c>
      <c r="BN405" s="87">
        <v>0</v>
      </c>
      <c r="BO405" s="395">
        <f>AVERAGE(BM405,BN405)</f>
        <v>0</v>
      </c>
      <c r="BP405" s="87">
        <v>0</v>
      </c>
      <c r="BQ405" s="87">
        <v>0</v>
      </c>
      <c r="BR405" s="395">
        <f>AVERAGE(BP405,BQ405)</f>
        <v>0</v>
      </c>
    </row>
    <row r="406" spans="1:70" outlineLevel="2">
      <c r="B406" s="451" t="s">
        <v>307</v>
      </c>
    </row>
    <row r="407" spans="1:70" outlineLevel="2">
      <c r="B407" s="5"/>
      <c r="C407" s="102" t="s">
        <v>59</v>
      </c>
    </row>
    <row r="408" spans="1:70" outlineLevel="2">
      <c r="C408" s="95" t="s">
        <v>99</v>
      </c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</row>
    <row r="409" spans="1:70" outlineLevel="2">
      <c r="C409" s="108" t="s">
        <v>536</v>
      </c>
      <c r="D409" s="31" t="s">
        <v>66</v>
      </c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0"/>
      <c r="Q409" s="94"/>
      <c r="R409" s="349"/>
      <c r="S409" s="349"/>
      <c r="T409" s="349"/>
      <c r="U409" s="349"/>
      <c r="V409" s="349"/>
      <c r="W409" s="349"/>
      <c r="X409" s="350"/>
      <c r="Y409" s="47"/>
      <c r="Z409" s="47"/>
      <c r="AA409" s="47"/>
      <c r="AB409" s="47"/>
      <c r="AC409" s="47"/>
      <c r="AD409" s="47"/>
      <c r="AE409" s="386"/>
      <c r="AF409" s="591">
        <v>2.5680000000000001E-2</v>
      </c>
      <c r="AG409" s="975">
        <v>2.6500000000000003E-2</v>
      </c>
      <c r="AH409" s="63">
        <f>AVERAGE(AF409,AG409)</f>
        <v>2.6090000000000002E-2</v>
      </c>
      <c r="AI409" s="134">
        <v>2.2340000000000002E-2</v>
      </c>
      <c r="AJ409" s="134">
        <v>1.992E-2</v>
      </c>
      <c r="AK409" s="63">
        <f>AVERAGE(AI409,AJ409)</f>
        <v>2.1130000000000003E-2</v>
      </c>
      <c r="AL409" s="134">
        <v>1.8000000000000002E-2</v>
      </c>
      <c r="AM409" s="22">
        <v>1.208E-2</v>
      </c>
      <c r="AN409" s="63">
        <f>AVERAGE(AL409,AM409)</f>
        <v>1.5040000000000001E-2</v>
      </c>
      <c r="AO409" s="134">
        <f>AM409</f>
        <v>1.208E-2</v>
      </c>
      <c r="AP409" s="22">
        <f>AO409</f>
        <v>1.208E-2</v>
      </c>
      <c r="AQ409" s="63">
        <f>AVERAGE(AO409,AP409)</f>
        <v>1.208E-2</v>
      </c>
      <c r="AR409" s="134">
        <f>AO409</f>
        <v>1.208E-2</v>
      </c>
      <c r="AS409" s="134">
        <f>AP409</f>
        <v>1.208E-2</v>
      </c>
      <c r="AT409" s="63">
        <f>AVERAGE(AR409,AS409)</f>
        <v>1.208E-2</v>
      </c>
      <c r="AU409" s="134">
        <f>AR409</f>
        <v>1.208E-2</v>
      </c>
      <c r="AV409" s="134">
        <f>AS409</f>
        <v>1.208E-2</v>
      </c>
      <c r="AW409" s="63">
        <f>AVERAGE(AU409,AV409)</f>
        <v>1.208E-2</v>
      </c>
      <c r="AX409" s="134">
        <f>AU409</f>
        <v>1.208E-2</v>
      </c>
      <c r="AY409" s="134">
        <f>AV409</f>
        <v>1.208E-2</v>
      </c>
      <c r="AZ409" s="63">
        <f>AVERAGE(AX409,AY409)</f>
        <v>1.208E-2</v>
      </c>
      <c r="BA409" s="134">
        <f>AX409</f>
        <v>1.208E-2</v>
      </c>
      <c r="BB409" s="134">
        <f>AY409</f>
        <v>1.208E-2</v>
      </c>
      <c r="BC409" s="63">
        <f>AVERAGE(BA409,BB409)</f>
        <v>1.208E-2</v>
      </c>
      <c r="BD409" s="134">
        <f>BA409</f>
        <v>1.208E-2</v>
      </c>
      <c r="BE409" s="134">
        <f>BB409</f>
        <v>1.208E-2</v>
      </c>
      <c r="BF409" s="63">
        <f>AVERAGE(BD409,BE409)</f>
        <v>1.208E-2</v>
      </c>
      <c r="BG409" s="134">
        <f>BD409</f>
        <v>1.208E-2</v>
      </c>
      <c r="BH409" s="134">
        <f>BE409</f>
        <v>1.208E-2</v>
      </c>
      <c r="BI409" s="63">
        <f>AVERAGE(BG409,BH409)</f>
        <v>1.208E-2</v>
      </c>
      <c r="BJ409" s="134">
        <f>BG409</f>
        <v>1.208E-2</v>
      </c>
      <c r="BK409" s="134">
        <f>BH409</f>
        <v>1.208E-2</v>
      </c>
      <c r="BL409" s="63">
        <f>AVERAGE(BJ409,BK409)</f>
        <v>1.208E-2</v>
      </c>
      <c r="BM409" s="134">
        <f>BJ409</f>
        <v>1.208E-2</v>
      </c>
      <c r="BN409" s="134">
        <f>BK409</f>
        <v>1.208E-2</v>
      </c>
      <c r="BO409" s="63">
        <f>AVERAGE(BM409,BN409)</f>
        <v>1.208E-2</v>
      </c>
      <c r="BP409" s="134">
        <f>BM409</f>
        <v>1.208E-2</v>
      </c>
      <c r="BQ409" s="134">
        <f>BN409</f>
        <v>1.208E-2</v>
      </c>
      <c r="BR409" s="63">
        <f>AVERAGE(BP409,BQ409)</f>
        <v>1.208E-2</v>
      </c>
    </row>
    <row r="410" spans="1:70" outlineLevel="2">
      <c r="C410" s="102" t="s">
        <v>93</v>
      </c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</row>
    <row r="411" spans="1:70" outlineLevel="2">
      <c r="C411" s="95" t="s">
        <v>99</v>
      </c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</row>
    <row r="412" spans="1:70" outlineLevel="2">
      <c r="C412" s="108" t="s">
        <v>536</v>
      </c>
      <c r="D412" s="31" t="s">
        <v>66</v>
      </c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AF412" s="591">
        <v>2.8443750000000004E-2</v>
      </c>
      <c r="AG412" s="975">
        <v>3.44275E-2</v>
      </c>
      <c r="AH412" s="63">
        <f t="shared" ref="AH412:AH413" si="1259">AVERAGE(AF412,AG412)</f>
        <v>3.1435625000000002E-2</v>
      </c>
      <c r="AI412" s="134">
        <v>2.827E-2</v>
      </c>
      <c r="AJ412" s="134">
        <v>3.0983750000000001E-2</v>
      </c>
      <c r="AK412" s="63">
        <f t="shared" ref="AK412:AK413" si="1260">AVERAGE(AI412,AJ412)</f>
        <v>2.9626875E-2</v>
      </c>
      <c r="AL412" s="134">
        <v>3.3833749999999996E-2</v>
      </c>
      <c r="AM412" s="22">
        <f>AL412</f>
        <v>3.3833749999999996E-2</v>
      </c>
      <c r="AN412" s="63">
        <f t="shared" ref="AN412:AN413" si="1261">AVERAGE(AL412,AM412)</f>
        <v>3.3833749999999996E-2</v>
      </c>
      <c r="AO412" s="134">
        <f>AM412</f>
        <v>3.3833749999999996E-2</v>
      </c>
      <c r="AP412" s="22">
        <f>AO412</f>
        <v>3.3833749999999996E-2</v>
      </c>
      <c r="AQ412" s="63">
        <f t="shared" ref="AQ412:AQ413" si="1262">AVERAGE(AO412,AP412)</f>
        <v>3.3833749999999996E-2</v>
      </c>
      <c r="AR412" s="134">
        <f>AO412</f>
        <v>3.3833749999999996E-2</v>
      </c>
      <c r="AS412" s="134">
        <f>AP412</f>
        <v>3.3833749999999996E-2</v>
      </c>
      <c r="AT412" s="63">
        <f t="shared" ref="AT412:AT413" si="1263">AVERAGE(AR412,AS412)</f>
        <v>3.3833749999999996E-2</v>
      </c>
      <c r="AU412" s="134">
        <f>AR412</f>
        <v>3.3833749999999996E-2</v>
      </c>
      <c r="AV412" s="134">
        <f>AS412</f>
        <v>3.3833749999999996E-2</v>
      </c>
      <c r="AW412" s="63">
        <f t="shared" ref="AW412:AW413" si="1264">AVERAGE(AU412,AV412)</f>
        <v>3.3833749999999996E-2</v>
      </c>
      <c r="AX412" s="134">
        <f>AU412</f>
        <v>3.3833749999999996E-2</v>
      </c>
      <c r="AY412" s="134">
        <f>AV412</f>
        <v>3.3833749999999996E-2</v>
      </c>
      <c r="AZ412" s="63">
        <f t="shared" ref="AZ412:AZ413" si="1265">AVERAGE(AX412,AY412)</f>
        <v>3.3833749999999996E-2</v>
      </c>
      <c r="BA412" s="134">
        <f>AX412</f>
        <v>3.3833749999999996E-2</v>
      </c>
      <c r="BB412" s="134">
        <f>AY412</f>
        <v>3.3833749999999996E-2</v>
      </c>
      <c r="BC412" s="63">
        <f t="shared" ref="BC412:BC413" si="1266">AVERAGE(BA412,BB412)</f>
        <v>3.3833749999999996E-2</v>
      </c>
      <c r="BD412" s="134">
        <f>BA412</f>
        <v>3.3833749999999996E-2</v>
      </c>
      <c r="BE412" s="134">
        <f>BB412</f>
        <v>3.3833749999999996E-2</v>
      </c>
      <c r="BF412" s="63">
        <f t="shared" ref="BF412:BF413" si="1267">AVERAGE(BD412,BE412)</f>
        <v>3.3833749999999996E-2</v>
      </c>
      <c r="BG412" s="134">
        <f>BD412</f>
        <v>3.3833749999999996E-2</v>
      </c>
      <c r="BH412" s="134">
        <f>BE412</f>
        <v>3.3833749999999996E-2</v>
      </c>
      <c r="BI412" s="63">
        <f t="shared" ref="BI412:BI413" si="1268">AVERAGE(BG412,BH412)</f>
        <v>3.3833749999999996E-2</v>
      </c>
      <c r="BJ412" s="134">
        <f>BG412</f>
        <v>3.3833749999999996E-2</v>
      </c>
      <c r="BK412" s="134">
        <f>BH412</f>
        <v>3.3833749999999996E-2</v>
      </c>
      <c r="BL412" s="63">
        <f t="shared" ref="BL412:BL413" si="1269">AVERAGE(BJ412,BK412)</f>
        <v>3.3833749999999996E-2</v>
      </c>
      <c r="BM412" s="134">
        <f>BJ412</f>
        <v>3.3833749999999996E-2</v>
      </c>
      <c r="BN412" s="134">
        <f>BK412</f>
        <v>3.3833749999999996E-2</v>
      </c>
      <c r="BO412" s="63">
        <f t="shared" ref="BO412:BO413" si="1270">AVERAGE(BM412,BN412)</f>
        <v>3.3833749999999996E-2</v>
      </c>
      <c r="BP412" s="134">
        <f>BM412</f>
        <v>3.3833749999999996E-2</v>
      </c>
      <c r="BQ412" s="134">
        <f>BN412</f>
        <v>3.3833749999999996E-2</v>
      </c>
      <c r="BR412" s="63">
        <f t="shared" ref="BR412:BR413" si="1271">AVERAGE(BP412,BQ412)</f>
        <v>3.3833749999999996E-2</v>
      </c>
    </row>
    <row r="413" spans="1:70" outlineLevel="2">
      <c r="C413" s="108" t="s">
        <v>281</v>
      </c>
      <c r="D413" s="31" t="s">
        <v>66</v>
      </c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AF413" s="166">
        <v>-9.8665504121241213E-3</v>
      </c>
      <c r="AG413" s="983">
        <v>-3.2476239617845515E-2</v>
      </c>
      <c r="AH413" s="504">
        <f t="shared" si="1259"/>
        <v>-2.1171395014984818E-2</v>
      </c>
      <c r="AI413" s="87">
        <v>-4.2471475535473417E-2</v>
      </c>
      <c r="AJ413" s="87">
        <v>3.7722209356274104E-3</v>
      </c>
      <c r="AK413" s="504">
        <f t="shared" si="1260"/>
        <v>-1.9349627299923004E-2</v>
      </c>
      <c r="AL413" s="87">
        <v>6.3397845407995007E-2</v>
      </c>
      <c r="AM413" s="87">
        <v>3.7218646965437578E-2</v>
      </c>
      <c r="AN413" s="504">
        <f t="shared" si="1261"/>
        <v>5.0308246186716296E-2</v>
      </c>
      <c r="AO413" s="87">
        <v>4.9487842933246158E-3</v>
      </c>
      <c r="AP413" s="87">
        <v>0</v>
      </c>
      <c r="AQ413" s="504">
        <f t="shared" si="1262"/>
        <v>2.4743921466623079E-3</v>
      </c>
      <c r="AR413" s="87">
        <v>0</v>
      </c>
      <c r="AS413" s="87">
        <v>0</v>
      </c>
      <c r="AT413" s="504">
        <f t="shared" si="1263"/>
        <v>0</v>
      </c>
      <c r="AU413" s="87">
        <v>0</v>
      </c>
      <c r="AV413" s="87">
        <v>0</v>
      </c>
      <c r="AW413" s="504">
        <f t="shared" si="1264"/>
        <v>0</v>
      </c>
      <c r="AX413" s="87">
        <v>0</v>
      </c>
      <c r="AY413" s="87">
        <v>0</v>
      </c>
      <c r="AZ413" s="504">
        <f t="shared" si="1265"/>
        <v>0</v>
      </c>
      <c r="BA413" s="87">
        <v>0</v>
      </c>
      <c r="BB413" s="87">
        <v>0</v>
      </c>
      <c r="BC413" s="504">
        <f t="shared" si="1266"/>
        <v>0</v>
      </c>
      <c r="BD413" s="87">
        <v>0</v>
      </c>
      <c r="BE413" s="87">
        <v>0</v>
      </c>
      <c r="BF413" s="504">
        <f t="shared" si="1267"/>
        <v>0</v>
      </c>
      <c r="BG413" s="87">
        <v>0</v>
      </c>
      <c r="BH413" s="87">
        <v>0</v>
      </c>
      <c r="BI413" s="504">
        <f t="shared" si="1268"/>
        <v>0</v>
      </c>
      <c r="BJ413" s="87">
        <v>0</v>
      </c>
      <c r="BK413" s="87">
        <v>0</v>
      </c>
      <c r="BL413" s="504">
        <f t="shared" si="1269"/>
        <v>0</v>
      </c>
      <c r="BM413" s="87">
        <v>0</v>
      </c>
      <c r="BN413" s="87">
        <v>0</v>
      </c>
      <c r="BO413" s="504">
        <f t="shared" si="1270"/>
        <v>0</v>
      </c>
      <c r="BP413" s="87">
        <v>0</v>
      </c>
      <c r="BQ413" s="87">
        <v>0</v>
      </c>
      <c r="BR413" s="504">
        <f t="shared" si="1271"/>
        <v>0</v>
      </c>
    </row>
    <row r="414" spans="1:70" outlineLevel="1">
      <c r="B414" s="211" t="s">
        <v>415</v>
      </c>
      <c r="C414" s="55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AG414" s="964"/>
    </row>
    <row r="415" spans="1:70" outlineLevel="2">
      <c r="B415" s="55"/>
      <c r="C415" s="57" t="s">
        <v>270</v>
      </c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AF415" s="675">
        <f>AF376</f>
        <v>1.1760278846153844</v>
      </c>
      <c r="AG415" s="962">
        <v>1.2</v>
      </c>
      <c r="AH415" s="676">
        <f>AVERAGE(AF415,AG415)</f>
        <v>1.1880139423076921</v>
      </c>
      <c r="AI415" s="674">
        <v>1.25</v>
      </c>
      <c r="AJ415" s="674">
        <v>1.3</v>
      </c>
      <c r="AK415" s="676">
        <f>AVERAGE(AI415,AJ415)</f>
        <v>1.2749999999999999</v>
      </c>
      <c r="AL415" s="674">
        <v>1.35</v>
      </c>
      <c r="AM415" s="674">
        <v>1.4</v>
      </c>
      <c r="AN415" s="676">
        <f>AVERAGE(AL415,AM415)</f>
        <v>1.375</v>
      </c>
      <c r="AO415" s="674">
        <f>AM415</f>
        <v>1.4</v>
      </c>
      <c r="AP415" s="674">
        <f>AO415</f>
        <v>1.4</v>
      </c>
      <c r="AQ415" s="676">
        <f>AVERAGE(AO415,AP415)</f>
        <v>1.4</v>
      </c>
      <c r="AR415" s="674">
        <f>AO415</f>
        <v>1.4</v>
      </c>
      <c r="AS415" s="674">
        <f>AP415</f>
        <v>1.4</v>
      </c>
      <c r="AT415" s="676">
        <f>AVERAGE(AR415,AS415)</f>
        <v>1.4</v>
      </c>
      <c r="AU415" s="674">
        <f>AR415</f>
        <v>1.4</v>
      </c>
      <c r="AV415" s="674">
        <f>AS415</f>
        <v>1.4</v>
      </c>
      <c r="AW415" s="676">
        <f>AVERAGE(AU415,AV415)</f>
        <v>1.4</v>
      </c>
      <c r="AX415" s="674">
        <f>AU415</f>
        <v>1.4</v>
      </c>
      <c r="AY415" s="674">
        <f>AV415</f>
        <v>1.4</v>
      </c>
      <c r="AZ415" s="676">
        <f>AVERAGE(AX415,AY415)</f>
        <v>1.4</v>
      </c>
      <c r="BA415" s="674">
        <f>AX415</f>
        <v>1.4</v>
      </c>
      <c r="BB415" s="674">
        <f>AY415</f>
        <v>1.4</v>
      </c>
      <c r="BC415" s="676">
        <f>AVERAGE(BA415,BB415)</f>
        <v>1.4</v>
      </c>
      <c r="BD415" s="674">
        <f>BA415</f>
        <v>1.4</v>
      </c>
      <c r="BE415" s="674">
        <f>BB415</f>
        <v>1.4</v>
      </c>
      <c r="BF415" s="676">
        <f>AVERAGE(BD415,BE415)</f>
        <v>1.4</v>
      </c>
      <c r="BG415" s="674">
        <f>BD415</f>
        <v>1.4</v>
      </c>
      <c r="BH415" s="674">
        <f>BE415</f>
        <v>1.4</v>
      </c>
      <c r="BI415" s="676">
        <f>AVERAGE(BG415,BH415)</f>
        <v>1.4</v>
      </c>
      <c r="BJ415" s="674">
        <f>BG415</f>
        <v>1.4</v>
      </c>
      <c r="BK415" s="674">
        <f>BH415</f>
        <v>1.4</v>
      </c>
      <c r="BL415" s="676">
        <f>AVERAGE(BJ415,BK415)</f>
        <v>1.4</v>
      </c>
      <c r="BM415" s="674">
        <f>BJ415</f>
        <v>1.4</v>
      </c>
      <c r="BN415" s="674">
        <f>BK415</f>
        <v>1.4</v>
      </c>
      <c r="BO415" s="676">
        <f>AVERAGE(BM415,BN415)</f>
        <v>1.4</v>
      </c>
      <c r="BP415" s="674">
        <f>BM415</f>
        <v>1.4</v>
      </c>
      <c r="BQ415" s="674">
        <f>BN415</f>
        <v>1.4</v>
      </c>
      <c r="BR415" s="676">
        <f>AVERAGE(BP415,BQ415)</f>
        <v>1.4</v>
      </c>
    </row>
    <row r="416" spans="1:70" outlineLevel="2">
      <c r="B416" s="451" t="s">
        <v>306</v>
      </c>
      <c r="AG416" s="964"/>
    </row>
    <row r="417" spans="1:70" customFormat="1" ht="11.25" customHeight="1" outlineLevel="2">
      <c r="A417" s="6"/>
      <c r="B417" s="6"/>
      <c r="C417" s="113" t="s">
        <v>291</v>
      </c>
      <c r="D417" s="7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W417" s="6"/>
      <c r="X417" s="6"/>
      <c r="AE417" s="44"/>
      <c r="AF417" s="130"/>
      <c r="AG417" s="964"/>
      <c r="AH417" s="6"/>
    </row>
    <row r="418" spans="1:70" customFormat="1" ht="11.25" customHeight="1" outlineLevel="2">
      <c r="A418" s="6"/>
      <c r="B418" s="6"/>
      <c r="C418" s="9" t="s">
        <v>80</v>
      </c>
      <c r="D418" s="31" t="s">
        <v>66</v>
      </c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W418" s="6"/>
      <c r="X418" s="6"/>
      <c r="AE418" s="44"/>
      <c r="AF418" s="133">
        <f t="shared" ref="AF418:AN418" si="1272">((AF278*AF419)+(AF279*AF420))</f>
        <v>2.3409075369562358E-2</v>
      </c>
      <c r="AG418" s="984">
        <f t="shared" si="1272"/>
        <v>5.6077287575505411E-2</v>
      </c>
      <c r="AH418" s="20">
        <f t="shared" si="1272"/>
        <v>3.9757721464819359E-2</v>
      </c>
      <c r="AI418" s="20">
        <f t="shared" si="1272"/>
        <v>5.6318494435535521E-2</v>
      </c>
      <c r="AJ418" s="20">
        <f t="shared" si="1272"/>
        <v>5.6060409025373723E-2</v>
      </c>
      <c r="AK418" s="20">
        <f t="shared" si="1272"/>
        <v>5.6191342839517829E-2</v>
      </c>
      <c r="AL418" s="20">
        <f t="shared" si="1272"/>
        <v>5.6365857005999997E-2</v>
      </c>
      <c r="AM418" s="20">
        <f t="shared" si="1272"/>
        <v>5.6192234051659296E-2</v>
      </c>
      <c r="AN418" s="20">
        <f t="shared" si="1272"/>
        <v>5.6281632187940037E-2</v>
      </c>
      <c r="AO418" s="20">
        <f t="shared" ref="AO418:AP418" si="1273">((AO278*AO419)+(AO279*AO420))</f>
        <v>5.6449205842494798E-2</v>
      </c>
      <c r="AP418" s="20">
        <f t="shared" si="1273"/>
        <v>5.6260022226316146E-2</v>
      </c>
      <c r="AQ418" s="20">
        <f t="shared" ref="AQ418:BR418" si="1274">((AQ278*AQ419)+(AQ279*AQ420))</f>
        <v>5.6357167965692845E-2</v>
      </c>
      <c r="AR418" s="20">
        <f t="shared" si="1274"/>
        <v>5.6519036867025238E-2</v>
      </c>
      <c r="AS418" s="20">
        <f t="shared" si="1274"/>
        <v>5.6328355240564676E-2</v>
      </c>
      <c r="AT418" s="20">
        <f t="shared" si="1274"/>
        <v>5.6426274568785989E-2</v>
      </c>
      <c r="AU418" s="20">
        <f t="shared" si="1274"/>
        <v>5.6589412452210969E-2</v>
      </c>
      <c r="AV418" s="20">
        <f t="shared" si="1274"/>
        <v>5.639723316233429E-2</v>
      </c>
      <c r="AW418" s="20">
        <f t="shared" si="1274"/>
        <v>5.649592600374001E-2</v>
      </c>
      <c r="AX418" s="20">
        <f t="shared" si="1274"/>
        <v>5.6660332273031369E-2</v>
      </c>
      <c r="AY418" s="20">
        <f t="shared" si="1274"/>
        <v>5.6466655956967288E-2</v>
      </c>
      <c r="AZ418" s="20">
        <f t="shared" si="1274"/>
        <v>5.6566122087523346E-2</v>
      </c>
      <c r="BA418" s="20">
        <f t="shared" si="1274"/>
        <v>5.6731795895897663E-2</v>
      </c>
      <c r="BB418" s="20">
        <f t="shared" si="1274"/>
        <v>5.6536623485593906E-2</v>
      </c>
      <c r="BC418" s="20">
        <f t="shared" si="1274"/>
        <v>5.6636862530620044E-2</v>
      </c>
      <c r="BD418" s="20">
        <f t="shared" si="1274"/>
        <v>5.6803802777113624E-2</v>
      </c>
      <c r="BE418" s="20">
        <f t="shared" si="1274"/>
        <v>5.6607135503528083E-2</v>
      </c>
      <c r="BF418" s="20">
        <f t="shared" si="1274"/>
        <v>5.6708146935457671E-2</v>
      </c>
      <c r="BG418" s="20">
        <f t="shared" si="1274"/>
        <v>5.6876352261363144E-2</v>
      </c>
      <c r="BH418" s="20">
        <f t="shared" si="1274"/>
        <v>5.6678191658685442E-2</v>
      </c>
      <c r="BI418" s="20">
        <f t="shared" si="1274"/>
        <v>5.6779974794859474E-2</v>
      </c>
      <c r="BJ418" s="20">
        <f t="shared" si="1274"/>
        <v>5.6949443580226106E-2</v>
      </c>
      <c r="BK418" s="20">
        <f t="shared" si="1274"/>
        <v>5.6749791490025236E-2</v>
      </c>
      <c r="BL418" s="20">
        <f t="shared" si="1274"/>
        <v>5.6852345490523024E-2</v>
      </c>
      <c r="BM418" s="20">
        <f t="shared" si="1274"/>
        <v>5.702307585072397E-2</v>
      </c>
      <c r="BN418" s="20">
        <f t="shared" si="1274"/>
        <v>5.6821934426017698E-2</v>
      </c>
      <c r="BO418" s="20">
        <f t="shared" si="1274"/>
        <v>5.6925258291526351E-2</v>
      </c>
      <c r="BP418" s="20">
        <f t="shared" si="1274"/>
        <v>5.7097248073897315E-2</v>
      </c>
      <c r="BQ418" s="20">
        <f t="shared" si="1274"/>
        <v>5.6894619783138478E-2</v>
      </c>
      <c r="BR418" s="20">
        <f t="shared" si="1274"/>
        <v>5.699871235286362E-2</v>
      </c>
    </row>
    <row r="419" spans="1:70" customFormat="1" ht="11.25" customHeight="1" outlineLevel="2">
      <c r="A419" s="6"/>
      <c r="B419" s="6"/>
      <c r="C419" s="108" t="s">
        <v>288</v>
      </c>
      <c r="D419" s="31" t="s">
        <v>66</v>
      </c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W419" s="6"/>
      <c r="X419" s="6"/>
      <c r="AE419" s="44"/>
      <c r="AF419" s="907">
        <f>AF380</f>
        <v>2.3E-2</v>
      </c>
      <c r="AG419" s="983">
        <v>0.05</v>
      </c>
      <c r="AH419" s="396">
        <f>AVERAGE(AF419,AG419)</f>
        <v>3.6500000000000005E-2</v>
      </c>
      <c r="AI419" s="22">
        <f>AG419</f>
        <v>0.05</v>
      </c>
      <c r="AJ419" s="22">
        <f>AI419</f>
        <v>0.05</v>
      </c>
      <c r="AK419" s="396">
        <f>AVERAGE(AI419,AJ419)</f>
        <v>0.05</v>
      </c>
      <c r="AL419" s="22">
        <f>AI419</f>
        <v>0.05</v>
      </c>
      <c r="AM419" s="22">
        <f>AJ419</f>
        <v>0.05</v>
      </c>
      <c r="AN419" s="396">
        <f>AVERAGE(AL419,AM419)</f>
        <v>0.05</v>
      </c>
      <c r="AO419" s="22">
        <f>AL419</f>
        <v>0.05</v>
      </c>
      <c r="AP419" s="22">
        <f>AM419</f>
        <v>0.05</v>
      </c>
      <c r="AQ419" s="396">
        <f>AVERAGE(AO419,AP419)</f>
        <v>0.05</v>
      </c>
      <c r="AR419" s="22">
        <f>AO419</f>
        <v>0.05</v>
      </c>
      <c r="AS419" s="22">
        <f>AP419</f>
        <v>0.05</v>
      </c>
      <c r="AT419" s="396">
        <f>AVERAGE(AR419,AS419)</f>
        <v>0.05</v>
      </c>
      <c r="AU419" s="22">
        <f>AR419</f>
        <v>0.05</v>
      </c>
      <c r="AV419" s="22">
        <f>AS419</f>
        <v>0.05</v>
      </c>
      <c r="AW419" s="396">
        <f>AVERAGE(AU419,AV419)</f>
        <v>0.05</v>
      </c>
      <c r="AX419" s="22">
        <f>AU419</f>
        <v>0.05</v>
      </c>
      <c r="AY419" s="22">
        <f>AV419</f>
        <v>0.05</v>
      </c>
      <c r="AZ419" s="396">
        <f>AVERAGE(AX419,AY419)</f>
        <v>0.05</v>
      </c>
      <c r="BA419" s="22">
        <f>AX419</f>
        <v>0.05</v>
      </c>
      <c r="BB419" s="22">
        <f>AY419</f>
        <v>0.05</v>
      </c>
      <c r="BC419" s="396">
        <f>AVERAGE(BA419,BB419)</f>
        <v>0.05</v>
      </c>
      <c r="BD419" s="22">
        <f>BA419</f>
        <v>0.05</v>
      </c>
      <c r="BE419" s="22">
        <f>BB419</f>
        <v>0.05</v>
      </c>
      <c r="BF419" s="396">
        <f>AVERAGE(BD419,BE419)</f>
        <v>0.05</v>
      </c>
      <c r="BG419" s="22">
        <f>BD419</f>
        <v>0.05</v>
      </c>
      <c r="BH419" s="22">
        <f>BE419</f>
        <v>0.05</v>
      </c>
      <c r="BI419" s="396">
        <f>AVERAGE(BG419,BH419)</f>
        <v>0.05</v>
      </c>
      <c r="BJ419" s="22">
        <f>BG419</f>
        <v>0.05</v>
      </c>
      <c r="BK419" s="22">
        <f>BH419</f>
        <v>0.05</v>
      </c>
      <c r="BL419" s="396">
        <f>AVERAGE(BJ419,BK419)</f>
        <v>0.05</v>
      </c>
      <c r="BM419" s="22">
        <f>BJ419</f>
        <v>0.05</v>
      </c>
      <c r="BN419" s="22">
        <f>BK419</f>
        <v>0.05</v>
      </c>
      <c r="BO419" s="396">
        <f>AVERAGE(BM419,BN419)</f>
        <v>0.05</v>
      </c>
      <c r="BP419" s="22">
        <f>BM419</f>
        <v>0.05</v>
      </c>
      <c r="BQ419" s="22">
        <f>BN419</f>
        <v>0.05</v>
      </c>
      <c r="BR419" s="396">
        <f>AVERAGE(BP419,BQ419)</f>
        <v>0.05</v>
      </c>
    </row>
    <row r="420" spans="1:70" customFormat="1" ht="11.25" customHeight="1" outlineLevel="2">
      <c r="A420" s="6"/>
      <c r="B420" s="6"/>
      <c r="C420" s="108" t="s">
        <v>538</v>
      </c>
      <c r="D420" s="31" t="s">
        <v>66</v>
      </c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W420" s="6"/>
      <c r="X420" s="6"/>
      <c r="AE420" s="44"/>
      <c r="AF420" s="907">
        <f>AF381</f>
        <v>2.5000000000000001E-2</v>
      </c>
      <c r="AG420" s="983">
        <v>0.08</v>
      </c>
      <c r="AH420" s="396">
        <f>AVERAGE(AF420,AG420)</f>
        <v>5.2500000000000005E-2</v>
      </c>
      <c r="AI420" s="22">
        <f>AG420</f>
        <v>0.08</v>
      </c>
      <c r="AJ420" s="22">
        <f>AI420</f>
        <v>0.08</v>
      </c>
      <c r="AK420" s="396">
        <f>AVERAGE(AI420,AJ420)</f>
        <v>0.08</v>
      </c>
      <c r="AL420" s="22">
        <f>AI420</f>
        <v>0.08</v>
      </c>
      <c r="AM420" s="22">
        <f>AJ420</f>
        <v>0.08</v>
      </c>
      <c r="AN420" s="396">
        <f>AVERAGE(AL420,AM420)</f>
        <v>0.08</v>
      </c>
      <c r="AO420" s="22">
        <f>AL420</f>
        <v>0.08</v>
      </c>
      <c r="AP420" s="22">
        <f>AM420</f>
        <v>0.08</v>
      </c>
      <c r="AQ420" s="396">
        <f>AVERAGE(AO420,AP420)</f>
        <v>0.08</v>
      </c>
      <c r="AR420" s="22">
        <f>AO420</f>
        <v>0.08</v>
      </c>
      <c r="AS420" s="22">
        <f>AP420</f>
        <v>0.08</v>
      </c>
      <c r="AT420" s="396">
        <f>AVERAGE(AR420,AS420)</f>
        <v>0.08</v>
      </c>
      <c r="AU420" s="22">
        <f>AR420</f>
        <v>0.08</v>
      </c>
      <c r="AV420" s="22">
        <f>AS420</f>
        <v>0.08</v>
      </c>
      <c r="AW420" s="396">
        <f>AVERAGE(AU420,AV420)</f>
        <v>0.08</v>
      </c>
      <c r="AX420" s="22">
        <f>AU420</f>
        <v>0.08</v>
      </c>
      <c r="AY420" s="22">
        <f>AV420</f>
        <v>0.08</v>
      </c>
      <c r="AZ420" s="396">
        <f>AVERAGE(AX420,AY420)</f>
        <v>0.08</v>
      </c>
      <c r="BA420" s="22">
        <f>AX420</f>
        <v>0.08</v>
      </c>
      <c r="BB420" s="22">
        <f>AY420</f>
        <v>0.08</v>
      </c>
      <c r="BC420" s="396">
        <f>AVERAGE(BA420,BB420)</f>
        <v>0.08</v>
      </c>
      <c r="BD420" s="22">
        <f>BA420</f>
        <v>0.08</v>
      </c>
      <c r="BE420" s="22">
        <f>BB420</f>
        <v>0.08</v>
      </c>
      <c r="BF420" s="396">
        <f>AVERAGE(BD420,BE420)</f>
        <v>0.08</v>
      </c>
      <c r="BG420" s="22">
        <f>BD420</f>
        <v>0.08</v>
      </c>
      <c r="BH420" s="22">
        <f>BE420</f>
        <v>0.08</v>
      </c>
      <c r="BI420" s="396">
        <f>AVERAGE(BG420,BH420)</f>
        <v>0.08</v>
      </c>
      <c r="BJ420" s="22">
        <f>BG420</f>
        <v>0.08</v>
      </c>
      <c r="BK420" s="22">
        <f>BH420</f>
        <v>0.08</v>
      </c>
      <c r="BL420" s="396">
        <f>AVERAGE(BJ420,BK420)</f>
        <v>0.08</v>
      </c>
      <c r="BM420" s="22">
        <f>BJ420</f>
        <v>0.08</v>
      </c>
      <c r="BN420" s="22">
        <f>BK420</f>
        <v>0.08</v>
      </c>
      <c r="BO420" s="396">
        <f>AVERAGE(BM420,BN420)</f>
        <v>0.08</v>
      </c>
      <c r="BP420" s="22">
        <f>BM420</f>
        <v>0.08</v>
      </c>
      <c r="BQ420" s="22">
        <f>BN420</f>
        <v>0.08</v>
      </c>
      <c r="BR420" s="396">
        <f>AVERAGE(BP420,BQ420)</f>
        <v>0.08</v>
      </c>
    </row>
    <row r="421" spans="1:70" customFormat="1" ht="11.25" customHeight="1" outlineLevel="2">
      <c r="A421" s="6"/>
      <c r="B421" s="6"/>
      <c r="C421" s="9" t="s">
        <v>81</v>
      </c>
      <c r="D421" s="31" t="s">
        <v>66</v>
      </c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W421" s="6"/>
      <c r="X421" s="6"/>
      <c r="AE421" s="44"/>
      <c r="AF421" s="133">
        <f t="shared" ref="AF421:AN421" si="1275">((AF281*AF422)+(AF282*AF423))</f>
        <v>2.6910581077826613E-2</v>
      </c>
      <c r="AG421" s="984">
        <f t="shared" si="1275"/>
        <v>7.2048177283506584E-2</v>
      </c>
      <c r="AH421" s="20">
        <f t="shared" si="1275"/>
        <v>4.9531593389665986E-2</v>
      </c>
      <c r="AI421" s="20">
        <f t="shared" si="1275"/>
        <v>7.1934461380206066E-2</v>
      </c>
      <c r="AJ421" s="20">
        <f t="shared" si="1275"/>
        <v>7.2234310208991487E-2</v>
      </c>
      <c r="AK421" s="20">
        <f t="shared" si="1275"/>
        <v>7.2082717930634282E-2</v>
      </c>
      <c r="AL421" s="20">
        <f t="shared" si="1275"/>
        <v>7.2850589600457705E-2</v>
      </c>
      <c r="AM421" s="20">
        <f t="shared" si="1275"/>
        <v>7.2877290279692808E-2</v>
      </c>
      <c r="AN421" s="20">
        <f t="shared" si="1275"/>
        <v>7.2858211152435098E-2</v>
      </c>
      <c r="AO421" s="20">
        <f t="shared" ref="AO421:AP421" si="1276">((AO281*AO422)+(AO282*AO423))</f>
        <v>7.3164529301992326E-2</v>
      </c>
      <c r="AP421" s="20">
        <f t="shared" si="1276"/>
        <v>7.3141431831894949E-2</v>
      </c>
      <c r="AQ421" s="20">
        <f t="shared" ref="AQ421:BR421" si="1277">((AQ281*AQ422)+(AQ282*AQ423))</f>
        <v>7.31473121503117E-2</v>
      </c>
      <c r="AR421" s="20">
        <f t="shared" si="1277"/>
        <v>7.3429122492600973E-2</v>
      </c>
      <c r="AS421" s="20">
        <f t="shared" si="1277"/>
        <v>7.3405991306307039E-2</v>
      </c>
      <c r="AT421" s="20">
        <f t="shared" si="1277"/>
        <v>7.3411880340924274E-2</v>
      </c>
      <c r="AU421" s="20">
        <f t="shared" si="1277"/>
        <v>7.3694069475233673E-2</v>
      </c>
      <c r="AV421" s="20">
        <f t="shared" si="1277"/>
        <v>7.3670909740121554E-2</v>
      </c>
      <c r="AW421" s="20">
        <f t="shared" si="1277"/>
        <v>7.3676806175644968E-2</v>
      </c>
      <c r="AX421" s="20">
        <f t="shared" si="1277"/>
        <v>7.3959310938769257E-2</v>
      </c>
      <c r="AY421" s="20">
        <f t="shared" si="1277"/>
        <v>7.3936127847904709E-2</v>
      </c>
      <c r="AZ421" s="20">
        <f t="shared" si="1277"/>
        <v>7.3942030362381228E-2</v>
      </c>
      <c r="BA421" s="20">
        <f t="shared" si="1277"/>
        <v>7.4224787306878565E-2</v>
      </c>
      <c r="BB421" s="20">
        <f t="shared" si="1277"/>
        <v>7.4201586074377601E-2</v>
      </c>
      <c r="BC421" s="20">
        <f t="shared" si="1277"/>
        <v>7.4207493340375533E-2</v>
      </c>
      <c r="BD421" s="20">
        <f t="shared" si="1277"/>
        <v>7.4490438791361524E-2</v>
      </c>
      <c r="BE421" s="20">
        <f t="shared" si="1277"/>
        <v>7.4467224647712896E-2</v>
      </c>
      <c r="BF421" s="20">
        <f t="shared" si="1277"/>
        <v>7.4473135333512588E-2</v>
      </c>
      <c r="BG421" s="20">
        <f t="shared" si="1277"/>
        <v>7.4756205445889498E-2</v>
      </c>
      <c r="BH421" s="20">
        <f t="shared" si="1277"/>
        <v>7.4732983633246E-2</v>
      </c>
      <c r="BI421" s="20">
        <f t="shared" si="1277"/>
        <v>7.4738896404038663E-2</v>
      </c>
      <c r="BJ421" s="20">
        <f t="shared" si="1277"/>
        <v>7.5022027220051135E-2</v>
      </c>
      <c r="BK421" s="20">
        <f t="shared" si="1277"/>
        <v>7.4998802987498336E-2</v>
      </c>
      <c r="BL421" s="20">
        <f t="shared" si="1277"/>
        <v>7.5004716506590907E-2</v>
      </c>
      <c r="BM421" s="20">
        <f t="shared" si="1277"/>
        <v>7.5287844013597768E-2</v>
      </c>
      <c r="BN421" s="20">
        <f t="shared" si="1277"/>
        <v>7.5264622612409571E-2</v>
      </c>
      <c r="BO421" s="20">
        <f t="shared" si="1277"/>
        <v>7.5270535542433029E-2</v>
      </c>
      <c r="BP421" s="20">
        <f t="shared" si="1277"/>
        <v>7.5553595730784642E-2</v>
      </c>
      <c r="BQ421" s="20">
        <f t="shared" si="1277"/>
        <v>7.5530382409674593E-2</v>
      </c>
      <c r="BR421" s="20">
        <f t="shared" si="1277"/>
        <v>7.5536293413793726E-2</v>
      </c>
    </row>
    <row r="422" spans="1:70" customFormat="1" ht="11.25" customHeight="1" outlineLevel="2">
      <c r="A422" s="6"/>
      <c r="B422" s="6"/>
      <c r="C422" s="108" t="s">
        <v>59</v>
      </c>
      <c r="D422" s="31" t="s">
        <v>66</v>
      </c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W422" s="6"/>
      <c r="X422" s="6"/>
      <c r="AE422" s="44"/>
      <c r="AF422" s="907">
        <f>AF383</f>
        <v>2.5680000000000001E-2</v>
      </c>
      <c r="AG422" s="983">
        <v>0.05</v>
      </c>
      <c r="AH422" s="396">
        <f>AVERAGE(AF422,AG422)</f>
        <v>3.7839999999999999E-2</v>
      </c>
      <c r="AI422" s="22">
        <f>AG422</f>
        <v>0.05</v>
      </c>
      <c r="AJ422" s="22">
        <f>AI422</f>
        <v>0.05</v>
      </c>
      <c r="AK422" s="396">
        <f>AVERAGE(AI422,AJ422)</f>
        <v>0.05</v>
      </c>
      <c r="AL422" s="22">
        <f>AI422</f>
        <v>0.05</v>
      </c>
      <c r="AM422" s="22">
        <f>AJ422</f>
        <v>0.05</v>
      </c>
      <c r="AN422" s="396">
        <f>AVERAGE(AL422,AM422)</f>
        <v>0.05</v>
      </c>
      <c r="AO422" s="22">
        <f>AL422</f>
        <v>0.05</v>
      </c>
      <c r="AP422" s="22">
        <f>AM422</f>
        <v>0.05</v>
      </c>
      <c r="AQ422" s="396">
        <f>AVERAGE(AO422,AP422)</f>
        <v>0.05</v>
      </c>
      <c r="AR422" s="22">
        <f>AO422</f>
        <v>0.05</v>
      </c>
      <c r="AS422" s="22">
        <f>AP422</f>
        <v>0.05</v>
      </c>
      <c r="AT422" s="396">
        <f>AVERAGE(AR422,AS422)</f>
        <v>0.05</v>
      </c>
      <c r="AU422" s="22">
        <f>AR422</f>
        <v>0.05</v>
      </c>
      <c r="AV422" s="22">
        <f>AS422</f>
        <v>0.05</v>
      </c>
      <c r="AW422" s="396">
        <f>AVERAGE(AU422,AV422)</f>
        <v>0.05</v>
      </c>
      <c r="AX422" s="22">
        <f>AU422</f>
        <v>0.05</v>
      </c>
      <c r="AY422" s="22">
        <f>AV422</f>
        <v>0.05</v>
      </c>
      <c r="AZ422" s="396">
        <f>AVERAGE(AX422,AY422)</f>
        <v>0.05</v>
      </c>
      <c r="BA422" s="22">
        <f>AX422</f>
        <v>0.05</v>
      </c>
      <c r="BB422" s="22">
        <f>AY422</f>
        <v>0.05</v>
      </c>
      <c r="BC422" s="396">
        <f>AVERAGE(BA422,BB422)</f>
        <v>0.05</v>
      </c>
      <c r="BD422" s="22">
        <f>BA422</f>
        <v>0.05</v>
      </c>
      <c r="BE422" s="22">
        <f>BB422</f>
        <v>0.05</v>
      </c>
      <c r="BF422" s="396">
        <f>AVERAGE(BD422,BE422)</f>
        <v>0.05</v>
      </c>
      <c r="BG422" s="22">
        <f>BD422</f>
        <v>0.05</v>
      </c>
      <c r="BH422" s="22">
        <f>BE422</f>
        <v>0.05</v>
      </c>
      <c r="BI422" s="396">
        <f>AVERAGE(BG422,BH422)</f>
        <v>0.05</v>
      </c>
      <c r="BJ422" s="22">
        <f>BG422</f>
        <v>0.05</v>
      </c>
      <c r="BK422" s="22">
        <f>BH422</f>
        <v>0.05</v>
      </c>
      <c r="BL422" s="396">
        <f>AVERAGE(BJ422,BK422)</f>
        <v>0.05</v>
      </c>
      <c r="BM422" s="22">
        <f>BJ422</f>
        <v>0.05</v>
      </c>
      <c r="BN422" s="22">
        <f>BK422</f>
        <v>0.05</v>
      </c>
      <c r="BO422" s="396">
        <f>AVERAGE(BM422,BN422)</f>
        <v>0.05</v>
      </c>
      <c r="BP422" s="22">
        <f>BM422</f>
        <v>0.05</v>
      </c>
      <c r="BQ422" s="22">
        <f>BN422</f>
        <v>0.05</v>
      </c>
      <c r="BR422" s="396">
        <f>AVERAGE(BP422,BQ422)</f>
        <v>0.05</v>
      </c>
    </row>
    <row r="423" spans="1:70" customFormat="1" ht="11.25" customHeight="1" outlineLevel="2">
      <c r="A423" s="6"/>
      <c r="B423" s="6"/>
      <c r="C423" s="108" t="s">
        <v>93</v>
      </c>
      <c r="D423" s="31" t="s">
        <v>66</v>
      </c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W423" s="6"/>
      <c r="X423" s="6"/>
      <c r="AE423" s="44"/>
      <c r="AF423" s="907">
        <f>AF384</f>
        <v>2.8443750000000004E-2</v>
      </c>
      <c r="AG423" s="983">
        <v>0.1</v>
      </c>
      <c r="AH423" s="396">
        <f>AVERAGE(AF423,AG423)</f>
        <v>6.4221875000000012E-2</v>
      </c>
      <c r="AI423" s="22">
        <f>AG423</f>
        <v>0.1</v>
      </c>
      <c r="AJ423" s="22">
        <f>AI423</f>
        <v>0.1</v>
      </c>
      <c r="AK423" s="396">
        <f>AVERAGE(AI423,AJ423)</f>
        <v>0.1</v>
      </c>
      <c r="AL423" s="22">
        <f>AI423</f>
        <v>0.1</v>
      </c>
      <c r="AM423" s="22">
        <f>AJ423</f>
        <v>0.1</v>
      </c>
      <c r="AN423" s="396">
        <f>AVERAGE(AL423,AM423)</f>
        <v>0.1</v>
      </c>
      <c r="AO423" s="22">
        <f>AL423</f>
        <v>0.1</v>
      </c>
      <c r="AP423" s="22">
        <f>AM423</f>
        <v>0.1</v>
      </c>
      <c r="AQ423" s="396">
        <f>AVERAGE(AO423,AP423)</f>
        <v>0.1</v>
      </c>
      <c r="AR423" s="22">
        <f>AO423</f>
        <v>0.1</v>
      </c>
      <c r="AS423" s="22">
        <f>AP423</f>
        <v>0.1</v>
      </c>
      <c r="AT423" s="396">
        <f>AVERAGE(AR423,AS423)</f>
        <v>0.1</v>
      </c>
      <c r="AU423" s="22">
        <f>AR423</f>
        <v>0.1</v>
      </c>
      <c r="AV423" s="22">
        <f>AS423</f>
        <v>0.1</v>
      </c>
      <c r="AW423" s="396">
        <f>AVERAGE(AU423,AV423)</f>
        <v>0.1</v>
      </c>
      <c r="AX423" s="22">
        <f>AU423</f>
        <v>0.1</v>
      </c>
      <c r="AY423" s="22">
        <f>AV423</f>
        <v>0.1</v>
      </c>
      <c r="AZ423" s="396">
        <f>AVERAGE(AX423,AY423)</f>
        <v>0.1</v>
      </c>
      <c r="BA423" s="22">
        <f>AX423</f>
        <v>0.1</v>
      </c>
      <c r="BB423" s="22">
        <f>AY423</f>
        <v>0.1</v>
      </c>
      <c r="BC423" s="396">
        <f>AVERAGE(BA423,BB423)</f>
        <v>0.1</v>
      </c>
      <c r="BD423" s="22">
        <f>BA423</f>
        <v>0.1</v>
      </c>
      <c r="BE423" s="22">
        <f>BB423</f>
        <v>0.1</v>
      </c>
      <c r="BF423" s="396">
        <f>AVERAGE(BD423,BE423)</f>
        <v>0.1</v>
      </c>
      <c r="BG423" s="22">
        <f>BD423</f>
        <v>0.1</v>
      </c>
      <c r="BH423" s="22">
        <f>BE423</f>
        <v>0.1</v>
      </c>
      <c r="BI423" s="396">
        <f>AVERAGE(BG423,BH423)</f>
        <v>0.1</v>
      </c>
      <c r="BJ423" s="22">
        <f>BG423</f>
        <v>0.1</v>
      </c>
      <c r="BK423" s="22">
        <f>BH423</f>
        <v>0.1</v>
      </c>
      <c r="BL423" s="396">
        <f>AVERAGE(BJ423,BK423)</f>
        <v>0.1</v>
      </c>
      <c r="BM423" s="22">
        <f>BJ423</f>
        <v>0.1</v>
      </c>
      <c r="BN423" s="22">
        <f>BK423</f>
        <v>0.1</v>
      </c>
      <c r="BO423" s="396">
        <f>AVERAGE(BM423,BN423)</f>
        <v>0.1</v>
      </c>
      <c r="BP423" s="22">
        <f>BM423</f>
        <v>0.1</v>
      </c>
      <c r="BQ423" s="22">
        <f>BN423</f>
        <v>0.1</v>
      </c>
      <c r="BR423" s="396">
        <f>AVERAGE(BP423,BQ423)</f>
        <v>0.1</v>
      </c>
    </row>
    <row r="424" spans="1:70" customFormat="1" ht="11.25" customHeight="1" outlineLevel="2">
      <c r="A424" s="6"/>
      <c r="B424" s="6"/>
      <c r="C424" s="9" t="s">
        <v>83</v>
      </c>
      <c r="D424" s="31" t="s">
        <v>66</v>
      </c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W424" s="6"/>
      <c r="X424" s="6"/>
      <c r="AE424" s="44"/>
      <c r="AF424" s="133">
        <f t="shared" ref="AF424:AM424" si="1278">((AF284*AF425)+(AF285*AF426)+(AF286*AF427))</f>
        <v>4.4461817001289566E-2</v>
      </c>
      <c r="AG424" s="984">
        <f t="shared" si="1278"/>
        <v>8.0652580372903335E-2</v>
      </c>
      <c r="AH424" s="20">
        <f>((AH284*AH425)+(AH285*AH426)+(AH286*AH427))</f>
        <v>6.2513556638968903E-2</v>
      </c>
      <c r="AI424" s="20">
        <f t="shared" si="1278"/>
        <v>8.1597856785836129E-2</v>
      </c>
      <c r="AJ424" s="20">
        <f t="shared" si="1278"/>
        <v>8.253357282881349E-2</v>
      </c>
      <c r="AK424" s="20">
        <f>((AK284*AK425)+(AK285*AK426)+(AK286*AK427))</f>
        <v>8.2073666182719537E-2</v>
      </c>
      <c r="AL424" s="20">
        <f t="shared" si="1278"/>
        <v>7.3909972892333947E-2</v>
      </c>
      <c r="AM424" s="20">
        <f t="shared" si="1278"/>
        <v>7.4552640819792321E-2</v>
      </c>
      <c r="AN424" s="20">
        <f>((AN284*AN425)+(AN285*AN426)+(AN286*AN427))</f>
        <v>7.4225200739282418E-2</v>
      </c>
      <c r="AO424" s="20">
        <f t="shared" ref="AO424:AP424" si="1279">((AO284*AO425)+(AO285*AO426)+(AO286*AO427))</f>
        <v>7.4403176605053162E-2</v>
      </c>
      <c r="AP424" s="20">
        <f t="shared" si="1279"/>
        <v>7.4866212269293339E-2</v>
      </c>
      <c r="AQ424" s="20">
        <f>((AQ284*AQ425)+(AQ285*AQ426)+(AQ286*AQ427))</f>
        <v>7.4627944441904612E-2</v>
      </c>
      <c r="AR424" s="20">
        <f t="shared" ref="AR424:AS424" si="1280">((AR284*AR425)+(AR285*AR426)+(AR286*AR427))</f>
        <v>7.4717026512396589E-2</v>
      </c>
      <c r="AS424" s="20">
        <f t="shared" si="1280"/>
        <v>7.5178498741772445E-2</v>
      </c>
      <c r="AT424" s="20">
        <f>((AT284*AT425)+(AT285*AT426)+(AT286*AT427))</f>
        <v>7.4941075204389709E-2</v>
      </c>
      <c r="AU424" s="20">
        <f t="shared" ref="AU424:AV424" si="1281">((AU284*AU425)+(AU285*AU426)+(AU286*AU427))</f>
        <v>7.5029620245923495E-2</v>
      </c>
      <c r="AV424" s="20">
        <f t="shared" si="1281"/>
        <v>7.5489449566305461E-2</v>
      </c>
      <c r="AW424" s="20">
        <f>((AW284*AW425)+(AW285*AW426)+(AW286*AW427))</f>
        <v>7.5252910772156748E-2</v>
      </c>
      <c r="AX424" s="20">
        <f t="shared" ref="AX424:AY424" si="1282">((AX284*AX425)+(AX285*AX426)+(AX286*AX427))</f>
        <v>7.5340906946436498E-2</v>
      </c>
      <c r="AY424" s="20">
        <f t="shared" si="1282"/>
        <v>7.5799014774535309E-2</v>
      </c>
      <c r="AZ424" s="20">
        <f>((AZ284*AZ425)+(AZ285*AZ426)+(AZ286*AZ427))</f>
        <v>7.556340069709222E-2</v>
      </c>
      <c r="BA424" s="20">
        <f t="shared" ref="BA424:BB424" si="1283">((BA284*BA425)+(BA285*BA426)+(BA286*BA427))</f>
        <v>7.5650836435553467E-2</v>
      </c>
      <c r="BB424" s="20">
        <f t="shared" si="1283"/>
        <v>7.6107145135067347E-2</v>
      </c>
      <c r="BC424" s="20">
        <f>((BC284*BC425)+(BC285*BC426)+(BC286*BC427))</f>
        <v>7.5872495239708335E-2</v>
      </c>
      <c r="BD424" s="20">
        <f t="shared" ref="BD424:BE424" si="1284">((BD284*BD425)+(BD285*BD426)+(BD286*BD427))</f>
        <v>7.5959359250401648E-2</v>
      </c>
      <c r="BE424" s="20">
        <f t="shared" si="1284"/>
        <v>7.6413792186935281E-2</v>
      </c>
      <c r="BF424" s="20">
        <f>((BF284*BF425)+(BF285*BF426)+(BF286*BF427))</f>
        <v>7.6180145403267119E-2</v>
      </c>
      <c r="BG424" s="20">
        <f t="shared" ref="BG424:BH424" si="1285">((BG284*BG425)+(BG285*BG426)+(BG286*BG427))</f>
        <v>7.6266426677416524E-2</v>
      </c>
      <c r="BH424" s="20">
        <f t="shared" si="1285"/>
        <v>7.6718908272089353E-2</v>
      </c>
      <c r="BI424" s="20">
        <f>((BI284*BI425)+(BI285*BI426)+(BI286*BI427))</f>
        <v>7.6486302966968137E-2</v>
      </c>
      <c r="BJ424" s="20">
        <f t="shared" ref="BJ424:BK424" si="1286">((BJ284*BJ425)+(BJ285*BJ426)+(BJ286*BJ427))</f>
        <v>7.6571990785195373E-2</v>
      </c>
      <c r="BK424" s="20">
        <f t="shared" si="1286"/>
        <v>7.7022446566859748E-2</v>
      </c>
      <c r="BL424" s="20">
        <f>((BL284*BL425)+(BL285*BL426)+(BL286*BL427))</f>
        <v>7.6790920518150993E-2</v>
      </c>
      <c r="BM424" s="20">
        <f t="shared" ref="BM424:BN424" si="1287">((BM284*BM425)+(BM285*BM426)+(BM286*BM427))</f>
        <v>7.6876004456358296E-2</v>
      </c>
      <c r="BN424" s="20">
        <f t="shared" si="1287"/>
        <v>7.7324361112351137E-2</v>
      </c>
      <c r="BO424" s="20">
        <f>((BO284*BO425)+(BO285*BO426)+(BO286*BO427))</f>
        <v>7.7093951483466996E-2</v>
      </c>
      <c r="BP424" s="20">
        <f t="shared" ref="BP424:BQ424" si="1288">((BP284*BP425)+(BP285*BP426)+(BP286*BP427))</f>
        <v>7.7178421418371279E-2</v>
      </c>
      <c r="BQ424" s="20">
        <f t="shared" si="1288"/>
        <v>7.7624606843726615E-2</v>
      </c>
      <c r="BR424" s="20">
        <f>((BR284*BR425)+(BR285*BR426)+(BR286*BR427))</f>
        <v>7.7395350158976209E-2</v>
      </c>
    </row>
    <row r="425" spans="1:70" customFormat="1" ht="11.25" customHeight="1" outlineLevel="2">
      <c r="A425" s="6"/>
      <c r="B425" s="6"/>
      <c r="C425" s="108" t="s">
        <v>289</v>
      </c>
      <c r="D425" s="31" t="s">
        <v>66</v>
      </c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W425" s="6"/>
      <c r="X425" s="6"/>
      <c r="AE425" s="44"/>
      <c r="AF425" s="907">
        <f t="shared" ref="AF425:AF427" si="1289">AF386</f>
        <v>6.6000000000000003E-2</v>
      </c>
      <c r="AG425" s="983">
        <v>0.1</v>
      </c>
      <c r="AH425" s="396">
        <f>AVERAGE(AF425,AG425)</f>
        <v>8.3000000000000004E-2</v>
      </c>
      <c r="AI425" s="22">
        <f>AG425</f>
        <v>0.1</v>
      </c>
      <c r="AJ425" s="22">
        <f>AI425</f>
        <v>0.1</v>
      </c>
      <c r="AK425" s="396">
        <f>AVERAGE(AI425,AJ425)</f>
        <v>0.1</v>
      </c>
      <c r="AL425" s="22">
        <f>AI425</f>
        <v>0.1</v>
      </c>
      <c r="AM425" s="22">
        <f>AJ425</f>
        <v>0.1</v>
      </c>
      <c r="AN425" s="396">
        <f>AVERAGE(AL425,AM425)</f>
        <v>0.1</v>
      </c>
      <c r="AO425" s="22">
        <f>AL425</f>
        <v>0.1</v>
      </c>
      <c r="AP425" s="22">
        <f>AM425</f>
        <v>0.1</v>
      </c>
      <c r="AQ425" s="396">
        <f>AVERAGE(AO425,AP425)</f>
        <v>0.1</v>
      </c>
      <c r="AR425" s="22">
        <f>AO425</f>
        <v>0.1</v>
      </c>
      <c r="AS425" s="22">
        <f>AP425</f>
        <v>0.1</v>
      </c>
      <c r="AT425" s="396">
        <f>AVERAGE(AR425,AS425)</f>
        <v>0.1</v>
      </c>
      <c r="AU425" s="22">
        <f>AR425</f>
        <v>0.1</v>
      </c>
      <c r="AV425" s="22">
        <f>AS425</f>
        <v>0.1</v>
      </c>
      <c r="AW425" s="396">
        <f>AVERAGE(AU425,AV425)</f>
        <v>0.1</v>
      </c>
      <c r="AX425" s="22">
        <f>AU425</f>
        <v>0.1</v>
      </c>
      <c r="AY425" s="22">
        <f>AV425</f>
        <v>0.1</v>
      </c>
      <c r="AZ425" s="396">
        <f>AVERAGE(AX425,AY425)</f>
        <v>0.1</v>
      </c>
      <c r="BA425" s="22">
        <f>AX425</f>
        <v>0.1</v>
      </c>
      <c r="BB425" s="22">
        <f>AY425</f>
        <v>0.1</v>
      </c>
      <c r="BC425" s="396">
        <f>AVERAGE(BA425,BB425)</f>
        <v>0.1</v>
      </c>
      <c r="BD425" s="22">
        <f>BA425</f>
        <v>0.1</v>
      </c>
      <c r="BE425" s="22">
        <f>BB425</f>
        <v>0.1</v>
      </c>
      <c r="BF425" s="396">
        <f>AVERAGE(BD425,BE425)</f>
        <v>0.1</v>
      </c>
      <c r="BG425" s="22">
        <f>BD425</f>
        <v>0.1</v>
      </c>
      <c r="BH425" s="22">
        <f>BE425</f>
        <v>0.1</v>
      </c>
      <c r="BI425" s="396">
        <f>AVERAGE(BG425,BH425)</f>
        <v>0.1</v>
      </c>
      <c r="BJ425" s="22">
        <f>BG425</f>
        <v>0.1</v>
      </c>
      <c r="BK425" s="22">
        <f>BH425</f>
        <v>0.1</v>
      </c>
      <c r="BL425" s="396">
        <f>AVERAGE(BJ425,BK425)</f>
        <v>0.1</v>
      </c>
      <c r="BM425" s="22">
        <f>BJ425</f>
        <v>0.1</v>
      </c>
      <c r="BN425" s="22">
        <f>BK425</f>
        <v>0.1</v>
      </c>
      <c r="BO425" s="396">
        <f>AVERAGE(BM425,BN425)</f>
        <v>0.1</v>
      </c>
      <c r="BP425" s="22">
        <f>BM425</f>
        <v>0.1</v>
      </c>
      <c r="BQ425" s="22">
        <f>BN425</f>
        <v>0.1</v>
      </c>
      <c r="BR425" s="396">
        <f>AVERAGE(BP425,BQ425)</f>
        <v>0.1</v>
      </c>
    </row>
    <row r="426" spans="1:70" customFormat="1" ht="11.25" customHeight="1" outlineLevel="2">
      <c r="A426" s="6"/>
      <c r="B426" s="6"/>
      <c r="C426" s="108" t="s">
        <v>537</v>
      </c>
      <c r="D426" s="31" t="s">
        <v>66</v>
      </c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W426" s="6"/>
      <c r="X426" s="6"/>
      <c r="AE426" s="44"/>
      <c r="AF426" s="907">
        <f t="shared" si="1289"/>
        <v>4.3611111111111101E-2</v>
      </c>
      <c r="AG426" s="983">
        <v>0.1</v>
      </c>
      <c r="AH426" s="396">
        <f>AVERAGE(AF426,AG426)</f>
        <v>7.1805555555555553E-2</v>
      </c>
      <c r="AI426" s="22">
        <f>AG426</f>
        <v>0.1</v>
      </c>
      <c r="AJ426" s="22">
        <f>AI426</f>
        <v>0.1</v>
      </c>
      <c r="AK426" s="396">
        <f>AVERAGE(AI426,AJ426)</f>
        <v>0.1</v>
      </c>
      <c r="AL426" s="22">
        <f>AI426</f>
        <v>0.1</v>
      </c>
      <c r="AM426" s="22">
        <f>AJ426</f>
        <v>0.1</v>
      </c>
      <c r="AN426" s="396">
        <f>AVERAGE(AL426,AM426)</f>
        <v>0.1</v>
      </c>
      <c r="AO426" s="22">
        <f>AL426</f>
        <v>0.1</v>
      </c>
      <c r="AP426" s="22">
        <f>AM426</f>
        <v>0.1</v>
      </c>
      <c r="AQ426" s="396">
        <f>AVERAGE(AO426,AP426)</f>
        <v>0.1</v>
      </c>
      <c r="AR426" s="22">
        <f>AO426</f>
        <v>0.1</v>
      </c>
      <c r="AS426" s="22">
        <f>AP426</f>
        <v>0.1</v>
      </c>
      <c r="AT426" s="396">
        <f>AVERAGE(AR426,AS426)</f>
        <v>0.1</v>
      </c>
      <c r="AU426" s="22">
        <f>AR426</f>
        <v>0.1</v>
      </c>
      <c r="AV426" s="22">
        <f>AS426</f>
        <v>0.1</v>
      </c>
      <c r="AW426" s="396">
        <f>AVERAGE(AU426,AV426)</f>
        <v>0.1</v>
      </c>
      <c r="AX426" s="22">
        <f>AU426</f>
        <v>0.1</v>
      </c>
      <c r="AY426" s="22">
        <f>AV426</f>
        <v>0.1</v>
      </c>
      <c r="AZ426" s="396">
        <f>AVERAGE(AX426,AY426)</f>
        <v>0.1</v>
      </c>
      <c r="BA426" s="22">
        <f>AX426</f>
        <v>0.1</v>
      </c>
      <c r="BB426" s="22">
        <f>AY426</f>
        <v>0.1</v>
      </c>
      <c r="BC426" s="396">
        <f>AVERAGE(BA426,BB426)</f>
        <v>0.1</v>
      </c>
      <c r="BD426" s="22">
        <f>BA426</f>
        <v>0.1</v>
      </c>
      <c r="BE426" s="22">
        <f>BB426</f>
        <v>0.1</v>
      </c>
      <c r="BF426" s="396">
        <f>AVERAGE(BD426,BE426)</f>
        <v>0.1</v>
      </c>
      <c r="BG426" s="22">
        <f>BD426</f>
        <v>0.1</v>
      </c>
      <c r="BH426" s="22">
        <f>BE426</f>
        <v>0.1</v>
      </c>
      <c r="BI426" s="396">
        <f>AVERAGE(BG426,BH426)</f>
        <v>0.1</v>
      </c>
      <c r="BJ426" s="22">
        <f>BG426</f>
        <v>0.1</v>
      </c>
      <c r="BK426" s="22">
        <f>BH426</f>
        <v>0.1</v>
      </c>
      <c r="BL426" s="396">
        <f>AVERAGE(BJ426,BK426)</f>
        <v>0.1</v>
      </c>
      <c r="BM426" s="22">
        <f>BJ426</f>
        <v>0.1</v>
      </c>
      <c r="BN426" s="22">
        <f>BK426</f>
        <v>0.1</v>
      </c>
      <c r="BO426" s="396">
        <f>AVERAGE(BM426,BN426)</f>
        <v>0.1</v>
      </c>
      <c r="BP426" s="22">
        <f>BM426</f>
        <v>0.1</v>
      </c>
      <c r="BQ426" s="22">
        <f>BN426</f>
        <v>0.1</v>
      </c>
      <c r="BR426" s="396">
        <f>AVERAGE(BP426,BQ426)</f>
        <v>0.1</v>
      </c>
    </row>
    <row r="427" spans="1:70" customFormat="1" ht="11.25" customHeight="1" outlineLevel="2">
      <c r="A427" s="6"/>
      <c r="B427" s="6"/>
      <c r="C427" s="108" t="s">
        <v>290</v>
      </c>
      <c r="D427" s="31" t="s">
        <v>66</v>
      </c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W427" s="6"/>
      <c r="X427" s="6"/>
      <c r="AE427" s="44"/>
      <c r="AF427" s="907">
        <f t="shared" si="1289"/>
        <v>2.6250000000000002E-2</v>
      </c>
      <c r="AG427" s="983">
        <v>0.05</v>
      </c>
      <c r="AH427" s="396">
        <f>AVERAGE(AF427,AG427)</f>
        <v>3.8125000000000006E-2</v>
      </c>
      <c r="AI427" s="22">
        <f>AG427</f>
        <v>0.05</v>
      </c>
      <c r="AJ427" s="22">
        <f>AI427</f>
        <v>0.05</v>
      </c>
      <c r="AK427" s="396">
        <f>AVERAGE(AI427,AJ427)</f>
        <v>0.05</v>
      </c>
      <c r="AL427" s="22">
        <f t="shared" ref="AL427:AM427" si="1290">AL388</f>
        <v>2.5875000000000002E-2</v>
      </c>
      <c r="AM427" s="22">
        <f t="shared" si="1290"/>
        <v>2.6250000000000002E-2</v>
      </c>
      <c r="AN427" s="396">
        <f>AVERAGE(AL427,AM427)</f>
        <v>2.6062500000000002E-2</v>
      </c>
      <c r="AO427" s="22">
        <f t="shared" ref="AO427:AP427" si="1291">AO388</f>
        <v>2.6250000000000002E-2</v>
      </c>
      <c r="AP427" s="22">
        <f t="shared" si="1291"/>
        <v>2.6250000000000002E-2</v>
      </c>
      <c r="AQ427" s="396">
        <f>AVERAGE(AO427,AP427)</f>
        <v>2.6250000000000002E-2</v>
      </c>
      <c r="AR427" s="22">
        <f t="shared" ref="AR427:AS427" si="1292">AR388</f>
        <v>2.6250000000000002E-2</v>
      </c>
      <c r="AS427" s="22">
        <f t="shared" si="1292"/>
        <v>2.6250000000000002E-2</v>
      </c>
      <c r="AT427" s="396">
        <f>AVERAGE(AR427,AS427)</f>
        <v>2.6250000000000002E-2</v>
      </c>
      <c r="AU427" s="22">
        <f t="shared" ref="AU427:AV427" si="1293">AU388</f>
        <v>2.6250000000000002E-2</v>
      </c>
      <c r="AV427" s="22">
        <f t="shared" si="1293"/>
        <v>2.6250000000000002E-2</v>
      </c>
      <c r="AW427" s="396">
        <f>AVERAGE(AU427,AV427)</f>
        <v>2.6250000000000002E-2</v>
      </c>
      <c r="AX427" s="22">
        <f t="shared" ref="AX427:AY427" si="1294">AX388</f>
        <v>2.6250000000000002E-2</v>
      </c>
      <c r="AY427" s="22">
        <f t="shared" si="1294"/>
        <v>2.6250000000000002E-2</v>
      </c>
      <c r="AZ427" s="396">
        <f>AVERAGE(AX427,AY427)</f>
        <v>2.6250000000000002E-2</v>
      </c>
      <c r="BA427" s="22">
        <f t="shared" ref="BA427:BB427" si="1295">BA388</f>
        <v>2.6250000000000002E-2</v>
      </c>
      <c r="BB427" s="22">
        <f t="shared" si="1295"/>
        <v>2.6250000000000002E-2</v>
      </c>
      <c r="BC427" s="396">
        <f>AVERAGE(BA427,BB427)</f>
        <v>2.6250000000000002E-2</v>
      </c>
      <c r="BD427" s="22">
        <f t="shared" ref="BD427:BE427" si="1296">BD388</f>
        <v>2.6250000000000002E-2</v>
      </c>
      <c r="BE427" s="22">
        <f t="shared" si="1296"/>
        <v>2.6250000000000002E-2</v>
      </c>
      <c r="BF427" s="396">
        <f>AVERAGE(BD427,BE427)</f>
        <v>2.6250000000000002E-2</v>
      </c>
      <c r="BG427" s="22">
        <f t="shared" ref="BG427:BH427" si="1297">BG388</f>
        <v>2.6250000000000002E-2</v>
      </c>
      <c r="BH427" s="22">
        <f t="shared" si="1297"/>
        <v>2.6250000000000002E-2</v>
      </c>
      <c r="BI427" s="396">
        <f>AVERAGE(BG427,BH427)</f>
        <v>2.6250000000000002E-2</v>
      </c>
      <c r="BJ427" s="22">
        <f t="shared" ref="BJ427:BK427" si="1298">BJ388</f>
        <v>2.6250000000000002E-2</v>
      </c>
      <c r="BK427" s="22">
        <f t="shared" si="1298"/>
        <v>2.6250000000000002E-2</v>
      </c>
      <c r="BL427" s="396">
        <f>AVERAGE(BJ427,BK427)</f>
        <v>2.6250000000000002E-2</v>
      </c>
      <c r="BM427" s="22">
        <f t="shared" ref="BM427:BN427" si="1299">BM388</f>
        <v>2.6250000000000002E-2</v>
      </c>
      <c r="BN427" s="22">
        <f t="shared" si="1299"/>
        <v>2.6250000000000002E-2</v>
      </c>
      <c r="BO427" s="396">
        <f>AVERAGE(BM427,BN427)</f>
        <v>2.6250000000000002E-2</v>
      </c>
      <c r="BP427" s="22">
        <f t="shared" ref="BP427:BQ427" si="1300">BP388</f>
        <v>2.6250000000000002E-2</v>
      </c>
      <c r="BQ427" s="22">
        <f t="shared" si="1300"/>
        <v>2.6250000000000002E-2</v>
      </c>
      <c r="BR427" s="396">
        <f>AVERAGE(BP427,BQ427)</f>
        <v>2.6250000000000002E-2</v>
      </c>
    </row>
    <row r="428" spans="1:70" customFormat="1" ht="11.25" customHeight="1" outlineLevel="2">
      <c r="A428" s="6"/>
      <c r="B428" s="6"/>
      <c r="C428" s="9" t="s">
        <v>294</v>
      </c>
      <c r="D428" s="31" t="s">
        <v>66</v>
      </c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W428" s="6"/>
      <c r="X428" s="6"/>
      <c r="AE428" s="44"/>
      <c r="AF428" s="133">
        <f t="shared" ref="AF428:AN428" si="1301">((AF288*AF429)+(AF289*AF430))</f>
        <v>3.6716278508357625E-2</v>
      </c>
      <c r="AG428" s="984">
        <f t="shared" si="1301"/>
        <v>7.7374889743980463E-2</v>
      </c>
      <c r="AH428" s="20">
        <f t="shared" si="1301"/>
        <v>5.6949760158948905E-2</v>
      </c>
      <c r="AI428" s="20">
        <f t="shared" si="1301"/>
        <v>7.7315425766337154E-2</v>
      </c>
      <c r="AJ428" s="20">
        <f t="shared" si="1301"/>
        <v>7.8256772469482316E-2</v>
      </c>
      <c r="AK428" s="20">
        <f t="shared" si="1301"/>
        <v>7.7773460968698777E-2</v>
      </c>
      <c r="AL428" s="20">
        <f t="shared" si="1301"/>
        <v>7.757263328221238E-2</v>
      </c>
      <c r="AM428" s="20">
        <f t="shared" si="1301"/>
        <v>7.8466101023837068E-2</v>
      </c>
      <c r="AN428" s="20">
        <f t="shared" si="1301"/>
        <v>7.8006409375312113E-2</v>
      </c>
      <c r="AO428" s="20">
        <f t="shared" ref="AO428:AP428" si="1302">((AO288*AO429)+(AO289*AO430))</f>
        <v>7.7528822762932964E-2</v>
      </c>
      <c r="AP428" s="20">
        <f t="shared" si="1302"/>
        <v>7.8509208967281807E-2</v>
      </c>
      <c r="AQ428" s="20">
        <f t="shared" ref="AQ428:BR428" si="1303">((AQ288*AQ429)+(AQ289*AQ430))</f>
        <v>7.8006154716524875E-2</v>
      </c>
      <c r="AR428" s="20">
        <f t="shared" si="1303"/>
        <v>7.7759006343142478E-2</v>
      </c>
      <c r="AS428" s="20">
        <f t="shared" si="1303"/>
        <v>7.8737106719376115E-2</v>
      </c>
      <c r="AT428" s="20">
        <f t="shared" si="1303"/>
        <v>7.8235314502960465E-2</v>
      </c>
      <c r="AU428" s="20">
        <f t="shared" si="1303"/>
        <v>7.7988717337501262E-2</v>
      </c>
      <c r="AV428" s="20">
        <f t="shared" si="1303"/>
        <v>7.8964370935618935E-2</v>
      </c>
      <c r="AW428" s="20">
        <f t="shared" si="1303"/>
        <v>7.8463922679975859E-2</v>
      </c>
      <c r="AX428" s="20">
        <f t="shared" si="1303"/>
        <v>7.8217917493875341E-2</v>
      </c>
      <c r="AY428" s="20">
        <f t="shared" si="1303"/>
        <v>7.9190965013792941E-2</v>
      </c>
      <c r="AZ428" s="20">
        <f t="shared" si="1303"/>
        <v>7.8691941742401711E-2</v>
      </c>
      <c r="BA428" s="20">
        <f t="shared" si="1303"/>
        <v>7.8446568906809511E-2</v>
      </c>
      <c r="BB428" s="20">
        <f t="shared" si="1303"/>
        <v>7.9416852798903426E-2</v>
      </c>
      <c r="BC428" s="20">
        <f t="shared" si="1303"/>
        <v>7.8919334581863815E-2</v>
      </c>
      <c r="BD428" s="20">
        <f t="shared" si="1303"/>
        <v>7.8674634041952685E-2</v>
      </c>
      <c r="BE428" s="20">
        <f t="shared" si="1303"/>
        <v>7.9641998605134767E-2</v>
      </c>
      <c r="BF428" s="20">
        <f t="shared" si="1303"/>
        <v>7.914606451007701E-2</v>
      </c>
      <c r="BG428" s="20">
        <f t="shared" si="1303"/>
        <v>7.8902075759955115E-2</v>
      </c>
      <c r="BH428" s="20">
        <f t="shared" si="1303"/>
        <v>7.9866367237155261E-2</v>
      </c>
      <c r="BI428" s="20">
        <f t="shared" si="1303"/>
        <v>7.9372095281547622E-2</v>
      </c>
      <c r="BJ428" s="20">
        <f t="shared" si="1303"/>
        <v>7.9128857339805986E-2</v>
      </c>
      <c r="BK428" s="20">
        <f t="shared" si="1303"/>
        <v>8.0089924010745425E-2</v>
      </c>
      <c r="BL428" s="20">
        <f t="shared" si="1303"/>
        <v>7.9597391115656127E-2</v>
      </c>
      <c r="BM428" s="20">
        <f t="shared" si="1303"/>
        <v>7.9354942501581871E-2</v>
      </c>
      <c r="BN428" s="20">
        <f t="shared" si="1303"/>
        <v>8.0312634772726044E-2</v>
      </c>
      <c r="BO428" s="20">
        <f t="shared" si="1303"/>
        <v>7.9821916718093341E-2</v>
      </c>
      <c r="BP428" s="20">
        <f t="shared" si="1303"/>
        <v>7.9580295428577391E-2</v>
      </c>
      <c r="BQ428" s="20">
        <f t="shared" si="1303"/>
        <v>8.0534465920164555E-2</v>
      </c>
      <c r="BR428" s="20">
        <f t="shared" si="1303"/>
        <v>8.0045637301624895E-2</v>
      </c>
    </row>
    <row r="429" spans="1:70" customFormat="1" ht="11.25" customHeight="1" outlineLevel="2">
      <c r="A429" s="6"/>
      <c r="B429" s="6"/>
      <c r="C429" s="108" t="s">
        <v>292</v>
      </c>
      <c r="D429" s="31" t="s">
        <v>66</v>
      </c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W429" s="6"/>
      <c r="X429" s="6"/>
      <c r="AE429" s="44"/>
      <c r="AF429" s="907">
        <f>AF390</f>
        <v>2.4340000000000001E-2</v>
      </c>
      <c r="AG429" s="983">
        <v>0.05</v>
      </c>
      <c r="AH429" s="396">
        <f>AVERAGE(AF429,AG429)</f>
        <v>3.7170000000000002E-2</v>
      </c>
      <c r="AI429" s="22">
        <f>AG429</f>
        <v>0.05</v>
      </c>
      <c r="AJ429" s="22">
        <f>AI429</f>
        <v>0.05</v>
      </c>
      <c r="AK429" s="396">
        <f>AVERAGE(AI429,AJ429)</f>
        <v>0.05</v>
      </c>
      <c r="AL429" s="22">
        <f>AI429</f>
        <v>0.05</v>
      </c>
      <c r="AM429" s="22">
        <f>AJ429</f>
        <v>0.05</v>
      </c>
      <c r="AN429" s="396">
        <f>AVERAGE(AL429,AM429)</f>
        <v>0.05</v>
      </c>
      <c r="AO429" s="22">
        <f>AL429</f>
        <v>0.05</v>
      </c>
      <c r="AP429" s="22">
        <f>AM429</f>
        <v>0.05</v>
      </c>
      <c r="AQ429" s="396">
        <f>AVERAGE(AO429,AP429)</f>
        <v>0.05</v>
      </c>
      <c r="AR429" s="22">
        <f>AO429</f>
        <v>0.05</v>
      </c>
      <c r="AS429" s="22">
        <f>AP429</f>
        <v>0.05</v>
      </c>
      <c r="AT429" s="396">
        <f>AVERAGE(AR429,AS429)</f>
        <v>0.05</v>
      </c>
      <c r="AU429" s="22">
        <f>AR429</f>
        <v>0.05</v>
      </c>
      <c r="AV429" s="22">
        <f>AS429</f>
        <v>0.05</v>
      </c>
      <c r="AW429" s="396">
        <f>AVERAGE(AU429,AV429)</f>
        <v>0.05</v>
      </c>
      <c r="AX429" s="22">
        <f>AU429</f>
        <v>0.05</v>
      </c>
      <c r="AY429" s="22">
        <f>AV429</f>
        <v>0.05</v>
      </c>
      <c r="AZ429" s="396">
        <f>AVERAGE(AX429,AY429)</f>
        <v>0.05</v>
      </c>
      <c r="BA429" s="22">
        <f>AX429</f>
        <v>0.05</v>
      </c>
      <c r="BB429" s="22">
        <f>AY429</f>
        <v>0.05</v>
      </c>
      <c r="BC429" s="396">
        <f>AVERAGE(BA429,BB429)</f>
        <v>0.05</v>
      </c>
      <c r="BD429" s="22">
        <f>BA429</f>
        <v>0.05</v>
      </c>
      <c r="BE429" s="22">
        <f>BB429</f>
        <v>0.05</v>
      </c>
      <c r="BF429" s="396">
        <f>AVERAGE(BD429,BE429)</f>
        <v>0.05</v>
      </c>
      <c r="BG429" s="22">
        <f>BD429</f>
        <v>0.05</v>
      </c>
      <c r="BH429" s="22">
        <f>BE429</f>
        <v>0.05</v>
      </c>
      <c r="BI429" s="396">
        <f>AVERAGE(BG429,BH429)</f>
        <v>0.05</v>
      </c>
      <c r="BJ429" s="22">
        <f>BG429</f>
        <v>0.05</v>
      </c>
      <c r="BK429" s="22">
        <f>BH429</f>
        <v>0.05</v>
      </c>
      <c r="BL429" s="396">
        <f>AVERAGE(BJ429,BK429)</f>
        <v>0.05</v>
      </c>
      <c r="BM429" s="22">
        <f>BJ429</f>
        <v>0.05</v>
      </c>
      <c r="BN429" s="22">
        <f>BK429</f>
        <v>0.05</v>
      </c>
      <c r="BO429" s="396">
        <f>AVERAGE(BM429,BN429)</f>
        <v>0.05</v>
      </c>
      <c r="BP429" s="22">
        <f>BM429</f>
        <v>0.05</v>
      </c>
      <c r="BQ429" s="22">
        <f>BN429</f>
        <v>0.05</v>
      </c>
      <c r="BR429" s="396">
        <f>AVERAGE(BP429,BQ429)</f>
        <v>0.05</v>
      </c>
    </row>
    <row r="430" spans="1:70" customFormat="1" ht="11.25" customHeight="1" outlineLevel="2">
      <c r="A430" s="6"/>
      <c r="B430" s="6"/>
      <c r="C430" s="108" t="s">
        <v>293</v>
      </c>
      <c r="D430" s="31" t="s">
        <v>66</v>
      </c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W430" s="6"/>
      <c r="X430" s="6"/>
      <c r="AE430" s="44"/>
      <c r="AF430" s="907">
        <f>AF391</f>
        <v>4.7500000000000001E-2</v>
      </c>
      <c r="AG430" s="983">
        <v>0.1</v>
      </c>
      <c r="AH430" s="396">
        <f>AVERAGE(AF430,AG430)</f>
        <v>7.375000000000001E-2</v>
      </c>
      <c r="AI430" s="22">
        <f>AG430</f>
        <v>0.1</v>
      </c>
      <c r="AJ430" s="22">
        <f>AI430</f>
        <v>0.1</v>
      </c>
      <c r="AK430" s="396">
        <f>AVERAGE(AI430,AJ430)</f>
        <v>0.1</v>
      </c>
      <c r="AL430" s="22">
        <f>AI430</f>
        <v>0.1</v>
      </c>
      <c r="AM430" s="22">
        <f>AJ430</f>
        <v>0.1</v>
      </c>
      <c r="AN430" s="396">
        <f>AVERAGE(AL430,AM430)</f>
        <v>0.1</v>
      </c>
      <c r="AO430" s="22">
        <f>AL430</f>
        <v>0.1</v>
      </c>
      <c r="AP430" s="22">
        <f>AM430</f>
        <v>0.1</v>
      </c>
      <c r="AQ430" s="396">
        <f>AVERAGE(AO430,AP430)</f>
        <v>0.1</v>
      </c>
      <c r="AR430" s="22">
        <f>AO430</f>
        <v>0.1</v>
      </c>
      <c r="AS430" s="22">
        <f>AP430</f>
        <v>0.1</v>
      </c>
      <c r="AT430" s="396">
        <f>AVERAGE(AR430,AS430)</f>
        <v>0.1</v>
      </c>
      <c r="AU430" s="22">
        <f>AR430</f>
        <v>0.1</v>
      </c>
      <c r="AV430" s="22">
        <f>AS430</f>
        <v>0.1</v>
      </c>
      <c r="AW430" s="396">
        <f>AVERAGE(AU430,AV430)</f>
        <v>0.1</v>
      </c>
      <c r="AX430" s="22">
        <f>AU430</f>
        <v>0.1</v>
      </c>
      <c r="AY430" s="22">
        <f>AV430</f>
        <v>0.1</v>
      </c>
      <c r="AZ430" s="396">
        <f>AVERAGE(AX430,AY430)</f>
        <v>0.1</v>
      </c>
      <c r="BA430" s="22">
        <f>AX430</f>
        <v>0.1</v>
      </c>
      <c r="BB430" s="22">
        <f>AY430</f>
        <v>0.1</v>
      </c>
      <c r="BC430" s="396">
        <f>AVERAGE(BA430,BB430)</f>
        <v>0.1</v>
      </c>
      <c r="BD430" s="22">
        <f>BA430</f>
        <v>0.1</v>
      </c>
      <c r="BE430" s="22">
        <f>BB430</f>
        <v>0.1</v>
      </c>
      <c r="BF430" s="396">
        <f>AVERAGE(BD430,BE430)</f>
        <v>0.1</v>
      </c>
      <c r="BG430" s="22">
        <f>BD430</f>
        <v>0.1</v>
      </c>
      <c r="BH430" s="22">
        <f>BE430</f>
        <v>0.1</v>
      </c>
      <c r="BI430" s="396">
        <f>AVERAGE(BG430,BH430)</f>
        <v>0.1</v>
      </c>
      <c r="BJ430" s="22">
        <f>BG430</f>
        <v>0.1</v>
      </c>
      <c r="BK430" s="22">
        <f>BH430</f>
        <v>0.1</v>
      </c>
      <c r="BL430" s="396">
        <f>AVERAGE(BJ430,BK430)</f>
        <v>0.1</v>
      </c>
      <c r="BM430" s="22">
        <f>BJ430</f>
        <v>0.1</v>
      </c>
      <c r="BN430" s="22">
        <f>BK430</f>
        <v>0.1</v>
      </c>
      <c r="BO430" s="396">
        <f>AVERAGE(BM430,BN430)</f>
        <v>0.1</v>
      </c>
      <c r="BP430" s="22">
        <f>BM430</f>
        <v>0.1</v>
      </c>
      <c r="BQ430" s="22">
        <f>BN430</f>
        <v>0.1</v>
      </c>
      <c r="BR430" s="396">
        <f>AVERAGE(BP430,BQ430)</f>
        <v>0.1</v>
      </c>
    </row>
    <row r="431" spans="1:70" customFormat="1" ht="11.25" customHeight="1" outlineLevel="2">
      <c r="A431" s="6"/>
      <c r="B431" s="6"/>
      <c r="C431" s="113" t="s">
        <v>295</v>
      </c>
      <c r="D431" s="7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W431" s="6"/>
      <c r="X431" s="6"/>
      <c r="AE431" s="44"/>
      <c r="AF431" s="130"/>
      <c r="AG431" s="931"/>
      <c r="AH431" s="6"/>
    </row>
    <row r="432" spans="1:70" customFormat="1" ht="11.25" customHeight="1" outlineLevel="2">
      <c r="A432" s="6"/>
      <c r="B432" s="6"/>
      <c r="C432" s="9" t="s">
        <v>80</v>
      </c>
      <c r="D432" s="31" t="s">
        <v>66</v>
      </c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W432" s="6"/>
      <c r="X432" s="6"/>
      <c r="AE432" s="44"/>
      <c r="AF432" s="343">
        <f t="shared" ref="AF432:AN432" si="1304">((AF278*AF433)+(AF279*AF434))</f>
        <v>0</v>
      </c>
      <c r="AG432" s="960">
        <f t="shared" si="1304"/>
        <v>0</v>
      </c>
      <c r="AH432" s="17">
        <f t="shared" si="1304"/>
        <v>0</v>
      </c>
      <c r="AI432" s="17">
        <f t="shared" si="1304"/>
        <v>0</v>
      </c>
      <c r="AJ432" s="17">
        <f t="shared" si="1304"/>
        <v>0</v>
      </c>
      <c r="AK432" s="17">
        <f t="shared" si="1304"/>
        <v>0</v>
      </c>
      <c r="AL432" s="17">
        <f t="shared" si="1304"/>
        <v>0</v>
      </c>
      <c r="AM432" s="17">
        <f t="shared" si="1304"/>
        <v>0</v>
      </c>
      <c r="AN432" s="17">
        <f t="shared" si="1304"/>
        <v>0</v>
      </c>
      <c r="AO432" s="17">
        <f t="shared" ref="AO432:BR432" si="1305">((AO278*AO433)+(AO279*AO434))</f>
        <v>0</v>
      </c>
      <c r="AP432" s="17">
        <f t="shared" si="1305"/>
        <v>0</v>
      </c>
      <c r="AQ432" s="17">
        <f t="shared" si="1305"/>
        <v>0</v>
      </c>
      <c r="AR432" s="17">
        <f t="shared" si="1305"/>
        <v>0</v>
      </c>
      <c r="AS432" s="17">
        <f t="shared" si="1305"/>
        <v>0</v>
      </c>
      <c r="AT432" s="17">
        <f t="shared" si="1305"/>
        <v>0</v>
      </c>
      <c r="AU432" s="17">
        <f t="shared" si="1305"/>
        <v>0</v>
      </c>
      <c r="AV432" s="17">
        <f t="shared" si="1305"/>
        <v>0</v>
      </c>
      <c r="AW432" s="17">
        <f t="shared" si="1305"/>
        <v>0</v>
      </c>
      <c r="AX432" s="17">
        <f t="shared" si="1305"/>
        <v>0</v>
      </c>
      <c r="AY432" s="17">
        <f t="shared" si="1305"/>
        <v>0</v>
      </c>
      <c r="AZ432" s="17">
        <f t="shared" si="1305"/>
        <v>0</v>
      </c>
      <c r="BA432" s="17">
        <f t="shared" si="1305"/>
        <v>0</v>
      </c>
      <c r="BB432" s="17">
        <f t="shared" si="1305"/>
        <v>0</v>
      </c>
      <c r="BC432" s="17">
        <f t="shared" si="1305"/>
        <v>0</v>
      </c>
      <c r="BD432" s="17">
        <f t="shared" si="1305"/>
        <v>0</v>
      </c>
      <c r="BE432" s="17">
        <f t="shared" si="1305"/>
        <v>0</v>
      </c>
      <c r="BF432" s="17">
        <f t="shared" si="1305"/>
        <v>0</v>
      </c>
      <c r="BG432" s="17">
        <f t="shared" si="1305"/>
        <v>0</v>
      </c>
      <c r="BH432" s="17">
        <f t="shared" si="1305"/>
        <v>0</v>
      </c>
      <c r="BI432" s="17">
        <f t="shared" si="1305"/>
        <v>0</v>
      </c>
      <c r="BJ432" s="17">
        <f t="shared" si="1305"/>
        <v>0</v>
      </c>
      <c r="BK432" s="17">
        <f t="shared" si="1305"/>
        <v>0</v>
      </c>
      <c r="BL432" s="17">
        <f t="shared" si="1305"/>
        <v>0</v>
      </c>
      <c r="BM432" s="17">
        <f t="shared" si="1305"/>
        <v>0</v>
      </c>
      <c r="BN432" s="17">
        <f t="shared" si="1305"/>
        <v>0</v>
      </c>
      <c r="BO432" s="17">
        <f t="shared" si="1305"/>
        <v>0</v>
      </c>
      <c r="BP432" s="17">
        <f t="shared" si="1305"/>
        <v>0</v>
      </c>
      <c r="BQ432" s="17">
        <f t="shared" si="1305"/>
        <v>0</v>
      </c>
      <c r="BR432" s="17">
        <f t="shared" si="1305"/>
        <v>0</v>
      </c>
    </row>
    <row r="433" spans="1:70" customFormat="1" ht="11.25" customHeight="1" outlineLevel="2">
      <c r="A433" s="6"/>
      <c r="B433" s="6"/>
      <c r="C433" s="108" t="s">
        <v>288</v>
      </c>
      <c r="D433" s="31" t="s">
        <v>66</v>
      </c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W433" s="6"/>
      <c r="X433" s="6"/>
      <c r="AE433" s="44"/>
      <c r="AF433" s="403">
        <v>0</v>
      </c>
      <c r="AG433" s="958">
        <v>0</v>
      </c>
      <c r="AH433" s="115">
        <f>AVERAGE(AF433,AG433)</f>
        <v>0</v>
      </c>
      <c r="AI433" s="111">
        <v>0</v>
      </c>
      <c r="AJ433" s="111">
        <v>0</v>
      </c>
      <c r="AK433" s="115">
        <f>AVERAGE(AI433,AJ433)</f>
        <v>0</v>
      </c>
      <c r="AL433" s="111">
        <v>0</v>
      </c>
      <c r="AM433" s="111">
        <v>0</v>
      </c>
      <c r="AN433" s="115">
        <f>AVERAGE(AL433,AM433)</f>
        <v>0</v>
      </c>
      <c r="AO433" s="111">
        <v>0</v>
      </c>
      <c r="AP433" s="111">
        <v>0</v>
      </c>
      <c r="AQ433" s="115">
        <f>AVERAGE(AO433,AP433)</f>
        <v>0</v>
      </c>
      <c r="AR433" s="111">
        <v>0</v>
      </c>
      <c r="AS433" s="111">
        <v>0</v>
      </c>
      <c r="AT433" s="115">
        <f>AVERAGE(AR433,AS433)</f>
        <v>0</v>
      </c>
      <c r="AU433" s="111">
        <v>0</v>
      </c>
      <c r="AV433" s="111">
        <v>0</v>
      </c>
      <c r="AW433" s="115">
        <f>AVERAGE(AU433,AV433)</f>
        <v>0</v>
      </c>
      <c r="AX433" s="111">
        <v>0</v>
      </c>
      <c r="AY433" s="111">
        <v>0</v>
      </c>
      <c r="AZ433" s="115">
        <f>AVERAGE(AX433,AY433)</f>
        <v>0</v>
      </c>
      <c r="BA433" s="111">
        <v>0</v>
      </c>
      <c r="BB433" s="111">
        <v>0</v>
      </c>
      <c r="BC433" s="115">
        <f>AVERAGE(BA433,BB433)</f>
        <v>0</v>
      </c>
      <c r="BD433" s="111">
        <v>0</v>
      </c>
      <c r="BE433" s="111">
        <v>0</v>
      </c>
      <c r="BF433" s="115">
        <f>AVERAGE(BD433,BE433)</f>
        <v>0</v>
      </c>
      <c r="BG433" s="111">
        <v>0</v>
      </c>
      <c r="BH433" s="111">
        <v>0</v>
      </c>
      <c r="BI433" s="115">
        <f>AVERAGE(BG433,BH433)</f>
        <v>0</v>
      </c>
      <c r="BJ433" s="111">
        <v>0</v>
      </c>
      <c r="BK433" s="111">
        <v>0</v>
      </c>
      <c r="BL433" s="115">
        <f>AVERAGE(BJ433,BK433)</f>
        <v>0</v>
      </c>
      <c r="BM433" s="111">
        <v>0</v>
      </c>
      <c r="BN433" s="111">
        <v>0</v>
      </c>
      <c r="BO433" s="115">
        <f>AVERAGE(BM433,BN433)</f>
        <v>0</v>
      </c>
      <c r="BP433" s="111">
        <v>0</v>
      </c>
      <c r="BQ433" s="111">
        <v>0</v>
      </c>
      <c r="BR433" s="115">
        <f>AVERAGE(BP433,BQ433)</f>
        <v>0</v>
      </c>
    </row>
    <row r="434" spans="1:70" customFormat="1" ht="11.25" customHeight="1" outlineLevel="2">
      <c r="A434" s="6"/>
      <c r="B434" s="6"/>
      <c r="C434" s="108" t="s">
        <v>538</v>
      </c>
      <c r="D434" s="31" t="s">
        <v>66</v>
      </c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W434" s="6"/>
      <c r="X434" s="6"/>
      <c r="AE434" s="44"/>
      <c r="AF434" s="403">
        <v>0</v>
      </c>
      <c r="AG434" s="958">
        <v>0</v>
      </c>
      <c r="AH434" s="115">
        <f>AVERAGE(AF434,AG434)</f>
        <v>0</v>
      </c>
      <c r="AI434" s="111">
        <v>0</v>
      </c>
      <c r="AJ434" s="111">
        <v>0</v>
      </c>
      <c r="AK434" s="115">
        <f>AVERAGE(AI434,AJ434)</f>
        <v>0</v>
      </c>
      <c r="AL434" s="111">
        <v>0</v>
      </c>
      <c r="AM434" s="111">
        <v>0</v>
      </c>
      <c r="AN434" s="115">
        <f>AVERAGE(AL434,AM434)</f>
        <v>0</v>
      </c>
      <c r="AO434" s="111">
        <v>0</v>
      </c>
      <c r="AP434" s="111">
        <v>0</v>
      </c>
      <c r="AQ434" s="115">
        <f>AVERAGE(AO434,AP434)</f>
        <v>0</v>
      </c>
      <c r="AR434" s="111">
        <v>0</v>
      </c>
      <c r="AS434" s="111">
        <v>0</v>
      </c>
      <c r="AT434" s="115">
        <f>AVERAGE(AR434,AS434)</f>
        <v>0</v>
      </c>
      <c r="AU434" s="111">
        <v>0</v>
      </c>
      <c r="AV434" s="111">
        <v>0</v>
      </c>
      <c r="AW434" s="115">
        <f>AVERAGE(AU434,AV434)</f>
        <v>0</v>
      </c>
      <c r="AX434" s="111">
        <v>0</v>
      </c>
      <c r="AY434" s="111">
        <v>0</v>
      </c>
      <c r="AZ434" s="115">
        <f>AVERAGE(AX434,AY434)</f>
        <v>0</v>
      </c>
      <c r="BA434" s="111">
        <v>0</v>
      </c>
      <c r="BB434" s="111">
        <v>0</v>
      </c>
      <c r="BC434" s="115">
        <f>AVERAGE(BA434,BB434)</f>
        <v>0</v>
      </c>
      <c r="BD434" s="111">
        <v>0</v>
      </c>
      <c r="BE434" s="111">
        <v>0</v>
      </c>
      <c r="BF434" s="115">
        <f>AVERAGE(BD434,BE434)</f>
        <v>0</v>
      </c>
      <c r="BG434" s="111">
        <v>0</v>
      </c>
      <c r="BH434" s="111">
        <v>0</v>
      </c>
      <c r="BI434" s="115">
        <f>AVERAGE(BG434,BH434)</f>
        <v>0</v>
      </c>
      <c r="BJ434" s="111">
        <v>0</v>
      </c>
      <c r="BK434" s="111">
        <v>0</v>
      </c>
      <c r="BL434" s="115">
        <f>AVERAGE(BJ434,BK434)</f>
        <v>0</v>
      </c>
      <c r="BM434" s="111">
        <v>0</v>
      </c>
      <c r="BN434" s="111">
        <v>0</v>
      </c>
      <c r="BO434" s="115">
        <f>AVERAGE(BM434,BN434)</f>
        <v>0</v>
      </c>
      <c r="BP434" s="111">
        <v>0</v>
      </c>
      <c r="BQ434" s="111">
        <v>0</v>
      </c>
      <c r="BR434" s="115">
        <f>AVERAGE(BP434,BQ434)</f>
        <v>0</v>
      </c>
    </row>
    <row r="435" spans="1:70" customFormat="1" ht="11.25" customHeight="1" outlineLevel="2">
      <c r="A435" s="6"/>
      <c r="B435" s="6"/>
      <c r="C435" s="9" t="s">
        <v>81</v>
      </c>
      <c r="D435" s="31" t="s">
        <v>66</v>
      </c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W435" s="6"/>
      <c r="X435" s="6"/>
      <c r="AE435" s="44"/>
      <c r="AF435" s="343">
        <f t="shared" ref="AF435:AN435" si="1306">((AF281*AF436)+(AF282*AF437))</f>
        <v>0</v>
      </c>
      <c r="AG435" s="960">
        <f t="shared" si="1306"/>
        <v>0</v>
      </c>
      <c r="AH435" s="17">
        <f t="shared" si="1306"/>
        <v>0</v>
      </c>
      <c r="AI435" s="17">
        <f t="shared" si="1306"/>
        <v>0</v>
      </c>
      <c r="AJ435" s="17">
        <f t="shared" si="1306"/>
        <v>0</v>
      </c>
      <c r="AK435" s="17">
        <f t="shared" si="1306"/>
        <v>0</v>
      </c>
      <c r="AL435" s="17">
        <f t="shared" si="1306"/>
        <v>0</v>
      </c>
      <c r="AM435" s="17">
        <f t="shared" si="1306"/>
        <v>0</v>
      </c>
      <c r="AN435" s="17">
        <f t="shared" si="1306"/>
        <v>0</v>
      </c>
      <c r="AO435" s="17">
        <f t="shared" ref="AO435:BR435" si="1307">((AO281*AO436)+(AO282*AO437))</f>
        <v>0</v>
      </c>
      <c r="AP435" s="17">
        <f t="shared" si="1307"/>
        <v>0</v>
      </c>
      <c r="AQ435" s="17">
        <f t="shared" si="1307"/>
        <v>0</v>
      </c>
      <c r="AR435" s="17">
        <f t="shared" si="1307"/>
        <v>0</v>
      </c>
      <c r="AS435" s="17">
        <f t="shared" si="1307"/>
        <v>0</v>
      </c>
      <c r="AT435" s="17">
        <f t="shared" si="1307"/>
        <v>0</v>
      </c>
      <c r="AU435" s="17">
        <f t="shared" si="1307"/>
        <v>0</v>
      </c>
      <c r="AV435" s="17">
        <f t="shared" si="1307"/>
        <v>0</v>
      </c>
      <c r="AW435" s="17">
        <f t="shared" si="1307"/>
        <v>0</v>
      </c>
      <c r="AX435" s="17">
        <f t="shared" si="1307"/>
        <v>0</v>
      </c>
      <c r="AY435" s="17">
        <f t="shared" si="1307"/>
        <v>0</v>
      </c>
      <c r="AZ435" s="17">
        <f t="shared" si="1307"/>
        <v>0</v>
      </c>
      <c r="BA435" s="17">
        <f t="shared" si="1307"/>
        <v>0</v>
      </c>
      <c r="BB435" s="17">
        <f t="shared" si="1307"/>
        <v>0</v>
      </c>
      <c r="BC435" s="17">
        <f t="shared" si="1307"/>
        <v>0</v>
      </c>
      <c r="BD435" s="17">
        <f t="shared" si="1307"/>
        <v>0</v>
      </c>
      <c r="BE435" s="17">
        <f t="shared" si="1307"/>
        <v>0</v>
      </c>
      <c r="BF435" s="17">
        <f t="shared" si="1307"/>
        <v>0</v>
      </c>
      <c r="BG435" s="17">
        <f t="shared" si="1307"/>
        <v>0</v>
      </c>
      <c r="BH435" s="17">
        <f t="shared" si="1307"/>
        <v>0</v>
      </c>
      <c r="BI435" s="17">
        <f t="shared" si="1307"/>
        <v>0</v>
      </c>
      <c r="BJ435" s="17">
        <f t="shared" si="1307"/>
        <v>0</v>
      </c>
      <c r="BK435" s="17">
        <f t="shared" si="1307"/>
        <v>0</v>
      </c>
      <c r="BL435" s="17">
        <f t="shared" si="1307"/>
        <v>0</v>
      </c>
      <c r="BM435" s="17">
        <f t="shared" si="1307"/>
        <v>0</v>
      </c>
      <c r="BN435" s="17">
        <f t="shared" si="1307"/>
        <v>0</v>
      </c>
      <c r="BO435" s="17">
        <f t="shared" si="1307"/>
        <v>0</v>
      </c>
      <c r="BP435" s="17">
        <f t="shared" si="1307"/>
        <v>0</v>
      </c>
      <c r="BQ435" s="17">
        <f t="shared" si="1307"/>
        <v>0</v>
      </c>
      <c r="BR435" s="17">
        <f t="shared" si="1307"/>
        <v>0</v>
      </c>
    </row>
    <row r="436" spans="1:70" customFormat="1" ht="11.25" customHeight="1" outlineLevel="2">
      <c r="A436" s="6"/>
      <c r="B436" s="6"/>
      <c r="C436" s="108" t="s">
        <v>59</v>
      </c>
      <c r="D436" s="31" t="s">
        <v>66</v>
      </c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W436" s="6"/>
      <c r="X436" s="6"/>
      <c r="AE436" s="44"/>
      <c r="AF436" s="403">
        <v>0</v>
      </c>
      <c r="AG436" s="958">
        <v>0</v>
      </c>
      <c r="AH436" s="115">
        <f>AVERAGE(AF436,AG436)</f>
        <v>0</v>
      </c>
      <c r="AI436" s="111">
        <v>0</v>
      </c>
      <c r="AJ436" s="111">
        <v>0</v>
      </c>
      <c r="AK436" s="115">
        <f>AVERAGE(AI436,AJ436)</f>
        <v>0</v>
      </c>
      <c r="AL436" s="111">
        <v>0</v>
      </c>
      <c r="AM436" s="111">
        <v>0</v>
      </c>
      <c r="AN436" s="115">
        <f>AVERAGE(AL436,AM436)</f>
        <v>0</v>
      </c>
      <c r="AO436" s="111">
        <v>0</v>
      </c>
      <c r="AP436" s="111">
        <v>0</v>
      </c>
      <c r="AQ436" s="115">
        <f>AVERAGE(AO436,AP436)</f>
        <v>0</v>
      </c>
      <c r="AR436" s="111">
        <v>0</v>
      </c>
      <c r="AS436" s="111">
        <v>0</v>
      </c>
      <c r="AT436" s="115">
        <f>AVERAGE(AR436,AS436)</f>
        <v>0</v>
      </c>
      <c r="AU436" s="111">
        <v>0</v>
      </c>
      <c r="AV436" s="111">
        <v>0</v>
      </c>
      <c r="AW436" s="115">
        <f>AVERAGE(AU436,AV436)</f>
        <v>0</v>
      </c>
      <c r="AX436" s="111">
        <v>0</v>
      </c>
      <c r="AY436" s="111">
        <v>0</v>
      </c>
      <c r="AZ436" s="115">
        <f>AVERAGE(AX436,AY436)</f>
        <v>0</v>
      </c>
      <c r="BA436" s="111">
        <v>0</v>
      </c>
      <c r="BB436" s="111">
        <v>0</v>
      </c>
      <c r="BC436" s="115">
        <f>AVERAGE(BA436,BB436)</f>
        <v>0</v>
      </c>
      <c r="BD436" s="111">
        <v>0</v>
      </c>
      <c r="BE436" s="111">
        <v>0</v>
      </c>
      <c r="BF436" s="115">
        <f>AVERAGE(BD436,BE436)</f>
        <v>0</v>
      </c>
      <c r="BG436" s="111">
        <v>0</v>
      </c>
      <c r="BH436" s="111">
        <v>0</v>
      </c>
      <c r="BI436" s="115">
        <f>AVERAGE(BG436,BH436)</f>
        <v>0</v>
      </c>
      <c r="BJ436" s="111">
        <v>0</v>
      </c>
      <c r="BK436" s="111">
        <v>0</v>
      </c>
      <c r="BL436" s="115">
        <f>AVERAGE(BJ436,BK436)</f>
        <v>0</v>
      </c>
      <c r="BM436" s="111">
        <v>0</v>
      </c>
      <c r="BN436" s="111">
        <v>0</v>
      </c>
      <c r="BO436" s="115">
        <f>AVERAGE(BM436,BN436)</f>
        <v>0</v>
      </c>
      <c r="BP436" s="111">
        <v>0</v>
      </c>
      <c r="BQ436" s="111">
        <v>0</v>
      </c>
      <c r="BR436" s="115">
        <f>AVERAGE(BP436,BQ436)</f>
        <v>0</v>
      </c>
    </row>
    <row r="437" spans="1:70" customFormat="1" ht="11.25" customHeight="1" outlineLevel="2">
      <c r="A437" s="6"/>
      <c r="B437" s="6"/>
      <c r="C437" s="108" t="s">
        <v>93</v>
      </c>
      <c r="D437" s="31" t="s">
        <v>66</v>
      </c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W437" s="6"/>
      <c r="X437" s="6"/>
      <c r="AE437" s="44"/>
      <c r="AF437" s="403">
        <v>0</v>
      </c>
      <c r="AG437" s="958">
        <v>0</v>
      </c>
      <c r="AH437" s="115">
        <f>AVERAGE(AF437,AG437)</f>
        <v>0</v>
      </c>
      <c r="AI437" s="111">
        <v>0</v>
      </c>
      <c r="AJ437" s="111">
        <v>0</v>
      </c>
      <c r="AK437" s="115">
        <f>AVERAGE(AI437,AJ437)</f>
        <v>0</v>
      </c>
      <c r="AL437" s="111">
        <v>0</v>
      </c>
      <c r="AM437" s="111">
        <v>0</v>
      </c>
      <c r="AN437" s="115">
        <f>AVERAGE(AL437,AM437)</f>
        <v>0</v>
      </c>
      <c r="AO437" s="111">
        <v>0</v>
      </c>
      <c r="AP437" s="111">
        <v>0</v>
      </c>
      <c r="AQ437" s="115">
        <f>AVERAGE(AO437,AP437)</f>
        <v>0</v>
      </c>
      <c r="AR437" s="111">
        <v>0</v>
      </c>
      <c r="AS437" s="111">
        <v>0</v>
      </c>
      <c r="AT437" s="115">
        <f>AVERAGE(AR437,AS437)</f>
        <v>0</v>
      </c>
      <c r="AU437" s="111">
        <v>0</v>
      </c>
      <c r="AV437" s="111">
        <v>0</v>
      </c>
      <c r="AW437" s="115">
        <f>AVERAGE(AU437,AV437)</f>
        <v>0</v>
      </c>
      <c r="AX437" s="111">
        <v>0</v>
      </c>
      <c r="AY437" s="111">
        <v>0</v>
      </c>
      <c r="AZ437" s="115">
        <f>AVERAGE(AX437,AY437)</f>
        <v>0</v>
      </c>
      <c r="BA437" s="111">
        <v>0</v>
      </c>
      <c r="BB437" s="111">
        <v>0</v>
      </c>
      <c r="BC437" s="115">
        <f>AVERAGE(BA437,BB437)</f>
        <v>0</v>
      </c>
      <c r="BD437" s="111">
        <v>0</v>
      </c>
      <c r="BE437" s="111">
        <v>0</v>
      </c>
      <c r="BF437" s="115">
        <f>AVERAGE(BD437,BE437)</f>
        <v>0</v>
      </c>
      <c r="BG437" s="111">
        <v>0</v>
      </c>
      <c r="BH437" s="111">
        <v>0</v>
      </c>
      <c r="BI437" s="115">
        <f>AVERAGE(BG437,BH437)</f>
        <v>0</v>
      </c>
      <c r="BJ437" s="111">
        <v>0</v>
      </c>
      <c r="BK437" s="111">
        <v>0</v>
      </c>
      <c r="BL437" s="115">
        <f>AVERAGE(BJ437,BK437)</f>
        <v>0</v>
      </c>
      <c r="BM437" s="111">
        <v>0</v>
      </c>
      <c r="BN437" s="111">
        <v>0</v>
      </c>
      <c r="BO437" s="115">
        <f>AVERAGE(BM437,BN437)</f>
        <v>0</v>
      </c>
      <c r="BP437" s="111">
        <v>0</v>
      </c>
      <c r="BQ437" s="111">
        <v>0</v>
      </c>
      <c r="BR437" s="115">
        <f>AVERAGE(BP437,BQ437)</f>
        <v>0</v>
      </c>
    </row>
    <row r="438" spans="1:70" customFormat="1" ht="11.25" customHeight="1" outlineLevel="2">
      <c r="A438" s="6"/>
      <c r="B438" s="6"/>
      <c r="C438" s="9" t="s">
        <v>83</v>
      </c>
      <c r="D438" s="31" t="s">
        <v>66</v>
      </c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W438" s="6"/>
      <c r="X438" s="6"/>
      <c r="AE438" s="44"/>
      <c r="AF438" s="343">
        <f t="shared" ref="AF438:AM438" si="1308">((AF284*AF439)+(AF285*AF440)+(AF286*AF441))</f>
        <v>0</v>
      </c>
      <c r="AG438" s="960">
        <f t="shared" si="1308"/>
        <v>0</v>
      </c>
      <c r="AH438" s="17">
        <f>((AH284*AH439)+(AH285*AH440)+(AH286*AH441))</f>
        <v>0</v>
      </c>
      <c r="AI438" s="17">
        <f t="shared" si="1308"/>
        <v>0</v>
      </c>
      <c r="AJ438" s="17">
        <f t="shared" si="1308"/>
        <v>0</v>
      </c>
      <c r="AK438" s="17">
        <f>((AK284*AK439)+(AK285*AK440)+(AK286*AK441))</f>
        <v>0</v>
      </c>
      <c r="AL438" s="17">
        <f t="shared" si="1308"/>
        <v>0</v>
      </c>
      <c r="AM438" s="17">
        <f t="shared" si="1308"/>
        <v>0</v>
      </c>
      <c r="AN438" s="17">
        <f>((AN284*AN439)+(AN285*AN440)+(AN286*AN441))</f>
        <v>0</v>
      </c>
      <c r="AO438" s="17">
        <f t="shared" ref="AO438:AP438" si="1309">((AO284*AO439)+(AO285*AO440)+(AO286*AO441))</f>
        <v>0</v>
      </c>
      <c r="AP438" s="17">
        <f t="shared" si="1309"/>
        <v>0</v>
      </c>
      <c r="AQ438" s="17">
        <f>((AQ284*AQ439)+(AQ285*AQ440)+(AQ286*AQ441))</f>
        <v>0</v>
      </c>
      <c r="AR438" s="17">
        <f t="shared" ref="AR438:AS438" si="1310">((AR284*AR439)+(AR285*AR440)+(AR286*AR441))</f>
        <v>0</v>
      </c>
      <c r="AS438" s="17">
        <f t="shared" si="1310"/>
        <v>0</v>
      </c>
      <c r="AT438" s="17">
        <f>((AT284*AT439)+(AT285*AT440)+(AT286*AT441))</f>
        <v>0</v>
      </c>
      <c r="AU438" s="17">
        <f t="shared" ref="AU438:AV438" si="1311">((AU284*AU439)+(AU285*AU440)+(AU286*AU441))</f>
        <v>0</v>
      </c>
      <c r="AV438" s="17">
        <f t="shared" si="1311"/>
        <v>0</v>
      </c>
      <c r="AW438" s="17">
        <f>((AW284*AW439)+(AW285*AW440)+(AW286*AW441))</f>
        <v>0</v>
      </c>
      <c r="AX438" s="17">
        <f t="shared" ref="AX438:AY438" si="1312">((AX284*AX439)+(AX285*AX440)+(AX286*AX441))</f>
        <v>0</v>
      </c>
      <c r="AY438" s="17">
        <f t="shared" si="1312"/>
        <v>0</v>
      </c>
      <c r="AZ438" s="17">
        <f>((AZ284*AZ439)+(AZ285*AZ440)+(AZ286*AZ441))</f>
        <v>0</v>
      </c>
      <c r="BA438" s="17">
        <f t="shared" ref="BA438:BB438" si="1313">((BA284*BA439)+(BA285*BA440)+(BA286*BA441))</f>
        <v>0</v>
      </c>
      <c r="BB438" s="17">
        <f t="shared" si="1313"/>
        <v>0</v>
      </c>
      <c r="BC438" s="17">
        <f>((BC284*BC439)+(BC285*BC440)+(BC286*BC441))</f>
        <v>0</v>
      </c>
      <c r="BD438" s="17">
        <f t="shared" ref="BD438:BE438" si="1314">((BD284*BD439)+(BD285*BD440)+(BD286*BD441))</f>
        <v>0</v>
      </c>
      <c r="BE438" s="17">
        <f t="shared" si="1314"/>
        <v>0</v>
      </c>
      <c r="BF438" s="17">
        <f>((BF284*BF439)+(BF285*BF440)+(BF286*BF441))</f>
        <v>0</v>
      </c>
      <c r="BG438" s="17">
        <f t="shared" ref="BG438:BH438" si="1315">((BG284*BG439)+(BG285*BG440)+(BG286*BG441))</f>
        <v>0</v>
      </c>
      <c r="BH438" s="17">
        <f t="shared" si="1315"/>
        <v>0</v>
      </c>
      <c r="BI438" s="17">
        <f>((BI284*BI439)+(BI285*BI440)+(BI286*BI441))</f>
        <v>0</v>
      </c>
      <c r="BJ438" s="17">
        <f t="shared" ref="BJ438:BK438" si="1316">((BJ284*BJ439)+(BJ285*BJ440)+(BJ286*BJ441))</f>
        <v>0</v>
      </c>
      <c r="BK438" s="17">
        <f t="shared" si="1316"/>
        <v>0</v>
      </c>
      <c r="BL438" s="17">
        <f>((BL284*BL439)+(BL285*BL440)+(BL286*BL441))</f>
        <v>0</v>
      </c>
      <c r="BM438" s="17">
        <f t="shared" ref="BM438:BN438" si="1317">((BM284*BM439)+(BM285*BM440)+(BM286*BM441))</f>
        <v>0</v>
      </c>
      <c r="BN438" s="17">
        <f t="shared" si="1317"/>
        <v>0</v>
      </c>
      <c r="BO438" s="17">
        <f>((BO284*BO439)+(BO285*BO440)+(BO286*BO441))</f>
        <v>0</v>
      </c>
      <c r="BP438" s="17">
        <f t="shared" ref="BP438:BQ438" si="1318">((BP284*BP439)+(BP285*BP440)+(BP286*BP441))</f>
        <v>0</v>
      </c>
      <c r="BQ438" s="17">
        <f t="shared" si="1318"/>
        <v>0</v>
      </c>
      <c r="BR438" s="17">
        <f>((BR284*BR439)+(BR285*BR440)+(BR286*BR441))</f>
        <v>0</v>
      </c>
    </row>
    <row r="439" spans="1:70" customFormat="1" ht="11.25" customHeight="1" outlineLevel="2">
      <c r="A439" s="6"/>
      <c r="B439" s="6"/>
      <c r="C439" s="108" t="s">
        <v>289</v>
      </c>
      <c r="D439" s="31" t="s">
        <v>66</v>
      </c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W439" s="6"/>
      <c r="X439" s="6"/>
      <c r="AE439" s="44"/>
      <c r="AF439" s="403">
        <v>0</v>
      </c>
      <c r="AG439" s="958">
        <v>0</v>
      </c>
      <c r="AH439" s="115">
        <f>AVERAGE(AF439,AG439)</f>
        <v>0</v>
      </c>
      <c r="AI439" s="111">
        <v>0</v>
      </c>
      <c r="AJ439" s="111">
        <v>0</v>
      </c>
      <c r="AK439" s="115">
        <f>AVERAGE(AI439,AJ439)</f>
        <v>0</v>
      </c>
      <c r="AL439" s="111">
        <v>0</v>
      </c>
      <c r="AM439" s="111">
        <v>0</v>
      </c>
      <c r="AN439" s="115">
        <f>AVERAGE(AL439,AM439)</f>
        <v>0</v>
      </c>
      <c r="AO439" s="111">
        <v>0</v>
      </c>
      <c r="AP439" s="111">
        <v>0</v>
      </c>
      <c r="AQ439" s="115">
        <f>AVERAGE(AO439,AP439)</f>
        <v>0</v>
      </c>
      <c r="AR439" s="111">
        <v>0</v>
      </c>
      <c r="AS439" s="111">
        <v>0</v>
      </c>
      <c r="AT439" s="115">
        <f>AVERAGE(AR439,AS439)</f>
        <v>0</v>
      </c>
      <c r="AU439" s="111">
        <v>0</v>
      </c>
      <c r="AV439" s="111">
        <v>0</v>
      </c>
      <c r="AW439" s="115">
        <f>AVERAGE(AU439,AV439)</f>
        <v>0</v>
      </c>
      <c r="AX439" s="111">
        <v>0</v>
      </c>
      <c r="AY439" s="111">
        <v>0</v>
      </c>
      <c r="AZ439" s="115">
        <f>AVERAGE(AX439,AY439)</f>
        <v>0</v>
      </c>
      <c r="BA439" s="111">
        <v>0</v>
      </c>
      <c r="BB439" s="111">
        <v>0</v>
      </c>
      <c r="BC439" s="115">
        <f>AVERAGE(BA439,BB439)</f>
        <v>0</v>
      </c>
      <c r="BD439" s="111">
        <v>0</v>
      </c>
      <c r="BE439" s="111">
        <v>0</v>
      </c>
      <c r="BF439" s="115">
        <f>AVERAGE(BD439,BE439)</f>
        <v>0</v>
      </c>
      <c r="BG439" s="111">
        <v>0</v>
      </c>
      <c r="BH439" s="111">
        <v>0</v>
      </c>
      <c r="BI439" s="115">
        <f>AVERAGE(BG439,BH439)</f>
        <v>0</v>
      </c>
      <c r="BJ439" s="111">
        <v>0</v>
      </c>
      <c r="BK439" s="111">
        <v>0</v>
      </c>
      <c r="BL439" s="115">
        <f>AVERAGE(BJ439,BK439)</f>
        <v>0</v>
      </c>
      <c r="BM439" s="111">
        <v>0</v>
      </c>
      <c r="BN439" s="111">
        <v>0</v>
      </c>
      <c r="BO439" s="115">
        <f>AVERAGE(BM439,BN439)</f>
        <v>0</v>
      </c>
      <c r="BP439" s="111">
        <v>0</v>
      </c>
      <c r="BQ439" s="111">
        <v>0</v>
      </c>
      <c r="BR439" s="115">
        <f>AVERAGE(BP439,BQ439)</f>
        <v>0</v>
      </c>
    </row>
    <row r="440" spans="1:70" customFormat="1" ht="11.25" customHeight="1" outlineLevel="2">
      <c r="A440" s="6"/>
      <c r="B440" s="6"/>
      <c r="C440" s="108" t="s">
        <v>537</v>
      </c>
      <c r="D440" s="31" t="s">
        <v>66</v>
      </c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W440" s="6"/>
      <c r="X440" s="6"/>
      <c r="AE440" s="44"/>
      <c r="AF440" s="403">
        <v>0</v>
      </c>
      <c r="AG440" s="958">
        <v>0</v>
      </c>
      <c r="AH440" s="115">
        <f>AVERAGE(AF440,AG440)</f>
        <v>0</v>
      </c>
      <c r="AI440" s="111">
        <v>0</v>
      </c>
      <c r="AJ440" s="111">
        <v>0</v>
      </c>
      <c r="AK440" s="115">
        <f>AVERAGE(AI440,AJ440)</f>
        <v>0</v>
      </c>
      <c r="AL440" s="111">
        <v>0</v>
      </c>
      <c r="AM440" s="111">
        <v>0</v>
      </c>
      <c r="AN440" s="115">
        <f>AVERAGE(AL440,AM440)</f>
        <v>0</v>
      </c>
      <c r="AO440" s="111">
        <v>0</v>
      </c>
      <c r="AP440" s="111">
        <v>0</v>
      </c>
      <c r="AQ440" s="115">
        <f>AVERAGE(AO440,AP440)</f>
        <v>0</v>
      </c>
      <c r="AR440" s="111">
        <v>0</v>
      </c>
      <c r="AS440" s="111">
        <v>0</v>
      </c>
      <c r="AT440" s="115">
        <f>AVERAGE(AR440,AS440)</f>
        <v>0</v>
      </c>
      <c r="AU440" s="111">
        <v>0</v>
      </c>
      <c r="AV440" s="111">
        <v>0</v>
      </c>
      <c r="AW440" s="115">
        <f>AVERAGE(AU440,AV440)</f>
        <v>0</v>
      </c>
      <c r="AX440" s="111">
        <v>0</v>
      </c>
      <c r="AY440" s="111">
        <v>0</v>
      </c>
      <c r="AZ440" s="115">
        <f>AVERAGE(AX440,AY440)</f>
        <v>0</v>
      </c>
      <c r="BA440" s="111">
        <v>0</v>
      </c>
      <c r="BB440" s="111">
        <v>0</v>
      </c>
      <c r="BC440" s="115">
        <f>AVERAGE(BA440,BB440)</f>
        <v>0</v>
      </c>
      <c r="BD440" s="111">
        <v>0</v>
      </c>
      <c r="BE440" s="111">
        <v>0</v>
      </c>
      <c r="BF440" s="115">
        <f>AVERAGE(BD440,BE440)</f>
        <v>0</v>
      </c>
      <c r="BG440" s="111">
        <v>0</v>
      </c>
      <c r="BH440" s="111">
        <v>0</v>
      </c>
      <c r="BI440" s="115">
        <f>AVERAGE(BG440,BH440)</f>
        <v>0</v>
      </c>
      <c r="BJ440" s="111">
        <v>0</v>
      </c>
      <c r="BK440" s="111">
        <v>0</v>
      </c>
      <c r="BL440" s="115">
        <f>AVERAGE(BJ440,BK440)</f>
        <v>0</v>
      </c>
      <c r="BM440" s="111">
        <v>0</v>
      </c>
      <c r="BN440" s="111">
        <v>0</v>
      </c>
      <c r="BO440" s="115">
        <f>AVERAGE(BM440,BN440)</f>
        <v>0</v>
      </c>
      <c r="BP440" s="111">
        <v>0</v>
      </c>
      <c r="BQ440" s="111">
        <v>0</v>
      </c>
      <c r="BR440" s="115">
        <f>AVERAGE(BP440,BQ440)</f>
        <v>0</v>
      </c>
    </row>
    <row r="441" spans="1:70" customFormat="1" ht="11.25" customHeight="1" outlineLevel="2">
      <c r="A441" s="6"/>
      <c r="B441" s="6"/>
      <c r="C441" s="108" t="s">
        <v>290</v>
      </c>
      <c r="D441" s="31" t="s">
        <v>66</v>
      </c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W441" s="6"/>
      <c r="X441" s="6"/>
      <c r="AE441" s="44"/>
      <c r="AF441" s="403">
        <v>0</v>
      </c>
      <c r="AG441" s="958">
        <v>0</v>
      </c>
      <c r="AH441" s="115">
        <f>AVERAGE(AF441,AG441)</f>
        <v>0</v>
      </c>
      <c r="AI441" s="111">
        <v>0</v>
      </c>
      <c r="AJ441" s="111">
        <v>0</v>
      </c>
      <c r="AK441" s="115">
        <f>AVERAGE(AI441,AJ441)</f>
        <v>0</v>
      </c>
      <c r="AL441" s="111">
        <v>0</v>
      </c>
      <c r="AM441" s="111">
        <v>0</v>
      </c>
      <c r="AN441" s="115">
        <f>AVERAGE(AL441,AM441)</f>
        <v>0</v>
      </c>
      <c r="AO441" s="111">
        <v>0</v>
      </c>
      <c r="AP441" s="111">
        <v>0</v>
      </c>
      <c r="AQ441" s="115">
        <f>AVERAGE(AO441,AP441)</f>
        <v>0</v>
      </c>
      <c r="AR441" s="111">
        <v>0</v>
      </c>
      <c r="AS441" s="111">
        <v>0</v>
      </c>
      <c r="AT441" s="115">
        <f>AVERAGE(AR441,AS441)</f>
        <v>0</v>
      </c>
      <c r="AU441" s="111">
        <v>0</v>
      </c>
      <c r="AV441" s="111">
        <v>0</v>
      </c>
      <c r="AW441" s="115">
        <f>AVERAGE(AU441,AV441)</f>
        <v>0</v>
      </c>
      <c r="AX441" s="111">
        <v>0</v>
      </c>
      <c r="AY441" s="111">
        <v>0</v>
      </c>
      <c r="AZ441" s="115">
        <f>AVERAGE(AX441,AY441)</f>
        <v>0</v>
      </c>
      <c r="BA441" s="111">
        <v>0</v>
      </c>
      <c r="BB441" s="111">
        <v>0</v>
      </c>
      <c r="BC441" s="115">
        <f>AVERAGE(BA441,BB441)</f>
        <v>0</v>
      </c>
      <c r="BD441" s="111">
        <v>0</v>
      </c>
      <c r="BE441" s="111">
        <v>0</v>
      </c>
      <c r="BF441" s="115">
        <f>AVERAGE(BD441,BE441)</f>
        <v>0</v>
      </c>
      <c r="BG441" s="111">
        <v>0</v>
      </c>
      <c r="BH441" s="111">
        <v>0</v>
      </c>
      <c r="BI441" s="115">
        <f>AVERAGE(BG441,BH441)</f>
        <v>0</v>
      </c>
      <c r="BJ441" s="111">
        <v>0</v>
      </c>
      <c r="BK441" s="111">
        <v>0</v>
      </c>
      <c r="BL441" s="115">
        <f>AVERAGE(BJ441,BK441)</f>
        <v>0</v>
      </c>
      <c r="BM441" s="111">
        <v>0</v>
      </c>
      <c r="BN441" s="111">
        <v>0</v>
      </c>
      <c r="BO441" s="115">
        <f>AVERAGE(BM441,BN441)</f>
        <v>0</v>
      </c>
      <c r="BP441" s="111">
        <v>0</v>
      </c>
      <c r="BQ441" s="111">
        <v>0</v>
      </c>
      <c r="BR441" s="115">
        <f>AVERAGE(BP441,BQ441)</f>
        <v>0</v>
      </c>
    </row>
    <row r="442" spans="1:70" customFormat="1" ht="11.25" customHeight="1" outlineLevel="2">
      <c r="A442" s="6"/>
      <c r="B442" s="6"/>
      <c r="C442" s="9" t="s">
        <v>82</v>
      </c>
      <c r="D442" s="31" t="s">
        <v>66</v>
      </c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W442" s="6"/>
      <c r="X442" s="6"/>
      <c r="AE442" s="44"/>
      <c r="AF442" s="343">
        <f t="shared" ref="AF442:AN442" si="1319">((AF288*AF443)+(AF289*AF444))</f>
        <v>0</v>
      </c>
      <c r="AG442" s="960">
        <f t="shared" si="1319"/>
        <v>0</v>
      </c>
      <c r="AH442" s="17">
        <f t="shared" si="1319"/>
        <v>0</v>
      </c>
      <c r="AI442" s="17">
        <f t="shared" si="1319"/>
        <v>0</v>
      </c>
      <c r="AJ442" s="17">
        <f t="shared" si="1319"/>
        <v>0</v>
      </c>
      <c r="AK442" s="17">
        <f t="shared" si="1319"/>
        <v>0</v>
      </c>
      <c r="AL442" s="17">
        <f t="shared" si="1319"/>
        <v>0</v>
      </c>
      <c r="AM442" s="17">
        <f t="shared" si="1319"/>
        <v>0</v>
      </c>
      <c r="AN442" s="17">
        <f t="shared" si="1319"/>
        <v>0</v>
      </c>
      <c r="AO442" s="17">
        <f t="shared" ref="AO442:BR442" si="1320">((AO288*AO443)+(AO289*AO444))</f>
        <v>0</v>
      </c>
      <c r="AP442" s="17">
        <f t="shared" si="1320"/>
        <v>0</v>
      </c>
      <c r="AQ442" s="17">
        <f t="shared" si="1320"/>
        <v>0</v>
      </c>
      <c r="AR442" s="17">
        <f t="shared" si="1320"/>
        <v>0</v>
      </c>
      <c r="AS442" s="17">
        <f t="shared" si="1320"/>
        <v>0</v>
      </c>
      <c r="AT442" s="17">
        <f t="shared" si="1320"/>
        <v>0</v>
      </c>
      <c r="AU442" s="17">
        <f t="shared" si="1320"/>
        <v>0</v>
      </c>
      <c r="AV442" s="17">
        <f t="shared" si="1320"/>
        <v>0</v>
      </c>
      <c r="AW442" s="17">
        <f t="shared" si="1320"/>
        <v>0</v>
      </c>
      <c r="AX442" s="17">
        <f t="shared" si="1320"/>
        <v>0</v>
      </c>
      <c r="AY442" s="17">
        <f t="shared" si="1320"/>
        <v>0</v>
      </c>
      <c r="AZ442" s="17">
        <f t="shared" si="1320"/>
        <v>0</v>
      </c>
      <c r="BA442" s="17">
        <f t="shared" si="1320"/>
        <v>0</v>
      </c>
      <c r="BB442" s="17">
        <f t="shared" si="1320"/>
        <v>0</v>
      </c>
      <c r="BC442" s="17">
        <f t="shared" si="1320"/>
        <v>0</v>
      </c>
      <c r="BD442" s="17">
        <f t="shared" si="1320"/>
        <v>0</v>
      </c>
      <c r="BE442" s="17">
        <f t="shared" si="1320"/>
        <v>0</v>
      </c>
      <c r="BF442" s="17">
        <f t="shared" si="1320"/>
        <v>0</v>
      </c>
      <c r="BG442" s="17">
        <f t="shared" si="1320"/>
        <v>0</v>
      </c>
      <c r="BH442" s="17">
        <f t="shared" si="1320"/>
        <v>0</v>
      </c>
      <c r="BI442" s="17">
        <f t="shared" si="1320"/>
        <v>0</v>
      </c>
      <c r="BJ442" s="17">
        <f t="shared" si="1320"/>
        <v>0</v>
      </c>
      <c r="BK442" s="17">
        <f t="shared" si="1320"/>
        <v>0</v>
      </c>
      <c r="BL442" s="17">
        <f t="shared" si="1320"/>
        <v>0</v>
      </c>
      <c r="BM442" s="17">
        <f t="shared" si="1320"/>
        <v>0</v>
      </c>
      <c r="BN442" s="17">
        <f t="shared" si="1320"/>
        <v>0</v>
      </c>
      <c r="BO442" s="17">
        <f t="shared" si="1320"/>
        <v>0</v>
      </c>
      <c r="BP442" s="17">
        <f t="shared" si="1320"/>
        <v>0</v>
      </c>
      <c r="BQ442" s="17">
        <f t="shared" si="1320"/>
        <v>0</v>
      </c>
      <c r="BR442" s="17">
        <f t="shared" si="1320"/>
        <v>0</v>
      </c>
    </row>
    <row r="443" spans="1:70" customFormat="1" ht="11.25" customHeight="1" outlineLevel="2">
      <c r="A443" s="6"/>
      <c r="B443" s="6"/>
      <c r="C443" s="108" t="s">
        <v>292</v>
      </c>
      <c r="D443" s="31" t="s">
        <v>66</v>
      </c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W443" s="6"/>
      <c r="X443" s="6"/>
      <c r="AE443" s="44"/>
      <c r="AF443" s="403">
        <v>0</v>
      </c>
      <c r="AG443" s="958">
        <v>0</v>
      </c>
      <c r="AH443" s="115">
        <f>AVERAGE(AF443,AG443)</f>
        <v>0</v>
      </c>
      <c r="AI443" s="111">
        <v>0</v>
      </c>
      <c r="AJ443" s="111">
        <v>0</v>
      </c>
      <c r="AK443" s="115">
        <f>AVERAGE(AI443,AJ443)</f>
        <v>0</v>
      </c>
      <c r="AL443" s="111">
        <v>0</v>
      </c>
      <c r="AM443" s="111">
        <v>0</v>
      </c>
      <c r="AN443" s="115">
        <f>AVERAGE(AL443,AM443)</f>
        <v>0</v>
      </c>
      <c r="AO443" s="111">
        <v>0</v>
      </c>
      <c r="AP443" s="111">
        <v>0</v>
      </c>
      <c r="AQ443" s="115">
        <f>AVERAGE(AO443,AP443)</f>
        <v>0</v>
      </c>
      <c r="AR443" s="111">
        <v>0</v>
      </c>
      <c r="AS443" s="111">
        <v>0</v>
      </c>
      <c r="AT443" s="115">
        <f>AVERAGE(AR443,AS443)</f>
        <v>0</v>
      </c>
      <c r="AU443" s="111">
        <v>0</v>
      </c>
      <c r="AV443" s="111">
        <v>0</v>
      </c>
      <c r="AW443" s="115">
        <f>AVERAGE(AU443,AV443)</f>
        <v>0</v>
      </c>
      <c r="AX443" s="111">
        <v>0</v>
      </c>
      <c r="AY443" s="111">
        <v>0</v>
      </c>
      <c r="AZ443" s="115">
        <f>AVERAGE(AX443,AY443)</f>
        <v>0</v>
      </c>
      <c r="BA443" s="111">
        <v>0</v>
      </c>
      <c r="BB443" s="111">
        <v>0</v>
      </c>
      <c r="BC443" s="115">
        <f>AVERAGE(BA443,BB443)</f>
        <v>0</v>
      </c>
      <c r="BD443" s="111">
        <v>0</v>
      </c>
      <c r="BE443" s="111">
        <v>0</v>
      </c>
      <c r="BF443" s="115">
        <f>AVERAGE(BD443,BE443)</f>
        <v>0</v>
      </c>
      <c r="BG443" s="111">
        <v>0</v>
      </c>
      <c r="BH443" s="111">
        <v>0</v>
      </c>
      <c r="BI443" s="115">
        <f>AVERAGE(BG443,BH443)</f>
        <v>0</v>
      </c>
      <c r="BJ443" s="111">
        <v>0</v>
      </c>
      <c r="BK443" s="111">
        <v>0</v>
      </c>
      <c r="BL443" s="115">
        <f>AVERAGE(BJ443,BK443)</f>
        <v>0</v>
      </c>
      <c r="BM443" s="111">
        <v>0</v>
      </c>
      <c r="BN443" s="111">
        <v>0</v>
      </c>
      <c r="BO443" s="115">
        <f>AVERAGE(BM443,BN443)</f>
        <v>0</v>
      </c>
      <c r="BP443" s="111">
        <v>0</v>
      </c>
      <c r="BQ443" s="111">
        <v>0</v>
      </c>
      <c r="BR443" s="115">
        <f>AVERAGE(BP443,BQ443)</f>
        <v>0</v>
      </c>
    </row>
    <row r="444" spans="1:70" customFormat="1" ht="11.25" customHeight="1" outlineLevel="2">
      <c r="A444" s="6"/>
      <c r="B444" s="6"/>
      <c r="C444" s="108" t="s">
        <v>293</v>
      </c>
      <c r="D444" s="31" t="s">
        <v>66</v>
      </c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W444" s="6"/>
      <c r="X444" s="6"/>
      <c r="AE444" s="44"/>
      <c r="AF444" s="403">
        <v>0</v>
      </c>
      <c r="AG444" s="958">
        <v>0</v>
      </c>
      <c r="AH444" s="115">
        <f>AVERAGE(AF444,AG444)</f>
        <v>0</v>
      </c>
      <c r="AI444" s="111">
        <v>0</v>
      </c>
      <c r="AJ444" s="111">
        <v>0</v>
      </c>
      <c r="AK444" s="115">
        <f>AVERAGE(AI444,AJ444)</f>
        <v>0</v>
      </c>
      <c r="AL444" s="111">
        <v>0</v>
      </c>
      <c r="AM444" s="111">
        <v>0</v>
      </c>
      <c r="AN444" s="115">
        <f>AVERAGE(AL444,AM444)</f>
        <v>0</v>
      </c>
      <c r="AO444" s="111">
        <v>0</v>
      </c>
      <c r="AP444" s="111">
        <v>0</v>
      </c>
      <c r="AQ444" s="115">
        <f>AVERAGE(AO444,AP444)</f>
        <v>0</v>
      </c>
      <c r="AR444" s="111">
        <v>0</v>
      </c>
      <c r="AS444" s="111">
        <v>0</v>
      </c>
      <c r="AT444" s="115">
        <f>AVERAGE(AR444,AS444)</f>
        <v>0</v>
      </c>
      <c r="AU444" s="111">
        <v>0</v>
      </c>
      <c r="AV444" s="111">
        <v>0</v>
      </c>
      <c r="AW444" s="115">
        <f>AVERAGE(AU444,AV444)</f>
        <v>0</v>
      </c>
      <c r="AX444" s="111">
        <v>0</v>
      </c>
      <c r="AY444" s="111">
        <v>0</v>
      </c>
      <c r="AZ444" s="115">
        <f>AVERAGE(AX444,AY444)</f>
        <v>0</v>
      </c>
      <c r="BA444" s="111">
        <v>0</v>
      </c>
      <c r="BB444" s="111">
        <v>0</v>
      </c>
      <c r="BC444" s="115">
        <f>AVERAGE(BA444,BB444)</f>
        <v>0</v>
      </c>
      <c r="BD444" s="111">
        <v>0</v>
      </c>
      <c r="BE444" s="111">
        <v>0</v>
      </c>
      <c r="BF444" s="115">
        <f>AVERAGE(BD444,BE444)</f>
        <v>0</v>
      </c>
      <c r="BG444" s="111">
        <v>0</v>
      </c>
      <c r="BH444" s="111">
        <v>0</v>
      </c>
      <c r="BI444" s="115">
        <f>AVERAGE(BG444,BH444)</f>
        <v>0</v>
      </c>
      <c r="BJ444" s="111">
        <v>0</v>
      </c>
      <c r="BK444" s="111">
        <v>0</v>
      </c>
      <c r="BL444" s="115">
        <f>AVERAGE(BJ444,BK444)</f>
        <v>0</v>
      </c>
      <c r="BM444" s="111">
        <v>0</v>
      </c>
      <c r="BN444" s="111">
        <v>0</v>
      </c>
      <c r="BO444" s="115">
        <f>AVERAGE(BM444,BN444)</f>
        <v>0</v>
      </c>
      <c r="BP444" s="111">
        <v>0</v>
      </c>
      <c r="BQ444" s="111">
        <v>0</v>
      </c>
      <c r="BR444" s="115">
        <f>AVERAGE(BP444,BQ444)</f>
        <v>0</v>
      </c>
    </row>
    <row r="445" spans="1:70" outlineLevel="2">
      <c r="B445" s="451" t="s">
        <v>307</v>
      </c>
    </row>
    <row r="446" spans="1:70" outlineLevel="2">
      <c r="B446" s="5"/>
      <c r="C446" s="102" t="s">
        <v>59</v>
      </c>
    </row>
    <row r="447" spans="1:70" outlineLevel="2">
      <c r="C447" s="95" t="s">
        <v>99</v>
      </c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</row>
    <row r="448" spans="1:70" outlineLevel="2">
      <c r="C448" s="108" t="s">
        <v>536</v>
      </c>
      <c r="D448" s="31" t="s">
        <v>66</v>
      </c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0"/>
      <c r="Q448" s="94"/>
      <c r="R448" s="349"/>
      <c r="S448" s="349">
        <v>-7.5999999999999998E-2</v>
      </c>
      <c r="T448" s="349"/>
      <c r="U448" s="349"/>
      <c r="V448" s="349"/>
      <c r="W448" s="349"/>
      <c r="X448" s="350"/>
      <c r="Y448" s="354"/>
      <c r="Z448" s="354"/>
      <c r="AA448" s="354"/>
      <c r="AB448" s="354"/>
      <c r="AC448" s="354"/>
      <c r="AD448" s="354"/>
      <c r="AE448" s="427"/>
      <c r="AF448" s="432">
        <v>0</v>
      </c>
      <c r="AG448" s="985">
        <v>0</v>
      </c>
      <c r="AH448" s="51">
        <f>AVERAGE(AF448,AG448)</f>
        <v>0</v>
      </c>
      <c r="AI448" s="50">
        <v>0</v>
      </c>
      <c r="AJ448" s="50">
        <v>0</v>
      </c>
      <c r="AK448" s="51">
        <f>AVERAGE(AI448,AJ448)</f>
        <v>0</v>
      </c>
      <c r="AL448" s="50">
        <v>0</v>
      </c>
      <c r="AM448" s="50">
        <v>0</v>
      </c>
      <c r="AN448" s="51">
        <f>AVERAGE(AL448,AM448)</f>
        <v>0</v>
      </c>
      <c r="AO448" s="50">
        <v>0</v>
      </c>
      <c r="AP448" s="50">
        <v>0</v>
      </c>
      <c r="AQ448" s="51">
        <f>AVERAGE(AO448,AP448)</f>
        <v>0</v>
      </c>
      <c r="AR448" s="50">
        <v>0</v>
      </c>
      <c r="AS448" s="50">
        <v>0</v>
      </c>
      <c r="AT448" s="51">
        <f>AVERAGE(AR448,AS448)</f>
        <v>0</v>
      </c>
      <c r="AU448" s="50">
        <v>0</v>
      </c>
      <c r="AV448" s="50">
        <v>0</v>
      </c>
      <c r="AW448" s="51">
        <f>AVERAGE(AU448,AV448)</f>
        <v>0</v>
      </c>
      <c r="AX448" s="50">
        <v>0</v>
      </c>
      <c r="AY448" s="50">
        <v>0</v>
      </c>
      <c r="AZ448" s="51">
        <f>AVERAGE(AX448,AY448)</f>
        <v>0</v>
      </c>
      <c r="BA448" s="50">
        <v>0</v>
      </c>
      <c r="BB448" s="50">
        <v>0</v>
      </c>
      <c r="BC448" s="51">
        <f>AVERAGE(BA448,BB448)</f>
        <v>0</v>
      </c>
      <c r="BD448" s="50">
        <v>0</v>
      </c>
      <c r="BE448" s="50">
        <v>0</v>
      </c>
      <c r="BF448" s="51">
        <f>AVERAGE(BD448,BE448)</f>
        <v>0</v>
      </c>
      <c r="BG448" s="50">
        <v>0</v>
      </c>
      <c r="BH448" s="50">
        <v>0</v>
      </c>
      <c r="BI448" s="51">
        <f>AVERAGE(BG448,BH448)</f>
        <v>0</v>
      </c>
      <c r="BJ448" s="50">
        <v>0</v>
      </c>
      <c r="BK448" s="50">
        <v>0</v>
      </c>
      <c r="BL448" s="51">
        <f>AVERAGE(BJ448,BK448)</f>
        <v>0</v>
      </c>
      <c r="BM448" s="50">
        <v>0</v>
      </c>
      <c r="BN448" s="50">
        <v>0</v>
      </c>
      <c r="BO448" s="51">
        <f>AVERAGE(BM448,BN448)</f>
        <v>0</v>
      </c>
      <c r="BP448" s="50">
        <v>0</v>
      </c>
      <c r="BQ448" s="50">
        <v>0</v>
      </c>
      <c r="BR448" s="51">
        <f>AVERAGE(BP448,BQ448)</f>
        <v>0</v>
      </c>
    </row>
    <row r="449" spans="1:70" outlineLevel="2">
      <c r="C449" s="102" t="s">
        <v>93</v>
      </c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</row>
    <row r="450" spans="1:70" outlineLevel="2">
      <c r="C450" s="95" t="s">
        <v>99</v>
      </c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</row>
    <row r="451" spans="1:70" outlineLevel="2">
      <c r="C451" s="108" t="s">
        <v>536</v>
      </c>
      <c r="D451" s="31" t="s">
        <v>66</v>
      </c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AF451" s="432">
        <v>0</v>
      </c>
      <c r="AG451" s="985">
        <v>0</v>
      </c>
      <c r="AH451" s="51">
        <f t="shared" ref="AH451:AH452" si="1321">AVERAGE(AF451,AG451)</f>
        <v>0</v>
      </c>
      <c r="AI451" s="50">
        <v>0</v>
      </c>
      <c r="AJ451" s="50">
        <v>0</v>
      </c>
      <c r="AK451" s="51">
        <f t="shared" ref="AK451:AK452" si="1322">AVERAGE(AI451,AJ451)</f>
        <v>0</v>
      </c>
      <c r="AL451" s="50">
        <v>0</v>
      </c>
      <c r="AM451" s="50">
        <v>0</v>
      </c>
      <c r="AN451" s="51">
        <f t="shared" ref="AN451:AN452" si="1323">AVERAGE(AL451,AM451)</f>
        <v>0</v>
      </c>
      <c r="AO451" s="50">
        <v>0</v>
      </c>
      <c r="AP451" s="50">
        <v>0</v>
      </c>
      <c r="AQ451" s="51">
        <f t="shared" ref="AQ451:AQ452" si="1324">AVERAGE(AO451,AP451)</f>
        <v>0</v>
      </c>
      <c r="AR451" s="50">
        <v>0</v>
      </c>
      <c r="AS451" s="50">
        <v>0</v>
      </c>
      <c r="AT451" s="51">
        <f t="shared" ref="AT451:AT452" si="1325">AVERAGE(AR451,AS451)</f>
        <v>0</v>
      </c>
      <c r="AU451" s="50">
        <v>0</v>
      </c>
      <c r="AV451" s="50">
        <v>0</v>
      </c>
      <c r="AW451" s="51">
        <f t="shared" ref="AW451:AW452" si="1326">AVERAGE(AU451,AV451)</f>
        <v>0</v>
      </c>
      <c r="AX451" s="50">
        <v>0</v>
      </c>
      <c r="AY451" s="50">
        <v>0</v>
      </c>
      <c r="AZ451" s="51">
        <f t="shared" ref="AZ451:AZ452" si="1327">AVERAGE(AX451,AY451)</f>
        <v>0</v>
      </c>
      <c r="BA451" s="50">
        <v>0</v>
      </c>
      <c r="BB451" s="50">
        <v>0</v>
      </c>
      <c r="BC451" s="51">
        <f t="shared" ref="BC451:BC452" si="1328">AVERAGE(BA451,BB451)</f>
        <v>0</v>
      </c>
      <c r="BD451" s="50">
        <v>0</v>
      </c>
      <c r="BE451" s="50">
        <v>0</v>
      </c>
      <c r="BF451" s="51">
        <f t="shared" ref="BF451:BF452" si="1329">AVERAGE(BD451,BE451)</f>
        <v>0</v>
      </c>
      <c r="BG451" s="50">
        <v>0</v>
      </c>
      <c r="BH451" s="50">
        <v>0</v>
      </c>
      <c r="BI451" s="51">
        <f t="shared" ref="BI451:BI452" si="1330">AVERAGE(BG451,BH451)</f>
        <v>0</v>
      </c>
      <c r="BJ451" s="50">
        <v>0</v>
      </c>
      <c r="BK451" s="50">
        <v>0</v>
      </c>
      <c r="BL451" s="51">
        <f t="shared" ref="BL451:BL452" si="1331">AVERAGE(BJ451,BK451)</f>
        <v>0</v>
      </c>
      <c r="BM451" s="50">
        <v>0</v>
      </c>
      <c r="BN451" s="50">
        <v>0</v>
      </c>
      <c r="BO451" s="51">
        <f t="shared" ref="BO451:BO452" si="1332">AVERAGE(BM451,BN451)</f>
        <v>0</v>
      </c>
      <c r="BP451" s="50">
        <v>0</v>
      </c>
      <c r="BQ451" s="50">
        <v>0</v>
      </c>
      <c r="BR451" s="51">
        <f t="shared" ref="BR451:BR452" si="1333">AVERAGE(BP451,BQ451)</f>
        <v>0</v>
      </c>
    </row>
    <row r="452" spans="1:70" outlineLevel="2">
      <c r="C452" s="108" t="s">
        <v>281</v>
      </c>
      <c r="D452" s="31" t="s">
        <v>66</v>
      </c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AF452" s="432">
        <v>0</v>
      </c>
      <c r="AG452" s="985">
        <v>0</v>
      </c>
      <c r="AH452" s="51">
        <f t="shared" si="1321"/>
        <v>0</v>
      </c>
      <c r="AI452" s="50">
        <v>0</v>
      </c>
      <c r="AJ452" s="50">
        <v>0</v>
      </c>
      <c r="AK452" s="51">
        <f t="shared" si="1322"/>
        <v>0</v>
      </c>
      <c r="AL452" s="50">
        <v>0</v>
      </c>
      <c r="AM452" s="50">
        <v>0</v>
      </c>
      <c r="AN452" s="51">
        <f t="shared" si="1323"/>
        <v>0</v>
      </c>
      <c r="AO452" s="50">
        <v>0</v>
      </c>
      <c r="AP452" s="50">
        <v>0</v>
      </c>
      <c r="AQ452" s="51">
        <f t="shared" si="1324"/>
        <v>0</v>
      </c>
      <c r="AR452" s="50">
        <v>0</v>
      </c>
      <c r="AS452" s="50">
        <v>0</v>
      </c>
      <c r="AT452" s="51">
        <f t="shared" si="1325"/>
        <v>0</v>
      </c>
      <c r="AU452" s="50">
        <v>0</v>
      </c>
      <c r="AV452" s="50">
        <v>0</v>
      </c>
      <c r="AW452" s="51">
        <f t="shared" si="1326"/>
        <v>0</v>
      </c>
      <c r="AX452" s="50">
        <v>0</v>
      </c>
      <c r="AY452" s="50">
        <v>0</v>
      </c>
      <c r="AZ452" s="51">
        <f t="shared" si="1327"/>
        <v>0</v>
      </c>
      <c r="BA452" s="50">
        <v>0</v>
      </c>
      <c r="BB452" s="50">
        <v>0</v>
      </c>
      <c r="BC452" s="51">
        <f t="shared" si="1328"/>
        <v>0</v>
      </c>
      <c r="BD452" s="50">
        <v>0</v>
      </c>
      <c r="BE452" s="50">
        <v>0</v>
      </c>
      <c r="BF452" s="51">
        <f t="shared" si="1329"/>
        <v>0</v>
      </c>
      <c r="BG452" s="50">
        <v>0</v>
      </c>
      <c r="BH452" s="50">
        <v>0</v>
      </c>
      <c r="BI452" s="51">
        <f t="shared" si="1330"/>
        <v>0</v>
      </c>
      <c r="BJ452" s="50">
        <v>0</v>
      </c>
      <c r="BK452" s="50">
        <v>0</v>
      </c>
      <c r="BL452" s="51">
        <f t="shared" si="1331"/>
        <v>0</v>
      </c>
      <c r="BM452" s="50">
        <v>0</v>
      </c>
      <c r="BN452" s="50">
        <v>0</v>
      </c>
      <c r="BO452" s="51">
        <f t="shared" si="1332"/>
        <v>0</v>
      </c>
      <c r="BP452" s="50">
        <v>0</v>
      </c>
      <c r="BQ452" s="50">
        <v>0</v>
      </c>
      <c r="BR452" s="51">
        <f t="shared" si="1333"/>
        <v>0</v>
      </c>
    </row>
    <row r="453" spans="1:70" outlineLevel="1">
      <c r="B453" s="212" t="s">
        <v>416</v>
      </c>
      <c r="C453" s="55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</row>
    <row r="454" spans="1:70" outlineLevel="2">
      <c r="B454" s="55"/>
      <c r="C454" s="57" t="s">
        <v>270</v>
      </c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AF454" s="675">
        <f>AF376</f>
        <v>1.1760278846153844</v>
      </c>
      <c r="AG454" s="962">
        <v>1.1499999999999999</v>
      </c>
      <c r="AH454" s="676">
        <f>AVERAGE(AF454,AG454)</f>
        <v>1.1630139423076922</v>
      </c>
      <c r="AI454" s="674">
        <v>1.1000000000000001</v>
      </c>
      <c r="AJ454" s="674">
        <v>1.05</v>
      </c>
      <c r="AK454" s="676">
        <f>AVERAGE(AI454,AJ454)</f>
        <v>1.0750000000000002</v>
      </c>
      <c r="AL454" s="674">
        <v>1</v>
      </c>
      <c r="AM454" s="674">
        <v>0.95</v>
      </c>
      <c r="AN454" s="676">
        <f>AVERAGE(AL454,AM454)</f>
        <v>0.97499999999999998</v>
      </c>
      <c r="AO454" s="674">
        <v>0.9</v>
      </c>
      <c r="AP454" s="674">
        <f>AO454</f>
        <v>0.9</v>
      </c>
      <c r="AQ454" s="676">
        <f>AVERAGE(AO454,AP454)</f>
        <v>0.9</v>
      </c>
      <c r="AR454" s="674">
        <f>AO454</f>
        <v>0.9</v>
      </c>
      <c r="AS454" s="674">
        <f>AP454</f>
        <v>0.9</v>
      </c>
      <c r="AT454" s="676">
        <f>AVERAGE(AR454,AS454)</f>
        <v>0.9</v>
      </c>
      <c r="AU454" s="674">
        <f>AR454</f>
        <v>0.9</v>
      </c>
      <c r="AV454" s="674">
        <f>AS454</f>
        <v>0.9</v>
      </c>
      <c r="AW454" s="676">
        <f>AVERAGE(AU454,AV454)</f>
        <v>0.9</v>
      </c>
      <c r="AX454" s="674">
        <f>AU454</f>
        <v>0.9</v>
      </c>
      <c r="AY454" s="674">
        <f>AV454</f>
        <v>0.9</v>
      </c>
      <c r="AZ454" s="676">
        <f>AVERAGE(AX454,AY454)</f>
        <v>0.9</v>
      </c>
      <c r="BA454" s="674">
        <f>AX454</f>
        <v>0.9</v>
      </c>
      <c r="BB454" s="674">
        <f>AY454</f>
        <v>0.9</v>
      </c>
      <c r="BC454" s="676">
        <f>AVERAGE(BA454,BB454)</f>
        <v>0.9</v>
      </c>
      <c r="BD454" s="674">
        <f>BA454</f>
        <v>0.9</v>
      </c>
      <c r="BE454" s="674">
        <f>BB454</f>
        <v>0.9</v>
      </c>
      <c r="BF454" s="676">
        <f>AVERAGE(BD454,BE454)</f>
        <v>0.9</v>
      </c>
      <c r="BG454" s="674">
        <f>BD454</f>
        <v>0.9</v>
      </c>
      <c r="BH454" s="674">
        <f>BE454</f>
        <v>0.9</v>
      </c>
      <c r="BI454" s="676">
        <f>AVERAGE(BG454,BH454)</f>
        <v>0.9</v>
      </c>
      <c r="BJ454" s="674">
        <f>BG454</f>
        <v>0.9</v>
      </c>
      <c r="BK454" s="674">
        <f>BH454</f>
        <v>0.9</v>
      </c>
      <c r="BL454" s="676">
        <f>AVERAGE(BJ454,BK454)</f>
        <v>0.9</v>
      </c>
      <c r="BM454" s="674">
        <f>BJ454</f>
        <v>0.9</v>
      </c>
      <c r="BN454" s="674">
        <f>BK454</f>
        <v>0.9</v>
      </c>
      <c r="BO454" s="676">
        <f>AVERAGE(BM454,BN454)</f>
        <v>0.9</v>
      </c>
      <c r="BP454" s="674">
        <f>BM454</f>
        <v>0.9</v>
      </c>
      <c r="BQ454" s="674">
        <f>BN454</f>
        <v>0.9</v>
      </c>
      <c r="BR454" s="676">
        <f>AVERAGE(BP454,BQ454)</f>
        <v>0.9</v>
      </c>
    </row>
    <row r="455" spans="1:70" outlineLevel="2">
      <c r="B455" s="451" t="s">
        <v>306</v>
      </c>
      <c r="AG455" s="964"/>
    </row>
    <row r="456" spans="1:70" customFormat="1" ht="11.25" customHeight="1" outlineLevel="2">
      <c r="A456" s="6"/>
      <c r="B456" s="6"/>
      <c r="C456" s="113" t="s">
        <v>291</v>
      </c>
      <c r="D456" s="7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W456" s="6"/>
      <c r="X456" s="6"/>
      <c r="AE456" s="44"/>
      <c r="AF456" s="130"/>
      <c r="AG456" s="964"/>
      <c r="AH456" s="6"/>
    </row>
    <row r="457" spans="1:70" customFormat="1" ht="11.25" customHeight="1" outlineLevel="2">
      <c r="A457" s="6"/>
      <c r="B457" s="6"/>
      <c r="C457" s="9" t="s">
        <v>80</v>
      </c>
      <c r="D457" s="31" t="s">
        <v>66</v>
      </c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W457" s="6"/>
      <c r="X457" s="6"/>
      <c r="AE457" s="44"/>
      <c r="AF457" s="133">
        <f t="shared" ref="AF457:AN457" si="1334">((AF278*AF458)+(AF279*AF459))</f>
        <v>2.3409075369562358E-2</v>
      </c>
      <c r="AG457" s="984">
        <f t="shared" si="1334"/>
        <v>-1.0128812625842351E-2</v>
      </c>
      <c r="AH457" s="20">
        <f t="shared" si="1334"/>
        <v>6.6134178027709625E-3</v>
      </c>
      <c r="AI457" s="20">
        <f t="shared" si="1334"/>
        <v>-1.0530824059225868E-2</v>
      </c>
      <c r="AJ457" s="20">
        <f t="shared" si="1334"/>
        <v>-1.0100681708956205E-2</v>
      </c>
      <c r="AK457" s="20">
        <f t="shared" si="1334"/>
        <v>-1.0318904732529707E-2</v>
      </c>
      <c r="AL457" s="20">
        <f t="shared" si="1334"/>
        <v>-1.0609761676666662E-2</v>
      </c>
      <c r="AM457" s="20">
        <f t="shared" si="1334"/>
        <v>-1.0320390086098825E-2</v>
      </c>
      <c r="AN457" s="20">
        <f t="shared" si="1334"/>
        <v>-1.046938697990008E-2</v>
      </c>
      <c r="AO457" s="20">
        <f t="shared" ref="AO457:AP457" si="1335">((AO278*AO458)+(AO279*AO459))</f>
        <v>-1.074867640415799E-2</v>
      </c>
      <c r="AP457" s="20">
        <f t="shared" si="1335"/>
        <v>-1.0433370377193565E-2</v>
      </c>
      <c r="AQ457" s="20">
        <f t="shared" ref="AQ457:BR457" si="1336">((AQ278*AQ458)+(AQ279*AQ459))</f>
        <v>-1.05952799428214E-2</v>
      </c>
      <c r="AR457" s="20">
        <f t="shared" si="1336"/>
        <v>-1.0865061445042059E-2</v>
      </c>
      <c r="AS457" s="20">
        <f t="shared" si="1336"/>
        <v>-1.0547258734274445E-2</v>
      </c>
      <c r="AT457" s="20">
        <f t="shared" si="1336"/>
        <v>-1.0710457614643308E-2</v>
      </c>
      <c r="AU457" s="20">
        <f t="shared" si="1336"/>
        <v>-1.0982354087018267E-2</v>
      </c>
      <c r="AV457" s="20">
        <f t="shared" si="1336"/>
        <v>-1.0662055270557141E-2</v>
      </c>
      <c r="AW457" s="20">
        <f t="shared" si="1336"/>
        <v>-1.0826543339566685E-2</v>
      </c>
      <c r="AX457" s="20">
        <f t="shared" si="1336"/>
        <v>-1.1100553788385623E-2</v>
      </c>
      <c r="AY457" s="20">
        <f t="shared" si="1336"/>
        <v>-1.0777759928278811E-2</v>
      </c>
      <c r="AZ457" s="20">
        <f t="shared" si="1336"/>
        <v>-1.0943536812538904E-2</v>
      </c>
      <c r="BA457" s="20">
        <f t="shared" si="1336"/>
        <v>-1.1219659826496101E-2</v>
      </c>
      <c r="BB457" s="20">
        <f t="shared" si="1336"/>
        <v>-1.0894372475989851E-2</v>
      </c>
      <c r="BC457" s="20">
        <f t="shared" si="1336"/>
        <v>-1.1061437551033421E-2</v>
      </c>
      <c r="BD457" s="20">
        <f t="shared" si="1336"/>
        <v>5.6803802777113624E-2</v>
      </c>
      <c r="BE457" s="20">
        <f t="shared" si="1336"/>
        <v>5.6607135503528083E-2</v>
      </c>
      <c r="BF457" s="20">
        <f t="shared" si="1336"/>
        <v>5.6708146935457671E-2</v>
      </c>
      <c r="BG457" s="20">
        <f t="shared" si="1336"/>
        <v>5.6876352261363144E-2</v>
      </c>
      <c r="BH457" s="20">
        <f t="shared" si="1336"/>
        <v>5.6678191658685442E-2</v>
      </c>
      <c r="BI457" s="20">
        <f t="shared" si="1336"/>
        <v>5.6779974794859474E-2</v>
      </c>
      <c r="BJ457" s="20">
        <f t="shared" si="1336"/>
        <v>5.6949443580226106E-2</v>
      </c>
      <c r="BK457" s="20">
        <f t="shared" si="1336"/>
        <v>5.6749791490025236E-2</v>
      </c>
      <c r="BL457" s="20">
        <f t="shared" si="1336"/>
        <v>5.6852345490523024E-2</v>
      </c>
      <c r="BM457" s="20">
        <f t="shared" si="1336"/>
        <v>5.702307585072397E-2</v>
      </c>
      <c r="BN457" s="20">
        <f t="shared" si="1336"/>
        <v>5.6821934426017698E-2</v>
      </c>
      <c r="BO457" s="20">
        <f t="shared" si="1336"/>
        <v>5.6925258291526351E-2</v>
      </c>
      <c r="BP457" s="20">
        <f t="shared" si="1336"/>
        <v>5.7097248073897315E-2</v>
      </c>
      <c r="BQ457" s="20">
        <f t="shared" si="1336"/>
        <v>5.6894619783138478E-2</v>
      </c>
      <c r="BR457" s="20">
        <f t="shared" si="1336"/>
        <v>5.699871235286362E-2</v>
      </c>
    </row>
    <row r="458" spans="1:70" customFormat="1" ht="11.25" customHeight="1" outlineLevel="2">
      <c r="A458" s="6"/>
      <c r="B458" s="6"/>
      <c r="C458" s="108" t="s">
        <v>288</v>
      </c>
      <c r="D458" s="31" t="s">
        <v>66</v>
      </c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W458" s="6"/>
      <c r="X458" s="6"/>
      <c r="AE458" s="44"/>
      <c r="AF458" s="907">
        <f>AF419</f>
        <v>2.3E-2</v>
      </c>
      <c r="AG458" s="983">
        <v>0</v>
      </c>
      <c r="AH458" s="396">
        <f>AVERAGE(AF458,AG458)</f>
        <v>1.15E-2</v>
      </c>
      <c r="AI458" s="22">
        <f>AG458</f>
        <v>0</v>
      </c>
      <c r="AJ458" s="22">
        <f>AI458</f>
        <v>0</v>
      </c>
      <c r="AK458" s="396">
        <f>AVERAGE(AI458,AJ458)</f>
        <v>0</v>
      </c>
      <c r="AL458" s="22">
        <f>AI458</f>
        <v>0</v>
      </c>
      <c r="AM458" s="22">
        <f>AJ458</f>
        <v>0</v>
      </c>
      <c r="AN458" s="396">
        <f>AVERAGE(AL458,AM458)</f>
        <v>0</v>
      </c>
      <c r="AO458" s="22">
        <f>AL458</f>
        <v>0</v>
      </c>
      <c r="AP458" s="22">
        <f>AM458</f>
        <v>0</v>
      </c>
      <c r="AQ458" s="396">
        <f>AVERAGE(AO458,AP458)</f>
        <v>0</v>
      </c>
      <c r="AR458" s="22">
        <f>AO458</f>
        <v>0</v>
      </c>
      <c r="AS458" s="22">
        <f>AP458</f>
        <v>0</v>
      </c>
      <c r="AT458" s="396">
        <f>AVERAGE(AR458,AS458)</f>
        <v>0</v>
      </c>
      <c r="AU458" s="22">
        <f>AR458</f>
        <v>0</v>
      </c>
      <c r="AV458" s="22">
        <f>AS458</f>
        <v>0</v>
      </c>
      <c r="AW458" s="396">
        <f>AVERAGE(AU458,AV458)</f>
        <v>0</v>
      </c>
      <c r="AX458" s="22">
        <f>AU458</f>
        <v>0</v>
      </c>
      <c r="AY458" s="22">
        <f>AV458</f>
        <v>0</v>
      </c>
      <c r="AZ458" s="396">
        <f>AVERAGE(AX458,AY458)</f>
        <v>0</v>
      </c>
      <c r="BA458" s="22">
        <f>AX458</f>
        <v>0</v>
      </c>
      <c r="BB458" s="22">
        <f>AY458</f>
        <v>0</v>
      </c>
      <c r="BC458" s="396">
        <f>AVERAGE(BA458,BB458)</f>
        <v>0</v>
      </c>
      <c r="BD458" s="22">
        <f>BD419</f>
        <v>0.05</v>
      </c>
      <c r="BE458" s="22">
        <f>BE419</f>
        <v>0.05</v>
      </c>
      <c r="BF458" s="396">
        <f>AVERAGE(BD458,BE458)</f>
        <v>0.05</v>
      </c>
      <c r="BG458" s="22">
        <f>BG419</f>
        <v>0.05</v>
      </c>
      <c r="BH458" s="22">
        <f>BH419</f>
        <v>0.05</v>
      </c>
      <c r="BI458" s="396">
        <f>AVERAGE(BG458,BH458)</f>
        <v>0.05</v>
      </c>
      <c r="BJ458" s="22">
        <f>BJ419</f>
        <v>0.05</v>
      </c>
      <c r="BK458" s="22">
        <f>BK419</f>
        <v>0.05</v>
      </c>
      <c r="BL458" s="396">
        <f>AVERAGE(BJ458,BK458)</f>
        <v>0.05</v>
      </c>
      <c r="BM458" s="22">
        <f>BM419</f>
        <v>0.05</v>
      </c>
      <c r="BN458" s="22">
        <f>BN419</f>
        <v>0.05</v>
      </c>
      <c r="BO458" s="396">
        <f>AVERAGE(BM458,BN458)</f>
        <v>0.05</v>
      </c>
      <c r="BP458" s="22">
        <f>BP419</f>
        <v>0.05</v>
      </c>
      <c r="BQ458" s="22">
        <f>BQ419</f>
        <v>0.05</v>
      </c>
      <c r="BR458" s="396">
        <f>AVERAGE(BP458,BQ458)</f>
        <v>0.05</v>
      </c>
    </row>
    <row r="459" spans="1:70" customFormat="1" ht="11.25" customHeight="1" outlineLevel="2">
      <c r="A459" s="6"/>
      <c r="B459" s="6"/>
      <c r="C459" s="108" t="s">
        <v>538</v>
      </c>
      <c r="D459" s="31" t="s">
        <v>66</v>
      </c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W459" s="6"/>
      <c r="X459" s="6"/>
      <c r="AE459" s="44"/>
      <c r="AF459" s="907">
        <f>AF420</f>
        <v>2.5000000000000001E-2</v>
      </c>
      <c r="AG459" s="983">
        <v>-0.05</v>
      </c>
      <c r="AH459" s="396">
        <f>AVERAGE(AF459,AG459)</f>
        <v>-1.2500000000000001E-2</v>
      </c>
      <c r="AI459" s="22">
        <f>AG459</f>
        <v>-0.05</v>
      </c>
      <c r="AJ459" s="22">
        <f>AI459</f>
        <v>-0.05</v>
      </c>
      <c r="AK459" s="396">
        <f>AVERAGE(AI459,AJ459)</f>
        <v>-0.05</v>
      </c>
      <c r="AL459" s="22">
        <f>AI459</f>
        <v>-0.05</v>
      </c>
      <c r="AM459" s="22">
        <f>AJ459</f>
        <v>-0.05</v>
      </c>
      <c r="AN459" s="396">
        <f>AVERAGE(AL459,AM459)</f>
        <v>-0.05</v>
      </c>
      <c r="AO459" s="22">
        <f>AL459</f>
        <v>-0.05</v>
      </c>
      <c r="AP459" s="22">
        <f>AM459</f>
        <v>-0.05</v>
      </c>
      <c r="AQ459" s="396">
        <f>AVERAGE(AO459,AP459)</f>
        <v>-0.05</v>
      </c>
      <c r="AR459" s="22">
        <f>AO459</f>
        <v>-0.05</v>
      </c>
      <c r="AS459" s="22">
        <f>AP459</f>
        <v>-0.05</v>
      </c>
      <c r="AT459" s="396">
        <f>AVERAGE(AR459,AS459)</f>
        <v>-0.05</v>
      </c>
      <c r="AU459" s="22">
        <f>AR459</f>
        <v>-0.05</v>
      </c>
      <c r="AV459" s="22">
        <f>AS459</f>
        <v>-0.05</v>
      </c>
      <c r="AW459" s="396">
        <f>AVERAGE(AU459,AV459)</f>
        <v>-0.05</v>
      </c>
      <c r="AX459" s="22">
        <f>AU459</f>
        <v>-0.05</v>
      </c>
      <c r="AY459" s="22">
        <f>AV459</f>
        <v>-0.05</v>
      </c>
      <c r="AZ459" s="396">
        <f>AVERAGE(AX459,AY459)</f>
        <v>-0.05</v>
      </c>
      <c r="BA459" s="22">
        <f>AX459</f>
        <v>-0.05</v>
      </c>
      <c r="BB459" s="22">
        <f>AY459</f>
        <v>-0.05</v>
      </c>
      <c r="BC459" s="396">
        <f>AVERAGE(BA459,BB459)</f>
        <v>-0.05</v>
      </c>
      <c r="BD459" s="22">
        <f>BD420</f>
        <v>0.08</v>
      </c>
      <c r="BE459" s="22">
        <f>BE420</f>
        <v>0.08</v>
      </c>
      <c r="BF459" s="396">
        <f>AVERAGE(BD459,BE459)</f>
        <v>0.08</v>
      </c>
      <c r="BG459" s="22">
        <f>BG420</f>
        <v>0.08</v>
      </c>
      <c r="BH459" s="22">
        <f>BH420</f>
        <v>0.08</v>
      </c>
      <c r="BI459" s="396">
        <f>AVERAGE(BG459,BH459)</f>
        <v>0.08</v>
      </c>
      <c r="BJ459" s="22">
        <f>BJ420</f>
        <v>0.08</v>
      </c>
      <c r="BK459" s="22">
        <f>BK420</f>
        <v>0.08</v>
      </c>
      <c r="BL459" s="396">
        <f>AVERAGE(BJ459,BK459)</f>
        <v>0.08</v>
      </c>
      <c r="BM459" s="22">
        <f>BM420</f>
        <v>0.08</v>
      </c>
      <c r="BN459" s="22">
        <f>BN420</f>
        <v>0.08</v>
      </c>
      <c r="BO459" s="396">
        <f>AVERAGE(BM459,BN459)</f>
        <v>0.08</v>
      </c>
      <c r="BP459" s="22">
        <f>BP420</f>
        <v>0.08</v>
      </c>
      <c r="BQ459" s="22">
        <f>BQ420</f>
        <v>0.08</v>
      </c>
      <c r="BR459" s="396">
        <f>AVERAGE(BP459,BQ459)</f>
        <v>0.08</v>
      </c>
    </row>
    <row r="460" spans="1:70" customFormat="1" ht="11.25" customHeight="1" outlineLevel="2">
      <c r="A460" s="6"/>
      <c r="B460" s="6"/>
      <c r="C460" s="9" t="s">
        <v>81</v>
      </c>
      <c r="D460" s="31" t="s">
        <v>66</v>
      </c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W460" s="6"/>
      <c r="X460" s="6"/>
      <c r="AE460" s="44"/>
      <c r="AF460" s="133">
        <f t="shared" ref="AF460:AN460" si="1337">((AF281*AF461)+(AF282*AF462))</f>
        <v>2.6910581077826613E-2</v>
      </c>
      <c r="AG460" s="984">
        <f t="shared" si="1337"/>
        <v>-2.2048177283506581E-2</v>
      </c>
      <c r="AH460" s="20">
        <f t="shared" si="1337"/>
        <v>2.3732111866080416E-3</v>
      </c>
      <c r="AI460" s="20">
        <f t="shared" si="1337"/>
        <v>-2.1934461380206067E-2</v>
      </c>
      <c r="AJ460" s="20">
        <f t="shared" si="1337"/>
        <v>-2.2234310208991484E-2</v>
      </c>
      <c r="AK460" s="20">
        <f t="shared" si="1337"/>
        <v>-2.208271793063428E-2</v>
      </c>
      <c r="AL460" s="20">
        <f t="shared" si="1337"/>
        <v>-2.2850589600457702E-2</v>
      </c>
      <c r="AM460" s="20">
        <f t="shared" si="1337"/>
        <v>-2.2877290279692798E-2</v>
      </c>
      <c r="AN460" s="20">
        <f t="shared" si="1337"/>
        <v>-2.2858211152435089E-2</v>
      </c>
      <c r="AO460" s="20">
        <f t="shared" ref="AO460:AP460" si="1338">((AO281*AO461)+(AO282*AO462))</f>
        <v>-2.3164529301992323E-2</v>
      </c>
      <c r="AP460" s="20">
        <f t="shared" si="1338"/>
        <v>-2.3141431831894942E-2</v>
      </c>
      <c r="AQ460" s="20">
        <f t="shared" ref="AQ460:BR460" si="1339">((AQ281*AQ461)+(AQ282*AQ462))</f>
        <v>-2.3147312150311693E-2</v>
      </c>
      <c r="AR460" s="20">
        <f t="shared" si="1339"/>
        <v>-2.3429122492600971E-2</v>
      </c>
      <c r="AS460" s="20">
        <f t="shared" si="1339"/>
        <v>-2.3405991306307026E-2</v>
      </c>
      <c r="AT460" s="20">
        <f t="shared" si="1339"/>
        <v>-2.3411880340924264E-2</v>
      </c>
      <c r="AU460" s="20">
        <f t="shared" si="1339"/>
        <v>-2.3694069475233677E-2</v>
      </c>
      <c r="AV460" s="20">
        <f t="shared" si="1339"/>
        <v>-2.3670909740121548E-2</v>
      </c>
      <c r="AW460" s="20">
        <f t="shared" si="1339"/>
        <v>-2.3676806175644969E-2</v>
      </c>
      <c r="AX460" s="20">
        <f t="shared" si="1339"/>
        <v>-2.3959310938769247E-2</v>
      </c>
      <c r="AY460" s="20">
        <f t="shared" si="1339"/>
        <v>-2.3936127847904703E-2</v>
      </c>
      <c r="AZ460" s="20">
        <f t="shared" si="1339"/>
        <v>-2.3942030362381225E-2</v>
      </c>
      <c r="BA460" s="20">
        <f t="shared" si="1339"/>
        <v>-2.4224787306878562E-2</v>
      </c>
      <c r="BB460" s="20">
        <f t="shared" si="1339"/>
        <v>-2.4201586074377595E-2</v>
      </c>
      <c r="BC460" s="20">
        <f t="shared" si="1339"/>
        <v>-2.420749334037553E-2</v>
      </c>
      <c r="BD460" s="20">
        <f t="shared" si="1339"/>
        <v>7.4490438791361524E-2</v>
      </c>
      <c r="BE460" s="20">
        <f t="shared" si="1339"/>
        <v>7.4467224647712896E-2</v>
      </c>
      <c r="BF460" s="20">
        <f t="shared" si="1339"/>
        <v>7.4473135333512588E-2</v>
      </c>
      <c r="BG460" s="20">
        <f t="shared" si="1339"/>
        <v>7.4756205445889498E-2</v>
      </c>
      <c r="BH460" s="20">
        <f t="shared" si="1339"/>
        <v>7.4732983633246E-2</v>
      </c>
      <c r="BI460" s="20">
        <f t="shared" si="1339"/>
        <v>7.4738896404038663E-2</v>
      </c>
      <c r="BJ460" s="20">
        <f t="shared" si="1339"/>
        <v>7.5022027220051135E-2</v>
      </c>
      <c r="BK460" s="20">
        <f t="shared" si="1339"/>
        <v>7.4998802987498336E-2</v>
      </c>
      <c r="BL460" s="20">
        <f t="shared" si="1339"/>
        <v>7.5004716506590907E-2</v>
      </c>
      <c r="BM460" s="20">
        <f t="shared" si="1339"/>
        <v>7.5287844013597768E-2</v>
      </c>
      <c r="BN460" s="20">
        <f t="shared" si="1339"/>
        <v>7.5264622612409571E-2</v>
      </c>
      <c r="BO460" s="20">
        <f t="shared" si="1339"/>
        <v>7.5270535542433029E-2</v>
      </c>
      <c r="BP460" s="20">
        <f t="shared" si="1339"/>
        <v>7.5553595730784642E-2</v>
      </c>
      <c r="BQ460" s="20">
        <f t="shared" si="1339"/>
        <v>7.5530382409674593E-2</v>
      </c>
      <c r="BR460" s="20">
        <f t="shared" si="1339"/>
        <v>7.5536293413793726E-2</v>
      </c>
    </row>
    <row r="461" spans="1:70" customFormat="1" ht="11.25" customHeight="1" outlineLevel="2">
      <c r="A461" s="6"/>
      <c r="B461" s="6"/>
      <c r="C461" s="108" t="s">
        <v>59</v>
      </c>
      <c r="D461" s="31" t="s">
        <v>66</v>
      </c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W461" s="6"/>
      <c r="X461" s="6"/>
      <c r="AE461" s="44"/>
      <c r="AF461" s="907">
        <f>AF422</f>
        <v>2.5680000000000001E-2</v>
      </c>
      <c r="AG461" s="983">
        <v>0</v>
      </c>
      <c r="AH461" s="396">
        <f>AVERAGE(AF461,AG461)</f>
        <v>1.2840000000000001E-2</v>
      </c>
      <c r="AI461" s="22">
        <f>AG461</f>
        <v>0</v>
      </c>
      <c r="AJ461" s="22">
        <f>AI461</f>
        <v>0</v>
      </c>
      <c r="AK461" s="396">
        <f>AVERAGE(AI461,AJ461)</f>
        <v>0</v>
      </c>
      <c r="AL461" s="22">
        <f>AI461</f>
        <v>0</v>
      </c>
      <c r="AM461" s="22">
        <f>AJ461</f>
        <v>0</v>
      </c>
      <c r="AN461" s="396">
        <f>AVERAGE(AL461,AM461)</f>
        <v>0</v>
      </c>
      <c r="AO461" s="22">
        <f>AL461</f>
        <v>0</v>
      </c>
      <c r="AP461" s="22">
        <f>AM461</f>
        <v>0</v>
      </c>
      <c r="AQ461" s="396">
        <f>AVERAGE(AO461,AP461)</f>
        <v>0</v>
      </c>
      <c r="AR461" s="22">
        <f>AO461</f>
        <v>0</v>
      </c>
      <c r="AS461" s="22">
        <f>AP461</f>
        <v>0</v>
      </c>
      <c r="AT461" s="396">
        <f>AVERAGE(AR461,AS461)</f>
        <v>0</v>
      </c>
      <c r="AU461" s="22">
        <f>AR461</f>
        <v>0</v>
      </c>
      <c r="AV461" s="22">
        <f>AS461</f>
        <v>0</v>
      </c>
      <c r="AW461" s="396">
        <f>AVERAGE(AU461,AV461)</f>
        <v>0</v>
      </c>
      <c r="AX461" s="22">
        <f>AU461</f>
        <v>0</v>
      </c>
      <c r="AY461" s="22">
        <f>AV461</f>
        <v>0</v>
      </c>
      <c r="AZ461" s="396">
        <f>AVERAGE(AX461,AY461)</f>
        <v>0</v>
      </c>
      <c r="BA461" s="22">
        <f>AX461</f>
        <v>0</v>
      </c>
      <c r="BB461" s="22">
        <f>AY461</f>
        <v>0</v>
      </c>
      <c r="BC461" s="396">
        <f>AVERAGE(BA461,BB461)</f>
        <v>0</v>
      </c>
      <c r="BD461" s="22">
        <f>BD422</f>
        <v>0.05</v>
      </c>
      <c r="BE461" s="22">
        <f>BE422</f>
        <v>0.05</v>
      </c>
      <c r="BF461" s="396">
        <f>AVERAGE(BD461,BE461)</f>
        <v>0.05</v>
      </c>
      <c r="BG461" s="22">
        <f>BG422</f>
        <v>0.05</v>
      </c>
      <c r="BH461" s="22">
        <f>BH422</f>
        <v>0.05</v>
      </c>
      <c r="BI461" s="396">
        <f>AVERAGE(BG461,BH461)</f>
        <v>0.05</v>
      </c>
      <c r="BJ461" s="22">
        <f>BJ422</f>
        <v>0.05</v>
      </c>
      <c r="BK461" s="22">
        <f>BK422</f>
        <v>0.05</v>
      </c>
      <c r="BL461" s="396">
        <f>AVERAGE(BJ461,BK461)</f>
        <v>0.05</v>
      </c>
      <c r="BM461" s="22">
        <f>BM422</f>
        <v>0.05</v>
      </c>
      <c r="BN461" s="22">
        <f>BN422</f>
        <v>0.05</v>
      </c>
      <c r="BO461" s="396">
        <f>AVERAGE(BM461,BN461)</f>
        <v>0.05</v>
      </c>
      <c r="BP461" s="22">
        <f>BP422</f>
        <v>0.05</v>
      </c>
      <c r="BQ461" s="22">
        <f>BQ422</f>
        <v>0.05</v>
      </c>
      <c r="BR461" s="396">
        <f>AVERAGE(BP461,BQ461)</f>
        <v>0.05</v>
      </c>
    </row>
    <row r="462" spans="1:70" customFormat="1" ht="11.25" customHeight="1" outlineLevel="2">
      <c r="A462" s="6"/>
      <c r="B462" s="6"/>
      <c r="C462" s="108" t="s">
        <v>93</v>
      </c>
      <c r="D462" s="31" t="s">
        <v>66</v>
      </c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W462" s="6"/>
      <c r="X462" s="6"/>
      <c r="AE462" s="44"/>
      <c r="AF462" s="907">
        <f>AF423</f>
        <v>2.8443750000000004E-2</v>
      </c>
      <c r="AG462" s="983">
        <v>-0.05</v>
      </c>
      <c r="AH462" s="396">
        <f>AVERAGE(AF462,AG462)</f>
        <v>-1.0778125E-2</v>
      </c>
      <c r="AI462" s="22">
        <f>AG462</f>
        <v>-0.05</v>
      </c>
      <c r="AJ462" s="22">
        <f>AI462</f>
        <v>-0.05</v>
      </c>
      <c r="AK462" s="396">
        <f>AVERAGE(AI462,AJ462)</f>
        <v>-0.05</v>
      </c>
      <c r="AL462" s="22">
        <f>AI462</f>
        <v>-0.05</v>
      </c>
      <c r="AM462" s="22">
        <f>AJ462</f>
        <v>-0.05</v>
      </c>
      <c r="AN462" s="396">
        <f>AVERAGE(AL462,AM462)</f>
        <v>-0.05</v>
      </c>
      <c r="AO462" s="22">
        <f>AL462</f>
        <v>-0.05</v>
      </c>
      <c r="AP462" s="22">
        <f>AM462</f>
        <v>-0.05</v>
      </c>
      <c r="AQ462" s="396">
        <f>AVERAGE(AO462,AP462)</f>
        <v>-0.05</v>
      </c>
      <c r="AR462" s="22">
        <f>AO462</f>
        <v>-0.05</v>
      </c>
      <c r="AS462" s="22">
        <f>AP462</f>
        <v>-0.05</v>
      </c>
      <c r="AT462" s="396">
        <f>AVERAGE(AR462,AS462)</f>
        <v>-0.05</v>
      </c>
      <c r="AU462" s="22">
        <f>AR462</f>
        <v>-0.05</v>
      </c>
      <c r="AV462" s="22">
        <f>AS462</f>
        <v>-0.05</v>
      </c>
      <c r="AW462" s="396">
        <f>AVERAGE(AU462,AV462)</f>
        <v>-0.05</v>
      </c>
      <c r="AX462" s="22">
        <f>AU462</f>
        <v>-0.05</v>
      </c>
      <c r="AY462" s="22">
        <f>AV462</f>
        <v>-0.05</v>
      </c>
      <c r="AZ462" s="396">
        <f>AVERAGE(AX462,AY462)</f>
        <v>-0.05</v>
      </c>
      <c r="BA462" s="22">
        <f>AX462</f>
        <v>-0.05</v>
      </c>
      <c r="BB462" s="22">
        <f>AY462</f>
        <v>-0.05</v>
      </c>
      <c r="BC462" s="396">
        <f>AVERAGE(BA462,BB462)</f>
        <v>-0.05</v>
      </c>
      <c r="BD462" s="22">
        <f>BD423</f>
        <v>0.1</v>
      </c>
      <c r="BE462" s="22">
        <f>BE423</f>
        <v>0.1</v>
      </c>
      <c r="BF462" s="396">
        <f>AVERAGE(BD462,BE462)</f>
        <v>0.1</v>
      </c>
      <c r="BG462" s="22">
        <f>BG423</f>
        <v>0.1</v>
      </c>
      <c r="BH462" s="22">
        <f>BH423</f>
        <v>0.1</v>
      </c>
      <c r="BI462" s="396">
        <f>AVERAGE(BG462,BH462)</f>
        <v>0.1</v>
      </c>
      <c r="BJ462" s="22">
        <f>BJ423</f>
        <v>0.1</v>
      </c>
      <c r="BK462" s="22">
        <f>BK423</f>
        <v>0.1</v>
      </c>
      <c r="BL462" s="396">
        <f>AVERAGE(BJ462,BK462)</f>
        <v>0.1</v>
      </c>
      <c r="BM462" s="22">
        <f>BM423</f>
        <v>0.1</v>
      </c>
      <c r="BN462" s="22">
        <f>BN423</f>
        <v>0.1</v>
      </c>
      <c r="BO462" s="396">
        <f>AVERAGE(BM462,BN462)</f>
        <v>0.1</v>
      </c>
      <c r="BP462" s="22">
        <f>BP423</f>
        <v>0.1</v>
      </c>
      <c r="BQ462" s="22">
        <f>BQ423</f>
        <v>0.1</v>
      </c>
      <c r="BR462" s="396">
        <f>AVERAGE(BP462,BQ462)</f>
        <v>0.1</v>
      </c>
    </row>
    <row r="463" spans="1:70" customFormat="1" ht="11.25" customHeight="1" outlineLevel="2">
      <c r="A463" s="6"/>
      <c r="B463" s="6"/>
      <c r="C463" s="9" t="s">
        <v>83</v>
      </c>
      <c r="D463" s="31" t="s">
        <v>66</v>
      </c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W463" s="6"/>
      <c r="X463" s="6"/>
      <c r="AE463" s="44"/>
      <c r="AF463" s="133">
        <f t="shared" ref="AF463:AM463" si="1340">((AF284*AF464)+(AF285*AF465)+(AF286*AF466))</f>
        <v>4.4461817001289566E-2</v>
      </c>
      <c r="AG463" s="984">
        <f t="shared" si="1340"/>
        <v>-3.0652580372903335E-2</v>
      </c>
      <c r="AH463" s="20">
        <f>((AH284*AH464)+(AH285*AH465)+(AH286*AH466))</f>
        <v>7.2027802934422937E-3</v>
      </c>
      <c r="AI463" s="20">
        <f t="shared" si="1340"/>
        <v>-3.1597856785836126E-2</v>
      </c>
      <c r="AJ463" s="20">
        <f t="shared" si="1340"/>
        <v>-3.2533572828813494E-2</v>
      </c>
      <c r="AK463" s="20">
        <f>((AK284*AK464)+(AK285*AK465)+(AK286*AK466))</f>
        <v>-3.2073666182719535E-2</v>
      </c>
      <c r="AL463" s="20">
        <f t="shared" si="1340"/>
        <v>-3.2401330787409074E-2</v>
      </c>
      <c r="AM463" s="20">
        <f t="shared" si="1340"/>
        <v>-3.2747553098164281E-2</v>
      </c>
      <c r="AN463" s="20">
        <f>((AN284*AN464)+(AN285*AN465)+(AN286*AN466))</f>
        <v>-3.2569873703656743E-2</v>
      </c>
      <c r="AO463" s="20">
        <f t="shared" ref="AO463:AP463" si="1341">((AO284*AO464)+(AO285*AO465)+(AO286*AO466))</f>
        <v>-3.2646221427154683E-2</v>
      </c>
      <c r="AP463" s="20">
        <f t="shared" si="1341"/>
        <v>-3.2960143911385312E-2</v>
      </c>
      <c r="AQ463" s="20">
        <f>((AQ284*AQ464)+(AQ285*AQ465)+(AQ286*AQ466))</f>
        <v>-3.2798606401291265E-2</v>
      </c>
      <c r="AR463" s="20">
        <f t="shared" ref="AR463:AS463" si="1342">((AR284*AR464)+(AR285*AR465)+(AR286*AR466))</f>
        <v>-3.2859001025353621E-2</v>
      </c>
      <c r="AS463" s="20">
        <f t="shared" si="1342"/>
        <v>-3.3171863553744026E-2</v>
      </c>
      <c r="AT463" s="20">
        <f>((AT284*AT464)+(AT285*AT465)+(AT286*AT466))</f>
        <v>-3.3010898443654041E-2</v>
      </c>
      <c r="AU463" s="20">
        <f t="shared" ref="AU463:AV463" si="1343">((AU284*AU464)+(AU285*AU465)+(AU286*AU466))</f>
        <v>-3.3070928980287115E-2</v>
      </c>
      <c r="AV463" s="20">
        <f t="shared" si="1343"/>
        <v>-3.3382677672071495E-2</v>
      </c>
      <c r="AW463" s="20">
        <f>((AW284*AW464)+(AW285*AW465)+(AW286*AW466))</f>
        <v>-3.3222312387902873E-2</v>
      </c>
      <c r="AX463" s="20">
        <f t="shared" ref="AX463:AY463" si="1344">((AX284*AX464)+(AX285*AX465)+(AX286*AX466))</f>
        <v>-3.3281970811143383E-2</v>
      </c>
      <c r="AY463" s="20">
        <f t="shared" si="1344"/>
        <v>-3.3592552389515466E-2</v>
      </c>
      <c r="AZ463" s="20">
        <f>((AZ284*AZ464)+(AZ285*AZ465)+(AZ286*AZ466))</f>
        <v>-3.3432814031926932E-2</v>
      </c>
      <c r="BA463" s="20">
        <f t="shared" ref="BA463:BB463" si="1345">((BA284*BA464)+(BA285*BA465)+(BA286*BA466))</f>
        <v>-3.3492092498680313E-2</v>
      </c>
      <c r="BB463" s="20">
        <f t="shared" si="1345"/>
        <v>-3.3801454328859219E-2</v>
      </c>
      <c r="BC463" s="20">
        <f>((BC284*BC464)+(BC285*BC465)+(BC286*BC466))</f>
        <v>-3.364236965403955E-2</v>
      </c>
      <c r="BD463" s="20">
        <f t="shared" ref="BD463:BE463" si="1346">((BD284*BD464)+(BD285*BD465)+(BD286*BD466))</f>
        <v>7.5959359250401648E-2</v>
      </c>
      <c r="BE463" s="20">
        <f t="shared" si="1346"/>
        <v>7.6413792186935281E-2</v>
      </c>
      <c r="BF463" s="20">
        <f>((BF284*BF464)+(BF285*BF465)+(BF286*BF466))</f>
        <v>7.6180145403267119E-2</v>
      </c>
      <c r="BG463" s="20">
        <f t="shared" ref="BG463:BH463" si="1347">((BG284*BG464)+(BG285*BG465)+(BG286*BG466))</f>
        <v>7.6266426677416524E-2</v>
      </c>
      <c r="BH463" s="20">
        <f t="shared" si="1347"/>
        <v>7.6718908272089353E-2</v>
      </c>
      <c r="BI463" s="20">
        <f>((BI284*BI464)+(BI285*BI465)+(BI286*BI466))</f>
        <v>7.6486302966968137E-2</v>
      </c>
      <c r="BJ463" s="20">
        <f t="shared" ref="BJ463:BK463" si="1348">((BJ284*BJ464)+(BJ285*BJ465)+(BJ286*BJ466))</f>
        <v>7.6571990785195373E-2</v>
      </c>
      <c r="BK463" s="20">
        <f t="shared" si="1348"/>
        <v>7.7022446566859748E-2</v>
      </c>
      <c r="BL463" s="20">
        <f>((BL284*BL464)+(BL285*BL465)+(BL286*BL466))</f>
        <v>7.6790920518150993E-2</v>
      </c>
      <c r="BM463" s="20">
        <f t="shared" ref="BM463:BN463" si="1349">((BM284*BM464)+(BM285*BM465)+(BM286*BM466))</f>
        <v>7.6876004456358296E-2</v>
      </c>
      <c r="BN463" s="20">
        <f t="shared" si="1349"/>
        <v>7.7324361112351137E-2</v>
      </c>
      <c r="BO463" s="20">
        <f>((BO284*BO464)+(BO285*BO465)+(BO286*BO466))</f>
        <v>7.7093951483466996E-2</v>
      </c>
      <c r="BP463" s="20">
        <f t="shared" ref="BP463:BQ463" si="1350">((BP284*BP464)+(BP285*BP465)+(BP286*BP466))</f>
        <v>7.7178421418371279E-2</v>
      </c>
      <c r="BQ463" s="20">
        <f t="shared" si="1350"/>
        <v>7.7624606843726615E-2</v>
      </c>
      <c r="BR463" s="20">
        <f>((BR284*BR464)+(BR285*BR465)+(BR286*BR466))</f>
        <v>7.7395350158976209E-2</v>
      </c>
    </row>
    <row r="464" spans="1:70" customFormat="1" ht="11.25" customHeight="1" outlineLevel="2">
      <c r="A464" s="6"/>
      <c r="B464" s="6"/>
      <c r="C464" s="108" t="s">
        <v>289</v>
      </c>
      <c r="D464" s="31" t="s">
        <v>66</v>
      </c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W464" s="6"/>
      <c r="X464" s="6"/>
      <c r="AE464" s="44"/>
      <c r="AF464" s="907">
        <f t="shared" ref="AF464:AF466" si="1351">AF425</f>
        <v>6.6000000000000003E-2</v>
      </c>
      <c r="AG464" s="983">
        <v>-0.05</v>
      </c>
      <c r="AH464" s="396">
        <f>AVERAGE(AF464,AG464)</f>
        <v>8.0000000000000002E-3</v>
      </c>
      <c r="AI464" s="22">
        <f>AG464</f>
        <v>-0.05</v>
      </c>
      <c r="AJ464" s="22">
        <f>AI464</f>
        <v>-0.05</v>
      </c>
      <c r="AK464" s="396">
        <f>AVERAGE(AI464,AJ464)</f>
        <v>-0.05</v>
      </c>
      <c r="AL464" s="22">
        <f>AI464</f>
        <v>-0.05</v>
      </c>
      <c r="AM464" s="22">
        <f>AJ464</f>
        <v>-0.05</v>
      </c>
      <c r="AN464" s="396">
        <f>AVERAGE(AL464,AM464)</f>
        <v>-0.05</v>
      </c>
      <c r="AO464" s="22">
        <f>AL464</f>
        <v>-0.05</v>
      </c>
      <c r="AP464" s="22">
        <f>AM464</f>
        <v>-0.05</v>
      </c>
      <c r="AQ464" s="396">
        <f>AVERAGE(AO464,AP464)</f>
        <v>-0.05</v>
      </c>
      <c r="AR464" s="22">
        <f>AO464</f>
        <v>-0.05</v>
      </c>
      <c r="AS464" s="22">
        <f>AP464</f>
        <v>-0.05</v>
      </c>
      <c r="AT464" s="396">
        <f>AVERAGE(AR464,AS464)</f>
        <v>-0.05</v>
      </c>
      <c r="AU464" s="22">
        <f>AR464</f>
        <v>-0.05</v>
      </c>
      <c r="AV464" s="22">
        <f>AS464</f>
        <v>-0.05</v>
      </c>
      <c r="AW464" s="396">
        <f>AVERAGE(AU464,AV464)</f>
        <v>-0.05</v>
      </c>
      <c r="AX464" s="22">
        <f>AU464</f>
        <v>-0.05</v>
      </c>
      <c r="AY464" s="22">
        <f>AV464</f>
        <v>-0.05</v>
      </c>
      <c r="AZ464" s="396">
        <f>AVERAGE(AX464,AY464)</f>
        <v>-0.05</v>
      </c>
      <c r="BA464" s="22">
        <f>AX464</f>
        <v>-0.05</v>
      </c>
      <c r="BB464" s="22">
        <f>AY464</f>
        <v>-0.05</v>
      </c>
      <c r="BC464" s="396">
        <f>AVERAGE(BA464,BB464)</f>
        <v>-0.05</v>
      </c>
      <c r="BD464" s="22">
        <f t="shared" ref="BD464:BE464" si="1352">BD425</f>
        <v>0.1</v>
      </c>
      <c r="BE464" s="22">
        <f t="shared" si="1352"/>
        <v>0.1</v>
      </c>
      <c r="BF464" s="396">
        <f>AVERAGE(BD464,BE464)</f>
        <v>0.1</v>
      </c>
      <c r="BG464" s="22">
        <f t="shared" ref="BG464:BH464" si="1353">BG425</f>
        <v>0.1</v>
      </c>
      <c r="BH464" s="22">
        <f t="shared" si="1353"/>
        <v>0.1</v>
      </c>
      <c r="BI464" s="396">
        <f>AVERAGE(BG464,BH464)</f>
        <v>0.1</v>
      </c>
      <c r="BJ464" s="22">
        <f t="shared" ref="BJ464:BK464" si="1354">BJ425</f>
        <v>0.1</v>
      </c>
      <c r="BK464" s="22">
        <f t="shared" si="1354"/>
        <v>0.1</v>
      </c>
      <c r="BL464" s="396">
        <f>AVERAGE(BJ464,BK464)</f>
        <v>0.1</v>
      </c>
      <c r="BM464" s="22">
        <f t="shared" ref="BM464:BN464" si="1355">BM425</f>
        <v>0.1</v>
      </c>
      <c r="BN464" s="22">
        <f t="shared" si="1355"/>
        <v>0.1</v>
      </c>
      <c r="BO464" s="396">
        <f>AVERAGE(BM464,BN464)</f>
        <v>0.1</v>
      </c>
      <c r="BP464" s="22">
        <f t="shared" ref="BP464:BQ464" si="1356">BP425</f>
        <v>0.1</v>
      </c>
      <c r="BQ464" s="22">
        <f t="shared" si="1356"/>
        <v>0.1</v>
      </c>
      <c r="BR464" s="396">
        <f>AVERAGE(BP464,BQ464)</f>
        <v>0.1</v>
      </c>
    </row>
    <row r="465" spans="1:70" customFormat="1" ht="11.25" customHeight="1" outlineLevel="2">
      <c r="A465" s="6"/>
      <c r="B465" s="6"/>
      <c r="C465" s="108" t="s">
        <v>537</v>
      </c>
      <c r="D465" s="31" t="s">
        <v>66</v>
      </c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W465" s="6"/>
      <c r="X465" s="6"/>
      <c r="AE465" s="44"/>
      <c r="AF465" s="907">
        <f t="shared" si="1351"/>
        <v>4.3611111111111101E-2</v>
      </c>
      <c r="AG465" s="983">
        <v>-0.05</v>
      </c>
      <c r="AH465" s="396">
        <f>AVERAGE(AF465,AG465)</f>
        <v>-3.1944444444444511E-3</v>
      </c>
      <c r="AI465" s="22">
        <f t="shared" ref="AI465:AI466" si="1357">AG465</f>
        <v>-0.05</v>
      </c>
      <c r="AJ465" s="22">
        <f t="shared" ref="AJ465:AJ469" si="1358">AI465</f>
        <v>-0.05</v>
      </c>
      <c r="AK465" s="396">
        <f>AVERAGE(AI465,AJ465)</f>
        <v>-0.05</v>
      </c>
      <c r="AL465" s="22">
        <f t="shared" ref="AL465:AL466" si="1359">AI465</f>
        <v>-0.05</v>
      </c>
      <c r="AM465" s="22">
        <f t="shared" ref="AM465:AM466" si="1360">AJ465</f>
        <v>-0.05</v>
      </c>
      <c r="AN465" s="396">
        <f>AVERAGE(AL465,AM465)</f>
        <v>-0.05</v>
      </c>
      <c r="AO465" s="22">
        <f t="shared" ref="AO465:AO466" si="1361">AL465</f>
        <v>-0.05</v>
      </c>
      <c r="AP465" s="22">
        <f t="shared" ref="AP465:AP466" si="1362">AM465</f>
        <v>-0.05</v>
      </c>
      <c r="AQ465" s="396">
        <f>AVERAGE(AO465,AP465)</f>
        <v>-0.05</v>
      </c>
      <c r="AR465" s="22">
        <f t="shared" ref="AR465:AR466" si="1363">AO465</f>
        <v>-0.05</v>
      </c>
      <c r="AS465" s="22">
        <f t="shared" ref="AS465:AS466" si="1364">AP465</f>
        <v>-0.05</v>
      </c>
      <c r="AT465" s="396">
        <f>AVERAGE(AR465,AS465)</f>
        <v>-0.05</v>
      </c>
      <c r="AU465" s="22">
        <f t="shared" ref="AU465:AU466" si="1365">AR465</f>
        <v>-0.05</v>
      </c>
      <c r="AV465" s="22">
        <f t="shared" ref="AV465:AV466" si="1366">AS465</f>
        <v>-0.05</v>
      </c>
      <c r="AW465" s="396">
        <f>AVERAGE(AU465,AV465)</f>
        <v>-0.05</v>
      </c>
      <c r="AX465" s="22">
        <f t="shared" ref="AX465:AX466" si="1367">AU465</f>
        <v>-0.05</v>
      </c>
      <c r="AY465" s="22">
        <f t="shared" ref="AY465:AY466" si="1368">AV465</f>
        <v>-0.05</v>
      </c>
      <c r="AZ465" s="396">
        <f>AVERAGE(AX465,AY465)</f>
        <v>-0.05</v>
      </c>
      <c r="BA465" s="22">
        <f t="shared" ref="BA465:BA466" si="1369">AX465</f>
        <v>-0.05</v>
      </c>
      <c r="BB465" s="22">
        <f t="shared" ref="BB465:BB466" si="1370">AY465</f>
        <v>-0.05</v>
      </c>
      <c r="BC465" s="396">
        <f>AVERAGE(BA465,BB465)</f>
        <v>-0.05</v>
      </c>
      <c r="BD465" s="22">
        <f t="shared" ref="BD465:BE465" si="1371">BD426</f>
        <v>0.1</v>
      </c>
      <c r="BE465" s="22">
        <f t="shared" si="1371"/>
        <v>0.1</v>
      </c>
      <c r="BF465" s="396">
        <f>AVERAGE(BD465,BE465)</f>
        <v>0.1</v>
      </c>
      <c r="BG465" s="22">
        <f t="shared" ref="BG465:BH465" si="1372">BG426</f>
        <v>0.1</v>
      </c>
      <c r="BH465" s="22">
        <f t="shared" si="1372"/>
        <v>0.1</v>
      </c>
      <c r="BI465" s="396">
        <f>AVERAGE(BG465,BH465)</f>
        <v>0.1</v>
      </c>
      <c r="BJ465" s="22">
        <f t="shared" ref="BJ465:BK465" si="1373">BJ426</f>
        <v>0.1</v>
      </c>
      <c r="BK465" s="22">
        <f t="shared" si="1373"/>
        <v>0.1</v>
      </c>
      <c r="BL465" s="396">
        <f>AVERAGE(BJ465,BK465)</f>
        <v>0.1</v>
      </c>
      <c r="BM465" s="22">
        <f t="shared" ref="BM465:BN465" si="1374">BM426</f>
        <v>0.1</v>
      </c>
      <c r="BN465" s="22">
        <f t="shared" si="1374"/>
        <v>0.1</v>
      </c>
      <c r="BO465" s="396">
        <f>AVERAGE(BM465,BN465)</f>
        <v>0.1</v>
      </c>
      <c r="BP465" s="22">
        <f t="shared" ref="BP465:BQ465" si="1375">BP426</f>
        <v>0.1</v>
      </c>
      <c r="BQ465" s="22">
        <f t="shared" si="1375"/>
        <v>0.1</v>
      </c>
      <c r="BR465" s="396">
        <f>AVERAGE(BP465,BQ465)</f>
        <v>0.1</v>
      </c>
    </row>
    <row r="466" spans="1:70" customFormat="1" ht="11.25" customHeight="1" outlineLevel="2">
      <c r="A466" s="6"/>
      <c r="B466" s="6"/>
      <c r="C466" s="108" t="s">
        <v>290</v>
      </c>
      <c r="D466" s="31" t="s">
        <v>66</v>
      </c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W466" s="6"/>
      <c r="X466" s="6"/>
      <c r="AE466" s="44"/>
      <c r="AF466" s="907">
        <f t="shared" si="1351"/>
        <v>2.6250000000000002E-2</v>
      </c>
      <c r="AG466" s="983">
        <v>0</v>
      </c>
      <c r="AH466" s="396">
        <f>AVERAGE(AF466,AG466)</f>
        <v>1.3125000000000001E-2</v>
      </c>
      <c r="AI466" s="22">
        <f t="shared" si="1357"/>
        <v>0</v>
      </c>
      <c r="AJ466" s="22">
        <f t="shared" si="1358"/>
        <v>0</v>
      </c>
      <c r="AK466" s="396">
        <f>AVERAGE(AI466,AJ466)</f>
        <v>0</v>
      </c>
      <c r="AL466" s="22">
        <f t="shared" si="1359"/>
        <v>0</v>
      </c>
      <c r="AM466" s="22">
        <f t="shared" si="1360"/>
        <v>0</v>
      </c>
      <c r="AN466" s="396">
        <f>AVERAGE(AL466,AM466)</f>
        <v>0</v>
      </c>
      <c r="AO466" s="22">
        <f t="shared" si="1361"/>
        <v>0</v>
      </c>
      <c r="AP466" s="22">
        <f t="shared" si="1362"/>
        <v>0</v>
      </c>
      <c r="AQ466" s="396">
        <f>AVERAGE(AO466,AP466)</f>
        <v>0</v>
      </c>
      <c r="AR466" s="22">
        <f t="shared" si="1363"/>
        <v>0</v>
      </c>
      <c r="AS466" s="22">
        <f t="shared" si="1364"/>
        <v>0</v>
      </c>
      <c r="AT466" s="396">
        <f>AVERAGE(AR466,AS466)</f>
        <v>0</v>
      </c>
      <c r="AU466" s="22">
        <f t="shared" si="1365"/>
        <v>0</v>
      </c>
      <c r="AV466" s="22">
        <f t="shared" si="1366"/>
        <v>0</v>
      </c>
      <c r="AW466" s="396">
        <f>AVERAGE(AU466,AV466)</f>
        <v>0</v>
      </c>
      <c r="AX466" s="22">
        <f t="shared" si="1367"/>
        <v>0</v>
      </c>
      <c r="AY466" s="22">
        <f t="shared" si="1368"/>
        <v>0</v>
      </c>
      <c r="AZ466" s="396">
        <f>AVERAGE(AX466,AY466)</f>
        <v>0</v>
      </c>
      <c r="BA466" s="22">
        <f t="shared" si="1369"/>
        <v>0</v>
      </c>
      <c r="BB466" s="22">
        <f t="shared" si="1370"/>
        <v>0</v>
      </c>
      <c r="BC466" s="396">
        <f>AVERAGE(BA466,BB466)</f>
        <v>0</v>
      </c>
      <c r="BD466" s="22">
        <f t="shared" ref="BD466:BE466" si="1376">BD427</f>
        <v>2.6250000000000002E-2</v>
      </c>
      <c r="BE466" s="22">
        <f t="shared" si="1376"/>
        <v>2.6250000000000002E-2</v>
      </c>
      <c r="BF466" s="396">
        <f>AVERAGE(BD466,BE466)</f>
        <v>2.6250000000000002E-2</v>
      </c>
      <c r="BG466" s="22">
        <f t="shared" ref="BG466:BH466" si="1377">BG427</f>
        <v>2.6250000000000002E-2</v>
      </c>
      <c r="BH466" s="22">
        <f t="shared" si="1377"/>
        <v>2.6250000000000002E-2</v>
      </c>
      <c r="BI466" s="396">
        <f>AVERAGE(BG466,BH466)</f>
        <v>2.6250000000000002E-2</v>
      </c>
      <c r="BJ466" s="22">
        <f t="shared" ref="BJ466:BK466" si="1378">BJ427</f>
        <v>2.6250000000000002E-2</v>
      </c>
      <c r="BK466" s="22">
        <f t="shared" si="1378"/>
        <v>2.6250000000000002E-2</v>
      </c>
      <c r="BL466" s="396">
        <f>AVERAGE(BJ466,BK466)</f>
        <v>2.6250000000000002E-2</v>
      </c>
      <c r="BM466" s="22">
        <f t="shared" ref="BM466:BN466" si="1379">BM427</f>
        <v>2.6250000000000002E-2</v>
      </c>
      <c r="BN466" s="22">
        <f t="shared" si="1379"/>
        <v>2.6250000000000002E-2</v>
      </c>
      <c r="BO466" s="396">
        <f>AVERAGE(BM466,BN466)</f>
        <v>2.6250000000000002E-2</v>
      </c>
      <c r="BP466" s="22">
        <f t="shared" ref="BP466:BQ466" si="1380">BP427</f>
        <v>2.6250000000000002E-2</v>
      </c>
      <c r="BQ466" s="22">
        <f t="shared" si="1380"/>
        <v>2.6250000000000002E-2</v>
      </c>
      <c r="BR466" s="396">
        <f>AVERAGE(BP466,BQ466)</f>
        <v>2.6250000000000002E-2</v>
      </c>
    </row>
    <row r="467" spans="1:70" customFormat="1" ht="11.25" customHeight="1" outlineLevel="2">
      <c r="A467" s="6"/>
      <c r="B467" s="6"/>
      <c r="C467" s="9" t="s">
        <v>294</v>
      </c>
      <c r="D467" s="31" t="s">
        <v>66</v>
      </c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W467" s="6"/>
      <c r="X467" s="6"/>
      <c r="AE467" s="44"/>
      <c r="AF467" s="133">
        <f t="shared" ref="AF467:AN467" si="1381">((AF288*AF468)+(AF289*AF469))</f>
        <v>3.6716278508357625E-2</v>
      </c>
      <c r="AG467" s="984">
        <f t="shared" si="1381"/>
        <v>-2.7374889743980464E-2</v>
      </c>
      <c r="AH467" s="20">
        <f t="shared" si="1381"/>
        <v>4.9134559504348217E-3</v>
      </c>
      <c r="AI467" s="20">
        <f t="shared" si="1381"/>
        <v>-2.7315425766337154E-2</v>
      </c>
      <c r="AJ467" s="20">
        <f t="shared" si="1381"/>
        <v>-2.8256772469482317E-2</v>
      </c>
      <c r="AK467" s="20">
        <f t="shared" si="1381"/>
        <v>-2.7773460968698784E-2</v>
      </c>
      <c r="AL467" s="20">
        <f t="shared" si="1381"/>
        <v>-2.7572633282212374E-2</v>
      </c>
      <c r="AM467" s="20">
        <f t="shared" si="1381"/>
        <v>-2.8466101023837061E-2</v>
      </c>
      <c r="AN467" s="20">
        <f t="shared" si="1381"/>
        <v>-2.8006409375312104E-2</v>
      </c>
      <c r="AO467" s="20">
        <f t="shared" ref="AO467:AP467" si="1382">((AO288*AO468)+(AO289*AO469))</f>
        <v>-2.7528822762932954E-2</v>
      </c>
      <c r="AP467" s="20">
        <f t="shared" si="1382"/>
        <v>-2.8509208967281804E-2</v>
      </c>
      <c r="AQ467" s="20">
        <f t="shared" ref="AQ467:BR467" si="1383">((AQ288*AQ468)+(AQ289*AQ469))</f>
        <v>-2.8006154716524873E-2</v>
      </c>
      <c r="AR467" s="20">
        <f t="shared" si="1383"/>
        <v>-2.7759006343142479E-2</v>
      </c>
      <c r="AS467" s="20">
        <f t="shared" si="1383"/>
        <v>-2.8737106719376116E-2</v>
      </c>
      <c r="AT467" s="20">
        <f t="shared" si="1383"/>
        <v>-2.8235314502960462E-2</v>
      </c>
      <c r="AU467" s="20">
        <f t="shared" si="1383"/>
        <v>-2.7988717337501259E-2</v>
      </c>
      <c r="AV467" s="20">
        <f t="shared" si="1383"/>
        <v>-2.8964370935618933E-2</v>
      </c>
      <c r="AW467" s="20">
        <f t="shared" si="1383"/>
        <v>-2.8463922679975856E-2</v>
      </c>
      <c r="AX467" s="20">
        <f t="shared" si="1383"/>
        <v>-2.8217917493875345E-2</v>
      </c>
      <c r="AY467" s="20">
        <f t="shared" si="1383"/>
        <v>-2.9190965013792942E-2</v>
      </c>
      <c r="AZ467" s="20">
        <f t="shared" si="1383"/>
        <v>-2.8691941742401708E-2</v>
      </c>
      <c r="BA467" s="20">
        <f t="shared" si="1383"/>
        <v>-2.8446568906809508E-2</v>
      </c>
      <c r="BB467" s="20">
        <f t="shared" si="1383"/>
        <v>-2.9416852798903426E-2</v>
      </c>
      <c r="BC467" s="20">
        <f t="shared" si="1383"/>
        <v>-2.8919334581863815E-2</v>
      </c>
      <c r="BD467" s="20">
        <f t="shared" si="1383"/>
        <v>7.8674634041952685E-2</v>
      </c>
      <c r="BE467" s="20">
        <f t="shared" si="1383"/>
        <v>7.9641998605134767E-2</v>
      </c>
      <c r="BF467" s="20">
        <f t="shared" si="1383"/>
        <v>7.914606451007701E-2</v>
      </c>
      <c r="BG467" s="20">
        <f t="shared" si="1383"/>
        <v>7.8902075759955115E-2</v>
      </c>
      <c r="BH467" s="20">
        <f t="shared" si="1383"/>
        <v>7.9866367237155261E-2</v>
      </c>
      <c r="BI467" s="20">
        <f t="shared" si="1383"/>
        <v>7.9372095281547622E-2</v>
      </c>
      <c r="BJ467" s="20">
        <f t="shared" si="1383"/>
        <v>7.9128857339805986E-2</v>
      </c>
      <c r="BK467" s="20">
        <f t="shared" si="1383"/>
        <v>8.0089924010745425E-2</v>
      </c>
      <c r="BL467" s="20">
        <f t="shared" si="1383"/>
        <v>7.9597391115656127E-2</v>
      </c>
      <c r="BM467" s="20">
        <f t="shared" si="1383"/>
        <v>7.9354942501581871E-2</v>
      </c>
      <c r="BN467" s="20">
        <f t="shared" si="1383"/>
        <v>8.0312634772726044E-2</v>
      </c>
      <c r="BO467" s="20">
        <f t="shared" si="1383"/>
        <v>7.9821916718093341E-2</v>
      </c>
      <c r="BP467" s="20">
        <f t="shared" si="1383"/>
        <v>7.9580295428577391E-2</v>
      </c>
      <c r="BQ467" s="20">
        <f t="shared" si="1383"/>
        <v>8.0534465920164555E-2</v>
      </c>
      <c r="BR467" s="20">
        <f t="shared" si="1383"/>
        <v>8.0045637301624895E-2</v>
      </c>
    </row>
    <row r="468" spans="1:70" customFormat="1" ht="11.25" customHeight="1" outlineLevel="2">
      <c r="A468" s="6"/>
      <c r="B468" s="6"/>
      <c r="C468" s="108" t="s">
        <v>292</v>
      </c>
      <c r="D468" s="31" t="s">
        <v>66</v>
      </c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W468" s="6"/>
      <c r="X468" s="6"/>
      <c r="AE468" s="44"/>
      <c r="AF468" s="907">
        <f>AF429</f>
        <v>2.4340000000000001E-2</v>
      </c>
      <c r="AG468" s="983">
        <v>0</v>
      </c>
      <c r="AH468" s="396">
        <f>AVERAGE(AF468,AG468)</f>
        <v>1.217E-2</v>
      </c>
      <c r="AI468" s="22">
        <f t="shared" ref="AI468" si="1384">AG468</f>
        <v>0</v>
      </c>
      <c r="AJ468" s="22">
        <f t="shared" si="1358"/>
        <v>0</v>
      </c>
      <c r="AK468" s="396">
        <f>AVERAGE(AI468,AJ468)</f>
        <v>0</v>
      </c>
      <c r="AL468" s="22">
        <f t="shared" ref="AL468:AL469" si="1385">AI468</f>
        <v>0</v>
      </c>
      <c r="AM468" s="22">
        <f t="shared" ref="AM468:AM469" si="1386">AJ468</f>
        <v>0</v>
      </c>
      <c r="AN468" s="396">
        <f>AVERAGE(AL468,AM468)</f>
        <v>0</v>
      </c>
      <c r="AO468" s="22">
        <f t="shared" ref="AO468:AO469" si="1387">AL468</f>
        <v>0</v>
      </c>
      <c r="AP468" s="22">
        <f t="shared" ref="AP468:AP469" si="1388">AM468</f>
        <v>0</v>
      </c>
      <c r="AQ468" s="396">
        <f>AVERAGE(AO468,AP468)</f>
        <v>0</v>
      </c>
      <c r="AR468" s="22">
        <f t="shared" ref="AR468:AR469" si="1389">AO468</f>
        <v>0</v>
      </c>
      <c r="AS468" s="22">
        <f t="shared" ref="AS468:AS469" si="1390">AP468</f>
        <v>0</v>
      </c>
      <c r="AT468" s="396">
        <f>AVERAGE(AR468,AS468)</f>
        <v>0</v>
      </c>
      <c r="AU468" s="22">
        <f t="shared" ref="AU468:AU469" si="1391">AR468</f>
        <v>0</v>
      </c>
      <c r="AV468" s="22">
        <f t="shared" ref="AV468:AV469" si="1392">AS468</f>
        <v>0</v>
      </c>
      <c r="AW468" s="396">
        <f>AVERAGE(AU468,AV468)</f>
        <v>0</v>
      </c>
      <c r="AX468" s="22">
        <f t="shared" ref="AX468:AX469" si="1393">AU468</f>
        <v>0</v>
      </c>
      <c r="AY468" s="22">
        <f t="shared" ref="AY468:AY469" si="1394">AV468</f>
        <v>0</v>
      </c>
      <c r="AZ468" s="396">
        <f>AVERAGE(AX468,AY468)</f>
        <v>0</v>
      </c>
      <c r="BA468" s="22">
        <f t="shared" ref="BA468:BA469" si="1395">AX468</f>
        <v>0</v>
      </c>
      <c r="BB468" s="22">
        <f t="shared" ref="BB468:BB469" si="1396">AY468</f>
        <v>0</v>
      </c>
      <c r="BC468" s="396">
        <f>AVERAGE(BA468,BB468)</f>
        <v>0</v>
      </c>
      <c r="BD468" s="22">
        <f>BD429</f>
        <v>0.05</v>
      </c>
      <c r="BE468" s="22">
        <f>BE429</f>
        <v>0.05</v>
      </c>
      <c r="BF468" s="396">
        <f>AVERAGE(BD468,BE468)</f>
        <v>0.05</v>
      </c>
      <c r="BG468" s="22">
        <f>BG429</f>
        <v>0.05</v>
      </c>
      <c r="BH468" s="22">
        <f>BH429</f>
        <v>0.05</v>
      </c>
      <c r="BI468" s="396">
        <f>AVERAGE(BG468,BH468)</f>
        <v>0.05</v>
      </c>
      <c r="BJ468" s="22">
        <f>BJ429</f>
        <v>0.05</v>
      </c>
      <c r="BK468" s="22">
        <f>BK429</f>
        <v>0.05</v>
      </c>
      <c r="BL468" s="396">
        <f>AVERAGE(BJ468,BK468)</f>
        <v>0.05</v>
      </c>
      <c r="BM468" s="22">
        <f>BM429</f>
        <v>0.05</v>
      </c>
      <c r="BN468" s="22">
        <f>BN429</f>
        <v>0.05</v>
      </c>
      <c r="BO468" s="396">
        <f>AVERAGE(BM468,BN468)</f>
        <v>0.05</v>
      </c>
      <c r="BP468" s="22">
        <f>BP429</f>
        <v>0.05</v>
      </c>
      <c r="BQ468" s="22">
        <f>BQ429</f>
        <v>0.05</v>
      </c>
      <c r="BR468" s="396">
        <f>AVERAGE(BP468,BQ468)</f>
        <v>0.05</v>
      </c>
    </row>
    <row r="469" spans="1:70" customFormat="1" ht="11.25" customHeight="1" outlineLevel="2">
      <c r="A469" s="6"/>
      <c r="B469" s="6"/>
      <c r="C469" s="108" t="s">
        <v>293</v>
      </c>
      <c r="D469" s="31" t="s">
        <v>66</v>
      </c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W469" s="6"/>
      <c r="X469" s="6"/>
      <c r="AE469" s="44"/>
      <c r="AF469" s="907">
        <f>AF430</f>
        <v>4.7500000000000001E-2</v>
      </c>
      <c r="AG469" s="983">
        <v>-0.05</v>
      </c>
      <c r="AH469" s="396">
        <f>AVERAGE(AF469,AG469)</f>
        <v>-1.2500000000000011E-3</v>
      </c>
      <c r="AI469" s="22">
        <f t="shared" ref="AI469" si="1397">AG469</f>
        <v>-0.05</v>
      </c>
      <c r="AJ469" s="22">
        <f t="shared" si="1358"/>
        <v>-0.05</v>
      </c>
      <c r="AK469" s="396">
        <f>AVERAGE(AI469,AJ469)</f>
        <v>-0.05</v>
      </c>
      <c r="AL469" s="22">
        <f t="shared" si="1385"/>
        <v>-0.05</v>
      </c>
      <c r="AM469" s="22">
        <f t="shared" si="1386"/>
        <v>-0.05</v>
      </c>
      <c r="AN469" s="396">
        <f>AVERAGE(AL469,AM469)</f>
        <v>-0.05</v>
      </c>
      <c r="AO469" s="22">
        <f t="shared" si="1387"/>
        <v>-0.05</v>
      </c>
      <c r="AP469" s="22">
        <f t="shared" si="1388"/>
        <v>-0.05</v>
      </c>
      <c r="AQ469" s="396">
        <f>AVERAGE(AO469,AP469)</f>
        <v>-0.05</v>
      </c>
      <c r="AR469" s="22">
        <f t="shared" si="1389"/>
        <v>-0.05</v>
      </c>
      <c r="AS469" s="22">
        <f t="shared" si="1390"/>
        <v>-0.05</v>
      </c>
      <c r="AT469" s="396">
        <f>AVERAGE(AR469,AS469)</f>
        <v>-0.05</v>
      </c>
      <c r="AU469" s="22">
        <f t="shared" si="1391"/>
        <v>-0.05</v>
      </c>
      <c r="AV469" s="22">
        <f t="shared" si="1392"/>
        <v>-0.05</v>
      </c>
      <c r="AW469" s="396">
        <f>AVERAGE(AU469,AV469)</f>
        <v>-0.05</v>
      </c>
      <c r="AX469" s="22">
        <f t="shared" si="1393"/>
        <v>-0.05</v>
      </c>
      <c r="AY469" s="22">
        <f t="shared" si="1394"/>
        <v>-0.05</v>
      </c>
      <c r="AZ469" s="396">
        <f>AVERAGE(AX469,AY469)</f>
        <v>-0.05</v>
      </c>
      <c r="BA469" s="22">
        <f t="shared" si="1395"/>
        <v>-0.05</v>
      </c>
      <c r="BB469" s="22">
        <f t="shared" si="1396"/>
        <v>-0.05</v>
      </c>
      <c r="BC469" s="396">
        <f>AVERAGE(BA469,BB469)</f>
        <v>-0.05</v>
      </c>
      <c r="BD469" s="22">
        <f>BD430</f>
        <v>0.1</v>
      </c>
      <c r="BE469" s="22">
        <f>BE430</f>
        <v>0.1</v>
      </c>
      <c r="BF469" s="396">
        <f>AVERAGE(BD469,BE469)</f>
        <v>0.1</v>
      </c>
      <c r="BG469" s="22">
        <f>BG430</f>
        <v>0.1</v>
      </c>
      <c r="BH469" s="22">
        <f>BH430</f>
        <v>0.1</v>
      </c>
      <c r="BI469" s="396">
        <f>AVERAGE(BG469,BH469)</f>
        <v>0.1</v>
      </c>
      <c r="BJ469" s="22">
        <f>BJ430</f>
        <v>0.1</v>
      </c>
      <c r="BK469" s="22">
        <f>BK430</f>
        <v>0.1</v>
      </c>
      <c r="BL469" s="396">
        <f>AVERAGE(BJ469,BK469)</f>
        <v>0.1</v>
      </c>
      <c r="BM469" s="22">
        <f>BM430</f>
        <v>0.1</v>
      </c>
      <c r="BN469" s="22">
        <f>BN430</f>
        <v>0.1</v>
      </c>
      <c r="BO469" s="396">
        <f>AVERAGE(BM469,BN469)</f>
        <v>0.1</v>
      </c>
      <c r="BP469" s="22">
        <f>BP430</f>
        <v>0.1</v>
      </c>
      <c r="BQ469" s="22">
        <f>BQ430</f>
        <v>0.1</v>
      </c>
      <c r="BR469" s="396">
        <f>AVERAGE(BP469,BQ469)</f>
        <v>0.1</v>
      </c>
    </row>
    <row r="470" spans="1:70" customFormat="1" ht="11.25" customHeight="1" outlineLevel="2">
      <c r="A470" s="6"/>
      <c r="B470" s="6"/>
      <c r="C470" s="113" t="s">
        <v>295</v>
      </c>
      <c r="D470" s="7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W470" s="6"/>
      <c r="X470" s="6"/>
      <c r="AE470" s="44"/>
      <c r="AF470" s="130"/>
      <c r="AG470" s="931"/>
      <c r="AH470" s="6"/>
    </row>
    <row r="471" spans="1:70" customFormat="1" ht="11.25" customHeight="1" outlineLevel="2">
      <c r="A471" s="6"/>
      <c r="B471" s="6"/>
      <c r="C471" s="9" t="s">
        <v>80</v>
      </c>
      <c r="D471" s="31" t="s">
        <v>66</v>
      </c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W471" s="6"/>
      <c r="X471" s="6"/>
      <c r="AE471" s="44"/>
      <c r="AF471" s="133">
        <f t="shared" ref="AF471:AN471" si="1398">((AF278*AF472)+(AF279*AF473))</f>
        <v>0</v>
      </c>
      <c r="AG471" s="938">
        <f t="shared" si="1398"/>
        <v>0</v>
      </c>
      <c r="AH471" s="20">
        <f t="shared" si="1398"/>
        <v>0</v>
      </c>
      <c r="AI471" s="20">
        <f t="shared" si="1398"/>
        <v>0</v>
      </c>
      <c r="AJ471" s="20">
        <f t="shared" si="1398"/>
        <v>0</v>
      </c>
      <c r="AK471" s="20">
        <f t="shared" si="1398"/>
        <v>0</v>
      </c>
      <c r="AL471" s="20">
        <f t="shared" si="1398"/>
        <v>0</v>
      </c>
      <c r="AM471" s="20">
        <f t="shared" si="1398"/>
        <v>0</v>
      </c>
      <c r="AN471" s="20">
        <f t="shared" si="1398"/>
        <v>0</v>
      </c>
      <c r="AO471" s="20">
        <f t="shared" ref="AO471:BR471" si="1399">((AO278*AO472)+(AO279*AO473))</f>
        <v>0</v>
      </c>
      <c r="AP471" s="20">
        <f t="shared" si="1399"/>
        <v>0</v>
      </c>
      <c r="AQ471" s="20">
        <f t="shared" si="1399"/>
        <v>0</v>
      </c>
      <c r="AR471" s="20">
        <f t="shared" si="1399"/>
        <v>0</v>
      </c>
      <c r="AS471" s="20">
        <f t="shared" si="1399"/>
        <v>0</v>
      </c>
      <c r="AT471" s="20">
        <f t="shared" si="1399"/>
        <v>0</v>
      </c>
      <c r="AU471" s="20">
        <f t="shared" si="1399"/>
        <v>0</v>
      </c>
      <c r="AV471" s="20">
        <f t="shared" si="1399"/>
        <v>0</v>
      </c>
      <c r="AW471" s="20">
        <f t="shared" si="1399"/>
        <v>0</v>
      </c>
      <c r="AX471" s="20">
        <f t="shared" si="1399"/>
        <v>0</v>
      </c>
      <c r="AY471" s="20">
        <f t="shared" si="1399"/>
        <v>0</v>
      </c>
      <c r="AZ471" s="20">
        <f t="shared" si="1399"/>
        <v>0</v>
      </c>
      <c r="BA471" s="20">
        <f t="shared" si="1399"/>
        <v>0</v>
      </c>
      <c r="BB471" s="20">
        <f t="shared" si="1399"/>
        <v>0</v>
      </c>
      <c r="BC471" s="20">
        <f t="shared" si="1399"/>
        <v>0</v>
      </c>
      <c r="BD471" s="20">
        <f t="shared" si="1399"/>
        <v>0</v>
      </c>
      <c r="BE471" s="20">
        <f t="shared" si="1399"/>
        <v>0</v>
      </c>
      <c r="BF471" s="20">
        <f t="shared" si="1399"/>
        <v>0</v>
      </c>
      <c r="BG471" s="20">
        <f t="shared" si="1399"/>
        <v>0</v>
      </c>
      <c r="BH471" s="20">
        <f t="shared" si="1399"/>
        <v>0</v>
      </c>
      <c r="BI471" s="20">
        <f t="shared" si="1399"/>
        <v>0</v>
      </c>
      <c r="BJ471" s="20">
        <f t="shared" si="1399"/>
        <v>0</v>
      </c>
      <c r="BK471" s="20">
        <f t="shared" si="1399"/>
        <v>0</v>
      </c>
      <c r="BL471" s="20">
        <f t="shared" si="1399"/>
        <v>0</v>
      </c>
      <c r="BM471" s="20">
        <f t="shared" si="1399"/>
        <v>0</v>
      </c>
      <c r="BN471" s="20">
        <f t="shared" si="1399"/>
        <v>0</v>
      </c>
      <c r="BO471" s="20">
        <f t="shared" si="1399"/>
        <v>0</v>
      </c>
      <c r="BP471" s="20">
        <f t="shared" si="1399"/>
        <v>0</v>
      </c>
      <c r="BQ471" s="20">
        <f t="shared" si="1399"/>
        <v>0</v>
      </c>
      <c r="BR471" s="20">
        <f t="shared" si="1399"/>
        <v>0</v>
      </c>
    </row>
    <row r="472" spans="1:70" customFormat="1" ht="11.25" customHeight="1" outlineLevel="2">
      <c r="A472" s="6"/>
      <c r="B472" s="6"/>
      <c r="C472" s="108" t="s">
        <v>288</v>
      </c>
      <c r="D472" s="31" t="s">
        <v>66</v>
      </c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W472" s="6"/>
      <c r="X472" s="6"/>
      <c r="AE472" s="44"/>
      <c r="AF472" s="907">
        <v>0</v>
      </c>
      <c r="AG472" s="947">
        <v>0</v>
      </c>
      <c r="AH472" s="396">
        <f>AVERAGE(AF472,AG472)</f>
        <v>0</v>
      </c>
      <c r="AI472" s="22">
        <v>0</v>
      </c>
      <c r="AJ472" s="22">
        <v>0</v>
      </c>
      <c r="AK472" s="396">
        <f>AVERAGE(AI472,AJ472)</f>
        <v>0</v>
      </c>
      <c r="AL472" s="22">
        <v>0</v>
      </c>
      <c r="AM472" s="22">
        <v>0</v>
      </c>
      <c r="AN472" s="396">
        <f>AVERAGE(AL472,AM472)</f>
        <v>0</v>
      </c>
      <c r="AO472" s="22">
        <v>0</v>
      </c>
      <c r="AP472" s="22">
        <v>0</v>
      </c>
      <c r="AQ472" s="396">
        <f>AVERAGE(AO472,AP472)</f>
        <v>0</v>
      </c>
      <c r="AR472" s="22">
        <v>0</v>
      </c>
      <c r="AS472" s="22">
        <v>0</v>
      </c>
      <c r="AT472" s="396">
        <f>AVERAGE(AR472,AS472)</f>
        <v>0</v>
      </c>
      <c r="AU472" s="22">
        <v>0</v>
      </c>
      <c r="AV472" s="22">
        <v>0</v>
      </c>
      <c r="AW472" s="396">
        <f>AVERAGE(AU472,AV472)</f>
        <v>0</v>
      </c>
      <c r="AX472" s="22">
        <v>0</v>
      </c>
      <c r="AY472" s="22">
        <v>0</v>
      </c>
      <c r="AZ472" s="396">
        <f>AVERAGE(AX472,AY472)</f>
        <v>0</v>
      </c>
      <c r="BA472" s="22">
        <v>0</v>
      </c>
      <c r="BB472" s="22">
        <v>0</v>
      </c>
      <c r="BC472" s="396">
        <f>AVERAGE(BA472,BB472)</f>
        <v>0</v>
      </c>
      <c r="BD472" s="22">
        <v>0</v>
      </c>
      <c r="BE472" s="22">
        <v>0</v>
      </c>
      <c r="BF472" s="396">
        <f>AVERAGE(BD472,BE472)</f>
        <v>0</v>
      </c>
      <c r="BG472" s="22">
        <v>0</v>
      </c>
      <c r="BH472" s="22">
        <v>0</v>
      </c>
      <c r="BI472" s="396">
        <f>AVERAGE(BG472,BH472)</f>
        <v>0</v>
      </c>
      <c r="BJ472" s="22">
        <v>0</v>
      </c>
      <c r="BK472" s="22">
        <v>0</v>
      </c>
      <c r="BL472" s="396">
        <f>AVERAGE(BJ472,BK472)</f>
        <v>0</v>
      </c>
      <c r="BM472" s="22">
        <v>0</v>
      </c>
      <c r="BN472" s="22">
        <v>0</v>
      </c>
      <c r="BO472" s="396">
        <f>AVERAGE(BM472,BN472)</f>
        <v>0</v>
      </c>
      <c r="BP472" s="22">
        <v>0</v>
      </c>
      <c r="BQ472" s="22">
        <v>0</v>
      </c>
      <c r="BR472" s="396">
        <f>AVERAGE(BP472,BQ472)</f>
        <v>0</v>
      </c>
    </row>
    <row r="473" spans="1:70" customFormat="1" ht="11.25" customHeight="1" outlineLevel="2">
      <c r="A473" s="6"/>
      <c r="B473" s="6"/>
      <c r="C473" s="108" t="s">
        <v>538</v>
      </c>
      <c r="D473" s="31" t="s">
        <v>66</v>
      </c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W473" s="6"/>
      <c r="X473" s="6"/>
      <c r="AE473" s="44"/>
      <c r="AF473" s="907">
        <v>0</v>
      </c>
      <c r="AG473" s="947">
        <v>0</v>
      </c>
      <c r="AH473" s="396">
        <f>AVERAGE(AF473,AG473)</f>
        <v>0</v>
      </c>
      <c r="AI473" s="22">
        <v>0</v>
      </c>
      <c r="AJ473" s="22">
        <v>0</v>
      </c>
      <c r="AK473" s="396">
        <f>AVERAGE(AI473,AJ473)</f>
        <v>0</v>
      </c>
      <c r="AL473" s="22">
        <v>0</v>
      </c>
      <c r="AM473" s="22">
        <v>0</v>
      </c>
      <c r="AN473" s="396">
        <f>AVERAGE(AL473,AM473)</f>
        <v>0</v>
      </c>
      <c r="AO473" s="22">
        <v>0</v>
      </c>
      <c r="AP473" s="22">
        <v>0</v>
      </c>
      <c r="AQ473" s="396">
        <f>AVERAGE(AO473,AP473)</f>
        <v>0</v>
      </c>
      <c r="AR473" s="22">
        <v>0</v>
      </c>
      <c r="AS473" s="22">
        <v>0</v>
      </c>
      <c r="AT473" s="396">
        <f>AVERAGE(AR473,AS473)</f>
        <v>0</v>
      </c>
      <c r="AU473" s="22">
        <v>0</v>
      </c>
      <c r="AV473" s="22">
        <v>0</v>
      </c>
      <c r="AW473" s="396">
        <f>AVERAGE(AU473,AV473)</f>
        <v>0</v>
      </c>
      <c r="AX473" s="22">
        <v>0</v>
      </c>
      <c r="AY473" s="22">
        <v>0</v>
      </c>
      <c r="AZ473" s="396">
        <f>AVERAGE(AX473,AY473)</f>
        <v>0</v>
      </c>
      <c r="BA473" s="22">
        <v>0</v>
      </c>
      <c r="BB473" s="22">
        <v>0</v>
      </c>
      <c r="BC473" s="396">
        <f>AVERAGE(BA473,BB473)</f>
        <v>0</v>
      </c>
      <c r="BD473" s="22">
        <v>0</v>
      </c>
      <c r="BE473" s="22">
        <v>0</v>
      </c>
      <c r="BF473" s="396">
        <f>AVERAGE(BD473,BE473)</f>
        <v>0</v>
      </c>
      <c r="BG473" s="22">
        <v>0</v>
      </c>
      <c r="BH473" s="22">
        <v>0</v>
      </c>
      <c r="BI473" s="396">
        <f>AVERAGE(BG473,BH473)</f>
        <v>0</v>
      </c>
      <c r="BJ473" s="22">
        <v>0</v>
      </c>
      <c r="BK473" s="22">
        <v>0</v>
      </c>
      <c r="BL473" s="396">
        <f>AVERAGE(BJ473,BK473)</f>
        <v>0</v>
      </c>
      <c r="BM473" s="22">
        <v>0</v>
      </c>
      <c r="BN473" s="22">
        <v>0</v>
      </c>
      <c r="BO473" s="396">
        <f>AVERAGE(BM473,BN473)</f>
        <v>0</v>
      </c>
      <c r="BP473" s="22">
        <v>0</v>
      </c>
      <c r="BQ473" s="22">
        <v>0</v>
      </c>
      <c r="BR473" s="396">
        <f>AVERAGE(BP473,BQ473)</f>
        <v>0</v>
      </c>
    </row>
    <row r="474" spans="1:70" customFormat="1" ht="11.25" customHeight="1" outlineLevel="2">
      <c r="A474" s="6"/>
      <c r="B474" s="6"/>
      <c r="C474" s="9" t="s">
        <v>81</v>
      </c>
      <c r="D474" s="31" t="s">
        <v>66</v>
      </c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W474" s="6"/>
      <c r="X474" s="6"/>
      <c r="AE474" s="44"/>
      <c r="AF474" s="133">
        <f t="shared" ref="AF474:AN474" si="1400">((AF281*AF475)+(AF282*AF476))</f>
        <v>0</v>
      </c>
      <c r="AG474" s="938">
        <f t="shared" si="1400"/>
        <v>0</v>
      </c>
      <c r="AH474" s="20">
        <f t="shared" si="1400"/>
        <v>0</v>
      </c>
      <c r="AI474" s="20">
        <f t="shared" si="1400"/>
        <v>0</v>
      </c>
      <c r="AJ474" s="20">
        <f t="shared" si="1400"/>
        <v>0</v>
      </c>
      <c r="AK474" s="20">
        <f t="shared" si="1400"/>
        <v>0</v>
      </c>
      <c r="AL474" s="20">
        <f t="shared" si="1400"/>
        <v>0</v>
      </c>
      <c r="AM474" s="20">
        <f t="shared" si="1400"/>
        <v>0</v>
      </c>
      <c r="AN474" s="20">
        <f t="shared" si="1400"/>
        <v>0</v>
      </c>
      <c r="AO474" s="20">
        <f t="shared" ref="AO474:BR474" si="1401">((AO281*AO475)+(AO282*AO476))</f>
        <v>0</v>
      </c>
      <c r="AP474" s="20">
        <f t="shared" si="1401"/>
        <v>0</v>
      </c>
      <c r="AQ474" s="20">
        <f t="shared" si="1401"/>
        <v>0</v>
      </c>
      <c r="AR474" s="20">
        <f t="shared" si="1401"/>
        <v>0</v>
      </c>
      <c r="AS474" s="20">
        <f t="shared" si="1401"/>
        <v>0</v>
      </c>
      <c r="AT474" s="20">
        <f t="shared" si="1401"/>
        <v>0</v>
      </c>
      <c r="AU474" s="20">
        <f t="shared" si="1401"/>
        <v>0</v>
      </c>
      <c r="AV474" s="20">
        <f t="shared" si="1401"/>
        <v>0</v>
      </c>
      <c r="AW474" s="20">
        <f t="shared" si="1401"/>
        <v>0</v>
      </c>
      <c r="AX474" s="20">
        <f t="shared" si="1401"/>
        <v>0</v>
      </c>
      <c r="AY474" s="20">
        <f t="shared" si="1401"/>
        <v>0</v>
      </c>
      <c r="AZ474" s="20">
        <f t="shared" si="1401"/>
        <v>0</v>
      </c>
      <c r="BA474" s="20">
        <f t="shared" si="1401"/>
        <v>0</v>
      </c>
      <c r="BB474" s="20">
        <f t="shared" si="1401"/>
        <v>0</v>
      </c>
      <c r="BC474" s="20">
        <f t="shared" si="1401"/>
        <v>0</v>
      </c>
      <c r="BD474" s="20">
        <f t="shared" si="1401"/>
        <v>0</v>
      </c>
      <c r="BE474" s="20">
        <f t="shared" si="1401"/>
        <v>0</v>
      </c>
      <c r="BF474" s="20">
        <f t="shared" si="1401"/>
        <v>0</v>
      </c>
      <c r="BG474" s="20">
        <f t="shared" si="1401"/>
        <v>0</v>
      </c>
      <c r="BH474" s="20">
        <f t="shared" si="1401"/>
        <v>0</v>
      </c>
      <c r="BI474" s="20">
        <f t="shared" si="1401"/>
        <v>0</v>
      </c>
      <c r="BJ474" s="20">
        <f t="shared" si="1401"/>
        <v>0</v>
      </c>
      <c r="BK474" s="20">
        <f t="shared" si="1401"/>
        <v>0</v>
      </c>
      <c r="BL474" s="20">
        <f t="shared" si="1401"/>
        <v>0</v>
      </c>
      <c r="BM474" s="20">
        <f t="shared" si="1401"/>
        <v>0</v>
      </c>
      <c r="BN474" s="20">
        <f t="shared" si="1401"/>
        <v>0</v>
      </c>
      <c r="BO474" s="20">
        <f t="shared" si="1401"/>
        <v>0</v>
      </c>
      <c r="BP474" s="20">
        <f t="shared" si="1401"/>
        <v>0</v>
      </c>
      <c r="BQ474" s="20">
        <f t="shared" si="1401"/>
        <v>0</v>
      </c>
      <c r="BR474" s="20">
        <f t="shared" si="1401"/>
        <v>0</v>
      </c>
    </row>
    <row r="475" spans="1:70" customFormat="1" ht="11.25" customHeight="1" outlineLevel="2">
      <c r="A475" s="6"/>
      <c r="B475" s="6"/>
      <c r="C475" s="108" t="s">
        <v>59</v>
      </c>
      <c r="D475" s="31" t="s">
        <v>66</v>
      </c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W475" s="6"/>
      <c r="X475" s="6"/>
      <c r="AE475" s="44"/>
      <c r="AF475" s="907">
        <v>0</v>
      </c>
      <c r="AG475" s="947">
        <v>0</v>
      </c>
      <c r="AH475" s="396">
        <f>AVERAGE(AF475,AG475)</f>
        <v>0</v>
      </c>
      <c r="AI475" s="22">
        <v>0</v>
      </c>
      <c r="AJ475" s="22">
        <v>0</v>
      </c>
      <c r="AK475" s="396">
        <f>AVERAGE(AI475,AJ475)</f>
        <v>0</v>
      </c>
      <c r="AL475" s="22">
        <v>0</v>
      </c>
      <c r="AM475" s="22">
        <v>0</v>
      </c>
      <c r="AN475" s="396">
        <f>AVERAGE(AL475,AM475)</f>
        <v>0</v>
      </c>
      <c r="AO475" s="22">
        <v>0</v>
      </c>
      <c r="AP475" s="22">
        <v>0</v>
      </c>
      <c r="AQ475" s="396">
        <f>AVERAGE(AO475,AP475)</f>
        <v>0</v>
      </c>
      <c r="AR475" s="22">
        <v>0</v>
      </c>
      <c r="AS475" s="22">
        <v>0</v>
      </c>
      <c r="AT475" s="396">
        <f>AVERAGE(AR475,AS475)</f>
        <v>0</v>
      </c>
      <c r="AU475" s="22">
        <v>0</v>
      </c>
      <c r="AV475" s="22">
        <v>0</v>
      </c>
      <c r="AW475" s="396">
        <f>AVERAGE(AU475,AV475)</f>
        <v>0</v>
      </c>
      <c r="AX475" s="22">
        <v>0</v>
      </c>
      <c r="AY475" s="22">
        <v>0</v>
      </c>
      <c r="AZ475" s="396">
        <f>AVERAGE(AX475,AY475)</f>
        <v>0</v>
      </c>
      <c r="BA475" s="22">
        <v>0</v>
      </c>
      <c r="BB475" s="22">
        <v>0</v>
      </c>
      <c r="BC475" s="396">
        <f>AVERAGE(BA475,BB475)</f>
        <v>0</v>
      </c>
      <c r="BD475" s="22">
        <v>0</v>
      </c>
      <c r="BE475" s="22">
        <v>0</v>
      </c>
      <c r="BF475" s="396">
        <f>AVERAGE(BD475,BE475)</f>
        <v>0</v>
      </c>
      <c r="BG475" s="22">
        <v>0</v>
      </c>
      <c r="BH475" s="22">
        <v>0</v>
      </c>
      <c r="BI475" s="396">
        <f>AVERAGE(BG475,BH475)</f>
        <v>0</v>
      </c>
      <c r="BJ475" s="22">
        <v>0</v>
      </c>
      <c r="BK475" s="22">
        <v>0</v>
      </c>
      <c r="BL475" s="396">
        <f>AVERAGE(BJ475,BK475)</f>
        <v>0</v>
      </c>
      <c r="BM475" s="22">
        <v>0</v>
      </c>
      <c r="BN475" s="22">
        <v>0</v>
      </c>
      <c r="BO475" s="396">
        <f>AVERAGE(BM475,BN475)</f>
        <v>0</v>
      </c>
      <c r="BP475" s="22">
        <v>0</v>
      </c>
      <c r="BQ475" s="22">
        <v>0</v>
      </c>
      <c r="BR475" s="396">
        <f>AVERAGE(BP475,BQ475)</f>
        <v>0</v>
      </c>
    </row>
    <row r="476" spans="1:70" customFormat="1" ht="11.25" customHeight="1" outlineLevel="2">
      <c r="A476" s="6"/>
      <c r="B476" s="6"/>
      <c r="C476" s="108" t="s">
        <v>93</v>
      </c>
      <c r="D476" s="31" t="s">
        <v>66</v>
      </c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W476" s="6"/>
      <c r="X476" s="6"/>
      <c r="AE476" s="44"/>
      <c r="AF476" s="907">
        <v>0</v>
      </c>
      <c r="AG476" s="947">
        <v>0</v>
      </c>
      <c r="AH476" s="396">
        <f>AVERAGE(AF476,AG476)</f>
        <v>0</v>
      </c>
      <c r="AI476" s="22">
        <v>0</v>
      </c>
      <c r="AJ476" s="22">
        <v>0</v>
      </c>
      <c r="AK476" s="396">
        <f>AVERAGE(AI476,AJ476)</f>
        <v>0</v>
      </c>
      <c r="AL476" s="22">
        <v>0</v>
      </c>
      <c r="AM476" s="22">
        <v>0</v>
      </c>
      <c r="AN476" s="396">
        <f>AVERAGE(AL476,AM476)</f>
        <v>0</v>
      </c>
      <c r="AO476" s="22">
        <v>0</v>
      </c>
      <c r="AP476" s="22">
        <v>0</v>
      </c>
      <c r="AQ476" s="396">
        <f>AVERAGE(AO476,AP476)</f>
        <v>0</v>
      </c>
      <c r="AR476" s="22">
        <v>0</v>
      </c>
      <c r="AS476" s="22">
        <v>0</v>
      </c>
      <c r="AT476" s="396">
        <f>AVERAGE(AR476,AS476)</f>
        <v>0</v>
      </c>
      <c r="AU476" s="22">
        <v>0</v>
      </c>
      <c r="AV476" s="22">
        <v>0</v>
      </c>
      <c r="AW476" s="396">
        <f>AVERAGE(AU476,AV476)</f>
        <v>0</v>
      </c>
      <c r="AX476" s="22">
        <v>0</v>
      </c>
      <c r="AY476" s="22">
        <v>0</v>
      </c>
      <c r="AZ476" s="396">
        <f>AVERAGE(AX476,AY476)</f>
        <v>0</v>
      </c>
      <c r="BA476" s="22">
        <v>0</v>
      </c>
      <c r="BB476" s="22">
        <v>0</v>
      </c>
      <c r="BC476" s="396">
        <f>AVERAGE(BA476,BB476)</f>
        <v>0</v>
      </c>
      <c r="BD476" s="22">
        <v>0</v>
      </c>
      <c r="BE476" s="22">
        <v>0</v>
      </c>
      <c r="BF476" s="396">
        <f>AVERAGE(BD476,BE476)</f>
        <v>0</v>
      </c>
      <c r="BG476" s="22">
        <v>0</v>
      </c>
      <c r="BH476" s="22">
        <v>0</v>
      </c>
      <c r="BI476" s="396">
        <f>AVERAGE(BG476,BH476)</f>
        <v>0</v>
      </c>
      <c r="BJ476" s="22">
        <v>0</v>
      </c>
      <c r="BK476" s="22">
        <v>0</v>
      </c>
      <c r="BL476" s="396">
        <f>AVERAGE(BJ476,BK476)</f>
        <v>0</v>
      </c>
      <c r="BM476" s="22">
        <v>0</v>
      </c>
      <c r="BN476" s="22">
        <v>0</v>
      </c>
      <c r="BO476" s="396">
        <f>AVERAGE(BM476,BN476)</f>
        <v>0</v>
      </c>
      <c r="BP476" s="22">
        <v>0</v>
      </c>
      <c r="BQ476" s="22">
        <v>0</v>
      </c>
      <c r="BR476" s="396">
        <f>AVERAGE(BP476,BQ476)</f>
        <v>0</v>
      </c>
    </row>
    <row r="477" spans="1:70" customFormat="1" ht="11.25" customHeight="1" outlineLevel="2">
      <c r="A477" s="6"/>
      <c r="B477" s="6"/>
      <c r="C477" s="9" t="s">
        <v>83</v>
      </c>
      <c r="D477" s="31" t="s">
        <v>66</v>
      </c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W477" s="6"/>
      <c r="X477" s="6"/>
      <c r="AE477" s="44"/>
      <c r="AF477" s="133">
        <f t="shared" ref="AF477:AM477" si="1402">((AF284*AF478)+(AF285*AF479)+(AF286*AF480))</f>
        <v>0</v>
      </c>
      <c r="AG477" s="938">
        <f t="shared" si="1402"/>
        <v>0</v>
      </c>
      <c r="AH477" s="20">
        <f>((AH284*AH478)+(AH285*AH479)+(AH286*AH480))</f>
        <v>0</v>
      </c>
      <c r="AI477" s="20">
        <f t="shared" si="1402"/>
        <v>0</v>
      </c>
      <c r="AJ477" s="20">
        <f t="shared" si="1402"/>
        <v>0</v>
      </c>
      <c r="AK477" s="20">
        <f>((AK284*AK478)+(AK285*AK479)+(AK286*AK480))</f>
        <v>0</v>
      </c>
      <c r="AL477" s="20">
        <f t="shared" si="1402"/>
        <v>0</v>
      </c>
      <c r="AM477" s="20">
        <f t="shared" si="1402"/>
        <v>0</v>
      </c>
      <c r="AN477" s="20">
        <f>((AN284*AN478)+(AN285*AN479)+(AN286*AN480))</f>
        <v>0</v>
      </c>
      <c r="AO477" s="20">
        <f t="shared" ref="AO477:AP477" si="1403">((AO284*AO478)+(AO285*AO479)+(AO286*AO480))</f>
        <v>0</v>
      </c>
      <c r="AP477" s="20">
        <f t="shared" si="1403"/>
        <v>0</v>
      </c>
      <c r="AQ477" s="20">
        <f>((AQ284*AQ478)+(AQ285*AQ479)+(AQ286*AQ480))</f>
        <v>0</v>
      </c>
      <c r="AR477" s="20">
        <f t="shared" ref="AR477:AS477" si="1404">((AR284*AR478)+(AR285*AR479)+(AR286*AR480))</f>
        <v>0</v>
      </c>
      <c r="AS477" s="20">
        <f t="shared" si="1404"/>
        <v>0</v>
      </c>
      <c r="AT477" s="20">
        <f>((AT284*AT478)+(AT285*AT479)+(AT286*AT480))</f>
        <v>0</v>
      </c>
      <c r="AU477" s="20">
        <f t="shared" ref="AU477:AV477" si="1405">((AU284*AU478)+(AU285*AU479)+(AU286*AU480))</f>
        <v>0</v>
      </c>
      <c r="AV477" s="20">
        <f t="shared" si="1405"/>
        <v>0</v>
      </c>
      <c r="AW477" s="20">
        <f>((AW284*AW478)+(AW285*AW479)+(AW286*AW480))</f>
        <v>0</v>
      </c>
      <c r="AX477" s="20">
        <f t="shared" ref="AX477:AY477" si="1406">((AX284*AX478)+(AX285*AX479)+(AX286*AX480))</f>
        <v>0</v>
      </c>
      <c r="AY477" s="20">
        <f t="shared" si="1406"/>
        <v>0</v>
      </c>
      <c r="AZ477" s="20">
        <f>((AZ284*AZ478)+(AZ285*AZ479)+(AZ286*AZ480))</f>
        <v>0</v>
      </c>
      <c r="BA477" s="20">
        <f t="shared" ref="BA477:BB477" si="1407">((BA284*BA478)+(BA285*BA479)+(BA286*BA480))</f>
        <v>0</v>
      </c>
      <c r="BB477" s="20">
        <f t="shared" si="1407"/>
        <v>0</v>
      </c>
      <c r="BC477" s="20">
        <f>((BC284*BC478)+(BC285*BC479)+(BC286*BC480))</f>
        <v>0</v>
      </c>
      <c r="BD477" s="20">
        <f t="shared" ref="BD477:BE477" si="1408">((BD284*BD478)+(BD285*BD479)+(BD286*BD480))</f>
        <v>0</v>
      </c>
      <c r="BE477" s="20">
        <f t="shared" si="1408"/>
        <v>0</v>
      </c>
      <c r="BF477" s="20">
        <f>((BF284*BF478)+(BF285*BF479)+(BF286*BF480))</f>
        <v>0</v>
      </c>
      <c r="BG477" s="20">
        <f t="shared" ref="BG477:BH477" si="1409">((BG284*BG478)+(BG285*BG479)+(BG286*BG480))</f>
        <v>0</v>
      </c>
      <c r="BH477" s="20">
        <f t="shared" si="1409"/>
        <v>0</v>
      </c>
      <c r="BI477" s="20">
        <f>((BI284*BI478)+(BI285*BI479)+(BI286*BI480))</f>
        <v>0</v>
      </c>
      <c r="BJ477" s="20">
        <f t="shared" ref="BJ477:BK477" si="1410">((BJ284*BJ478)+(BJ285*BJ479)+(BJ286*BJ480))</f>
        <v>0</v>
      </c>
      <c r="BK477" s="20">
        <f t="shared" si="1410"/>
        <v>0</v>
      </c>
      <c r="BL477" s="20">
        <f>((BL284*BL478)+(BL285*BL479)+(BL286*BL480))</f>
        <v>0</v>
      </c>
      <c r="BM477" s="20">
        <f t="shared" ref="BM477:BN477" si="1411">((BM284*BM478)+(BM285*BM479)+(BM286*BM480))</f>
        <v>0</v>
      </c>
      <c r="BN477" s="20">
        <f t="shared" si="1411"/>
        <v>0</v>
      </c>
      <c r="BO477" s="20">
        <f>((BO284*BO478)+(BO285*BO479)+(BO286*BO480))</f>
        <v>0</v>
      </c>
      <c r="BP477" s="20">
        <f t="shared" ref="BP477:BQ477" si="1412">((BP284*BP478)+(BP285*BP479)+(BP286*BP480))</f>
        <v>0</v>
      </c>
      <c r="BQ477" s="20">
        <f t="shared" si="1412"/>
        <v>0</v>
      </c>
      <c r="BR477" s="20">
        <f>((BR284*BR478)+(BR285*BR479)+(BR286*BR480))</f>
        <v>0</v>
      </c>
    </row>
    <row r="478" spans="1:70" customFormat="1" ht="11.25" customHeight="1" outlineLevel="2">
      <c r="A478" s="6"/>
      <c r="B478" s="6"/>
      <c r="C478" s="108" t="s">
        <v>289</v>
      </c>
      <c r="D478" s="31" t="s">
        <v>66</v>
      </c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W478" s="6"/>
      <c r="X478" s="6"/>
      <c r="AE478" s="44"/>
      <c r="AF478" s="907">
        <v>0</v>
      </c>
      <c r="AG478" s="947">
        <v>0</v>
      </c>
      <c r="AH478" s="396">
        <f>AVERAGE(AF478,AG478)</f>
        <v>0</v>
      </c>
      <c r="AI478" s="22">
        <v>0</v>
      </c>
      <c r="AJ478" s="22">
        <v>0</v>
      </c>
      <c r="AK478" s="396">
        <f>AVERAGE(AI478,AJ478)</f>
        <v>0</v>
      </c>
      <c r="AL478" s="22">
        <v>0</v>
      </c>
      <c r="AM478" s="22">
        <v>0</v>
      </c>
      <c r="AN478" s="396">
        <f>AVERAGE(AL478,AM478)</f>
        <v>0</v>
      </c>
      <c r="AO478" s="22">
        <v>0</v>
      </c>
      <c r="AP478" s="22">
        <v>0</v>
      </c>
      <c r="AQ478" s="396">
        <f>AVERAGE(AO478,AP478)</f>
        <v>0</v>
      </c>
      <c r="AR478" s="22">
        <v>0</v>
      </c>
      <c r="AS478" s="22">
        <v>0</v>
      </c>
      <c r="AT478" s="396">
        <f>AVERAGE(AR478,AS478)</f>
        <v>0</v>
      </c>
      <c r="AU478" s="22">
        <v>0</v>
      </c>
      <c r="AV478" s="22">
        <v>0</v>
      </c>
      <c r="AW478" s="396">
        <f>AVERAGE(AU478,AV478)</f>
        <v>0</v>
      </c>
      <c r="AX478" s="22">
        <v>0</v>
      </c>
      <c r="AY478" s="22">
        <v>0</v>
      </c>
      <c r="AZ478" s="396">
        <f>AVERAGE(AX478,AY478)</f>
        <v>0</v>
      </c>
      <c r="BA478" s="22">
        <v>0</v>
      </c>
      <c r="BB478" s="22">
        <v>0</v>
      </c>
      <c r="BC478" s="396">
        <f>AVERAGE(BA478,BB478)</f>
        <v>0</v>
      </c>
      <c r="BD478" s="22">
        <v>0</v>
      </c>
      <c r="BE478" s="22">
        <v>0</v>
      </c>
      <c r="BF478" s="396">
        <f>AVERAGE(BD478,BE478)</f>
        <v>0</v>
      </c>
      <c r="BG478" s="22">
        <v>0</v>
      </c>
      <c r="BH478" s="22">
        <v>0</v>
      </c>
      <c r="BI478" s="396">
        <f>AVERAGE(BG478,BH478)</f>
        <v>0</v>
      </c>
      <c r="BJ478" s="22">
        <v>0</v>
      </c>
      <c r="BK478" s="22">
        <v>0</v>
      </c>
      <c r="BL478" s="396">
        <f>AVERAGE(BJ478,BK478)</f>
        <v>0</v>
      </c>
      <c r="BM478" s="22">
        <v>0</v>
      </c>
      <c r="BN478" s="22">
        <v>0</v>
      </c>
      <c r="BO478" s="396">
        <f>AVERAGE(BM478,BN478)</f>
        <v>0</v>
      </c>
      <c r="BP478" s="22">
        <v>0</v>
      </c>
      <c r="BQ478" s="22">
        <v>0</v>
      </c>
      <c r="BR478" s="396">
        <f>AVERAGE(BP478,BQ478)</f>
        <v>0</v>
      </c>
    </row>
    <row r="479" spans="1:70" customFormat="1" ht="11.25" customHeight="1" outlineLevel="2">
      <c r="A479" s="6"/>
      <c r="B479" s="6"/>
      <c r="C479" s="108" t="s">
        <v>537</v>
      </c>
      <c r="D479" s="31" t="s">
        <v>66</v>
      </c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W479" s="6"/>
      <c r="X479" s="6"/>
      <c r="AE479" s="44"/>
      <c r="AF479" s="907">
        <v>0</v>
      </c>
      <c r="AG479" s="947">
        <v>0</v>
      </c>
      <c r="AH479" s="396">
        <f>AVERAGE(AF479,AG479)</f>
        <v>0</v>
      </c>
      <c r="AI479" s="22">
        <v>0</v>
      </c>
      <c r="AJ479" s="22">
        <v>0</v>
      </c>
      <c r="AK479" s="396">
        <f>AVERAGE(AI479,AJ479)</f>
        <v>0</v>
      </c>
      <c r="AL479" s="22">
        <v>0</v>
      </c>
      <c r="AM479" s="22">
        <v>0</v>
      </c>
      <c r="AN479" s="396">
        <f>AVERAGE(AL479,AM479)</f>
        <v>0</v>
      </c>
      <c r="AO479" s="22">
        <v>0</v>
      </c>
      <c r="AP479" s="22">
        <v>0</v>
      </c>
      <c r="AQ479" s="396">
        <f>AVERAGE(AO479,AP479)</f>
        <v>0</v>
      </c>
      <c r="AR479" s="22">
        <v>0</v>
      </c>
      <c r="AS479" s="22">
        <v>0</v>
      </c>
      <c r="AT479" s="396">
        <f>AVERAGE(AR479,AS479)</f>
        <v>0</v>
      </c>
      <c r="AU479" s="22">
        <v>0</v>
      </c>
      <c r="AV479" s="22">
        <v>0</v>
      </c>
      <c r="AW479" s="396">
        <f>AVERAGE(AU479,AV479)</f>
        <v>0</v>
      </c>
      <c r="AX479" s="22">
        <v>0</v>
      </c>
      <c r="AY479" s="22">
        <v>0</v>
      </c>
      <c r="AZ479" s="396">
        <f>AVERAGE(AX479,AY479)</f>
        <v>0</v>
      </c>
      <c r="BA479" s="22">
        <v>0</v>
      </c>
      <c r="BB479" s="22">
        <v>0</v>
      </c>
      <c r="BC479" s="396">
        <f>AVERAGE(BA479,BB479)</f>
        <v>0</v>
      </c>
      <c r="BD479" s="22">
        <v>0</v>
      </c>
      <c r="BE479" s="22">
        <v>0</v>
      </c>
      <c r="BF479" s="396">
        <f>AVERAGE(BD479,BE479)</f>
        <v>0</v>
      </c>
      <c r="BG479" s="22">
        <v>0</v>
      </c>
      <c r="BH479" s="22">
        <v>0</v>
      </c>
      <c r="BI479" s="396">
        <f>AVERAGE(BG479,BH479)</f>
        <v>0</v>
      </c>
      <c r="BJ479" s="22">
        <v>0</v>
      </c>
      <c r="BK479" s="22">
        <v>0</v>
      </c>
      <c r="BL479" s="396">
        <f>AVERAGE(BJ479,BK479)</f>
        <v>0</v>
      </c>
      <c r="BM479" s="22">
        <v>0</v>
      </c>
      <c r="BN479" s="22">
        <v>0</v>
      </c>
      <c r="BO479" s="396">
        <f>AVERAGE(BM479,BN479)</f>
        <v>0</v>
      </c>
      <c r="BP479" s="22">
        <v>0</v>
      </c>
      <c r="BQ479" s="22">
        <v>0</v>
      </c>
      <c r="BR479" s="396">
        <f>AVERAGE(BP479,BQ479)</f>
        <v>0</v>
      </c>
    </row>
    <row r="480" spans="1:70" customFormat="1" ht="11.25" customHeight="1" outlineLevel="2">
      <c r="A480" s="6"/>
      <c r="B480" s="6"/>
      <c r="C480" s="108" t="s">
        <v>290</v>
      </c>
      <c r="D480" s="31" t="s">
        <v>66</v>
      </c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W480" s="6"/>
      <c r="X480" s="6"/>
      <c r="AE480" s="44"/>
      <c r="AF480" s="907">
        <v>0</v>
      </c>
      <c r="AG480" s="947">
        <v>0</v>
      </c>
      <c r="AH480" s="396">
        <f>AVERAGE(AF480,AG480)</f>
        <v>0</v>
      </c>
      <c r="AI480" s="22">
        <v>0</v>
      </c>
      <c r="AJ480" s="22">
        <v>0</v>
      </c>
      <c r="AK480" s="396">
        <f>AVERAGE(AI480,AJ480)</f>
        <v>0</v>
      </c>
      <c r="AL480" s="22">
        <v>0</v>
      </c>
      <c r="AM480" s="22">
        <v>0</v>
      </c>
      <c r="AN480" s="396">
        <f>AVERAGE(AL480,AM480)</f>
        <v>0</v>
      </c>
      <c r="AO480" s="22">
        <v>0</v>
      </c>
      <c r="AP480" s="22">
        <v>0</v>
      </c>
      <c r="AQ480" s="396">
        <f>AVERAGE(AO480,AP480)</f>
        <v>0</v>
      </c>
      <c r="AR480" s="22">
        <v>0</v>
      </c>
      <c r="AS480" s="22">
        <v>0</v>
      </c>
      <c r="AT480" s="396">
        <f>AVERAGE(AR480,AS480)</f>
        <v>0</v>
      </c>
      <c r="AU480" s="22">
        <v>0</v>
      </c>
      <c r="AV480" s="22">
        <v>0</v>
      </c>
      <c r="AW480" s="396">
        <f>AVERAGE(AU480,AV480)</f>
        <v>0</v>
      </c>
      <c r="AX480" s="22">
        <v>0</v>
      </c>
      <c r="AY480" s="22">
        <v>0</v>
      </c>
      <c r="AZ480" s="396">
        <f>AVERAGE(AX480,AY480)</f>
        <v>0</v>
      </c>
      <c r="BA480" s="22">
        <v>0</v>
      </c>
      <c r="BB480" s="22">
        <v>0</v>
      </c>
      <c r="BC480" s="396">
        <f>AVERAGE(BA480,BB480)</f>
        <v>0</v>
      </c>
      <c r="BD480" s="22">
        <v>0</v>
      </c>
      <c r="BE480" s="22">
        <v>0</v>
      </c>
      <c r="BF480" s="396">
        <f>AVERAGE(BD480,BE480)</f>
        <v>0</v>
      </c>
      <c r="BG480" s="22">
        <v>0</v>
      </c>
      <c r="BH480" s="22">
        <v>0</v>
      </c>
      <c r="BI480" s="396">
        <f>AVERAGE(BG480,BH480)</f>
        <v>0</v>
      </c>
      <c r="BJ480" s="22">
        <v>0</v>
      </c>
      <c r="BK480" s="22">
        <v>0</v>
      </c>
      <c r="BL480" s="396">
        <f>AVERAGE(BJ480,BK480)</f>
        <v>0</v>
      </c>
      <c r="BM480" s="22">
        <v>0</v>
      </c>
      <c r="BN480" s="22">
        <v>0</v>
      </c>
      <c r="BO480" s="396">
        <f>AVERAGE(BM480,BN480)</f>
        <v>0</v>
      </c>
      <c r="BP480" s="22">
        <v>0</v>
      </c>
      <c r="BQ480" s="22">
        <v>0</v>
      </c>
      <c r="BR480" s="396">
        <f>AVERAGE(BP480,BQ480)</f>
        <v>0</v>
      </c>
    </row>
    <row r="481" spans="1:70" customFormat="1" ht="11.25" customHeight="1" outlineLevel="2">
      <c r="A481" s="6"/>
      <c r="B481" s="6"/>
      <c r="C481" s="9" t="s">
        <v>82</v>
      </c>
      <c r="D481" s="31" t="s">
        <v>66</v>
      </c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W481" s="6"/>
      <c r="X481" s="6"/>
      <c r="AE481" s="44"/>
      <c r="AF481" s="133">
        <f t="shared" ref="AF481:AN481" si="1413">((AF288*AF482)+(AF289*AF483))</f>
        <v>0</v>
      </c>
      <c r="AG481" s="938">
        <f t="shared" si="1413"/>
        <v>0</v>
      </c>
      <c r="AH481" s="20">
        <f t="shared" si="1413"/>
        <v>0</v>
      </c>
      <c r="AI481" s="20">
        <f t="shared" si="1413"/>
        <v>0</v>
      </c>
      <c r="AJ481" s="20">
        <f t="shared" si="1413"/>
        <v>0</v>
      </c>
      <c r="AK481" s="20">
        <f t="shared" si="1413"/>
        <v>0</v>
      </c>
      <c r="AL481" s="20">
        <f t="shared" si="1413"/>
        <v>0</v>
      </c>
      <c r="AM481" s="20">
        <f t="shared" si="1413"/>
        <v>0</v>
      </c>
      <c r="AN481" s="20">
        <f t="shared" si="1413"/>
        <v>0</v>
      </c>
      <c r="AO481" s="20">
        <f t="shared" ref="AO481:BR481" si="1414">((AO288*AO482)+(AO289*AO483))</f>
        <v>0</v>
      </c>
      <c r="AP481" s="20">
        <f t="shared" si="1414"/>
        <v>0</v>
      </c>
      <c r="AQ481" s="20">
        <f t="shared" si="1414"/>
        <v>0</v>
      </c>
      <c r="AR481" s="20">
        <f t="shared" si="1414"/>
        <v>0</v>
      </c>
      <c r="AS481" s="20">
        <f t="shared" si="1414"/>
        <v>0</v>
      </c>
      <c r="AT481" s="20">
        <f t="shared" si="1414"/>
        <v>0</v>
      </c>
      <c r="AU481" s="20">
        <f t="shared" si="1414"/>
        <v>0</v>
      </c>
      <c r="AV481" s="20">
        <f t="shared" si="1414"/>
        <v>0</v>
      </c>
      <c r="AW481" s="20">
        <f t="shared" si="1414"/>
        <v>0</v>
      </c>
      <c r="AX481" s="20">
        <f t="shared" si="1414"/>
        <v>0</v>
      </c>
      <c r="AY481" s="20">
        <f t="shared" si="1414"/>
        <v>0</v>
      </c>
      <c r="AZ481" s="20">
        <f t="shared" si="1414"/>
        <v>0</v>
      </c>
      <c r="BA481" s="20">
        <f t="shared" si="1414"/>
        <v>0</v>
      </c>
      <c r="BB481" s="20">
        <f t="shared" si="1414"/>
        <v>0</v>
      </c>
      <c r="BC481" s="20">
        <f t="shared" si="1414"/>
        <v>0</v>
      </c>
      <c r="BD481" s="20">
        <f t="shared" si="1414"/>
        <v>0</v>
      </c>
      <c r="BE481" s="20">
        <f t="shared" si="1414"/>
        <v>0</v>
      </c>
      <c r="BF481" s="20">
        <f t="shared" si="1414"/>
        <v>0</v>
      </c>
      <c r="BG481" s="20">
        <f t="shared" si="1414"/>
        <v>0</v>
      </c>
      <c r="BH481" s="20">
        <f t="shared" si="1414"/>
        <v>0</v>
      </c>
      <c r="BI481" s="20">
        <f t="shared" si="1414"/>
        <v>0</v>
      </c>
      <c r="BJ481" s="20">
        <f t="shared" si="1414"/>
        <v>0</v>
      </c>
      <c r="BK481" s="20">
        <f t="shared" si="1414"/>
        <v>0</v>
      </c>
      <c r="BL481" s="20">
        <f t="shared" si="1414"/>
        <v>0</v>
      </c>
      <c r="BM481" s="20">
        <f t="shared" si="1414"/>
        <v>0</v>
      </c>
      <c r="BN481" s="20">
        <f t="shared" si="1414"/>
        <v>0</v>
      </c>
      <c r="BO481" s="20">
        <f t="shared" si="1414"/>
        <v>0</v>
      </c>
      <c r="BP481" s="20">
        <f t="shared" si="1414"/>
        <v>0</v>
      </c>
      <c r="BQ481" s="20">
        <f t="shared" si="1414"/>
        <v>0</v>
      </c>
      <c r="BR481" s="20">
        <f t="shared" si="1414"/>
        <v>0</v>
      </c>
    </row>
    <row r="482" spans="1:70" customFormat="1" ht="11.25" customHeight="1" outlineLevel="2">
      <c r="A482" s="6"/>
      <c r="B482" s="6"/>
      <c r="C482" s="108" t="s">
        <v>292</v>
      </c>
      <c r="D482" s="31" t="s">
        <v>66</v>
      </c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W482" s="6"/>
      <c r="X482" s="6"/>
      <c r="AE482" s="44"/>
      <c r="AF482" s="907">
        <v>0</v>
      </c>
      <c r="AG482" s="947">
        <v>0</v>
      </c>
      <c r="AH482" s="396">
        <f>AVERAGE(AF482,AG482)</f>
        <v>0</v>
      </c>
      <c r="AI482" s="22">
        <v>0</v>
      </c>
      <c r="AJ482" s="22">
        <v>0</v>
      </c>
      <c r="AK482" s="396">
        <f>AVERAGE(AI482,AJ482)</f>
        <v>0</v>
      </c>
      <c r="AL482" s="22">
        <v>0</v>
      </c>
      <c r="AM482" s="22">
        <v>0</v>
      </c>
      <c r="AN482" s="396">
        <f>AVERAGE(AL482,AM482)</f>
        <v>0</v>
      </c>
      <c r="AO482" s="22">
        <v>0</v>
      </c>
      <c r="AP482" s="22">
        <v>0</v>
      </c>
      <c r="AQ482" s="396">
        <f>AVERAGE(AO482,AP482)</f>
        <v>0</v>
      </c>
      <c r="AR482" s="22">
        <v>0</v>
      </c>
      <c r="AS482" s="22">
        <v>0</v>
      </c>
      <c r="AT482" s="396">
        <f>AVERAGE(AR482,AS482)</f>
        <v>0</v>
      </c>
      <c r="AU482" s="22">
        <v>0</v>
      </c>
      <c r="AV482" s="22">
        <v>0</v>
      </c>
      <c r="AW482" s="396">
        <f>AVERAGE(AU482,AV482)</f>
        <v>0</v>
      </c>
      <c r="AX482" s="22">
        <v>0</v>
      </c>
      <c r="AY482" s="22">
        <v>0</v>
      </c>
      <c r="AZ482" s="396">
        <f>AVERAGE(AX482,AY482)</f>
        <v>0</v>
      </c>
      <c r="BA482" s="22">
        <v>0</v>
      </c>
      <c r="BB482" s="22">
        <v>0</v>
      </c>
      <c r="BC482" s="396">
        <f>AVERAGE(BA482,BB482)</f>
        <v>0</v>
      </c>
      <c r="BD482" s="22">
        <v>0</v>
      </c>
      <c r="BE482" s="22">
        <v>0</v>
      </c>
      <c r="BF482" s="396">
        <f>AVERAGE(BD482,BE482)</f>
        <v>0</v>
      </c>
      <c r="BG482" s="22">
        <v>0</v>
      </c>
      <c r="BH482" s="22">
        <v>0</v>
      </c>
      <c r="BI482" s="396">
        <f>AVERAGE(BG482,BH482)</f>
        <v>0</v>
      </c>
      <c r="BJ482" s="22">
        <v>0</v>
      </c>
      <c r="BK482" s="22">
        <v>0</v>
      </c>
      <c r="BL482" s="396">
        <f>AVERAGE(BJ482,BK482)</f>
        <v>0</v>
      </c>
      <c r="BM482" s="22">
        <v>0</v>
      </c>
      <c r="BN482" s="22">
        <v>0</v>
      </c>
      <c r="BO482" s="396">
        <f>AVERAGE(BM482,BN482)</f>
        <v>0</v>
      </c>
      <c r="BP482" s="22">
        <v>0</v>
      </c>
      <c r="BQ482" s="22">
        <v>0</v>
      </c>
      <c r="BR482" s="396">
        <f>AVERAGE(BP482,BQ482)</f>
        <v>0</v>
      </c>
    </row>
    <row r="483" spans="1:70" customFormat="1" ht="11.25" customHeight="1" outlineLevel="2">
      <c r="A483" s="6"/>
      <c r="B483" s="6"/>
      <c r="C483" s="108" t="s">
        <v>293</v>
      </c>
      <c r="D483" s="31" t="s">
        <v>66</v>
      </c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W483" s="6"/>
      <c r="X483" s="6"/>
      <c r="AE483" s="44"/>
      <c r="AF483" s="907">
        <v>0</v>
      </c>
      <c r="AG483" s="947">
        <v>0</v>
      </c>
      <c r="AH483" s="396">
        <f>AVERAGE(AF483,AG483)</f>
        <v>0</v>
      </c>
      <c r="AI483" s="22">
        <v>0</v>
      </c>
      <c r="AJ483" s="22">
        <v>0</v>
      </c>
      <c r="AK483" s="396">
        <f>AVERAGE(AI483,AJ483)</f>
        <v>0</v>
      </c>
      <c r="AL483" s="22">
        <v>0</v>
      </c>
      <c r="AM483" s="22">
        <v>0</v>
      </c>
      <c r="AN483" s="396">
        <f>AVERAGE(AL483,AM483)</f>
        <v>0</v>
      </c>
      <c r="AO483" s="22">
        <v>0</v>
      </c>
      <c r="AP483" s="22">
        <v>0</v>
      </c>
      <c r="AQ483" s="396">
        <f>AVERAGE(AO483,AP483)</f>
        <v>0</v>
      </c>
      <c r="AR483" s="22">
        <v>0</v>
      </c>
      <c r="AS483" s="22">
        <v>0</v>
      </c>
      <c r="AT483" s="396">
        <f>AVERAGE(AR483,AS483)</f>
        <v>0</v>
      </c>
      <c r="AU483" s="22">
        <v>0</v>
      </c>
      <c r="AV483" s="22">
        <v>0</v>
      </c>
      <c r="AW483" s="396">
        <f>AVERAGE(AU483,AV483)</f>
        <v>0</v>
      </c>
      <c r="AX483" s="22">
        <v>0</v>
      </c>
      <c r="AY483" s="22">
        <v>0</v>
      </c>
      <c r="AZ483" s="396">
        <f>AVERAGE(AX483,AY483)</f>
        <v>0</v>
      </c>
      <c r="BA483" s="22">
        <v>0</v>
      </c>
      <c r="BB483" s="22">
        <v>0</v>
      </c>
      <c r="BC483" s="396">
        <f>AVERAGE(BA483,BB483)</f>
        <v>0</v>
      </c>
      <c r="BD483" s="22">
        <v>0</v>
      </c>
      <c r="BE483" s="22">
        <v>0</v>
      </c>
      <c r="BF483" s="396">
        <f>AVERAGE(BD483,BE483)</f>
        <v>0</v>
      </c>
      <c r="BG483" s="22">
        <v>0</v>
      </c>
      <c r="BH483" s="22">
        <v>0</v>
      </c>
      <c r="BI483" s="396">
        <f>AVERAGE(BG483,BH483)</f>
        <v>0</v>
      </c>
      <c r="BJ483" s="22">
        <v>0</v>
      </c>
      <c r="BK483" s="22">
        <v>0</v>
      </c>
      <c r="BL483" s="396">
        <f>AVERAGE(BJ483,BK483)</f>
        <v>0</v>
      </c>
      <c r="BM483" s="22">
        <v>0</v>
      </c>
      <c r="BN483" s="22">
        <v>0</v>
      </c>
      <c r="BO483" s="396">
        <f>AVERAGE(BM483,BN483)</f>
        <v>0</v>
      </c>
      <c r="BP483" s="22">
        <v>0</v>
      </c>
      <c r="BQ483" s="22">
        <v>0</v>
      </c>
      <c r="BR483" s="396">
        <f>AVERAGE(BP483,BQ483)</f>
        <v>0</v>
      </c>
    </row>
    <row r="484" spans="1:70" outlineLevel="2">
      <c r="B484" s="451" t="s">
        <v>307</v>
      </c>
    </row>
    <row r="485" spans="1:70" outlineLevel="2">
      <c r="B485" s="5"/>
      <c r="C485" s="102" t="s">
        <v>59</v>
      </c>
    </row>
    <row r="486" spans="1:70" outlineLevel="2">
      <c r="C486" s="95" t="s">
        <v>99</v>
      </c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</row>
    <row r="487" spans="1:70" outlineLevel="2">
      <c r="C487" s="108" t="s">
        <v>536</v>
      </c>
      <c r="D487" s="31" t="s">
        <v>66</v>
      </c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0"/>
      <c r="Q487" s="94"/>
      <c r="R487" s="349"/>
      <c r="S487" s="349">
        <v>-7.5999999999999998E-2</v>
      </c>
      <c r="T487" s="349"/>
      <c r="U487" s="349"/>
      <c r="V487" s="349"/>
      <c r="W487" s="349"/>
      <c r="X487" s="350"/>
      <c r="Y487" s="354"/>
      <c r="Z487" s="354"/>
      <c r="AA487" s="354"/>
      <c r="AB487" s="354"/>
      <c r="AC487" s="354"/>
      <c r="AD487" s="354"/>
      <c r="AE487" s="427"/>
      <c r="AF487" s="591">
        <v>0</v>
      </c>
      <c r="AG487" s="975">
        <v>0</v>
      </c>
      <c r="AH487" s="63">
        <f>AVERAGE(AF487,AG487)</f>
        <v>0</v>
      </c>
      <c r="AI487" s="134">
        <v>0</v>
      </c>
      <c r="AJ487" s="134">
        <v>0</v>
      </c>
      <c r="AK487" s="63">
        <f>AVERAGE(AI487,AJ487)</f>
        <v>0</v>
      </c>
      <c r="AL487" s="134">
        <v>0</v>
      </c>
      <c r="AM487" s="134">
        <v>0</v>
      </c>
      <c r="AN487" s="63">
        <f>AVERAGE(AL487,AM487)</f>
        <v>0</v>
      </c>
      <c r="AO487" s="134">
        <v>0</v>
      </c>
      <c r="AP487" s="134">
        <v>0</v>
      </c>
      <c r="AQ487" s="63">
        <f>AVERAGE(AO487,AP487)</f>
        <v>0</v>
      </c>
      <c r="AR487" s="134">
        <v>0</v>
      </c>
      <c r="AS487" s="134">
        <v>0</v>
      </c>
      <c r="AT487" s="63">
        <f>AVERAGE(AR487,AS487)</f>
        <v>0</v>
      </c>
      <c r="AU487" s="134">
        <v>0</v>
      </c>
      <c r="AV487" s="134">
        <v>0</v>
      </c>
      <c r="AW487" s="63">
        <f>AVERAGE(AU487,AV487)</f>
        <v>0</v>
      </c>
      <c r="AX487" s="134">
        <v>0</v>
      </c>
      <c r="AY487" s="134">
        <v>0</v>
      </c>
      <c r="AZ487" s="63">
        <f>AVERAGE(AX487,AY487)</f>
        <v>0</v>
      </c>
      <c r="BA487" s="134">
        <v>0</v>
      </c>
      <c r="BB487" s="134">
        <v>0</v>
      </c>
      <c r="BC487" s="63">
        <f>AVERAGE(BA487,BB487)</f>
        <v>0</v>
      </c>
      <c r="BD487" s="134">
        <v>0</v>
      </c>
      <c r="BE487" s="134">
        <v>0</v>
      </c>
      <c r="BF487" s="63">
        <f>AVERAGE(BD487,BE487)</f>
        <v>0</v>
      </c>
      <c r="BG487" s="134">
        <v>0</v>
      </c>
      <c r="BH487" s="134">
        <v>0</v>
      </c>
      <c r="BI487" s="63">
        <f>AVERAGE(BG487,BH487)</f>
        <v>0</v>
      </c>
      <c r="BJ487" s="134">
        <v>0</v>
      </c>
      <c r="BK487" s="134">
        <v>0</v>
      </c>
      <c r="BL487" s="63">
        <f>AVERAGE(BJ487,BK487)</f>
        <v>0</v>
      </c>
      <c r="BM487" s="134">
        <v>0</v>
      </c>
      <c r="BN487" s="134">
        <v>0</v>
      </c>
      <c r="BO487" s="63">
        <f>AVERAGE(BM487,BN487)</f>
        <v>0</v>
      </c>
      <c r="BP487" s="134">
        <v>0</v>
      </c>
      <c r="BQ487" s="134">
        <v>0</v>
      </c>
      <c r="BR487" s="63">
        <f>AVERAGE(BP487,BQ487)</f>
        <v>0</v>
      </c>
    </row>
    <row r="488" spans="1:70" outlineLevel="2">
      <c r="C488" s="102" t="s">
        <v>93</v>
      </c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AF488" s="429"/>
      <c r="AG488" s="974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  <c r="BG488" s="63"/>
      <c r="BH488" s="63"/>
      <c r="BI488" s="63"/>
      <c r="BJ488" s="63"/>
      <c r="BK488" s="63"/>
      <c r="BL488" s="63"/>
      <c r="BM488" s="63"/>
      <c r="BN488" s="63"/>
      <c r="BO488" s="63"/>
      <c r="BP488" s="63"/>
      <c r="BQ488" s="63"/>
      <c r="BR488" s="63"/>
    </row>
    <row r="489" spans="1:70" outlineLevel="2">
      <c r="C489" s="95" t="s">
        <v>99</v>
      </c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AF489" s="429"/>
      <c r="AG489" s="974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  <c r="BG489" s="63"/>
      <c r="BH489" s="63"/>
      <c r="BI489" s="63"/>
      <c r="BJ489" s="63"/>
      <c r="BK489" s="63"/>
      <c r="BL489" s="63"/>
      <c r="BM489" s="63"/>
      <c r="BN489" s="63"/>
      <c r="BO489" s="63"/>
      <c r="BP489" s="63"/>
      <c r="BQ489" s="63"/>
      <c r="BR489" s="63"/>
    </row>
    <row r="490" spans="1:70" outlineLevel="2">
      <c r="C490" s="108" t="s">
        <v>536</v>
      </c>
      <c r="D490" s="31" t="s">
        <v>66</v>
      </c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AF490" s="591">
        <v>0</v>
      </c>
      <c r="AG490" s="975">
        <v>0</v>
      </c>
      <c r="AH490" s="63">
        <f t="shared" ref="AH490:AH491" si="1415">AVERAGE(AF490,AG490)</f>
        <v>0</v>
      </c>
      <c r="AI490" s="134">
        <v>0</v>
      </c>
      <c r="AJ490" s="134">
        <v>0</v>
      </c>
      <c r="AK490" s="63">
        <f t="shared" ref="AK490:AK491" si="1416">AVERAGE(AI490,AJ490)</f>
        <v>0</v>
      </c>
      <c r="AL490" s="134">
        <v>0</v>
      </c>
      <c r="AM490" s="134">
        <v>0</v>
      </c>
      <c r="AN490" s="63">
        <f t="shared" ref="AN490:AN491" si="1417">AVERAGE(AL490,AM490)</f>
        <v>0</v>
      </c>
      <c r="AO490" s="134">
        <v>0</v>
      </c>
      <c r="AP490" s="134">
        <v>0</v>
      </c>
      <c r="AQ490" s="63">
        <f t="shared" ref="AQ490:AQ491" si="1418">AVERAGE(AO490,AP490)</f>
        <v>0</v>
      </c>
      <c r="AR490" s="134">
        <v>0</v>
      </c>
      <c r="AS490" s="134">
        <v>0</v>
      </c>
      <c r="AT490" s="63">
        <f t="shared" ref="AT490:AT491" si="1419">AVERAGE(AR490,AS490)</f>
        <v>0</v>
      </c>
      <c r="AU490" s="134">
        <v>0</v>
      </c>
      <c r="AV490" s="134">
        <v>0</v>
      </c>
      <c r="AW490" s="63">
        <f t="shared" ref="AW490:AW491" si="1420">AVERAGE(AU490,AV490)</f>
        <v>0</v>
      </c>
      <c r="AX490" s="134">
        <v>0</v>
      </c>
      <c r="AY490" s="134">
        <v>0</v>
      </c>
      <c r="AZ490" s="63">
        <f t="shared" ref="AZ490:AZ491" si="1421">AVERAGE(AX490,AY490)</f>
        <v>0</v>
      </c>
      <c r="BA490" s="134">
        <v>0</v>
      </c>
      <c r="BB490" s="134">
        <v>0</v>
      </c>
      <c r="BC490" s="63">
        <f t="shared" ref="BC490:BC491" si="1422">AVERAGE(BA490,BB490)</f>
        <v>0</v>
      </c>
      <c r="BD490" s="134">
        <v>0</v>
      </c>
      <c r="BE490" s="134">
        <v>0</v>
      </c>
      <c r="BF490" s="63">
        <f t="shared" ref="BF490:BF491" si="1423">AVERAGE(BD490,BE490)</f>
        <v>0</v>
      </c>
      <c r="BG490" s="134">
        <v>0</v>
      </c>
      <c r="BH490" s="134">
        <v>0</v>
      </c>
      <c r="BI490" s="63">
        <f t="shared" ref="BI490:BI491" si="1424">AVERAGE(BG490,BH490)</f>
        <v>0</v>
      </c>
      <c r="BJ490" s="134">
        <v>0</v>
      </c>
      <c r="BK490" s="134">
        <v>0</v>
      </c>
      <c r="BL490" s="63">
        <f t="shared" ref="BL490:BL491" si="1425">AVERAGE(BJ490,BK490)</f>
        <v>0</v>
      </c>
      <c r="BM490" s="134">
        <v>0</v>
      </c>
      <c r="BN490" s="134">
        <v>0</v>
      </c>
      <c r="BO490" s="63">
        <f t="shared" ref="BO490:BO491" si="1426">AVERAGE(BM490,BN490)</f>
        <v>0</v>
      </c>
      <c r="BP490" s="134">
        <v>0</v>
      </c>
      <c r="BQ490" s="134">
        <v>0</v>
      </c>
      <c r="BR490" s="63">
        <f t="shared" ref="BR490:BR491" si="1427">AVERAGE(BP490,BQ490)</f>
        <v>0</v>
      </c>
    </row>
    <row r="491" spans="1:70" outlineLevel="2">
      <c r="C491" s="108" t="s">
        <v>281</v>
      </c>
      <c r="D491" s="31" t="s">
        <v>66</v>
      </c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AF491" s="591">
        <v>0</v>
      </c>
      <c r="AG491" s="975">
        <v>0</v>
      </c>
      <c r="AH491" s="63">
        <f t="shared" si="1415"/>
        <v>0</v>
      </c>
      <c r="AI491" s="134">
        <v>0</v>
      </c>
      <c r="AJ491" s="134">
        <v>0</v>
      </c>
      <c r="AK491" s="63">
        <f t="shared" si="1416"/>
        <v>0</v>
      </c>
      <c r="AL491" s="134">
        <v>0</v>
      </c>
      <c r="AM491" s="134">
        <v>0</v>
      </c>
      <c r="AN491" s="63">
        <f t="shared" si="1417"/>
        <v>0</v>
      </c>
      <c r="AO491" s="134">
        <v>0</v>
      </c>
      <c r="AP491" s="134">
        <v>0</v>
      </c>
      <c r="AQ491" s="63">
        <f t="shared" si="1418"/>
        <v>0</v>
      </c>
      <c r="AR491" s="134">
        <v>0</v>
      </c>
      <c r="AS491" s="134">
        <v>0</v>
      </c>
      <c r="AT491" s="63">
        <f t="shared" si="1419"/>
        <v>0</v>
      </c>
      <c r="AU491" s="134">
        <v>0</v>
      </c>
      <c r="AV491" s="134">
        <v>0</v>
      </c>
      <c r="AW491" s="63">
        <f t="shared" si="1420"/>
        <v>0</v>
      </c>
      <c r="AX491" s="134">
        <v>0</v>
      </c>
      <c r="AY491" s="134">
        <v>0</v>
      </c>
      <c r="AZ491" s="63">
        <f t="shared" si="1421"/>
        <v>0</v>
      </c>
      <c r="BA491" s="134">
        <v>0</v>
      </c>
      <c r="BB491" s="134">
        <v>0</v>
      </c>
      <c r="BC491" s="63">
        <f t="shared" si="1422"/>
        <v>0</v>
      </c>
      <c r="BD491" s="134">
        <v>0</v>
      </c>
      <c r="BE491" s="134">
        <v>0</v>
      </c>
      <c r="BF491" s="63">
        <f t="shared" si="1423"/>
        <v>0</v>
      </c>
      <c r="BG491" s="134">
        <v>0</v>
      </c>
      <c r="BH491" s="134">
        <v>0</v>
      </c>
      <c r="BI491" s="63">
        <f t="shared" si="1424"/>
        <v>0</v>
      </c>
      <c r="BJ491" s="134">
        <v>0</v>
      </c>
      <c r="BK491" s="134">
        <v>0</v>
      </c>
      <c r="BL491" s="63">
        <f t="shared" si="1425"/>
        <v>0</v>
      </c>
      <c r="BM491" s="134">
        <v>0</v>
      </c>
      <c r="BN491" s="134">
        <v>0</v>
      </c>
      <c r="BO491" s="63">
        <f t="shared" si="1426"/>
        <v>0</v>
      </c>
      <c r="BP491" s="134">
        <v>0</v>
      </c>
      <c r="BQ491" s="134">
        <v>0</v>
      </c>
      <c r="BR491" s="63">
        <f t="shared" si="1427"/>
        <v>0</v>
      </c>
    </row>
    <row r="492" spans="1:70" outlineLevel="1">
      <c r="B492" s="408" t="s">
        <v>568</v>
      </c>
      <c r="C492" s="55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</row>
    <row r="493" spans="1:70" outlineLevel="2">
      <c r="B493" s="55"/>
      <c r="C493" s="57" t="s">
        <v>270</v>
      </c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AC493" s="698">
        <f>AC259</f>
        <v>1.0970588235294119</v>
      </c>
      <c r="AD493" s="698">
        <f>AD259</f>
        <v>1.0824974924774322</v>
      </c>
      <c r="AE493" s="698">
        <f>AE259</f>
        <v>1.0891987005955606</v>
      </c>
      <c r="AF493" s="698">
        <f>AF259</f>
        <v>1.1760521636040309</v>
      </c>
      <c r="AG493" s="962">
        <f>AD493</f>
        <v>1.0824974924774322</v>
      </c>
      <c r="AH493" s="415">
        <f>AVERAGE(AF493,AG493)</f>
        <v>1.1292748280407316</v>
      </c>
      <c r="AI493" s="674">
        <f>AF493</f>
        <v>1.1760521636040309</v>
      </c>
      <c r="AJ493" s="674">
        <f>AG493</f>
        <v>1.0824974924774322</v>
      </c>
      <c r="AK493" s="415">
        <f>AVERAGE(AI493,AJ493)</f>
        <v>1.1292748280407316</v>
      </c>
      <c r="AL493" s="674">
        <f>AI493</f>
        <v>1.1760521636040309</v>
      </c>
      <c r="AM493" s="674">
        <f>AJ493</f>
        <v>1.0824974924774322</v>
      </c>
      <c r="AN493" s="415">
        <f>AVERAGE(AL493,AM493)</f>
        <v>1.1292748280407316</v>
      </c>
      <c r="AO493" s="674">
        <f>AL493</f>
        <v>1.1760521636040309</v>
      </c>
      <c r="AP493" s="674">
        <f>AM493</f>
        <v>1.0824974924774322</v>
      </c>
      <c r="AQ493" s="415">
        <f>AVERAGE(AO493,AP493)</f>
        <v>1.1292748280407316</v>
      </c>
      <c r="AR493" s="674">
        <f>AO493</f>
        <v>1.1760521636040309</v>
      </c>
      <c r="AS493" s="674">
        <f>AP493</f>
        <v>1.0824974924774322</v>
      </c>
      <c r="AT493" s="415">
        <f>AVERAGE(AR493,AS493)</f>
        <v>1.1292748280407316</v>
      </c>
      <c r="AU493" s="674">
        <f>AR493</f>
        <v>1.1760521636040309</v>
      </c>
      <c r="AV493" s="674">
        <f>AS493</f>
        <v>1.0824974924774322</v>
      </c>
      <c r="AW493" s="415">
        <f>AVERAGE(AU493,AV493)</f>
        <v>1.1292748280407316</v>
      </c>
      <c r="AX493" s="674">
        <f>AU493</f>
        <v>1.1760521636040309</v>
      </c>
      <c r="AY493" s="674">
        <f>AV493</f>
        <v>1.0824974924774322</v>
      </c>
      <c r="AZ493" s="415">
        <f>AVERAGE(AX493,AY493)</f>
        <v>1.1292748280407316</v>
      </c>
      <c r="BA493" s="674">
        <f>AX493</f>
        <v>1.1760521636040309</v>
      </c>
      <c r="BB493" s="674">
        <f>AY493</f>
        <v>1.0824974924774322</v>
      </c>
      <c r="BC493" s="415">
        <f>AVERAGE(BA493,BB493)</f>
        <v>1.1292748280407316</v>
      </c>
      <c r="BD493" s="674">
        <f>BA493</f>
        <v>1.1760521636040309</v>
      </c>
      <c r="BE493" s="674">
        <f>BB493</f>
        <v>1.0824974924774322</v>
      </c>
      <c r="BF493" s="415">
        <f>AVERAGE(BD493,BE493)</f>
        <v>1.1292748280407316</v>
      </c>
      <c r="BG493" s="674">
        <f>BD493</f>
        <v>1.1760521636040309</v>
      </c>
      <c r="BH493" s="674">
        <f>BE493</f>
        <v>1.0824974924774322</v>
      </c>
      <c r="BI493" s="415">
        <f>AVERAGE(BG493,BH493)</f>
        <v>1.1292748280407316</v>
      </c>
      <c r="BJ493" s="674">
        <f>BG493</f>
        <v>1.1760521636040309</v>
      </c>
      <c r="BK493" s="674">
        <f>BH493</f>
        <v>1.0824974924774322</v>
      </c>
      <c r="BL493" s="415">
        <f>AVERAGE(BJ493,BK493)</f>
        <v>1.1292748280407316</v>
      </c>
      <c r="BM493" s="674">
        <f>BJ493</f>
        <v>1.1760521636040309</v>
      </c>
      <c r="BN493" s="674">
        <f>BK493</f>
        <v>1.0824974924774322</v>
      </c>
      <c r="BO493" s="415">
        <f>AVERAGE(BM493,BN493)</f>
        <v>1.1292748280407316</v>
      </c>
      <c r="BP493" s="674">
        <f>BM493</f>
        <v>1.1760521636040309</v>
      </c>
      <c r="BQ493" s="674">
        <f>BN493</f>
        <v>1.0824974924774322</v>
      </c>
      <c r="BR493" s="415">
        <f>AVERAGE(BP493,BQ493)</f>
        <v>1.1292748280407316</v>
      </c>
    </row>
    <row r="494" spans="1:70" outlineLevel="2">
      <c r="B494" s="451" t="s">
        <v>306</v>
      </c>
    </row>
    <row r="495" spans="1:70" customFormat="1" ht="11.25" customHeight="1" outlineLevel="2">
      <c r="A495" s="6"/>
      <c r="B495" s="6"/>
      <c r="C495" s="113" t="s">
        <v>663</v>
      </c>
      <c r="D495" s="7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W495" s="6"/>
      <c r="X495" s="6"/>
      <c r="AE495" s="44"/>
      <c r="AF495" s="130"/>
      <c r="AG495" s="931"/>
      <c r="AH495" s="6"/>
    </row>
    <row r="496" spans="1:70" customFormat="1" ht="11.25" customHeight="1" outlineLevel="2">
      <c r="A496" s="6"/>
      <c r="B496" s="6"/>
      <c r="C496" s="9" t="s">
        <v>80</v>
      </c>
      <c r="D496" s="31" t="s">
        <v>66</v>
      </c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W496" s="6"/>
      <c r="X496" s="6"/>
      <c r="AE496" s="44"/>
      <c r="AF496" s="133">
        <f t="shared" ref="AF496:AN496" si="1428">((AF278*AF497)+(AF279*AF498))</f>
        <v>2.3409075369562358E-2</v>
      </c>
      <c r="AG496" s="938">
        <f t="shared" si="1428"/>
        <v>2.3810305010067388E-2</v>
      </c>
      <c r="AH496" s="133">
        <f t="shared" si="1428"/>
        <v>2.3610822774653629E-2</v>
      </c>
      <c r="AI496" s="133">
        <f t="shared" si="1428"/>
        <v>2.107962360888388E-2</v>
      </c>
      <c r="AJ496" s="133">
        <f t="shared" si="1428"/>
        <v>1.9616109073432992E-2</v>
      </c>
      <c r="AK496" s="133">
        <f t="shared" si="1428"/>
        <v>2.0349430233542104E-2</v>
      </c>
      <c r="AL496" s="133">
        <f t="shared" si="1428"/>
        <v>1.8909757101799998E-2</v>
      </c>
      <c r="AM496" s="133">
        <f t="shared" si="1428"/>
        <v>1.4889709224107671E-2</v>
      </c>
      <c r="AN496" s="133">
        <f t="shared" si="1428"/>
        <v>1.6907959005377015E-2</v>
      </c>
      <c r="AO496" s="133">
        <f t="shared" ref="AO496:BR496" si="1429">((AO278*AO497)+(AO279*AO498))</f>
        <v>1.5009629393164237E-2</v>
      </c>
      <c r="AP496" s="133">
        <f t="shared" si="1429"/>
        <v>1.4921343705614199E-2</v>
      </c>
      <c r="AQ496" s="133">
        <f t="shared" si="1429"/>
        <v>1.4966678383989993E-2</v>
      </c>
      <c r="AR496" s="133">
        <f t="shared" si="1429"/>
        <v>1.5042217204611776E-2</v>
      </c>
      <c r="AS496" s="133">
        <f t="shared" si="1429"/>
        <v>1.4953232445596844E-2</v>
      </c>
      <c r="AT496" s="133">
        <f t="shared" si="1429"/>
        <v>1.4998928132100126E-2</v>
      </c>
      <c r="AU496" s="133">
        <f t="shared" si="1429"/>
        <v>1.5075059144365115E-2</v>
      </c>
      <c r="AV496" s="133">
        <f t="shared" si="1429"/>
        <v>1.4985375475755999E-2</v>
      </c>
      <c r="AW496" s="133">
        <f t="shared" si="1429"/>
        <v>1.5031432135078671E-2</v>
      </c>
      <c r="AX496" s="133">
        <f t="shared" si="1429"/>
        <v>1.5108155060747974E-2</v>
      </c>
      <c r="AY496" s="133">
        <f t="shared" si="1429"/>
        <v>1.5017772779918066E-2</v>
      </c>
      <c r="AZ496" s="133">
        <f t="shared" si="1429"/>
        <v>1.5064190307510893E-2</v>
      </c>
      <c r="BA496" s="133">
        <f t="shared" si="1429"/>
        <v>1.514150475141891E-2</v>
      </c>
      <c r="BB496" s="133">
        <f t="shared" si="1429"/>
        <v>1.5050424293277158E-2</v>
      </c>
      <c r="BC496" s="133">
        <f t="shared" si="1429"/>
        <v>1.5097202514289356E-2</v>
      </c>
      <c r="BD496" s="133">
        <f t="shared" si="1429"/>
        <v>1.5175107962653023E-2</v>
      </c>
      <c r="BE496" s="133">
        <f t="shared" si="1429"/>
        <v>1.5083329901646438E-2</v>
      </c>
      <c r="BF496" s="133">
        <f t="shared" si="1429"/>
        <v>1.5130468569880245E-2</v>
      </c>
      <c r="BG496" s="133">
        <f t="shared" si="1429"/>
        <v>1.5208964388636136E-2</v>
      </c>
      <c r="BH496" s="133">
        <f t="shared" si="1429"/>
        <v>1.5116489440719871E-2</v>
      </c>
      <c r="BI496" s="133">
        <f t="shared" si="1429"/>
        <v>1.5163988237601086E-2</v>
      </c>
      <c r="BJ496" s="133">
        <f t="shared" si="1429"/>
        <v>1.524307367077218E-2</v>
      </c>
      <c r="BK496" s="133">
        <f t="shared" si="1429"/>
        <v>1.5149902695345108E-2</v>
      </c>
      <c r="BL496" s="133">
        <f t="shared" si="1429"/>
        <v>1.5197761228910743E-2</v>
      </c>
      <c r="BM496" s="133">
        <f t="shared" si="1429"/>
        <v>1.5277435397004518E-2</v>
      </c>
      <c r="BN496" s="133">
        <f t="shared" si="1429"/>
        <v>1.5183569398808255E-2</v>
      </c>
      <c r="BO496" s="133">
        <f t="shared" si="1429"/>
        <v>1.5231787202712295E-2</v>
      </c>
      <c r="BP496" s="133">
        <f t="shared" si="1429"/>
        <v>1.5312049101152081E-2</v>
      </c>
      <c r="BQ496" s="133">
        <f t="shared" si="1429"/>
        <v>1.5217489232131287E-2</v>
      </c>
      <c r="BR496" s="133">
        <f t="shared" si="1429"/>
        <v>1.5266065764669684E-2</v>
      </c>
    </row>
    <row r="497" spans="1:70" customFormat="1" ht="11.25" customHeight="1" outlineLevel="2">
      <c r="A497" s="6"/>
      <c r="B497" s="6"/>
      <c r="C497" s="108" t="s">
        <v>288</v>
      </c>
      <c r="D497" s="31" t="s">
        <v>66</v>
      </c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W497" s="6"/>
      <c r="X497" s="6"/>
      <c r="AE497" s="44"/>
      <c r="AF497" s="907">
        <f>AF380</f>
        <v>2.3E-2</v>
      </c>
      <c r="AG497" s="947">
        <f>AG380</f>
        <v>2.3E-2</v>
      </c>
      <c r="AH497" s="396">
        <f>AVERAGE(AF497,AG497)</f>
        <v>2.3E-2</v>
      </c>
      <c r="AI497" s="22">
        <f>AI380</f>
        <v>1.95E-2</v>
      </c>
      <c r="AJ497" s="22">
        <f>AJ380</f>
        <v>1.7999999999999999E-2</v>
      </c>
      <c r="AK497" s="396">
        <f>AVERAGE(AI497,AJ497)</f>
        <v>1.8749999999999999E-2</v>
      </c>
      <c r="AL497" s="22">
        <f>AL380</f>
        <v>1.7000000000000001E-2</v>
      </c>
      <c r="AM497" s="22">
        <f>AM380</f>
        <v>1.2E-2</v>
      </c>
      <c r="AN497" s="396">
        <f>AVERAGE(AL497,AM497)</f>
        <v>1.4500000000000001E-2</v>
      </c>
      <c r="AO497" s="22">
        <f>AO380</f>
        <v>1.2E-2</v>
      </c>
      <c r="AP497" s="22">
        <f>AP380</f>
        <v>1.2E-2</v>
      </c>
      <c r="AQ497" s="396">
        <f>AVERAGE(AO497,AP497)</f>
        <v>1.2E-2</v>
      </c>
      <c r="AR497" s="22">
        <f>AR380</f>
        <v>1.2E-2</v>
      </c>
      <c r="AS497" s="22">
        <f>AS380</f>
        <v>1.2E-2</v>
      </c>
      <c r="AT497" s="396">
        <f>AVERAGE(AR497,AS497)</f>
        <v>1.2E-2</v>
      </c>
      <c r="AU497" s="22">
        <f>AU380</f>
        <v>1.2E-2</v>
      </c>
      <c r="AV497" s="22">
        <f>AV380</f>
        <v>1.2E-2</v>
      </c>
      <c r="AW497" s="396">
        <f>AVERAGE(AU497,AV497)</f>
        <v>1.2E-2</v>
      </c>
      <c r="AX497" s="22">
        <f>AX380</f>
        <v>1.2E-2</v>
      </c>
      <c r="AY497" s="22">
        <f>AY380</f>
        <v>1.2E-2</v>
      </c>
      <c r="AZ497" s="396">
        <f>AVERAGE(AX497,AY497)</f>
        <v>1.2E-2</v>
      </c>
      <c r="BA497" s="22">
        <f>BA380</f>
        <v>1.2E-2</v>
      </c>
      <c r="BB497" s="22">
        <f>BB380</f>
        <v>1.2E-2</v>
      </c>
      <c r="BC497" s="396">
        <f>AVERAGE(BA497,BB497)</f>
        <v>1.2E-2</v>
      </c>
      <c r="BD497" s="22">
        <f>BD380</f>
        <v>1.2E-2</v>
      </c>
      <c r="BE497" s="22">
        <f>BE380</f>
        <v>1.2E-2</v>
      </c>
      <c r="BF497" s="396">
        <f>AVERAGE(BD497,BE497)</f>
        <v>1.2E-2</v>
      </c>
      <c r="BG497" s="22">
        <f>BG380</f>
        <v>1.2E-2</v>
      </c>
      <c r="BH497" s="22">
        <f>BH380</f>
        <v>1.2E-2</v>
      </c>
      <c r="BI497" s="396">
        <f>AVERAGE(BG497,BH497)</f>
        <v>1.2E-2</v>
      </c>
      <c r="BJ497" s="22">
        <f>BJ380</f>
        <v>1.2E-2</v>
      </c>
      <c r="BK497" s="22">
        <f>BK380</f>
        <v>1.2E-2</v>
      </c>
      <c r="BL497" s="396">
        <f>AVERAGE(BJ497,BK497)</f>
        <v>1.2E-2</v>
      </c>
      <c r="BM497" s="22">
        <f>BM380</f>
        <v>1.2E-2</v>
      </c>
      <c r="BN497" s="22">
        <f>BN380</f>
        <v>1.2E-2</v>
      </c>
      <c r="BO497" s="396">
        <f>AVERAGE(BM497,BN497)</f>
        <v>1.2E-2</v>
      </c>
      <c r="BP497" s="22">
        <f>BP380</f>
        <v>1.2E-2</v>
      </c>
      <c r="BQ497" s="22">
        <f>BQ380</f>
        <v>1.2E-2</v>
      </c>
      <c r="BR497" s="396">
        <f>AVERAGE(BP497,BQ497)</f>
        <v>1.2E-2</v>
      </c>
    </row>
    <row r="498" spans="1:70" customFormat="1" ht="11.25" customHeight="1" outlineLevel="2">
      <c r="A498" s="6"/>
      <c r="B498" s="6"/>
      <c r="C498" s="108" t="s">
        <v>538</v>
      </c>
      <c r="D498" s="31" t="s">
        <v>66</v>
      </c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W498" s="6"/>
      <c r="X498" s="6"/>
      <c r="AE498" s="44"/>
      <c r="AF498" s="907">
        <f>AF381</f>
        <v>2.5000000000000001E-2</v>
      </c>
      <c r="AG498" s="947">
        <f>AG381</f>
        <v>2.7E-2</v>
      </c>
      <c r="AH498" s="396">
        <f>AVERAGE(AF498,AG498)</f>
        <v>2.6000000000000002E-2</v>
      </c>
      <c r="AI498" s="22">
        <f>AI381</f>
        <v>2.7E-2</v>
      </c>
      <c r="AJ498" s="22">
        <f>AJ381</f>
        <v>2.5999999999999999E-2</v>
      </c>
      <c r="AK498" s="396">
        <f>AVERAGE(AI498,AJ498)</f>
        <v>2.6499999999999999E-2</v>
      </c>
      <c r="AL498" s="22">
        <f>AL381</f>
        <v>2.5999999999999999E-2</v>
      </c>
      <c r="AM498" s="22">
        <f>AM381</f>
        <v>2.5999999999999999E-2</v>
      </c>
      <c r="AN498" s="396">
        <f>AVERAGE(AL498,AM498)</f>
        <v>2.5999999999999999E-2</v>
      </c>
      <c r="AO498" s="22">
        <f>AO381</f>
        <v>2.5999999999999999E-2</v>
      </c>
      <c r="AP498" s="22">
        <f>AP381</f>
        <v>2.5999999999999999E-2</v>
      </c>
      <c r="AQ498" s="396">
        <f>AVERAGE(AO498,AP498)</f>
        <v>2.5999999999999999E-2</v>
      </c>
      <c r="AR498" s="22">
        <f>AR381</f>
        <v>2.5999999999999999E-2</v>
      </c>
      <c r="AS498" s="22">
        <f>AS381</f>
        <v>2.5999999999999999E-2</v>
      </c>
      <c r="AT498" s="396">
        <f>AVERAGE(AR498,AS498)</f>
        <v>2.5999999999999999E-2</v>
      </c>
      <c r="AU498" s="22">
        <f>AU381</f>
        <v>2.5999999999999999E-2</v>
      </c>
      <c r="AV498" s="22">
        <f>AV381</f>
        <v>2.5999999999999999E-2</v>
      </c>
      <c r="AW498" s="396">
        <f>AVERAGE(AU498,AV498)</f>
        <v>2.5999999999999999E-2</v>
      </c>
      <c r="AX498" s="22">
        <f>AX381</f>
        <v>2.5999999999999999E-2</v>
      </c>
      <c r="AY498" s="22">
        <f>AY381</f>
        <v>2.5999999999999999E-2</v>
      </c>
      <c r="AZ498" s="396">
        <f>AVERAGE(AX498,AY498)</f>
        <v>2.5999999999999999E-2</v>
      </c>
      <c r="BA498" s="22">
        <f>BA381</f>
        <v>2.5999999999999999E-2</v>
      </c>
      <c r="BB498" s="22">
        <f>BB381</f>
        <v>2.5999999999999999E-2</v>
      </c>
      <c r="BC498" s="396">
        <f>AVERAGE(BA498,BB498)</f>
        <v>2.5999999999999999E-2</v>
      </c>
      <c r="BD498" s="22">
        <f>BD381</f>
        <v>2.5999999999999999E-2</v>
      </c>
      <c r="BE498" s="22">
        <f>BE381</f>
        <v>2.5999999999999999E-2</v>
      </c>
      <c r="BF498" s="396">
        <f>AVERAGE(BD498,BE498)</f>
        <v>2.5999999999999999E-2</v>
      </c>
      <c r="BG498" s="22">
        <f>BG381</f>
        <v>2.5999999999999999E-2</v>
      </c>
      <c r="BH498" s="22">
        <f>BH381</f>
        <v>2.5999999999999999E-2</v>
      </c>
      <c r="BI498" s="396">
        <f>AVERAGE(BG498,BH498)</f>
        <v>2.5999999999999999E-2</v>
      </c>
      <c r="BJ498" s="22">
        <f>BJ381</f>
        <v>2.5999999999999999E-2</v>
      </c>
      <c r="BK498" s="22">
        <f>BK381</f>
        <v>2.5999999999999999E-2</v>
      </c>
      <c r="BL498" s="396">
        <f>AVERAGE(BJ498,BK498)</f>
        <v>2.5999999999999999E-2</v>
      </c>
      <c r="BM498" s="22">
        <f>BM381</f>
        <v>2.5999999999999999E-2</v>
      </c>
      <c r="BN498" s="22">
        <f>BN381</f>
        <v>2.5999999999999999E-2</v>
      </c>
      <c r="BO498" s="396">
        <f>AVERAGE(BM498,BN498)</f>
        <v>2.5999999999999999E-2</v>
      </c>
      <c r="BP498" s="22">
        <f>BP381</f>
        <v>2.5999999999999999E-2</v>
      </c>
      <c r="BQ498" s="22">
        <f>BQ381</f>
        <v>2.5999999999999999E-2</v>
      </c>
      <c r="BR498" s="396">
        <f>AVERAGE(BP498,BQ498)</f>
        <v>2.5999999999999999E-2</v>
      </c>
    </row>
    <row r="499" spans="1:70" customFormat="1" ht="11.25" customHeight="1" outlineLevel="2">
      <c r="A499" s="6"/>
      <c r="B499" s="6"/>
      <c r="C499" s="9" t="s">
        <v>81</v>
      </c>
      <c r="D499" s="31" t="s">
        <v>66</v>
      </c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W499" s="6"/>
      <c r="X499" s="6"/>
      <c r="AE499" s="44"/>
      <c r="AF499" s="133">
        <f t="shared" ref="AF499:AN499" si="1430">((AF281*AF500)+(AF282*AF501))</f>
        <v>2.6910581077826613E-2</v>
      </c>
      <c r="AG499" s="938">
        <f t="shared" si="1430"/>
        <v>2.9995738508299973E-2</v>
      </c>
      <c r="AH499" s="133">
        <f t="shared" si="1430"/>
        <v>2.8459008037284433E-2</v>
      </c>
      <c r="AI499" s="133">
        <f t="shared" si="1430"/>
        <v>2.4941427119692439E-2</v>
      </c>
      <c r="AJ499" s="133">
        <f t="shared" si="1430"/>
        <v>2.4839896991494588E-2</v>
      </c>
      <c r="AK499" s="133">
        <f t="shared" si="1430"/>
        <v>2.4882681878337164E-2</v>
      </c>
      <c r="AL499" s="133">
        <f t="shared" si="1430"/>
        <v>2.5236210461724938E-2</v>
      </c>
      <c r="AM499" s="133">
        <f t="shared" si="1430"/>
        <v>2.2033337068437343E-2</v>
      </c>
      <c r="AN499" s="133">
        <f t="shared" si="1430"/>
        <v>2.3631830116921538E-2</v>
      </c>
      <c r="AO499" s="133">
        <f t="shared" ref="AO499:BR499" si="1431">((AO281*AO500)+(AO282*AO501))</f>
        <v>2.2158307586064307E-2</v>
      </c>
      <c r="AP499" s="133">
        <f t="shared" si="1431"/>
        <v>2.2148258454261688E-2</v>
      </c>
      <c r="AQ499" s="133">
        <f t="shared" si="1431"/>
        <v>2.2150816833796858E-2</v>
      </c>
      <c r="AR499" s="133">
        <f t="shared" si="1431"/>
        <v>2.2273425468468364E-2</v>
      </c>
      <c r="AS499" s="133">
        <f t="shared" si="1431"/>
        <v>2.226336166759153E-2</v>
      </c>
      <c r="AT499" s="133">
        <f t="shared" si="1431"/>
        <v>2.2265923839327625E-2</v>
      </c>
      <c r="AU499" s="133">
        <f t="shared" si="1431"/>
        <v>2.2388697276937288E-2</v>
      </c>
      <c r="AV499" s="133">
        <f t="shared" si="1431"/>
        <v>2.237862105518338E-2</v>
      </c>
      <c r="AW499" s="133">
        <f t="shared" si="1431"/>
        <v>2.238118644686873E-2</v>
      </c>
      <c r="AX499" s="133">
        <f t="shared" si="1431"/>
        <v>2.2504097206685027E-2</v>
      </c>
      <c r="AY499" s="133">
        <f t="shared" si="1431"/>
        <v>2.2494010823427134E-2</v>
      </c>
      <c r="AZ499" s="133">
        <f t="shared" si="1431"/>
        <v>2.2496578859913005E-2</v>
      </c>
      <c r="BA499" s="133">
        <f t="shared" si="1431"/>
        <v>2.2619599337540187E-2</v>
      </c>
      <c r="BB499" s="133">
        <f t="shared" si="1431"/>
        <v>2.2609505061309831E-2</v>
      </c>
      <c r="BC499" s="133">
        <f t="shared" si="1431"/>
        <v>2.2612075165063885E-2</v>
      </c>
      <c r="BD499" s="133">
        <f t="shared" si="1431"/>
        <v>2.2735177657151606E-2</v>
      </c>
      <c r="BE499" s="133">
        <f t="shared" si="1431"/>
        <v>2.2725077763603684E-2</v>
      </c>
      <c r="BF499" s="133">
        <f t="shared" si="1431"/>
        <v>2.2727649355227985E-2</v>
      </c>
      <c r="BG499" s="133">
        <f t="shared" si="1431"/>
        <v>2.285080608437037E-2</v>
      </c>
      <c r="BH499" s="133">
        <f t="shared" si="1431"/>
        <v>2.28407028542345E-2</v>
      </c>
      <c r="BI499" s="133">
        <f t="shared" si="1431"/>
        <v>2.2843275352987122E-2</v>
      </c>
      <c r="BJ499" s="133">
        <f t="shared" si="1431"/>
        <v>2.2966458492763745E-2</v>
      </c>
      <c r="BK499" s="133">
        <f t="shared" si="1431"/>
        <v>2.2956354209785836E-2</v>
      </c>
      <c r="BL499" s="133">
        <f t="shared" si="1431"/>
        <v>2.2958927034105035E-2</v>
      </c>
      <c r="BM499" s="133">
        <f t="shared" si="1431"/>
        <v>2.3082108734216043E-2</v>
      </c>
      <c r="BN499" s="133">
        <f t="shared" si="1431"/>
        <v>2.3072005683094088E-2</v>
      </c>
      <c r="BO499" s="133">
        <f t="shared" si="1431"/>
        <v>2.3074578251124044E-2</v>
      </c>
      <c r="BP499" s="133">
        <f t="shared" si="1431"/>
        <v>2.3197730662571126E-2</v>
      </c>
      <c r="BQ499" s="133">
        <f t="shared" si="1431"/>
        <v>2.3187631126889173E-2</v>
      </c>
      <c r="BR499" s="133">
        <f t="shared" si="1431"/>
        <v>2.3190202857006303E-2</v>
      </c>
    </row>
    <row r="500" spans="1:70" customFormat="1" ht="11.25" customHeight="1" outlineLevel="2">
      <c r="A500" s="6"/>
      <c r="B500" s="6"/>
      <c r="C500" s="108" t="s">
        <v>59</v>
      </c>
      <c r="D500" s="31" t="s">
        <v>66</v>
      </c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W500" s="6"/>
      <c r="X500" s="6"/>
      <c r="AE500" s="44"/>
      <c r="AF500" s="907">
        <f>AF383</f>
        <v>2.5680000000000001E-2</v>
      </c>
      <c r="AG500" s="947">
        <f>AG383</f>
        <v>2.6500000000000003E-2</v>
      </c>
      <c r="AH500" s="396">
        <f>AVERAGE(AF500,AG500)</f>
        <v>2.6090000000000002E-2</v>
      </c>
      <c r="AI500" s="22">
        <f>AI383</f>
        <v>2.2340000000000002E-2</v>
      </c>
      <c r="AJ500" s="22">
        <f>AJ383</f>
        <v>1.992E-2</v>
      </c>
      <c r="AK500" s="396">
        <f>AVERAGE(AI500,AJ500)</f>
        <v>2.1130000000000003E-2</v>
      </c>
      <c r="AL500" s="22">
        <f>AL383</f>
        <v>1.8000000000000002E-2</v>
      </c>
      <c r="AM500" s="22">
        <f>AM383</f>
        <v>1.208E-2</v>
      </c>
      <c r="AN500" s="396">
        <f>AVERAGE(AL500,AM500)</f>
        <v>1.5040000000000001E-2</v>
      </c>
      <c r="AO500" s="22">
        <f>AO383</f>
        <v>1.208E-2</v>
      </c>
      <c r="AP500" s="22">
        <f>AP383</f>
        <v>1.208E-2</v>
      </c>
      <c r="AQ500" s="396">
        <f>AVERAGE(AO500,AP500)</f>
        <v>1.208E-2</v>
      </c>
      <c r="AR500" s="22">
        <f>AR383</f>
        <v>1.208E-2</v>
      </c>
      <c r="AS500" s="22">
        <f>AS383</f>
        <v>1.208E-2</v>
      </c>
      <c r="AT500" s="396">
        <f>AVERAGE(AR500,AS500)</f>
        <v>1.208E-2</v>
      </c>
      <c r="AU500" s="22">
        <f>AU383</f>
        <v>1.208E-2</v>
      </c>
      <c r="AV500" s="22">
        <f>AV383</f>
        <v>1.208E-2</v>
      </c>
      <c r="AW500" s="396">
        <f>AVERAGE(AU500,AV500)</f>
        <v>1.208E-2</v>
      </c>
      <c r="AX500" s="22">
        <f>AX383</f>
        <v>1.208E-2</v>
      </c>
      <c r="AY500" s="22">
        <f>AY383</f>
        <v>1.208E-2</v>
      </c>
      <c r="AZ500" s="396">
        <f>AVERAGE(AX500,AY500)</f>
        <v>1.208E-2</v>
      </c>
      <c r="BA500" s="22">
        <f>BA383</f>
        <v>1.208E-2</v>
      </c>
      <c r="BB500" s="22">
        <f>BB383</f>
        <v>1.208E-2</v>
      </c>
      <c r="BC500" s="396">
        <f>AVERAGE(BA500,BB500)</f>
        <v>1.208E-2</v>
      </c>
      <c r="BD500" s="22">
        <f>BD383</f>
        <v>1.208E-2</v>
      </c>
      <c r="BE500" s="22">
        <f>BE383</f>
        <v>1.208E-2</v>
      </c>
      <c r="BF500" s="396">
        <f>AVERAGE(BD500,BE500)</f>
        <v>1.208E-2</v>
      </c>
      <c r="BG500" s="22">
        <f>BG383</f>
        <v>1.208E-2</v>
      </c>
      <c r="BH500" s="22">
        <f>BH383</f>
        <v>1.208E-2</v>
      </c>
      <c r="BI500" s="396">
        <f>AVERAGE(BG500,BH500)</f>
        <v>1.208E-2</v>
      </c>
      <c r="BJ500" s="22">
        <f>BJ383</f>
        <v>1.208E-2</v>
      </c>
      <c r="BK500" s="22">
        <f>BK383</f>
        <v>1.208E-2</v>
      </c>
      <c r="BL500" s="396">
        <f>AVERAGE(BJ500,BK500)</f>
        <v>1.208E-2</v>
      </c>
      <c r="BM500" s="22">
        <f>BM383</f>
        <v>1.208E-2</v>
      </c>
      <c r="BN500" s="22">
        <f>BN383</f>
        <v>1.208E-2</v>
      </c>
      <c r="BO500" s="396">
        <f>AVERAGE(BM500,BN500)</f>
        <v>1.208E-2</v>
      </c>
      <c r="BP500" s="22">
        <f>BP383</f>
        <v>1.208E-2</v>
      </c>
      <c r="BQ500" s="22">
        <f>BQ383</f>
        <v>1.208E-2</v>
      </c>
      <c r="BR500" s="396">
        <f>AVERAGE(BP500,BQ500)</f>
        <v>1.208E-2</v>
      </c>
    </row>
    <row r="501" spans="1:70" customFormat="1" ht="11.25" customHeight="1" outlineLevel="2">
      <c r="A501" s="6"/>
      <c r="B501" s="6"/>
      <c r="C501" s="108" t="s">
        <v>93</v>
      </c>
      <c r="D501" s="31" t="s">
        <v>66</v>
      </c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W501" s="6"/>
      <c r="X501" s="6"/>
      <c r="AE501" s="44"/>
      <c r="AF501" s="907">
        <f>AF384</f>
        <v>2.8443750000000004E-2</v>
      </c>
      <c r="AG501" s="947">
        <f>AG384</f>
        <v>3.44275E-2</v>
      </c>
      <c r="AH501" s="396">
        <f>AVERAGE(AF501,AG501)</f>
        <v>3.1435625000000002E-2</v>
      </c>
      <c r="AI501" s="22">
        <f>AI384</f>
        <v>2.827E-2</v>
      </c>
      <c r="AJ501" s="22">
        <f>AJ384</f>
        <v>3.0983750000000001E-2</v>
      </c>
      <c r="AK501" s="396">
        <f>AVERAGE(AI501,AJ501)</f>
        <v>2.9626875E-2</v>
      </c>
      <c r="AL501" s="22">
        <f>AL384</f>
        <v>3.3833749999999996E-2</v>
      </c>
      <c r="AM501" s="22">
        <f>AM384</f>
        <v>3.3833749999999996E-2</v>
      </c>
      <c r="AN501" s="396">
        <f>AVERAGE(AL501,AM501)</f>
        <v>3.3833749999999996E-2</v>
      </c>
      <c r="AO501" s="22">
        <f>AO384</f>
        <v>3.3833749999999996E-2</v>
      </c>
      <c r="AP501" s="22">
        <f>AP384</f>
        <v>3.3833749999999996E-2</v>
      </c>
      <c r="AQ501" s="396">
        <f>AVERAGE(AO501,AP501)</f>
        <v>3.3833749999999996E-2</v>
      </c>
      <c r="AR501" s="22">
        <f>AR384</f>
        <v>3.3833749999999996E-2</v>
      </c>
      <c r="AS501" s="22">
        <f>AS384</f>
        <v>3.3833749999999996E-2</v>
      </c>
      <c r="AT501" s="396">
        <f>AVERAGE(AR501,AS501)</f>
        <v>3.3833749999999996E-2</v>
      </c>
      <c r="AU501" s="22">
        <f>AU384</f>
        <v>3.3833749999999996E-2</v>
      </c>
      <c r="AV501" s="22">
        <f>AV384</f>
        <v>3.3833749999999996E-2</v>
      </c>
      <c r="AW501" s="396">
        <f>AVERAGE(AU501,AV501)</f>
        <v>3.3833749999999996E-2</v>
      </c>
      <c r="AX501" s="22">
        <f>AX384</f>
        <v>3.3833749999999996E-2</v>
      </c>
      <c r="AY501" s="22">
        <f>AY384</f>
        <v>3.3833749999999996E-2</v>
      </c>
      <c r="AZ501" s="396">
        <f>AVERAGE(AX501,AY501)</f>
        <v>3.3833749999999996E-2</v>
      </c>
      <c r="BA501" s="22">
        <f>BA384</f>
        <v>3.3833749999999996E-2</v>
      </c>
      <c r="BB501" s="22">
        <f>BB384</f>
        <v>3.3833749999999996E-2</v>
      </c>
      <c r="BC501" s="396">
        <f>AVERAGE(BA501,BB501)</f>
        <v>3.3833749999999996E-2</v>
      </c>
      <c r="BD501" s="22">
        <f>BD384</f>
        <v>3.3833749999999996E-2</v>
      </c>
      <c r="BE501" s="22">
        <f>BE384</f>
        <v>3.3833749999999996E-2</v>
      </c>
      <c r="BF501" s="396">
        <f>AVERAGE(BD501,BE501)</f>
        <v>3.3833749999999996E-2</v>
      </c>
      <c r="BG501" s="22">
        <f>BG384</f>
        <v>3.3833749999999996E-2</v>
      </c>
      <c r="BH501" s="22">
        <f>BH384</f>
        <v>3.3833749999999996E-2</v>
      </c>
      <c r="BI501" s="396">
        <f>AVERAGE(BG501,BH501)</f>
        <v>3.3833749999999996E-2</v>
      </c>
      <c r="BJ501" s="22">
        <f>BJ384</f>
        <v>3.3833749999999996E-2</v>
      </c>
      <c r="BK501" s="22">
        <f>BK384</f>
        <v>3.3833749999999996E-2</v>
      </c>
      <c r="BL501" s="396">
        <f>AVERAGE(BJ501,BK501)</f>
        <v>3.3833749999999996E-2</v>
      </c>
      <c r="BM501" s="22">
        <f>BM384</f>
        <v>3.3833749999999996E-2</v>
      </c>
      <c r="BN501" s="22">
        <f>BN384</f>
        <v>3.3833749999999996E-2</v>
      </c>
      <c r="BO501" s="396">
        <f>AVERAGE(BM501,BN501)</f>
        <v>3.3833749999999996E-2</v>
      </c>
      <c r="BP501" s="22">
        <f>BP384</f>
        <v>3.3833749999999996E-2</v>
      </c>
      <c r="BQ501" s="22">
        <f>BQ384</f>
        <v>3.3833749999999996E-2</v>
      </c>
      <c r="BR501" s="396">
        <f>AVERAGE(BP501,BQ501)</f>
        <v>3.3833749999999996E-2</v>
      </c>
    </row>
    <row r="502" spans="1:70" customFormat="1" ht="11.25" customHeight="1" outlineLevel="2">
      <c r="A502" s="6"/>
      <c r="B502" s="6"/>
      <c r="C502" s="9" t="s">
        <v>83</v>
      </c>
      <c r="D502" s="31" t="s">
        <v>66</v>
      </c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W502" s="6"/>
      <c r="X502" s="6"/>
      <c r="AE502" s="44"/>
      <c r="AF502" s="133">
        <f t="shared" ref="AF502:AM502" si="1432">((AF284*AF503)+(AF285*AF504)+(AF286*AF505))</f>
        <v>4.4461817001289566E-2</v>
      </c>
      <c r="AG502" s="938">
        <f t="shared" si="1432"/>
        <v>4.4235988305237506E-2</v>
      </c>
      <c r="AH502" s="133">
        <f>((AH284*AH503)+(AH285*AH504)+(AH286*AH505))</f>
        <v>4.4349926035103446E-2</v>
      </c>
      <c r="AI502" s="133">
        <f t="shared" si="1432"/>
        <v>4.4940939145687878E-2</v>
      </c>
      <c r="AJ502" s="133">
        <f t="shared" si="1432"/>
        <v>4.5613944986100698E-2</v>
      </c>
      <c r="AK502" s="133">
        <f>((AK284*AK503)+(AK285*AK504)+(AK286*AK505))</f>
        <v>4.5298981428676457E-2</v>
      </c>
      <c r="AL502" s="133">
        <f t="shared" si="1432"/>
        <v>4.4617835860764295E-2</v>
      </c>
      <c r="AM502" s="133">
        <f t="shared" si="1432"/>
        <v>4.2328344784603976E-2</v>
      </c>
      <c r="AN502" s="133">
        <f>((AN284*AN503)+(AN285*AN504)+(AN286*AN505))</f>
        <v>4.3483942164561078E-2</v>
      </c>
      <c r="AO502" s="133">
        <f t="shared" ref="AO502:AP502" si="1433">((AO284*AO503)+(AO285*AO504)+(AO286*AO505))</f>
        <v>4.2253964988172757E-2</v>
      </c>
      <c r="AP502" s="133">
        <f t="shared" si="1433"/>
        <v>4.2457561885690082E-2</v>
      </c>
      <c r="AQ502" s="133">
        <f>((AQ284*AQ503)+(AQ285*AQ504)+(AQ286*AQ505))</f>
        <v>4.2353712549266787E-2</v>
      </c>
      <c r="AR502" s="133">
        <f t="shared" ref="AR502:AS502" si="1434">((AR284*AR503)+(AR285*AR504)+(AR286*AR505))</f>
        <v>4.2383094345931252E-2</v>
      </c>
      <c r="AS502" s="133">
        <f t="shared" si="1434"/>
        <v>4.2586611787710574E-2</v>
      </c>
      <c r="AT502" s="133">
        <f>((AT284*AT503)+(AT285*AT504)+(AT286*AT505))</f>
        <v>4.2482822348430829E-2</v>
      </c>
      <c r="AU502" s="133">
        <f t="shared" ref="AU502:AV502" si="1435">((AU284*AU503)+(AU285*AU504)+(AU286*AU505))</f>
        <v>4.2512069616254144E-2</v>
      </c>
      <c r="AV502" s="133">
        <f t="shared" si="1435"/>
        <v>4.2715472795687763E-2</v>
      </c>
      <c r="AW502" s="133">
        <f>((AW284*AW503)+(AW285*AW504)+(AW286*AW505))</f>
        <v>4.261176095948227E-2</v>
      </c>
      <c r="AX502" s="133">
        <f t="shared" ref="AX502:AY502" si="1436">((AX284*AX503)+(AX285*AX504)+(AX286*AX505))</f>
        <v>4.2640869125862006E-2</v>
      </c>
      <c r="AY502" s="133">
        <f t="shared" si="1436"/>
        <v>4.2844123331676087E-2</v>
      </c>
      <c r="AZ502" s="133">
        <f>((AZ284*AZ503)+(AZ285*AZ504)+(AZ286*AZ505))</f>
        <v>4.2740506745073299E-2</v>
      </c>
      <c r="BA502" s="133">
        <f t="shared" ref="BA502:BB502" si="1437">((BA284*BA503)+(BA285*BA504)+(BA286*BA505))</f>
        <v>4.2769471308846035E-2</v>
      </c>
      <c r="BB502" s="133">
        <f t="shared" si="1437"/>
        <v>4.2972541950105692E-2</v>
      </c>
      <c r="BC502" s="133">
        <f>((BC284*BC503)+(BC285*BC504)+(BC286*BC505))</f>
        <v>4.2869038187553339E-2</v>
      </c>
      <c r="BD502" s="133">
        <f t="shared" ref="BD502:BE502" si="1438">((BD284*BD503)+(BD285*BD504)+(BD286*BD505))</f>
        <v>4.2897854722020672E-2</v>
      </c>
      <c r="BE502" s="133">
        <f t="shared" si="1438"/>
        <v>4.3100707352934989E-2</v>
      </c>
      <c r="BF502" s="133">
        <f>((BF284*BF503)+(BF285*BF504)+(BF286*BF505))</f>
        <v>4.2997333904237725E-2</v>
      </c>
      <c r="BG502" s="133">
        <f t="shared" ref="BG502:BH502" si="1439">((BG284*BG503)+(BG285*BG504)+(BG286*BG505))</f>
        <v>4.3025998060100365E-2</v>
      </c>
      <c r="BH502" s="133">
        <f t="shared" si="1439"/>
        <v>4.322859840458923E-2</v>
      </c>
      <c r="BI502" s="133">
        <f>((BI284*BI503)+(BI285*BI504)+(BI286*BI505))</f>
        <v>4.3125372662481384E-2</v>
      </c>
      <c r="BJ502" s="133">
        <f t="shared" ref="BJ502:BK502" si="1440">((BJ284*BJ503)+(BJ285*BJ504)+(BJ286*BJ505))</f>
        <v>4.3153880170677367E-2</v>
      </c>
      <c r="BK502" s="133">
        <f t="shared" si="1440"/>
        <v>4.3356194146662794E-2</v>
      </c>
      <c r="BL502" s="133">
        <f>((BL284*BL503)+(BL285*BL504)+(BL286*BL505))</f>
        <v>4.3253133394535306E-2</v>
      </c>
      <c r="BM502" s="133">
        <f t="shared" ref="BM502:BN502" si="1441">((BM284*BM503)+(BM285*BM504)+(BM286*BM505))</f>
        <v>4.3281480068978112E-2</v>
      </c>
      <c r="BN502" s="133">
        <f t="shared" si="1441"/>
        <v>4.3483473812363123E-2</v>
      </c>
      <c r="BO502" s="133">
        <f>((BO284*BO503)+(BO285*BO504)+(BO286*BO505))</f>
        <v>4.3380595212162955E-2</v>
      </c>
      <c r="BP502" s="133">
        <f t="shared" ref="BP502:BQ502" si="1442">((BP284*BP503)+(BP285*BP504)+(BP286*BP505))</f>
        <v>4.3408776952375903E-2</v>
      </c>
      <c r="BQ502" s="133">
        <f t="shared" si="1442"/>
        <v>4.3610416840675265E-2</v>
      </c>
      <c r="BR502" s="133">
        <f>((BR284*BR503)+(BR285*BR504)+(BR286*BR505))</f>
        <v>4.3507737420995451E-2</v>
      </c>
    </row>
    <row r="503" spans="1:70" customFormat="1" ht="11.25" customHeight="1" outlineLevel="2">
      <c r="A503" s="6"/>
      <c r="B503" s="6"/>
      <c r="C503" s="108" t="s">
        <v>289</v>
      </c>
      <c r="D503" s="31" t="s">
        <v>66</v>
      </c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W503" s="6"/>
      <c r="X503" s="6"/>
      <c r="AE503" s="44"/>
      <c r="AF503" s="907">
        <f t="shared" ref="AF503:AG505" si="1443">AF386</f>
        <v>6.6000000000000003E-2</v>
      </c>
      <c r="AG503" s="947">
        <f t="shared" si="1443"/>
        <v>6.4500000000000002E-2</v>
      </c>
      <c r="AH503" s="396">
        <f>AVERAGE(AF503,AG503)</f>
        <v>6.5250000000000002E-2</v>
      </c>
      <c r="AI503" s="22">
        <f t="shared" ref="AI503:AJ505" si="1444">AI386</f>
        <v>6.5500000000000003E-2</v>
      </c>
      <c r="AJ503" s="22">
        <f t="shared" si="1444"/>
        <v>6.4500000000000002E-2</v>
      </c>
      <c r="AK503" s="396">
        <f>AVERAGE(AI503,AJ503)</f>
        <v>6.5000000000000002E-2</v>
      </c>
      <c r="AL503" s="22">
        <f t="shared" ref="AL503:AM505" si="1445">AL386</f>
        <v>6.25E-2</v>
      </c>
      <c r="AM503" s="22">
        <f t="shared" si="1445"/>
        <v>5.6000000000000001E-2</v>
      </c>
      <c r="AN503" s="396">
        <f>AVERAGE(AL503,AM503)</f>
        <v>5.9249999999999997E-2</v>
      </c>
      <c r="AO503" s="22">
        <f t="shared" ref="AO503:AP503" si="1446">AO386</f>
        <v>5.6000000000000001E-2</v>
      </c>
      <c r="AP503" s="22">
        <f t="shared" si="1446"/>
        <v>5.6000000000000001E-2</v>
      </c>
      <c r="AQ503" s="396">
        <f>AVERAGE(AO503,AP503)</f>
        <v>5.6000000000000001E-2</v>
      </c>
      <c r="AR503" s="22">
        <f t="shared" ref="AR503:AS503" si="1447">AR386</f>
        <v>5.6000000000000001E-2</v>
      </c>
      <c r="AS503" s="22">
        <f t="shared" si="1447"/>
        <v>5.6000000000000001E-2</v>
      </c>
      <c r="AT503" s="396">
        <f>AVERAGE(AR503,AS503)</f>
        <v>5.6000000000000001E-2</v>
      </c>
      <c r="AU503" s="22">
        <f t="shared" ref="AU503:AV503" si="1448">AU386</f>
        <v>5.6000000000000001E-2</v>
      </c>
      <c r="AV503" s="22">
        <f t="shared" si="1448"/>
        <v>5.6000000000000001E-2</v>
      </c>
      <c r="AW503" s="396">
        <f>AVERAGE(AU503,AV503)</f>
        <v>5.6000000000000001E-2</v>
      </c>
      <c r="AX503" s="22">
        <f t="shared" ref="AX503:AY503" si="1449">AX386</f>
        <v>5.6000000000000001E-2</v>
      </c>
      <c r="AY503" s="22">
        <f t="shared" si="1449"/>
        <v>5.6000000000000001E-2</v>
      </c>
      <c r="AZ503" s="396">
        <f>AVERAGE(AX503,AY503)</f>
        <v>5.6000000000000001E-2</v>
      </c>
      <c r="BA503" s="22">
        <f t="shared" ref="BA503:BB503" si="1450">BA386</f>
        <v>5.6000000000000001E-2</v>
      </c>
      <c r="BB503" s="22">
        <f t="shared" si="1450"/>
        <v>5.6000000000000001E-2</v>
      </c>
      <c r="BC503" s="396">
        <f>AVERAGE(BA503,BB503)</f>
        <v>5.6000000000000001E-2</v>
      </c>
      <c r="BD503" s="22">
        <f t="shared" ref="BD503:BE503" si="1451">BD386</f>
        <v>5.6000000000000001E-2</v>
      </c>
      <c r="BE503" s="22">
        <f t="shared" si="1451"/>
        <v>5.6000000000000001E-2</v>
      </c>
      <c r="BF503" s="396">
        <f>AVERAGE(BD503,BE503)</f>
        <v>5.6000000000000001E-2</v>
      </c>
      <c r="BG503" s="22">
        <f t="shared" ref="BG503:BH503" si="1452">BG386</f>
        <v>5.6000000000000001E-2</v>
      </c>
      <c r="BH503" s="22">
        <f t="shared" si="1452"/>
        <v>5.6000000000000001E-2</v>
      </c>
      <c r="BI503" s="396">
        <f>AVERAGE(BG503,BH503)</f>
        <v>5.6000000000000001E-2</v>
      </c>
      <c r="BJ503" s="22">
        <f t="shared" ref="BJ503:BK503" si="1453">BJ386</f>
        <v>5.6000000000000001E-2</v>
      </c>
      <c r="BK503" s="22">
        <f t="shared" si="1453"/>
        <v>5.6000000000000001E-2</v>
      </c>
      <c r="BL503" s="396">
        <f>AVERAGE(BJ503,BK503)</f>
        <v>5.6000000000000001E-2</v>
      </c>
      <c r="BM503" s="22">
        <f t="shared" ref="BM503:BN503" si="1454">BM386</f>
        <v>5.6000000000000001E-2</v>
      </c>
      <c r="BN503" s="22">
        <f t="shared" si="1454"/>
        <v>5.6000000000000001E-2</v>
      </c>
      <c r="BO503" s="396">
        <f>AVERAGE(BM503,BN503)</f>
        <v>5.6000000000000001E-2</v>
      </c>
      <c r="BP503" s="22">
        <f t="shared" ref="BP503:BQ503" si="1455">BP386</f>
        <v>5.6000000000000001E-2</v>
      </c>
      <c r="BQ503" s="22">
        <f t="shared" si="1455"/>
        <v>5.6000000000000001E-2</v>
      </c>
      <c r="BR503" s="396">
        <f>AVERAGE(BP503,BQ503)</f>
        <v>5.6000000000000001E-2</v>
      </c>
    </row>
    <row r="504" spans="1:70" customFormat="1" ht="11.25" customHeight="1" outlineLevel="2">
      <c r="A504" s="6"/>
      <c r="B504" s="6"/>
      <c r="C504" s="108" t="s">
        <v>537</v>
      </c>
      <c r="D504" s="31" t="s">
        <v>66</v>
      </c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W504" s="6"/>
      <c r="X504" s="6"/>
      <c r="AE504" s="44"/>
      <c r="AF504" s="907">
        <f t="shared" si="1443"/>
        <v>4.3611111111111101E-2</v>
      </c>
      <c r="AG504" s="947">
        <f t="shared" si="1443"/>
        <v>4.5944444444444441E-2</v>
      </c>
      <c r="AH504" s="396">
        <f>AVERAGE(AF504,AG504)</f>
        <v>4.4777777777777771E-2</v>
      </c>
      <c r="AI504" s="22">
        <f t="shared" si="1444"/>
        <v>4.5555555555555557E-2</v>
      </c>
      <c r="AJ504" s="22">
        <f t="shared" si="1444"/>
        <v>4.3722222222222218E-2</v>
      </c>
      <c r="AK504" s="396">
        <f>AVERAGE(AI504,AJ504)</f>
        <v>4.4638888888888888E-2</v>
      </c>
      <c r="AL504" s="22">
        <f t="shared" si="1445"/>
        <v>4.3833333333333328E-2</v>
      </c>
      <c r="AM504" s="22">
        <f t="shared" si="1445"/>
        <v>4.3222222222222224E-2</v>
      </c>
      <c r="AN504" s="396">
        <f>AVERAGE(AL504,AM504)</f>
        <v>4.3527777777777776E-2</v>
      </c>
      <c r="AO504" s="22">
        <f t="shared" ref="AO504:AP504" si="1456">AO387</f>
        <v>4.3222222222222224E-2</v>
      </c>
      <c r="AP504" s="22">
        <f t="shared" si="1456"/>
        <v>4.3222222222222224E-2</v>
      </c>
      <c r="AQ504" s="396">
        <f>AVERAGE(AO504,AP504)</f>
        <v>4.3222222222222224E-2</v>
      </c>
      <c r="AR504" s="22">
        <f t="shared" ref="AR504:AS504" si="1457">AR387</f>
        <v>4.3222222222222224E-2</v>
      </c>
      <c r="AS504" s="22">
        <f t="shared" si="1457"/>
        <v>4.3222222222222224E-2</v>
      </c>
      <c r="AT504" s="396">
        <f>AVERAGE(AR504,AS504)</f>
        <v>4.3222222222222224E-2</v>
      </c>
      <c r="AU504" s="22">
        <f t="shared" ref="AU504:AV504" si="1458">AU387</f>
        <v>4.3222222222222224E-2</v>
      </c>
      <c r="AV504" s="22">
        <f t="shared" si="1458"/>
        <v>4.3222222222222224E-2</v>
      </c>
      <c r="AW504" s="396">
        <f>AVERAGE(AU504,AV504)</f>
        <v>4.3222222222222224E-2</v>
      </c>
      <c r="AX504" s="22">
        <f t="shared" ref="AX504:AY504" si="1459">AX387</f>
        <v>4.3222222222222224E-2</v>
      </c>
      <c r="AY504" s="22">
        <f t="shared" si="1459"/>
        <v>4.3222222222222224E-2</v>
      </c>
      <c r="AZ504" s="396">
        <f>AVERAGE(AX504,AY504)</f>
        <v>4.3222222222222224E-2</v>
      </c>
      <c r="BA504" s="22">
        <f t="shared" ref="BA504:BB504" si="1460">BA387</f>
        <v>4.3222222222222224E-2</v>
      </c>
      <c r="BB504" s="22">
        <f t="shared" si="1460"/>
        <v>4.3222222222222224E-2</v>
      </c>
      <c r="BC504" s="396">
        <f>AVERAGE(BA504,BB504)</f>
        <v>4.3222222222222224E-2</v>
      </c>
      <c r="BD504" s="22">
        <f t="shared" ref="BD504:BE504" si="1461">BD387</f>
        <v>4.3222222222222224E-2</v>
      </c>
      <c r="BE504" s="22">
        <f t="shared" si="1461"/>
        <v>4.3222222222222224E-2</v>
      </c>
      <c r="BF504" s="396">
        <f>AVERAGE(BD504,BE504)</f>
        <v>4.3222222222222224E-2</v>
      </c>
      <c r="BG504" s="22">
        <f t="shared" ref="BG504:BH504" si="1462">BG387</f>
        <v>4.3222222222222224E-2</v>
      </c>
      <c r="BH504" s="22">
        <f t="shared" si="1462"/>
        <v>4.3222222222222224E-2</v>
      </c>
      <c r="BI504" s="396">
        <f>AVERAGE(BG504,BH504)</f>
        <v>4.3222222222222224E-2</v>
      </c>
      <c r="BJ504" s="22">
        <f t="shared" ref="BJ504:BK504" si="1463">BJ387</f>
        <v>4.3222222222222224E-2</v>
      </c>
      <c r="BK504" s="22">
        <f t="shared" si="1463"/>
        <v>4.3222222222222224E-2</v>
      </c>
      <c r="BL504" s="396">
        <f>AVERAGE(BJ504,BK504)</f>
        <v>4.3222222222222224E-2</v>
      </c>
      <c r="BM504" s="22">
        <f t="shared" ref="BM504:BN504" si="1464">BM387</f>
        <v>4.3222222222222224E-2</v>
      </c>
      <c r="BN504" s="22">
        <f t="shared" si="1464"/>
        <v>4.3222222222222224E-2</v>
      </c>
      <c r="BO504" s="396">
        <f>AVERAGE(BM504,BN504)</f>
        <v>4.3222222222222224E-2</v>
      </c>
      <c r="BP504" s="22">
        <f t="shared" ref="BP504:BQ504" si="1465">BP387</f>
        <v>4.3222222222222224E-2</v>
      </c>
      <c r="BQ504" s="22">
        <f t="shared" si="1465"/>
        <v>4.3222222222222224E-2</v>
      </c>
      <c r="BR504" s="396">
        <f>AVERAGE(BP504,BQ504)</f>
        <v>4.3222222222222224E-2</v>
      </c>
    </row>
    <row r="505" spans="1:70" customFormat="1" ht="11.25" customHeight="1" outlineLevel="2">
      <c r="A505" s="6"/>
      <c r="B505" s="6"/>
      <c r="C505" s="108" t="s">
        <v>290</v>
      </c>
      <c r="D505" s="31" t="s">
        <v>66</v>
      </c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W505" s="6"/>
      <c r="X505" s="6"/>
      <c r="AE505" s="44"/>
      <c r="AF505" s="907">
        <f t="shared" si="1443"/>
        <v>2.6250000000000002E-2</v>
      </c>
      <c r="AG505" s="947">
        <f t="shared" si="1443"/>
        <v>2.4250000000000001E-2</v>
      </c>
      <c r="AH505" s="396">
        <f>AVERAGE(AF505,AG505)</f>
        <v>2.5250000000000002E-2</v>
      </c>
      <c r="AI505" s="22">
        <f t="shared" si="1444"/>
        <v>2.3875E-2</v>
      </c>
      <c r="AJ505" s="22">
        <f t="shared" si="1444"/>
        <v>2.6250000000000002E-2</v>
      </c>
      <c r="AK505" s="396">
        <f>AVERAGE(AI505,AJ505)</f>
        <v>2.5062500000000001E-2</v>
      </c>
      <c r="AL505" s="22">
        <f t="shared" si="1445"/>
        <v>2.5875000000000002E-2</v>
      </c>
      <c r="AM505" s="22">
        <f t="shared" si="1445"/>
        <v>2.6250000000000002E-2</v>
      </c>
      <c r="AN505" s="396">
        <f>AVERAGE(AL505,AM505)</f>
        <v>2.6062500000000002E-2</v>
      </c>
      <c r="AO505" s="22">
        <f t="shared" ref="AO505:AP505" si="1466">AO388</f>
        <v>2.6250000000000002E-2</v>
      </c>
      <c r="AP505" s="22">
        <f t="shared" si="1466"/>
        <v>2.6250000000000002E-2</v>
      </c>
      <c r="AQ505" s="396">
        <f>AVERAGE(AO505,AP505)</f>
        <v>2.6250000000000002E-2</v>
      </c>
      <c r="AR505" s="22">
        <f t="shared" ref="AR505:AS505" si="1467">AR388</f>
        <v>2.6250000000000002E-2</v>
      </c>
      <c r="AS505" s="22">
        <f t="shared" si="1467"/>
        <v>2.6250000000000002E-2</v>
      </c>
      <c r="AT505" s="396">
        <f>AVERAGE(AR505,AS505)</f>
        <v>2.6250000000000002E-2</v>
      </c>
      <c r="AU505" s="22">
        <f t="shared" ref="AU505:AV505" si="1468">AU388</f>
        <v>2.6250000000000002E-2</v>
      </c>
      <c r="AV505" s="22">
        <f t="shared" si="1468"/>
        <v>2.6250000000000002E-2</v>
      </c>
      <c r="AW505" s="396">
        <f>AVERAGE(AU505,AV505)</f>
        <v>2.6250000000000002E-2</v>
      </c>
      <c r="AX505" s="22">
        <f t="shared" ref="AX505:AY505" si="1469">AX388</f>
        <v>2.6250000000000002E-2</v>
      </c>
      <c r="AY505" s="22">
        <f t="shared" si="1469"/>
        <v>2.6250000000000002E-2</v>
      </c>
      <c r="AZ505" s="396">
        <f>AVERAGE(AX505,AY505)</f>
        <v>2.6250000000000002E-2</v>
      </c>
      <c r="BA505" s="22">
        <f t="shared" ref="BA505:BB505" si="1470">BA388</f>
        <v>2.6250000000000002E-2</v>
      </c>
      <c r="BB505" s="22">
        <f t="shared" si="1470"/>
        <v>2.6250000000000002E-2</v>
      </c>
      <c r="BC505" s="396">
        <f>AVERAGE(BA505,BB505)</f>
        <v>2.6250000000000002E-2</v>
      </c>
      <c r="BD505" s="22">
        <f t="shared" ref="BD505:BE505" si="1471">BD388</f>
        <v>2.6250000000000002E-2</v>
      </c>
      <c r="BE505" s="22">
        <f t="shared" si="1471"/>
        <v>2.6250000000000002E-2</v>
      </c>
      <c r="BF505" s="396">
        <f>AVERAGE(BD505,BE505)</f>
        <v>2.6250000000000002E-2</v>
      </c>
      <c r="BG505" s="22">
        <f t="shared" ref="BG505:BH505" si="1472">BG388</f>
        <v>2.6250000000000002E-2</v>
      </c>
      <c r="BH505" s="22">
        <f t="shared" si="1472"/>
        <v>2.6250000000000002E-2</v>
      </c>
      <c r="BI505" s="396">
        <f>AVERAGE(BG505,BH505)</f>
        <v>2.6250000000000002E-2</v>
      </c>
      <c r="BJ505" s="22">
        <f t="shared" ref="BJ505:BK505" si="1473">BJ388</f>
        <v>2.6250000000000002E-2</v>
      </c>
      <c r="BK505" s="22">
        <f t="shared" si="1473"/>
        <v>2.6250000000000002E-2</v>
      </c>
      <c r="BL505" s="396">
        <f>AVERAGE(BJ505,BK505)</f>
        <v>2.6250000000000002E-2</v>
      </c>
      <c r="BM505" s="22">
        <f t="shared" ref="BM505:BN505" si="1474">BM388</f>
        <v>2.6250000000000002E-2</v>
      </c>
      <c r="BN505" s="22">
        <f t="shared" si="1474"/>
        <v>2.6250000000000002E-2</v>
      </c>
      <c r="BO505" s="396">
        <f>AVERAGE(BM505,BN505)</f>
        <v>2.6250000000000002E-2</v>
      </c>
      <c r="BP505" s="22">
        <f t="shared" ref="BP505:BQ505" si="1475">BP388</f>
        <v>2.6250000000000002E-2</v>
      </c>
      <c r="BQ505" s="22">
        <f t="shared" si="1475"/>
        <v>2.6250000000000002E-2</v>
      </c>
      <c r="BR505" s="396">
        <f>AVERAGE(BP505,BQ505)</f>
        <v>2.6250000000000002E-2</v>
      </c>
    </row>
    <row r="506" spans="1:70" customFormat="1" ht="11.25" customHeight="1" outlineLevel="2">
      <c r="A506" s="6"/>
      <c r="B506" s="6"/>
      <c r="C506" s="9" t="s">
        <v>294</v>
      </c>
      <c r="D506" s="31" t="s">
        <v>66</v>
      </c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W506" s="6"/>
      <c r="X506" s="6"/>
      <c r="AE506" s="44"/>
      <c r="AF506" s="133">
        <f t="shared" ref="AF506:AN506" si="1476">((AF288*AF507)+(AF289*AF508))</f>
        <v>3.6716278508357625E-2</v>
      </c>
      <c r="AG506" s="938">
        <f t="shared" si="1476"/>
        <v>3.8574319320710135E-2</v>
      </c>
      <c r="AH506" s="133">
        <f t="shared" si="1476"/>
        <v>3.7633274867341665E-2</v>
      </c>
      <c r="AI506" s="133">
        <f t="shared" si="1476"/>
        <v>3.7079805883365062E-2</v>
      </c>
      <c r="AJ506" s="133">
        <f t="shared" si="1476"/>
        <v>3.6784372073749447E-2</v>
      </c>
      <c r="AK506" s="133">
        <f t="shared" si="1476"/>
        <v>3.6915139344068697E-2</v>
      </c>
      <c r="AL506" s="133">
        <f t="shared" si="1476"/>
        <v>3.5697937966260168E-2</v>
      </c>
      <c r="AM506" s="133">
        <f t="shared" si="1476"/>
        <v>3.3936124907535468E-2</v>
      </c>
      <c r="AN506" s="133">
        <f t="shared" si="1476"/>
        <v>3.478338013959803E-2</v>
      </c>
      <c r="AO506" s="133">
        <f t="shared" ref="AO506:BR506" si="1477">((AO288*AO507)+(AO289*AO508))</f>
        <v>3.3215170469248032E-2</v>
      </c>
      <c r="AP506" s="133">
        <f t="shared" si="1477"/>
        <v>3.3969283537633163E-2</v>
      </c>
      <c r="AQ506" s="133">
        <f t="shared" si="1477"/>
        <v>3.358233420795094E-2</v>
      </c>
      <c r="AR506" s="133">
        <f t="shared" si="1477"/>
        <v>3.3392227679145195E-2</v>
      </c>
      <c r="AS506" s="133">
        <f t="shared" si="1477"/>
        <v>3.4144582488544108E-2</v>
      </c>
      <c r="AT506" s="133">
        <f t="shared" si="1477"/>
        <v>3.3758603915677185E-2</v>
      </c>
      <c r="AU506" s="133">
        <f t="shared" si="1477"/>
        <v>3.3568921376005971E-2</v>
      </c>
      <c r="AV506" s="133">
        <f t="shared" si="1477"/>
        <v>3.4319394123678085E-2</v>
      </c>
      <c r="AW506" s="133">
        <f t="shared" si="1477"/>
        <v>3.3934449325437432E-2</v>
      </c>
      <c r="AX506" s="133">
        <f t="shared" si="1477"/>
        <v>3.3745222136288916E-2</v>
      </c>
      <c r="AY506" s="133">
        <f t="shared" si="1477"/>
        <v>3.4493690288609533E-2</v>
      </c>
      <c r="AZ506" s="133">
        <f t="shared" si="1477"/>
        <v>3.4109841588255391E-2</v>
      </c>
      <c r="BA506" s="133">
        <f t="shared" si="1477"/>
        <v>3.3921100803117873E-2</v>
      </c>
      <c r="BB506" s="133">
        <f t="shared" si="1477"/>
        <v>3.4667443172916521E-2</v>
      </c>
      <c r="BC506" s="133">
        <f t="shared" si="1477"/>
        <v>3.428475216036965E-2</v>
      </c>
      <c r="BD506" s="133">
        <f t="shared" si="1477"/>
        <v>3.4096528505070001E-2</v>
      </c>
      <c r="BE506" s="133">
        <f t="shared" si="1477"/>
        <v>3.4840625327069663E-2</v>
      </c>
      <c r="BF506" s="133">
        <f t="shared" si="1477"/>
        <v>3.4459152821151237E-2</v>
      </c>
      <c r="BG506" s="133">
        <f t="shared" si="1477"/>
        <v>3.4271476674557474E-2</v>
      </c>
      <c r="BH506" s="133">
        <f t="shared" si="1477"/>
        <v>3.501320967881983E-2</v>
      </c>
      <c r="BI506" s="133">
        <f t="shared" si="1477"/>
        <v>3.4633015690566434E-2</v>
      </c>
      <c r="BJ506" s="133">
        <f t="shared" si="1477"/>
        <v>3.4445917065778764E-2</v>
      </c>
      <c r="BK506" s="133">
        <f t="shared" si="1477"/>
        <v>3.5185169549065386E-2</v>
      </c>
      <c r="BL506" s="133">
        <f t="shared" si="1477"/>
        <v>3.4806313246162693E-2</v>
      </c>
      <c r="BM506" s="133">
        <f t="shared" si="1477"/>
        <v>3.4619821772216779E-2</v>
      </c>
      <c r="BN506" s="133">
        <f t="shared" si="1477"/>
        <v>3.5356478667180877E-2</v>
      </c>
      <c r="BO506" s="133">
        <f t="shared" si="1477"/>
        <v>3.4979018339557404E-2</v>
      </c>
      <c r="BP506" s="133">
        <f t="shared" si="1477"/>
        <v>3.4793163243661732E-2</v>
      </c>
      <c r="BQ506" s="133">
        <f t="shared" si="1477"/>
        <v>3.5527111185790584E-2</v>
      </c>
      <c r="BR506" s="133">
        <f t="shared" si="1477"/>
        <v>3.5151104212409863E-2</v>
      </c>
    </row>
    <row r="507" spans="1:70" customFormat="1" ht="11.25" customHeight="1" outlineLevel="2">
      <c r="A507" s="6"/>
      <c r="B507" s="6"/>
      <c r="C507" s="108" t="s">
        <v>292</v>
      </c>
      <c r="D507" s="31" t="s">
        <v>66</v>
      </c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W507" s="6"/>
      <c r="X507" s="6"/>
      <c r="AE507" s="44"/>
      <c r="AF507" s="907">
        <f>AF390</f>
        <v>2.4340000000000001E-2</v>
      </c>
      <c r="AG507" s="947">
        <f>AG390</f>
        <v>2.4750000000000001E-2</v>
      </c>
      <c r="AH507" s="396">
        <f>AVERAGE(AF507,AG507)</f>
        <v>2.4545000000000001E-2</v>
      </c>
      <c r="AI507" s="22">
        <f>AI390</f>
        <v>2.0920000000000001E-2</v>
      </c>
      <c r="AJ507" s="22">
        <f>AJ390</f>
        <v>1.8959999999999998E-2</v>
      </c>
      <c r="AK507" s="396">
        <f>AVERAGE(AI507,AJ507)</f>
        <v>1.9939999999999999E-2</v>
      </c>
      <c r="AL507" s="22">
        <f>AL390</f>
        <v>1.7499999999999998E-2</v>
      </c>
      <c r="AM507" s="22">
        <f>AM390</f>
        <v>1.204E-2</v>
      </c>
      <c r="AN507" s="396">
        <f>AVERAGE(AL507,AM507)</f>
        <v>1.4769999999999998E-2</v>
      </c>
      <c r="AO507" s="22">
        <f>AO390</f>
        <v>1.204E-2</v>
      </c>
      <c r="AP507" s="22">
        <f>AP390</f>
        <v>1.204E-2</v>
      </c>
      <c r="AQ507" s="396">
        <f>AVERAGE(AO507,AP507)</f>
        <v>1.204E-2</v>
      </c>
      <c r="AR507" s="22">
        <f>AR390</f>
        <v>1.204E-2</v>
      </c>
      <c r="AS507" s="22">
        <f>AS390</f>
        <v>1.204E-2</v>
      </c>
      <c r="AT507" s="396">
        <f>AVERAGE(AR507,AS507)</f>
        <v>1.204E-2</v>
      </c>
      <c r="AU507" s="22">
        <f>AU390</f>
        <v>1.204E-2</v>
      </c>
      <c r="AV507" s="22">
        <f>AV390</f>
        <v>1.204E-2</v>
      </c>
      <c r="AW507" s="396">
        <f>AVERAGE(AU507,AV507)</f>
        <v>1.204E-2</v>
      </c>
      <c r="AX507" s="22">
        <f>AX390</f>
        <v>1.204E-2</v>
      </c>
      <c r="AY507" s="22">
        <f>AY390</f>
        <v>1.204E-2</v>
      </c>
      <c r="AZ507" s="396">
        <f>AVERAGE(AX507,AY507)</f>
        <v>1.204E-2</v>
      </c>
      <c r="BA507" s="22">
        <f>BA390</f>
        <v>1.204E-2</v>
      </c>
      <c r="BB507" s="22">
        <f>BB390</f>
        <v>1.204E-2</v>
      </c>
      <c r="BC507" s="396">
        <f>AVERAGE(BA507,BB507)</f>
        <v>1.204E-2</v>
      </c>
      <c r="BD507" s="22">
        <f>BD390</f>
        <v>1.204E-2</v>
      </c>
      <c r="BE507" s="22">
        <f>BE390</f>
        <v>1.204E-2</v>
      </c>
      <c r="BF507" s="396">
        <f>AVERAGE(BD507,BE507)</f>
        <v>1.204E-2</v>
      </c>
      <c r="BG507" s="22">
        <f>BG390</f>
        <v>1.204E-2</v>
      </c>
      <c r="BH507" s="22">
        <f>BH390</f>
        <v>1.204E-2</v>
      </c>
      <c r="BI507" s="396">
        <f>AVERAGE(BG507,BH507)</f>
        <v>1.204E-2</v>
      </c>
      <c r="BJ507" s="22">
        <f>BJ390</f>
        <v>1.204E-2</v>
      </c>
      <c r="BK507" s="22">
        <f>BK390</f>
        <v>1.204E-2</v>
      </c>
      <c r="BL507" s="396">
        <f>AVERAGE(BJ507,BK507)</f>
        <v>1.204E-2</v>
      </c>
      <c r="BM507" s="22">
        <f>BM390</f>
        <v>1.204E-2</v>
      </c>
      <c r="BN507" s="22">
        <f>BN390</f>
        <v>1.204E-2</v>
      </c>
      <c r="BO507" s="396">
        <f>AVERAGE(BM507,BN507)</f>
        <v>1.204E-2</v>
      </c>
      <c r="BP507" s="22">
        <f>BP390</f>
        <v>1.204E-2</v>
      </c>
      <c r="BQ507" s="22">
        <f>BQ390</f>
        <v>1.204E-2</v>
      </c>
      <c r="BR507" s="396">
        <f>AVERAGE(BP507,BQ507)</f>
        <v>1.204E-2</v>
      </c>
    </row>
    <row r="508" spans="1:70" customFormat="1" ht="11.25" customHeight="1" outlineLevel="2">
      <c r="A508" s="6"/>
      <c r="B508" s="6"/>
      <c r="C508" s="108" t="s">
        <v>293</v>
      </c>
      <c r="D508" s="31" t="s">
        <v>66</v>
      </c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W508" s="6"/>
      <c r="X508" s="6"/>
      <c r="AE508" s="44"/>
      <c r="AF508" s="907">
        <f>AF391</f>
        <v>4.7500000000000001E-2</v>
      </c>
      <c r="AG508" s="947">
        <f>AG391</f>
        <v>0.05</v>
      </c>
      <c r="AH508" s="396">
        <f>AVERAGE(AF508,AG508)</f>
        <v>4.8750000000000002E-2</v>
      </c>
      <c r="AI508" s="22">
        <f>AI391</f>
        <v>5.0500000000000003E-2</v>
      </c>
      <c r="AJ508" s="22">
        <f>AJ391</f>
        <v>5.0500000000000003E-2</v>
      </c>
      <c r="AK508" s="396">
        <f>AVERAGE(AI508,AJ508)</f>
        <v>5.0500000000000003E-2</v>
      </c>
      <c r="AL508" s="22">
        <f>AL391</f>
        <v>5.0500000000000003E-2</v>
      </c>
      <c r="AM508" s="22">
        <f>AM391</f>
        <v>5.0500000000000003E-2</v>
      </c>
      <c r="AN508" s="396">
        <f>AVERAGE(AL508,AM508)</f>
        <v>5.0500000000000003E-2</v>
      </c>
      <c r="AO508" s="22">
        <f>AO391</f>
        <v>5.0500000000000003E-2</v>
      </c>
      <c r="AP508" s="22">
        <f>AP391</f>
        <v>5.0500000000000003E-2</v>
      </c>
      <c r="AQ508" s="396">
        <f>AVERAGE(AO508,AP508)</f>
        <v>5.0500000000000003E-2</v>
      </c>
      <c r="AR508" s="22">
        <f>AR391</f>
        <v>5.0500000000000003E-2</v>
      </c>
      <c r="AS508" s="22">
        <f>AS391</f>
        <v>5.0500000000000003E-2</v>
      </c>
      <c r="AT508" s="396">
        <f>AVERAGE(AR508,AS508)</f>
        <v>5.0500000000000003E-2</v>
      </c>
      <c r="AU508" s="22">
        <f>AU391</f>
        <v>5.0500000000000003E-2</v>
      </c>
      <c r="AV508" s="22">
        <f>AV391</f>
        <v>5.0500000000000003E-2</v>
      </c>
      <c r="AW508" s="396">
        <f>AVERAGE(AU508,AV508)</f>
        <v>5.0500000000000003E-2</v>
      </c>
      <c r="AX508" s="22">
        <f>AX391</f>
        <v>5.0500000000000003E-2</v>
      </c>
      <c r="AY508" s="22">
        <f>AY391</f>
        <v>5.0500000000000003E-2</v>
      </c>
      <c r="AZ508" s="396">
        <f>AVERAGE(AX508,AY508)</f>
        <v>5.0500000000000003E-2</v>
      </c>
      <c r="BA508" s="22">
        <f>BA391</f>
        <v>5.0500000000000003E-2</v>
      </c>
      <c r="BB508" s="22">
        <f>BB391</f>
        <v>5.0500000000000003E-2</v>
      </c>
      <c r="BC508" s="396">
        <f>AVERAGE(BA508,BB508)</f>
        <v>5.0500000000000003E-2</v>
      </c>
      <c r="BD508" s="22">
        <f>BD391</f>
        <v>5.0500000000000003E-2</v>
      </c>
      <c r="BE508" s="22">
        <f>BE391</f>
        <v>5.0500000000000003E-2</v>
      </c>
      <c r="BF508" s="396">
        <f>AVERAGE(BD508,BE508)</f>
        <v>5.0500000000000003E-2</v>
      </c>
      <c r="BG508" s="22">
        <f>BG391</f>
        <v>5.0500000000000003E-2</v>
      </c>
      <c r="BH508" s="22">
        <f>BH391</f>
        <v>5.0500000000000003E-2</v>
      </c>
      <c r="BI508" s="396">
        <f>AVERAGE(BG508,BH508)</f>
        <v>5.0500000000000003E-2</v>
      </c>
      <c r="BJ508" s="22">
        <f>BJ391</f>
        <v>5.0500000000000003E-2</v>
      </c>
      <c r="BK508" s="22">
        <f>BK391</f>
        <v>5.0500000000000003E-2</v>
      </c>
      <c r="BL508" s="396">
        <f>AVERAGE(BJ508,BK508)</f>
        <v>5.0500000000000003E-2</v>
      </c>
      <c r="BM508" s="22">
        <f>BM391</f>
        <v>5.0500000000000003E-2</v>
      </c>
      <c r="BN508" s="22">
        <f>BN391</f>
        <v>5.0500000000000003E-2</v>
      </c>
      <c r="BO508" s="396">
        <f>AVERAGE(BM508,BN508)</f>
        <v>5.0500000000000003E-2</v>
      </c>
      <c r="BP508" s="22">
        <f>BP391</f>
        <v>5.0500000000000003E-2</v>
      </c>
      <c r="BQ508" s="22">
        <f>BQ391</f>
        <v>5.0500000000000003E-2</v>
      </c>
      <c r="BR508" s="396">
        <f>AVERAGE(BP508,BQ508)</f>
        <v>5.0500000000000003E-2</v>
      </c>
    </row>
    <row r="509" spans="1:70" customFormat="1" ht="11.25" customHeight="1" outlineLevel="2">
      <c r="A509" s="6"/>
      <c r="B509" s="6"/>
      <c r="C509" s="113" t="s">
        <v>295</v>
      </c>
      <c r="D509" s="7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W509" s="6"/>
      <c r="X509" s="6"/>
      <c r="AE509" s="44"/>
      <c r="AF509" s="130"/>
      <c r="AG509" s="931"/>
      <c r="AH509" s="6"/>
    </row>
    <row r="510" spans="1:70" customFormat="1" ht="11.25" customHeight="1" outlineLevel="2">
      <c r="A510" s="6"/>
      <c r="B510" s="6"/>
      <c r="C510" s="9" t="s">
        <v>80</v>
      </c>
      <c r="D510" s="31" t="s">
        <v>66</v>
      </c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W510" s="6"/>
      <c r="X510" s="6"/>
      <c r="AE510" s="44"/>
      <c r="AF510" s="133">
        <f t="shared" ref="AF510:AN510" si="1478">((AF278*AF511)+(AF279*AF512))</f>
        <v>0</v>
      </c>
      <c r="AG510" s="938">
        <f t="shared" si="1478"/>
        <v>0</v>
      </c>
      <c r="AH510" s="133">
        <f t="shared" si="1478"/>
        <v>0</v>
      </c>
      <c r="AI510" s="133">
        <f t="shared" si="1478"/>
        <v>0</v>
      </c>
      <c r="AJ510" s="133">
        <f t="shared" si="1478"/>
        <v>0</v>
      </c>
      <c r="AK510" s="133">
        <f t="shared" si="1478"/>
        <v>0</v>
      </c>
      <c r="AL510" s="133">
        <f t="shared" si="1478"/>
        <v>0</v>
      </c>
      <c r="AM510" s="133">
        <f t="shared" si="1478"/>
        <v>0</v>
      </c>
      <c r="AN510" s="133">
        <f t="shared" si="1478"/>
        <v>0</v>
      </c>
      <c r="AO510" s="133">
        <f t="shared" ref="AO510:BR510" si="1479">((AO278*AO511)+(AO279*AO512))</f>
        <v>0</v>
      </c>
      <c r="AP510" s="133">
        <f t="shared" si="1479"/>
        <v>0</v>
      </c>
      <c r="AQ510" s="133">
        <f t="shared" si="1479"/>
        <v>0</v>
      </c>
      <c r="AR510" s="133">
        <f t="shared" si="1479"/>
        <v>0</v>
      </c>
      <c r="AS510" s="133">
        <f t="shared" si="1479"/>
        <v>0</v>
      </c>
      <c r="AT510" s="133">
        <f t="shared" si="1479"/>
        <v>0</v>
      </c>
      <c r="AU510" s="133">
        <f t="shared" si="1479"/>
        <v>0</v>
      </c>
      <c r="AV510" s="133">
        <f t="shared" si="1479"/>
        <v>0</v>
      </c>
      <c r="AW510" s="133">
        <f t="shared" si="1479"/>
        <v>0</v>
      </c>
      <c r="AX510" s="133">
        <f t="shared" si="1479"/>
        <v>0</v>
      </c>
      <c r="AY510" s="133">
        <f t="shared" si="1479"/>
        <v>0</v>
      </c>
      <c r="AZ510" s="133">
        <f t="shared" si="1479"/>
        <v>0</v>
      </c>
      <c r="BA510" s="133">
        <f t="shared" si="1479"/>
        <v>0</v>
      </c>
      <c r="BB510" s="133">
        <f t="shared" si="1479"/>
        <v>0</v>
      </c>
      <c r="BC510" s="133">
        <f t="shared" si="1479"/>
        <v>0</v>
      </c>
      <c r="BD510" s="133">
        <f t="shared" si="1479"/>
        <v>0</v>
      </c>
      <c r="BE510" s="133">
        <f t="shared" si="1479"/>
        <v>0</v>
      </c>
      <c r="BF510" s="133">
        <f t="shared" si="1479"/>
        <v>0</v>
      </c>
      <c r="BG510" s="133">
        <f t="shared" si="1479"/>
        <v>0</v>
      </c>
      <c r="BH510" s="133">
        <f t="shared" si="1479"/>
        <v>0</v>
      </c>
      <c r="BI510" s="133">
        <f t="shared" si="1479"/>
        <v>0</v>
      </c>
      <c r="BJ510" s="133">
        <f t="shared" si="1479"/>
        <v>0</v>
      </c>
      <c r="BK510" s="133">
        <f t="shared" si="1479"/>
        <v>0</v>
      </c>
      <c r="BL510" s="133">
        <f t="shared" si="1479"/>
        <v>0</v>
      </c>
      <c r="BM510" s="133">
        <f t="shared" si="1479"/>
        <v>0</v>
      </c>
      <c r="BN510" s="133">
        <f t="shared" si="1479"/>
        <v>0</v>
      </c>
      <c r="BO510" s="133">
        <f t="shared" si="1479"/>
        <v>0</v>
      </c>
      <c r="BP510" s="133">
        <f t="shared" si="1479"/>
        <v>0</v>
      </c>
      <c r="BQ510" s="133">
        <f t="shared" si="1479"/>
        <v>0</v>
      </c>
      <c r="BR510" s="133">
        <f t="shared" si="1479"/>
        <v>0</v>
      </c>
    </row>
    <row r="511" spans="1:70" customFormat="1" ht="11.25" customHeight="1" outlineLevel="2">
      <c r="A511" s="6"/>
      <c r="B511" s="6"/>
      <c r="C511" s="108" t="s">
        <v>288</v>
      </c>
      <c r="D511" s="31" t="s">
        <v>66</v>
      </c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W511" s="6"/>
      <c r="X511" s="6"/>
      <c r="AE511" s="44"/>
      <c r="AF511" s="907">
        <v>0</v>
      </c>
      <c r="AG511" s="947">
        <v>0</v>
      </c>
      <c r="AH511" s="396">
        <f>AVERAGE(AF511,AG511)</f>
        <v>0</v>
      </c>
      <c r="AI511" s="22">
        <v>0</v>
      </c>
      <c r="AJ511" s="22">
        <v>0</v>
      </c>
      <c r="AK511" s="396">
        <f>AVERAGE(AI511,AJ511)</f>
        <v>0</v>
      </c>
      <c r="AL511" s="22">
        <v>0</v>
      </c>
      <c r="AM511" s="22">
        <v>0</v>
      </c>
      <c r="AN511" s="396">
        <f>AVERAGE(AL511,AM511)</f>
        <v>0</v>
      </c>
      <c r="AO511" s="22">
        <v>0</v>
      </c>
      <c r="AP511" s="22">
        <v>0</v>
      </c>
      <c r="AQ511" s="396">
        <f>AVERAGE(AO511,AP511)</f>
        <v>0</v>
      </c>
      <c r="AR511" s="22">
        <v>0</v>
      </c>
      <c r="AS511" s="22">
        <v>0</v>
      </c>
      <c r="AT511" s="396">
        <f>AVERAGE(AR511,AS511)</f>
        <v>0</v>
      </c>
      <c r="AU511" s="22">
        <v>0</v>
      </c>
      <c r="AV511" s="22">
        <v>0</v>
      </c>
      <c r="AW511" s="396">
        <f>AVERAGE(AU511,AV511)</f>
        <v>0</v>
      </c>
      <c r="AX511" s="22">
        <v>0</v>
      </c>
      <c r="AY511" s="22">
        <v>0</v>
      </c>
      <c r="AZ511" s="396">
        <f>AVERAGE(AX511,AY511)</f>
        <v>0</v>
      </c>
      <c r="BA511" s="22">
        <v>0</v>
      </c>
      <c r="BB511" s="22">
        <v>0</v>
      </c>
      <c r="BC511" s="396">
        <f>AVERAGE(BA511,BB511)</f>
        <v>0</v>
      </c>
      <c r="BD511" s="22">
        <v>0</v>
      </c>
      <c r="BE511" s="22">
        <v>0</v>
      </c>
      <c r="BF511" s="396">
        <f>AVERAGE(BD511,BE511)</f>
        <v>0</v>
      </c>
      <c r="BG511" s="22">
        <v>0</v>
      </c>
      <c r="BH511" s="22">
        <v>0</v>
      </c>
      <c r="BI511" s="396">
        <f>AVERAGE(BG511,BH511)</f>
        <v>0</v>
      </c>
      <c r="BJ511" s="22">
        <v>0</v>
      </c>
      <c r="BK511" s="22">
        <v>0</v>
      </c>
      <c r="BL511" s="396">
        <f>AVERAGE(BJ511,BK511)</f>
        <v>0</v>
      </c>
      <c r="BM511" s="22">
        <v>0</v>
      </c>
      <c r="BN511" s="22">
        <v>0</v>
      </c>
      <c r="BO511" s="396">
        <f>AVERAGE(BM511,BN511)</f>
        <v>0</v>
      </c>
      <c r="BP511" s="22">
        <v>0</v>
      </c>
      <c r="BQ511" s="22">
        <v>0</v>
      </c>
      <c r="BR511" s="396">
        <f>AVERAGE(BP511,BQ511)</f>
        <v>0</v>
      </c>
    </row>
    <row r="512" spans="1:70" customFormat="1" ht="11.25" customHeight="1" outlineLevel="2">
      <c r="A512" s="6"/>
      <c r="B512" s="6"/>
      <c r="C512" s="108" t="s">
        <v>538</v>
      </c>
      <c r="D512" s="31" t="s">
        <v>66</v>
      </c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W512" s="6"/>
      <c r="X512" s="6"/>
      <c r="AE512" s="44"/>
      <c r="AF512" s="907">
        <v>0</v>
      </c>
      <c r="AG512" s="947">
        <v>0</v>
      </c>
      <c r="AH512" s="396">
        <f>AVERAGE(AF512,AG512)</f>
        <v>0</v>
      </c>
      <c r="AI512" s="22">
        <v>0</v>
      </c>
      <c r="AJ512" s="22">
        <v>0</v>
      </c>
      <c r="AK512" s="396">
        <f>AVERAGE(AI512,AJ512)</f>
        <v>0</v>
      </c>
      <c r="AL512" s="22">
        <v>0</v>
      </c>
      <c r="AM512" s="22">
        <v>0</v>
      </c>
      <c r="AN512" s="396">
        <f>AVERAGE(AL512,AM512)</f>
        <v>0</v>
      </c>
      <c r="AO512" s="22">
        <v>0</v>
      </c>
      <c r="AP512" s="22">
        <v>0</v>
      </c>
      <c r="AQ512" s="396">
        <f>AVERAGE(AO512,AP512)</f>
        <v>0</v>
      </c>
      <c r="AR512" s="22">
        <v>0</v>
      </c>
      <c r="AS512" s="22">
        <v>0</v>
      </c>
      <c r="AT512" s="396">
        <f>AVERAGE(AR512,AS512)</f>
        <v>0</v>
      </c>
      <c r="AU512" s="22">
        <v>0</v>
      </c>
      <c r="AV512" s="22">
        <v>0</v>
      </c>
      <c r="AW512" s="396">
        <f>AVERAGE(AU512,AV512)</f>
        <v>0</v>
      </c>
      <c r="AX512" s="22">
        <v>0</v>
      </c>
      <c r="AY512" s="22">
        <v>0</v>
      </c>
      <c r="AZ512" s="396">
        <f>AVERAGE(AX512,AY512)</f>
        <v>0</v>
      </c>
      <c r="BA512" s="22">
        <v>0</v>
      </c>
      <c r="BB512" s="22">
        <v>0</v>
      </c>
      <c r="BC512" s="396">
        <f>AVERAGE(BA512,BB512)</f>
        <v>0</v>
      </c>
      <c r="BD512" s="22">
        <v>0</v>
      </c>
      <c r="BE512" s="22">
        <v>0</v>
      </c>
      <c r="BF512" s="396">
        <f>AVERAGE(BD512,BE512)</f>
        <v>0</v>
      </c>
      <c r="BG512" s="22">
        <v>0</v>
      </c>
      <c r="BH512" s="22">
        <v>0</v>
      </c>
      <c r="BI512" s="396">
        <f>AVERAGE(BG512,BH512)</f>
        <v>0</v>
      </c>
      <c r="BJ512" s="22">
        <v>0</v>
      </c>
      <c r="BK512" s="22">
        <v>0</v>
      </c>
      <c r="BL512" s="396">
        <f>AVERAGE(BJ512,BK512)</f>
        <v>0</v>
      </c>
      <c r="BM512" s="22">
        <v>0</v>
      </c>
      <c r="BN512" s="22">
        <v>0</v>
      </c>
      <c r="BO512" s="396">
        <f>AVERAGE(BM512,BN512)</f>
        <v>0</v>
      </c>
      <c r="BP512" s="22">
        <v>0</v>
      </c>
      <c r="BQ512" s="22">
        <v>0</v>
      </c>
      <c r="BR512" s="396">
        <f>AVERAGE(BP512,BQ512)</f>
        <v>0</v>
      </c>
    </row>
    <row r="513" spans="1:70" customFormat="1" ht="11.25" customHeight="1" outlineLevel="2">
      <c r="A513" s="6"/>
      <c r="B513" s="6"/>
      <c r="C513" s="9" t="s">
        <v>81</v>
      </c>
      <c r="D513" s="31" t="s">
        <v>66</v>
      </c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W513" s="6"/>
      <c r="X513" s="6"/>
      <c r="AE513" s="44"/>
      <c r="AF513" s="133">
        <f t="shared" ref="AF513:AN513" si="1480">((AF281*AF514)+(AF282*AF515))</f>
        <v>0</v>
      </c>
      <c r="AG513" s="938">
        <f t="shared" si="1480"/>
        <v>0</v>
      </c>
      <c r="AH513" s="133">
        <f t="shared" si="1480"/>
        <v>0</v>
      </c>
      <c r="AI513" s="133">
        <f t="shared" si="1480"/>
        <v>0</v>
      </c>
      <c r="AJ513" s="133">
        <f t="shared" si="1480"/>
        <v>0</v>
      </c>
      <c r="AK513" s="133">
        <f t="shared" si="1480"/>
        <v>0</v>
      </c>
      <c r="AL513" s="133">
        <f t="shared" si="1480"/>
        <v>0</v>
      </c>
      <c r="AM513" s="133">
        <f t="shared" si="1480"/>
        <v>0</v>
      </c>
      <c r="AN513" s="133">
        <f t="shared" si="1480"/>
        <v>0</v>
      </c>
      <c r="AO513" s="133">
        <f t="shared" ref="AO513:BR513" si="1481">((AO281*AO514)+(AO282*AO515))</f>
        <v>0</v>
      </c>
      <c r="AP513" s="133">
        <f t="shared" si="1481"/>
        <v>0</v>
      </c>
      <c r="AQ513" s="133">
        <f t="shared" si="1481"/>
        <v>0</v>
      </c>
      <c r="AR513" s="133">
        <f t="shared" si="1481"/>
        <v>0</v>
      </c>
      <c r="AS513" s="133">
        <f t="shared" si="1481"/>
        <v>0</v>
      </c>
      <c r="AT513" s="133">
        <f t="shared" si="1481"/>
        <v>0</v>
      </c>
      <c r="AU513" s="133">
        <f t="shared" si="1481"/>
        <v>0</v>
      </c>
      <c r="AV513" s="133">
        <f t="shared" si="1481"/>
        <v>0</v>
      </c>
      <c r="AW513" s="133">
        <f t="shared" si="1481"/>
        <v>0</v>
      </c>
      <c r="AX513" s="133">
        <f t="shared" si="1481"/>
        <v>0</v>
      </c>
      <c r="AY513" s="133">
        <f t="shared" si="1481"/>
        <v>0</v>
      </c>
      <c r="AZ513" s="133">
        <f t="shared" si="1481"/>
        <v>0</v>
      </c>
      <c r="BA513" s="133">
        <f t="shared" si="1481"/>
        <v>0</v>
      </c>
      <c r="BB513" s="133">
        <f t="shared" si="1481"/>
        <v>0</v>
      </c>
      <c r="BC513" s="133">
        <f t="shared" si="1481"/>
        <v>0</v>
      </c>
      <c r="BD513" s="133">
        <f t="shared" si="1481"/>
        <v>0</v>
      </c>
      <c r="BE513" s="133">
        <f t="shared" si="1481"/>
        <v>0</v>
      </c>
      <c r="BF513" s="133">
        <f t="shared" si="1481"/>
        <v>0</v>
      </c>
      <c r="BG513" s="133">
        <f t="shared" si="1481"/>
        <v>0</v>
      </c>
      <c r="BH513" s="133">
        <f t="shared" si="1481"/>
        <v>0</v>
      </c>
      <c r="BI513" s="133">
        <f t="shared" si="1481"/>
        <v>0</v>
      </c>
      <c r="BJ513" s="133">
        <f t="shared" si="1481"/>
        <v>0</v>
      </c>
      <c r="BK513" s="133">
        <f t="shared" si="1481"/>
        <v>0</v>
      </c>
      <c r="BL513" s="133">
        <f t="shared" si="1481"/>
        <v>0</v>
      </c>
      <c r="BM513" s="133">
        <f t="shared" si="1481"/>
        <v>0</v>
      </c>
      <c r="BN513" s="133">
        <f t="shared" si="1481"/>
        <v>0</v>
      </c>
      <c r="BO513" s="133">
        <f t="shared" si="1481"/>
        <v>0</v>
      </c>
      <c r="BP513" s="133">
        <f t="shared" si="1481"/>
        <v>0</v>
      </c>
      <c r="BQ513" s="133">
        <f t="shared" si="1481"/>
        <v>0</v>
      </c>
      <c r="BR513" s="133">
        <f t="shared" si="1481"/>
        <v>0</v>
      </c>
    </row>
    <row r="514" spans="1:70" customFormat="1" ht="11.25" customHeight="1" outlineLevel="2">
      <c r="A514" s="6"/>
      <c r="B514" s="6"/>
      <c r="C514" s="108" t="s">
        <v>59</v>
      </c>
      <c r="D514" s="31" t="s">
        <v>66</v>
      </c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W514" s="6"/>
      <c r="X514" s="6"/>
      <c r="AE514" s="44"/>
      <c r="AF514" s="907">
        <v>0</v>
      </c>
      <c r="AG514" s="947">
        <v>0</v>
      </c>
      <c r="AH514" s="396">
        <f>AVERAGE(AF514,AG514)</f>
        <v>0</v>
      </c>
      <c r="AI514" s="22">
        <v>0</v>
      </c>
      <c r="AJ514" s="22">
        <v>0</v>
      </c>
      <c r="AK514" s="396">
        <f>AVERAGE(AI514,AJ514)</f>
        <v>0</v>
      </c>
      <c r="AL514" s="22">
        <v>0</v>
      </c>
      <c r="AM514" s="22">
        <v>0</v>
      </c>
      <c r="AN514" s="396">
        <f>AVERAGE(AL514,AM514)</f>
        <v>0</v>
      </c>
      <c r="AO514" s="22">
        <v>0</v>
      </c>
      <c r="AP514" s="22">
        <v>0</v>
      </c>
      <c r="AQ514" s="396">
        <f>AVERAGE(AO514,AP514)</f>
        <v>0</v>
      </c>
      <c r="AR514" s="22">
        <v>0</v>
      </c>
      <c r="AS514" s="22">
        <v>0</v>
      </c>
      <c r="AT514" s="396">
        <f>AVERAGE(AR514,AS514)</f>
        <v>0</v>
      </c>
      <c r="AU514" s="22">
        <v>0</v>
      </c>
      <c r="AV514" s="22">
        <v>0</v>
      </c>
      <c r="AW514" s="396">
        <f>AVERAGE(AU514,AV514)</f>
        <v>0</v>
      </c>
      <c r="AX514" s="22">
        <v>0</v>
      </c>
      <c r="AY514" s="22">
        <v>0</v>
      </c>
      <c r="AZ514" s="396">
        <f>AVERAGE(AX514,AY514)</f>
        <v>0</v>
      </c>
      <c r="BA514" s="22">
        <v>0</v>
      </c>
      <c r="BB514" s="22">
        <v>0</v>
      </c>
      <c r="BC514" s="396">
        <f>AVERAGE(BA514,BB514)</f>
        <v>0</v>
      </c>
      <c r="BD514" s="22">
        <v>0</v>
      </c>
      <c r="BE514" s="22">
        <v>0</v>
      </c>
      <c r="BF514" s="396">
        <f>AVERAGE(BD514,BE514)</f>
        <v>0</v>
      </c>
      <c r="BG514" s="22">
        <v>0</v>
      </c>
      <c r="BH514" s="22">
        <v>0</v>
      </c>
      <c r="BI514" s="396">
        <f>AVERAGE(BG514,BH514)</f>
        <v>0</v>
      </c>
      <c r="BJ514" s="22">
        <v>0</v>
      </c>
      <c r="BK514" s="22">
        <v>0</v>
      </c>
      <c r="BL514" s="396">
        <f>AVERAGE(BJ514,BK514)</f>
        <v>0</v>
      </c>
      <c r="BM514" s="22">
        <v>0</v>
      </c>
      <c r="BN514" s="22">
        <v>0</v>
      </c>
      <c r="BO514" s="396">
        <f>AVERAGE(BM514,BN514)</f>
        <v>0</v>
      </c>
      <c r="BP514" s="22">
        <v>0</v>
      </c>
      <c r="BQ514" s="22">
        <v>0</v>
      </c>
      <c r="BR514" s="396">
        <f>AVERAGE(BP514,BQ514)</f>
        <v>0</v>
      </c>
    </row>
    <row r="515" spans="1:70" customFormat="1" ht="11.25" customHeight="1" outlineLevel="2">
      <c r="A515" s="6"/>
      <c r="B515" s="6"/>
      <c r="C515" s="108" t="s">
        <v>93</v>
      </c>
      <c r="D515" s="31" t="s">
        <v>66</v>
      </c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W515" s="6"/>
      <c r="X515" s="6"/>
      <c r="AE515" s="44"/>
      <c r="AF515" s="907">
        <v>0</v>
      </c>
      <c r="AG515" s="947">
        <v>0</v>
      </c>
      <c r="AH515" s="396">
        <f>AVERAGE(AF515,AG515)</f>
        <v>0</v>
      </c>
      <c r="AI515" s="22">
        <v>0</v>
      </c>
      <c r="AJ515" s="22">
        <v>0</v>
      </c>
      <c r="AK515" s="396">
        <f>AVERAGE(AI515,AJ515)</f>
        <v>0</v>
      </c>
      <c r="AL515" s="22">
        <v>0</v>
      </c>
      <c r="AM515" s="22">
        <v>0</v>
      </c>
      <c r="AN515" s="396">
        <f>AVERAGE(AL515,AM515)</f>
        <v>0</v>
      </c>
      <c r="AO515" s="22">
        <v>0</v>
      </c>
      <c r="AP515" s="22">
        <v>0</v>
      </c>
      <c r="AQ515" s="396">
        <f>AVERAGE(AO515,AP515)</f>
        <v>0</v>
      </c>
      <c r="AR515" s="22">
        <v>0</v>
      </c>
      <c r="AS515" s="22">
        <v>0</v>
      </c>
      <c r="AT515" s="396">
        <f>AVERAGE(AR515,AS515)</f>
        <v>0</v>
      </c>
      <c r="AU515" s="22">
        <v>0</v>
      </c>
      <c r="AV515" s="22">
        <v>0</v>
      </c>
      <c r="AW515" s="396">
        <f>AVERAGE(AU515,AV515)</f>
        <v>0</v>
      </c>
      <c r="AX515" s="22">
        <v>0</v>
      </c>
      <c r="AY515" s="22">
        <v>0</v>
      </c>
      <c r="AZ515" s="396">
        <f>AVERAGE(AX515,AY515)</f>
        <v>0</v>
      </c>
      <c r="BA515" s="22">
        <v>0</v>
      </c>
      <c r="BB515" s="22">
        <v>0</v>
      </c>
      <c r="BC515" s="396">
        <f>AVERAGE(BA515,BB515)</f>
        <v>0</v>
      </c>
      <c r="BD515" s="22">
        <v>0</v>
      </c>
      <c r="BE515" s="22">
        <v>0</v>
      </c>
      <c r="BF515" s="396">
        <f>AVERAGE(BD515,BE515)</f>
        <v>0</v>
      </c>
      <c r="BG515" s="22">
        <v>0</v>
      </c>
      <c r="BH515" s="22">
        <v>0</v>
      </c>
      <c r="BI515" s="396">
        <f>AVERAGE(BG515,BH515)</f>
        <v>0</v>
      </c>
      <c r="BJ515" s="22">
        <v>0</v>
      </c>
      <c r="BK515" s="22">
        <v>0</v>
      </c>
      <c r="BL515" s="396">
        <f>AVERAGE(BJ515,BK515)</f>
        <v>0</v>
      </c>
      <c r="BM515" s="22">
        <v>0</v>
      </c>
      <c r="BN515" s="22">
        <v>0</v>
      </c>
      <c r="BO515" s="396">
        <f>AVERAGE(BM515,BN515)</f>
        <v>0</v>
      </c>
      <c r="BP515" s="22">
        <v>0</v>
      </c>
      <c r="BQ515" s="22">
        <v>0</v>
      </c>
      <c r="BR515" s="396">
        <f>AVERAGE(BP515,BQ515)</f>
        <v>0</v>
      </c>
    </row>
    <row r="516" spans="1:70" customFormat="1" ht="11.25" customHeight="1" outlineLevel="2">
      <c r="A516" s="6"/>
      <c r="B516" s="6"/>
      <c r="C516" s="9" t="s">
        <v>83</v>
      </c>
      <c r="D516" s="31" t="s">
        <v>66</v>
      </c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W516" s="6"/>
      <c r="X516" s="6"/>
      <c r="AE516" s="44"/>
      <c r="AF516" s="133">
        <f t="shared" ref="AF516:AM516" si="1482">((AF284*AF517)+(AF285*AF518)+(AF286*AF519))</f>
        <v>0</v>
      </c>
      <c r="AG516" s="938">
        <f t="shared" si="1482"/>
        <v>0</v>
      </c>
      <c r="AH516" s="133">
        <f>((AH284*AH517)+(AH285*AH518)+(AH286*AH519))</f>
        <v>0</v>
      </c>
      <c r="AI516" s="133">
        <f t="shared" si="1482"/>
        <v>0</v>
      </c>
      <c r="AJ516" s="133">
        <f t="shared" si="1482"/>
        <v>0</v>
      </c>
      <c r="AK516" s="133">
        <f>((AK284*AK517)+(AK285*AK518)+(AK286*AK519))</f>
        <v>0</v>
      </c>
      <c r="AL516" s="133">
        <f t="shared" si="1482"/>
        <v>0</v>
      </c>
      <c r="AM516" s="133">
        <f t="shared" si="1482"/>
        <v>0</v>
      </c>
      <c r="AN516" s="133">
        <f>((AN284*AN517)+(AN285*AN518)+(AN286*AN519))</f>
        <v>0</v>
      </c>
      <c r="AO516" s="133">
        <f t="shared" ref="AO516:AP516" si="1483">((AO284*AO517)+(AO285*AO518)+(AO286*AO519))</f>
        <v>0</v>
      </c>
      <c r="AP516" s="133">
        <f t="shared" si="1483"/>
        <v>0</v>
      </c>
      <c r="AQ516" s="133">
        <f>((AQ284*AQ517)+(AQ285*AQ518)+(AQ286*AQ519))</f>
        <v>0</v>
      </c>
      <c r="AR516" s="133">
        <f t="shared" ref="AR516:AS516" si="1484">((AR284*AR517)+(AR285*AR518)+(AR286*AR519))</f>
        <v>0</v>
      </c>
      <c r="AS516" s="133">
        <f t="shared" si="1484"/>
        <v>0</v>
      </c>
      <c r="AT516" s="133">
        <f>((AT284*AT517)+(AT285*AT518)+(AT286*AT519))</f>
        <v>0</v>
      </c>
      <c r="AU516" s="133">
        <f t="shared" ref="AU516:AV516" si="1485">((AU284*AU517)+(AU285*AU518)+(AU286*AU519))</f>
        <v>0</v>
      </c>
      <c r="AV516" s="133">
        <f t="shared" si="1485"/>
        <v>0</v>
      </c>
      <c r="AW516" s="133">
        <f>((AW284*AW517)+(AW285*AW518)+(AW286*AW519))</f>
        <v>0</v>
      </c>
      <c r="AX516" s="133">
        <f t="shared" ref="AX516:AY516" si="1486">((AX284*AX517)+(AX285*AX518)+(AX286*AX519))</f>
        <v>0</v>
      </c>
      <c r="AY516" s="133">
        <f t="shared" si="1486"/>
        <v>0</v>
      </c>
      <c r="AZ516" s="133">
        <f>((AZ284*AZ517)+(AZ285*AZ518)+(AZ286*AZ519))</f>
        <v>0</v>
      </c>
      <c r="BA516" s="133">
        <f t="shared" ref="BA516:BB516" si="1487">((BA284*BA517)+(BA285*BA518)+(BA286*BA519))</f>
        <v>0</v>
      </c>
      <c r="BB516" s="133">
        <f t="shared" si="1487"/>
        <v>0</v>
      </c>
      <c r="BC516" s="133">
        <f>((BC284*BC517)+(BC285*BC518)+(BC286*BC519))</f>
        <v>0</v>
      </c>
      <c r="BD516" s="133">
        <f t="shared" ref="BD516:BE516" si="1488">((BD284*BD517)+(BD285*BD518)+(BD286*BD519))</f>
        <v>0</v>
      </c>
      <c r="BE516" s="133">
        <f t="shared" si="1488"/>
        <v>0</v>
      </c>
      <c r="BF516" s="133">
        <f>((BF284*BF517)+(BF285*BF518)+(BF286*BF519))</f>
        <v>0</v>
      </c>
      <c r="BG516" s="133">
        <f t="shared" ref="BG516:BH516" si="1489">((BG284*BG517)+(BG285*BG518)+(BG286*BG519))</f>
        <v>0</v>
      </c>
      <c r="BH516" s="133">
        <f t="shared" si="1489"/>
        <v>0</v>
      </c>
      <c r="BI516" s="133">
        <f>((BI284*BI517)+(BI285*BI518)+(BI286*BI519))</f>
        <v>0</v>
      </c>
      <c r="BJ516" s="133">
        <f t="shared" ref="BJ516:BK516" si="1490">((BJ284*BJ517)+(BJ285*BJ518)+(BJ286*BJ519))</f>
        <v>0</v>
      </c>
      <c r="BK516" s="133">
        <f t="shared" si="1490"/>
        <v>0</v>
      </c>
      <c r="BL516" s="133">
        <f>((BL284*BL517)+(BL285*BL518)+(BL286*BL519))</f>
        <v>0</v>
      </c>
      <c r="BM516" s="133">
        <f t="shared" ref="BM516:BN516" si="1491">((BM284*BM517)+(BM285*BM518)+(BM286*BM519))</f>
        <v>0</v>
      </c>
      <c r="BN516" s="133">
        <f t="shared" si="1491"/>
        <v>0</v>
      </c>
      <c r="BO516" s="133">
        <f>((BO284*BO517)+(BO285*BO518)+(BO286*BO519))</f>
        <v>0</v>
      </c>
      <c r="BP516" s="133">
        <f t="shared" ref="BP516:BQ516" si="1492">((BP284*BP517)+(BP285*BP518)+(BP286*BP519))</f>
        <v>0</v>
      </c>
      <c r="BQ516" s="133">
        <f t="shared" si="1492"/>
        <v>0</v>
      </c>
      <c r="BR516" s="133">
        <f>((BR284*BR517)+(BR285*BR518)+(BR286*BR519))</f>
        <v>0</v>
      </c>
    </row>
    <row r="517" spans="1:70" customFormat="1" ht="11.25" customHeight="1" outlineLevel="2">
      <c r="A517" s="6"/>
      <c r="B517" s="6"/>
      <c r="C517" s="108" t="s">
        <v>289</v>
      </c>
      <c r="D517" s="31" t="s">
        <v>66</v>
      </c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W517" s="6"/>
      <c r="X517" s="6"/>
      <c r="AE517" s="44"/>
      <c r="AF517" s="907">
        <v>0</v>
      </c>
      <c r="AG517" s="947">
        <v>0</v>
      </c>
      <c r="AH517" s="396">
        <f>AVERAGE(AF517,AG517)</f>
        <v>0</v>
      </c>
      <c r="AI517" s="22">
        <v>0</v>
      </c>
      <c r="AJ517" s="22">
        <v>0</v>
      </c>
      <c r="AK517" s="396">
        <f>AVERAGE(AI517,AJ517)</f>
        <v>0</v>
      </c>
      <c r="AL517" s="22">
        <v>0</v>
      </c>
      <c r="AM517" s="22">
        <v>0</v>
      </c>
      <c r="AN517" s="396">
        <f>AVERAGE(AL517,AM517)</f>
        <v>0</v>
      </c>
      <c r="AO517" s="22">
        <v>0</v>
      </c>
      <c r="AP517" s="22">
        <v>0</v>
      </c>
      <c r="AQ517" s="396">
        <f>AVERAGE(AO517,AP517)</f>
        <v>0</v>
      </c>
      <c r="AR517" s="22">
        <v>0</v>
      </c>
      <c r="AS517" s="22">
        <v>0</v>
      </c>
      <c r="AT517" s="396">
        <f>AVERAGE(AR517,AS517)</f>
        <v>0</v>
      </c>
      <c r="AU517" s="22">
        <v>0</v>
      </c>
      <c r="AV517" s="22">
        <v>0</v>
      </c>
      <c r="AW517" s="396">
        <f>AVERAGE(AU517,AV517)</f>
        <v>0</v>
      </c>
      <c r="AX517" s="22">
        <v>0</v>
      </c>
      <c r="AY517" s="22">
        <v>0</v>
      </c>
      <c r="AZ517" s="396">
        <f>AVERAGE(AX517,AY517)</f>
        <v>0</v>
      </c>
      <c r="BA517" s="22">
        <v>0</v>
      </c>
      <c r="BB517" s="22">
        <v>0</v>
      </c>
      <c r="BC517" s="396">
        <f>AVERAGE(BA517,BB517)</f>
        <v>0</v>
      </c>
      <c r="BD517" s="22">
        <v>0</v>
      </c>
      <c r="BE517" s="22">
        <v>0</v>
      </c>
      <c r="BF517" s="396">
        <f>AVERAGE(BD517,BE517)</f>
        <v>0</v>
      </c>
      <c r="BG517" s="22">
        <v>0</v>
      </c>
      <c r="BH517" s="22">
        <v>0</v>
      </c>
      <c r="BI517" s="396">
        <f>AVERAGE(BG517,BH517)</f>
        <v>0</v>
      </c>
      <c r="BJ517" s="22">
        <v>0</v>
      </c>
      <c r="BK517" s="22">
        <v>0</v>
      </c>
      <c r="BL517" s="396">
        <f>AVERAGE(BJ517,BK517)</f>
        <v>0</v>
      </c>
      <c r="BM517" s="22">
        <v>0</v>
      </c>
      <c r="BN517" s="22">
        <v>0</v>
      </c>
      <c r="BO517" s="396">
        <f>AVERAGE(BM517,BN517)</f>
        <v>0</v>
      </c>
      <c r="BP517" s="22">
        <v>0</v>
      </c>
      <c r="BQ517" s="22">
        <v>0</v>
      </c>
      <c r="BR517" s="396">
        <f>AVERAGE(BP517,BQ517)</f>
        <v>0</v>
      </c>
    </row>
    <row r="518" spans="1:70" customFormat="1" ht="11.25" customHeight="1" outlineLevel="2">
      <c r="A518" s="6"/>
      <c r="B518" s="6"/>
      <c r="C518" s="108" t="s">
        <v>537</v>
      </c>
      <c r="D518" s="31" t="s">
        <v>66</v>
      </c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W518" s="6"/>
      <c r="X518" s="6"/>
      <c r="AE518" s="44"/>
      <c r="AF518" s="907">
        <v>0</v>
      </c>
      <c r="AG518" s="947">
        <v>0</v>
      </c>
      <c r="AH518" s="396">
        <f>AVERAGE(AF518,AG518)</f>
        <v>0</v>
      </c>
      <c r="AI518" s="22">
        <v>0</v>
      </c>
      <c r="AJ518" s="22">
        <v>0</v>
      </c>
      <c r="AK518" s="396">
        <f>AVERAGE(AI518,AJ518)</f>
        <v>0</v>
      </c>
      <c r="AL518" s="22">
        <v>0</v>
      </c>
      <c r="AM518" s="22">
        <v>0</v>
      </c>
      <c r="AN518" s="396">
        <f>AVERAGE(AL518,AM518)</f>
        <v>0</v>
      </c>
      <c r="AO518" s="22">
        <v>0</v>
      </c>
      <c r="AP518" s="22">
        <v>0</v>
      </c>
      <c r="AQ518" s="396">
        <f>AVERAGE(AO518,AP518)</f>
        <v>0</v>
      </c>
      <c r="AR518" s="22">
        <v>0</v>
      </c>
      <c r="AS518" s="22">
        <v>0</v>
      </c>
      <c r="AT518" s="396">
        <f>AVERAGE(AR518,AS518)</f>
        <v>0</v>
      </c>
      <c r="AU518" s="22">
        <v>0</v>
      </c>
      <c r="AV518" s="22">
        <v>0</v>
      </c>
      <c r="AW518" s="396">
        <f>AVERAGE(AU518,AV518)</f>
        <v>0</v>
      </c>
      <c r="AX518" s="22">
        <v>0</v>
      </c>
      <c r="AY518" s="22">
        <v>0</v>
      </c>
      <c r="AZ518" s="396">
        <f>AVERAGE(AX518,AY518)</f>
        <v>0</v>
      </c>
      <c r="BA518" s="22">
        <v>0</v>
      </c>
      <c r="BB518" s="22">
        <v>0</v>
      </c>
      <c r="BC518" s="396">
        <f>AVERAGE(BA518,BB518)</f>
        <v>0</v>
      </c>
      <c r="BD518" s="22">
        <v>0</v>
      </c>
      <c r="BE518" s="22">
        <v>0</v>
      </c>
      <c r="BF518" s="396">
        <f>AVERAGE(BD518,BE518)</f>
        <v>0</v>
      </c>
      <c r="BG518" s="22">
        <v>0</v>
      </c>
      <c r="BH518" s="22">
        <v>0</v>
      </c>
      <c r="BI518" s="396">
        <f>AVERAGE(BG518,BH518)</f>
        <v>0</v>
      </c>
      <c r="BJ518" s="22">
        <v>0</v>
      </c>
      <c r="BK518" s="22">
        <v>0</v>
      </c>
      <c r="BL518" s="396">
        <f>AVERAGE(BJ518,BK518)</f>
        <v>0</v>
      </c>
      <c r="BM518" s="22">
        <v>0</v>
      </c>
      <c r="BN518" s="22">
        <v>0</v>
      </c>
      <c r="BO518" s="396">
        <f>AVERAGE(BM518,BN518)</f>
        <v>0</v>
      </c>
      <c r="BP518" s="22">
        <v>0</v>
      </c>
      <c r="BQ518" s="22">
        <v>0</v>
      </c>
      <c r="BR518" s="396">
        <f>AVERAGE(BP518,BQ518)</f>
        <v>0</v>
      </c>
    </row>
    <row r="519" spans="1:70" customFormat="1" ht="11.25" customHeight="1" outlineLevel="2">
      <c r="A519" s="6"/>
      <c r="B519" s="6"/>
      <c r="C519" s="108" t="s">
        <v>290</v>
      </c>
      <c r="D519" s="31" t="s">
        <v>66</v>
      </c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W519" s="6"/>
      <c r="X519" s="6"/>
      <c r="AE519" s="44"/>
      <c r="AF519" s="907">
        <v>0</v>
      </c>
      <c r="AG519" s="947">
        <v>0</v>
      </c>
      <c r="AH519" s="396">
        <f>AVERAGE(AF519,AG519)</f>
        <v>0</v>
      </c>
      <c r="AI519" s="22">
        <v>0</v>
      </c>
      <c r="AJ519" s="22">
        <v>0</v>
      </c>
      <c r="AK519" s="396">
        <f>AVERAGE(AI519,AJ519)</f>
        <v>0</v>
      </c>
      <c r="AL519" s="22">
        <v>0</v>
      </c>
      <c r="AM519" s="22">
        <v>0</v>
      </c>
      <c r="AN519" s="396">
        <f>AVERAGE(AL519,AM519)</f>
        <v>0</v>
      </c>
      <c r="AO519" s="22">
        <v>0</v>
      </c>
      <c r="AP519" s="22">
        <v>0</v>
      </c>
      <c r="AQ519" s="396">
        <f>AVERAGE(AO519,AP519)</f>
        <v>0</v>
      </c>
      <c r="AR519" s="22">
        <v>0</v>
      </c>
      <c r="AS519" s="22">
        <v>0</v>
      </c>
      <c r="AT519" s="396">
        <f>AVERAGE(AR519,AS519)</f>
        <v>0</v>
      </c>
      <c r="AU519" s="22">
        <v>0</v>
      </c>
      <c r="AV519" s="22">
        <v>0</v>
      </c>
      <c r="AW519" s="396">
        <f>AVERAGE(AU519,AV519)</f>
        <v>0</v>
      </c>
      <c r="AX519" s="22">
        <v>0</v>
      </c>
      <c r="AY519" s="22">
        <v>0</v>
      </c>
      <c r="AZ519" s="396">
        <f>AVERAGE(AX519,AY519)</f>
        <v>0</v>
      </c>
      <c r="BA519" s="22">
        <v>0</v>
      </c>
      <c r="BB519" s="22">
        <v>0</v>
      </c>
      <c r="BC519" s="396">
        <f>AVERAGE(BA519,BB519)</f>
        <v>0</v>
      </c>
      <c r="BD519" s="22">
        <v>0</v>
      </c>
      <c r="BE519" s="22">
        <v>0</v>
      </c>
      <c r="BF519" s="396">
        <f>AVERAGE(BD519,BE519)</f>
        <v>0</v>
      </c>
      <c r="BG519" s="22">
        <v>0</v>
      </c>
      <c r="BH519" s="22">
        <v>0</v>
      </c>
      <c r="BI519" s="396">
        <f>AVERAGE(BG519,BH519)</f>
        <v>0</v>
      </c>
      <c r="BJ519" s="22">
        <v>0</v>
      </c>
      <c r="BK519" s="22">
        <v>0</v>
      </c>
      <c r="BL519" s="396">
        <f>AVERAGE(BJ519,BK519)</f>
        <v>0</v>
      </c>
      <c r="BM519" s="22">
        <v>0</v>
      </c>
      <c r="BN519" s="22">
        <v>0</v>
      </c>
      <c r="BO519" s="396">
        <f>AVERAGE(BM519,BN519)</f>
        <v>0</v>
      </c>
      <c r="BP519" s="22">
        <v>0</v>
      </c>
      <c r="BQ519" s="22">
        <v>0</v>
      </c>
      <c r="BR519" s="396">
        <f>AVERAGE(BP519,BQ519)</f>
        <v>0</v>
      </c>
    </row>
    <row r="520" spans="1:70" customFormat="1" ht="11.25" customHeight="1" outlineLevel="2">
      <c r="A520" s="6"/>
      <c r="B520" s="6"/>
      <c r="C520" s="9" t="s">
        <v>82</v>
      </c>
      <c r="D520" s="31" t="s">
        <v>66</v>
      </c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W520" s="6"/>
      <c r="X520" s="6"/>
      <c r="AE520" s="44"/>
      <c r="AF520" s="133">
        <f t="shared" ref="AF520:AN520" si="1493">((AF288*AF521)+(AF289*AF522))</f>
        <v>0</v>
      </c>
      <c r="AG520" s="938">
        <f t="shared" si="1493"/>
        <v>0</v>
      </c>
      <c r="AH520" s="133">
        <f t="shared" si="1493"/>
        <v>0</v>
      </c>
      <c r="AI520" s="133">
        <f t="shared" si="1493"/>
        <v>0</v>
      </c>
      <c r="AJ520" s="133">
        <f t="shared" si="1493"/>
        <v>0</v>
      </c>
      <c r="AK520" s="133">
        <f t="shared" si="1493"/>
        <v>0</v>
      </c>
      <c r="AL520" s="133">
        <f t="shared" si="1493"/>
        <v>0</v>
      </c>
      <c r="AM520" s="133">
        <f t="shared" si="1493"/>
        <v>0</v>
      </c>
      <c r="AN520" s="133">
        <f t="shared" si="1493"/>
        <v>0</v>
      </c>
      <c r="AO520" s="133">
        <f t="shared" ref="AO520:BR520" si="1494">((AO288*AO521)+(AO289*AO522))</f>
        <v>0</v>
      </c>
      <c r="AP520" s="133">
        <f t="shared" si="1494"/>
        <v>0</v>
      </c>
      <c r="AQ520" s="133">
        <f t="shared" si="1494"/>
        <v>0</v>
      </c>
      <c r="AR520" s="133">
        <f t="shared" si="1494"/>
        <v>0</v>
      </c>
      <c r="AS520" s="133">
        <f t="shared" si="1494"/>
        <v>0</v>
      </c>
      <c r="AT520" s="133">
        <f t="shared" si="1494"/>
        <v>0</v>
      </c>
      <c r="AU520" s="133">
        <f t="shared" si="1494"/>
        <v>0</v>
      </c>
      <c r="AV520" s="133">
        <f t="shared" si="1494"/>
        <v>0</v>
      </c>
      <c r="AW520" s="133">
        <f t="shared" si="1494"/>
        <v>0</v>
      </c>
      <c r="AX520" s="133">
        <f t="shared" si="1494"/>
        <v>0</v>
      </c>
      <c r="AY520" s="133">
        <f t="shared" si="1494"/>
        <v>0</v>
      </c>
      <c r="AZ520" s="133">
        <f t="shared" si="1494"/>
        <v>0</v>
      </c>
      <c r="BA520" s="133">
        <f t="shared" si="1494"/>
        <v>0</v>
      </c>
      <c r="BB520" s="133">
        <f t="shared" si="1494"/>
        <v>0</v>
      </c>
      <c r="BC520" s="133">
        <f t="shared" si="1494"/>
        <v>0</v>
      </c>
      <c r="BD520" s="133">
        <f t="shared" si="1494"/>
        <v>0</v>
      </c>
      <c r="BE520" s="133">
        <f t="shared" si="1494"/>
        <v>0</v>
      </c>
      <c r="BF520" s="133">
        <f t="shared" si="1494"/>
        <v>0</v>
      </c>
      <c r="BG520" s="133">
        <f t="shared" si="1494"/>
        <v>0</v>
      </c>
      <c r="BH520" s="133">
        <f t="shared" si="1494"/>
        <v>0</v>
      </c>
      <c r="BI520" s="133">
        <f t="shared" si="1494"/>
        <v>0</v>
      </c>
      <c r="BJ520" s="133">
        <f t="shared" si="1494"/>
        <v>0</v>
      </c>
      <c r="BK520" s="133">
        <f t="shared" si="1494"/>
        <v>0</v>
      </c>
      <c r="BL520" s="133">
        <f t="shared" si="1494"/>
        <v>0</v>
      </c>
      <c r="BM520" s="133">
        <f t="shared" si="1494"/>
        <v>0</v>
      </c>
      <c r="BN520" s="133">
        <f t="shared" si="1494"/>
        <v>0</v>
      </c>
      <c r="BO520" s="133">
        <f t="shared" si="1494"/>
        <v>0</v>
      </c>
      <c r="BP520" s="133">
        <f t="shared" si="1494"/>
        <v>0</v>
      </c>
      <c r="BQ520" s="133">
        <f t="shared" si="1494"/>
        <v>0</v>
      </c>
      <c r="BR520" s="133">
        <f t="shared" si="1494"/>
        <v>0</v>
      </c>
    </row>
    <row r="521" spans="1:70" customFormat="1" ht="11.25" customHeight="1" outlineLevel="2">
      <c r="A521" s="6"/>
      <c r="B521" s="6"/>
      <c r="C521" s="108" t="s">
        <v>292</v>
      </c>
      <c r="D521" s="31" t="s">
        <v>66</v>
      </c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W521" s="6"/>
      <c r="X521" s="6"/>
      <c r="AE521" s="44"/>
      <c r="AF521" s="907">
        <v>0</v>
      </c>
      <c r="AG521" s="947">
        <v>0</v>
      </c>
      <c r="AH521" s="396">
        <f>AVERAGE(AF521,AG521)</f>
        <v>0</v>
      </c>
      <c r="AI521" s="22">
        <v>0</v>
      </c>
      <c r="AJ521" s="22">
        <v>0</v>
      </c>
      <c r="AK521" s="396">
        <f>AVERAGE(AI521,AJ521)</f>
        <v>0</v>
      </c>
      <c r="AL521" s="22">
        <v>0</v>
      </c>
      <c r="AM521" s="22">
        <v>0</v>
      </c>
      <c r="AN521" s="396">
        <f>AVERAGE(AL521,AM521)</f>
        <v>0</v>
      </c>
      <c r="AO521" s="22">
        <v>0</v>
      </c>
      <c r="AP521" s="22">
        <v>0</v>
      </c>
      <c r="AQ521" s="396">
        <f>AVERAGE(AO521,AP521)</f>
        <v>0</v>
      </c>
      <c r="AR521" s="22">
        <v>0</v>
      </c>
      <c r="AS521" s="22">
        <v>0</v>
      </c>
      <c r="AT521" s="396">
        <f>AVERAGE(AR521,AS521)</f>
        <v>0</v>
      </c>
      <c r="AU521" s="22">
        <v>0</v>
      </c>
      <c r="AV521" s="22">
        <v>0</v>
      </c>
      <c r="AW521" s="396">
        <f>AVERAGE(AU521,AV521)</f>
        <v>0</v>
      </c>
      <c r="AX521" s="22">
        <v>0</v>
      </c>
      <c r="AY521" s="22">
        <v>0</v>
      </c>
      <c r="AZ521" s="396">
        <f>AVERAGE(AX521,AY521)</f>
        <v>0</v>
      </c>
      <c r="BA521" s="22">
        <v>0</v>
      </c>
      <c r="BB521" s="22">
        <v>0</v>
      </c>
      <c r="BC521" s="396">
        <f>AVERAGE(BA521,BB521)</f>
        <v>0</v>
      </c>
      <c r="BD521" s="22">
        <v>0</v>
      </c>
      <c r="BE521" s="22">
        <v>0</v>
      </c>
      <c r="BF521" s="396">
        <f>AVERAGE(BD521,BE521)</f>
        <v>0</v>
      </c>
      <c r="BG521" s="22">
        <v>0</v>
      </c>
      <c r="BH521" s="22">
        <v>0</v>
      </c>
      <c r="BI521" s="396">
        <f>AVERAGE(BG521,BH521)</f>
        <v>0</v>
      </c>
      <c r="BJ521" s="22">
        <v>0</v>
      </c>
      <c r="BK521" s="22">
        <v>0</v>
      </c>
      <c r="BL521" s="396">
        <f>AVERAGE(BJ521,BK521)</f>
        <v>0</v>
      </c>
      <c r="BM521" s="22">
        <v>0</v>
      </c>
      <c r="BN521" s="22">
        <v>0</v>
      </c>
      <c r="BO521" s="396">
        <f>AVERAGE(BM521,BN521)</f>
        <v>0</v>
      </c>
      <c r="BP521" s="22">
        <v>0</v>
      </c>
      <c r="BQ521" s="22">
        <v>0</v>
      </c>
      <c r="BR521" s="396">
        <f>AVERAGE(BP521,BQ521)</f>
        <v>0</v>
      </c>
    </row>
    <row r="522" spans="1:70" customFormat="1" ht="11.25" customHeight="1" outlineLevel="2">
      <c r="A522" s="6"/>
      <c r="B522" s="6"/>
      <c r="C522" s="108" t="s">
        <v>293</v>
      </c>
      <c r="D522" s="31" t="s">
        <v>66</v>
      </c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W522" s="6"/>
      <c r="X522" s="6"/>
      <c r="AE522" s="44"/>
      <c r="AF522" s="907">
        <v>0</v>
      </c>
      <c r="AG522" s="947">
        <v>0</v>
      </c>
      <c r="AH522" s="396">
        <f>AVERAGE(AF522,AG522)</f>
        <v>0</v>
      </c>
      <c r="AI522" s="22">
        <v>0</v>
      </c>
      <c r="AJ522" s="22">
        <v>0</v>
      </c>
      <c r="AK522" s="396">
        <f>AVERAGE(AI522,AJ522)</f>
        <v>0</v>
      </c>
      <c r="AL522" s="22">
        <v>0</v>
      </c>
      <c r="AM522" s="22">
        <v>0</v>
      </c>
      <c r="AN522" s="396">
        <f>AVERAGE(AL522,AM522)</f>
        <v>0</v>
      </c>
      <c r="AO522" s="22">
        <v>0</v>
      </c>
      <c r="AP522" s="22">
        <v>0</v>
      </c>
      <c r="AQ522" s="396">
        <f>AVERAGE(AO522,AP522)</f>
        <v>0</v>
      </c>
      <c r="AR522" s="22">
        <v>0</v>
      </c>
      <c r="AS522" s="22">
        <v>0</v>
      </c>
      <c r="AT522" s="396">
        <f>AVERAGE(AR522,AS522)</f>
        <v>0</v>
      </c>
      <c r="AU522" s="22">
        <v>0</v>
      </c>
      <c r="AV522" s="22">
        <v>0</v>
      </c>
      <c r="AW522" s="396">
        <f>AVERAGE(AU522,AV522)</f>
        <v>0</v>
      </c>
      <c r="AX522" s="22">
        <v>0</v>
      </c>
      <c r="AY522" s="22">
        <v>0</v>
      </c>
      <c r="AZ522" s="396">
        <f>AVERAGE(AX522,AY522)</f>
        <v>0</v>
      </c>
      <c r="BA522" s="22">
        <v>0</v>
      </c>
      <c r="BB522" s="22">
        <v>0</v>
      </c>
      <c r="BC522" s="396">
        <f>AVERAGE(BA522,BB522)</f>
        <v>0</v>
      </c>
      <c r="BD522" s="22">
        <v>0</v>
      </c>
      <c r="BE522" s="22">
        <v>0</v>
      </c>
      <c r="BF522" s="396">
        <f>AVERAGE(BD522,BE522)</f>
        <v>0</v>
      </c>
      <c r="BG522" s="22">
        <v>0</v>
      </c>
      <c r="BH522" s="22">
        <v>0</v>
      </c>
      <c r="BI522" s="396">
        <f>AVERAGE(BG522,BH522)</f>
        <v>0</v>
      </c>
      <c r="BJ522" s="22">
        <v>0</v>
      </c>
      <c r="BK522" s="22">
        <v>0</v>
      </c>
      <c r="BL522" s="396">
        <f>AVERAGE(BJ522,BK522)</f>
        <v>0</v>
      </c>
      <c r="BM522" s="22">
        <v>0</v>
      </c>
      <c r="BN522" s="22">
        <v>0</v>
      </c>
      <c r="BO522" s="396">
        <f>AVERAGE(BM522,BN522)</f>
        <v>0</v>
      </c>
      <c r="BP522" s="22">
        <v>0</v>
      </c>
      <c r="BQ522" s="22">
        <v>0</v>
      </c>
      <c r="BR522" s="396">
        <f>AVERAGE(BP522,BQ522)</f>
        <v>0</v>
      </c>
    </row>
    <row r="523" spans="1:70" outlineLevel="2">
      <c r="B523" s="451" t="s">
        <v>307</v>
      </c>
    </row>
    <row r="524" spans="1:70" outlineLevel="2">
      <c r="B524" s="5"/>
      <c r="C524" s="102" t="s">
        <v>59</v>
      </c>
    </row>
    <row r="525" spans="1:70" outlineLevel="2">
      <c r="C525" s="95" t="s">
        <v>99</v>
      </c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</row>
    <row r="526" spans="1:70" outlineLevel="2">
      <c r="C526" s="108" t="s">
        <v>536</v>
      </c>
      <c r="D526" s="31" t="s">
        <v>66</v>
      </c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0"/>
      <c r="Q526" s="94"/>
      <c r="R526" s="349"/>
      <c r="S526" s="349">
        <v>-7.5999999999999998E-2</v>
      </c>
      <c r="T526" s="349"/>
      <c r="U526" s="349"/>
      <c r="V526" s="349"/>
      <c r="W526" s="349"/>
      <c r="X526" s="350"/>
      <c r="Y526" s="354"/>
      <c r="Z526" s="354"/>
      <c r="AA526" s="354"/>
      <c r="AB526" s="354"/>
      <c r="AC526" s="354"/>
      <c r="AD526" s="354"/>
      <c r="AE526" s="427"/>
      <c r="AF526" s="907">
        <f>AF409</f>
        <v>2.5680000000000001E-2</v>
      </c>
      <c r="AG526" s="947">
        <f>AG409</f>
        <v>2.6500000000000003E-2</v>
      </c>
      <c r="AH526" s="63">
        <f>AVERAGE(AF526,AG526)</f>
        <v>2.6090000000000002E-2</v>
      </c>
      <c r="AI526" s="22">
        <f>AI409</f>
        <v>2.2340000000000002E-2</v>
      </c>
      <c r="AJ526" s="22">
        <f>AJ409</f>
        <v>1.992E-2</v>
      </c>
      <c r="AK526" s="63">
        <f>AVERAGE(AI526,AJ526)</f>
        <v>2.1130000000000003E-2</v>
      </c>
      <c r="AL526" s="22">
        <f>AL409</f>
        <v>1.8000000000000002E-2</v>
      </c>
      <c r="AM526" s="22">
        <f>AM409</f>
        <v>1.208E-2</v>
      </c>
      <c r="AN526" s="63">
        <f>AVERAGE(AL526,AM526)</f>
        <v>1.5040000000000001E-2</v>
      </c>
      <c r="AO526" s="22">
        <f>AO409</f>
        <v>1.208E-2</v>
      </c>
      <c r="AP526" s="22">
        <f>AP409</f>
        <v>1.208E-2</v>
      </c>
      <c r="AQ526" s="63">
        <f>AVERAGE(AO526,AP526)</f>
        <v>1.208E-2</v>
      </c>
      <c r="AR526" s="22">
        <f>AR409</f>
        <v>1.208E-2</v>
      </c>
      <c r="AS526" s="22">
        <f>AS409</f>
        <v>1.208E-2</v>
      </c>
      <c r="AT526" s="63">
        <f>AVERAGE(AR526,AS526)</f>
        <v>1.208E-2</v>
      </c>
      <c r="AU526" s="22">
        <f>AU409</f>
        <v>1.208E-2</v>
      </c>
      <c r="AV526" s="22">
        <f>AV409</f>
        <v>1.208E-2</v>
      </c>
      <c r="AW526" s="63">
        <f>AVERAGE(AU526,AV526)</f>
        <v>1.208E-2</v>
      </c>
      <c r="AX526" s="22">
        <f>AX409</f>
        <v>1.208E-2</v>
      </c>
      <c r="AY526" s="22">
        <f>AY409</f>
        <v>1.208E-2</v>
      </c>
      <c r="AZ526" s="63">
        <f>AVERAGE(AX526,AY526)</f>
        <v>1.208E-2</v>
      </c>
      <c r="BA526" s="22">
        <f>BA409</f>
        <v>1.208E-2</v>
      </c>
      <c r="BB526" s="22">
        <f>BB409</f>
        <v>1.208E-2</v>
      </c>
      <c r="BC526" s="63">
        <f>AVERAGE(BA526,BB526)</f>
        <v>1.208E-2</v>
      </c>
      <c r="BD526" s="22">
        <f>BD409</f>
        <v>1.208E-2</v>
      </c>
      <c r="BE526" s="22">
        <f>BE409</f>
        <v>1.208E-2</v>
      </c>
      <c r="BF526" s="63">
        <f>AVERAGE(BD526,BE526)</f>
        <v>1.208E-2</v>
      </c>
      <c r="BG526" s="22">
        <f>BG409</f>
        <v>1.208E-2</v>
      </c>
      <c r="BH526" s="22">
        <f>BH409</f>
        <v>1.208E-2</v>
      </c>
      <c r="BI526" s="63">
        <f>AVERAGE(BG526,BH526)</f>
        <v>1.208E-2</v>
      </c>
      <c r="BJ526" s="22">
        <f>BJ409</f>
        <v>1.208E-2</v>
      </c>
      <c r="BK526" s="22">
        <f>BK409</f>
        <v>1.208E-2</v>
      </c>
      <c r="BL526" s="63">
        <f>AVERAGE(BJ526,BK526)</f>
        <v>1.208E-2</v>
      </c>
      <c r="BM526" s="22">
        <f>BM409</f>
        <v>1.208E-2</v>
      </c>
      <c r="BN526" s="22">
        <f>BN409</f>
        <v>1.208E-2</v>
      </c>
      <c r="BO526" s="63">
        <f>AVERAGE(BM526,BN526)</f>
        <v>1.208E-2</v>
      </c>
      <c r="BP526" s="22">
        <f>BP409</f>
        <v>1.208E-2</v>
      </c>
      <c r="BQ526" s="22">
        <f>BQ409</f>
        <v>1.208E-2</v>
      </c>
      <c r="BR526" s="63">
        <f>AVERAGE(BP526,BQ526)</f>
        <v>1.208E-2</v>
      </c>
    </row>
    <row r="527" spans="1:70" outlineLevel="2">
      <c r="C527" s="102" t="s">
        <v>93</v>
      </c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</row>
    <row r="528" spans="1:70" outlineLevel="2">
      <c r="C528" s="95" t="s">
        <v>99</v>
      </c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</row>
    <row r="529" spans="1:70" outlineLevel="2">
      <c r="C529" s="108" t="s">
        <v>536</v>
      </c>
      <c r="D529" s="31" t="s">
        <v>66</v>
      </c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AF529" s="907">
        <f>AF412</f>
        <v>2.8443750000000004E-2</v>
      </c>
      <c r="AG529" s="947">
        <f>AG412</f>
        <v>3.44275E-2</v>
      </c>
      <c r="AH529" s="63">
        <f t="shared" ref="AH529:AH530" si="1495">AVERAGE(AF529,AG529)</f>
        <v>3.1435625000000002E-2</v>
      </c>
      <c r="AI529" s="22">
        <f>AI412</f>
        <v>2.827E-2</v>
      </c>
      <c r="AJ529" s="22">
        <f>AJ412</f>
        <v>3.0983750000000001E-2</v>
      </c>
      <c r="AK529" s="63">
        <f t="shared" ref="AK529:AK530" si="1496">AVERAGE(AI529,AJ529)</f>
        <v>2.9626875E-2</v>
      </c>
      <c r="AL529" s="22">
        <f>AL412</f>
        <v>3.3833749999999996E-2</v>
      </c>
      <c r="AM529" s="22">
        <f>AM412</f>
        <v>3.3833749999999996E-2</v>
      </c>
      <c r="AN529" s="63">
        <f t="shared" ref="AN529:AN530" si="1497">AVERAGE(AL529,AM529)</f>
        <v>3.3833749999999996E-2</v>
      </c>
      <c r="AO529" s="22">
        <f>AO412</f>
        <v>3.3833749999999996E-2</v>
      </c>
      <c r="AP529" s="22">
        <f>AP412</f>
        <v>3.3833749999999996E-2</v>
      </c>
      <c r="AQ529" s="63">
        <f t="shared" ref="AQ529:AQ530" si="1498">AVERAGE(AO529,AP529)</f>
        <v>3.3833749999999996E-2</v>
      </c>
      <c r="AR529" s="22">
        <f>AR412</f>
        <v>3.3833749999999996E-2</v>
      </c>
      <c r="AS529" s="22">
        <f>AS412</f>
        <v>3.3833749999999996E-2</v>
      </c>
      <c r="AT529" s="63">
        <f t="shared" ref="AT529:AT530" si="1499">AVERAGE(AR529,AS529)</f>
        <v>3.3833749999999996E-2</v>
      </c>
      <c r="AU529" s="22">
        <f>AU412</f>
        <v>3.3833749999999996E-2</v>
      </c>
      <c r="AV529" s="22">
        <f>AV412</f>
        <v>3.3833749999999996E-2</v>
      </c>
      <c r="AW529" s="63">
        <f t="shared" ref="AW529:AW530" si="1500">AVERAGE(AU529,AV529)</f>
        <v>3.3833749999999996E-2</v>
      </c>
      <c r="AX529" s="22">
        <f>AX412</f>
        <v>3.3833749999999996E-2</v>
      </c>
      <c r="AY529" s="22">
        <f>AY412</f>
        <v>3.3833749999999996E-2</v>
      </c>
      <c r="AZ529" s="63">
        <f t="shared" ref="AZ529:AZ530" si="1501">AVERAGE(AX529,AY529)</f>
        <v>3.3833749999999996E-2</v>
      </c>
      <c r="BA529" s="22">
        <f>BA412</f>
        <v>3.3833749999999996E-2</v>
      </c>
      <c r="BB529" s="22">
        <f>BB412</f>
        <v>3.3833749999999996E-2</v>
      </c>
      <c r="BC529" s="63">
        <f t="shared" ref="BC529:BC530" si="1502">AVERAGE(BA529,BB529)</f>
        <v>3.3833749999999996E-2</v>
      </c>
      <c r="BD529" s="22">
        <f>BD412</f>
        <v>3.3833749999999996E-2</v>
      </c>
      <c r="BE529" s="22">
        <f>BE412</f>
        <v>3.3833749999999996E-2</v>
      </c>
      <c r="BF529" s="63">
        <f t="shared" ref="BF529:BF530" si="1503">AVERAGE(BD529,BE529)</f>
        <v>3.3833749999999996E-2</v>
      </c>
      <c r="BG529" s="22">
        <f>BG412</f>
        <v>3.3833749999999996E-2</v>
      </c>
      <c r="BH529" s="22">
        <f>BH412</f>
        <v>3.3833749999999996E-2</v>
      </c>
      <c r="BI529" s="63">
        <f t="shared" ref="BI529:BI530" si="1504">AVERAGE(BG529,BH529)</f>
        <v>3.3833749999999996E-2</v>
      </c>
      <c r="BJ529" s="22">
        <f>BJ412</f>
        <v>3.3833749999999996E-2</v>
      </c>
      <c r="BK529" s="22">
        <f>BK412</f>
        <v>3.3833749999999996E-2</v>
      </c>
      <c r="BL529" s="63">
        <f t="shared" ref="BL529:BL530" si="1505">AVERAGE(BJ529,BK529)</f>
        <v>3.3833749999999996E-2</v>
      </c>
      <c r="BM529" s="22">
        <f>BM412</f>
        <v>3.3833749999999996E-2</v>
      </c>
      <c r="BN529" s="22">
        <f>BN412</f>
        <v>3.3833749999999996E-2</v>
      </c>
      <c r="BO529" s="63">
        <f t="shared" ref="BO529:BO530" si="1506">AVERAGE(BM529,BN529)</f>
        <v>3.3833749999999996E-2</v>
      </c>
      <c r="BP529" s="22">
        <f>BP412</f>
        <v>3.3833749999999996E-2</v>
      </c>
      <c r="BQ529" s="22">
        <f>BQ412</f>
        <v>3.3833749999999996E-2</v>
      </c>
      <c r="BR529" s="63">
        <f t="shared" ref="BR529:BR530" si="1507">AVERAGE(BP529,BQ529)</f>
        <v>3.3833749999999996E-2</v>
      </c>
    </row>
    <row r="530" spans="1:70" outlineLevel="2">
      <c r="C530" s="108" t="s">
        <v>281</v>
      </c>
      <c r="D530" s="31" t="s">
        <v>66</v>
      </c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AF530" s="591">
        <v>0</v>
      </c>
      <c r="AG530" s="975">
        <v>0</v>
      </c>
      <c r="AH530" s="63">
        <f t="shared" si="1495"/>
        <v>0</v>
      </c>
      <c r="AI530" s="134">
        <v>0</v>
      </c>
      <c r="AJ530" s="134">
        <v>0</v>
      </c>
      <c r="AK530" s="63">
        <f t="shared" si="1496"/>
        <v>0</v>
      </c>
      <c r="AL530" s="134">
        <v>0</v>
      </c>
      <c r="AM530" s="134">
        <v>0</v>
      </c>
      <c r="AN530" s="63">
        <f t="shared" si="1497"/>
        <v>0</v>
      </c>
      <c r="AO530" s="134">
        <v>0</v>
      </c>
      <c r="AP530" s="134">
        <v>0</v>
      </c>
      <c r="AQ530" s="63">
        <f t="shared" si="1498"/>
        <v>0</v>
      </c>
      <c r="AR530" s="134">
        <v>0</v>
      </c>
      <c r="AS530" s="134">
        <v>0</v>
      </c>
      <c r="AT530" s="63">
        <f t="shared" si="1499"/>
        <v>0</v>
      </c>
      <c r="AU530" s="134">
        <v>0</v>
      </c>
      <c r="AV530" s="134">
        <v>0</v>
      </c>
      <c r="AW530" s="63">
        <f t="shared" si="1500"/>
        <v>0</v>
      </c>
      <c r="AX530" s="134">
        <v>0</v>
      </c>
      <c r="AY530" s="134">
        <v>0</v>
      </c>
      <c r="AZ530" s="63">
        <f t="shared" si="1501"/>
        <v>0</v>
      </c>
      <c r="BA530" s="134">
        <v>0</v>
      </c>
      <c r="BB530" s="134">
        <v>0</v>
      </c>
      <c r="BC530" s="63">
        <f t="shared" si="1502"/>
        <v>0</v>
      </c>
      <c r="BD530" s="134">
        <v>0</v>
      </c>
      <c r="BE530" s="134">
        <v>0</v>
      </c>
      <c r="BF530" s="63">
        <f t="shared" si="1503"/>
        <v>0</v>
      </c>
      <c r="BG530" s="134">
        <v>0</v>
      </c>
      <c r="BH530" s="134">
        <v>0</v>
      </c>
      <c r="BI530" s="63">
        <f t="shared" si="1504"/>
        <v>0</v>
      </c>
      <c r="BJ530" s="134">
        <v>0</v>
      </c>
      <c r="BK530" s="134">
        <v>0</v>
      </c>
      <c r="BL530" s="63">
        <f t="shared" si="1505"/>
        <v>0</v>
      </c>
      <c r="BM530" s="134">
        <v>0</v>
      </c>
      <c r="BN530" s="134">
        <v>0</v>
      </c>
      <c r="BO530" s="63">
        <f t="shared" si="1506"/>
        <v>0</v>
      </c>
      <c r="BP530" s="134">
        <v>0</v>
      </c>
      <c r="BQ530" s="134">
        <v>0</v>
      </c>
      <c r="BR530" s="63">
        <f t="shared" si="1507"/>
        <v>0</v>
      </c>
    </row>
    <row r="531" spans="1:70">
      <c r="C531" s="9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AF531" s="432"/>
      <c r="AG531" s="985"/>
      <c r="AH531" s="51"/>
      <c r="AI531" s="50"/>
      <c r="AJ531" s="50"/>
      <c r="AK531" s="51"/>
      <c r="AL531" s="50"/>
      <c r="AM531" s="50"/>
      <c r="AN531" s="51"/>
      <c r="AO531" s="50"/>
      <c r="AP531" s="50"/>
      <c r="AQ531" s="51"/>
      <c r="AR531" s="50"/>
      <c r="AS531" s="50"/>
      <c r="AT531" s="51"/>
      <c r="AU531" s="50"/>
      <c r="AV531" s="50"/>
      <c r="AW531" s="51"/>
      <c r="AX531" s="50"/>
      <c r="AY531" s="50"/>
      <c r="AZ531" s="51"/>
      <c r="BA531" s="50"/>
      <c r="BB531" s="50"/>
      <c r="BC531" s="51"/>
      <c r="BD531" s="50"/>
      <c r="BE531" s="50"/>
      <c r="BF531" s="51"/>
      <c r="BG531" s="50"/>
      <c r="BH531" s="50"/>
      <c r="BI531" s="51"/>
      <c r="BJ531" s="50"/>
      <c r="BK531" s="50"/>
      <c r="BL531" s="51"/>
      <c r="BM531" s="50"/>
      <c r="BN531" s="50"/>
      <c r="BO531" s="51"/>
      <c r="BP531" s="50"/>
      <c r="BQ531" s="50"/>
      <c r="BR531" s="51"/>
    </row>
    <row r="532" spans="1:70" customFormat="1" ht="11.25" customHeight="1">
      <c r="A532" s="4" t="s">
        <v>305</v>
      </c>
      <c r="B532" s="122"/>
      <c r="C532" s="123"/>
      <c r="D532" s="124"/>
      <c r="E532" s="124"/>
      <c r="F532" s="124"/>
      <c r="G532" s="124"/>
      <c r="H532" s="124"/>
      <c r="I532" s="124"/>
      <c r="J532" s="124"/>
      <c r="K532" s="124"/>
      <c r="L532" s="124"/>
      <c r="M532" s="124"/>
      <c r="N532" s="124"/>
      <c r="O532" s="124"/>
      <c r="AC532" s="129"/>
      <c r="AD532" s="129"/>
      <c r="AE532" s="428"/>
      <c r="AF532" s="428"/>
      <c r="AG532" s="986"/>
      <c r="AH532" s="125"/>
      <c r="AI532" s="125"/>
      <c r="AJ532" s="125"/>
      <c r="AK532" s="125"/>
      <c r="AL532" s="125"/>
      <c r="AM532" s="125"/>
      <c r="AN532" s="126"/>
      <c r="AO532" s="125"/>
      <c r="AP532" s="125"/>
      <c r="AQ532" s="126"/>
      <c r="AR532" s="125"/>
      <c r="AS532" s="125"/>
      <c r="AT532" s="126"/>
      <c r="AU532" s="125"/>
      <c r="AV532" s="125"/>
      <c r="AW532" s="126"/>
      <c r="AX532" s="125"/>
      <c r="AY532" s="125"/>
      <c r="AZ532" s="126"/>
      <c r="BA532" s="125"/>
      <c r="BB532" s="125"/>
      <c r="BC532" s="126"/>
      <c r="BD532" s="125"/>
      <c r="BE532" s="125"/>
      <c r="BF532" s="126"/>
      <c r="BG532" s="125"/>
      <c r="BH532" s="125"/>
      <c r="BI532" s="126"/>
      <c r="BJ532" s="125"/>
      <c r="BK532" s="125"/>
      <c r="BL532" s="126"/>
      <c r="BM532" s="125"/>
      <c r="BN532" s="125"/>
      <c r="BO532" s="126"/>
      <c r="BP532" s="125"/>
      <c r="BQ532" s="125"/>
      <c r="BR532" s="126"/>
    </row>
    <row r="533" spans="1:70" customFormat="1" ht="11.25" customHeight="1" outlineLevel="1">
      <c r="A533" s="4"/>
      <c r="B533" s="54" t="s">
        <v>573</v>
      </c>
      <c r="C533" s="123"/>
      <c r="D533" s="124"/>
      <c r="E533" s="124"/>
      <c r="F533" s="124"/>
      <c r="G533" s="124"/>
      <c r="H533" s="124"/>
      <c r="I533" s="124"/>
      <c r="J533" s="124"/>
      <c r="K533" s="124"/>
      <c r="L533" s="124"/>
      <c r="M533" s="124"/>
      <c r="N533" s="124"/>
      <c r="O533" s="124"/>
      <c r="AC533" s="129"/>
      <c r="AD533" s="129"/>
      <c r="AE533" s="428"/>
      <c r="AF533" s="428"/>
      <c r="AG533" s="986"/>
      <c r="AH533" s="125"/>
      <c r="AI533" s="125"/>
      <c r="AJ533" s="125"/>
      <c r="AK533" s="125"/>
      <c r="AL533" s="125"/>
      <c r="AM533" s="125"/>
      <c r="AN533" s="126"/>
      <c r="AO533" s="125"/>
      <c r="AP533" s="125"/>
      <c r="AQ533" s="126"/>
      <c r="AR533" s="125"/>
      <c r="AS533" s="125"/>
      <c r="AT533" s="126"/>
      <c r="AU533" s="125"/>
      <c r="AV533" s="125"/>
      <c r="AW533" s="126"/>
      <c r="AX533" s="125"/>
      <c r="AY533" s="125"/>
      <c r="AZ533" s="126"/>
      <c r="BA533" s="125"/>
      <c r="BB533" s="125"/>
      <c r="BC533" s="126"/>
      <c r="BD533" s="125"/>
      <c r="BE533" s="125"/>
      <c r="BF533" s="126"/>
      <c r="BG533" s="125"/>
      <c r="BH533" s="125"/>
      <c r="BI533" s="126"/>
      <c r="BJ533" s="125"/>
      <c r="BK533" s="125"/>
      <c r="BL533" s="126"/>
      <c r="BM533" s="125"/>
      <c r="BN533" s="125"/>
      <c r="BO533" s="126"/>
      <c r="BP533" s="125"/>
      <c r="BQ533" s="125"/>
      <c r="BR533" s="126"/>
    </row>
    <row r="534" spans="1:70" customFormat="1" ht="11.25" customHeight="1" outlineLevel="1" collapsed="1">
      <c r="A534" s="127"/>
      <c r="B534" s="128"/>
      <c r="C534" s="102" t="s">
        <v>55</v>
      </c>
      <c r="D534" s="124"/>
      <c r="E534" s="124"/>
      <c r="F534" s="124"/>
      <c r="G534" s="124"/>
      <c r="H534" s="124"/>
      <c r="I534" s="124"/>
      <c r="J534" s="124"/>
      <c r="K534" s="124"/>
      <c r="L534" s="124"/>
      <c r="M534" s="124"/>
      <c r="N534" s="124"/>
      <c r="O534" s="124"/>
      <c r="AC534" s="129"/>
      <c r="AD534" s="129"/>
      <c r="AE534" s="833"/>
      <c r="AF534" s="428"/>
      <c r="AG534" s="986"/>
      <c r="AH534" s="114"/>
      <c r="AI534" s="125"/>
      <c r="AJ534" s="125"/>
      <c r="AK534" s="114"/>
      <c r="AL534" s="125"/>
      <c r="AM534" s="125"/>
      <c r="AN534" s="114"/>
      <c r="AO534" s="125"/>
      <c r="AP534" s="125"/>
      <c r="AQ534" s="114"/>
      <c r="AR534" s="125"/>
      <c r="AS534" s="125"/>
      <c r="AT534" s="114"/>
      <c r="AU534" s="125"/>
      <c r="AV534" s="125"/>
      <c r="AW534" s="114"/>
      <c r="AX534" s="125"/>
      <c r="AY534" s="125"/>
      <c r="AZ534" s="114"/>
      <c r="BA534" s="125"/>
      <c r="BB534" s="125"/>
      <c r="BC534" s="114"/>
      <c r="BD534" s="125"/>
      <c r="BE534" s="125"/>
      <c r="BF534" s="114"/>
      <c r="BG534" s="125"/>
      <c r="BH534" s="125"/>
      <c r="BI534" s="114"/>
      <c r="BJ534" s="125"/>
      <c r="BK534" s="125"/>
      <c r="BL534" s="114"/>
      <c r="BM534" s="125"/>
      <c r="BN534" s="125"/>
      <c r="BO534" s="114"/>
      <c r="BP534" s="125"/>
      <c r="BQ534" s="125"/>
      <c r="BR534" s="114"/>
    </row>
    <row r="535" spans="1:70" outlineLevel="1">
      <c r="B535" s="55"/>
      <c r="C535" s="83" t="s">
        <v>306</v>
      </c>
      <c r="D535" s="7" t="s">
        <v>58</v>
      </c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T535" s="18">
        <f t="shared" ref="T535:AC535" si="1508">T604</f>
        <v>3313.6</v>
      </c>
      <c r="U535" s="18">
        <f t="shared" si="1508"/>
        <v>3465.7999999999997</v>
      </c>
      <c r="V535" s="18">
        <f t="shared" si="1508"/>
        <v>6779.4</v>
      </c>
      <c r="W535" s="18">
        <f t="shared" si="1508"/>
        <v>3246.2</v>
      </c>
      <c r="X535" s="18">
        <f t="shared" si="1508"/>
        <v>3048.4000000000005</v>
      </c>
      <c r="Y535" s="18">
        <f t="shared" si="1508"/>
        <v>6294.6</v>
      </c>
      <c r="Z535" s="18">
        <f t="shared" si="1508"/>
        <v>2986.7</v>
      </c>
      <c r="AA535" s="18">
        <f t="shared" si="1508"/>
        <v>3079.2</v>
      </c>
      <c r="AB535" s="18">
        <f t="shared" si="1508"/>
        <v>6065.9</v>
      </c>
      <c r="AC535" s="18">
        <f t="shared" si="1508"/>
        <v>3091.5</v>
      </c>
      <c r="AD535" s="18">
        <f>AD604</f>
        <v>3135</v>
      </c>
      <c r="AE535" s="26">
        <f>AE604</f>
        <v>6226.5</v>
      </c>
      <c r="AF535" s="26">
        <f t="shared" ref="AF535" si="1509">AF604</f>
        <v>3166.4</v>
      </c>
      <c r="AG535" s="933">
        <f>AG604</f>
        <v>3336.5003190237226</v>
      </c>
      <c r="AH535" s="18">
        <f>+AG535+AF535</f>
        <v>6502.9003190237227</v>
      </c>
      <c r="AI535" s="18">
        <f>AI604</f>
        <v>3158.5514933722411</v>
      </c>
      <c r="AJ535" s="18">
        <f>AJ604</f>
        <v>3403.2384037099323</v>
      </c>
      <c r="AK535" s="18">
        <f>+AJ535+AI535</f>
        <v>6561.7898970821734</v>
      </c>
      <c r="AL535" s="18">
        <f>AL604</f>
        <v>3413.1288898868115</v>
      </c>
      <c r="AM535" s="18">
        <f t="shared" ref="AM535" si="1510">AM604</f>
        <v>3564.6527757148106</v>
      </c>
      <c r="AN535" s="18">
        <f>+AM535+AL535</f>
        <v>6977.7816656016221</v>
      </c>
      <c r="AO535" s="18">
        <f>AO604</f>
        <v>3471.8933532024639</v>
      </c>
      <c r="AP535" s="18">
        <f t="shared" ref="AP535" si="1511">AP604</f>
        <v>3619.4516636951894</v>
      </c>
      <c r="AQ535" s="18">
        <f>+AP535+AO535</f>
        <v>7091.3450168976533</v>
      </c>
      <c r="AR535" s="18">
        <f>AR604</f>
        <v>3529.3561408104033</v>
      </c>
      <c r="AS535" s="18">
        <f t="shared" ref="AS535" si="1512">AS604</f>
        <v>3681.0862859024587</v>
      </c>
      <c r="AT535" s="18">
        <f>+AS535+AR535</f>
        <v>7210.4424267128616</v>
      </c>
      <c r="AU535" s="18">
        <f>AU604</f>
        <v>3588.712436410312</v>
      </c>
      <c r="AV535" s="18">
        <f t="shared" ref="AV535" si="1513">AV604</f>
        <v>3744.7039161194857</v>
      </c>
      <c r="AW535" s="18">
        <f>+AV535+AU535</f>
        <v>7333.4163525297972</v>
      </c>
      <c r="AX535" s="18">
        <f>AX604</f>
        <v>3650.0260387954131</v>
      </c>
      <c r="AY535" s="18">
        <f t="shared" ref="AY535" si="1514">AY604</f>
        <v>3810.3720793893362</v>
      </c>
      <c r="AZ535" s="18">
        <f>+AY535+AX535</f>
        <v>7460.3981181847494</v>
      </c>
      <c r="BA535" s="18">
        <f>BA604</f>
        <v>3713.3634656772642</v>
      </c>
      <c r="BB535" s="18">
        <f t="shared" ref="BB535" si="1515">BB604</f>
        <v>3878.1611658567545</v>
      </c>
      <c r="BC535" s="18">
        <f>+BB535+BA535</f>
        <v>7591.5246315340191</v>
      </c>
      <c r="BD535" s="18">
        <f>BD604</f>
        <v>3778.7940726263923</v>
      </c>
      <c r="BE535" s="18">
        <f t="shared" ref="BE535" si="1516">BE604</f>
        <v>3948.1445565414124</v>
      </c>
      <c r="BF535" s="18">
        <f>+BE535+BD535</f>
        <v>7726.9386291678047</v>
      </c>
      <c r="BG535" s="18">
        <f>BG604</f>
        <v>3846.3901775731888</v>
      </c>
      <c r="BH535" s="18">
        <f t="shared" ref="BH535" si="1517">BH604</f>
        <v>4020.3987549913963</v>
      </c>
      <c r="BI535" s="18">
        <f>+BH535+BG535</f>
        <v>7866.7889325645847</v>
      </c>
      <c r="BJ535" s="18">
        <f>BJ604</f>
        <v>3916.2271911346788</v>
      </c>
      <c r="BK535" s="18">
        <f t="shared" ref="BK535" si="1518">BK604</f>
        <v>4095.0035250981432</v>
      </c>
      <c r="BL535" s="18">
        <f>+BK535+BJ535</f>
        <v>8011.2307162328216</v>
      </c>
      <c r="BM535" s="18">
        <f>BM604</f>
        <v>3988.3837530457859</v>
      </c>
      <c r="BN535" s="18">
        <f t="shared" ref="BN535" si="1519">BN604</f>
        <v>4172.0420353678037</v>
      </c>
      <c r="BO535" s="18">
        <f>+BN535+BM535</f>
        <v>8160.4257884135895</v>
      </c>
      <c r="BP535" s="18">
        <f>BP604</f>
        <v>4062.941874987293</v>
      </c>
      <c r="BQ535" s="18">
        <f t="shared" ref="BQ535" si="1520">BQ604</f>
        <v>4251.6010099584382</v>
      </c>
      <c r="BR535" s="18">
        <f>+BQ535+BP535</f>
        <v>8314.5428849457312</v>
      </c>
    </row>
    <row r="536" spans="1:70" outlineLevel="1">
      <c r="B536" s="55"/>
      <c r="C536" s="83" t="s">
        <v>307</v>
      </c>
      <c r="D536" s="7" t="s">
        <v>58</v>
      </c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T536" s="18">
        <f t="shared" ref="T536:AC536" si="1521">+T1167</f>
        <v>1490</v>
      </c>
      <c r="U536" s="18">
        <f t="shared" si="1521"/>
        <v>1702</v>
      </c>
      <c r="V536" s="18">
        <f t="shared" si="1521"/>
        <v>3192</v>
      </c>
      <c r="W536" s="18">
        <f t="shared" si="1521"/>
        <v>1563</v>
      </c>
      <c r="X536" s="18">
        <f t="shared" si="1521"/>
        <v>1754</v>
      </c>
      <c r="Y536" s="18">
        <f t="shared" si="1521"/>
        <v>3317</v>
      </c>
      <c r="Z536" s="18">
        <f t="shared" si="1521"/>
        <v>1562</v>
      </c>
      <c r="AA536" s="18">
        <f t="shared" si="1521"/>
        <v>1795</v>
      </c>
      <c r="AB536" s="18">
        <f t="shared" si="1521"/>
        <v>3357</v>
      </c>
      <c r="AC536" s="18">
        <f t="shared" si="1521"/>
        <v>1377</v>
      </c>
      <c r="AD536" s="18">
        <f>+AD1167</f>
        <v>1500</v>
      </c>
      <c r="AE536" s="26">
        <f>+AE1167</f>
        <v>2877</v>
      </c>
      <c r="AF536" s="26">
        <f t="shared" ref="AF536" si="1522">+AF1167</f>
        <v>1336</v>
      </c>
      <c r="AG536" s="933">
        <f>+AG1167</f>
        <v>1560.7699308044057</v>
      </c>
      <c r="AH536" s="18">
        <f>+AG536+AF536</f>
        <v>2896.7699308044057</v>
      </c>
      <c r="AI536" s="18">
        <f>+AI1167</f>
        <v>1331.6945978352519</v>
      </c>
      <c r="AJ536" s="18">
        <f>+AJ1167</f>
        <v>1618.2543291489803</v>
      </c>
      <c r="AK536" s="18">
        <f>+AJ536+AI536</f>
        <v>2949.9489269842325</v>
      </c>
      <c r="AL536" s="18">
        <f t="shared" ref="AL536:AM536" si="1523">+AL1167</f>
        <v>1383.3246743240722</v>
      </c>
      <c r="AM536" s="18">
        <f t="shared" si="1523"/>
        <v>1674.2012426605336</v>
      </c>
      <c r="AN536" s="18">
        <f>+AM536+AL536</f>
        <v>3057.5259169846058</v>
      </c>
      <c r="AO536" s="18">
        <f t="shared" ref="AO536:AP536" si="1524">+AO1167</f>
        <v>1421.7991152486165</v>
      </c>
      <c r="AP536" s="18">
        <f t="shared" si="1524"/>
        <v>1706.0149054234887</v>
      </c>
      <c r="AQ536" s="18">
        <f>+AP536+AO536</f>
        <v>3127.8140206721055</v>
      </c>
      <c r="AR536" s="18">
        <f t="shared" ref="AR536:AS536" si="1525">+AR1167</f>
        <v>1448.7637593938452</v>
      </c>
      <c r="AS536" s="18">
        <f t="shared" si="1525"/>
        <v>1738.7821755640202</v>
      </c>
      <c r="AT536" s="18">
        <f>+AS536+AR536</f>
        <v>3187.5459349578655</v>
      </c>
      <c r="AU536" s="18">
        <f t="shared" ref="AU536:AV536" si="1526">+AU1167</f>
        <v>1476.5424847097484</v>
      </c>
      <c r="AV536" s="18">
        <f t="shared" si="1526"/>
        <v>1772.5326751700331</v>
      </c>
      <c r="AW536" s="18">
        <f>+AV536+AU536</f>
        <v>3249.0751598797815</v>
      </c>
      <c r="AX536" s="18">
        <f t="shared" ref="AX536:AY536" si="1527">+AX1167</f>
        <v>1505.1607486348719</v>
      </c>
      <c r="AY536" s="18">
        <f t="shared" si="1527"/>
        <v>1807.2969794419098</v>
      </c>
      <c r="AZ536" s="18">
        <f>+AY536+AX536</f>
        <v>3312.4577280767817</v>
      </c>
      <c r="BA536" s="18">
        <f t="shared" ref="BA536:BB536" si="1528">+BA1167</f>
        <v>1534.6448332254904</v>
      </c>
      <c r="BB536" s="18">
        <f t="shared" si="1528"/>
        <v>1843.1066477365175</v>
      </c>
      <c r="BC536" s="18">
        <f>+BB536+BA536</f>
        <v>3377.7514809620079</v>
      </c>
      <c r="BD536" s="18">
        <f t="shared" ref="BD536:BE536" si="1529">+BD1167</f>
        <v>1565.0218721924409</v>
      </c>
      <c r="BE536" s="18">
        <f t="shared" si="1529"/>
        <v>1879.9942556276158</v>
      </c>
      <c r="BF536" s="18">
        <f>+BE536+BD536</f>
        <v>3445.0161278200567</v>
      </c>
      <c r="BG536" s="18">
        <f t="shared" ref="BG536:BH536" si="1530">+BG1167</f>
        <v>1596.3198788289728</v>
      </c>
      <c r="BH536" s="18">
        <f t="shared" si="1530"/>
        <v>1917.9934280160178</v>
      </c>
      <c r="BI536" s="18">
        <f>+BH536+BG536</f>
        <v>3514.3133068449906</v>
      </c>
      <c r="BJ536" s="18">
        <f t="shared" ref="BJ536:BK536" si="1531">+BJ1167</f>
        <v>1628.5677748590429</v>
      </c>
      <c r="BK536" s="18">
        <f t="shared" si="1531"/>
        <v>1957.1388733239569</v>
      </c>
      <c r="BL536" s="18">
        <f>+BK536+BJ536</f>
        <v>3585.7066481829997</v>
      </c>
      <c r="BM536" s="18">
        <f t="shared" ref="BM536:BN536" si="1532">+BM1167</f>
        <v>1661.7954202364624</v>
      </c>
      <c r="BN536" s="18">
        <f t="shared" si="1532"/>
        <v>1997.4664188092424</v>
      </c>
      <c r="BO536" s="18">
        <f>+BN536+BM536</f>
        <v>3659.2618390457046</v>
      </c>
      <c r="BP536" s="18">
        <f t="shared" ref="BP536:BQ536" si="1533">+BP1167</f>
        <v>1696.0336439263117</v>
      </c>
      <c r="BQ536" s="18">
        <f t="shared" si="1533"/>
        <v>2039.0130470359595</v>
      </c>
      <c r="BR536" s="18">
        <f>+BQ536+BP536</f>
        <v>3735.046690962271</v>
      </c>
    </row>
    <row r="537" spans="1:70" outlineLevel="1">
      <c r="B537" s="55"/>
      <c r="C537" s="83" t="s">
        <v>308</v>
      </c>
      <c r="D537" s="7" t="s">
        <v>58</v>
      </c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T537" s="417">
        <v>0</v>
      </c>
      <c r="U537" s="417">
        <v>0</v>
      </c>
      <c r="V537" s="18">
        <f>+U537+T537</f>
        <v>0</v>
      </c>
      <c r="W537" s="417">
        <v>0</v>
      </c>
      <c r="X537" s="417">
        <v>0</v>
      </c>
      <c r="Y537" s="18">
        <f>+X537+W537</f>
        <v>0</v>
      </c>
      <c r="Z537" s="417">
        <v>0</v>
      </c>
      <c r="AA537" s="417">
        <v>0</v>
      </c>
      <c r="AB537" s="18">
        <f>+AA537+Z537</f>
        <v>0</v>
      </c>
      <c r="AC537" s="417">
        <v>0</v>
      </c>
      <c r="AD537" s="417">
        <v>0</v>
      </c>
      <c r="AE537" s="26">
        <f>+AD537+AC537</f>
        <v>0</v>
      </c>
      <c r="AF537" s="389">
        <v>0</v>
      </c>
      <c r="AG537" s="949">
        <v>0</v>
      </c>
      <c r="AH537" s="26">
        <f>+AG537+AF537</f>
        <v>0</v>
      </c>
      <c r="AI537" s="389">
        <v>0</v>
      </c>
      <c r="AJ537" s="417">
        <v>0</v>
      </c>
      <c r="AK537" s="18">
        <f>+AJ537+AI537</f>
        <v>0</v>
      </c>
      <c r="AL537" s="389">
        <v>0</v>
      </c>
      <c r="AM537" s="417">
        <v>0</v>
      </c>
      <c r="AN537" s="18">
        <f>+AM537+AL537</f>
        <v>0</v>
      </c>
      <c r="AO537" s="389">
        <v>0</v>
      </c>
      <c r="AP537" s="417">
        <v>0</v>
      </c>
      <c r="AQ537" s="18">
        <f>+AP537+AO537</f>
        <v>0</v>
      </c>
      <c r="AR537" s="389">
        <v>0</v>
      </c>
      <c r="AS537" s="417">
        <v>0</v>
      </c>
      <c r="AT537" s="18">
        <f>+AS537+AR537</f>
        <v>0</v>
      </c>
      <c r="AU537" s="389">
        <v>0</v>
      </c>
      <c r="AV537" s="417">
        <v>0</v>
      </c>
      <c r="AW537" s="18">
        <f>+AV537+AU537</f>
        <v>0</v>
      </c>
      <c r="AX537" s="389">
        <v>0</v>
      </c>
      <c r="AY537" s="417">
        <v>0</v>
      </c>
      <c r="AZ537" s="18">
        <f>+AY537+AX537</f>
        <v>0</v>
      </c>
      <c r="BA537" s="389">
        <v>0</v>
      </c>
      <c r="BB537" s="417">
        <v>0</v>
      </c>
      <c r="BC537" s="18">
        <f>+BB537+BA537</f>
        <v>0</v>
      </c>
      <c r="BD537" s="389">
        <v>0</v>
      </c>
      <c r="BE537" s="417">
        <v>0</v>
      </c>
      <c r="BF537" s="18">
        <f>+BE537+BD537</f>
        <v>0</v>
      </c>
      <c r="BG537" s="389">
        <v>0</v>
      </c>
      <c r="BH537" s="417">
        <v>0</v>
      </c>
      <c r="BI537" s="18">
        <f>+BH537+BG537</f>
        <v>0</v>
      </c>
      <c r="BJ537" s="389">
        <v>0</v>
      </c>
      <c r="BK537" s="417">
        <v>0</v>
      </c>
      <c r="BL537" s="18">
        <f>+BK537+BJ537</f>
        <v>0</v>
      </c>
      <c r="BM537" s="389">
        <v>0</v>
      </c>
      <c r="BN537" s="417">
        <v>0</v>
      </c>
      <c r="BO537" s="18">
        <f>+BN537+BM537</f>
        <v>0</v>
      </c>
      <c r="BP537" s="389">
        <v>0</v>
      </c>
      <c r="BQ537" s="417">
        <v>0</v>
      </c>
      <c r="BR537" s="18">
        <f>+BQ537+BP537</f>
        <v>0</v>
      </c>
    </row>
    <row r="538" spans="1:70" s="8" customFormat="1" outlineLevel="1">
      <c r="B538" s="55"/>
      <c r="C538" s="441" t="s">
        <v>285</v>
      </c>
      <c r="D538" s="96" t="s">
        <v>58</v>
      </c>
      <c r="E538" s="96"/>
      <c r="F538" s="96"/>
      <c r="G538" s="96"/>
      <c r="H538" s="96"/>
      <c r="I538" s="96"/>
      <c r="J538" s="96"/>
      <c r="K538" s="96"/>
      <c r="L538" s="96"/>
      <c r="M538" s="96"/>
      <c r="N538" s="96"/>
      <c r="O538" s="96"/>
      <c r="T538" s="64">
        <f t="shared" ref="T538:AC538" si="1534">T535+T536+T537</f>
        <v>4803.6000000000004</v>
      </c>
      <c r="U538" s="64">
        <f t="shared" si="1534"/>
        <v>5167.7999999999993</v>
      </c>
      <c r="V538" s="64">
        <f t="shared" si="1534"/>
        <v>9971.4</v>
      </c>
      <c r="W538" s="64">
        <f t="shared" si="1534"/>
        <v>4809.2</v>
      </c>
      <c r="X538" s="64">
        <f t="shared" si="1534"/>
        <v>4802.4000000000005</v>
      </c>
      <c r="Y538" s="64">
        <f t="shared" si="1534"/>
        <v>9611.6</v>
      </c>
      <c r="Z538" s="64">
        <f t="shared" si="1534"/>
        <v>4548.7</v>
      </c>
      <c r="AA538" s="64">
        <f t="shared" si="1534"/>
        <v>4874.2</v>
      </c>
      <c r="AB538" s="64">
        <f t="shared" si="1534"/>
        <v>9422.9</v>
      </c>
      <c r="AC538" s="64">
        <f t="shared" si="1534"/>
        <v>4468.5</v>
      </c>
      <c r="AD538" s="64">
        <f t="shared" ref="AD538:AJ538" si="1535">AD535+AD536+AD537</f>
        <v>4635</v>
      </c>
      <c r="AE538" s="341">
        <f t="shared" si="1535"/>
        <v>9103.5</v>
      </c>
      <c r="AF538" s="341">
        <f t="shared" si="1535"/>
        <v>4502.3999999999996</v>
      </c>
      <c r="AG538" s="934">
        <f t="shared" si="1535"/>
        <v>4897.2702498281287</v>
      </c>
      <c r="AH538" s="64">
        <f>AH535+AH536+AH537</f>
        <v>9399.6702498281284</v>
      </c>
      <c r="AI538" s="64">
        <f>AI535+AI536+AI537</f>
        <v>4490.246091207493</v>
      </c>
      <c r="AJ538" s="64">
        <f t="shared" si="1535"/>
        <v>5021.4927328589129</v>
      </c>
      <c r="AK538" s="64">
        <f>AK535+AK536+AK537</f>
        <v>9511.7388240664059</v>
      </c>
      <c r="AL538" s="64">
        <f>AL535+AL536+AL537</f>
        <v>4796.453564210884</v>
      </c>
      <c r="AM538" s="64">
        <f t="shared" ref="AM538" si="1536">AM535+AM536+AM537</f>
        <v>5238.8540183753439</v>
      </c>
      <c r="AN538" s="64">
        <f>AN535+AN536+AN537</f>
        <v>10035.307582586229</v>
      </c>
      <c r="AO538" s="64">
        <f>AO535+AO536+AO537</f>
        <v>4893.6924684510805</v>
      </c>
      <c r="AP538" s="64">
        <f t="shared" ref="AP538" si="1537">AP535+AP536+AP537</f>
        <v>5325.4665691186783</v>
      </c>
      <c r="AQ538" s="64">
        <f>AQ535+AQ536+AQ537</f>
        <v>10219.15903756976</v>
      </c>
      <c r="AR538" s="64">
        <f>AR535+AR536+AR537</f>
        <v>4978.1199002042486</v>
      </c>
      <c r="AS538" s="64">
        <f t="shared" ref="AS538" si="1538">AS535+AS536+AS537</f>
        <v>5419.8684614664789</v>
      </c>
      <c r="AT538" s="64">
        <f>AT535+AT536+AT537</f>
        <v>10397.988361670727</v>
      </c>
      <c r="AU538" s="64">
        <f>AU535+AU536+AU537</f>
        <v>5065.2549211200603</v>
      </c>
      <c r="AV538" s="64">
        <f t="shared" ref="AV538" si="1539">AV535+AV536+AV537</f>
        <v>5517.2365912895184</v>
      </c>
      <c r="AW538" s="64">
        <f>AW535+AW536+AW537</f>
        <v>10582.491512409579</v>
      </c>
      <c r="AX538" s="64">
        <f>AX535+AX536+AX537</f>
        <v>5155.1867874302852</v>
      </c>
      <c r="AY538" s="64">
        <f t="shared" ref="AY538" si="1540">AY535+AY536+AY537</f>
        <v>5617.6690588312458</v>
      </c>
      <c r="AZ538" s="64">
        <f>AZ535+AZ536+AZ537</f>
        <v>10772.855846261531</v>
      </c>
      <c r="BA538" s="64">
        <f>BA535+BA536+BA537</f>
        <v>5248.0082989027542</v>
      </c>
      <c r="BB538" s="64">
        <f t="shared" ref="BB538" si="1541">BB535+BB536+BB537</f>
        <v>5721.267813593272</v>
      </c>
      <c r="BC538" s="64">
        <f>BC535+BC536+BC537</f>
        <v>10969.276112496027</v>
      </c>
      <c r="BD538" s="64">
        <f>BD535+BD536+BD537</f>
        <v>5343.8159448188335</v>
      </c>
      <c r="BE538" s="64">
        <f t="shared" ref="BE538" si="1542">BE535+BE536+BE537</f>
        <v>5828.1388121690279</v>
      </c>
      <c r="BF538" s="64">
        <f>BF535+BF536+BF537</f>
        <v>11171.954756987861</v>
      </c>
      <c r="BG538" s="64">
        <f>BG535+BG536+BG537</f>
        <v>5442.7100564021621</v>
      </c>
      <c r="BH538" s="64">
        <f t="shared" ref="BH538" si="1543">BH535+BH536+BH537</f>
        <v>5938.3921830074141</v>
      </c>
      <c r="BI538" s="64">
        <f>BI535+BI536+BI537</f>
        <v>11381.102239409574</v>
      </c>
      <c r="BJ538" s="64">
        <f>BJ535+BJ536+BJ537</f>
        <v>5544.7949659937221</v>
      </c>
      <c r="BK538" s="64">
        <f t="shared" ref="BK538" si="1544">BK535+BK536+BK537</f>
        <v>6052.1423984221001</v>
      </c>
      <c r="BL538" s="64">
        <f>BL535+BL536+BL537</f>
        <v>11596.937364415822</v>
      </c>
      <c r="BM538" s="64">
        <f>BM535+BM536+BM537</f>
        <v>5650.1791732822485</v>
      </c>
      <c r="BN538" s="64">
        <f t="shared" ref="BN538" si="1545">BN535+BN536+BN537</f>
        <v>6169.5084541770466</v>
      </c>
      <c r="BO538" s="64">
        <f>BO535+BO536+BO537</f>
        <v>11819.687627459294</v>
      </c>
      <c r="BP538" s="64">
        <f>BP535+BP536+BP537</f>
        <v>5758.9755189136049</v>
      </c>
      <c r="BQ538" s="64">
        <f t="shared" ref="BQ538" si="1546">BQ535+BQ536+BQ537</f>
        <v>6290.6140569943982</v>
      </c>
      <c r="BR538" s="64">
        <f>BR535+BR536+BR537</f>
        <v>12049.589575908001</v>
      </c>
    </row>
    <row r="539" spans="1:70" s="8" customFormat="1" outlineLevel="1">
      <c r="B539" s="55"/>
      <c r="C539" s="82" t="s">
        <v>99</v>
      </c>
      <c r="D539" s="96"/>
      <c r="E539" s="96"/>
      <c r="F539" s="96"/>
      <c r="G539" s="96"/>
      <c r="H539" s="96"/>
      <c r="I539" s="96"/>
      <c r="J539" s="96"/>
      <c r="K539" s="96"/>
      <c r="L539" s="96"/>
      <c r="M539" s="96"/>
      <c r="N539" s="96"/>
      <c r="O539" s="96"/>
      <c r="T539" s="64"/>
      <c r="U539" s="64"/>
      <c r="V539" s="64"/>
      <c r="W539" s="64"/>
      <c r="X539" s="64"/>
      <c r="Y539" s="64"/>
      <c r="Z539" s="64"/>
      <c r="AA539" s="64"/>
      <c r="AB539" s="64"/>
      <c r="AC539" s="64"/>
      <c r="AD539" s="64"/>
      <c r="AE539" s="341"/>
      <c r="AF539" s="341"/>
      <c r="AG539" s="934"/>
      <c r="AH539" s="64"/>
      <c r="AI539" s="64"/>
      <c r="AJ539" s="64"/>
      <c r="AK539" s="64"/>
      <c r="AL539" s="64"/>
      <c r="AM539" s="64"/>
      <c r="AN539" s="64"/>
      <c r="AO539" s="64"/>
      <c r="AP539" s="64"/>
      <c r="AQ539" s="64"/>
      <c r="AR539" s="64"/>
      <c r="AS539" s="64"/>
      <c r="AT539" s="64"/>
      <c r="AU539" s="64"/>
      <c r="AV539" s="64"/>
      <c r="AW539" s="64"/>
      <c r="AX539" s="64"/>
      <c r="AY539" s="64"/>
      <c r="AZ539" s="64"/>
      <c r="BA539" s="64"/>
      <c r="BB539" s="64"/>
      <c r="BC539" s="64"/>
      <c r="BD539" s="64"/>
      <c r="BE539" s="64"/>
      <c r="BF539" s="64"/>
      <c r="BG539" s="64"/>
      <c r="BH539" s="64"/>
      <c r="BI539" s="64"/>
      <c r="BJ539" s="64"/>
      <c r="BK539" s="64"/>
      <c r="BL539" s="64"/>
      <c r="BM539" s="64"/>
      <c r="BN539" s="64"/>
      <c r="BO539" s="64"/>
      <c r="BP539" s="64"/>
      <c r="BQ539" s="64"/>
      <c r="BR539" s="64"/>
    </row>
    <row r="540" spans="1:70" s="8" customFormat="1" outlineLevel="1">
      <c r="B540" s="55"/>
      <c r="C540" s="83" t="s">
        <v>306</v>
      </c>
      <c r="D540" s="7" t="s">
        <v>66</v>
      </c>
      <c r="E540" s="96"/>
      <c r="F540" s="96"/>
      <c r="G540" s="96"/>
      <c r="H540" s="96"/>
      <c r="I540" s="96"/>
      <c r="J540" s="96"/>
      <c r="K540" s="96"/>
      <c r="L540" s="96"/>
      <c r="M540" s="96"/>
      <c r="N540" s="96"/>
      <c r="O540" s="96"/>
      <c r="T540" s="64"/>
      <c r="U540" s="64"/>
      <c r="V540" s="64"/>
      <c r="W540" s="423">
        <f>+W535/T535-1</f>
        <v>-2.0340415258329303E-2</v>
      </c>
      <c r="X540" s="423">
        <f t="shared" ref="X540:AM540" si="1547">+X535/U535-1</f>
        <v>-0.1204339546425065</v>
      </c>
      <c r="Y540" s="423">
        <f t="shared" si="1547"/>
        <v>-7.1510753163996688E-2</v>
      </c>
      <c r="Z540" s="423">
        <f t="shared" si="1547"/>
        <v>-7.9939621711539677E-2</v>
      </c>
      <c r="AA540" s="423">
        <f t="shared" si="1547"/>
        <v>1.0103660936884751E-2</v>
      </c>
      <c r="AB540" s="423">
        <f t="shared" si="1547"/>
        <v>-3.6332729641279982E-2</v>
      </c>
      <c r="AC540" s="423">
        <f t="shared" si="1547"/>
        <v>3.5088894097164092E-2</v>
      </c>
      <c r="AD540" s="423">
        <f t="shared" si="1547"/>
        <v>1.812159002338265E-2</v>
      </c>
      <c r="AE540" s="798">
        <f t="shared" si="1547"/>
        <v>2.6475873324651067E-2</v>
      </c>
      <c r="AF540" s="798">
        <f t="shared" si="1547"/>
        <v>2.4227721170952732E-2</v>
      </c>
      <c r="AG540" s="987">
        <f t="shared" si="1547"/>
        <v>6.4274423931012015E-2</v>
      </c>
      <c r="AH540" s="423">
        <f>+AH535/AE535-1</f>
        <v>4.4390961057371392E-2</v>
      </c>
      <c r="AI540" s="423">
        <f>+AI535/AF535-1</f>
        <v>-2.478684508514073E-3</v>
      </c>
      <c r="AJ540" s="423">
        <f t="shared" si="1547"/>
        <v>2.0002421191356978E-2</v>
      </c>
      <c r="AK540" s="423">
        <f>+AK535/AH535-1</f>
        <v>9.0558943193661534E-3</v>
      </c>
      <c r="AL540" s="695">
        <f>+AL535/AI535-1</f>
        <v>8.0599413069175396E-2</v>
      </c>
      <c r="AM540" s="695">
        <f t="shared" si="1547"/>
        <v>4.742963990677751E-2</v>
      </c>
      <c r="AN540" s="696">
        <f>+AN535/AK535-1</f>
        <v>6.3396081716122543E-2</v>
      </c>
      <c r="AO540" s="695">
        <f>+AO535/AL535-1</f>
        <v>1.7217182594473135E-2</v>
      </c>
      <c r="AP540" s="695">
        <f t="shared" ref="AP540:AP541" si="1548">+AP535/AM535-1</f>
        <v>1.53728543643048E-2</v>
      </c>
      <c r="AQ540" s="696">
        <f>+AQ535/AN535-1</f>
        <v>1.6274993506298019E-2</v>
      </c>
      <c r="AR540" s="695">
        <f>+AR535/AO535-1</f>
        <v>1.6550850432930364E-2</v>
      </c>
      <c r="AS540" s="695">
        <f t="shared" ref="AS540:AS541" si="1549">+AS535/AP535-1</f>
        <v>1.7028718141339994E-2</v>
      </c>
      <c r="AT540" s="696">
        <f>+AT535/AQ535-1</f>
        <v>1.6794756076797368E-2</v>
      </c>
      <c r="AU540" s="695">
        <f>+AU535/AR535-1</f>
        <v>1.6817882138207674E-2</v>
      </c>
      <c r="AV540" s="695">
        <f t="shared" ref="AV540:AV541" si="1550">+AV535/AS535-1</f>
        <v>1.7282298016394027E-2</v>
      </c>
      <c r="AW540" s="696">
        <f>+AW535/AT535-1</f>
        <v>1.7054976454891069E-2</v>
      </c>
      <c r="AX540" s="695">
        <f>+AX535/AU535-1</f>
        <v>1.7085125507139143E-2</v>
      </c>
      <c r="AY540" s="695">
        <f t="shared" ref="AY540:AY541" si="1551">+AY535/AV535-1</f>
        <v>1.7536276496300518E-2</v>
      </c>
      <c r="AZ540" s="696">
        <f>+AZ535/AW535-1</f>
        <v>1.7315499291288283E-2</v>
      </c>
      <c r="BA540" s="695">
        <f>+BA535/AX535-1</f>
        <v>1.7352595901686696E-2</v>
      </c>
      <c r="BB540" s="695">
        <f t="shared" ref="BB540:BB541" si="1552">+BB535/AY535-1</f>
        <v>1.7790673733438123E-2</v>
      </c>
      <c r="BC540" s="696">
        <f>+BC535/AZ535-1</f>
        <v>1.7576342612286133E-2</v>
      </c>
      <c r="BD540" s="695">
        <f>+BD535/BA535-1</f>
        <v>1.7620307722070683E-2</v>
      </c>
      <c r="BE540" s="695">
        <f t="shared" ref="BE540:BE541" si="1553">+BE535/BB535-1</f>
        <v>1.8045508603610871E-2</v>
      </c>
      <c r="BF540" s="696">
        <f>+BF535/BC535-1</f>
        <v>1.7837523317950854E-2</v>
      </c>
      <c r="BG540" s="695">
        <f>+BG535/BD535-1</f>
        <v>1.7888274313877739E-2</v>
      </c>
      <c r="BH540" s="695">
        <f t="shared" ref="BH540:BH541" si="1554">+BH535/BE535-1</f>
        <v>1.8300798619511172E-2</v>
      </c>
      <c r="BI540" s="696">
        <f>+BI535/BF535-1</f>
        <v>1.8099057092141324E-2</v>
      </c>
      <c r="BJ540" s="695">
        <f>+BJ535/BG535-1</f>
        <v>1.8156507878135386E-2</v>
      </c>
      <c r="BK540" s="695">
        <f t="shared" ref="BK540:BK541" si="1555">+BK535/BH535-1</f>
        <v>1.8556559847235032E-2</v>
      </c>
      <c r="BL540" s="696">
        <f>+BL535/BI535-1</f>
        <v>1.8360958315573939E-2</v>
      </c>
      <c r="BM540" s="695">
        <f>+BM535/BJ535-1</f>
        <v>1.8425019384588071E-2</v>
      </c>
      <c r="BN540" s="695">
        <f t="shared" ref="BN540:BN541" si="1556">+BN535/BK535-1</f>
        <v>1.8812806826048911E-2</v>
      </c>
      <c r="BO540" s="696">
        <f>+BO535/BL535-1</f>
        <v>1.8623239982149098E-2</v>
      </c>
      <c r="BP540" s="695">
        <f>+BP535/BM535-1</f>
        <v>1.8693818488396463E-2</v>
      </c>
      <c r="BQ540" s="695">
        <f t="shared" ref="BQ540:BQ541" si="1557">+BQ535/BN535-1</f>
        <v>1.9069552491606245E-2</v>
      </c>
      <c r="BR540" s="696">
        <f>+BR535/BO535-1</f>
        <v>1.8885913618742922E-2</v>
      </c>
    </row>
    <row r="541" spans="1:70" s="8" customFormat="1" outlineLevel="1">
      <c r="B541" s="55"/>
      <c r="C541" s="83" t="s">
        <v>307</v>
      </c>
      <c r="D541" s="7" t="s">
        <v>66</v>
      </c>
      <c r="E541" s="96"/>
      <c r="F541" s="96"/>
      <c r="G541" s="96"/>
      <c r="H541" s="96"/>
      <c r="I541" s="96"/>
      <c r="J541" s="96"/>
      <c r="K541" s="96"/>
      <c r="L541" s="96"/>
      <c r="M541" s="96"/>
      <c r="N541" s="96"/>
      <c r="O541" s="96"/>
      <c r="T541" s="64"/>
      <c r="U541" s="64"/>
      <c r="V541" s="64"/>
      <c r="W541" s="423">
        <f>+W536/T536-1</f>
        <v>4.8993288590603923E-2</v>
      </c>
      <c r="X541" s="423">
        <f t="shared" ref="X541:AN541" si="1558">+X536/U536-1</f>
        <v>3.0552291421856559E-2</v>
      </c>
      <c r="Y541" s="423">
        <f t="shared" si="1558"/>
        <v>3.9160401002506173E-2</v>
      </c>
      <c r="Z541" s="423">
        <f t="shared" si="1558"/>
        <v>-6.3979526551505295E-4</v>
      </c>
      <c r="AA541" s="423">
        <f t="shared" si="1558"/>
        <v>2.3375142531356863E-2</v>
      </c>
      <c r="AB541" s="423">
        <f t="shared" si="1558"/>
        <v>1.2059089538739798E-2</v>
      </c>
      <c r="AC541" s="423">
        <f t="shared" si="1558"/>
        <v>-0.11843790012804101</v>
      </c>
      <c r="AD541" s="423">
        <f t="shared" si="1558"/>
        <v>-0.16434540389972141</v>
      </c>
      <c r="AE541" s="798">
        <f t="shared" si="1558"/>
        <v>-0.14298480786416445</v>
      </c>
      <c r="AF541" s="798">
        <f t="shared" si="1558"/>
        <v>-2.977487291212777E-2</v>
      </c>
      <c r="AG541" s="987">
        <f t="shared" si="1558"/>
        <v>4.0513287202937232E-2</v>
      </c>
      <c r="AH541" s="423">
        <f t="shared" si="1558"/>
        <v>6.8717173459873493E-3</v>
      </c>
      <c r="AI541" s="423">
        <f t="shared" si="1558"/>
        <v>-3.2226064107395702E-3</v>
      </c>
      <c r="AJ541" s="423">
        <f t="shared" si="1558"/>
        <v>3.6830795628506108E-2</v>
      </c>
      <c r="AK541" s="423">
        <f t="shared" si="1558"/>
        <v>1.8358032377483013E-2</v>
      </c>
      <c r="AL541" s="423">
        <f t="shared" si="1558"/>
        <v>3.8770207953646496E-2</v>
      </c>
      <c r="AM541" s="423">
        <f t="shared" si="1558"/>
        <v>3.4572386122381005E-2</v>
      </c>
      <c r="AN541" s="423">
        <f t="shared" si="1558"/>
        <v>3.6467407627409631E-2</v>
      </c>
      <c r="AO541" s="423">
        <f t="shared" ref="AO541" si="1559">+AO536/AL536-1</f>
        <v>2.7813022957422495E-2</v>
      </c>
      <c r="AP541" s="423">
        <f t="shared" si="1548"/>
        <v>1.9002293124809055E-2</v>
      </c>
      <c r="AQ541" s="423">
        <f t="shared" ref="AQ541" si="1560">+AQ536/AN536-1</f>
        <v>2.2988555320839099E-2</v>
      </c>
      <c r="AR541" s="423">
        <f t="shared" ref="AR541" si="1561">+AR536/AO536-1</f>
        <v>1.8965157493795237E-2</v>
      </c>
      <c r="AS541" s="423">
        <f t="shared" si="1549"/>
        <v>1.9206907299791576E-2</v>
      </c>
      <c r="AT541" s="423">
        <f t="shared" ref="AT541" si="1562">+AT536/AQ536-1</f>
        <v>1.9097015964179676E-2</v>
      </c>
      <c r="AU541" s="423">
        <f t="shared" ref="AU541" si="1563">+AU536/AR536-1</f>
        <v>1.9174089036797515E-2</v>
      </c>
      <c r="AV541" s="423">
        <f t="shared" si="1550"/>
        <v>1.9410424192475517E-2</v>
      </c>
      <c r="AW541" s="423">
        <f t="shared" ref="AW541" si="1564">+AW536/AT536-1</f>
        <v>1.9303008074997186E-2</v>
      </c>
      <c r="AX541" s="423">
        <f t="shared" ref="AX541" si="1565">+AX536/AU536-1</f>
        <v>1.9381944117069727E-2</v>
      </c>
      <c r="AY541" s="423">
        <f t="shared" si="1551"/>
        <v>1.9612786133007098E-2</v>
      </c>
      <c r="AZ541" s="423">
        <f t="shared" ref="AZ541" si="1566">+AZ536/AW536-1</f>
        <v>1.9507879959091312E-2</v>
      </c>
      <c r="BA541" s="423">
        <f t="shared" ref="BA541" si="1567">+BA536/AX536-1</f>
        <v>1.9588661621265047E-2</v>
      </c>
      <c r="BB541" s="423">
        <f t="shared" si="1552"/>
        <v>1.9813936891360129E-2</v>
      </c>
      <c r="BC541" s="423">
        <f t="shared" ref="BC541" si="1568">+BC536/AZ536-1</f>
        <v>1.9711573171723451E-2</v>
      </c>
      <c r="BD541" s="423">
        <f t="shared" ref="BD541" si="1569">+BD536/BA536-1</f>
        <v>1.9794181891001239E-2</v>
      </c>
      <c r="BE541" s="423">
        <f t="shared" si="1553"/>
        <v>2.0013821737553394E-2</v>
      </c>
      <c r="BF541" s="423">
        <f t="shared" ref="BF541" si="1570">+BF536/BC536-1</f>
        <v>1.9914030750092682E-2</v>
      </c>
      <c r="BG541" s="423">
        <f t="shared" ref="BG541" si="1571">+BG536/BD536-1</f>
        <v>1.9998446790195024E-2</v>
      </c>
      <c r="BH541" s="423">
        <f t="shared" si="1554"/>
        <v>2.0212387497809958E-2</v>
      </c>
      <c r="BI541" s="423">
        <f t="shared" ref="BI541" si="1572">+BI536/BF536-1</f>
        <v>2.011519727449973E-2</v>
      </c>
      <c r="BJ541" s="423">
        <f t="shared" ref="BJ541" si="1573">+BJ536/BG536-1</f>
        <v>2.0201399768150718E-2</v>
      </c>
      <c r="BK541" s="423">
        <f t="shared" si="1555"/>
        <v>2.0409582606563559E-2</v>
      </c>
      <c r="BL541" s="423">
        <f t="shared" ref="BL541" si="1574">+BL536/BI536-1</f>
        <v>2.0315018925305628E-2</v>
      </c>
      <c r="BM541" s="423">
        <f t="shared" ref="BM541" si="1575">+BM536/BJ536-1</f>
        <v>2.0402985918283711E-2</v>
      </c>
      <c r="BN541" s="423">
        <f t="shared" si="1556"/>
        <v>2.0605357154239279E-2</v>
      </c>
      <c r="BO541" s="423">
        <f t="shared" ref="BO541" si="1576">+BO536/BL536-1</f>
        <v>2.051344353559359E-2</v>
      </c>
      <c r="BP541" s="423">
        <f t="shared" ref="BP541" si="1577">+BP536/BM536-1</f>
        <v>2.0603152032382832E-2</v>
      </c>
      <c r="BQ541" s="423">
        <f t="shared" si="1557"/>
        <v>2.079966293074631E-2</v>
      </c>
      <c r="BR541" s="423">
        <f t="shared" ref="BR541" si="1578">+BR536/BO536-1</f>
        <v>2.0710420639461491E-2</v>
      </c>
    </row>
    <row r="542" spans="1:70" s="8" customFormat="1" outlineLevel="1">
      <c r="B542" s="55"/>
      <c r="C542" s="83" t="s">
        <v>308</v>
      </c>
      <c r="D542" s="7" t="s">
        <v>66</v>
      </c>
      <c r="E542" s="96"/>
      <c r="F542" s="96"/>
      <c r="G542" s="96"/>
      <c r="H542" s="96"/>
      <c r="I542" s="96"/>
      <c r="J542" s="96"/>
      <c r="K542" s="96"/>
      <c r="L542" s="96"/>
      <c r="M542" s="96"/>
      <c r="N542" s="96"/>
      <c r="O542" s="96"/>
      <c r="T542" s="64"/>
      <c r="U542" s="64"/>
      <c r="V542" s="64"/>
      <c r="W542" s="423"/>
      <c r="X542" s="423"/>
      <c r="Y542" s="423"/>
      <c r="Z542" s="423"/>
      <c r="AA542" s="423"/>
      <c r="AB542" s="423"/>
      <c r="AC542" s="423"/>
      <c r="AD542" s="423"/>
      <c r="AE542" s="798"/>
      <c r="AF542" s="798"/>
      <c r="AG542" s="987"/>
      <c r="AH542" s="423"/>
      <c r="AI542" s="423"/>
      <c r="AJ542" s="423"/>
      <c r="AK542" s="423"/>
      <c r="AL542" s="423"/>
      <c r="AM542" s="423"/>
      <c r="AN542" s="423"/>
      <c r="AO542" s="423"/>
      <c r="AP542" s="423"/>
      <c r="AQ542" s="423"/>
      <c r="AR542" s="423"/>
      <c r="AS542" s="423"/>
      <c r="AT542" s="423"/>
      <c r="AU542" s="423"/>
      <c r="AV542" s="423"/>
      <c r="AW542" s="423"/>
      <c r="AX542" s="423"/>
      <c r="AY542" s="423"/>
      <c r="AZ542" s="423"/>
      <c r="BA542" s="423"/>
      <c r="BB542" s="423"/>
      <c r="BC542" s="423"/>
      <c r="BD542" s="423"/>
      <c r="BE542" s="423"/>
      <c r="BF542" s="423"/>
      <c r="BG542" s="423"/>
      <c r="BH542" s="423"/>
      <c r="BI542" s="423"/>
      <c r="BJ542" s="423"/>
      <c r="BK542" s="423"/>
      <c r="BL542" s="423"/>
      <c r="BM542" s="423"/>
      <c r="BN542" s="423"/>
      <c r="BO542" s="423"/>
      <c r="BP542" s="423"/>
      <c r="BQ542" s="423"/>
      <c r="BR542" s="423"/>
    </row>
    <row r="543" spans="1:70" s="8" customFormat="1" outlineLevel="1">
      <c r="B543" s="55"/>
      <c r="C543" s="441" t="s">
        <v>285</v>
      </c>
      <c r="D543" s="96" t="s">
        <v>66</v>
      </c>
      <c r="E543" s="96"/>
      <c r="F543" s="96"/>
      <c r="G543" s="96"/>
      <c r="H543" s="96"/>
      <c r="I543" s="96"/>
      <c r="J543" s="96"/>
      <c r="K543" s="96"/>
      <c r="L543" s="96"/>
      <c r="M543" s="96"/>
      <c r="N543" s="96"/>
      <c r="O543" s="96"/>
      <c r="T543" s="64"/>
      <c r="U543" s="64"/>
      <c r="V543" s="64"/>
      <c r="W543" s="452">
        <f>+W538/T538-1</f>
        <v>1.1657923224246414E-3</v>
      </c>
      <c r="X543" s="452">
        <f t="shared" ref="X543:AM543" si="1579">+X538/U538-1</f>
        <v>-7.0707070707070496E-2</v>
      </c>
      <c r="Y543" s="452">
        <f t="shared" si="1579"/>
        <v>-3.60831979461258E-2</v>
      </c>
      <c r="Z543" s="452">
        <f t="shared" si="1579"/>
        <v>-5.4167013224652782E-2</v>
      </c>
      <c r="AA543" s="452">
        <f t="shared" si="1579"/>
        <v>1.4950857904380888E-2</v>
      </c>
      <c r="AB543" s="452">
        <f t="shared" si="1579"/>
        <v>-1.9632527362770102E-2</v>
      </c>
      <c r="AC543" s="452">
        <f t="shared" si="1579"/>
        <v>-1.763141117242284E-2</v>
      </c>
      <c r="AD543" s="452">
        <f t="shared" si="1579"/>
        <v>-4.9074719954043666E-2</v>
      </c>
      <c r="AE543" s="414">
        <f t="shared" si="1579"/>
        <v>-3.38961466215284E-2</v>
      </c>
      <c r="AF543" s="414">
        <f t="shared" si="1579"/>
        <v>7.5864384021482323E-3</v>
      </c>
      <c r="AG543" s="988">
        <f t="shared" si="1579"/>
        <v>5.6584735669499286E-2</v>
      </c>
      <c r="AH543" s="452">
        <f>+AH538/AE538-1</f>
        <v>3.2533668350428702E-2</v>
      </c>
      <c r="AI543" s="452">
        <f>+AI538/AF538-1</f>
        <v>-2.6994289251303094E-3</v>
      </c>
      <c r="AJ543" s="452">
        <f t="shared" si="1579"/>
        <v>2.5365658151118797E-2</v>
      </c>
      <c r="AK543" s="452">
        <f>+AK538/AH538-1</f>
        <v>1.1922606991487505E-2</v>
      </c>
      <c r="AL543" s="452">
        <f>+AL538/AI538-1</f>
        <v>6.8193917835146278E-2</v>
      </c>
      <c r="AM543" s="452">
        <f t="shared" si="1579"/>
        <v>4.3286189402225839E-2</v>
      </c>
      <c r="AN543" s="452">
        <f>+AN538/AK538-1</f>
        <v>5.5044484316064235E-2</v>
      </c>
      <c r="AO543" s="452">
        <f>+AO538/AL538-1</f>
        <v>2.0273083631154432E-2</v>
      </c>
      <c r="AP543" s="452">
        <f t="shared" ref="AP543" si="1580">+AP538/AM538-1</f>
        <v>1.6532728424869303E-2</v>
      </c>
      <c r="AQ543" s="452">
        <f>+AQ538/AN538-1</f>
        <v>1.8320460381559212E-2</v>
      </c>
      <c r="AR543" s="452">
        <f>+AR538/AO538-1</f>
        <v>1.7252296154173896E-2</v>
      </c>
      <c r="AS543" s="452">
        <f t="shared" ref="AS543" si="1581">+AS538/AP538-1</f>
        <v>1.7726501729485644E-2</v>
      </c>
      <c r="AT543" s="452">
        <f>+AT538/AQ538-1</f>
        <v>1.7499416874081186E-2</v>
      </c>
      <c r="AU543" s="452">
        <f>+AU538/AR538-1</f>
        <v>1.7503600287376964E-2</v>
      </c>
      <c r="AV543" s="452">
        <f t="shared" ref="AV543" si="1582">+AV538/AS538-1</f>
        <v>1.7965035593630274E-2</v>
      </c>
      <c r="AW543" s="452">
        <f>+AW538/AT538-1</f>
        <v>1.774411975868051E-2</v>
      </c>
      <c r="AX543" s="452">
        <f>+AX538/AU538-1</f>
        <v>1.7754657507018212E-2</v>
      </c>
      <c r="AY543" s="452">
        <f t="shared" ref="AY543" si="1583">+AY538/AV538-1</f>
        <v>1.8203400539372971E-2</v>
      </c>
      <c r="AZ543" s="452">
        <f>+AZ538/AW538-1</f>
        <v>1.7988612003961624E-2</v>
      </c>
      <c r="BA543" s="452">
        <f>+BA538/AX538-1</f>
        <v>1.8005460383858862E-2</v>
      </c>
      <c r="BB543" s="452">
        <f t="shared" ref="BB543" si="1584">+BB538/AY538-1</f>
        <v>1.844159092981168E-2</v>
      </c>
      <c r="BC543" s="452">
        <f>+BC538/AZ538-1</f>
        <v>1.8232887271266929E-2</v>
      </c>
      <c r="BD543" s="452">
        <f>+BD538/BA538-1</f>
        <v>1.8256001221665485E-2</v>
      </c>
      <c r="BE543" s="452">
        <f t="shared" ref="BE543" si="1585">+BE538/BB538-1</f>
        <v>1.8679600755944215E-2</v>
      </c>
      <c r="BF543" s="452">
        <f>+BF538/BC538-1</f>
        <v>1.847693889854285E-2</v>
      </c>
      <c r="BG543" s="452">
        <f>+BG538/BD538-1</f>
        <v>1.8506272035662574E-2</v>
      </c>
      <c r="BH543" s="452">
        <f t="shared" ref="BH543" si="1586">+BH538/BE538-1</f>
        <v>1.8917423622131224E-2</v>
      </c>
      <c r="BI543" s="452">
        <f>+BI538/BF538-1</f>
        <v>1.8720759882320026E-2</v>
      </c>
      <c r="BJ543" s="452">
        <f>+BJ538/BG538-1</f>
        <v>1.8756264532496791E-2</v>
      </c>
      <c r="BK543" s="452">
        <f t="shared" ref="BK543" si="1587">+BK538/BH538-1</f>
        <v>1.9155052732990452E-2</v>
      </c>
      <c r="BL543" s="452">
        <f>+BL538/BI538-1</f>
        <v>1.8964342861174766E-2</v>
      </c>
      <c r="BM543" s="452">
        <f>+BM538/BJ538-1</f>
        <v>1.900597009174354E-2</v>
      </c>
      <c r="BN543" s="452">
        <f t="shared" ref="BN543" si="1588">+BN538/BK538-1</f>
        <v>1.9392480881736285E-2</v>
      </c>
      <c r="BO543" s="452">
        <f>+BO538/BL538-1</f>
        <v>1.9207680100692848E-2</v>
      </c>
      <c r="BP543" s="452">
        <f>+BP538/BM538-1</f>
        <v>1.9255379748985169E-2</v>
      </c>
      <c r="BQ543" s="452">
        <f t="shared" ref="BQ543" si="1589">+BQ538/BN538-1</f>
        <v>1.9629700439969033E-2</v>
      </c>
      <c r="BR543" s="452">
        <f>+BR538/BO538-1</f>
        <v>1.9450763479958777E-2</v>
      </c>
    </row>
    <row r="544" spans="1:70" outlineLevel="1">
      <c r="B544" s="55"/>
      <c r="C544" s="102" t="s">
        <v>56</v>
      </c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T544" s="18"/>
      <c r="U544" s="18"/>
      <c r="V544" s="18"/>
      <c r="W544" s="18"/>
      <c r="X544" s="18"/>
      <c r="Y544" s="18"/>
      <c r="Z544" s="18"/>
      <c r="AA544" s="18"/>
      <c r="AB544" s="18"/>
      <c r="AC544" s="18"/>
      <c r="AD544" s="18"/>
      <c r="AE544" s="26"/>
      <c r="AF544" s="26"/>
      <c r="AG544" s="933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8"/>
      <c r="BC544" s="18"/>
      <c r="BD544" s="18"/>
      <c r="BE544" s="18"/>
      <c r="BF544" s="18"/>
      <c r="BG544" s="18"/>
      <c r="BH544" s="18"/>
      <c r="BI544" s="18"/>
      <c r="BJ544" s="18"/>
      <c r="BK544" s="18"/>
      <c r="BL544" s="18"/>
      <c r="BM544" s="18"/>
      <c r="BN544" s="18"/>
      <c r="BO544" s="18"/>
      <c r="BP544" s="18"/>
      <c r="BQ544" s="18"/>
      <c r="BR544" s="18"/>
    </row>
    <row r="545" spans="2:70" outlineLevel="1">
      <c r="B545" s="55"/>
      <c r="C545" s="83" t="s">
        <v>306</v>
      </c>
      <c r="D545" s="7" t="s">
        <v>58</v>
      </c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T545" s="18">
        <f t="shared" ref="T545:AA545" si="1590">T605</f>
        <v>501.8</v>
      </c>
      <c r="U545" s="18">
        <f t="shared" si="1590"/>
        <v>548.29999999999995</v>
      </c>
      <c r="V545" s="18">
        <f t="shared" si="1590"/>
        <v>1050.0999999999999</v>
      </c>
      <c r="W545" s="18">
        <f t="shared" si="1590"/>
        <v>508.4</v>
      </c>
      <c r="X545" s="18">
        <f t="shared" si="1590"/>
        <v>478.00000000000011</v>
      </c>
      <c r="Y545" s="18">
        <f t="shared" si="1590"/>
        <v>986.40000000000009</v>
      </c>
      <c r="Z545" s="18">
        <f t="shared" si="1590"/>
        <v>458.2</v>
      </c>
      <c r="AA545" s="18">
        <f t="shared" si="1590"/>
        <v>506.7</v>
      </c>
      <c r="AB545" s="18">
        <f t="shared" ref="AB545:AE545" si="1591">AB605</f>
        <v>964.9</v>
      </c>
      <c r="AC545" s="18">
        <f t="shared" si="1591"/>
        <v>484.6</v>
      </c>
      <c r="AD545" s="18">
        <f t="shared" si="1591"/>
        <v>539.99999999999989</v>
      </c>
      <c r="AE545" s="26">
        <f t="shared" si="1591"/>
        <v>1024.5999999999999</v>
      </c>
      <c r="AF545" s="26">
        <f t="shared" ref="AF545" si="1592">AF605</f>
        <v>513.1</v>
      </c>
      <c r="AG545" s="933">
        <f>AG605</f>
        <v>589.88919636105254</v>
      </c>
      <c r="AH545" s="18">
        <f>+AG545+AF545</f>
        <v>1102.9891963610526</v>
      </c>
      <c r="AI545" s="18">
        <f>AI605</f>
        <v>548.68562897880645</v>
      </c>
      <c r="AJ545" s="18">
        <f>AJ605</f>
        <v>629.00367493434715</v>
      </c>
      <c r="AK545" s="18">
        <f>+AJ545+AI545</f>
        <v>1177.6893039131537</v>
      </c>
      <c r="AL545" s="18">
        <f>AL605</f>
        <v>601.1535381115375</v>
      </c>
      <c r="AM545" s="18">
        <f>AM605</f>
        <v>660.65022180974211</v>
      </c>
      <c r="AN545" s="18">
        <f>+AM545+AL545</f>
        <v>1261.8037599212796</v>
      </c>
      <c r="AO545" s="18">
        <f>AO605</f>
        <v>616.17510117313327</v>
      </c>
      <c r="AP545" s="18">
        <f>AP605</f>
        <v>679.04496580846194</v>
      </c>
      <c r="AQ545" s="18">
        <f>+AP545+AO545</f>
        <v>1295.2200669815952</v>
      </c>
      <c r="AR545" s="18">
        <f>AR605</f>
        <v>625.65124725066937</v>
      </c>
      <c r="AS545" s="18">
        <f>AS605</f>
        <v>689.81391841148468</v>
      </c>
      <c r="AT545" s="18">
        <f>+AS545+AR545</f>
        <v>1315.465165662154</v>
      </c>
      <c r="AU545" s="18">
        <f>AU605</f>
        <v>635.41237251732673</v>
      </c>
      <c r="AV545" s="18">
        <f>AV605</f>
        <v>700.90261899175277</v>
      </c>
      <c r="AW545" s="18">
        <f>+AV545+AU545</f>
        <v>1336.3149915090794</v>
      </c>
      <c r="AX545" s="18">
        <f>AX605</f>
        <v>645.46787207589136</v>
      </c>
      <c r="AY545" s="18">
        <f>AY605</f>
        <v>712.32174093949061</v>
      </c>
      <c r="AZ545" s="18">
        <f>+AY545+AX545</f>
        <v>1357.789613015382</v>
      </c>
      <c r="BA545" s="18">
        <f>BA605</f>
        <v>655.82754022108406</v>
      </c>
      <c r="BB545" s="18">
        <f>BB605</f>
        <v>724.08240944744534</v>
      </c>
      <c r="BC545" s="18">
        <f>+BB545+BA545</f>
        <v>1379.9099496685294</v>
      </c>
      <c r="BD545" s="18">
        <f>BD605</f>
        <v>666.50158803197598</v>
      </c>
      <c r="BE545" s="18">
        <f>BE605</f>
        <v>736.19622148312328</v>
      </c>
      <c r="BF545" s="18">
        <f>+BE545+BD545</f>
        <v>1402.6978095150994</v>
      </c>
      <c r="BG545" s="18">
        <f>BG605</f>
        <v>677.50066179521025</v>
      </c>
      <c r="BH545" s="18">
        <f>BH605</f>
        <v>748.67526670369671</v>
      </c>
      <c r="BI545" s="18">
        <f>+BH545+BG545</f>
        <v>1426.1759284989071</v>
      </c>
      <c r="BJ545" s="18">
        <f>BJ605</f>
        <v>688.83586229919069</v>
      </c>
      <c r="BK545" s="18">
        <f>BK605</f>
        <v>761.53214935916424</v>
      </c>
      <c r="BL545" s="18">
        <f>+BK545+BJ545</f>
        <v>1450.368011658355</v>
      </c>
      <c r="BM545" s="18">
        <f>BM605</f>
        <v>700.51876504138249</v>
      </c>
      <c r="BN545" s="18">
        <f>BN605</f>
        <v>774.78001123160425</v>
      </c>
      <c r="BO545" s="18">
        <f>+BN545+BM545</f>
        <v>1475.2987762729867</v>
      </c>
      <c r="BP545" s="18">
        <f>BP605</f>
        <v>712.56144139295895</v>
      </c>
      <c r="BQ545" s="18">
        <f>BQ605</f>
        <v>788.43255566073378</v>
      </c>
      <c r="BR545" s="18">
        <f>+BQ545+BP545</f>
        <v>1500.9939970536927</v>
      </c>
    </row>
    <row r="546" spans="2:70" outlineLevel="1">
      <c r="B546" s="55"/>
      <c r="C546" s="83" t="s">
        <v>307</v>
      </c>
      <c r="D546" s="7" t="s">
        <v>58</v>
      </c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T546" s="18">
        <f t="shared" ref="T546:AA546" si="1593">+T1168</f>
        <v>199.6</v>
      </c>
      <c r="U546" s="18">
        <f t="shared" si="1593"/>
        <v>243.4</v>
      </c>
      <c r="V546" s="18">
        <f t="shared" si="1593"/>
        <v>443</v>
      </c>
      <c r="W546" s="18">
        <f t="shared" si="1593"/>
        <v>207.1</v>
      </c>
      <c r="X546" s="18">
        <f t="shared" si="1593"/>
        <v>247.29999999999998</v>
      </c>
      <c r="Y546" s="18">
        <f t="shared" si="1593"/>
        <v>454.4</v>
      </c>
      <c r="Z546" s="18">
        <f t="shared" si="1593"/>
        <v>220</v>
      </c>
      <c r="AA546" s="18">
        <f t="shared" si="1593"/>
        <v>267.8</v>
      </c>
      <c r="AB546" s="18">
        <f t="shared" ref="AB546:AG546" si="1594">+AB1168</f>
        <v>487.8</v>
      </c>
      <c r="AC546" s="18">
        <f t="shared" si="1594"/>
        <v>209</v>
      </c>
      <c r="AD546" s="18">
        <f t="shared" si="1594"/>
        <v>262.7</v>
      </c>
      <c r="AE546" s="26">
        <f t="shared" si="1594"/>
        <v>471.7</v>
      </c>
      <c r="AF546" s="26">
        <f t="shared" ref="AF546" si="1595">+AF1168</f>
        <v>205.7</v>
      </c>
      <c r="AG546" s="933">
        <f t="shared" si="1594"/>
        <v>266.05108014993471</v>
      </c>
      <c r="AH546" s="18">
        <f>+AG546+AF546</f>
        <v>471.75108014993469</v>
      </c>
      <c r="AI546" s="18">
        <f>+AI1168</f>
        <v>221.26646827140959</v>
      </c>
      <c r="AJ546" s="18">
        <f>+AJ1168</f>
        <v>280.07523259418008</v>
      </c>
      <c r="AK546" s="18">
        <f>+AJ546+AI546</f>
        <v>501.3417008655897</v>
      </c>
      <c r="AL546" s="18">
        <f t="shared" ref="AL546:AM546" si="1596">+AL1168</f>
        <v>231.00842483740371</v>
      </c>
      <c r="AM546" s="18">
        <f t="shared" si="1596"/>
        <v>288.96917043847833</v>
      </c>
      <c r="AN546" s="18">
        <f>+AM546+AL546</f>
        <v>519.97759527588209</v>
      </c>
      <c r="AO546" s="18">
        <f t="shared" ref="AO546:AP546" si="1597">+AO1168</f>
        <v>237.3329152193264</v>
      </c>
      <c r="AP546" s="18">
        <f t="shared" si="1597"/>
        <v>295.66936709718868</v>
      </c>
      <c r="AQ546" s="18">
        <f>+AP546+AO546</f>
        <v>533.00228231651511</v>
      </c>
      <c r="AR546" s="18">
        <f t="shared" ref="AR546:AS546" si="1598">+AR1168</f>
        <v>241.26128906959957</v>
      </c>
      <c r="AS546" s="18">
        <f t="shared" si="1598"/>
        <v>300.53790771055731</v>
      </c>
      <c r="AT546" s="18">
        <f>+AS546+AR546</f>
        <v>541.79919678015688</v>
      </c>
      <c r="AU546" s="18">
        <f t="shared" ref="AU546:AV546" si="1599">+AU1168</f>
        <v>245.29536568928575</v>
      </c>
      <c r="AV546" s="18">
        <f t="shared" si="1599"/>
        <v>305.54139227520517</v>
      </c>
      <c r="AW546" s="18">
        <f>+AV546+AU546</f>
        <v>550.83675796449097</v>
      </c>
      <c r="AX546" s="18">
        <f t="shared" ref="AX546:AY546" si="1600">+AX1168</f>
        <v>249.43831467074759</v>
      </c>
      <c r="AY546" s="18">
        <f t="shared" si="1600"/>
        <v>310.68384088426376</v>
      </c>
      <c r="AZ546" s="18">
        <f>+AY546+AX546</f>
        <v>560.12215555501132</v>
      </c>
      <c r="BA546" s="18">
        <f t="shared" ref="BA546:BB546" si="1601">+BA1168</f>
        <v>253.69340684545892</v>
      </c>
      <c r="BB546" s="18">
        <f t="shared" si="1601"/>
        <v>315.96940188678803</v>
      </c>
      <c r="BC546" s="18">
        <f>+BB546+BA546</f>
        <v>569.66280873224696</v>
      </c>
      <c r="BD546" s="18">
        <f t="shared" ref="BD546:BE546" si="1602">+BD1168</f>
        <v>258.06401758878656</v>
      </c>
      <c r="BE546" s="18">
        <f t="shared" si="1602"/>
        <v>321.40235605800058</v>
      </c>
      <c r="BF546" s="18">
        <f>+BE546+BD546</f>
        <v>579.46637364678713</v>
      </c>
      <c r="BG546" s="18">
        <f t="shared" ref="BG546:BH546" si="1603">+BG1168</f>
        <v>262.55363023353686</v>
      </c>
      <c r="BH546" s="18">
        <f t="shared" si="1603"/>
        <v>326.98712090565857</v>
      </c>
      <c r="BI546" s="18">
        <f>+BH546+BG546</f>
        <v>589.54075113919544</v>
      </c>
      <c r="BJ546" s="18">
        <f t="shared" ref="BJ546:BK546" si="1604">+BJ1168</f>
        <v>267.1658395958579</v>
      </c>
      <c r="BK546" s="18">
        <f t="shared" si="1604"/>
        <v>332.7282551170008</v>
      </c>
      <c r="BL546" s="18">
        <f>+BK546+BJ546</f>
        <v>599.89409471285876</v>
      </c>
      <c r="BM546" s="18">
        <f t="shared" ref="BM546:BN546" si="1605">+BM1168</f>
        <v>271.90435561720665</v>
      </c>
      <c r="BN546" s="18">
        <f t="shared" si="1605"/>
        <v>338.63046315088218</v>
      </c>
      <c r="BO546" s="18">
        <f>+BN546+BM546</f>
        <v>610.53481876808883</v>
      </c>
      <c r="BP546" s="18">
        <f t="shared" ref="BP546:BQ546" si="1606">+BP1168</f>
        <v>276.77300712621565</v>
      </c>
      <c r="BQ546" s="18">
        <f t="shared" si="1606"/>
        <v>344.69859997985139</v>
      </c>
      <c r="BR546" s="18">
        <f>+BQ546+BP546</f>
        <v>621.47160710606704</v>
      </c>
    </row>
    <row r="547" spans="2:70" outlineLevel="1">
      <c r="B547" s="55"/>
      <c r="C547" s="83" t="s">
        <v>308</v>
      </c>
      <c r="D547" s="7" t="s">
        <v>58</v>
      </c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T547" s="18">
        <f t="shared" ref="T547:AA547" si="1607">T1461</f>
        <v>-23.200000000000003</v>
      </c>
      <c r="U547" s="18">
        <f t="shared" si="1607"/>
        <v>-11.700000000000001</v>
      </c>
      <c r="V547" s="18">
        <f t="shared" si="1607"/>
        <v>-34.9</v>
      </c>
      <c r="W547" s="18">
        <f t="shared" si="1607"/>
        <v>-13.599999999999998</v>
      </c>
      <c r="X547" s="18">
        <f t="shared" si="1607"/>
        <v>-18.600000000000001</v>
      </c>
      <c r="Y547" s="18">
        <f t="shared" si="1607"/>
        <v>-32.200000000000003</v>
      </c>
      <c r="Z547" s="18">
        <f t="shared" si="1607"/>
        <v>-13.899999999999999</v>
      </c>
      <c r="AA547" s="18">
        <f t="shared" si="1607"/>
        <v>-29.499999999999996</v>
      </c>
      <c r="AB547" s="18">
        <f t="shared" ref="AB547:AG547" si="1608">AB1461</f>
        <v>-43.399999999999991</v>
      </c>
      <c r="AC547" s="18">
        <f t="shared" si="1608"/>
        <v>-15.899999999999999</v>
      </c>
      <c r="AD547" s="18">
        <f t="shared" si="1608"/>
        <v>-33.400000000000006</v>
      </c>
      <c r="AE547" s="26">
        <f t="shared" si="1608"/>
        <v>-49.3</v>
      </c>
      <c r="AF547" s="26">
        <f t="shared" ref="AF547" si="1609">AF1461</f>
        <v>-23.599999999999994</v>
      </c>
      <c r="AG547" s="933">
        <f t="shared" si="1608"/>
        <v>-36.350000000000009</v>
      </c>
      <c r="AH547" s="18">
        <f>+AG547+AF547</f>
        <v>-59.95</v>
      </c>
      <c r="AI547" s="18">
        <f>AI1461</f>
        <v>-23.965949999999996</v>
      </c>
      <c r="AJ547" s="18">
        <f>AJ1461</f>
        <v>-36.916314999999997</v>
      </c>
      <c r="AK547" s="18">
        <f>+AJ547+AI547</f>
        <v>-60.88226499999999</v>
      </c>
      <c r="AL547" s="18">
        <f>AL1461</f>
        <v>-24.337489224999988</v>
      </c>
      <c r="AM547" s="18">
        <f t="shared" ref="AM547" si="1610">AM1461</f>
        <v>-37.491312357499993</v>
      </c>
      <c r="AN547" s="18">
        <f>+AM547+AL547</f>
        <v>-61.828801582499977</v>
      </c>
      <c r="AO547" s="18">
        <f>AO1461</f>
        <v>-24.93435638373748</v>
      </c>
      <c r="AP547" s="18">
        <f t="shared" ref="AP547" si="1611">AP1461</f>
        <v>-38.334068254191237</v>
      </c>
      <c r="AQ547" s="18">
        <f>+AP547+AO547</f>
        <v>-63.268424637928717</v>
      </c>
      <c r="AR547" s="18">
        <f>AR1461</f>
        <v>-25.428968169066852</v>
      </c>
      <c r="AS547" s="18">
        <f t="shared" ref="AS547" si="1612">AS1461</f>
        <v>-39.058436082337707</v>
      </c>
      <c r="AT547" s="18">
        <f>+AS547+AR547</f>
        <v>-64.487404251404556</v>
      </c>
      <c r="AU547" s="18">
        <f>AU1461</f>
        <v>-25.931211141218188</v>
      </c>
      <c r="AV547" s="18">
        <f t="shared" ref="AV547" si="1613">AV1461</f>
        <v>-39.793991249760907</v>
      </c>
      <c r="AW547" s="18">
        <f>+AV547+AU547</f>
        <v>-65.725202390979092</v>
      </c>
      <c r="AX547" s="18">
        <f>AX1461</f>
        <v>-26.441201391117083</v>
      </c>
      <c r="AY547" s="18">
        <f t="shared" ref="AY547" si="1614">AY1461</f>
        <v>-40.540904198895447</v>
      </c>
      <c r="AZ547" s="18">
        <f>+AY547+AX547</f>
        <v>-66.982105590012537</v>
      </c>
      <c r="BA547" s="18">
        <f>BA1461</f>
        <v>-26.959056767035726</v>
      </c>
      <c r="BB547" s="18">
        <f t="shared" ref="BB547" si="1615">BB1461</f>
        <v>-41.299347954842972</v>
      </c>
      <c r="BC547" s="18">
        <f>+BB547+BA547</f>
        <v>-68.258404721878691</v>
      </c>
      <c r="BD547" s="18">
        <f>BD1461</f>
        <v>-27.484896901112855</v>
      </c>
      <c r="BE547" s="18">
        <f t="shared" ref="BE547" si="1616">BE1461</f>
        <v>-42.06949816437232</v>
      </c>
      <c r="BF547" s="18">
        <f>+BE547+BD547</f>
        <v>-69.554395065485181</v>
      </c>
      <c r="BG547" s="18">
        <f>BG1461</f>
        <v>-28.018843236273018</v>
      </c>
      <c r="BH547" s="18">
        <f t="shared" ref="BH547" si="1617">BH1461</f>
        <v>-42.851533135507296</v>
      </c>
      <c r="BI547" s="18">
        <f>+BH547+BG547</f>
        <v>-70.87037637178031</v>
      </c>
      <c r="BJ547" s="18">
        <f>BJ1461</f>
        <v>-28.561019053551306</v>
      </c>
      <c r="BK547" s="18">
        <f t="shared" ref="BK547" si="1618">BK1461</f>
        <v>-43.6456338777109</v>
      </c>
      <c r="BL547" s="18">
        <f>+BK547+BJ547</f>
        <v>-72.206652931262198</v>
      </c>
      <c r="BM547" s="18">
        <f>BM1461</f>
        <v>-29.111549499829543</v>
      </c>
      <c r="BN547" s="18">
        <f t="shared" ref="BN547" si="1619">BN1461</f>
        <v>-44.451984142674917</v>
      </c>
      <c r="BO547" s="18">
        <f>+BN547+BM547</f>
        <v>-73.563533642504467</v>
      </c>
      <c r="BP547" s="18">
        <f>BP1461</f>
        <v>-29.670561615990156</v>
      </c>
      <c r="BQ547" s="18">
        <f t="shared" ref="BQ547" si="1620">BQ1461</f>
        <v>-45.270770465724127</v>
      </c>
      <c r="BR547" s="18">
        <f>+BQ547+BP547</f>
        <v>-74.941332081714279</v>
      </c>
    </row>
    <row r="548" spans="2:70" s="8" customFormat="1" outlineLevel="1">
      <c r="C548" s="441" t="s">
        <v>285</v>
      </c>
      <c r="D548" s="96" t="s">
        <v>58</v>
      </c>
      <c r="E548" s="96"/>
      <c r="F548" s="96"/>
      <c r="G548" s="96"/>
      <c r="H548" s="96"/>
      <c r="I548" s="96"/>
      <c r="J548" s="96"/>
      <c r="K548" s="96"/>
      <c r="L548" s="96"/>
      <c r="M548" s="96"/>
      <c r="N548" s="96"/>
      <c r="O548" s="96"/>
      <c r="T548" s="64">
        <f t="shared" ref="T548:AA548" si="1621">T545+T546+T547</f>
        <v>678.19999999999993</v>
      </c>
      <c r="U548" s="64">
        <f t="shared" si="1621"/>
        <v>779.99999999999989</v>
      </c>
      <c r="V548" s="64">
        <f t="shared" si="1621"/>
        <v>1458.1999999999998</v>
      </c>
      <c r="W548" s="64">
        <f t="shared" si="1621"/>
        <v>701.9</v>
      </c>
      <c r="X548" s="64">
        <f t="shared" si="1621"/>
        <v>706.7</v>
      </c>
      <c r="Y548" s="64">
        <f t="shared" si="1621"/>
        <v>1408.6000000000001</v>
      </c>
      <c r="Z548" s="64">
        <f t="shared" si="1621"/>
        <v>664.30000000000007</v>
      </c>
      <c r="AA548" s="64">
        <f t="shared" si="1621"/>
        <v>745</v>
      </c>
      <c r="AB548" s="64">
        <f t="shared" ref="AB548:AE548" si="1622">AB545+AB546+AB547</f>
        <v>1409.3</v>
      </c>
      <c r="AC548" s="64">
        <f t="shared" si="1622"/>
        <v>677.7</v>
      </c>
      <c r="AD548" s="64">
        <f t="shared" si="1622"/>
        <v>769.29999999999984</v>
      </c>
      <c r="AE548" s="341">
        <f t="shared" si="1622"/>
        <v>1447</v>
      </c>
      <c r="AF548" s="341">
        <f t="shared" ref="AF548" si="1623">AF545+AF546+AF547</f>
        <v>695.19999999999993</v>
      </c>
      <c r="AG548" s="934">
        <f t="shared" ref="AG548:BR548" si="1624">AG545+AG546+AG547</f>
        <v>819.59027651098722</v>
      </c>
      <c r="AH548" s="64">
        <f t="shared" si="1624"/>
        <v>1514.7902765109873</v>
      </c>
      <c r="AI548" s="64">
        <f t="shared" si="1624"/>
        <v>745.98614725021605</v>
      </c>
      <c r="AJ548" s="64">
        <f t="shared" si="1624"/>
        <v>872.16259252852728</v>
      </c>
      <c r="AK548" s="64">
        <f t="shared" si="1624"/>
        <v>1618.1487397787434</v>
      </c>
      <c r="AL548" s="64">
        <f t="shared" si="1624"/>
        <v>807.8244737239412</v>
      </c>
      <c r="AM548" s="64">
        <f t="shared" si="1624"/>
        <v>912.12807989072053</v>
      </c>
      <c r="AN548" s="64">
        <f t="shared" si="1624"/>
        <v>1719.9525536146616</v>
      </c>
      <c r="AO548" s="64">
        <f t="shared" si="1624"/>
        <v>828.57366000872219</v>
      </c>
      <c r="AP548" s="64">
        <f t="shared" si="1624"/>
        <v>936.38026465145936</v>
      </c>
      <c r="AQ548" s="64">
        <f t="shared" si="1624"/>
        <v>1764.9539246601814</v>
      </c>
      <c r="AR548" s="64">
        <f t="shared" si="1624"/>
        <v>841.48356815120212</v>
      </c>
      <c r="AS548" s="64">
        <f t="shared" si="1624"/>
        <v>951.29339003970426</v>
      </c>
      <c r="AT548" s="64">
        <f t="shared" si="1624"/>
        <v>1792.7769581909063</v>
      </c>
      <c r="AU548" s="64">
        <f t="shared" si="1624"/>
        <v>854.77652706539425</v>
      </c>
      <c r="AV548" s="64">
        <f t="shared" si="1624"/>
        <v>966.65002001719699</v>
      </c>
      <c r="AW548" s="64">
        <f t="shared" si="1624"/>
        <v>1821.4265470825912</v>
      </c>
      <c r="AX548" s="64">
        <f t="shared" si="1624"/>
        <v>868.46498535552189</v>
      </c>
      <c r="AY548" s="64">
        <f t="shared" si="1624"/>
        <v>982.46467762485895</v>
      </c>
      <c r="AZ548" s="64">
        <f t="shared" si="1624"/>
        <v>1850.9296629803807</v>
      </c>
      <c r="BA548" s="64">
        <f t="shared" si="1624"/>
        <v>882.56189029950724</v>
      </c>
      <c r="BB548" s="64">
        <f t="shared" si="1624"/>
        <v>998.75246337939052</v>
      </c>
      <c r="BC548" s="64">
        <f t="shared" si="1624"/>
        <v>1881.3143536788978</v>
      </c>
      <c r="BD548" s="64">
        <f t="shared" si="1624"/>
        <v>897.08070871964969</v>
      </c>
      <c r="BE548" s="64">
        <f t="shared" si="1624"/>
        <v>1015.5290793767515</v>
      </c>
      <c r="BF548" s="64">
        <f t="shared" si="1624"/>
        <v>1912.6097880964014</v>
      </c>
      <c r="BG548" s="64">
        <f t="shared" si="1624"/>
        <v>912.03544879247409</v>
      </c>
      <c r="BH548" s="64">
        <f t="shared" si="1624"/>
        <v>1032.8108544738482</v>
      </c>
      <c r="BI548" s="64">
        <f t="shared" si="1624"/>
        <v>1944.8463032663221</v>
      </c>
      <c r="BJ548" s="64">
        <f t="shared" si="1624"/>
        <v>927.44068284149739</v>
      </c>
      <c r="BK548" s="64">
        <f t="shared" si="1624"/>
        <v>1050.6147705984542</v>
      </c>
      <c r="BL548" s="64">
        <f t="shared" si="1624"/>
        <v>1978.0554534399519</v>
      </c>
      <c r="BM548" s="64">
        <f t="shared" si="1624"/>
        <v>943.31157115875965</v>
      </c>
      <c r="BN548" s="64">
        <f t="shared" si="1624"/>
        <v>1068.9584902398115</v>
      </c>
      <c r="BO548" s="64">
        <f t="shared" si="1624"/>
        <v>2012.2700613985712</v>
      </c>
      <c r="BP548" s="64">
        <f t="shared" si="1624"/>
        <v>959.66388690318445</v>
      </c>
      <c r="BQ548" s="64">
        <f t="shared" si="1624"/>
        <v>1087.860385174861</v>
      </c>
      <c r="BR548" s="64">
        <f t="shared" si="1624"/>
        <v>2047.5242720780457</v>
      </c>
    </row>
    <row r="549" spans="2:70" outlineLevel="1">
      <c r="C549" s="102" t="s">
        <v>65</v>
      </c>
      <c r="T549" s="18"/>
      <c r="U549" s="18"/>
      <c r="V549" s="18"/>
      <c r="W549" s="18"/>
      <c r="X549" s="18"/>
      <c r="Y549" s="18"/>
      <c r="Z549" s="18"/>
      <c r="AA549" s="18"/>
      <c r="AB549" s="18"/>
      <c r="AC549" s="18"/>
      <c r="AD549" s="18"/>
      <c r="AE549" s="26"/>
      <c r="AF549" s="26"/>
      <c r="AG549" s="933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8"/>
      <c r="BC549" s="18"/>
      <c r="BD549" s="18"/>
      <c r="BE549" s="18"/>
      <c r="BF549" s="18"/>
      <c r="BG549" s="18"/>
      <c r="BH549" s="18"/>
      <c r="BI549" s="18"/>
      <c r="BJ549" s="18"/>
      <c r="BK549" s="18"/>
      <c r="BL549" s="18"/>
      <c r="BM549" s="18"/>
      <c r="BN549" s="18"/>
      <c r="BO549" s="18"/>
      <c r="BP549" s="18"/>
      <c r="BQ549" s="18"/>
      <c r="BR549" s="18"/>
    </row>
    <row r="550" spans="2:70" outlineLevel="1">
      <c r="C550" s="83" t="s">
        <v>306</v>
      </c>
      <c r="D550" s="7" t="s">
        <v>58</v>
      </c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T550" s="18">
        <f t="shared" ref="T550:AA550" si="1625">T606</f>
        <v>-113.8</v>
      </c>
      <c r="U550" s="18">
        <f t="shared" si="1625"/>
        <v>-113.7</v>
      </c>
      <c r="V550" s="18">
        <f t="shared" si="1625"/>
        <v>-227.5</v>
      </c>
      <c r="W550" s="18">
        <f t="shared" si="1625"/>
        <v>-111.8</v>
      </c>
      <c r="X550" s="18">
        <f t="shared" si="1625"/>
        <v>-101.89999999999999</v>
      </c>
      <c r="Y550" s="18">
        <f t="shared" si="1625"/>
        <v>-213.7</v>
      </c>
      <c r="Z550" s="18">
        <f t="shared" si="1625"/>
        <v>-104</v>
      </c>
      <c r="AA550" s="18">
        <f t="shared" si="1625"/>
        <v>-105</v>
      </c>
      <c r="AB550" s="18">
        <f t="shared" ref="AB550:AG550" si="1626">AB606</f>
        <v>-209</v>
      </c>
      <c r="AC550" s="18">
        <f t="shared" si="1626"/>
        <v>-111.6</v>
      </c>
      <c r="AD550" s="18">
        <f t="shared" si="1626"/>
        <v>-108.30000000000001</v>
      </c>
      <c r="AE550" s="26">
        <f t="shared" si="1626"/>
        <v>-219.9</v>
      </c>
      <c r="AF550" s="26">
        <f t="shared" ref="AF550" si="1627">AF606</f>
        <v>-116.3</v>
      </c>
      <c r="AG550" s="933">
        <f t="shared" si="1626"/>
        <v>-119.80468500000011</v>
      </c>
      <c r="AH550" s="18">
        <f>+AG550+AF550</f>
        <v>-236.1046850000001</v>
      </c>
      <c r="AI550" s="18">
        <f>AI606</f>
        <v>-114.25726000000002</v>
      </c>
      <c r="AJ550" s="18">
        <f>AJ606</f>
        <v>-123.55553210000009</v>
      </c>
      <c r="AK550" s="18">
        <f>+AJ550+AI550</f>
        <v>-237.81279210000011</v>
      </c>
      <c r="AL550" s="18">
        <f>AL606</f>
        <v>-125.98235000000001</v>
      </c>
      <c r="AM550" s="18">
        <f>AM606</f>
        <v>-128.91641262500011</v>
      </c>
      <c r="AN550" s="18">
        <f>+AM550+AL550</f>
        <v>-254.89876262500013</v>
      </c>
      <c r="AO550" s="18">
        <f>AO606</f>
        <v>-127.24217350000001</v>
      </c>
      <c r="AP550" s="18">
        <f>AP606</f>
        <v>-130.20557675125013</v>
      </c>
      <c r="AQ550" s="18">
        <f>+AP550+AO550</f>
        <v>-257.44775025125011</v>
      </c>
      <c r="AR550" s="18">
        <f>AR606</f>
        <v>-128.514595235</v>
      </c>
      <c r="AS550" s="18">
        <f>AS606</f>
        <v>-131.50763251876262</v>
      </c>
      <c r="AT550" s="18">
        <f>+AS550+AR550</f>
        <v>-260.02222775376265</v>
      </c>
      <c r="AU550" s="18">
        <f>AU606</f>
        <v>-129.79974118735001</v>
      </c>
      <c r="AV550" s="18">
        <f>AV606</f>
        <v>-132.82270884395024</v>
      </c>
      <c r="AW550" s="18">
        <f>+AV550+AU550</f>
        <v>-262.62245003130022</v>
      </c>
      <c r="AX550" s="18">
        <f>AX606</f>
        <v>-131.0977385992235</v>
      </c>
      <c r="AY550" s="18">
        <f>AY606</f>
        <v>-134.15093593238973</v>
      </c>
      <c r="AZ550" s="18">
        <f>+AY550+AX550</f>
        <v>-265.24867453161323</v>
      </c>
      <c r="BA550" s="18">
        <f>BA606</f>
        <v>-132.40871598521574</v>
      </c>
      <c r="BB550" s="18">
        <f>BB606</f>
        <v>-135.49244529171364</v>
      </c>
      <c r="BC550" s="18">
        <f>+BB550+BA550</f>
        <v>-267.90116127692937</v>
      </c>
      <c r="BD550" s="18">
        <f>BD606</f>
        <v>-133.73280314506789</v>
      </c>
      <c r="BE550" s="18">
        <f>BE606</f>
        <v>-136.84736974463075</v>
      </c>
      <c r="BF550" s="18">
        <f>+BE550+BD550</f>
        <v>-270.58017288969864</v>
      </c>
      <c r="BG550" s="18">
        <f>BG606</f>
        <v>-135.0701311765186</v>
      </c>
      <c r="BH550" s="18">
        <f>BH606</f>
        <v>-138.21584344207707</v>
      </c>
      <c r="BI550" s="18">
        <f>+BH550+BG550</f>
        <v>-273.28597461859567</v>
      </c>
      <c r="BJ550" s="18">
        <f>BJ606</f>
        <v>-136.42083248828379</v>
      </c>
      <c r="BK550" s="18">
        <f>BK606</f>
        <v>-139.59800187649785</v>
      </c>
      <c r="BL550" s="18">
        <f>+BK550+BJ550</f>
        <v>-276.01883436478164</v>
      </c>
      <c r="BM550" s="18">
        <f>BM606</f>
        <v>-137.78504081316663</v>
      </c>
      <c r="BN550" s="18">
        <f>BN606</f>
        <v>-140.99398189526283</v>
      </c>
      <c r="BO550" s="18">
        <f>+BN550+BM550</f>
        <v>-278.77902270842947</v>
      </c>
      <c r="BP550" s="18">
        <f>BP606</f>
        <v>-139.16289122129828</v>
      </c>
      <c r="BQ550" s="18">
        <f>BQ606</f>
        <v>-142.40392171421547</v>
      </c>
      <c r="BR550" s="18">
        <f>+BQ550+BP550</f>
        <v>-281.56681293551378</v>
      </c>
    </row>
    <row r="551" spans="2:70" outlineLevel="1">
      <c r="C551" s="83" t="s">
        <v>307</v>
      </c>
      <c r="D551" s="7" t="s">
        <v>58</v>
      </c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T551" s="18">
        <f t="shared" ref="T551:AA551" si="1628">+T1170</f>
        <v>-71.3</v>
      </c>
      <c r="U551" s="18">
        <f t="shared" si="1628"/>
        <v>-73.500000000000014</v>
      </c>
      <c r="V551" s="18">
        <f t="shared" si="1628"/>
        <v>-144.80000000000001</v>
      </c>
      <c r="W551" s="18">
        <f t="shared" si="1628"/>
        <v>-68</v>
      </c>
      <c r="X551" s="18">
        <f t="shared" si="1628"/>
        <v>-65.099999999999994</v>
      </c>
      <c r="Y551" s="18">
        <f t="shared" si="1628"/>
        <v>-133.1</v>
      </c>
      <c r="Z551" s="18">
        <f t="shared" si="1628"/>
        <v>-66.5</v>
      </c>
      <c r="AA551" s="18">
        <f t="shared" si="1628"/>
        <v>-68.800000000000011</v>
      </c>
      <c r="AB551" s="18">
        <f t="shared" ref="AB551:AG551" si="1629">+AB1170</f>
        <v>-135.30000000000001</v>
      </c>
      <c r="AC551" s="18">
        <f t="shared" si="1629"/>
        <v>-65.5</v>
      </c>
      <c r="AD551" s="18">
        <f t="shared" si="1629"/>
        <v>-63.5</v>
      </c>
      <c r="AE551" s="26">
        <f t="shared" si="1629"/>
        <v>-129</v>
      </c>
      <c r="AF551" s="26">
        <f t="shared" ref="AF551" si="1630">+AF1170</f>
        <v>-62</v>
      </c>
      <c r="AG551" s="933">
        <f t="shared" si="1629"/>
        <v>-64.343333333333334</v>
      </c>
      <c r="AH551" s="18">
        <f>+AG551+AF551</f>
        <v>-126.34333333333333</v>
      </c>
      <c r="AI551" s="18">
        <f>+AI1170</f>
        <v>-62.62</v>
      </c>
      <c r="AJ551" s="18">
        <f>+AJ1170</f>
        <v>-64.986766666666668</v>
      </c>
      <c r="AK551" s="18">
        <f>+AJ551+AI551</f>
        <v>-127.60676666666666</v>
      </c>
      <c r="AL551" s="18">
        <f>+AL1170</f>
        <v>-63.246199999999995</v>
      </c>
      <c r="AM551" s="18">
        <f>+AM1170</f>
        <v>-65.636634333333333</v>
      </c>
      <c r="AN551" s="18">
        <f>+AM551+AL551</f>
        <v>-128.88283433333334</v>
      </c>
      <c r="AO551" s="18">
        <f>+AO1170</f>
        <v>-63.878661999999998</v>
      </c>
      <c r="AP551" s="18">
        <f>+AP1170</f>
        <v>-66.293000676666665</v>
      </c>
      <c r="AQ551" s="18">
        <f>+AP551+AO551</f>
        <v>-130.17166267666667</v>
      </c>
      <c r="AR551" s="18">
        <f>+AR1170</f>
        <v>-64.517448619999996</v>
      </c>
      <c r="AS551" s="18">
        <f>+AS1170</f>
        <v>-66.955930683433337</v>
      </c>
      <c r="AT551" s="18">
        <f>+AS551+AR551</f>
        <v>-131.47337930343332</v>
      </c>
      <c r="AU551" s="18">
        <f>+AU1170</f>
        <v>-65.162623106200002</v>
      </c>
      <c r="AV551" s="18">
        <f>+AV1170</f>
        <v>-67.625489990267667</v>
      </c>
      <c r="AW551" s="18">
        <f>+AV551+AU551</f>
        <v>-132.78811309646767</v>
      </c>
      <c r="AX551" s="18">
        <f>+AX1170</f>
        <v>-65.814249337261998</v>
      </c>
      <c r="AY551" s="18">
        <f>+AY1170</f>
        <v>-68.30174489017034</v>
      </c>
      <c r="AZ551" s="18">
        <f>+AY551+AX551</f>
        <v>-134.11599422743234</v>
      </c>
      <c r="BA551" s="18">
        <f>+BA1170</f>
        <v>-66.472391830634621</v>
      </c>
      <c r="BB551" s="18">
        <f>+BB1170</f>
        <v>-68.984762339072049</v>
      </c>
      <c r="BC551" s="18">
        <f>+BB551+BA551</f>
        <v>-135.45715416970666</v>
      </c>
      <c r="BD551" s="18">
        <f>+BD1170</f>
        <v>-67.137115748940971</v>
      </c>
      <c r="BE551" s="18">
        <f>+BE1170</f>
        <v>-69.674609962462767</v>
      </c>
      <c r="BF551" s="18">
        <f>+BE551+BD551</f>
        <v>-136.81172571140374</v>
      </c>
      <c r="BG551" s="18">
        <f>+BG1170</f>
        <v>-67.808486906430375</v>
      </c>
      <c r="BH551" s="18">
        <f>+BH1170</f>
        <v>-70.371356062087401</v>
      </c>
      <c r="BI551" s="18">
        <f>+BH551+BG551</f>
        <v>-138.17984296851779</v>
      </c>
      <c r="BJ551" s="18">
        <f>+BJ1170</f>
        <v>-68.486571775494681</v>
      </c>
      <c r="BK551" s="18">
        <f>+BK1170</f>
        <v>-71.07506962270827</v>
      </c>
      <c r="BL551" s="18">
        <f>+BK551+BJ551</f>
        <v>-139.56164139820294</v>
      </c>
      <c r="BM551" s="18">
        <f>+BM1170</f>
        <v>-69.171437493249627</v>
      </c>
      <c r="BN551" s="18">
        <f>+BN1170</f>
        <v>-71.78582031893535</v>
      </c>
      <c r="BO551" s="18">
        <f>+BN551+BM551</f>
        <v>-140.95725781218499</v>
      </c>
      <c r="BP551" s="18">
        <f>+BP1170</f>
        <v>-69.863151868182129</v>
      </c>
      <c r="BQ551" s="18">
        <f>+BQ1170</f>
        <v>-72.503678522124702</v>
      </c>
      <c r="BR551" s="18">
        <f>+BQ551+BP551</f>
        <v>-142.36683039030683</v>
      </c>
    </row>
    <row r="552" spans="2:70" outlineLevel="1">
      <c r="C552" s="83" t="s">
        <v>308</v>
      </c>
      <c r="D552" s="7" t="s">
        <v>58</v>
      </c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T552" s="18">
        <f t="shared" ref="T552:AA552" si="1631">T1462</f>
        <v>-1.4</v>
      </c>
      <c r="U552" s="18">
        <f t="shared" si="1631"/>
        <v>-2.2000000000000002</v>
      </c>
      <c r="V552" s="18">
        <f t="shared" si="1631"/>
        <v>-3.6</v>
      </c>
      <c r="W552" s="18">
        <f t="shared" si="1631"/>
        <v>-3.3</v>
      </c>
      <c r="X552" s="18">
        <f t="shared" si="1631"/>
        <v>-5.2</v>
      </c>
      <c r="Y552" s="18">
        <f t="shared" si="1631"/>
        <v>-8.5</v>
      </c>
      <c r="Z552" s="18">
        <f t="shared" si="1631"/>
        <v>-4.8</v>
      </c>
      <c r="AA552" s="18">
        <f t="shared" si="1631"/>
        <v>-4.8999999999999995</v>
      </c>
      <c r="AB552" s="18">
        <f t="shared" ref="AB552:AG552" si="1632">AB1462</f>
        <v>-9.6999999999999993</v>
      </c>
      <c r="AC552" s="18">
        <f t="shared" si="1632"/>
        <v>-4.9000000000000004</v>
      </c>
      <c r="AD552" s="18">
        <f t="shared" si="1632"/>
        <v>-5</v>
      </c>
      <c r="AE552" s="26">
        <f t="shared" si="1632"/>
        <v>-9.9</v>
      </c>
      <c r="AF552" s="26">
        <f t="shared" ref="AF552" si="1633">AF1462</f>
        <v>-3.1</v>
      </c>
      <c r="AG552" s="933">
        <f t="shared" si="1632"/>
        <v>-5.05</v>
      </c>
      <c r="AH552" s="18">
        <f>+AG552+AF552</f>
        <v>-8.15</v>
      </c>
      <c r="AI552" s="18">
        <f>AI1462</f>
        <v>-3.1310000000000002</v>
      </c>
      <c r="AJ552" s="18">
        <f>AJ1462</f>
        <v>-5.1005000000000003</v>
      </c>
      <c r="AK552" s="18">
        <f>+AJ552+AI552</f>
        <v>-8.2315000000000005</v>
      </c>
      <c r="AL552" s="18">
        <f>AL1462</f>
        <v>-3.1623100000000002</v>
      </c>
      <c r="AM552" s="18">
        <f>AM1462</f>
        <v>-5.1515050000000002</v>
      </c>
      <c r="AN552" s="18">
        <f>+AM552+AL552</f>
        <v>-8.313815</v>
      </c>
      <c r="AO552" s="18">
        <f>AO1462</f>
        <v>-3.1939331000000002</v>
      </c>
      <c r="AP552" s="18">
        <f>AP1462</f>
        <v>-5.2030200500000001</v>
      </c>
      <c r="AQ552" s="18">
        <f>+AP552+AO552</f>
        <v>-8.3969531499999999</v>
      </c>
      <c r="AR552" s="18">
        <f>AR1462</f>
        <v>-3.2258724310000004</v>
      </c>
      <c r="AS552" s="18">
        <f>AS1462</f>
        <v>-5.2550502505000001</v>
      </c>
      <c r="AT552" s="18">
        <f>+AS552+AR552</f>
        <v>-8.4809226815000009</v>
      </c>
      <c r="AU552" s="18">
        <f>AU1462</f>
        <v>-3.2581311553100005</v>
      </c>
      <c r="AV552" s="18">
        <f>AV1462</f>
        <v>-5.3076007530050004</v>
      </c>
      <c r="AW552" s="18">
        <f>+AV552+AU552</f>
        <v>-8.5657319083150014</v>
      </c>
      <c r="AX552" s="18">
        <f>AX1462</f>
        <v>-3.2907124668631007</v>
      </c>
      <c r="AY552" s="18">
        <f>AY1462</f>
        <v>-5.3606767605350507</v>
      </c>
      <c r="AZ552" s="18">
        <f>+AY552+AX552</f>
        <v>-8.6513892273981519</v>
      </c>
      <c r="BA552" s="18">
        <f>BA1462</f>
        <v>-3.3236195915317319</v>
      </c>
      <c r="BB552" s="18">
        <f>BB1462</f>
        <v>-5.4142835281404009</v>
      </c>
      <c r="BC552" s="18">
        <f>+BB552+BA552</f>
        <v>-8.7379031196721328</v>
      </c>
      <c r="BD552" s="18">
        <f>BD1462</f>
        <v>-3.3568557874470493</v>
      </c>
      <c r="BE552" s="18">
        <f>BE1462</f>
        <v>-5.4684263634218047</v>
      </c>
      <c r="BF552" s="18">
        <f>+BE552+BD552</f>
        <v>-8.8252821508688548</v>
      </c>
      <c r="BG552" s="18">
        <f>BG1462</f>
        <v>-3.3904243453215197</v>
      </c>
      <c r="BH552" s="18">
        <f>BH1462</f>
        <v>-5.5231106270560231</v>
      </c>
      <c r="BI552" s="18">
        <f>+BH552+BG552</f>
        <v>-8.9135349723775423</v>
      </c>
      <c r="BJ552" s="18">
        <f>BJ1462</f>
        <v>-3.4243285887747348</v>
      </c>
      <c r="BK552" s="18">
        <f>BK1462</f>
        <v>-5.5783417333265835</v>
      </c>
      <c r="BL552" s="18">
        <f>+BK552+BJ552</f>
        <v>-9.0026703221013182</v>
      </c>
      <c r="BM552" s="18">
        <f>BM1462</f>
        <v>-3.4585718746624821</v>
      </c>
      <c r="BN552" s="18">
        <f>BN1462</f>
        <v>-5.6341251506598491</v>
      </c>
      <c r="BO552" s="18">
        <f>+BN552+BM552</f>
        <v>-9.0926970253223303</v>
      </c>
      <c r="BP552" s="18">
        <f>BP1462</f>
        <v>-3.4931575934091068</v>
      </c>
      <c r="BQ552" s="18">
        <f>BQ1462</f>
        <v>-5.6904664021664475</v>
      </c>
      <c r="BR552" s="18">
        <f>+BQ552+BP552</f>
        <v>-9.1836239955755552</v>
      </c>
    </row>
    <row r="553" spans="2:70" s="8" customFormat="1" outlineLevel="1">
      <c r="C553" s="441" t="s">
        <v>285</v>
      </c>
      <c r="D553" s="96" t="s">
        <v>58</v>
      </c>
      <c r="E553" s="96"/>
      <c r="F553" s="96"/>
      <c r="G553" s="96"/>
      <c r="H553" s="96"/>
      <c r="I553" s="96"/>
      <c r="J553" s="96"/>
      <c r="K553" s="96"/>
      <c r="L553" s="96"/>
      <c r="M553" s="96"/>
      <c r="N553" s="96"/>
      <c r="O553" s="96"/>
      <c r="T553" s="64">
        <f t="shared" ref="T553:AA553" si="1634">T550+T551+T552</f>
        <v>-186.5</v>
      </c>
      <c r="U553" s="64">
        <f t="shared" si="1634"/>
        <v>-189.4</v>
      </c>
      <c r="V553" s="64">
        <f t="shared" si="1634"/>
        <v>-375.90000000000003</v>
      </c>
      <c r="W553" s="64">
        <f t="shared" si="1634"/>
        <v>-183.10000000000002</v>
      </c>
      <c r="X553" s="64">
        <f t="shared" si="1634"/>
        <v>-172.2</v>
      </c>
      <c r="Y553" s="64">
        <f t="shared" si="1634"/>
        <v>-355.29999999999995</v>
      </c>
      <c r="Z553" s="64">
        <f t="shared" si="1634"/>
        <v>-175.3</v>
      </c>
      <c r="AA553" s="64">
        <f t="shared" si="1634"/>
        <v>-178.70000000000002</v>
      </c>
      <c r="AB553" s="64">
        <f t="shared" ref="AB553:AM553" si="1635">AB550+AB551+AB552</f>
        <v>-354</v>
      </c>
      <c r="AC553" s="64">
        <f t="shared" si="1635"/>
        <v>-182</v>
      </c>
      <c r="AD553" s="64">
        <f t="shared" si="1635"/>
        <v>-176.8</v>
      </c>
      <c r="AE553" s="341">
        <f t="shared" si="1635"/>
        <v>-358.79999999999995</v>
      </c>
      <c r="AF553" s="341">
        <f t="shared" ref="AF553" si="1636">AF550+AF551+AF552</f>
        <v>-181.4</v>
      </c>
      <c r="AG553" s="934">
        <f t="shared" si="1635"/>
        <v>-189.19801833333344</v>
      </c>
      <c r="AH553" s="64">
        <f>AH550+AH551+AH552</f>
        <v>-370.59801833333341</v>
      </c>
      <c r="AI553" s="64">
        <f>AI550+AI551+AI552</f>
        <v>-180.00826000000001</v>
      </c>
      <c r="AJ553" s="64">
        <f t="shared" si="1635"/>
        <v>-193.64279876666677</v>
      </c>
      <c r="AK553" s="64">
        <f>AK550+AK551+AK552</f>
        <v>-373.65105876666678</v>
      </c>
      <c r="AL553" s="64">
        <f>AL550+AL551+AL552</f>
        <v>-192.39086</v>
      </c>
      <c r="AM553" s="64">
        <f t="shared" si="1635"/>
        <v>-199.70455195833341</v>
      </c>
      <c r="AN553" s="64">
        <f>AN550+AN551+AN552</f>
        <v>-392.09541195833344</v>
      </c>
      <c r="AO553" s="64">
        <f>AO550+AO551+AO552</f>
        <v>-194.31476860000001</v>
      </c>
      <c r="AP553" s="64">
        <f t="shared" ref="AP553" si="1637">AP550+AP551+AP552</f>
        <v>-201.70159747791681</v>
      </c>
      <c r="AQ553" s="64">
        <f>AQ550+AQ551+AQ552</f>
        <v>-396.01636607791676</v>
      </c>
      <c r="AR553" s="64">
        <f>AR550+AR551+AR552</f>
        <v>-196.25791628599998</v>
      </c>
      <c r="AS553" s="64">
        <f t="shared" ref="AS553" si="1638">AS550+AS551+AS552</f>
        <v>-203.71861345269596</v>
      </c>
      <c r="AT553" s="64">
        <f>AT550+AT551+AT552</f>
        <v>-399.97652973869594</v>
      </c>
      <c r="AU553" s="64">
        <f>AU550+AU551+AU552</f>
        <v>-198.22049544886002</v>
      </c>
      <c r="AV553" s="64">
        <f t="shared" ref="AV553" si="1639">AV550+AV551+AV552</f>
        <v>-205.75579958722292</v>
      </c>
      <c r="AW553" s="64">
        <f>AW550+AW551+AW552</f>
        <v>-403.97629503608289</v>
      </c>
      <c r="AX553" s="64">
        <f>AX550+AX551+AX552</f>
        <v>-200.20270040334862</v>
      </c>
      <c r="AY553" s="64">
        <f t="shared" ref="AY553" si="1640">AY550+AY551+AY552</f>
        <v>-207.81335758309513</v>
      </c>
      <c r="AZ553" s="64">
        <f>AZ550+AZ551+AZ552</f>
        <v>-408.01605798644374</v>
      </c>
      <c r="BA553" s="64">
        <f>BA550+BA551+BA552</f>
        <v>-202.20472740738208</v>
      </c>
      <c r="BB553" s="64">
        <f t="shared" ref="BB553" si="1641">BB550+BB551+BB552</f>
        <v>-209.8914911589261</v>
      </c>
      <c r="BC553" s="64">
        <f>BC550+BC551+BC552</f>
        <v>-412.09621856630815</v>
      </c>
      <c r="BD553" s="64">
        <f>BD550+BD551+BD552</f>
        <v>-204.22677468145591</v>
      </c>
      <c r="BE553" s="64">
        <f t="shared" ref="BE553" si="1642">BE550+BE551+BE552</f>
        <v>-211.99040607051532</v>
      </c>
      <c r="BF553" s="64">
        <f>BF550+BF551+BF552</f>
        <v>-416.21718075197128</v>
      </c>
      <c r="BG553" s="64">
        <f>BG550+BG551+BG552</f>
        <v>-206.2690424282705</v>
      </c>
      <c r="BH553" s="64">
        <f t="shared" ref="BH553" si="1643">BH550+BH551+BH552</f>
        <v>-214.11031013122047</v>
      </c>
      <c r="BI553" s="64">
        <f>BI550+BI551+BI552</f>
        <v>-420.379352559491</v>
      </c>
      <c r="BJ553" s="64">
        <f>BJ550+BJ551+BJ552</f>
        <v>-208.33173285255319</v>
      </c>
      <c r="BK553" s="64">
        <f t="shared" ref="BK553" si="1644">BK550+BK551+BK552</f>
        <v>-216.25141323253271</v>
      </c>
      <c r="BL553" s="64">
        <f>BL550+BL551+BL552</f>
        <v>-424.5831460850859</v>
      </c>
      <c r="BM553" s="64">
        <f>BM550+BM551+BM552</f>
        <v>-210.41505018107875</v>
      </c>
      <c r="BN553" s="64">
        <f t="shared" ref="BN553" si="1645">BN550+BN551+BN552</f>
        <v>-218.41392736485804</v>
      </c>
      <c r="BO553" s="64">
        <f>BO550+BO551+BO552</f>
        <v>-428.82897754593677</v>
      </c>
      <c r="BP553" s="64">
        <f>BP550+BP551+BP552</f>
        <v>-212.51920068288953</v>
      </c>
      <c r="BQ553" s="64">
        <f t="shared" ref="BQ553" si="1646">BQ550+BQ551+BQ552</f>
        <v>-220.59806663850659</v>
      </c>
      <c r="BR553" s="64">
        <f>BR550+BR551+BR552</f>
        <v>-433.11726732139618</v>
      </c>
    </row>
    <row r="554" spans="2:70" outlineLevel="1">
      <c r="C554" s="102" t="s">
        <v>57</v>
      </c>
      <c r="T554" s="18"/>
      <c r="U554" s="18"/>
      <c r="V554" s="18"/>
      <c r="W554" s="18"/>
      <c r="X554" s="18"/>
      <c r="Y554" s="18"/>
      <c r="Z554" s="18"/>
      <c r="AA554" s="18"/>
      <c r="AB554" s="18"/>
      <c r="AC554" s="18"/>
      <c r="AD554" s="18"/>
      <c r="AE554" s="26"/>
      <c r="AF554" s="26"/>
      <c r="AG554" s="933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8"/>
      <c r="BC554" s="18"/>
      <c r="BD554" s="18"/>
      <c r="BE554" s="18"/>
      <c r="BF554" s="18"/>
      <c r="BG554" s="18"/>
      <c r="BH554" s="18"/>
      <c r="BI554" s="18"/>
      <c r="BJ554" s="18"/>
      <c r="BK554" s="18"/>
      <c r="BL554" s="18"/>
      <c r="BM554" s="18"/>
      <c r="BN554" s="18"/>
      <c r="BO554" s="18"/>
      <c r="BP554" s="18"/>
      <c r="BQ554" s="18"/>
      <c r="BR554" s="18"/>
    </row>
    <row r="555" spans="2:70" outlineLevel="1">
      <c r="C555" s="83" t="s">
        <v>306</v>
      </c>
      <c r="D555" s="7" t="s">
        <v>58</v>
      </c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T555" s="18">
        <f t="shared" ref="T555:AA555" si="1647">T545+T550</f>
        <v>388</v>
      </c>
      <c r="U555" s="18">
        <f t="shared" si="1647"/>
        <v>434.59999999999997</v>
      </c>
      <c r="V555" s="18">
        <f t="shared" si="1647"/>
        <v>822.59999999999991</v>
      </c>
      <c r="W555" s="18">
        <f t="shared" si="1647"/>
        <v>396.59999999999997</v>
      </c>
      <c r="X555" s="18">
        <f t="shared" si="1647"/>
        <v>376.10000000000014</v>
      </c>
      <c r="Y555" s="18">
        <f t="shared" si="1647"/>
        <v>772.7</v>
      </c>
      <c r="Z555" s="18">
        <f t="shared" si="1647"/>
        <v>354.2</v>
      </c>
      <c r="AA555" s="18">
        <f t="shared" si="1647"/>
        <v>401.7</v>
      </c>
      <c r="AB555" s="18">
        <f t="shared" ref="AB555:AC557" si="1648">AB545+AB550</f>
        <v>755.9</v>
      </c>
      <c r="AC555" s="18">
        <f t="shared" si="1648"/>
        <v>373</v>
      </c>
      <c r="AD555" s="18">
        <f>AD545+AD550</f>
        <v>431.69999999999987</v>
      </c>
      <c r="AE555" s="26">
        <f>AE545+AE550</f>
        <v>804.69999999999993</v>
      </c>
      <c r="AF555" s="26">
        <f t="shared" ref="AF555" si="1649">AF545+AF550</f>
        <v>396.8</v>
      </c>
      <c r="AG555" s="933">
        <f>AG545+AG550</f>
        <v>470.08451136105242</v>
      </c>
      <c r="AH555" s="18">
        <f>+AG555+AF555</f>
        <v>866.88451136105243</v>
      </c>
      <c r="AI555" s="18">
        <f>AI545+AI550</f>
        <v>434.42836897880642</v>
      </c>
      <c r="AJ555" s="18">
        <f>AJ545+AJ550</f>
        <v>505.44814283434704</v>
      </c>
      <c r="AK555" s="18">
        <f>+AJ555+AI555</f>
        <v>939.87651181315346</v>
      </c>
      <c r="AL555" s="18">
        <f>AL545+AL550</f>
        <v>475.1711881115375</v>
      </c>
      <c r="AM555" s="18">
        <f>AM545+AM550</f>
        <v>531.73380918474197</v>
      </c>
      <c r="AN555" s="18">
        <f>+AM555+AL555</f>
        <v>1006.9049972962795</v>
      </c>
      <c r="AO555" s="18">
        <f>AO545+AO550</f>
        <v>488.93292767313324</v>
      </c>
      <c r="AP555" s="18">
        <f>AP545+AP550</f>
        <v>548.83938905721175</v>
      </c>
      <c r="AQ555" s="18">
        <f>+AP555+AO555</f>
        <v>1037.772316730345</v>
      </c>
      <c r="AR555" s="18">
        <f>AR545+AR550</f>
        <v>497.13665201566937</v>
      </c>
      <c r="AS555" s="18">
        <f>AS545+AS550</f>
        <v>558.30628589272203</v>
      </c>
      <c r="AT555" s="18">
        <f>+AS555+AR555</f>
        <v>1055.4429379083913</v>
      </c>
      <c r="AU555" s="18">
        <f>AU545+AU550</f>
        <v>505.61263132997669</v>
      </c>
      <c r="AV555" s="18">
        <f>AV545+AV550</f>
        <v>568.07991014780259</v>
      </c>
      <c r="AW555" s="18">
        <f>+AV555+AU555</f>
        <v>1073.6925414777793</v>
      </c>
      <c r="AX555" s="18">
        <f>AX545+AX550</f>
        <v>514.37013347666789</v>
      </c>
      <c r="AY555" s="18">
        <f>AY545+AY550</f>
        <v>578.17080500710085</v>
      </c>
      <c r="AZ555" s="18">
        <f>+AY555+AX555</f>
        <v>1092.5409384837687</v>
      </c>
      <c r="BA555" s="18">
        <f>BA545+BA550</f>
        <v>523.41882423586833</v>
      </c>
      <c r="BB555" s="18">
        <f>BB545+BB550</f>
        <v>588.58996415573165</v>
      </c>
      <c r="BC555" s="18">
        <f>+BB555+BA555</f>
        <v>1112.0087883915999</v>
      </c>
      <c r="BD555" s="18">
        <f>BD545+BD550</f>
        <v>532.76878488690807</v>
      </c>
      <c r="BE555" s="18">
        <f>BE545+BE550</f>
        <v>599.3488517384925</v>
      </c>
      <c r="BF555" s="18">
        <f>+BE555+BD555</f>
        <v>1132.1176366254006</v>
      </c>
      <c r="BG555" s="18">
        <f>BG545+BG550</f>
        <v>542.43053061869159</v>
      </c>
      <c r="BH555" s="18">
        <f>BH545+BH550</f>
        <v>610.45942326161958</v>
      </c>
      <c r="BI555" s="18">
        <f>+BH555+BG555</f>
        <v>1152.8899538803112</v>
      </c>
      <c r="BJ555" s="18">
        <f>BJ545+BJ550</f>
        <v>552.41502981090684</v>
      </c>
      <c r="BK555" s="18">
        <f>BK545+BK550</f>
        <v>621.93414748266639</v>
      </c>
      <c r="BL555" s="18">
        <f>+BK555+BJ555</f>
        <v>1174.3491772935731</v>
      </c>
      <c r="BM555" s="18">
        <f>BM545+BM550</f>
        <v>562.73372422821581</v>
      </c>
      <c r="BN555" s="18">
        <f>BN545+BN550</f>
        <v>633.78602933634147</v>
      </c>
      <c r="BO555" s="18">
        <f>+BN555+BM555</f>
        <v>1196.5197535645573</v>
      </c>
      <c r="BP555" s="18">
        <f>BP545+BP550</f>
        <v>573.39855017166064</v>
      </c>
      <c r="BQ555" s="18">
        <f>BQ545+BQ550</f>
        <v>646.02863394651831</v>
      </c>
      <c r="BR555" s="18">
        <f>+BQ555+BP555</f>
        <v>1219.427184118179</v>
      </c>
    </row>
    <row r="556" spans="2:70" outlineLevel="1">
      <c r="C556" s="83" t="s">
        <v>307</v>
      </c>
      <c r="D556" s="7" t="s">
        <v>58</v>
      </c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T556" s="18">
        <f t="shared" ref="T556:AA556" si="1650">T546+T551</f>
        <v>128.30000000000001</v>
      </c>
      <c r="U556" s="18">
        <f t="shared" si="1650"/>
        <v>169.89999999999998</v>
      </c>
      <c r="V556" s="18">
        <f t="shared" si="1650"/>
        <v>298.2</v>
      </c>
      <c r="W556" s="18">
        <f t="shared" si="1650"/>
        <v>139.1</v>
      </c>
      <c r="X556" s="18">
        <f t="shared" si="1650"/>
        <v>182.2</v>
      </c>
      <c r="Y556" s="18">
        <f t="shared" si="1650"/>
        <v>321.29999999999995</v>
      </c>
      <c r="Z556" s="18">
        <f t="shared" si="1650"/>
        <v>153.5</v>
      </c>
      <c r="AA556" s="18">
        <f t="shared" si="1650"/>
        <v>199</v>
      </c>
      <c r="AB556" s="18">
        <f t="shared" si="1648"/>
        <v>352.5</v>
      </c>
      <c r="AC556" s="18">
        <f t="shared" si="1648"/>
        <v>143.5</v>
      </c>
      <c r="AD556" s="18">
        <f t="shared" ref="AD556:AM557" si="1651">AD546+AD551</f>
        <v>199.2</v>
      </c>
      <c r="AE556" s="26">
        <f t="shared" si="1651"/>
        <v>342.7</v>
      </c>
      <c r="AF556" s="26">
        <f t="shared" si="1651"/>
        <v>143.69999999999999</v>
      </c>
      <c r="AG556" s="933">
        <f t="shared" si="1651"/>
        <v>201.70774681660137</v>
      </c>
      <c r="AH556" s="18">
        <f>+AG556+AF556</f>
        <v>345.40774681660139</v>
      </c>
      <c r="AI556" s="18">
        <f t="shared" si="1651"/>
        <v>158.64646827140959</v>
      </c>
      <c r="AJ556" s="18">
        <f t="shared" si="1651"/>
        <v>215.08846592751343</v>
      </c>
      <c r="AK556" s="18">
        <f>+AJ556+AI556</f>
        <v>373.73493419892304</v>
      </c>
      <c r="AL556" s="18">
        <f t="shared" si="1651"/>
        <v>167.76222483740372</v>
      </c>
      <c r="AM556" s="18">
        <f t="shared" si="1651"/>
        <v>223.33253610514498</v>
      </c>
      <c r="AN556" s="18">
        <f>+AM556+AL556</f>
        <v>391.0947609425487</v>
      </c>
      <c r="AO556" s="18">
        <f t="shared" ref="AO556:AP556" si="1652">AO546+AO551</f>
        <v>173.4542532193264</v>
      </c>
      <c r="AP556" s="18">
        <f t="shared" si="1652"/>
        <v>229.376366420522</v>
      </c>
      <c r="AQ556" s="18">
        <f>+AP556+AO556</f>
        <v>402.83061963984841</v>
      </c>
      <c r="AR556" s="18">
        <f t="shared" ref="AR556:AS556" si="1653">AR546+AR551</f>
        <v>176.74384044959959</v>
      </c>
      <c r="AS556" s="18">
        <f t="shared" si="1653"/>
        <v>233.58197702712397</v>
      </c>
      <c r="AT556" s="18">
        <f>+AS556+AR556</f>
        <v>410.32581747672356</v>
      </c>
      <c r="AU556" s="18">
        <f t="shared" ref="AU556:AV556" si="1654">AU546+AU551</f>
        <v>180.13274258308576</v>
      </c>
      <c r="AV556" s="18">
        <f t="shared" si="1654"/>
        <v>237.91590228493749</v>
      </c>
      <c r="AW556" s="18">
        <f>+AV556+AU556</f>
        <v>418.04864486802325</v>
      </c>
      <c r="AX556" s="18">
        <f t="shared" ref="AX556:AY556" si="1655">AX546+AX551</f>
        <v>183.62406533348559</v>
      </c>
      <c r="AY556" s="18">
        <f t="shared" si="1655"/>
        <v>242.38209599409342</v>
      </c>
      <c r="AZ556" s="18">
        <f>+AY556+AX556</f>
        <v>426.00616132757898</v>
      </c>
      <c r="BA556" s="18">
        <f t="shared" ref="BA556:BB556" si="1656">BA546+BA551</f>
        <v>187.2210150148243</v>
      </c>
      <c r="BB556" s="18">
        <f t="shared" si="1656"/>
        <v>246.98463954771597</v>
      </c>
      <c r="BC556" s="18">
        <f>+BB556+BA556</f>
        <v>434.2056545625403</v>
      </c>
      <c r="BD556" s="18">
        <f t="shared" ref="BD556:BE556" si="1657">BD546+BD551</f>
        <v>190.92690183984558</v>
      </c>
      <c r="BE556" s="18">
        <f t="shared" si="1657"/>
        <v>251.72774609553781</v>
      </c>
      <c r="BF556" s="18">
        <f>+BE556+BD556</f>
        <v>442.65464793538342</v>
      </c>
      <c r="BG556" s="18">
        <f t="shared" ref="BG556:BH556" si="1658">BG546+BG551</f>
        <v>194.74514332710649</v>
      </c>
      <c r="BH556" s="18">
        <f t="shared" si="1658"/>
        <v>256.61576484357118</v>
      </c>
      <c r="BI556" s="18">
        <f>+BH556+BG556</f>
        <v>451.3609081706777</v>
      </c>
      <c r="BJ556" s="18">
        <f t="shared" ref="BJ556:BK556" si="1659">BJ546+BJ551</f>
        <v>198.67926782036324</v>
      </c>
      <c r="BK556" s="18">
        <f t="shared" si="1659"/>
        <v>261.65318549429253</v>
      </c>
      <c r="BL556" s="18">
        <f>+BK556+BJ556</f>
        <v>460.33245331465577</v>
      </c>
      <c r="BM556" s="18">
        <f t="shared" ref="BM556:BN556" si="1660">BM546+BM551</f>
        <v>202.73291812395701</v>
      </c>
      <c r="BN556" s="18">
        <f t="shared" si="1660"/>
        <v>266.84464283194683</v>
      </c>
      <c r="BO556" s="18">
        <f>+BN556+BM556</f>
        <v>469.57756095590383</v>
      </c>
      <c r="BP556" s="18">
        <f t="shared" ref="BP556:BQ556" si="1661">BP546+BP551</f>
        <v>206.90985525803353</v>
      </c>
      <c r="BQ556" s="18">
        <f t="shared" si="1661"/>
        <v>272.19492145772671</v>
      </c>
      <c r="BR556" s="18">
        <f>+BQ556+BP556</f>
        <v>479.10477671576024</v>
      </c>
    </row>
    <row r="557" spans="2:70" outlineLevel="1">
      <c r="C557" s="83" t="s">
        <v>308</v>
      </c>
      <c r="D557" s="7" t="s">
        <v>58</v>
      </c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T557" s="18">
        <f t="shared" ref="T557:AA557" si="1662">T547+T552</f>
        <v>-24.6</v>
      </c>
      <c r="U557" s="18">
        <f t="shared" si="1662"/>
        <v>-13.900000000000002</v>
      </c>
      <c r="V557" s="18">
        <f t="shared" si="1662"/>
        <v>-38.5</v>
      </c>
      <c r="W557" s="18">
        <f t="shared" si="1662"/>
        <v>-16.899999999999999</v>
      </c>
      <c r="X557" s="18">
        <f t="shared" si="1662"/>
        <v>-23.8</v>
      </c>
      <c r="Y557" s="18">
        <f t="shared" si="1662"/>
        <v>-40.700000000000003</v>
      </c>
      <c r="Z557" s="18">
        <f t="shared" si="1662"/>
        <v>-18.7</v>
      </c>
      <c r="AA557" s="18">
        <f t="shared" si="1662"/>
        <v>-34.4</v>
      </c>
      <c r="AB557" s="18">
        <f t="shared" si="1648"/>
        <v>-53.099999999999994</v>
      </c>
      <c r="AC557" s="18">
        <f t="shared" si="1648"/>
        <v>-20.799999999999997</v>
      </c>
      <c r="AD557" s="18">
        <f t="shared" si="1651"/>
        <v>-38.400000000000006</v>
      </c>
      <c r="AE557" s="26">
        <f t="shared" si="1651"/>
        <v>-59.199999999999996</v>
      </c>
      <c r="AF557" s="26">
        <f t="shared" si="1651"/>
        <v>-26.699999999999996</v>
      </c>
      <c r="AG557" s="933">
        <f>AG1471</f>
        <v>-41.400000000000006</v>
      </c>
      <c r="AH557" s="18">
        <f>+AG557+AF557</f>
        <v>-68.099999999999994</v>
      </c>
      <c r="AI557" s="18">
        <f>AI1471</f>
        <v>-27.096949999999996</v>
      </c>
      <c r="AJ557" s="18">
        <f>AJ1471</f>
        <v>-42.016815000000001</v>
      </c>
      <c r="AK557" s="18">
        <f>+AJ557+AI557</f>
        <v>-69.113765000000001</v>
      </c>
      <c r="AL557" s="18">
        <f>AL1471</f>
        <v>-27.49979922499999</v>
      </c>
      <c r="AM557" s="18">
        <f>AM1471</f>
        <v>-42.642817357499993</v>
      </c>
      <c r="AN557" s="18">
        <f>+AM557+AL557</f>
        <v>-70.142616582499983</v>
      </c>
      <c r="AO557" s="18">
        <f>AO1471</f>
        <v>-28.128289483737483</v>
      </c>
      <c r="AP557" s="18">
        <f>AP1471</f>
        <v>-43.537088304191236</v>
      </c>
      <c r="AQ557" s="18">
        <f>+AP557+AO557</f>
        <v>-71.665377787928719</v>
      </c>
      <c r="AR557" s="18">
        <f>AR1471</f>
        <v>-28.654840600066851</v>
      </c>
      <c r="AS557" s="18">
        <f>AS1471</f>
        <v>-44.313486332837705</v>
      </c>
      <c r="AT557" s="18">
        <f>+AS557+AR557</f>
        <v>-72.96832693290456</v>
      </c>
      <c r="AU557" s="18">
        <f>AU1471</f>
        <v>-29.189342296528192</v>
      </c>
      <c r="AV557" s="18">
        <f>AV1471</f>
        <v>-45.101592002765905</v>
      </c>
      <c r="AW557" s="18">
        <f>+AV557+AU557</f>
        <v>-74.290934299294094</v>
      </c>
      <c r="AX557" s="18">
        <f>AX1471</f>
        <v>-29.731913857980182</v>
      </c>
      <c r="AY557" s="18">
        <f>AY1471</f>
        <v>-45.901580959430497</v>
      </c>
      <c r="AZ557" s="18">
        <f>+AY557+AX557</f>
        <v>-75.633494817410678</v>
      </c>
      <c r="BA557" s="18">
        <f>BA1471</f>
        <v>-30.282676358567457</v>
      </c>
      <c r="BB557" s="18">
        <f>BB1471</f>
        <v>-46.713631482983374</v>
      </c>
      <c r="BC557" s="18">
        <f>+BB557+BA557</f>
        <v>-76.996307841550831</v>
      </c>
      <c r="BD557" s="18">
        <f>BD1471</f>
        <v>-30.8417526885599</v>
      </c>
      <c r="BE557" s="18">
        <f>BE1471</f>
        <v>-47.537924527794125</v>
      </c>
      <c r="BF557" s="18">
        <f>+BE557+BD557</f>
        <v>-78.379677216354025</v>
      </c>
      <c r="BG557" s="18">
        <f>BG1471</f>
        <v>-31.409267581594538</v>
      </c>
      <c r="BH557" s="18">
        <f>BH1471</f>
        <v>-48.374643762563323</v>
      </c>
      <c r="BI557" s="18">
        <f>+BH557+BG557</f>
        <v>-79.783911344157858</v>
      </c>
      <c r="BJ557" s="18">
        <f>BJ1471</f>
        <v>-31.98534764232604</v>
      </c>
      <c r="BK557" s="18">
        <f>BK1471</f>
        <v>-49.223975611037481</v>
      </c>
      <c r="BL557" s="18">
        <f>+BK557+BJ557</f>
        <v>-81.209323253363522</v>
      </c>
      <c r="BM557" s="18">
        <f>BM1471</f>
        <v>-32.570121374492025</v>
      </c>
      <c r="BN557" s="18">
        <f>BN1471</f>
        <v>-50.086109293334772</v>
      </c>
      <c r="BO557" s="18">
        <f>+BN557+BM557</f>
        <v>-82.656230667826804</v>
      </c>
      <c r="BP557" s="18">
        <f>BP1471</f>
        <v>-33.163719209399261</v>
      </c>
      <c r="BQ557" s="18">
        <f>BQ1471</f>
        <v>-50.961236867890577</v>
      </c>
      <c r="BR557" s="18">
        <f>+BQ557+BP557</f>
        <v>-84.124956077289838</v>
      </c>
    </row>
    <row r="558" spans="2:70" s="8" customFormat="1" outlineLevel="1">
      <c r="C558" s="441" t="s">
        <v>285</v>
      </c>
      <c r="D558" s="96" t="s">
        <v>58</v>
      </c>
      <c r="E558" s="96"/>
      <c r="F558" s="96"/>
      <c r="G558" s="96"/>
      <c r="H558" s="96"/>
      <c r="I558" s="96"/>
      <c r="J558" s="96"/>
      <c r="K558" s="96"/>
      <c r="L558" s="96"/>
      <c r="M558" s="96"/>
      <c r="N558" s="96"/>
      <c r="O558" s="96"/>
      <c r="T558" s="64">
        <f t="shared" ref="T558:AA558" si="1663">T555+T556+T557</f>
        <v>491.69999999999993</v>
      </c>
      <c r="U558" s="64">
        <f t="shared" si="1663"/>
        <v>590.6</v>
      </c>
      <c r="V558" s="64">
        <f t="shared" si="1663"/>
        <v>1082.3</v>
      </c>
      <c r="W558" s="64">
        <f t="shared" si="1663"/>
        <v>518.79999999999995</v>
      </c>
      <c r="X558" s="64">
        <f t="shared" si="1663"/>
        <v>534.50000000000023</v>
      </c>
      <c r="Y558" s="64">
        <f t="shared" si="1663"/>
        <v>1053.3</v>
      </c>
      <c r="Z558" s="64">
        <f t="shared" si="1663"/>
        <v>489</v>
      </c>
      <c r="AA558" s="64">
        <f t="shared" si="1663"/>
        <v>566.30000000000007</v>
      </c>
      <c r="AB558" s="64">
        <f t="shared" ref="AB558:AE558" si="1664">AB555+AB556+AB557</f>
        <v>1055.3000000000002</v>
      </c>
      <c r="AC558" s="64">
        <f t="shared" si="1664"/>
        <v>495.7</v>
      </c>
      <c r="AD558" s="64">
        <f t="shared" si="1664"/>
        <v>592.49999999999989</v>
      </c>
      <c r="AE558" s="341">
        <f t="shared" si="1664"/>
        <v>1088.1999999999998</v>
      </c>
      <c r="AF558" s="341">
        <f t="shared" ref="AF558" si="1665">AF555+AF556+AF557</f>
        <v>513.79999999999995</v>
      </c>
      <c r="AG558" s="934">
        <f t="shared" ref="AG558:BR558" si="1666">AG555+AG556+AG557</f>
        <v>630.39225817765384</v>
      </c>
      <c r="AH558" s="64">
        <f t="shared" si="1666"/>
        <v>1144.1922581776539</v>
      </c>
      <c r="AI558" s="64">
        <f t="shared" si="1666"/>
        <v>565.97788725021599</v>
      </c>
      <c r="AJ558" s="64">
        <f t="shared" si="1666"/>
        <v>678.51979376186046</v>
      </c>
      <c r="AK558" s="64">
        <f t="shared" si="1666"/>
        <v>1244.4976810120766</v>
      </c>
      <c r="AL558" s="64">
        <f t="shared" si="1666"/>
        <v>615.43361372394122</v>
      </c>
      <c r="AM558" s="64">
        <f t="shared" si="1666"/>
        <v>712.42352793238695</v>
      </c>
      <c r="AN558" s="64">
        <f t="shared" si="1666"/>
        <v>1327.8571416563282</v>
      </c>
      <c r="AO558" s="64">
        <f t="shared" si="1666"/>
        <v>634.25889140872209</v>
      </c>
      <c r="AP558" s="64">
        <f t="shared" si="1666"/>
        <v>734.67866717354252</v>
      </c>
      <c r="AQ558" s="64">
        <f t="shared" si="1666"/>
        <v>1368.9375585822647</v>
      </c>
      <c r="AR558" s="64">
        <f t="shared" si="1666"/>
        <v>645.22565186520205</v>
      </c>
      <c r="AS558" s="64">
        <f t="shared" si="1666"/>
        <v>747.57477658700839</v>
      </c>
      <c r="AT558" s="64">
        <f t="shared" si="1666"/>
        <v>1392.8004284522103</v>
      </c>
      <c r="AU558" s="64">
        <f t="shared" si="1666"/>
        <v>656.55603161653426</v>
      </c>
      <c r="AV558" s="64">
        <f t="shared" si="1666"/>
        <v>760.89422042997421</v>
      </c>
      <c r="AW558" s="64">
        <f t="shared" si="1666"/>
        <v>1417.4502520465085</v>
      </c>
      <c r="AX558" s="64">
        <f t="shared" si="1666"/>
        <v>668.26228495217322</v>
      </c>
      <c r="AY558" s="64">
        <f t="shared" si="1666"/>
        <v>774.65132004176382</v>
      </c>
      <c r="AZ558" s="64">
        <f t="shared" si="1666"/>
        <v>1442.913604993937</v>
      </c>
      <c r="BA558" s="64">
        <f t="shared" si="1666"/>
        <v>680.35716289212519</v>
      </c>
      <c r="BB558" s="64">
        <f t="shared" si="1666"/>
        <v>788.86097222046419</v>
      </c>
      <c r="BC558" s="64">
        <f t="shared" si="1666"/>
        <v>1469.2181351125894</v>
      </c>
      <c r="BD558" s="64">
        <f t="shared" si="1666"/>
        <v>692.85393403819364</v>
      </c>
      <c r="BE558" s="64">
        <f t="shared" si="1666"/>
        <v>803.53867330623621</v>
      </c>
      <c r="BF558" s="64">
        <f t="shared" si="1666"/>
        <v>1496.39260734443</v>
      </c>
      <c r="BG558" s="64">
        <f t="shared" si="1666"/>
        <v>705.76640636420348</v>
      </c>
      <c r="BH558" s="64">
        <f t="shared" si="1666"/>
        <v>818.7005443426275</v>
      </c>
      <c r="BI558" s="64">
        <f t="shared" si="1666"/>
        <v>1524.4669507068311</v>
      </c>
      <c r="BJ558" s="64">
        <f t="shared" si="1666"/>
        <v>719.10894998894412</v>
      </c>
      <c r="BK558" s="64">
        <f t="shared" si="1666"/>
        <v>834.36335736592139</v>
      </c>
      <c r="BL558" s="64">
        <f t="shared" si="1666"/>
        <v>1553.4723073548655</v>
      </c>
      <c r="BM558" s="64">
        <f t="shared" si="1666"/>
        <v>732.89652097768078</v>
      </c>
      <c r="BN558" s="64">
        <f t="shared" si="1666"/>
        <v>850.54456287495361</v>
      </c>
      <c r="BO558" s="64">
        <f t="shared" si="1666"/>
        <v>1583.4410838526344</v>
      </c>
      <c r="BP558" s="64">
        <f t="shared" si="1666"/>
        <v>747.14468622029494</v>
      </c>
      <c r="BQ558" s="64">
        <f t="shared" si="1666"/>
        <v>867.26231853635443</v>
      </c>
      <c r="BR558" s="64">
        <f t="shared" si="1666"/>
        <v>1614.4070047566493</v>
      </c>
    </row>
    <row r="559" spans="2:70" s="8" customFormat="1" outlineLevel="1">
      <c r="C559" s="82" t="s">
        <v>569</v>
      </c>
      <c r="D559" s="96"/>
      <c r="E559" s="96"/>
      <c r="F559" s="96"/>
      <c r="G559" s="96"/>
      <c r="H559" s="96"/>
      <c r="I559" s="96"/>
      <c r="J559" s="96"/>
      <c r="K559" s="96"/>
      <c r="L559" s="96"/>
      <c r="M559" s="96"/>
      <c r="N559" s="96"/>
      <c r="O559" s="96"/>
      <c r="T559" s="64"/>
      <c r="U559" s="64"/>
      <c r="V559" s="64"/>
      <c r="W559" s="64"/>
      <c r="X559" s="64"/>
      <c r="Y559" s="64"/>
      <c r="Z559" s="64"/>
      <c r="AA559" s="64"/>
      <c r="AB559" s="64"/>
      <c r="AC559" s="64"/>
      <c r="AD559" s="64"/>
      <c r="AE559" s="341"/>
      <c r="AF559" s="341"/>
      <c r="AG559" s="934"/>
      <c r="AH559" s="64"/>
      <c r="AI559" s="64"/>
      <c r="AJ559" s="64"/>
      <c r="AK559" s="64"/>
      <c r="AL559" s="64"/>
      <c r="AM559" s="64"/>
      <c r="AN559" s="64"/>
      <c r="AO559" s="64"/>
      <c r="AP559" s="64"/>
      <c r="AQ559" s="64"/>
      <c r="AR559" s="64"/>
      <c r="AS559" s="64"/>
      <c r="AT559" s="64"/>
      <c r="AU559" s="64"/>
      <c r="AV559" s="64"/>
      <c r="AW559" s="64"/>
      <c r="AX559" s="64"/>
      <c r="AY559" s="64"/>
      <c r="AZ559" s="64"/>
      <c r="BA559" s="64"/>
      <c r="BB559" s="64"/>
      <c r="BC559" s="64"/>
      <c r="BD559" s="64"/>
      <c r="BE559" s="64"/>
      <c r="BF559" s="64"/>
      <c r="BG559" s="64"/>
      <c r="BH559" s="64"/>
      <c r="BI559" s="64"/>
      <c r="BJ559" s="64"/>
      <c r="BK559" s="64"/>
      <c r="BL559" s="64"/>
      <c r="BM559" s="64"/>
      <c r="BN559" s="64"/>
      <c r="BO559" s="64"/>
      <c r="BP559" s="64"/>
      <c r="BQ559" s="64"/>
      <c r="BR559" s="64"/>
    </row>
    <row r="560" spans="2:70" s="8" customFormat="1" outlineLevel="1">
      <c r="C560" s="83" t="s">
        <v>306</v>
      </c>
      <c r="D560" s="7" t="s">
        <v>66</v>
      </c>
      <c r="E560" s="96"/>
      <c r="F560" s="96"/>
      <c r="G560" s="96"/>
      <c r="H560" s="96"/>
      <c r="I560" s="96"/>
      <c r="J560" s="96"/>
      <c r="K560" s="96"/>
      <c r="L560" s="96"/>
      <c r="M560" s="96"/>
      <c r="N560" s="96"/>
      <c r="O560" s="96"/>
      <c r="T560" s="64"/>
      <c r="U560" s="64"/>
      <c r="V560" s="64"/>
      <c r="W560" s="423">
        <f>+W555/T555-1</f>
        <v>2.2164948453608169E-2</v>
      </c>
      <c r="X560" s="423">
        <f t="shared" ref="X560:AF563" si="1667">+X555/U555-1</f>
        <v>-0.13460653474459239</v>
      </c>
      <c r="Y560" s="423">
        <f t="shared" si="1667"/>
        <v>-6.0661317772914947E-2</v>
      </c>
      <c r="Z560" s="423">
        <f t="shared" si="1667"/>
        <v>-0.10690872415532016</v>
      </c>
      <c r="AA560" s="423">
        <f t="shared" si="1667"/>
        <v>6.8067003456527164E-2</v>
      </c>
      <c r="AB560" s="423">
        <f t="shared" si="1667"/>
        <v>-2.174194383331185E-2</v>
      </c>
      <c r="AC560" s="423">
        <f t="shared" si="1667"/>
        <v>5.3077357425183491E-2</v>
      </c>
      <c r="AD560" s="423">
        <f t="shared" si="1667"/>
        <v>7.4682598954443291E-2</v>
      </c>
      <c r="AE560" s="798">
        <f t="shared" si="1667"/>
        <v>6.4558804074613008E-2</v>
      </c>
      <c r="AF560" s="798">
        <f t="shared" si="1667"/>
        <v>6.3806970509383332E-2</v>
      </c>
      <c r="AG560" s="987">
        <f t="shared" ref="AG560:BR560" si="1668">+AG555/AD555-1</f>
        <v>8.8914781934335219E-2</v>
      </c>
      <c r="AH560" s="690">
        <f t="shared" si="1668"/>
        <v>7.7276638947499032E-2</v>
      </c>
      <c r="AI560" s="423">
        <f t="shared" si="1668"/>
        <v>9.4829558918362977E-2</v>
      </c>
      <c r="AJ560" s="423">
        <f t="shared" si="1668"/>
        <v>7.5228242196078821E-2</v>
      </c>
      <c r="AK560" s="423">
        <f t="shared" si="1668"/>
        <v>8.4200374439150849E-2</v>
      </c>
      <c r="AL560" s="423">
        <f t="shared" si="1668"/>
        <v>9.3784895375280453E-2</v>
      </c>
      <c r="AM560" s="423">
        <f t="shared" si="1668"/>
        <v>5.2004674906896753E-2</v>
      </c>
      <c r="AN560" s="454">
        <f t="shared" si="1668"/>
        <v>7.131626829764981E-2</v>
      </c>
      <c r="AO560" s="423">
        <f t="shared" si="1668"/>
        <v>2.896164562562964E-2</v>
      </c>
      <c r="AP560" s="423">
        <f t="shared" si="1668"/>
        <v>3.2169441884269512E-2</v>
      </c>
      <c r="AQ560" s="454">
        <f t="shared" si="1668"/>
        <v>3.0655642306821163E-2</v>
      </c>
      <c r="AR560" s="423">
        <f t="shared" si="1668"/>
        <v>1.6778833819964367E-2</v>
      </c>
      <c r="AS560" s="423">
        <f t="shared" si="1668"/>
        <v>1.7248938440392214E-2</v>
      </c>
      <c r="AT560" s="454">
        <f t="shared" si="1668"/>
        <v>1.7027454763603789E-2</v>
      </c>
      <c r="AU560" s="423">
        <f t="shared" si="1668"/>
        <v>1.7049596484067342E-2</v>
      </c>
      <c r="AV560" s="423">
        <f t="shared" si="1668"/>
        <v>1.7505846704650052E-2</v>
      </c>
      <c r="AW560" s="454">
        <f t="shared" si="1668"/>
        <v>1.7290942896026174E-2</v>
      </c>
      <c r="AX560" s="423">
        <f t="shared" si="1668"/>
        <v>1.7320576275270616E-2</v>
      </c>
      <c r="AY560" s="423">
        <f t="shared" si="1668"/>
        <v>1.7763160919865628E-2</v>
      </c>
      <c r="AZ560" s="454">
        <f t="shared" si="1668"/>
        <v>1.7554743353294988E-2</v>
      </c>
      <c r="BA560" s="423">
        <f t="shared" si="1668"/>
        <v>1.7591788811764042E-2</v>
      </c>
      <c r="BB560" s="423">
        <f t="shared" si="1668"/>
        <v>1.8020901537051603E-2</v>
      </c>
      <c r="BC560" s="454">
        <f t="shared" si="1668"/>
        <v>1.7818874535583618E-2</v>
      </c>
      <c r="BD560" s="423">
        <f t="shared" si="1668"/>
        <v>1.7863248737165049E-2</v>
      </c>
      <c r="BE560" s="423">
        <f t="shared" si="1668"/>
        <v>1.8279087714642372E-2</v>
      </c>
      <c r="BF560" s="454">
        <f t="shared" si="1668"/>
        <v>1.8083353696229265E-2</v>
      </c>
      <c r="BG560" s="423">
        <f t="shared" si="1668"/>
        <v>1.8134969626335096E-2</v>
      </c>
      <c r="BH560" s="423">
        <f t="shared" si="1668"/>
        <v>1.8537737230828633E-2</v>
      </c>
      <c r="BI560" s="454">
        <f t="shared" si="1668"/>
        <v>1.8348196850663356E-2</v>
      </c>
      <c r="BJ560" s="423">
        <f t="shared" si="1668"/>
        <v>1.8406963894209705E-2</v>
      </c>
      <c r="BK560" s="423">
        <f t="shared" si="1668"/>
        <v>1.8796866398979706E-2</v>
      </c>
      <c r="BL560" s="454">
        <f t="shared" si="1668"/>
        <v>1.8613418688432581E-2</v>
      </c>
      <c r="BM560" s="423">
        <f t="shared" si="1668"/>
        <v>1.8679242707862365E-2</v>
      </c>
      <c r="BN560" s="423">
        <f t="shared" si="1668"/>
        <v>1.9056489986354119E-2</v>
      </c>
      <c r="BO560" s="454">
        <f t="shared" si="1668"/>
        <v>1.8879032488513303E-2</v>
      </c>
      <c r="BP560" s="423">
        <f t="shared" si="1668"/>
        <v>1.8951815902044089E-2</v>
      </c>
      <c r="BQ560" s="423">
        <f t="shared" si="1668"/>
        <v>1.9316621136310719E-2</v>
      </c>
      <c r="BR560" s="454">
        <f t="shared" si="1668"/>
        <v>1.9145050038144484E-2</v>
      </c>
    </row>
    <row r="561" spans="2:70" s="8" customFormat="1" outlineLevel="1">
      <c r="C561" s="83" t="s">
        <v>307</v>
      </c>
      <c r="D561" s="7" t="s">
        <v>66</v>
      </c>
      <c r="E561" s="96"/>
      <c r="F561" s="96"/>
      <c r="G561" s="96"/>
      <c r="H561" s="96"/>
      <c r="I561" s="96"/>
      <c r="J561" s="96"/>
      <c r="K561" s="96"/>
      <c r="L561" s="96"/>
      <c r="M561" s="96"/>
      <c r="N561" s="96"/>
      <c r="O561" s="96"/>
      <c r="T561" s="64"/>
      <c r="U561" s="64"/>
      <c r="V561" s="64"/>
      <c r="W561" s="423">
        <f>+W556/T556-1</f>
        <v>8.4177708495712933E-2</v>
      </c>
      <c r="X561" s="423">
        <f t="shared" ref="X561:X562" si="1669">+X556/U556-1</f>
        <v>7.2395526780459241E-2</v>
      </c>
      <c r="Y561" s="423">
        <f t="shared" ref="Y561:Y562" si="1670">+Y556/V556-1</f>
        <v>7.7464788732394263E-2</v>
      </c>
      <c r="Z561" s="423">
        <f t="shared" ref="Z561:Z562" si="1671">+Z556/W556-1</f>
        <v>0.10352264557872037</v>
      </c>
      <c r="AA561" s="423">
        <f t="shared" ref="AA561:AA562" si="1672">+AA556/X556-1</f>
        <v>9.2206366630076975E-2</v>
      </c>
      <c r="AB561" s="423">
        <f t="shared" ref="AB561:AB562" si="1673">+AB556/Y556-1</f>
        <v>9.7105508870214852E-2</v>
      </c>
      <c r="AC561" s="423">
        <f t="shared" ref="AC561:AC562" si="1674">+AC556/Z556-1</f>
        <v>-6.514657980456029E-2</v>
      </c>
      <c r="AD561" s="423">
        <f t="shared" ref="AD561:AD562" si="1675">+AD556/AA556-1</f>
        <v>1.0050251256281673E-3</v>
      </c>
      <c r="AE561" s="798">
        <f t="shared" ref="AE561:AE562" si="1676">+AE556/AB556-1</f>
        <v>-2.7801418439716397E-2</v>
      </c>
      <c r="AF561" s="798">
        <f t="shared" si="1667"/>
        <v>1.3937282229963266E-3</v>
      </c>
      <c r="AG561" s="987">
        <f t="shared" ref="AG561:AG562" si="1677">+AG556/AD556-1</f>
        <v>1.2589090444786066E-2</v>
      </c>
      <c r="AH561" s="423">
        <f t="shared" ref="AH561:AH562" si="1678">+AH556/AE556-1</f>
        <v>7.9012162725455859E-3</v>
      </c>
      <c r="AI561" s="423">
        <f t="shared" ref="AI561:AI562" si="1679">+AI556/AF556-1</f>
        <v>0.10401160940438126</v>
      </c>
      <c r="AJ561" s="423">
        <f t="shared" ref="AJ561:AJ562" si="1680">+AJ556/AG556-1</f>
        <v>6.6337160183927768E-2</v>
      </c>
      <c r="AK561" s="423">
        <f t="shared" ref="AK561:AK562" si="1681">+AK556/AH556-1</f>
        <v>8.2010862939221552E-2</v>
      </c>
      <c r="AL561" s="423">
        <f t="shared" ref="AL561:AL562" si="1682">+AL556/AI556-1</f>
        <v>5.7459561913468127E-2</v>
      </c>
      <c r="AM561" s="423">
        <f t="shared" ref="AM561:AM562" si="1683">+AM556/AJ556-1</f>
        <v>3.8328741348733653E-2</v>
      </c>
      <c r="AN561" s="423">
        <f t="shared" ref="AN561:AN562" si="1684">+AN556/AK556-1</f>
        <v>4.6449569347418285E-2</v>
      </c>
      <c r="AO561" s="423">
        <f t="shared" ref="AO561:AO562" si="1685">+AO556/AL556-1</f>
        <v>3.3929142197770989E-2</v>
      </c>
      <c r="AP561" s="423">
        <f t="shared" ref="AP561:AP562" si="1686">+AP556/AM556-1</f>
        <v>2.7062023387992129E-2</v>
      </c>
      <c r="AQ561" s="423">
        <f t="shared" ref="AQ561:AQ562" si="1687">+AQ556/AN556-1</f>
        <v>3.0007711351121014E-2</v>
      </c>
      <c r="AR561" s="423">
        <f t="shared" ref="AR561:AR562" si="1688">+AR556/AO556-1</f>
        <v>1.8965157493795459E-2</v>
      </c>
      <c r="AS561" s="423">
        <f t="shared" ref="AS561:AS562" si="1689">+AS556/AP556-1</f>
        <v>1.8334977889098214E-2</v>
      </c>
      <c r="AT561" s="423">
        <f t="shared" ref="AT561:AT562" si="1690">+AT556/AQ556-1</f>
        <v>1.8606326012596153E-2</v>
      </c>
      <c r="AU561" s="423">
        <f t="shared" ref="AU561:AU562" si="1691">+AU556/AR556-1</f>
        <v>1.9174089036797515E-2</v>
      </c>
      <c r="AV561" s="423">
        <f t="shared" ref="AV561:AV562" si="1692">+AV556/AS556-1</f>
        <v>1.8554193748048675E-2</v>
      </c>
      <c r="AW561" s="423">
        <f t="shared" ref="AW561:AW562" si="1693">+AW556/AT556-1</f>
        <v>1.8821207592519595E-2</v>
      </c>
      <c r="AX561" s="423">
        <f t="shared" ref="AX561:AX562" si="1694">+AX556/AU556-1</f>
        <v>1.9381944117069505E-2</v>
      </c>
      <c r="AY561" s="423">
        <f t="shared" ref="AY561:AY562" si="1695">+AY556/AV556-1</f>
        <v>1.8772152959355637E-2</v>
      </c>
      <c r="AZ561" s="423">
        <f t="shared" ref="AZ561:AZ562" si="1696">+AZ556/AW556-1</f>
        <v>1.903490552413567E-2</v>
      </c>
      <c r="BA561" s="423">
        <f t="shared" ref="BA561:BA562" si="1697">+BA556/AX556-1</f>
        <v>1.9588661621265047E-2</v>
      </c>
      <c r="BB561" s="423">
        <f t="shared" ref="BB561:BB562" si="1698">+BB556/AY556-1</f>
        <v>1.8988793436849782E-2</v>
      </c>
      <c r="BC561" s="423">
        <f t="shared" ref="BC561:BC562" si="1699">+BC556/AZ556-1</f>
        <v>1.9247358323196462E-2</v>
      </c>
      <c r="BD561" s="423">
        <f t="shared" ref="BD561:BD562" si="1700">+BD556/BA556-1</f>
        <v>1.9794181891001017E-2</v>
      </c>
      <c r="BE561" s="423">
        <f t="shared" ref="BE561:BE562" si="1701">+BE556/BB556-1</f>
        <v>1.9204054780522117E-2</v>
      </c>
      <c r="BF561" s="423">
        <f t="shared" ref="BF561:BF562" si="1702">+BF556/BC556-1</f>
        <v>1.9458506088216199E-2</v>
      </c>
      <c r="BG561" s="423">
        <f t="shared" ref="BG561:BG562" si="1703">+BG556/BD556-1</f>
        <v>1.9998446790194802E-2</v>
      </c>
      <c r="BH561" s="423">
        <f t="shared" ref="BH561:BH562" si="1704">+BH556/BE556-1</f>
        <v>1.9417878338203742E-2</v>
      </c>
      <c r="BI561" s="423">
        <f t="shared" ref="BI561:BI562" si="1705">+BI556/BF556-1</f>
        <v>1.966829056444297E-2</v>
      </c>
      <c r="BJ561" s="423">
        <f t="shared" ref="BJ561:BJ562" si="1706">+BJ556/BG556-1</f>
        <v>2.0201399768150941E-2</v>
      </c>
      <c r="BK561" s="423">
        <f t="shared" ref="BK561:BK562" si="1707">+BK556/BH556-1</f>
        <v>1.9630207262566479E-2</v>
      </c>
      <c r="BL561" s="423">
        <f t="shared" ref="BL561:BL562" si="1708">+BL556/BI556-1</f>
        <v>1.9876655203346916E-2</v>
      </c>
      <c r="BM561" s="423">
        <f t="shared" ref="BM561:BM562" si="1709">+BM556/BJ556-1</f>
        <v>2.0402985918283711E-2</v>
      </c>
      <c r="BN561" s="423">
        <f t="shared" ref="BN561:BN562" si="1710">+BN556/BK556-1</f>
        <v>1.9840986563366414E-2</v>
      </c>
      <c r="BO561" s="423">
        <f t="shared" ref="BO561:BO562" si="1711">+BO556/BL556-1</f>
        <v>2.0083545217544518E-2</v>
      </c>
      <c r="BP561" s="423">
        <f t="shared" ref="BP561:BP562" si="1712">+BP556/BM556-1</f>
        <v>2.0603152032382832E-2</v>
      </c>
      <c r="BQ561" s="423">
        <f t="shared" ref="BQ561:BQ562" si="1713">+BQ556/BN556-1</f>
        <v>2.0050163154856193E-2</v>
      </c>
      <c r="BR561" s="423">
        <f t="shared" ref="BR561:BR562" si="1714">+BR556/BO556-1</f>
        <v>2.0288907631067721E-2</v>
      </c>
    </row>
    <row r="562" spans="2:70" s="8" customFormat="1" outlineLevel="1">
      <c r="C562" s="83" t="s">
        <v>308</v>
      </c>
      <c r="D562" s="7" t="s">
        <v>66</v>
      </c>
      <c r="E562" s="96"/>
      <c r="F562" s="96"/>
      <c r="G562" s="96"/>
      <c r="H562" s="96"/>
      <c r="I562" s="96"/>
      <c r="J562" s="96"/>
      <c r="K562" s="96"/>
      <c r="L562" s="96"/>
      <c r="M562" s="96"/>
      <c r="N562" s="96"/>
      <c r="O562" s="96"/>
      <c r="T562" s="64"/>
      <c r="U562" s="64"/>
      <c r="V562" s="64"/>
      <c r="W562" s="423">
        <f>+W557/T557-1</f>
        <v>-0.31300813008130091</v>
      </c>
      <c r="X562" s="423">
        <f t="shared" si="1669"/>
        <v>0.71223021582733792</v>
      </c>
      <c r="Y562" s="423">
        <f t="shared" si="1670"/>
        <v>5.7142857142857162E-2</v>
      </c>
      <c r="Z562" s="423">
        <f t="shared" si="1671"/>
        <v>0.10650887573964507</v>
      </c>
      <c r="AA562" s="423">
        <f t="shared" si="1672"/>
        <v>0.44537815126050417</v>
      </c>
      <c r="AB562" s="423">
        <f t="shared" si="1673"/>
        <v>0.30466830466830452</v>
      </c>
      <c r="AC562" s="423">
        <f t="shared" si="1674"/>
        <v>0.11229946524064149</v>
      </c>
      <c r="AD562" s="423">
        <f t="shared" si="1675"/>
        <v>0.11627906976744207</v>
      </c>
      <c r="AE562" s="798">
        <f t="shared" si="1676"/>
        <v>0.11487758945386073</v>
      </c>
      <c r="AF562" s="798">
        <f t="shared" si="1667"/>
        <v>0.28365384615384603</v>
      </c>
      <c r="AG562" s="987">
        <f t="shared" si="1677"/>
        <v>7.8125E-2</v>
      </c>
      <c r="AH562" s="423">
        <f t="shared" si="1678"/>
        <v>0.15033783783783772</v>
      </c>
      <c r="AI562" s="423">
        <f t="shared" si="1679"/>
        <v>1.4867041198501907E-2</v>
      </c>
      <c r="AJ562" s="423">
        <f t="shared" si="1680"/>
        <v>1.4898913043478235E-2</v>
      </c>
      <c r="AK562" s="423">
        <f t="shared" si="1681"/>
        <v>1.4886417033773913E-2</v>
      </c>
      <c r="AL562" s="423">
        <f t="shared" si="1682"/>
        <v>1.4866958273901387E-2</v>
      </c>
      <c r="AM562" s="423">
        <f t="shared" si="1683"/>
        <v>1.4898853173425763E-2</v>
      </c>
      <c r="AN562" s="423">
        <f t="shared" si="1684"/>
        <v>1.4886348363455371E-2</v>
      </c>
      <c r="AO562" s="423">
        <f t="shared" si="1685"/>
        <v>2.2854358084408721E-2</v>
      </c>
      <c r="AP562" s="423">
        <f t="shared" si="1686"/>
        <v>2.0971197545275766E-2</v>
      </c>
      <c r="AQ562" s="423">
        <f t="shared" si="1687"/>
        <v>2.1709501008387644E-2</v>
      </c>
      <c r="AR562" s="423">
        <f t="shared" si="1688"/>
        <v>1.8719628032618063E-2</v>
      </c>
      <c r="AS562" s="423">
        <f t="shared" si="1689"/>
        <v>1.783302602190151E-2</v>
      </c>
      <c r="AT562" s="423">
        <f t="shared" si="1690"/>
        <v>1.818101271762651E-2</v>
      </c>
      <c r="AU562" s="423">
        <f t="shared" si="1691"/>
        <v>1.865310311515378E-2</v>
      </c>
      <c r="AV562" s="423">
        <f t="shared" si="1692"/>
        <v>1.7784781454764254E-2</v>
      </c>
      <c r="AW562" s="423">
        <f t="shared" si="1693"/>
        <v>1.8125773496296516E-2</v>
      </c>
      <c r="AX562" s="423">
        <f t="shared" si="1694"/>
        <v>1.8588002290018224E-2</v>
      </c>
      <c r="AY562" s="423">
        <f t="shared" si="1695"/>
        <v>1.7737488215837871E-2</v>
      </c>
      <c r="AZ562" s="423">
        <f t="shared" si="1696"/>
        <v>1.8071660166607106E-2</v>
      </c>
      <c r="BA562" s="423">
        <f t="shared" si="1697"/>
        <v>1.8524286839323167E-2</v>
      </c>
      <c r="BB562" s="423">
        <f t="shared" si="1698"/>
        <v>1.7691123194004899E-2</v>
      </c>
      <c r="BC562" s="423">
        <f t="shared" si="1699"/>
        <v>1.8018644086593705E-2</v>
      </c>
      <c r="BD562" s="423">
        <f t="shared" si="1700"/>
        <v>1.8461919394857862E-2</v>
      </c>
      <c r="BE562" s="423">
        <f t="shared" si="1701"/>
        <v>1.7645663988059335E-2</v>
      </c>
      <c r="BF562" s="423">
        <f t="shared" si="1702"/>
        <v>1.7966697541523802E-2</v>
      </c>
      <c r="BG562" s="423">
        <f t="shared" si="1703"/>
        <v>1.840086387973483E-2</v>
      </c>
      <c r="BH562" s="423">
        <f t="shared" si="1704"/>
        <v>1.7601088879679372E-2</v>
      </c>
      <c r="BI562" s="423">
        <f t="shared" si="1705"/>
        <v>1.7915793706673178E-2</v>
      </c>
      <c r="BJ562" s="423">
        <f t="shared" si="1706"/>
        <v>1.8341085453042583E-2</v>
      </c>
      <c r="BK562" s="423">
        <f t="shared" si="1707"/>
        <v>1.7557376807629366E-2</v>
      </c>
      <c r="BL562" s="423">
        <f t="shared" si="1708"/>
        <v>1.7865906611885363E-2</v>
      </c>
      <c r="BM562" s="423">
        <f t="shared" si="1709"/>
        <v>1.8282550457327407E-2</v>
      </c>
      <c r="BN562" s="423">
        <f t="shared" si="1710"/>
        <v>1.751450734312443E-2</v>
      </c>
      <c r="BO562" s="423">
        <f t="shared" si="1711"/>
        <v>1.781701110781464E-2</v>
      </c>
      <c r="BP562" s="423">
        <f t="shared" si="1712"/>
        <v>1.8225226368733249E-2</v>
      </c>
      <c r="BQ562" s="423">
        <f t="shared" si="1713"/>
        <v>1.7472460666300149E-2</v>
      </c>
      <c r="BR562" s="423">
        <f t="shared" si="1714"/>
        <v>1.7769082833760441E-2</v>
      </c>
    </row>
    <row r="563" spans="2:70" s="8" customFormat="1" outlineLevel="1">
      <c r="C563" s="441" t="s">
        <v>285</v>
      </c>
      <c r="D563" s="96" t="s">
        <v>66</v>
      </c>
      <c r="E563" s="96"/>
      <c r="F563" s="96"/>
      <c r="G563" s="96"/>
      <c r="H563" s="96"/>
      <c r="I563" s="96"/>
      <c r="J563" s="96"/>
      <c r="K563" s="96"/>
      <c r="L563" s="96"/>
      <c r="M563" s="96"/>
      <c r="N563" s="96"/>
      <c r="O563" s="96"/>
      <c r="T563" s="64"/>
      <c r="U563" s="64"/>
      <c r="V563" s="64"/>
      <c r="W563" s="452">
        <f>+W558/T558-1</f>
        <v>5.5114907463900797E-2</v>
      </c>
      <c r="X563" s="452">
        <f t="shared" ref="X563" si="1715">+X558/U558-1</f>
        <v>-9.4988147646460908E-2</v>
      </c>
      <c r="Y563" s="452">
        <f t="shared" ref="Y563" si="1716">+Y558/V558-1</f>
        <v>-2.6794788875542874E-2</v>
      </c>
      <c r="Z563" s="452">
        <f t="shared" ref="Z563" si="1717">+Z558/W558-1</f>
        <v>-5.7440246723207355E-2</v>
      </c>
      <c r="AA563" s="452">
        <f t="shared" ref="AA563" si="1718">+AA558/X558-1</f>
        <v>5.9494855004676994E-2</v>
      </c>
      <c r="AB563" s="452">
        <f t="shared" ref="AB563" si="1719">+AB558/Y558-1</f>
        <v>1.8987942656414347E-3</v>
      </c>
      <c r="AC563" s="452">
        <f t="shared" ref="AC563" si="1720">+AC558/Z558-1</f>
        <v>1.3701431492842531E-2</v>
      </c>
      <c r="AD563" s="452">
        <f t="shared" ref="AD563" si="1721">+AD558/AA558-1</f>
        <v>4.6265230443227612E-2</v>
      </c>
      <c r="AE563" s="414">
        <f t="shared" ref="AE563" si="1722">+AE558/AB558-1</f>
        <v>3.1175968918790486E-2</v>
      </c>
      <c r="AF563" s="414">
        <f t="shared" si="1667"/>
        <v>3.6514020576961848E-2</v>
      </c>
      <c r="AG563" s="988">
        <f t="shared" ref="AG563:BR563" si="1723">+AG558/AD558-1</f>
        <v>6.3953178358909568E-2</v>
      </c>
      <c r="AH563" s="452">
        <f t="shared" si="1723"/>
        <v>5.1454014131275594E-2</v>
      </c>
      <c r="AI563" s="452">
        <f t="shared" si="1723"/>
        <v>0.1015529140720437</v>
      </c>
      <c r="AJ563" s="452">
        <f t="shared" si="1723"/>
        <v>7.6345378547849396E-2</v>
      </c>
      <c r="AK563" s="452">
        <f t="shared" si="1723"/>
        <v>8.7664832651619395E-2</v>
      </c>
      <c r="AL563" s="452">
        <f t="shared" si="1723"/>
        <v>8.7381022453022261E-2</v>
      </c>
      <c r="AM563" s="452">
        <f t="shared" si="1723"/>
        <v>4.9967199899293879E-2</v>
      </c>
      <c r="AN563" s="452">
        <f t="shared" si="1723"/>
        <v>6.6982415408327833E-2</v>
      </c>
      <c r="AO563" s="452">
        <f t="shared" si="1723"/>
        <v>3.0588640699799496E-2</v>
      </c>
      <c r="AP563" s="452">
        <f t="shared" si="1723"/>
        <v>3.1238635963841688E-2</v>
      </c>
      <c r="AQ563" s="452">
        <f t="shared" si="1723"/>
        <v>3.0937376949070172E-2</v>
      </c>
      <c r="AR563" s="452">
        <f t="shared" si="1723"/>
        <v>1.729066884994257E-2</v>
      </c>
      <c r="AS563" s="452">
        <f t="shared" si="1723"/>
        <v>1.7553401221080511E-2</v>
      </c>
      <c r="AT563" s="452">
        <f t="shared" si="1723"/>
        <v>1.7431671532673221E-2</v>
      </c>
      <c r="AU563" s="452">
        <f t="shared" si="1723"/>
        <v>1.7560336788499775E-2</v>
      </c>
      <c r="AV563" s="452">
        <f t="shared" si="1723"/>
        <v>1.781687164964918E-2</v>
      </c>
      <c r="AW563" s="452">
        <f t="shared" si="1723"/>
        <v>1.7698029876176191E-2</v>
      </c>
      <c r="AX563" s="452">
        <f t="shared" si="1723"/>
        <v>1.7829785687622834E-2</v>
      </c>
      <c r="AY563" s="452">
        <f t="shared" si="1723"/>
        <v>1.8080173619948958E-2</v>
      </c>
      <c r="AZ563" s="452">
        <f t="shared" si="1723"/>
        <v>1.7964195152997187E-2</v>
      </c>
      <c r="BA563" s="452">
        <f t="shared" si="1723"/>
        <v>1.8098998271041999E-2</v>
      </c>
      <c r="BB563" s="452">
        <f t="shared" si="1723"/>
        <v>1.8343287891040116E-2</v>
      </c>
      <c r="BC563" s="452">
        <f t="shared" si="1723"/>
        <v>1.823014907310605E-2</v>
      </c>
      <c r="BD563" s="452">
        <f t="shared" si="1723"/>
        <v>1.8367957049127082E-2</v>
      </c>
      <c r="BE563" s="452">
        <f t="shared" si="1723"/>
        <v>1.8606195011090065E-2</v>
      </c>
      <c r="BF563" s="452">
        <f t="shared" si="1723"/>
        <v>1.8495873133064888E-2</v>
      </c>
      <c r="BG563" s="452">
        <f t="shared" si="1723"/>
        <v>1.8636644307915562E-2</v>
      </c>
      <c r="BH563" s="452">
        <f t="shared" si="1723"/>
        <v>1.8868875313749811E-2</v>
      </c>
      <c r="BI563" s="452">
        <f t="shared" si="1723"/>
        <v>1.8761348609054762E-2</v>
      </c>
      <c r="BJ563" s="452">
        <f t="shared" si="1723"/>
        <v>1.8905042099517821E-2</v>
      </c>
      <c r="BK563" s="452">
        <f t="shared" si="1723"/>
        <v>1.9131308915728562E-2</v>
      </c>
      <c r="BL563" s="452">
        <f t="shared" si="1723"/>
        <v>1.9026556551184015E-2</v>
      </c>
      <c r="BM563" s="452">
        <f t="shared" si="1723"/>
        <v>1.9173132233924584E-2</v>
      </c>
      <c r="BN563" s="452">
        <f t="shared" si="1723"/>
        <v>1.9393475715563824E-2</v>
      </c>
      <c r="BO563" s="452">
        <f t="shared" si="1723"/>
        <v>1.929147777909046E-2</v>
      </c>
      <c r="BP563" s="452">
        <f t="shared" si="1723"/>
        <v>1.9440896272242103E-2</v>
      </c>
      <c r="BQ563" s="452">
        <f t="shared" si="1723"/>
        <v>1.9655355393599416E-2</v>
      </c>
      <c r="BR563" s="452">
        <f t="shared" si="1723"/>
        <v>1.9556092878853626E-2</v>
      </c>
    </row>
    <row r="564" spans="2:70" s="8" customFormat="1" outlineLevel="1">
      <c r="C564" s="82" t="s">
        <v>561</v>
      </c>
      <c r="D564" s="96"/>
      <c r="E564" s="96"/>
      <c r="F564" s="96"/>
      <c r="G564" s="96"/>
      <c r="H564" s="96"/>
      <c r="I564" s="96"/>
      <c r="J564" s="96"/>
      <c r="K564" s="96"/>
      <c r="L564" s="96"/>
      <c r="M564" s="96"/>
      <c r="N564" s="96"/>
      <c r="O564" s="96"/>
      <c r="T564" s="64"/>
      <c r="U564" s="64"/>
      <c r="V564" s="64"/>
      <c r="W564" s="64"/>
      <c r="X564" s="64"/>
      <c r="Y564" s="64"/>
      <c r="Z564" s="64"/>
      <c r="AA564" s="64"/>
      <c r="AB564" s="64"/>
      <c r="AC564" s="64"/>
      <c r="AD564" s="64"/>
      <c r="AE564" s="341"/>
      <c r="AF564" s="341"/>
      <c r="AG564" s="934"/>
      <c r="AH564" s="64"/>
      <c r="AI564" s="64"/>
      <c r="AJ564" s="64"/>
      <c r="AK564" s="64"/>
      <c r="AL564" s="64"/>
      <c r="AM564" s="64"/>
      <c r="AN564" s="64"/>
      <c r="AO564" s="64"/>
      <c r="AP564" s="64"/>
      <c r="AQ564" s="64"/>
      <c r="AR564" s="64"/>
      <c r="AS564" s="64"/>
      <c r="AT564" s="64"/>
      <c r="AU564" s="64"/>
      <c r="AV564" s="64"/>
      <c r="AW564" s="64"/>
      <c r="AX564" s="64"/>
      <c r="AY564" s="64"/>
      <c r="AZ564" s="64"/>
      <c r="BA564" s="64"/>
      <c r="BB564" s="64"/>
      <c r="BC564" s="64"/>
      <c r="BD564" s="64"/>
      <c r="BE564" s="64"/>
      <c r="BF564" s="64"/>
      <c r="BG564" s="64"/>
      <c r="BH564" s="64"/>
      <c r="BI564" s="64"/>
      <c r="BJ564" s="64"/>
      <c r="BK564" s="64"/>
      <c r="BL564" s="64"/>
      <c r="BM564" s="64"/>
      <c r="BN564" s="64"/>
      <c r="BO564" s="64"/>
      <c r="BP564" s="64"/>
      <c r="BQ564" s="64"/>
      <c r="BR564" s="64"/>
    </row>
    <row r="565" spans="2:70" s="8" customFormat="1" outlineLevel="1">
      <c r="C565" s="83" t="s">
        <v>306</v>
      </c>
      <c r="D565" s="7" t="s">
        <v>66</v>
      </c>
      <c r="E565" s="96"/>
      <c r="F565" s="96"/>
      <c r="G565" s="96"/>
      <c r="H565" s="96"/>
      <c r="I565" s="96"/>
      <c r="J565" s="96"/>
      <c r="K565" s="96"/>
      <c r="L565" s="96"/>
      <c r="M565" s="96"/>
      <c r="N565" s="96"/>
      <c r="O565" s="96"/>
      <c r="T565" s="454">
        <f>+T555/T535</f>
        <v>0.11709319169483341</v>
      </c>
      <c r="U565" s="454">
        <f t="shared" ref="U565:AE565" si="1724">+U555/U535</f>
        <v>0.12539673379883431</v>
      </c>
      <c r="V565" s="454">
        <f t="shared" si="1724"/>
        <v>0.12133817151960349</v>
      </c>
      <c r="W565" s="454">
        <f t="shared" si="1724"/>
        <v>0.12217361838457273</v>
      </c>
      <c r="X565" s="454">
        <f t="shared" si="1724"/>
        <v>0.12337619734942923</v>
      </c>
      <c r="Y565" s="454">
        <f t="shared" si="1724"/>
        <v>0.12275601309058558</v>
      </c>
      <c r="Z565" s="454">
        <f t="shared" si="1724"/>
        <v>0.11859242642381224</v>
      </c>
      <c r="AA565" s="454">
        <f t="shared" si="1724"/>
        <v>0.1304559625876851</v>
      </c>
      <c r="AB565" s="454">
        <f t="shared" si="1724"/>
        <v>0.12461464910400766</v>
      </c>
      <c r="AC565" s="454">
        <f t="shared" si="1724"/>
        <v>0.12065340449619925</v>
      </c>
      <c r="AD565" s="454">
        <f t="shared" si="1724"/>
        <v>0.13770334928229661</v>
      </c>
      <c r="AE565" s="458">
        <f t="shared" si="1724"/>
        <v>0.12923793463422467</v>
      </c>
      <c r="AF565" s="458">
        <f t="shared" ref="AF565" si="1725">+AF555/AF535</f>
        <v>0.12531581606872158</v>
      </c>
      <c r="AG565" s="989">
        <f t="shared" ref="AG565:BR565" si="1726">+AG555/AG535</f>
        <v>0.1408914930056418</v>
      </c>
      <c r="AH565" s="454">
        <f t="shared" si="1726"/>
        <v>0.13330736576494184</v>
      </c>
      <c r="AI565" s="454">
        <f t="shared" si="1726"/>
        <v>0.13754037883833486</v>
      </c>
      <c r="AJ565" s="454">
        <f t="shared" si="1726"/>
        <v>0.14851975761772929</v>
      </c>
      <c r="AK565" s="454">
        <f t="shared" si="1726"/>
        <v>0.14323477687560338</v>
      </c>
      <c r="AL565" s="454">
        <f t="shared" si="1726"/>
        <v>0.13921864759326316</v>
      </c>
      <c r="AM565" s="454">
        <f t="shared" si="1726"/>
        <v>0.14916847239858158</v>
      </c>
      <c r="AN565" s="454">
        <f t="shared" si="1726"/>
        <v>0.14430159118621039</v>
      </c>
      <c r="AO565" s="454">
        <f t="shared" si="1726"/>
        <v>0.14082602140475975</v>
      </c>
      <c r="AP565" s="454">
        <f t="shared" si="1726"/>
        <v>0.1516360598381048</v>
      </c>
      <c r="AQ565" s="454">
        <f t="shared" si="1726"/>
        <v>0.14634350948338898</v>
      </c>
      <c r="AR565" s="454">
        <f t="shared" si="1726"/>
        <v>0.14085760466823219</v>
      </c>
      <c r="AS565" s="454">
        <f t="shared" si="1726"/>
        <v>0.15166889405197606</v>
      </c>
      <c r="AT565" s="454">
        <f t="shared" si="1726"/>
        <v>0.14637700094494102</v>
      </c>
      <c r="AU565" s="454">
        <f t="shared" si="1726"/>
        <v>0.14088970356056915</v>
      </c>
      <c r="AV565" s="454">
        <f t="shared" si="1726"/>
        <v>0.15170222342611409</v>
      </c>
      <c r="AW565" s="454">
        <f t="shared" si="1726"/>
        <v>0.14641096180327867</v>
      </c>
      <c r="AX565" s="454">
        <f t="shared" si="1726"/>
        <v>0.14092231891211962</v>
      </c>
      <c r="AY565" s="454">
        <f t="shared" si="1726"/>
        <v>0.15173604912089333</v>
      </c>
      <c r="AZ565" s="454">
        <f t="shared" si="1726"/>
        <v>0.14644539355355526</v>
      </c>
      <c r="BA565" s="454">
        <f t="shared" si="1726"/>
        <v>0.14095545159364148</v>
      </c>
      <c r="BB565" s="454">
        <f t="shared" si="1726"/>
        <v>0.15177037234493107</v>
      </c>
      <c r="BC565" s="454">
        <f t="shared" si="1726"/>
        <v>0.14648029774842425</v>
      </c>
      <c r="BD565" s="454">
        <f t="shared" si="1726"/>
        <v>0.1409891025145531</v>
      </c>
      <c r="BE565" s="454">
        <f t="shared" si="1726"/>
        <v>0.15180519435274276</v>
      </c>
      <c r="BF565" s="454">
        <f t="shared" si="1726"/>
        <v>0.14651567599512955</v>
      </c>
      <c r="BG565" s="454">
        <f t="shared" si="1726"/>
        <v>0.1410232726210133</v>
      </c>
      <c r="BH565" s="454">
        <f t="shared" si="1726"/>
        <v>0.15184051644223681</v>
      </c>
      <c r="BI565" s="454">
        <f t="shared" si="1726"/>
        <v>0.14655152995244622</v>
      </c>
      <c r="BJ565" s="454">
        <f t="shared" si="1726"/>
        <v>0.14105796289383593</v>
      </c>
      <c r="BK565" s="454">
        <f t="shared" si="1726"/>
        <v>0.15187633995205432</v>
      </c>
      <c r="BL565" s="454">
        <f t="shared" si="1726"/>
        <v>0.1465878613274785</v>
      </c>
      <c r="BM565" s="454">
        <f t="shared" si="1726"/>
        <v>0.14109317434624394</v>
      </c>
      <c r="BN565" s="454">
        <f t="shared" si="1726"/>
        <v>0.15191266625875868</v>
      </c>
      <c r="BO565" s="454">
        <f t="shared" si="1726"/>
        <v>0.14662467187231956</v>
      </c>
      <c r="BP565" s="454">
        <f t="shared" si="1726"/>
        <v>0.14112890802147002</v>
      </c>
      <c r="BQ565" s="454">
        <f t="shared" si="1726"/>
        <v>0.15194949677388322</v>
      </c>
      <c r="BR565" s="454">
        <f t="shared" si="1726"/>
        <v>0.14666196338058074</v>
      </c>
    </row>
    <row r="566" spans="2:70" s="8" customFormat="1" outlineLevel="1">
      <c r="C566" s="456" t="s">
        <v>570</v>
      </c>
      <c r="D566" s="100" t="s">
        <v>571</v>
      </c>
      <c r="E566" s="96"/>
      <c r="F566" s="96"/>
      <c r="G566" s="96"/>
      <c r="H566" s="96"/>
      <c r="I566" s="96"/>
      <c r="J566" s="96"/>
      <c r="K566" s="96"/>
      <c r="L566" s="96"/>
      <c r="M566" s="96"/>
      <c r="N566" s="96"/>
      <c r="O566" s="96"/>
      <c r="T566" s="454"/>
      <c r="U566" s="454"/>
      <c r="V566" s="454"/>
      <c r="W566" s="455">
        <f>(W565-T565)*10000</f>
        <v>50.804266897393205</v>
      </c>
      <c r="X566" s="455">
        <f>(X565-U565)*10000</f>
        <v>-20.205364494050858</v>
      </c>
      <c r="Y566" s="455">
        <f>(Y565-V565)*10000</f>
        <v>14.178415709820841</v>
      </c>
      <c r="Z566" s="455">
        <f t="shared" ref="Z566" si="1727">(Z565-W565)*10000</f>
        <v>-35.811919607604963</v>
      </c>
      <c r="AA566" s="455">
        <f t="shared" ref="AA566" si="1728">(AA565-X565)*10000</f>
        <v>70.797652382558752</v>
      </c>
      <c r="AB566" s="455">
        <f t="shared" ref="AB566" si="1729">(AB565-Y565)*10000</f>
        <v>18.586360134220797</v>
      </c>
      <c r="AC566" s="455">
        <f t="shared" ref="AC566" si="1730">(AC565-Z565)*10000</f>
        <v>20.60978072387018</v>
      </c>
      <c r="AD566" s="455">
        <f t="shared" ref="AD566" si="1731">(AD565-AA565)*10000</f>
        <v>72.473866946115024</v>
      </c>
      <c r="AE566" s="799">
        <f t="shared" ref="AE566:AF566" si="1732">(AE565-AB565)*10000</f>
        <v>46.232855302170137</v>
      </c>
      <c r="AF566" s="799">
        <f t="shared" si="1732"/>
        <v>46.624115725223263</v>
      </c>
      <c r="AG566" s="990">
        <f t="shared" ref="AG566:BR566" si="1733">(AG565-AD565)*10000</f>
        <v>31.881437233451937</v>
      </c>
      <c r="AH566" s="455">
        <f t="shared" si="1733"/>
        <v>40.694311307171716</v>
      </c>
      <c r="AI566" s="455">
        <f t="shared" si="1733"/>
        <v>122.24562769613284</v>
      </c>
      <c r="AJ566" s="455">
        <f t="shared" si="1733"/>
        <v>76.282646120874873</v>
      </c>
      <c r="AK566" s="455">
        <f t="shared" si="1733"/>
        <v>99.274111106615322</v>
      </c>
      <c r="AL566" s="455">
        <f t="shared" si="1733"/>
        <v>16.782687549282972</v>
      </c>
      <c r="AM566" s="455">
        <f t="shared" si="1733"/>
        <v>6.4871478085229413</v>
      </c>
      <c r="AN566" s="455">
        <f t="shared" si="1733"/>
        <v>10.668143106070115</v>
      </c>
      <c r="AO566" s="455">
        <f t="shared" si="1733"/>
        <v>16.073738114965874</v>
      </c>
      <c r="AP566" s="455">
        <f t="shared" si="1733"/>
        <v>24.675874395232167</v>
      </c>
      <c r="AQ566" s="455">
        <f t="shared" si="1733"/>
        <v>20.419182971785908</v>
      </c>
      <c r="AR566" s="455">
        <f t="shared" si="1733"/>
        <v>0.31583263472440004</v>
      </c>
      <c r="AS566" s="455">
        <f t="shared" si="1733"/>
        <v>0.32834213871263396</v>
      </c>
      <c r="AT566" s="455">
        <f t="shared" si="1733"/>
        <v>0.33491461552043189</v>
      </c>
      <c r="AU566" s="455">
        <f t="shared" si="1733"/>
        <v>0.32098892336962503</v>
      </c>
      <c r="AV566" s="455">
        <f t="shared" si="1733"/>
        <v>0.33329374138024725</v>
      </c>
      <c r="AW566" s="455">
        <f t="shared" si="1733"/>
        <v>0.33960858337650501</v>
      </c>
      <c r="AX566" s="455">
        <f t="shared" si="1733"/>
        <v>0.32615351550469018</v>
      </c>
      <c r="AY566" s="455">
        <f t="shared" si="1733"/>
        <v>0.33825694779249238</v>
      </c>
      <c r="AZ566" s="455">
        <f t="shared" si="1733"/>
        <v>0.34431750276592288</v>
      </c>
      <c r="BA566" s="455">
        <f t="shared" si="1733"/>
        <v>0.33132681521857998</v>
      </c>
      <c r="BB566" s="455">
        <f t="shared" si="1733"/>
        <v>0.34323224037735578</v>
      </c>
      <c r="BC566" s="455">
        <f t="shared" si="1733"/>
        <v>0.34904194868984328</v>
      </c>
      <c r="BD566" s="455">
        <f t="shared" si="1733"/>
        <v>0.33650920911620918</v>
      </c>
      <c r="BE566" s="455">
        <f t="shared" si="1733"/>
        <v>0.34822007811685651</v>
      </c>
      <c r="BF566" s="455">
        <f t="shared" si="1733"/>
        <v>0.35378246705297656</v>
      </c>
      <c r="BG566" s="455">
        <f t="shared" si="1733"/>
        <v>0.34170106460201799</v>
      </c>
      <c r="BH566" s="455">
        <f t="shared" si="1733"/>
        <v>0.35322089494055353</v>
      </c>
      <c r="BI566" s="455">
        <f t="shared" si="1733"/>
        <v>0.35853957316672735</v>
      </c>
      <c r="BJ566" s="455">
        <f t="shared" si="1733"/>
        <v>0.34690272822629487</v>
      </c>
      <c r="BK566" s="455">
        <f t="shared" si="1733"/>
        <v>0.35823509817511923</v>
      </c>
      <c r="BL566" s="455">
        <f t="shared" si="1733"/>
        <v>0.36331375032283564</v>
      </c>
      <c r="BM566" s="455">
        <f t="shared" si="1733"/>
        <v>0.3521145240800716</v>
      </c>
      <c r="BN566" s="455">
        <f t="shared" si="1733"/>
        <v>0.36326306704359546</v>
      </c>
      <c r="BO566" s="455">
        <f t="shared" si="1733"/>
        <v>0.36810544841059389</v>
      </c>
      <c r="BP566" s="455">
        <f t="shared" si="1733"/>
        <v>0.35733675226079509</v>
      </c>
      <c r="BQ566" s="455">
        <f t="shared" si="1733"/>
        <v>0.36830515124541829</v>
      </c>
      <c r="BR566" s="455">
        <f t="shared" si="1733"/>
        <v>0.37291508261177997</v>
      </c>
    </row>
    <row r="567" spans="2:70" s="8" customFormat="1" outlineLevel="1">
      <c r="C567" s="83" t="s">
        <v>307</v>
      </c>
      <c r="D567" s="7" t="s">
        <v>66</v>
      </c>
      <c r="E567" s="96"/>
      <c r="F567" s="96"/>
      <c r="G567" s="96"/>
      <c r="H567" s="96"/>
      <c r="I567" s="96"/>
      <c r="J567" s="96"/>
      <c r="K567" s="96"/>
      <c r="L567" s="96"/>
      <c r="M567" s="96"/>
      <c r="N567" s="96"/>
      <c r="O567" s="96"/>
      <c r="T567" s="454">
        <f>+T556/T536</f>
        <v>8.6107382550335579E-2</v>
      </c>
      <c r="U567" s="454">
        <f t="shared" ref="U567:AN567" si="1734">+U556/U536</f>
        <v>9.9823736780258507E-2</v>
      </c>
      <c r="V567" s="454">
        <f t="shared" si="1734"/>
        <v>9.3421052631578946E-2</v>
      </c>
      <c r="W567" s="454">
        <f t="shared" si="1734"/>
        <v>8.8995521433141392E-2</v>
      </c>
      <c r="X567" s="454">
        <f t="shared" si="1734"/>
        <v>0.10387685290763968</v>
      </c>
      <c r="Y567" s="454">
        <f t="shared" si="1734"/>
        <v>9.6864636719927635E-2</v>
      </c>
      <c r="Z567" s="454">
        <f t="shared" si="1734"/>
        <v>9.8271446862996159E-2</v>
      </c>
      <c r="AA567" s="454">
        <f t="shared" si="1734"/>
        <v>0.11086350974930362</v>
      </c>
      <c r="AB567" s="454">
        <f t="shared" si="1734"/>
        <v>0.10500446827524576</v>
      </c>
      <c r="AC567" s="454">
        <f t="shared" si="1734"/>
        <v>0.10421205519244735</v>
      </c>
      <c r="AD567" s="454">
        <f t="shared" si="1734"/>
        <v>0.1328</v>
      </c>
      <c r="AE567" s="458">
        <f t="shared" si="1734"/>
        <v>0.11911713590545707</v>
      </c>
      <c r="AF567" s="458">
        <f t="shared" ref="AF567" si="1735">+AF556/AF536</f>
        <v>0.10755988023952096</v>
      </c>
      <c r="AG567" s="989">
        <f t="shared" si="1734"/>
        <v>0.12923605384468367</v>
      </c>
      <c r="AH567" s="454">
        <f t="shared" si="1734"/>
        <v>0.11923892993486193</v>
      </c>
      <c r="AI567" s="454">
        <f t="shared" si="1734"/>
        <v>0.11913126968397918</v>
      </c>
      <c r="AJ567" s="454">
        <f t="shared" si="1734"/>
        <v>0.13291388260374731</v>
      </c>
      <c r="AK567" s="454">
        <f t="shared" si="1734"/>
        <v>0.12669200160729449</v>
      </c>
      <c r="AL567" s="454">
        <f t="shared" si="1734"/>
        <v>0.12127465659453854</v>
      </c>
      <c r="AM567" s="454">
        <f t="shared" si="1734"/>
        <v>0.13339647015805531</v>
      </c>
      <c r="AN567" s="454">
        <f t="shared" si="1734"/>
        <v>0.12791216544396597</v>
      </c>
      <c r="AO567" s="454">
        <f t="shared" ref="AO567:BR567" si="1736">+AO556/AO536</f>
        <v>0.12199631534374397</v>
      </c>
      <c r="AP567" s="454">
        <f t="shared" si="1736"/>
        <v>0.13445156058796759</v>
      </c>
      <c r="AQ567" s="454">
        <f t="shared" si="1736"/>
        <v>0.12878982477138717</v>
      </c>
      <c r="AR567" s="454">
        <f t="shared" si="1736"/>
        <v>0.12199631534374399</v>
      </c>
      <c r="AS567" s="454">
        <f t="shared" si="1736"/>
        <v>0.13433653755471436</v>
      </c>
      <c r="AT567" s="454">
        <f t="shared" si="1736"/>
        <v>0.12872781313570228</v>
      </c>
      <c r="AU567" s="454">
        <f t="shared" si="1736"/>
        <v>0.121996315343744</v>
      </c>
      <c r="AV567" s="454">
        <f t="shared" si="1736"/>
        <v>0.1342237046558902</v>
      </c>
      <c r="AW567" s="454">
        <f t="shared" si="1736"/>
        <v>0.12866696653563761</v>
      </c>
      <c r="AX567" s="454">
        <f t="shared" si="1736"/>
        <v>0.12199631534374397</v>
      </c>
      <c r="AY567" s="454">
        <f t="shared" si="1736"/>
        <v>0.13411304215698994</v>
      </c>
      <c r="AZ567" s="454">
        <f t="shared" si="1736"/>
        <v>0.12860727480888304</v>
      </c>
      <c r="BA567" s="454">
        <f t="shared" si="1736"/>
        <v>0.12199631534374397</v>
      </c>
      <c r="BB567" s="454">
        <f t="shared" si="1736"/>
        <v>0.13400452971673282</v>
      </c>
      <c r="BC567" s="454">
        <f t="shared" si="1736"/>
        <v>0.12854872746258864</v>
      </c>
      <c r="BD567" s="454">
        <f t="shared" si="1736"/>
        <v>0.12199631534374396</v>
      </c>
      <c r="BE567" s="454">
        <f t="shared" si="1736"/>
        <v>0.13389814641295339</v>
      </c>
      <c r="BF567" s="454">
        <f t="shared" si="1736"/>
        <v>0.1284913136866756</v>
      </c>
      <c r="BG567" s="454">
        <f t="shared" si="1736"/>
        <v>0.12199631534374394</v>
      </c>
      <c r="BH567" s="454">
        <f t="shared" si="1736"/>
        <v>0.13379387076889823</v>
      </c>
      <c r="BI567" s="454">
        <f t="shared" si="1736"/>
        <v>0.12843502236739712</v>
      </c>
      <c r="BJ567" s="454">
        <f t="shared" si="1736"/>
        <v>0.12199631534374397</v>
      </c>
      <c r="BK567" s="454">
        <f t="shared" si="1736"/>
        <v>0.13369168077986573</v>
      </c>
      <c r="BL567" s="454">
        <f t="shared" si="1736"/>
        <v>0.12837984210111611</v>
      </c>
      <c r="BM567" s="454">
        <f t="shared" si="1736"/>
        <v>0.12199631534374397</v>
      </c>
      <c r="BN567" s="454">
        <f t="shared" si="1736"/>
        <v>0.13359155394012681</v>
      </c>
      <c r="BO567" s="454">
        <f t="shared" si="1736"/>
        <v>0.12832576120826722</v>
      </c>
      <c r="BP567" s="454">
        <f t="shared" si="1736"/>
        <v>0.12199631534374399</v>
      </c>
      <c r="BQ567" s="454">
        <f t="shared" si="1736"/>
        <v>0.1334934672700632</v>
      </c>
      <c r="BR567" s="454">
        <f t="shared" si="1736"/>
        <v>0.12827276774747012</v>
      </c>
    </row>
    <row r="568" spans="2:70" s="8" customFormat="1" outlineLevel="1">
      <c r="C568" s="456" t="s">
        <v>570</v>
      </c>
      <c r="D568" s="100" t="s">
        <v>571</v>
      </c>
      <c r="E568" s="96"/>
      <c r="F568" s="96"/>
      <c r="G568" s="96"/>
      <c r="H568" s="96"/>
      <c r="I568" s="96"/>
      <c r="J568" s="96"/>
      <c r="K568" s="96"/>
      <c r="L568" s="96"/>
      <c r="M568" s="96"/>
      <c r="N568" s="96"/>
      <c r="O568" s="96"/>
      <c r="T568" s="454"/>
      <c r="U568" s="454"/>
      <c r="V568" s="454"/>
      <c r="W568" s="455">
        <f>(W567-T567)*10000</f>
        <v>28.881388828058128</v>
      </c>
      <c r="X568" s="455">
        <f>(X567-U567)*10000</f>
        <v>40.531161273811705</v>
      </c>
      <c r="Y568" s="455">
        <f>(Y567-V567)*10000</f>
        <v>34.43584088348689</v>
      </c>
      <c r="Z568" s="455">
        <f t="shared" ref="Z568" si="1737">(Z567-W567)*10000</f>
        <v>92.759254298547674</v>
      </c>
      <c r="AA568" s="455">
        <f t="shared" ref="AA568" si="1738">(AA567-X567)*10000</f>
        <v>69.86656841663941</v>
      </c>
      <c r="AB568" s="455">
        <f t="shared" ref="AB568" si="1739">(AB567-Y567)*10000</f>
        <v>81.398315553181249</v>
      </c>
      <c r="AC568" s="455">
        <f t="shared" ref="AC568" si="1740">(AC567-Z567)*10000</f>
        <v>59.406083294511888</v>
      </c>
      <c r="AD568" s="455">
        <f t="shared" ref="AD568" si="1741">(AD567-AA567)*10000</f>
        <v>219.36490250696383</v>
      </c>
      <c r="AE568" s="799">
        <f t="shared" ref="AE568:AF568" si="1742">(AE567-AB567)*10000</f>
        <v>141.12667630211308</v>
      </c>
      <c r="AF568" s="799">
        <f t="shared" si="1742"/>
        <v>33.478250470736079</v>
      </c>
      <c r="AG568" s="990">
        <f t="shared" ref="AG568" si="1743">(AG567-AD567)*10000</f>
        <v>-35.639461553163279</v>
      </c>
      <c r="AH568" s="455">
        <f t="shared" ref="AH568" si="1744">(AH567-AE567)*10000</f>
        <v>1.2179402940486195</v>
      </c>
      <c r="AI568" s="455">
        <f t="shared" ref="AI568" si="1745">(AI567-AF567)*10000</f>
        <v>115.71389444458221</v>
      </c>
      <c r="AJ568" s="455">
        <f t="shared" ref="AJ568" si="1746">(AJ567-AG567)*10000</f>
        <v>36.778287590636396</v>
      </c>
      <c r="AK568" s="455">
        <f t="shared" ref="AK568" si="1747">(AK567-AH567)*10000</f>
        <v>74.5307167243256</v>
      </c>
      <c r="AL568" s="455">
        <f t="shared" ref="AL568" si="1748">(AL567-AI567)*10000</f>
        <v>21.433869105593612</v>
      </c>
      <c r="AM568" s="455">
        <f t="shared" ref="AM568" si="1749">(AM567-AJ567)*10000</f>
        <v>4.8258755430799489</v>
      </c>
      <c r="AN568" s="455">
        <f t="shared" ref="AN568" si="1750">(AN567-AK567)*10000</f>
        <v>12.201638366714784</v>
      </c>
      <c r="AO568" s="455">
        <f t="shared" ref="AO568" si="1751">(AO567-AL567)*10000</f>
        <v>7.2165874920543382</v>
      </c>
      <c r="AP568" s="455">
        <f t="shared" ref="AP568" si="1752">(AP567-AM567)*10000</f>
        <v>10.550904299122809</v>
      </c>
      <c r="AQ568" s="455">
        <f t="shared" ref="AQ568" si="1753">(AQ567-AN567)*10000</f>
        <v>8.7765932742120416</v>
      </c>
      <c r="AR568" s="455">
        <f t="shared" ref="AR568" si="1754">(AR567-AO567)*10000</f>
        <v>1.3877787807814457E-13</v>
      </c>
      <c r="AS568" s="455">
        <f t="shared" ref="AS568" si="1755">(AS567-AP567)*10000</f>
        <v>-1.1502303325322538</v>
      </c>
      <c r="AT568" s="455">
        <f t="shared" ref="AT568" si="1756">(AT567-AQ567)*10000</f>
        <v>-0.62011635684894317</v>
      </c>
      <c r="AU568" s="455">
        <f t="shared" ref="AU568" si="1757">(AU567-AR567)*10000</f>
        <v>1.3877787807814457E-13</v>
      </c>
      <c r="AV568" s="455">
        <f t="shared" ref="AV568" si="1758">(AV567-AS567)*10000</f>
        <v>-1.1283289882416114</v>
      </c>
      <c r="AW568" s="455">
        <f t="shared" ref="AW568" si="1759">(AW567-AT567)*10000</f>
        <v>-0.60846600064667911</v>
      </c>
      <c r="AX568" s="455">
        <f t="shared" ref="AX568" si="1760">(AX567-AU567)*10000</f>
        <v>-2.7755575615628914E-13</v>
      </c>
      <c r="AY568" s="455">
        <f t="shared" ref="AY568" si="1761">(AY567-AV567)*10000</f>
        <v>-1.106624989002658</v>
      </c>
      <c r="AZ568" s="455">
        <f t="shared" ref="AZ568" si="1762">(AZ567-AW567)*10000</f>
        <v>-0.59691726754573793</v>
      </c>
      <c r="BA568" s="455">
        <f t="shared" ref="BA568" si="1763">(BA567-AX567)*10000</f>
        <v>0</v>
      </c>
      <c r="BB568" s="455">
        <f t="shared" ref="BB568" si="1764">(BB567-AY567)*10000</f>
        <v>-1.085124402571136</v>
      </c>
      <c r="BC568" s="455">
        <f t="shared" ref="BC568" si="1765">(BC567-AZ567)*10000</f>
        <v>-0.58547346294401947</v>
      </c>
      <c r="BD568" s="455">
        <f t="shared" ref="BD568" si="1766">(BD567-BA567)*10000</f>
        <v>-1.3877787807814457E-13</v>
      </c>
      <c r="BE568" s="455">
        <f t="shared" ref="BE568" si="1767">(BE567-BB567)*10000</f>
        <v>-1.0638330377943372</v>
      </c>
      <c r="BF568" s="455">
        <f t="shared" ref="BF568" si="1768">(BF567-BC567)*10000</f>
        <v>-0.57413775913034426</v>
      </c>
      <c r="BG568" s="455">
        <f t="shared" ref="BG568" si="1769">(BG567-BD567)*10000</f>
        <v>-1.3877787807814457E-13</v>
      </c>
      <c r="BH568" s="455">
        <f t="shared" ref="BH568" si="1770">(BH567-BE567)*10000</f>
        <v>-1.0427564405515732</v>
      </c>
      <c r="BI568" s="455">
        <f t="shared" ref="BI568" si="1771">(BI567-BF567)*10000</f>
        <v>-0.56291319278478635</v>
      </c>
      <c r="BJ568" s="455">
        <f t="shared" ref="BJ568" si="1772">(BJ567-BG567)*10000</f>
        <v>2.7755575615628914E-13</v>
      </c>
      <c r="BK568" s="455">
        <f t="shared" ref="BK568" si="1773">(BK567-BH567)*10000</f>
        <v>-1.0218998903249732</v>
      </c>
      <c r="BL568" s="455">
        <f t="shared" ref="BL568" si="1774">(BL567-BI567)*10000</f>
        <v>-0.55180266281013024</v>
      </c>
      <c r="BM568" s="455">
        <f t="shared" ref="BM568" si="1775">(BM567-BJ567)*10000</f>
        <v>0</v>
      </c>
      <c r="BN568" s="455">
        <f t="shared" ref="BN568" si="1776">(BN567-BK567)*10000</f>
        <v>-1.0012683973892322</v>
      </c>
      <c r="BO568" s="455">
        <f t="shared" ref="BO568" si="1777">(BO567-BL567)*10000</f>
        <v>-0.54080892848890061</v>
      </c>
      <c r="BP568" s="455">
        <f t="shared" ref="BP568" si="1778">(BP567-BM567)*10000</f>
        <v>1.3877787807814457E-13</v>
      </c>
      <c r="BQ568" s="455">
        <f t="shared" ref="BQ568" si="1779">(BQ567-BN567)*10000</f>
        <v>-0.98086670063612935</v>
      </c>
      <c r="BR568" s="455">
        <f t="shared" ref="BR568" si="1780">(BR567-BO567)*10000</f>
        <v>-0.52993460797096104</v>
      </c>
    </row>
    <row r="569" spans="2:70" s="8" customFormat="1" outlineLevel="1">
      <c r="C569" s="83" t="s">
        <v>308</v>
      </c>
      <c r="D569" s="7" t="s">
        <v>66</v>
      </c>
      <c r="E569" s="96"/>
      <c r="F569" s="96"/>
      <c r="G569" s="96"/>
      <c r="H569" s="96"/>
      <c r="I569" s="96"/>
      <c r="J569" s="96"/>
      <c r="K569" s="96"/>
      <c r="L569" s="96"/>
      <c r="M569" s="96"/>
      <c r="N569" s="96"/>
      <c r="O569" s="96"/>
      <c r="T569" s="454"/>
      <c r="U569" s="454"/>
      <c r="V569" s="454"/>
      <c r="W569" s="454"/>
      <c r="X569" s="454"/>
      <c r="Y569" s="454"/>
      <c r="Z569" s="454"/>
      <c r="AA569" s="454"/>
      <c r="AB569" s="454"/>
      <c r="AC569" s="454"/>
      <c r="AD569" s="454"/>
      <c r="AE569" s="458"/>
      <c r="AF569" s="458"/>
      <c r="AG569" s="989"/>
      <c r="AH569" s="454"/>
      <c r="AI569" s="454"/>
      <c r="AJ569" s="454"/>
      <c r="AK569" s="454"/>
      <c r="AL569" s="454"/>
      <c r="AM569" s="454"/>
      <c r="AN569" s="454"/>
      <c r="AO569" s="454"/>
      <c r="AP569" s="454"/>
      <c r="AQ569" s="454"/>
      <c r="AR569" s="454"/>
      <c r="AS569" s="454"/>
      <c r="AT569" s="454"/>
      <c r="AU569" s="454"/>
      <c r="AV569" s="454"/>
      <c r="AW569" s="454"/>
      <c r="AX569" s="454"/>
      <c r="AY569" s="454"/>
      <c r="AZ569" s="454"/>
      <c r="BA569" s="454"/>
      <c r="BB569" s="454"/>
      <c r="BC569" s="454"/>
      <c r="BD569" s="454"/>
      <c r="BE569" s="454"/>
      <c r="BF569" s="454"/>
      <c r="BG569" s="454"/>
      <c r="BH569" s="454"/>
      <c r="BI569" s="454"/>
      <c r="BJ569" s="454"/>
      <c r="BK569" s="454"/>
      <c r="BL569" s="454"/>
      <c r="BM569" s="454"/>
      <c r="BN569" s="454"/>
      <c r="BO569" s="454"/>
      <c r="BP569" s="454"/>
      <c r="BQ569" s="454"/>
      <c r="BR569" s="454"/>
    </row>
    <row r="570" spans="2:70" s="8" customFormat="1" outlineLevel="1">
      <c r="C570" s="441" t="s">
        <v>285</v>
      </c>
      <c r="D570" s="96" t="s">
        <v>66</v>
      </c>
      <c r="E570" s="96"/>
      <c r="F570" s="96"/>
      <c r="G570" s="96"/>
      <c r="H570" s="96"/>
      <c r="I570" s="96"/>
      <c r="J570" s="96"/>
      <c r="K570" s="96"/>
      <c r="L570" s="96"/>
      <c r="M570" s="96"/>
      <c r="N570" s="96"/>
      <c r="O570" s="96"/>
      <c r="T570" s="453">
        <f>+T558/T538</f>
        <v>0.10236072945291029</v>
      </c>
      <c r="U570" s="453">
        <f t="shared" ref="U570:AE570" si="1781">+U558/U538</f>
        <v>0.11428460853748212</v>
      </c>
      <c r="V570" s="453">
        <f t="shared" si="1781"/>
        <v>0.10854042561726537</v>
      </c>
      <c r="W570" s="453">
        <f t="shared" si="1781"/>
        <v>0.10787656990767695</v>
      </c>
      <c r="X570" s="453">
        <f t="shared" si="1781"/>
        <v>0.11129851740796272</v>
      </c>
      <c r="Y570" s="453">
        <f t="shared" si="1781"/>
        <v>0.10958633318073993</v>
      </c>
      <c r="Z570" s="453">
        <f t="shared" si="1781"/>
        <v>0.10750324268472311</v>
      </c>
      <c r="AA570" s="453">
        <f t="shared" si="1781"/>
        <v>0.11618316851996227</v>
      </c>
      <c r="AB570" s="453">
        <f t="shared" si="1781"/>
        <v>0.11199312313618952</v>
      </c>
      <c r="AC570" s="453">
        <f t="shared" si="1781"/>
        <v>0.11093208011637014</v>
      </c>
      <c r="AD570" s="453">
        <f t="shared" si="1781"/>
        <v>0.12783171521035597</v>
      </c>
      <c r="AE570" s="544">
        <f t="shared" si="1781"/>
        <v>0.11953644202779148</v>
      </c>
      <c r="AF570" s="544">
        <f t="shared" ref="AF570" si="1782">+AF558/AF538</f>
        <v>0.11411691542288557</v>
      </c>
      <c r="AG570" s="971">
        <f t="shared" ref="AG570:BR570" si="1783">+AG558/AG538</f>
        <v>0.12872319190466927</v>
      </c>
      <c r="AH570" s="453">
        <f t="shared" si="1783"/>
        <v>0.12172685081145004</v>
      </c>
      <c r="AI570" s="453">
        <f t="shared" si="1783"/>
        <v>0.12604607314473854</v>
      </c>
      <c r="AJ570" s="453">
        <f t="shared" si="1783"/>
        <v>0.13512312570361029</v>
      </c>
      <c r="AK570" s="453">
        <f t="shared" si="1783"/>
        <v>0.13083808376479747</v>
      </c>
      <c r="AL570" s="453">
        <f t="shared" si="1783"/>
        <v>0.12831013695536378</v>
      </c>
      <c r="AM570" s="453">
        <f t="shared" si="1783"/>
        <v>0.13598842904069341</v>
      </c>
      <c r="AN570" s="453">
        <f t="shared" si="1783"/>
        <v>0.13231852942509631</v>
      </c>
      <c r="AO570" s="453">
        <f t="shared" si="1783"/>
        <v>0.12960742741757811</v>
      </c>
      <c r="AP570" s="453">
        <f t="shared" si="1783"/>
        <v>0.13795573733084684</v>
      </c>
      <c r="AQ570" s="453">
        <f t="shared" si="1783"/>
        <v>0.13395794639749678</v>
      </c>
      <c r="AR570" s="453">
        <f t="shared" si="1783"/>
        <v>0.1296123164568071</v>
      </c>
      <c r="AS570" s="453">
        <f t="shared" si="1783"/>
        <v>0.13793227306198011</v>
      </c>
      <c r="AT570" s="453">
        <f t="shared" si="1783"/>
        <v>0.13394902744711459</v>
      </c>
      <c r="AU570" s="453">
        <f t="shared" si="1783"/>
        <v>0.1296195437033113</v>
      </c>
      <c r="AV570" s="453">
        <f t="shared" si="1783"/>
        <v>0.1379121971371059</v>
      </c>
      <c r="AW570" s="453">
        <f t="shared" si="1783"/>
        <v>0.13394296138903894</v>
      </c>
      <c r="AX570" s="453">
        <f t="shared" si="1783"/>
        <v>0.12962911190368004</v>
      </c>
      <c r="AY570" s="453">
        <f t="shared" si="1783"/>
        <v>0.13789550646882173</v>
      </c>
      <c r="AZ570" s="453">
        <f t="shared" si="1783"/>
        <v>0.13393974871525516</v>
      </c>
      <c r="BA570" s="453">
        <f t="shared" si="1783"/>
        <v>0.12964102267795066</v>
      </c>
      <c r="BB570" s="453">
        <f t="shared" si="1783"/>
        <v>0.13788219638070323</v>
      </c>
      <c r="BC570" s="453">
        <f t="shared" si="1783"/>
        <v>0.13393938852891843</v>
      </c>
      <c r="BD570" s="453">
        <f t="shared" si="1783"/>
        <v>0.12965527652762054</v>
      </c>
      <c r="BE570" s="453">
        <f t="shared" si="1783"/>
        <v>0.13787226063120955</v>
      </c>
      <c r="BF570" s="453">
        <f t="shared" si="1783"/>
        <v>0.13394187856055026</v>
      </c>
      <c r="BG570" s="453">
        <f t="shared" si="1783"/>
        <v>0.12967187284467288</v>
      </c>
      <c r="BH570" s="453">
        <f t="shared" si="1783"/>
        <v>0.13786569143838664</v>
      </c>
      <c r="BI570" s="453">
        <f t="shared" si="1783"/>
        <v>0.13394721518518904</v>
      </c>
      <c r="BJ570" s="453">
        <f t="shared" si="1783"/>
        <v>0.1296908099216014</v>
      </c>
      <c r="BK570" s="453">
        <f t="shared" si="1783"/>
        <v>0.13786247950534913</v>
      </c>
      <c r="BL570" s="453">
        <f t="shared" si="1783"/>
        <v>0.13395539344047491</v>
      </c>
      <c r="BM570" s="453">
        <f t="shared" si="1783"/>
        <v>0.12971208496241959</v>
      </c>
      <c r="BN570" s="453">
        <f t="shared" si="1783"/>
        <v>0.1378626140465202</v>
      </c>
      <c r="BO570" s="453">
        <f t="shared" si="1783"/>
        <v>0.13396640704564911</v>
      </c>
      <c r="BP570" s="453">
        <f t="shared" si="1783"/>
        <v>0.12973569409463981</v>
      </c>
      <c r="BQ570" s="453">
        <f t="shared" si="1783"/>
        <v>0.13786608281461238</v>
      </c>
      <c r="BR570" s="453">
        <f t="shared" si="1783"/>
        <v>0.13398024842144843</v>
      </c>
    </row>
    <row r="571" spans="2:70" s="8" customFormat="1" outlineLevel="1">
      <c r="C571" s="456" t="s">
        <v>570</v>
      </c>
      <c r="D571" s="100" t="s">
        <v>571</v>
      </c>
      <c r="E571" s="96"/>
      <c r="F571" s="96"/>
      <c r="G571" s="96"/>
      <c r="H571" s="96"/>
      <c r="I571" s="96"/>
      <c r="J571" s="96"/>
      <c r="K571" s="96"/>
      <c r="L571" s="96"/>
      <c r="M571" s="96"/>
      <c r="N571" s="96"/>
      <c r="O571" s="96"/>
      <c r="T571" s="64"/>
      <c r="U571" s="64"/>
      <c r="V571" s="64"/>
      <c r="W571" s="455">
        <f>(W570-T570)*10000</f>
        <v>55.158404547666628</v>
      </c>
      <c r="X571" s="455">
        <f>(X570-U570)*10000</f>
        <v>-29.860911295194054</v>
      </c>
      <c r="Y571" s="455">
        <f>(Y570-V570)*10000</f>
        <v>10.459075634745574</v>
      </c>
      <c r="Z571" s="455">
        <f t="shared" ref="Z571:AF571" si="1784">(Z570-W570)*10000</f>
        <v>-3.733272229538426</v>
      </c>
      <c r="AA571" s="455">
        <f t="shared" si="1784"/>
        <v>48.846511119995526</v>
      </c>
      <c r="AB571" s="455">
        <f t="shared" si="1784"/>
        <v>24.06789955449587</v>
      </c>
      <c r="AC571" s="455">
        <f t="shared" si="1784"/>
        <v>34.288374316470275</v>
      </c>
      <c r="AD571" s="455">
        <f t="shared" si="1784"/>
        <v>116.48546690393697</v>
      </c>
      <c r="AE571" s="799">
        <f t="shared" si="1784"/>
        <v>75.43318891601966</v>
      </c>
      <c r="AF571" s="799">
        <f t="shared" si="1784"/>
        <v>31.848353065154349</v>
      </c>
      <c r="AG571" s="990">
        <f t="shared" ref="AG571:BR571" si="1785">(AG570-AD570)*10000</f>
        <v>8.914766943133035</v>
      </c>
      <c r="AH571" s="455">
        <f t="shared" si="1785"/>
        <v>21.904087836585596</v>
      </c>
      <c r="AI571" s="455">
        <f t="shared" si="1785"/>
        <v>119.29157721852962</v>
      </c>
      <c r="AJ571" s="455">
        <f t="shared" si="1785"/>
        <v>63.999337989410208</v>
      </c>
      <c r="AK571" s="455">
        <f t="shared" si="1785"/>
        <v>91.112329533474252</v>
      </c>
      <c r="AL571" s="455">
        <f t="shared" si="1785"/>
        <v>22.640638106252442</v>
      </c>
      <c r="AM571" s="455">
        <f t="shared" si="1785"/>
        <v>8.6530333708312313</v>
      </c>
      <c r="AN571" s="455">
        <f t="shared" si="1785"/>
        <v>14.804456602988402</v>
      </c>
      <c r="AO571" s="455">
        <f t="shared" si="1785"/>
        <v>12.97290462214329</v>
      </c>
      <c r="AP571" s="455">
        <f t="shared" si="1785"/>
        <v>19.673082901534301</v>
      </c>
      <c r="AQ571" s="455">
        <f t="shared" si="1785"/>
        <v>16.394169724004705</v>
      </c>
      <c r="AR571" s="455">
        <f t="shared" si="1785"/>
        <v>4.8890392289890894E-2</v>
      </c>
      <c r="AS571" s="455">
        <f t="shared" si="1785"/>
        <v>-0.23464268866735249</v>
      </c>
      <c r="AT571" s="455">
        <f t="shared" si="1785"/>
        <v>-8.9189503821862637E-2</v>
      </c>
      <c r="AU571" s="455">
        <f t="shared" si="1785"/>
        <v>7.2272465042044765E-2</v>
      </c>
      <c r="AV571" s="455">
        <f t="shared" si="1785"/>
        <v>-0.2007592487421328</v>
      </c>
      <c r="AW571" s="455">
        <f t="shared" si="1785"/>
        <v>-6.0660580756544125E-2</v>
      </c>
      <c r="AX571" s="455">
        <f t="shared" si="1785"/>
        <v>9.5682003687369566E-2</v>
      </c>
      <c r="AY571" s="455">
        <f t="shared" si="1785"/>
        <v>-0.16690668284163879</v>
      </c>
      <c r="AZ571" s="455">
        <f t="shared" si="1785"/>
        <v>-3.2126737837812058E-2</v>
      </c>
      <c r="BA571" s="455">
        <f t="shared" si="1785"/>
        <v>0.11910774270623703</v>
      </c>
      <c r="BB571" s="455">
        <f t="shared" si="1785"/>
        <v>-0.13310088118501096</v>
      </c>
      <c r="BC571" s="455">
        <f t="shared" si="1785"/>
        <v>-3.6018633672862954E-3</v>
      </c>
      <c r="BD571" s="455">
        <f t="shared" si="1785"/>
        <v>0.14253849669881857</v>
      </c>
      <c r="BE571" s="455">
        <f t="shared" si="1785"/>
        <v>-9.9357494936780366E-2</v>
      </c>
      <c r="BF571" s="455">
        <f t="shared" si="1785"/>
        <v>2.4900316318299254E-2</v>
      </c>
      <c r="BG571" s="455">
        <f t="shared" si="1785"/>
        <v>0.1659631705233644</v>
      </c>
      <c r="BH571" s="455">
        <f t="shared" si="1785"/>
        <v>-6.569192822908354E-2</v>
      </c>
      <c r="BI571" s="455">
        <f t="shared" si="1785"/>
        <v>5.3366246387798189E-2</v>
      </c>
      <c r="BJ571" s="455">
        <f t="shared" si="1785"/>
        <v>0.18937076928515761</v>
      </c>
      <c r="BK571" s="455">
        <f t="shared" si="1785"/>
        <v>-3.2119330375113275E-2</v>
      </c>
      <c r="BL571" s="455">
        <f t="shared" si="1785"/>
        <v>8.1782552858733482E-2</v>
      </c>
      <c r="BM571" s="455">
        <f t="shared" si="1785"/>
        <v>0.21275040818197199</v>
      </c>
      <c r="BN571" s="455">
        <f t="shared" si="1785"/>
        <v>1.3454117106515007E-3</v>
      </c>
      <c r="BO571" s="455">
        <f t="shared" si="1785"/>
        <v>0.11013605174192698</v>
      </c>
      <c r="BP571" s="455">
        <f t="shared" si="1785"/>
        <v>0.23609132220214768</v>
      </c>
      <c r="BQ571" s="455">
        <f t="shared" si="1785"/>
        <v>3.4687680921796638E-2</v>
      </c>
      <c r="BR571" s="455">
        <f t="shared" si="1785"/>
        <v>0.13841375799322764</v>
      </c>
    </row>
    <row r="572" spans="2:70" outlineLevel="1">
      <c r="B572" s="678" t="s">
        <v>572</v>
      </c>
      <c r="C572" s="168"/>
    </row>
    <row r="573" spans="2:70" outlineLevel="1">
      <c r="B573" s="678"/>
      <c r="C573" s="663" t="s">
        <v>724</v>
      </c>
      <c r="AB573" s="130"/>
      <c r="AH573" s="130"/>
      <c r="AI573" s="130"/>
      <c r="AJ573" s="130"/>
      <c r="AK573" s="130"/>
      <c r="AL573" s="130"/>
      <c r="AM573" s="130"/>
      <c r="AN573" s="130"/>
      <c r="AO573" s="130"/>
      <c r="AP573" s="130"/>
      <c r="AQ573" s="130"/>
      <c r="AR573" s="130"/>
      <c r="AS573" s="130"/>
      <c r="AT573" s="130"/>
      <c r="AU573" s="130"/>
      <c r="AV573" s="130"/>
      <c r="AW573" s="130"/>
      <c r="AX573" s="130"/>
      <c r="AY573" s="130"/>
      <c r="AZ573" s="130"/>
      <c r="BA573" s="130"/>
      <c r="BB573" s="130"/>
      <c r="BC573" s="130"/>
      <c r="BD573" s="130"/>
      <c r="BE573" s="130"/>
      <c r="BF573" s="130"/>
      <c r="BG573" s="130"/>
      <c r="BH573" s="130"/>
      <c r="BI573" s="130"/>
      <c r="BJ573" s="130"/>
      <c r="BK573" s="130"/>
      <c r="BL573" s="130"/>
      <c r="BM573" s="130"/>
      <c r="BN573" s="130"/>
      <c r="BO573" s="130"/>
      <c r="BP573" s="130"/>
      <c r="BQ573" s="130"/>
      <c r="BR573" s="130"/>
    </row>
    <row r="574" spans="2:70" outlineLevel="1">
      <c r="B574" s="678"/>
      <c r="C574" s="168" t="s">
        <v>574</v>
      </c>
      <c r="W574" s="886">
        <f t="shared" ref="W574:Y574" si="1786">(W575*W269)+(W576*W270)</f>
        <v>0</v>
      </c>
      <c r="X574" s="886">
        <f t="shared" si="1786"/>
        <v>0</v>
      </c>
      <c r="Y574" s="886">
        <f t="shared" si="1786"/>
        <v>0</v>
      </c>
      <c r="Z574" s="886">
        <f t="shared" ref="Z574:AB574" si="1787">(Z575*Z269)+(Z576*Z270)</f>
        <v>0</v>
      </c>
      <c r="AA574" s="886">
        <f>(AA575*AA269)+(AA576*AA270)</f>
        <v>0</v>
      </c>
      <c r="AB574" s="886">
        <f t="shared" si="1787"/>
        <v>0</v>
      </c>
      <c r="AC574" s="886">
        <f t="shared" ref="AC574" si="1788">(AC575*AC269)+(AC576*AC270)</f>
        <v>-8.9727855171577914E-2</v>
      </c>
      <c r="AD574" s="886">
        <f t="shared" ref="AD574:AM574" si="1789">(AD575*AD269)+(AD576*AD270)</f>
        <v>-0.13127941897107381</v>
      </c>
      <c r="AE574" s="886">
        <f>(AE575*AE269)+(AE576*AE270)</f>
        <v>-0.11345483518208892</v>
      </c>
      <c r="AF574" s="886">
        <f>(AF575*AF269)+(AF576*AF270)</f>
        <v>3.0200198366820974E-2</v>
      </c>
      <c r="AG574" s="974">
        <f t="shared" si="1789"/>
        <v>4.7708185234917926E-2</v>
      </c>
      <c r="AH574" s="429">
        <f>(AH575*AH269)+(AH576*AH270)</f>
        <v>2.6026857926919649E-2</v>
      </c>
      <c r="AI574" s="429">
        <f>(AI575*AI269)+(AI576*AI270)</f>
        <v>2.3655741633953883E-2</v>
      </c>
      <c r="AJ574" s="429">
        <f t="shared" si="1789"/>
        <v>3.7298487212388501E-2</v>
      </c>
      <c r="AK574" s="429">
        <f>(AK575*AK269)+(AK576*AK270)</f>
        <v>2.9823788015707897E-2</v>
      </c>
      <c r="AL574" s="429">
        <f>(AL575*AL269)+(AL576*AL270)</f>
        <v>9.0971873131071065E-2</v>
      </c>
      <c r="AM574" s="429">
        <f t="shared" si="1789"/>
        <v>6.530355543470423E-2</v>
      </c>
      <c r="AN574" s="429">
        <f>(AN575*AN269)+(AN576*AN270)</f>
        <v>7.7810879624424026E-2</v>
      </c>
      <c r="AO574" s="429">
        <f>(AO575*AO269)+(AO576*AO270)</f>
        <v>3.0711202844992236E-2</v>
      </c>
      <c r="AP574" s="429">
        <f t="shared" ref="AP574" si="1790">(AP575*AP269)+(AP576*AP270)</f>
        <v>2.604226024627148E-2</v>
      </c>
      <c r="AQ574" s="429">
        <f>(AQ575*AQ269)+(AQ576*AQ270)</f>
        <v>2.8350967223719596E-2</v>
      </c>
      <c r="AR574" s="429">
        <f>(AR575*AR269)+(AR576*AR270)</f>
        <v>2.874874010324174E-2</v>
      </c>
      <c r="AS574" s="429">
        <f t="shared" ref="AS574" si="1791">(AS575*AS269)+(AS576*AS270)</f>
        <v>2.9122418343443625E-2</v>
      </c>
      <c r="AT574" s="429">
        <f>(AT575*AT269)+(AT576*AT270)</f>
        <v>2.8933947715457688E-2</v>
      </c>
      <c r="AU574" s="429">
        <f>(AU575*AU269)+(AU576*AU270)</f>
        <v>2.8991238518747912E-2</v>
      </c>
      <c r="AV574" s="429">
        <f t="shared" ref="AV574" si="1792">(AV575*AV269)+(AV576*AV270)</f>
        <v>2.9361941069593053E-2</v>
      </c>
      <c r="AW574" s="429">
        <f>(AW575*AW269)+(AW576*AW270)</f>
        <v>2.917499768147765E-2</v>
      </c>
      <c r="AX574" s="429">
        <f>(AX575*AX269)+(AX576*AX270)</f>
        <v>2.9231257284842844E-2</v>
      </c>
      <c r="AY574" s="429">
        <f t="shared" ref="AY574" si="1793">(AY575*AY269)+(AY576*AY270)</f>
        <v>2.9598993128462706E-2</v>
      </c>
      <c r="AZ574" s="429">
        <f>(AZ575*AZ269)+(AZ576*AZ270)</f>
        <v>2.9413572796833293E-2</v>
      </c>
      <c r="BA574" s="429">
        <f>(BA575*BA269)+(BA576*BA270)</f>
        <v>2.9468778156893752E-2</v>
      </c>
      <c r="BB574" s="429">
        <f t="shared" ref="BB574" si="1794">(BB575*BB269)+(BB576*BB270)</f>
        <v>2.9833560297481153E-2</v>
      </c>
      <c r="BC574" s="429">
        <f>(BC575*BC269)+(BC576*BC270)</f>
        <v>2.9649656820791813E-2</v>
      </c>
      <c r="BD574" s="429">
        <f>(BD575*BD269)+(BD576*BD270)</f>
        <v>2.97037861419868E-2</v>
      </c>
      <c r="BE574" s="429">
        <f t="shared" ref="BE574" si="1795">(BE575*BE269)+(BE576*BE270)</f>
        <v>3.0065631420423417E-2</v>
      </c>
      <c r="BF574" s="429">
        <f>(BF575*BF269)+(BF576*BF270)</f>
        <v>2.9883236672010555E-2</v>
      </c>
      <c r="BG574" s="429">
        <f>(BG575*BG269)+(BG576*BG270)</f>
        <v>2.9936269405411258E-2</v>
      </c>
      <c r="BH574" s="429">
        <f t="shared" ref="BH574" si="1796">(BH575*BH269)+(BH576*BH270)</f>
        <v>3.0295198309905836E-2</v>
      </c>
      <c r="BI574" s="429">
        <f>(BI575*BI269)+(BI576*BI270)</f>
        <v>3.0114302332963097E-2</v>
      </c>
      <c r="BJ574" s="429">
        <f>(BJ575*BJ269)+(BJ576*BJ270)</f>
        <v>3.0166219172387411E-2</v>
      </c>
      <c r="BK574" s="429">
        <f t="shared" ref="BK574" si="1797">(BK575*BK269)+(BK576*BK270)</f>
        <v>3.05222556459755E-2</v>
      </c>
      <c r="BL574" s="429">
        <f>(BL575*BL269)+(BL576*BL270)</f>
        <v>3.0342846750033139E-2</v>
      </c>
      <c r="BM574" s="429">
        <f>(BM575*BM269)+(BM576*BM270)</f>
        <v>3.0393629625609805E-2</v>
      </c>
      <c r="BN574" s="429">
        <f t="shared" ref="BN574" si="1798">(BN575*BN269)+(BN576*BN270)</f>
        <v>3.074680087133775E-2</v>
      </c>
      <c r="BO574" s="429">
        <f>(BO575*BO269)+(BO576*BO270)</f>
        <v>3.0568865729839814E-2</v>
      </c>
      <c r="BP574" s="429">
        <f>(BP575*BP269)+(BP576*BP270)</f>
        <v>3.0618497799167674E-2</v>
      </c>
      <c r="BQ574" s="429">
        <f t="shared" ref="BQ574" si="1799">(BQ575*BQ269)+(BQ576*BQ270)</f>
        <v>3.09688340837521E-2</v>
      </c>
      <c r="BR574" s="429">
        <f>(BR575*BR269)+(BR576*BR270)</f>
        <v>3.0792357832337323E-2</v>
      </c>
    </row>
    <row r="575" spans="2:70" outlineLevel="1">
      <c r="B575" s="678"/>
      <c r="C575" s="658" t="s">
        <v>306</v>
      </c>
      <c r="W575" s="886">
        <f>+W1159+((W259/T259)-1)</f>
        <v>-1.2032607533464579E-2</v>
      </c>
      <c r="X575" s="886">
        <f>+W1159+((X259/U259)-1)</f>
        <v>-0.20177515544900892</v>
      </c>
      <c r="Y575" s="886">
        <f>+V1159+((Y259/V259)-1)</f>
        <v>-0.1142835446164896</v>
      </c>
      <c r="Z575" s="886">
        <f>+Z1159+((Z259/W259)-1)</f>
        <v>-0.16839569361378581</v>
      </c>
      <c r="AA575" s="886">
        <f>+Z1159+((AA259/X259)-1)</f>
        <v>2.0030675150042532E-2</v>
      </c>
      <c r="AB575" s="886">
        <f>+Y1159+((AB259/Y259)-1)</f>
        <v>-7.6743828083435384E-2</v>
      </c>
      <c r="AC575" s="886">
        <f>+AC1159+((AC259/Z259)-1)</f>
        <v>-5.7710831368119608E-3</v>
      </c>
      <c r="AD575" s="886">
        <f>+AC1159+((AD259/AA259)-1)</f>
        <v>-2.9336328627405761E-2</v>
      </c>
      <c r="AE575" s="886">
        <f>+AB1159+((AE259/AB259)-1)</f>
        <v>-1.8438742101209327E-2</v>
      </c>
      <c r="AF575" s="886">
        <f t="shared" ref="AF575:BR575" si="1800">+AF1159+((AF259/AC259)-1)</f>
        <v>3.4263128826657947E-2</v>
      </c>
      <c r="AG575" s="974">
        <f t="shared" si="1800"/>
        <v>5.2296575196477908E-2</v>
      </c>
      <c r="AH575" s="429">
        <f t="shared" si="1800"/>
        <v>2.7544232015817377E-2</v>
      </c>
      <c r="AI575" s="429">
        <f t="shared" si="1800"/>
        <v>2.2616463902474251E-2</v>
      </c>
      <c r="AJ575" s="429">
        <f t="shared" si="1800"/>
        <v>3.4843770415262793E-2</v>
      </c>
      <c r="AK575" s="429">
        <f t="shared" si="1800"/>
        <v>2.7973958897129388E-2</v>
      </c>
      <c r="AL575" s="429">
        <f t="shared" si="1800"/>
        <v>8.7034450368746019E-2</v>
      </c>
      <c r="AM575" s="429">
        <f t="shared" si="1800"/>
        <v>6.0109463385100648E-2</v>
      </c>
      <c r="AN575" s="429">
        <f t="shared" si="1800"/>
        <v>7.3078028218953234E-2</v>
      </c>
      <c r="AO575" s="429">
        <f t="shared" si="1800"/>
        <v>2.6757305583257635E-2</v>
      </c>
      <c r="AP575" s="429">
        <f t="shared" si="1800"/>
        <v>2.4316964599361508E-2</v>
      </c>
      <c r="AQ575" s="429">
        <f t="shared" si="1800"/>
        <v>2.5509639673941632E-2</v>
      </c>
      <c r="AR575" s="429">
        <f t="shared" si="1800"/>
        <v>2.748472615240577E-2</v>
      </c>
      <c r="AS575" s="429">
        <f t="shared" si="1800"/>
        <v>2.8073112544859096E-2</v>
      </c>
      <c r="AT575" s="429">
        <f t="shared" si="1800"/>
        <v>2.7780489393036522E-2</v>
      </c>
      <c r="AU575" s="429">
        <f t="shared" si="1800"/>
        <v>2.778015990414082E-2</v>
      </c>
      <c r="AV575" s="429">
        <f t="shared" si="1800"/>
        <v>2.8360478690892248E-2</v>
      </c>
      <c r="AW575" s="429">
        <f t="shared" si="1800"/>
        <v>2.8071910778114693E-2</v>
      </c>
      <c r="AX575" s="429">
        <f t="shared" si="1800"/>
        <v>2.8073516079366818E-2</v>
      </c>
      <c r="AY575" s="429">
        <f t="shared" si="1800"/>
        <v>2.8645645134108486E-2</v>
      </c>
      <c r="AZ575" s="429">
        <f t="shared" si="1800"/>
        <v>2.8361190908396533E-2</v>
      </c>
      <c r="BA575" s="429">
        <f t="shared" si="1800"/>
        <v>2.8364718496054445E-2</v>
      </c>
      <c r="BB575" s="429">
        <f t="shared" si="1800"/>
        <v>2.8928547592627044E-2</v>
      </c>
      <c r="BC575" s="429">
        <f t="shared" si="1800"/>
        <v>2.8648259611320465E-2</v>
      </c>
      <c r="BD575" s="429">
        <f t="shared" si="1800"/>
        <v>2.8653694937941978E-2</v>
      </c>
      <c r="BE575" s="429">
        <f t="shared" si="1800"/>
        <v>2.9209125652255925E-2</v>
      </c>
      <c r="BF575" s="429">
        <f t="shared" si="1800"/>
        <v>2.8933050637914709E-2</v>
      </c>
      <c r="BG575" s="429">
        <f t="shared" si="1800"/>
        <v>2.8940377178627814E-2</v>
      </c>
      <c r="BH575" s="429">
        <f t="shared" si="1800"/>
        <v>2.948732275987825E-2</v>
      </c>
      <c r="BI575" s="429">
        <f t="shared" si="1800"/>
        <v>2.9215501670982108E-2</v>
      </c>
      <c r="BJ575" s="429">
        <f t="shared" si="1800"/>
        <v>2.9224700993348146E-2</v>
      </c>
      <c r="BK575" s="429">
        <f t="shared" si="1800"/>
        <v>2.9763086206101207E-2</v>
      </c>
      <c r="BL575" s="429">
        <f t="shared" si="1800"/>
        <v>2.9495554321743628E-2</v>
      </c>
      <c r="BM575" s="429">
        <f t="shared" si="1800"/>
        <v>2.9506606158828521E-2</v>
      </c>
      <c r="BN575" s="429">
        <f t="shared" si="1800"/>
        <v>3.0036367097644838E-2</v>
      </c>
      <c r="BO575" s="429">
        <f t="shared" si="1800"/>
        <v>2.9773154115379001E-2</v>
      </c>
      <c r="BP575" s="429">
        <f t="shared" si="1800"/>
        <v>2.9786036441646097E-2</v>
      </c>
      <c r="BQ575" s="429">
        <f t="shared" si="1800"/>
        <v>3.0307120319980813E-2</v>
      </c>
      <c r="BR575" s="429">
        <f t="shared" si="1800"/>
        <v>3.0048250465944601E-2</v>
      </c>
    </row>
    <row r="576" spans="2:70" outlineLevel="1">
      <c r="B576" s="678"/>
      <c r="C576" s="658" t="s">
        <v>307</v>
      </c>
      <c r="W576" s="886">
        <f>+W1451</f>
        <v>0.11827956989247305</v>
      </c>
      <c r="X576" s="886">
        <f t="shared" ref="X576:Y576" si="1801">+X1451</f>
        <v>0.21657387580299794</v>
      </c>
      <c r="Y576" s="886">
        <f t="shared" si="1801"/>
        <v>0.15557939914163099</v>
      </c>
      <c r="Z576" s="886">
        <f>+Z1451</f>
        <v>-4.4230769230769129E-2</v>
      </c>
      <c r="AA576" s="886">
        <f t="shared" ref="AA576:AB576" si="1802">+AA1451</f>
        <v>0.13439856373429082</v>
      </c>
      <c r="AB576" s="886">
        <f t="shared" si="1802"/>
        <v>5.8495821727019504E-2</v>
      </c>
      <c r="AC576" s="886">
        <f>+AC1451</f>
        <v>-0.45875251509054327</v>
      </c>
      <c r="AD576" s="886">
        <f t="shared" ref="AD576:AE576" si="1803">+AD1451</f>
        <v>-0.61599274235355117</v>
      </c>
      <c r="AE576" s="886">
        <f t="shared" si="1803"/>
        <v>-0.54744152046783634</v>
      </c>
      <c r="AF576" s="886">
        <f>+AF1451</f>
        <v>1.3011152416356947E-2</v>
      </c>
      <c r="AG576" s="974">
        <f t="shared" ref="AG576:AN576" si="1804">+AG1451</f>
        <v>2.599326169184531E-2</v>
      </c>
      <c r="AH576" s="429">
        <f t="shared" si="1804"/>
        <v>1.9238547194540993E-2</v>
      </c>
      <c r="AI576" s="429">
        <f t="shared" si="1804"/>
        <v>2.8028470096865467E-2</v>
      </c>
      <c r="AJ576" s="429">
        <f t="shared" si="1804"/>
        <v>4.8788229000143526E-2</v>
      </c>
      <c r="AK576" s="429">
        <f t="shared" si="1804"/>
        <v>3.8039721899691514E-2</v>
      </c>
      <c r="AL576" s="429">
        <f t="shared" si="1804"/>
        <v>0.10723159540799503</v>
      </c>
      <c r="AM576" s="429">
        <f t="shared" si="1804"/>
        <v>8.898890490194554E-2</v>
      </c>
      <c r="AN576" s="429">
        <f t="shared" si="1804"/>
        <v>9.8343088763006792E-2</v>
      </c>
      <c r="AO576" s="429">
        <f t="shared" ref="AO576:BR576" si="1805">+AO1451</f>
        <v>4.6719042229832565E-2</v>
      </c>
      <c r="AP576" s="429">
        <f t="shared" si="1805"/>
        <v>3.3833750000000003E-2</v>
      </c>
      <c r="AQ576" s="429">
        <f t="shared" si="1805"/>
        <v>4.0494325149520227E-2</v>
      </c>
      <c r="AR576" s="429">
        <f t="shared" si="1805"/>
        <v>3.3833749999999996E-2</v>
      </c>
      <c r="AS576" s="429">
        <f t="shared" si="1805"/>
        <v>3.3833749999999996E-2</v>
      </c>
      <c r="AT576" s="429">
        <f t="shared" si="1805"/>
        <v>3.3833750000000107E-2</v>
      </c>
      <c r="AU576" s="429">
        <f t="shared" si="1805"/>
        <v>3.3833749999999996E-2</v>
      </c>
      <c r="AV576" s="429">
        <f t="shared" si="1805"/>
        <v>3.3833749999999996E-2</v>
      </c>
      <c r="AW576" s="429">
        <f t="shared" si="1805"/>
        <v>3.3833749999999885E-2</v>
      </c>
      <c r="AX576" s="429">
        <f t="shared" si="1805"/>
        <v>3.3833749999999996E-2</v>
      </c>
      <c r="AY576" s="429">
        <f t="shared" si="1805"/>
        <v>3.3833749999999996E-2</v>
      </c>
      <c r="AZ576" s="429">
        <f t="shared" si="1805"/>
        <v>3.3833749999999663E-2</v>
      </c>
      <c r="BA576" s="429">
        <f t="shared" si="1805"/>
        <v>3.3833749999999996E-2</v>
      </c>
      <c r="BB576" s="429">
        <f t="shared" si="1805"/>
        <v>3.3833749999999996E-2</v>
      </c>
      <c r="BC576" s="429">
        <f t="shared" si="1805"/>
        <v>3.3833750000000107E-2</v>
      </c>
      <c r="BD576" s="429">
        <f t="shared" si="1805"/>
        <v>3.3833749999999996E-2</v>
      </c>
      <c r="BE576" s="429">
        <f t="shared" si="1805"/>
        <v>3.3833749999999996E-2</v>
      </c>
      <c r="BF576" s="429">
        <f t="shared" si="1805"/>
        <v>3.3833749999999663E-2</v>
      </c>
      <c r="BG576" s="429">
        <f t="shared" si="1805"/>
        <v>3.3833749999999996E-2</v>
      </c>
      <c r="BH576" s="429">
        <f t="shared" si="1805"/>
        <v>3.3833749999999989E-2</v>
      </c>
      <c r="BI576" s="429">
        <f t="shared" si="1805"/>
        <v>3.3833750000000107E-2</v>
      </c>
      <c r="BJ576" s="429">
        <f t="shared" si="1805"/>
        <v>3.3833749999999996E-2</v>
      </c>
      <c r="BK576" s="429">
        <f t="shared" si="1805"/>
        <v>3.3833750000000003E-2</v>
      </c>
      <c r="BL576" s="429">
        <f t="shared" si="1805"/>
        <v>3.3833749999999663E-2</v>
      </c>
      <c r="BM576" s="429">
        <f t="shared" si="1805"/>
        <v>3.3833749999999996E-2</v>
      </c>
      <c r="BN576" s="429">
        <f t="shared" si="1805"/>
        <v>3.3833749999999996E-2</v>
      </c>
      <c r="BO576" s="429">
        <f t="shared" si="1805"/>
        <v>3.3833749999999885E-2</v>
      </c>
      <c r="BP576" s="429">
        <f t="shared" si="1805"/>
        <v>3.3833749999999996E-2</v>
      </c>
      <c r="BQ576" s="429">
        <f t="shared" si="1805"/>
        <v>3.3833749999999996E-2</v>
      </c>
      <c r="BR576" s="429">
        <f t="shared" si="1805"/>
        <v>3.3833749999999885E-2</v>
      </c>
    </row>
    <row r="577" spans="2:70" outlineLevel="1">
      <c r="B577" s="678"/>
      <c r="C577" s="168" t="s">
        <v>575</v>
      </c>
      <c r="W577" s="886">
        <f t="shared" ref="W577:Y577" si="1806">(W578*W272)+(W579*W273)</f>
        <v>0</v>
      </c>
      <c r="X577" s="886">
        <f t="shared" si="1806"/>
        <v>0</v>
      </c>
      <c r="Y577" s="886">
        <f t="shared" si="1806"/>
        <v>0</v>
      </c>
      <c r="Z577" s="886">
        <f t="shared" ref="Z577:AB577" si="1807">(Z578*Z272)+(Z579*Z273)</f>
        <v>0</v>
      </c>
      <c r="AA577" s="886">
        <f t="shared" si="1807"/>
        <v>0</v>
      </c>
      <c r="AB577" s="886">
        <f t="shared" si="1807"/>
        <v>0</v>
      </c>
      <c r="AC577" s="886">
        <f t="shared" ref="AC577" si="1808">(AC578*AC272)+(AC579*AC273)</f>
        <v>-7.7896036751004816E-3</v>
      </c>
      <c r="AD577" s="886">
        <f t="shared" ref="AD577:AM577" si="1809">(AD578*AD272)+(AD579*AD273)</f>
        <v>3.1641932239998664E-3</v>
      </c>
      <c r="AE577" s="886">
        <f t="shared" si="1809"/>
        <v>-2.670342450328338E-3</v>
      </c>
      <c r="AF577" s="886">
        <f>(AF578*AF272)+(AF579*AF273)</f>
        <v>-1.1582446021501047E-2</v>
      </c>
      <c r="AG577" s="974">
        <f t="shared" si="1809"/>
        <v>6.5707745159676006E-2</v>
      </c>
      <c r="AH577" s="429">
        <f>(AH578*AH272)+(AH579*AH273)</f>
        <v>2.8187224946641942E-2</v>
      </c>
      <c r="AI577" s="429">
        <f>(AI578*AI272)+(AI579*AI273)</f>
        <v>7.9537793676183535E-3</v>
      </c>
      <c r="AJ577" s="429">
        <f t="shared" si="1809"/>
        <v>2.0608068969189808E-2</v>
      </c>
      <c r="AK577" s="429">
        <f>(AK578*AK272)+(AK579*AK273)</f>
        <v>3.0158909976542268E-3</v>
      </c>
      <c r="AL577" s="429">
        <f>(AL578*AL272)+(AL579*AL273)</f>
        <v>5.9462533372998547E-2</v>
      </c>
      <c r="AM577" s="429">
        <f t="shared" si="1809"/>
        <v>3.3157487259881047E-2</v>
      </c>
      <c r="AN577" s="429">
        <f>(AN578*AN272)+(AN579*AN273)</f>
        <v>4.553666634419426E-2</v>
      </c>
      <c r="AO577" s="429">
        <f>(AO578*AO272)+(AO579*AO273)</f>
        <v>1.5211327649055369E-2</v>
      </c>
      <c r="AP577" s="429">
        <f t="shared" ref="AP577" si="1810">(AP578*AP272)+(AP579*AP273)</f>
        <v>1.2393710396625793E-2</v>
      </c>
      <c r="AQ577" s="429">
        <f>(AQ578*AQ272)+(AQ579*AQ273)</f>
        <v>1.3679952593475854E-2</v>
      </c>
      <c r="AR577" s="429">
        <f>(AR578*AR272)+(AR579*AR273)</f>
        <v>1.1401987440435189E-2</v>
      </c>
      <c r="AS577" s="429">
        <f t="shared" ref="AS577" si="1811">(AS578*AS272)+(AS579*AS273)</f>
        <v>1.2545499807798059E-2</v>
      </c>
      <c r="AT577" s="429">
        <f>(AT578*AT272)+(AT579*AT273)</f>
        <v>1.2008512120112846E-2</v>
      </c>
      <c r="AU577" s="429">
        <f>(AU578*AU272)+(AU579*AU273)</f>
        <v>1.1554629804434115E-2</v>
      </c>
      <c r="AV577" s="429">
        <f t="shared" ref="AV577" si="1812">(AV578*AV272)+(AV579*AV273)</f>
        <v>1.2696348162477823E-2</v>
      </c>
      <c r="AW577" s="429">
        <f>(AW578*AW272)+(AW579*AW273)</f>
        <v>1.2160534166098382E-2</v>
      </c>
      <c r="AX577" s="429">
        <f>(AX578*AX272)+(AX579*AX273)</f>
        <v>1.170613182507475E-2</v>
      </c>
      <c r="AY577" s="429">
        <f t="shared" ref="AY577" si="1813">(AY578*AY272)+(AY579*AY273)</f>
        <v>1.2846271548205591E-2</v>
      </c>
      <c r="AZ577" s="429">
        <f>(AZ578*AZ272)+(AZ579*AZ273)</f>
        <v>1.2311529112015839E-2</v>
      </c>
      <c r="BA577" s="429">
        <f>(BA578*BA272)+(BA579*BA273)</f>
        <v>1.1856511916794795E-2</v>
      </c>
      <c r="BB577" s="429">
        <f t="shared" ref="BB577" si="1814">(BB578*BB272)+(BB579*BB273)</f>
        <v>1.299528607856101E-2</v>
      </c>
      <c r="BC577" s="429">
        <f>(BC578*BC272)+(BC579*BC273)</f>
        <v>1.2461514395215341E-2</v>
      </c>
      <c r="BD577" s="429">
        <f>(BD578*BD272)+(BD579*BD273)</f>
        <v>1.2005788778692225E-2</v>
      </c>
      <c r="BE577" s="429">
        <f t="shared" ref="BE577" si="1815">(BE578*BE272)+(BE579*BE273)</f>
        <v>1.3143407859737853E-2</v>
      </c>
      <c r="BF577" s="429">
        <f>(BF578*BF272)+(BF579*BF273)</f>
        <v>1.2610507577660654E-2</v>
      </c>
      <c r="BG577" s="429">
        <f>(BG578*BG272)+(BG579*BG273)</f>
        <v>1.2153981351455911E-2</v>
      </c>
      <c r="BH577" s="429">
        <f t="shared" ref="BH577" si="1816">(BH578*BH272)+(BH579*BH273)</f>
        <v>1.3290652958315633E-2</v>
      </c>
      <c r="BI577" s="429">
        <f>(BI578*BI272)+(BI579*BI273)</f>
        <v>1.2758526308254966E-2</v>
      </c>
      <c r="BJ577" s="429">
        <f>(BJ578*BJ272)+(BJ579*BJ273)</f>
        <v>1.2301108775440765E-2</v>
      </c>
      <c r="BK577" s="429">
        <f t="shared" ref="BK577" si="1817">(BK578*BK272)+(BK579*BK273)</f>
        <v>1.3437037370244504E-2</v>
      </c>
      <c r="BL577" s="429">
        <f>(BL578*BL272)+(BL579*BL273)</f>
        <v>1.2905588286364626E-2</v>
      </c>
      <c r="BM577" s="429">
        <f>(BM578*BM272)+(BM579*BM273)</f>
        <v>1.2447190349924097E-2</v>
      </c>
      <c r="BN577" s="429">
        <f t="shared" ref="BN577" si="1818">(BN578*BN272)+(BN579*BN273)</f>
        <v>1.358257699105643E-2</v>
      </c>
      <c r="BO577" s="429">
        <f>(BO578*BO272)+(BO579*BO273)</f>
        <v>1.305171122656962E-2</v>
      </c>
      <c r="BP577" s="429">
        <f>(BP578*BP272)+(BP579*BP273)</f>
        <v>1.2592245493574865E-2</v>
      </c>
      <c r="BQ577" s="429">
        <f t="shared" ref="BQ577" si="1819">(BQ578*BQ272)+(BQ579*BQ273)</f>
        <v>1.3727287587312521E-2</v>
      </c>
      <c r="BR577" s="429">
        <f>(BR578*BR272)+(BR579*BR273)</f>
        <v>1.3196912824658869E-2</v>
      </c>
    </row>
    <row r="578" spans="2:70" outlineLevel="1">
      <c r="B578" s="678"/>
      <c r="C578" s="658" t="s">
        <v>306</v>
      </c>
      <c r="W578" s="886">
        <f t="shared" ref="W578:BR578" si="1820">+W1160+((W259/T259)-1)</f>
        <v>-1.2032607533464579E-2</v>
      </c>
      <c r="X578" s="886">
        <f t="shared" si="1820"/>
        <v>-0.20177515544900892</v>
      </c>
      <c r="Y578" s="886">
        <f t="shared" si="1820"/>
        <v>-0.1142835446164896</v>
      </c>
      <c r="Z578" s="886">
        <f t="shared" si="1820"/>
        <v>-0.16839569361378581</v>
      </c>
      <c r="AA578" s="886">
        <f t="shared" si="1820"/>
        <v>2.0030675150042532E-2</v>
      </c>
      <c r="AB578" s="886">
        <f t="shared" si="1820"/>
        <v>-7.6743828083435384E-2</v>
      </c>
      <c r="AC578" s="886">
        <f t="shared" si="1820"/>
        <v>-5.7710831368119608E-3</v>
      </c>
      <c r="AD578" s="886">
        <f t="shared" si="1820"/>
        <v>-2.9336328627405761E-2</v>
      </c>
      <c r="AE578" s="886">
        <f t="shared" si="1820"/>
        <v>-1.8438742101209327E-2</v>
      </c>
      <c r="AF578" s="886">
        <f t="shared" si="1820"/>
        <v>7.0141378792831E-2</v>
      </c>
      <c r="AG578" s="974">
        <f t="shared" si="1820"/>
        <v>8.1569399844142326E-2</v>
      </c>
      <c r="AH578" s="429">
        <f t="shared" si="1820"/>
        <v>6.2030332696849606E-2</v>
      </c>
      <c r="AI578" s="429">
        <f t="shared" si="1820"/>
        <v>-1.6533225302258262E-2</v>
      </c>
      <c r="AJ578" s="429">
        <f t="shared" si="1820"/>
        <v>1.1857755630107025E-2</v>
      </c>
      <c r="AK578" s="429">
        <f t="shared" si="1820"/>
        <v>-3.342064597205277E-3</v>
      </c>
      <c r="AL578" s="429">
        <f t="shared" si="1820"/>
        <v>7.9485104077859914E-2</v>
      </c>
      <c r="AM578" s="429">
        <f t="shared" si="1820"/>
        <v>3.914103537393749E-2</v>
      </c>
      <c r="AN578" s="429">
        <f t="shared" si="1820"/>
        <v>5.8876849781613581E-2</v>
      </c>
      <c r="AO578" s="429">
        <f t="shared" si="1820"/>
        <v>1.164097726181846E-2</v>
      </c>
      <c r="AP578" s="429">
        <f t="shared" si="1820"/>
        <v>1.0256016440928781E-2</v>
      </c>
      <c r="AQ578" s="429">
        <f t="shared" si="1820"/>
        <v>1.0879014020917555E-2</v>
      </c>
      <c r="AR578" s="429">
        <f t="shared" si="1820"/>
        <v>9.8442293643186893E-3</v>
      </c>
      <c r="AS578" s="429">
        <f t="shared" si="1820"/>
        <v>1.036994878893932E-2</v>
      </c>
      <c r="AT578" s="429">
        <f t="shared" si="1820"/>
        <v>1.0113110748787804E-2</v>
      </c>
      <c r="AU578" s="429">
        <f t="shared" si="1820"/>
        <v>9.9717670066590321E-3</v>
      </c>
      <c r="AV578" s="429">
        <f t="shared" si="1820"/>
        <v>1.048190741042403E-2</v>
      </c>
      <c r="AW578" s="429">
        <f t="shared" si="1820"/>
        <v>1.0232742268579436E-2</v>
      </c>
      <c r="AX578" s="429">
        <f t="shared" si="1820"/>
        <v>1.0097146210059514E-2</v>
      </c>
      <c r="AY578" s="429">
        <f t="shared" si="1820"/>
        <v>1.0591928529456916E-2</v>
      </c>
      <c r="AZ578" s="429">
        <f t="shared" si="1820"/>
        <v>1.0350323122238126E-2</v>
      </c>
      <c r="BA578" s="429">
        <f t="shared" si="1820"/>
        <v>1.0220400487508313E-2</v>
      </c>
      <c r="BB578" s="429">
        <f t="shared" si="1820"/>
        <v>1.0700048715093752E-2</v>
      </c>
      <c r="BC578" s="429">
        <f t="shared" si="1820"/>
        <v>1.0465888682762053E-2</v>
      </c>
      <c r="BD578" s="429">
        <f t="shared" si="1820"/>
        <v>1.0341564066806067E-2</v>
      </c>
      <c r="BE578" s="429">
        <f t="shared" si="1820"/>
        <v>1.0806304819886857E-2</v>
      </c>
      <c r="BF578" s="429">
        <f t="shared" si="1820"/>
        <v>1.0579474809799597E-2</v>
      </c>
      <c r="BG578" s="429">
        <f t="shared" si="1820"/>
        <v>1.046067181405152E-2</v>
      </c>
      <c r="BH578" s="429">
        <f t="shared" si="1820"/>
        <v>1.0910733921048552E-2</v>
      </c>
      <c r="BI578" s="429">
        <f t="shared" si="1820"/>
        <v>1.0691117781867283E-2</v>
      </c>
      <c r="BJ578" s="429">
        <f t="shared" si="1820"/>
        <v>1.0577759159708058E-2</v>
      </c>
      <c r="BK578" s="429">
        <f t="shared" si="1820"/>
        <v>1.101337326425309E-2</v>
      </c>
      <c r="BL578" s="429">
        <f t="shared" si="1820"/>
        <v>1.0800854231228502E-2</v>
      </c>
      <c r="BM578" s="429">
        <f t="shared" si="1820"/>
        <v>1.0692862027299237E-2</v>
      </c>
      <c r="BN578" s="429">
        <f t="shared" si="1820"/>
        <v>1.1114260210058272E-2</v>
      </c>
      <c r="BO578" s="429">
        <f t="shared" si="1820"/>
        <v>1.0908721081446382E-2</v>
      </c>
      <c r="BP578" s="429">
        <f t="shared" si="1820"/>
        <v>1.0806016764768823E-2</v>
      </c>
      <c r="BQ578" s="429">
        <f t="shared" si="1820"/>
        <v>1.1213432182920391E-2</v>
      </c>
      <c r="BR578" s="429">
        <f t="shared" si="1820"/>
        <v>1.1014755487613753E-2</v>
      </c>
    </row>
    <row r="579" spans="2:70" outlineLevel="1">
      <c r="B579" s="678"/>
      <c r="C579" s="658" t="s">
        <v>307</v>
      </c>
      <c r="W579" s="886">
        <f>+W1452</f>
        <v>1.6553067185978522E-2</v>
      </c>
      <c r="X579" s="886">
        <f t="shared" ref="X579:Y579" si="1821">+X1452</f>
        <v>-3.1553398058252496E-2</v>
      </c>
      <c r="Y579" s="886">
        <f t="shared" si="1821"/>
        <v>-9.7216084843128048E-3</v>
      </c>
      <c r="Z579" s="886">
        <f>+Z1452</f>
        <v>2.011494252873559E-2</v>
      </c>
      <c r="AA579" s="886">
        <f t="shared" ref="AA579:AB579" si="1822">+AA1452</f>
        <v>-5.2910052910052831E-2</v>
      </c>
      <c r="AB579" s="886">
        <f t="shared" si="1822"/>
        <v>-1.8890376320095215E-2</v>
      </c>
      <c r="AC579" s="886">
        <f>+AC1452</f>
        <v>-1.126760563380283E-2</v>
      </c>
      <c r="AD579" s="886">
        <f t="shared" ref="AD579:AE579" si="1823">+AD1452</f>
        <v>5.3935185185185246E-2</v>
      </c>
      <c r="AE579" s="886">
        <f t="shared" si="1823"/>
        <v>2.3154412870245181E-2</v>
      </c>
      <c r="AF579" s="886">
        <f>+AF1452</f>
        <v>-0.16513619996954654</v>
      </c>
      <c r="AG579" s="974">
        <f t="shared" ref="AG579:AN579" si="1824">+AG1452</f>
        <v>4.0021513768499432E-2</v>
      </c>
      <c r="AH579" s="429">
        <f t="shared" si="1824"/>
        <v>-3.0547908797389303E-2</v>
      </c>
      <c r="AI579" s="429">
        <f t="shared" si="1824"/>
        <v>5.36940914647367E-2</v>
      </c>
      <c r="AJ579" s="429">
        <f t="shared" si="1824"/>
        <v>3.4442235485525073E-2</v>
      </c>
      <c r="AK579" s="429">
        <f t="shared" si="1824"/>
        <v>1.3860088028941231E-2</v>
      </c>
      <c r="AL579" s="429">
        <f t="shared" si="1824"/>
        <v>1.9977435853959023E-2</v>
      </c>
      <c r="AM579" s="429">
        <f t="shared" si="1824"/>
        <v>2.355165195721021E-2</v>
      </c>
      <c r="AN579" s="429">
        <f t="shared" si="1824"/>
        <v>2.1989438713498455E-2</v>
      </c>
      <c r="AO579" s="429">
        <f t="shared" ref="AO579:BR579" si="1825">+AO1452</f>
        <v>2.2179330272653473E-2</v>
      </c>
      <c r="AP579" s="429">
        <f t="shared" si="1825"/>
        <v>1.580651016619589E-2</v>
      </c>
      <c r="AQ579" s="429">
        <f t="shared" si="1825"/>
        <v>1.8586449534525817E-2</v>
      </c>
      <c r="AR579" s="429">
        <f t="shared" si="1825"/>
        <v>1.4428187092516073E-2</v>
      </c>
      <c r="AS579" s="429">
        <f t="shared" si="1825"/>
        <v>1.5999280981580748E-2</v>
      </c>
      <c r="AT579" s="429">
        <f t="shared" si="1825"/>
        <v>1.53115240053181E-2</v>
      </c>
      <c r="AU579" s="429">
        <f t="shared" si="1825"/>
        <v>1.4615300884574177E-2</v>
      </c>
      <c r="AV579" s="429">
        <f t="shared" si="1825"/>
        <v>1.6191906533465618E-2</v>
      </c>
      <c r="AW579" s="429">
        <f t="shared" si="1825"/>
        <v>1.5502337205572703E-2</v>
      </c>
      <c r="AX579" s="429">
        <f t="shared" si="1825"/>
        <v>1.4802667247227785E-2</v>
      </c>
      <c r="AY579" s="429">
        <f t="shared" si="1825"/>
        <v>1.6384332974972087E-2</v>
      </c>
      <c r="AZ579" s="429">
        <f t="shared" si="1825"/>
        <v>1.5693154759108596E-2</v>
      </c>
      <c r="BA579" s="429">
        <f t="shared" si="1825"/>
        <v>1.4990237371261025E-2</v>
      </c>
      <c r="BB579" s="429">
        <f t="shared" si="1825"/>
        <v>1.6576506609036909E-2</v>
      </c>
      <c r="BC579" s="429">
        <f t="shared" si="1825"/>
        <v>1.5883924427159357E-2</v>
      </c>
      <c r="BD579" s="429">
        <f t="shared" si="1825"/>
        <v>1.5177962111132174E-2</v>
      </c>
      <c r="BE579" s="429">
        <f t="shared" si="1825"/>
        <v>1.6768373954044038E-2</v>
      </c>
      <c r="BF579" s="429">
        <f t="shared" si="1825"/>
        <v>1.6074593931493464E-2</v>
      </c>
      <c r="BG579" s="429">
        <f t="shared" si="1825"/>
        <v>1.5365792041079126E-2</v>
      </c>
      <c r="BH579" s="429">
        <f t="shared" si="1825"/>
        <v>1.6959881808944227E-2</v>
      </c>
      <c r="BI579" s="429">
        <f t="shared" si="1825"/>
        <v>1.6265111017328637E-2</v>
      </c>
      <c r="BJ579" s="429">
        <f t="shared" si="1825"/>
        <v>1.555367751200646E-2</v>
      </c>
      <c r="BK579" s="429">
        <f t="shared" si="1825"/>
        <v>1.715097731768939E-2</v>
      </c>
      <c r="BL579" s="429">
        <f t="shared" si="1825"/>
        <v>1.6455423516245737E-2</v>
      </c>
      <c r="BM579" s="429">
        <f t="shared" si="1825"/>
        <v>1.5741568709011607E-2</v>
      </c>
      <c r="BN579" s="429">
        <f t="shared" si="1825"/>
        <v>1.7341608032812296E-2</v>
      </c>
      <c r="BO579" s="429">
        <f t="shared" si="1825"/>
        <v>1.6645479408946784E-2</v>
      </c>
      <c r="BP579" s="429">
        <f t="shared" si="1825"/>
        <v>1.5929415709404406E-2</v>
      </c>
      <c r="BQ579" s="429">
        <f t="shared" si="1825"/>
        <v>1.7531721977985748E-2</v>
      </c>
      <c r="BR579" s="429">
        <f t="shared" si="1825"/>
        <v>1.6835226887684129E-2</v>
      </c>
    </row>
    <row r="580" spans="2:70" s="8" customFormat="1" outlineLevel="1">
      <c r="B580" s="678"/>
      <c r="C580" s="687" t="s">
        <v>701</v>
      </c>
      <c r="D580" s="96"/>
      <c r="W580" s="887">
        <f>+W582-W581</f>
        <v>-9.6827843818736731E-3</v>
      </c>
      <c r="X580" s="887">
        <f>+(X577*X271)+(X574*X268)</f>
        <v>0</v>
      </c>
      <c r="Y580" s="887">
        <f>+(Y577*Y271)+(Y574*Y268)</f>
        <v>0</v>
      </c>
      <c r="Z580" s="887">
        <f>+Z582-Z581</f>
        <v>-7.5592971937481962E-2</v>
      </c>
      <c r="AA580" s="887">
        <f>+(AA577*AA271)+(AA574*AA268)</f>
        <v>0</v>
      </c>
      <c r="AB580" s="887">
        <f>+(AB577*AB271)+(AB574*AB268)</f>
        <v>0</v>
      </c>
      <c r="AC580" s="887">
        <f>+AC582-AC581</f>
        <v>-7.3671976437958475E-2</v>
      </c>
      <c r="AD580" s="887">
        <f>+(AD577*AD271)+(AD574*AD268)</f>
        <v>-3.8232737540182478E-2</v>
      </c>
      <c r="AE580" s="887">
        <f>+(AE577*AE271)+(AE574*AE268)</f>
        <v>-3.7698871796701554E-2</v>
      </c>
      <c r="AF580" s="887">
        <f>+AF582-AF581</f>
        <v>-1.266644287792338E-2</v>
      </c>
      <c r="AG580" s="991">
        <f t="shared" ref="AG580:AM580" si="1826">+AG582-AG581</f>
        <v>5.541609129697142E-2</v>
      </c>
      <c r="AH580" s="548">
        <f>+AH582-AH581</f>
        <v>2.1991577370562163E-2</v>
      </c>
      <c r="AI580" s="548">
        <f>+AI582-AI581</f>
        <v>-2.6994289251303094E-3</v>
      </c>
      <c r="AJ580" s="548">
        <f t="shared" si="1826"/>
        <v>2.5365658151118797E-2</v>
      </c>
      <c r="AK580" s="548">
        <f>+AK582-AK581</f>
        <v>1.1922606991487505E-2</v>
      </c>
      <c r="AL580" s="548">
        <f>+AL582-AL581</f>
        <v>6.8193917835146278E-2</v>
      </c>
      <c r="AM580" s="548">
        <f t="shared" si="1826"/>
        <v>4.3286189402225839E-2</v>
      </c>
      <c r="AN580" s="548">
        <f>+AN582-AN581</f>
        <v>5.5044484316064235E-2</v>
      </c>
      <c r="AO580" s="548">
        <f>+AO582-AO581</f>
        <v>2.0273083631154432E-2</v>
      </c>
      <c r="AP580" s="548">
        <f t="shared" ref="AP580" si="1827">+AP582-AP581</f>
        <v>1.6532728424869303E-2</v>
      </c>
      <c r="AQ580" s="548">
        <f>+AQ582-AQ581</f>
        <v>1.8320460381559212E-2</v>
      </c>
      <c r="AR580" s="548">
        <f>+AR582-AR581</f>
        <v>1.7252296154173896E-2</v>
      </c>
      <c r="AS580" s="548">
        <f t="shared" ref="AS580" si="1828">+AS582-AS581</f>
        <v>1.7726501729485644E-2</v>
      </c>
      <c r="AT580" s="548">
        <f>+AT582-AT581</f>
        <v>1.7499416874081186E-2</v>
      </c>
      <c r="AU580" s="548">
        <f>+AU582-AU581</f>
        <v>1.7503600287376964E-2</v>
      </c>
      <c r="AV580" s="548">
        <f t="shared" ref="AV580" si="1829">+AV582-AV581</f>
        <v>1.7965035593630274E-2</v>
      </c>
      <c r="AW580" s="548">
        <f>+AW582-AW581</f>
        <v>1.774411975868051E-2</v>
      </c>
      <c r="AX580" s="548">
        <f>+AX582-AX581</f>
        <v>1.7754657507018212E-2</v>
      </c>
      <c r="AY580" s="548">
        <f t="shared" ref="AY580" si="1830">+AY582-AY581</f>
        <v>1.8203400539372971E-2</v>
      </c>
      <c r="AZ580" s="548">
        <f>+AZ582-AZ581</f>
        <v>1.7988612003961624E-2</v>
      </c>
      <c r="BA580" s="548">
        <f>+BA582-BA581</f>
        <v>1.8005460383858862E-2</v>
      </c>
      <c r="BB580" s="548">
        <f t="shared" ref="BB580" si="1831">+BB582-BB581</f>
        <v>1.844159092981168E-2</v>
      </c>
      <c r="BC580" s="548">
        <f>+BC582-BC581</f>
        <v>1.8232887271266929E-2</v>
      </c>
      <c r="BD580" s="548">
        <f>+BD582-BD581</f>
        <v>1.8256001221665485E-2</v>
      </c>
      <c r="BE580" s="548">
        <f t="shared" ref="BE580" si="1832">+BE582-BE581</f>
        <v>1.8679600755944215E-2</v>
      </c>
      <c r="BF580" s="548">
        <f>+BF582-BF581</f>
        <v>1.847693889854285E-2</v>
      </c>
      <c r="BG580" s="548">
        <f>+BG582-BG581</f>
        <v>1.8506272035662574E-2</v>
      </c>
      <c r="BH580" s="548">
        <f t="shared" ref="BH580" si="1833">+BH582-BH581</f>
        <v>1.8917423622131224E-2</v>
      </c>
      <c r="BI580" s="548">
        <f>+BI582-BI581</f>
        <v>1.8720759882320026E-2</v>
      </c>
      <c r="BJ580" s="548">
        <f>+BJ582-BJ581</f>
        <v>1.8756264532496791E-2</v>
      </c>
      <c r="BK580" s="548">
        <f t="shared" ref="BK580" si="1834">+BK582-BK581</f>
        <v>1.9155052732990452E-2</v>
      </c>
      <c r="BL580" s="548">
        <f>+BL582-BL581</f>
        <v>1.8964342861174766E-2</v>
      </c>
      <c r="BM580" s="548">
        <f>+BM582-BM581</f>
        <v>1.900597009174354E-2</v>
      </c>
      <c r="BN580" s="548">
        <f t="shared" ref="BN580" si="1835">+BN582-BN581</f>
        <v>1.9392480881736285E-2</v>
      </c>
      <c r="BO580" s="548">
        <f>+BO582-BO581</f>
        <v>1.9207680100692848E-2</v>
      </c>
      <c r="BP580" s="548">
        <f>+BP582-BP581</f>
        <v>1.9255379748985169E-2</v>
      </c>
      <c r="BQ580" s="548">
        <f t="shared" ref="BQ580" si="1836">+BQ582-BQ581</f>
        <v>1.9629700439969033E-2</v>
      </c>
      <c r="BR580" s="548">
        <f>+BR582-BR581</f>
        <v>1.9450763479958777E-2</v>
      </c>
    </row>
    <row r="581" spans="2:70" s="8" customFormat="1" outlineLevel="1">
      <c r="B581" s="678"/>
      <c r="C581" s="663" t="s">
        <v>700</v>
      </c>
      <c r="D581" s="96"/>
      <c r="W581" s="888">
        <f>(((W643+W651+W659+W667)*W259)+W1216+W1223+W1230+W1259+W1267+W1275)/(T538)</f>
        <v>1.0848576704298315E-2</v>
      </c>
      <c r="X581" s="888">
        <f>(((X643+X651+X659+X667)*X259)+X1216+X1223+X1230+X1259+X1267+X1275)/(U538*X259/U259)</f>
        <v>5.3373180776469919E-3</v>
      </c>
      <c r="Y581" s="888">
        <f>(((Y643+Y651+Y659+Y667)*Y259)+Y1216+Y1223+Y1230+Y1259+Y1267+Y1275)/(V538*Y259/V259)</f>
        <v>8.0852496755561207E-3</v>
      </c>
      <c r="Z581" s="888">
        <f>(((Z643+Z651+Z659+Z667)*Z259)+Z1216+Z1223+Z1230+Z1259+Z1267+Z1275)/(W538)</f>
        <v>2.1425958712829176E-2</v>
      </c>
      <c r="AA581" s="888">
        <f>(((AA643+AA651+AA659+AA667)*AA259)+AA1216+AA1223+AA1230+AA1259+AA1267+AA1275)/(X538*AA259/X259)</f>
        <v>3.5059109585913614E-2</v>
      </c>
      <c r="AB581" s="888">
        <f>(((AB643+AB651+AB659+AB667)*AB259)+AB1216+AB1223+AB1230+AB1259+AB1267+AB1275)/(Y538*AB259/Y259)</f>
        <v>3.0944449680273031E-2</v>
      </c>
      <c r="AC581" s="888">
        <f>(((AC643+AC651+AC659+AC667)*AC259)+AC1216+AC1223+AC1230+AC1259+AC1267+AC1275)/(Z538)</f>
        <v>5.6040565265535643E-2</v>
      </c>
      <c r="AD581" s="888">
        <f>(((AD643+AD651+AD659+AD667)*AD259)+AD1216+AD1223+AD1230+AD1259+AD1267+AD1275)/(AA538*AD259/AA259)</f>
        <v>3.8600071384215659E-2</v>
      </c>
      <c r="AE581" s="888">
        <f>(((AE643+AE651+AE659+AE667)*AE259)+AE1216+AE1223+AE1230+AE1259+AE1267+AE1275)/(AB538*AE259/AB259)</f>
        <v>4.7247702517116678E-2</v>
      </c>
      <c r="AF581" s="888">
        <f t="shared" ref="AF581:BR581" si="1837">(((AF643+AF651+AF659+AF667)*AF259)+AF1216+AF1223+AF1230+AF1259+AF1267+AF1275)/(AC538)</f>
        <v>2.0252881280071612E-2</v>
      </c>
      <c r="AG581" s="971">
        <f t="shared" si="1837"/>
        <v>1.1686443725278676E-3</v>
      </c>
      <c r="AH581" s="544">
        <f t="shared" si="1837"/>
        <v>1.0542090979866541E-2</v>
      </c>
      <c r="AI581" s="544">
        <f t="shared" si="1837"/>
        <v>0</v>
      </c>
      <c r="AJ581" s="544">
        <f t="shared" si="1837"/>
        <v>0</v>
      </c>
      <c r="AK581" s="544">
        <f t="shared" si="1837"/>
        <v>0</v>
      </c>
      <c r="AL581" s="544">
        <f t="shared" si="1837"/>
        <v>0</v>
      </c>
      <c r="AM581" s="544">
        <f t="shared" si="1837"/>
        <v>0</v>
      </c>
      <c r="AN581" s="544">
        <f t="shared" si="1837"/>
        <v>0</v>
      </c>
      <c r="AO581" s="544">
        <f t="shared" si="1837"/>
        <v>0</v>
      </c>
      <c r="AP581" s="544">
        <f t="shared" si="1837"/>
        <v>0</v>
      </c>
      <c r="AQ581" s="544">
        <f t="shared" si="1837"/>
        <v>0</v>
      </c>
      <c r="AR581" s="544">
        <f t="shared" si="1837"/>
        <v>0</v>
      </c>
      <c r="AS581" s="544">
        <f t="shared" si="1837"/>
        <v>0</v>
      </c>
      <c r="AT581" s="544">
        <f t="shared" si="1837"/>
        <v>0</v>
      </c>
      <c r="AU581" s="544">
        <f t="shared" si="1837"/>
        <v>0</v>
      </c>
      <c r="AV581" s="544">
        <f t="shared" si="1837"/>
        <v>0</v>
      </c>
      <c r="AW581" s="544">
        <f t="shared" si="1837"/>
        <v>0</v>
      </c>
      <c r="AX581" s="544">
        <f t="shared" si="1837"/>
        <v>0</v>
      </c>
      <c r="AY581" s="544">
        <f t="shared" si="1837"/>
        <v>0</v>
      </c>
      <c r="AZ581" s="544">
        <f t="shared" si="1837"/>
        <v>0</v>
      </c>
      <c r="BA581" s="544">
        <f t="shared" si="1837"/>
        <v>0</v>
      </c>
      <c r="BB581" s="544">
        <f t="shared" si="1837"/>
        <v>0</v>
      </c>
      <c r="BC581" s="544">
        <f t="shared" si="1837"/>
        <v>0</v>
      </c>
      <c r="BD581" s="544">
        <f t="shared" si="1837"/>
        <v>0</v>
      </c>
      <c r="BE581" s="544">
        <f t="shared" si="1837"/>
        <v>0</v>
      </c>
      <c r="BF581" s="544">
        <f t="shared" si="1837"/>
        <v>0</v>
      </c>
      <c r="BG581" s="544">
        <f t="shared" si="1837"/>
        <v>0</v>
      </c>
      <c r="BH581" s="544">
        <f t="shared" si="1837"/>
        <v>0</v>
      </c>
      <c r="BI581" s="544">
        <f t="shared" si="1837"/>
        <v>0</v>
      </c>
      <c r="BJ581" s="544">
        <f t="shared" si="1837"/>
        <v>0</v>
      </c>
      <c r="BK581" s="544">
        <f t="shared" si="1837"/>
        <v>0</v>
      </c>
      <c r="BL581" s="544">
        <f t="shared" si="1837"/>
        <v>0</v>
      </c>
      <c r="BM581" s="544">
        <f t="shared" si="1837"/>
        <v>0</v>
      </c>
      <c r="BN581" s="544">
        <f t="shared" si="1837"/>
        <v>0</v>
      </c>
      <c r="BO581" s="544">
        <f t="shared" si="1837"/>
        <v>0</v>
      </c>
      <c r="BP581" s="544">
        <f t="shared" si="1837"/>
        <v>0</v>
      </c>
      <c r="BQ581" s="544">
        <f t="shared" si="1837"/>
        <v>0</v>
      </c>
      <c r="BR581" s="544">
        <f t="shared" si="1837"/>
        <v>0</v>
      </c>
    </row>
    <row r="582" spans="2:70" s="8" customFormat="1" outlineLevel="1">
      <c r="B582" s="678"/>
      <c r="C582" s="663" t="s">
        <v>584</v>
      </c>
      <c r="D582" s="96"/>
      <c r="W582" s="887">
        <f>+W543</f>
        <v>1.1657923224246414E-3</v>
      </c>
      <c r="X582" s="887">
        <f>+X580+X581</f>
        <v>5.3373180776469919E-3</v>
      </c>
      <c r="Y582" s="887">
        <f>+Y580+Y581</f>
        <v>8.0852496755561207E-3</v>
      </c>
      <c r="Z582" s="887">
        <f>+Z543</f>
        <v>-5.4167013224652782E-2</v>
      </c>
      <c r="AA582" s="887">
        <f>+AA580+AA581</f>
        <v>3.5059109585913614E-2</v>
      </c>
      <c r="AB582" s="887">
        <f>+AB580+AB581</f>
        <v>3.0944449680273031E-2</v>
      </c>
      <c r="AC582" s="887">
        <f>+AC543</f>
        <v>-1.763141117242284E-2</v>
      </c>
      <c r="AD582" s="887">
        <f>+AD580+AD581</f>
        <v>3.6733384403318109E-4</v>
      </c>
      <c r="AE582" s="887">
        <f>+AE580+AE581</f>
        <v>9.5488307204151246E-3</v>
      </c>
      <c r="AF582" s="887">
        <f>+AF543</f>
        <v>7.5864384021482323E-3</v>
      </c>
      <c r="AG582" s="991">
        <f t="shared" ref="AG582:AM582" si="1838">+AG543</f>
        <v>5.6584735669499286E-2</v>
      </c>
      <c r="AH582" s="548">
        <f>+AH543</f>
        <v>3.2533668350428702E-2</v>
      </c>
      <c r="AI582" s="548">
        <f>+AI543</f>
        <v>-2.6994289251303094E-3</v>
      </c>
      <c r="AJ582" s="548">
        <f t="shared" si="1838"/>
        <v>2.5365658151118797E-2</v>
      </c>
      <c r="AK582" s="548">
        <f>+AK543</f>
        <v>1.1922606991487505E-2</v>
      </c>
      <c r="AL582" s="548">
        <f>+AL543</f>
        <v>6.8193917835146278E-2</v>
      </c>
      <c r="AM582" s="548">
        <f t="shared" si="1838"/>
        <v>4.3286189402225839E-2</v>
      </c>
      <c r="AN582" s="548">
        <f>+AN543</f>
        <v>5.5044484316064235E-2</v>
      </c>
      <c r="AO582" s="548">
        <f>+AO543</f>
        <v>2.0273083631154432E-2</v>
      </c>
      <c r="AP582" s="548">
        <f t="shared" ref="AP582" si="1839">+AP543</f>
        <v>1.6532728424869303E-2</v>
      </c>
      <c r="AQ582" s="548">
        <f>+AQ543</f>
        <v>1.8320460381559212E-2</v>
      </c>
      <c r="AR582" s="548">
        <f>+AR543</f>
        <v>1.7252296154173896E-2</v>
      </c>
      <c r="AS582" s="548">
        <f t="shared" ref="AS582" si="1840">+AS543</f>
        <v>1.7726501729485644E-2</v>
      </c>
      <c r="AT582" s="548">
        <f>+AT543</f>
        <v>1.7499416874081186E-2</v>
      </c>
      <c r="AU582" s="548">
        <f>+AU543</f>
        <v>1.7503600287376964E-2</v>
      </c>
      <c r="AV582" s="548">
        <f t="shared" ref="AV582" si="1841">+AV543</f>
        <v>1.7965035593630274E-2</v>
      </c>
      <c r="AW582" s="548">
        <f>+AW543</f>
        <v>1.774411975868051E-2</v>
      </c>
      <c r="AX582" s="548">
        <f>+AX543</f>
        <v>1.7754657507018212E-2</v>
      </c>
      <c r="AY582" s="548">
        <f t="shared" ref="AY582" si="1842">+AY543</f>
        <v>1.8203400539372971E-2</v>
      </c>
      <c r="AZ582" s="548">
        <f>+AZ543</f>
        <v>1.7988612003961624E-2</v>
      </c>
      <c r="BA582" s="548">
        <f>+BA543</f>
        <v>1.8005460383858862E-2</v>
      </c>
      <c r="BB582" s="548">
        <f t="shared" ref="BB582" si="1843">+BB543</f>
        <v>1.844159092981168E-2</v>
      </c>
      <c r="BC582" s="548">
        <f>+BC543</f>
        <v>1.8232887271266929E-2</v>
      </c>
      <c r="BD582" s="548">
        <f>+BD543</f>
        <v>1.8256001221665485E-2</v>
      </c>
      <c r="BE582" s="548">
        <f t="shared" ref="BE582" si="1844">+BE543</f>
        <v>1.8679600755944215E-2</v>
      </c>
      <c r="BF582" s="548">
        <f>+BF543</f>
        <v>1.847693889854285E-2</v>
      </c>
      <c r="BG582" s="548">
        <f>+BG543</f>
        <v>1.8506272035662574E-2</v>
      </c>
      <c r="BH582" s="548">
        <f t="shared" ref="BH582" si="1845">+BH543</f>
        <v>1.8917423622131224E-2</v>
      </c>
      <c r="BI582" s="548">
        <f>+BI543</f>
        <v>1.8720759882320026E-2</v>
      </c>
      <c r="BJ582" s="548">
        <f>+BJ543</f>
        <v>1.8756264532496791E-2</v>
      </c>
      <c r="BK582" s="548">
        <f t="shared" ref="BK582" si="1846">+BK543</f>
        <v>1.9155052732990452E-2</v>
      </c>
      <c r="BL582" s="548">
        <f>+BL543</f>
        <v>1.8964342861174766E-2</v>
      </c>
      <c r="BM582" s="548">
        <f>+BM543</f>
        <v>1.900597009174354E-2</v>
      </c>
      <c r="BN582" s="548">
        <f t="shared" ref="BN582" si="1847">+BN543</f>
        <v>1.9392480881736285E-2</v>
      </c>
      <c r="BO582" s="548">
        <f>+BO543</f>
        <v>1.9207680100692848E-2</v>
      </c>
      <c r="BP582" s="548">
        <f>+BP543</f>
        <v>1.9255379748985169E-2</v>
      </c>
      <c r="BQ582" s="548">
        <f t="shared" ref="BQ582" si="1848">+BQ543</f>
        <v>1.9629700439969033E-2</v>
      </c>
      <c r="BR582" s="548">
        <f>+BR543</f>
        <v>1.9450763479958777E-2</v>
      </c>
    </row>
    <row r="583" spans="2:70" outlineLevel="1">
      <c r="B583" s="678"/>
      <c r="C583" s="688" t="s">
        <v>533</v>
      </c>
      <c r="W583" s="889">
        <f>+(W577*W271)+(W574*W268)+W581-W543</f>
        <v>9.6827843818736731E-3</v>
      </c>
      <c r="X583" s="889">
        <f>+X582-X543</f>
        <v>7.604438878471749E-2</v>
      </c>
      <c r="Y583" s="889">
        <f>+Y582-Y543</f>
        <v>4.4168447621681921E-2</v>
      </c>
      <c r="Z583" s="889">
        <f>+(Z577*Z271)+(Z574*Z268)+Z581-Z543</f>
        <v>7.5592971937481962E-2</v>
      </c>
      <c r="AA583" s="889">
        <f>+AA582-AA543</f>
        <v>2.0108251681532727E-2</v>
      </c>
      <c r="AB583" s="889">
        <f>+AB582-AB543</f>
        <v>5.0576977043043134E-2</v>
      </c>
      <c r="AC583" s="889">
        <f>+(AC577*AC271)+(AC574*AC268)+AC581-AC543</f>
        <v>3.9268879846470546E-2</v>
      </c>
      <c r="AD583" s="889">
        <f>+AD582-AD543</f>
        <v>4.9442053798076847E-2</v>
      </c>
      <c r="AE583" s="889">
        <f>+AE582-AE543</f>
        <v>4.3444977341943525E-2</v>
      </c>
      <c r="AF583" s="889">
        <f>+(AF577*AF271)+(AF574*AF268)+AF581-AF543</f>
        <v>1.4627031400838951E-2</v>
      </c>
      <c r="AG583" s="992">
        <f t="shared" ref="AG583:AM583" si="1849">+(AG577*AG271)+(AG574*AG268)+AG581-AG543</f>
        <v>4.8164234881352685E-3</v>
      </c>
      <c r="AH583" s="549">
        <f>+(AH577*AH271)+(AH574*AH268)+AH581-AH543</f>
        <v>5.5177312945742102E-3</v>
      </c>
      <c r="AI583" s="549">
        <f>+(AI577*AI271)+(AI574*AI268)+AI581-AI543</f>
        <v>1.5876205510508317E-2</v>
      </c>
      <c r="AJ583" s="549">
        <f t="shared" si="1849"/>
        <v>3.8837653435802241E-4</v>
      </c>
      <c r="AK583" s="549">
        <f>+(AK577*AK271)+(AK574*AK268)+AK581-AK543</f>
        <v>-3.2823777975215553E-4</v>
      </c>
      <c r="AL583" s="549">
        <f>+(AL577*AL271)+(AL574*AL268)+AL581-AL543</f>
        <v>1.970119359843564E-3</v>
      </c>
      <c r="AM583" s="549">
        <f t="shared" si="1849"/>
        <v>-2.9705098074511715E-6</v>
      </c>
      <c r="AN583" s="549">
        <f>+(AN577*AN271)+(AN574*AN268)+AN581-AN543</f>
        <v>1.039761485333017E-3</v>
      </c>
      <c r="AO583" s="549">
        <f>+(AO577*AO271)+(AO574*AO268)+AO581-AO543</f>
        <v>2.5372305035043993E-4</v>
      </c>
      <c r="AP583" s="549">
        <f t="shared" ref="AP583" si="1850">+(AP577*AP271)+(AP574*AP268)+AP581-AP543</f>
        <v>1.9870684734242874E-4</v>
      </c>
      <c r="AQ583" s="549">
        <f>+(AQ577*AQ271)+(AQ574*AQ268)+AQ581-AQ543</f>
        <v>1.994479808044361E-4</v>
      </c>
      <c r="AR583" s="549">
        <f>+(AR577*AR271)+(AR574*AR268)+AR581-AR543</f>
        <v>1.6470429679300153E-4</v>
      </c>
      <c r="AS583" s="549">
        <f t="shared" ref="AS583" si="1851">+(AS577*AS271)+(AS574*AS268)+AS581-AS543</f>
        <v>1.4548223118703713E-4</v>
      </c>
      <c r="AT583" s="549">
        <f>+(AT577*AT271)+(AT574*AT268)+AT581-AT543</f>
        <v>1.5454789866981705E-4</v>
      </c>
      <c r="AU583" s="549">
        <f>+(AU577*AU271)+(AU574*AU268)+AU581-AU543</f>
        <v>1.6440036929502369E-4</v>
      </c>
      <c r="AV583" s="549">
        <f t="shared" ref="AV583" si="1852">+(AV577*AV271)+(AV574*AV268)+AV581-AV543</f>
        <v>1.4532584030314127E-4</v>
      </c>
      <c r="AW583" s="549">
        <f>+(AW577*AW271)+(AW574*AW268)+AW581-AW543</f>
        <v>1.5431765775014011E-4</v>
      </c>
      <c r="AX583" s="549">
        <f>+(AX577*AX271)+(AX574*AX268)+AX581-AX543</f>
        <v>1.6410329067454918E-4</v>
      </c>
      <c r="AY583" s="549">
        <f t="shared" ref="AY583" si="1853">+(AY577*AY271)+(AY574*AY268)+AY581-AY543</f>
        <v>1.4518071332261101E-4</v>
      </c>
      <c r="AZ583" s="549">
        <f>+(AZ577*AZ271)+(AZ574*AZ268)+AZ581-AZ543</f>
        <v>1.5409708656199256E-4</v>
      </c>
      <c r="BA583" s="549">
        <f>+(BA577*BA271)+(BA574*BA268)+BA581-BA543</f>
        <v>1.638129415303391E-4</v>
      </c>
      <c r="BB583" s="549">
        <f t="shared" ref="BB583" si="1854">+(BB577*BB271)+(BB574*BB268)+BB581-BB543</f>
        <v>1.4504653233111259E-4</v>
      </c>
      <c r="BC583" s="549">
        <f>+(BC577*BC271)+(BC574*BC268)+BC581-BC543</f>
        <v>1.5388595923624196E-4</v>
      </c>
      <c r="BD583" s="549">
        <f>+(BD577*BD271)+(BD574*BD268)+BD581-BD543</f>
        <v>1.6352916921686181E-4</v>
      </c>
      <c r="BE583" s="549">
        <f t="shared" ref="BE583" si="1855">+(BE577*BE271)+(BE574*BE268)+BE581-BE543</f>
        <v>1.4492294938478478E-4</v>
      </c>
      <c r="BF583" s="549">
        <f>+(BF577*BF271)+(BF574*BF268)+BF581-BF543</f>
        <v>1.5368401763993927E-4</v>
      </c>
      <c r="BG583" s="549">
        <f>+(BG577*BG271)+(BG574*BG268)+BG581-BG543</f>
        <v>1.6325178899967083E-4</v>
      </c>
      <c r="BH583" s="549">
        <f t="shared" ref="BH583" si="1856">+(BH577*BH271)+(BH574*BH268)+BH581-BH543</f>
        <v>1.4480958784738457E-4</v>
      </c>
      <c r="BI583" s="549">
        <f>+(BI577*BI271)+(BI574*BI268)+BI581-BI543</f>
        <v>1.5349097264299311E-4</v>
      </c>
      <c r="BJ583" s="549">
        <f>+(BJ577*BJ271)+(BJ574*BJ268)+BJ581-BJ543</f>
        <v>1.6298058527043982E-4</v>
      </c>
      <c r="BK583" s="549">
        <f t="shared" ref="BK583" si="1857">+(BK577*BK271)+(BK574*BK268)+BK581-BK543</f>
        <v>1.4470604377660526E-4</v>
      </c>
      <c r="BL583" s="549">
        <f>+(BL577*BL271)+(BL574*BL268)+BL581-BL543</f>
        <v>1.5330650543795427E-4</v>
      </c>
      <c r="BM583" s="549">
        <f>+(BM577*BM271)+(BM574*BM268)+BM581-BM543</f>
        <v>1.6271531282323337E-4</v>
      </c>
      <c r="BN583" s="549">
        <f t="shared" ref="BN583" si="1858">+(BN577*BN271)+(BN574*BN268)+BN581-BN543</f>
        <v>1.4461188735323538E-4</v>
      </c>
      <c r="BO583" s="549">
        <f>+(BO577*BO271)+(BO574*BO268)+BO581-BO543</f>
        <v>1.531302689164564E-4</v>
      </c>
      <c r="BP583" s="549">
        <f>+(BP577*BP271)+(BP574*BP268)+BP581-BP543</f>
        <v>1.6245569818973404E-4</v>
      </c>
      <c r="BQ583" s="549">
        <f t="shared" ref="BQ583" si="1859">+(BQ577*BQ271)+(BQ574*BQ268)+BQ581-BQ543</f>
        <v>1.4452666435248174E-4</v>
      </c>
      <c r="BR583" s="549">
        <f>+(BR577*BR271)+(BR574*BR268)+BR581-BR543</f>
        <v>1.5296188909062411E-4</v>
      </c>
    </row>
    <row r="584" spans="2:70" outlineLevel="1">
      <c r="B584" s="678"/>
      <c r="C584" s="663" t="s">
        <v>717</v>
      </c>
    </row>
    <row r="585" spans="2:70" outlineLevel="1">
      <c r="B585" s="678"/>
      <c r="C585" s="658" t="s">
        <v>718</v>
      </c>
      <c r="AF585" s="818">
        <f t="shared" ref="AF585:BR585" si="1860">+AF587-AF586</f>
        <v>6.800117337011248E-2</v>
      </c>
      <c r="AG585" s="993">
        <f t="shared" si="1860"/>
        <v>5.8636840677791083E-2</v>
      </c>
      <c r="AH585" s="819">
        <f t="shared" si="1860"/>
        <v>6.3046181389425318E-2</v>
      </c>
      <c r="AI585" s="818">
        <f t="shared" si="1860"/>
        <v>4.1022069481697544E-2</v>
      </c>
      <c r="AJ585" s="819">
        <f t="shared" si="1860"/>
        <v>6.424056443608013E-2</v>
      </c>
      <c r="AK585" s="819">
        <f t="shared" si="1860"/>
        <v>5.307368688972415E-2</v>
      </c>
      <c r="AL585" s="818">
        <f t="shared" si="1860"/>
        <v>8.5949617904270886E-2</v>
      </c>
      <c r="AM585" s="819">
        <f t="shared" si="1860"/>
        <v>4.0819935452869813E-2</v>
      </c>
      <c r="AN585" s="819">
        <f t="shared" si="1860"/>
        <v>6.1679712342146163E-2</v>
      </c>
      <c r="AO585" s="818">
        <f t="shared" si="1860"/>
        <v>1.7386869760412454E-2</v>
      </c>
      <c r="AP585" s="819">
        <f t="shared" si="1860"/>
        <v>2.1825920548974607E-2</v>
      </c>
      <c r="AQ585" s="819">
        <f t="shared" si="1860"/>
        <v>1.9731076404837383E-2</v>
      </c>
      <c r="AR585" s="818">
        <f t="shared" si="1860"/>
        <v>1.6778833819964367E-2</v>
      </c>
      <c r="AS585" s="819">
        <f t="shared" si="1860"/>
        <v>1.7248938440392214E-2</v>
      </c>
      <c r="AT585" s="819">
        <f t="shared" si="1860"/>
        <v>1.7027454763603789E-2</v>
      </c>
      <c r="AU585" s="818">
        <f t="shared" si="1860"/>
        <v>1.7049596484067342E-2</v>
      </c>
      <c r="AV585" s="819">
        <f t="shared" si="1860"/>
        <v>1.7505846704650052E-2</v>
      </c>
      <c r="AW585" s="819">
        <f t="shared" si="1860"/>
        <v>1.7290942896026174E-2</v>
      </c>
      <c r="AX585" s="818">
        <f t="shared" si="1860"/>
        <v>1.7320576275270616E-2</v>
      </c>
      <c r="AY585" s="819">
        <f t="shared" si="1860"/>
        <v>1.7763160919865628E-2</v>
      </c>
      <c r="AZ585" s="819">
        <f t="shared" si="1860"/>
        <v>1.7554743353294988E-2</v>
      </c>
      <c r="BA585" s="818">
        <f t="shared" si="1860"/>
        <v>1.7591788811764042E-2</v>
      </c>
      <c r="BB585" s="819">
        <f t="shared" si="1860"/>
        <v>1.8020901537051603E-2</v>
      </c>
      <c r="BC585" s="819">
        <f t="shared" si="1860"/>
        <v>1.7818874535583618E-2</v>
      </c>
      <c r="BD585" s="818">
        <f t="shared" si="1860"/>
        <v>1.7863248737165049E-2</v>
      </c>
      <c r="BE585" s="819">
        <f t="shared" si="1860"/>
        <v>1.8279087714642372E-2</v>
      </c>
      <c r="BF585" s="819">
        <f t="shared" si="1860"/>
        <v>1.8083353696229265E-2</v>
      </c>
      <c r="BG585" s="818">
        <f t="shared" si="1860"/>
        <v>1.8134969626335096E-2</v>
      </c>
      <c r="BH585" s="819">
        <f t="shared" si="1860"/>
        <v>1.8537737230828633E-2</v>
      </c>
      <c r="BI585" s="819">
        <f t="shared" si="1860"/>
        <v>1.8348196850663356E-2</v>
      </c>
      <c r="BJ585" s="818">
        <f t="shared" si="1860"/>
        <v>1.8406963894209705E-2</v>
      </c>
      <c r="BK585" s="819">
        <f t="shared" si="1860"/>
        <v>1.8796866398979706E-2</v>
      </c>
      <c r="BL585" s="819">
        <f t="shared" si="1860"/>
        <v>1.8613418688432581E-2</v>
      </c>
      <c r="BM585" s="818">
        <f t="shared" si="1860"/>
        <v>1.8679242707862365E-2</v>
      </c>
      <c r="BN585" s="819">
        <f t="shared" si="1860"/>
        <v>1.9056489986354119E-2</v>
      </c>
      <c r="BO585" s="819">
        <f t="shared" si="1860"/>
        <v>1.8879032488513303E-2</v>
      </c>
      <c r="BP585" s="818">
        <f t="shared" si="1860"/>
        <v>1.8951815902044089E-2</v>
      </c>
      <c r="BQ585" s="819">
        <f t="shared" si="1860"/>
        <v>1.9316621136310719E-2</v>
      </c>
      <c r="BR585" s="819">
        <f t="shared" si="1860"/>
        <v>1.9145050038144484E-2</v>
      </c>
    </row>
    <row r="586" spans="2:70" outlineLevel="1">
      <c r="B586" s="678"/>
      <c r="C586" s="658" t="s">
        <v>719</v>
      </c>
      <c r="AF586" s="133">
        <f t="shared" ref="AF586:BR586" si="1861">(AF684*AF259)/AC555</f>
        <v>-4.1942028607291539E-3</v>
      </c>
      <c r="AG586" s="938">
        <f t="shared" si="1861"/>
        <v>3.0277941256544132E-2</v>
      </c>
      <c r="AH586" s="133">
        <f t="shared" si="1861"/>
        <v>1.4230457558073709E-2</v>
      </c>
      <c r="AI586" s="133">
        <f t="shared" si="1861"/>
        <v>5.3807489436665433E-2</v>
      </c>
      <c r="AJ586" s="133">
        <f t="shared" si="1861"/>
        <v>1.0987677759998694E-2</v>
      </c>
      <c r="AK586" s="133">
        <f t="shared" si="1861"/>
        <v>3.1126687549426695E-2</v>
      </c>
      <c r="AL586" s="133">
        <f t="shared" si="1861"/>
        <v>7.8352774710095646E-3</v>
      </c>
      <c r="AM586" s="133">
        <f t="shared" si="1861"/>
        <v>1.1184739454026938E-2</v>
      </c>
      <c r="AN586" s="133">
        <f t="shared" si="1861"/>
        <v>9.6365559555036447E-3</v>
      </c>
      <c r="AO586" s="133">
        <f t="shared" si="1861"/>
        <v>1.1574775865217183E-2</v>
      </c>
      <c r="AP586" s="133">
        <f t="shared" si="1861"/>
        <v>1.0343521335294903E-2</v>
      </c>
      <c r="AQ586" s="133">
        <f t="shared" si="1861"/>
        <v>1.092456590198378E-2</v>
      </c>
      <c r="AR586" s="133">
        <f t="shared" si="1861"/>
        <v>0</v>
      </c>
      <c r="AS586" s="133">
        <f t="shared" si="1861"/>
        <v>0</v>
      </c>
      <c r="AT586" s="133">
        <f t="shared" si="1861"/>
        <v>0</v>
      </c>
      <c r="AU586" s="133">
        <f t="shared" si="1861"/>
        <v>0</v>
      </c>
      <c r="AV586" s="133">
        <f t="shared" si="1861"/>
        <v>0</v>
      </c>
      <c r="AW586" s="133">
        <f t="shared" si="1861"/>
        <v>0</v>
      </c>
      <c r="AX586" s="133">
        <f t="shared" si="1861"/>
        <v>0</v>
      </c>
      <c r="AY586" s="133">
        <f t="shared" si="1861"/>
        <v>0</v>
      </c>
      <c r="AZ586" s="133">
        <f t="shared" si="1861"/>
        <v>0</v>
      </c>
      <c r="BA586" s="133">
        <f t="shared" si="1861"/>
        <v>0</v>
      </c>
      <c r="BB586" s="133">
        <f t="shared" si="1861"/>
        <v>0</v>
      </c>
      <c r="BC586" s="133">
        <f t="shared" si="1861"/>
        <v>0</v>
      </c>
      <c r="BD586" s="133">
        <f t="shared" si="1861"/>
        <v>0</v>
      </c>
      <c r="BE586" s="133">
        <f t="shared" si="1861"/>
        <v>0</v>
      </c>
      <c r="BF586" s="133">
        <f t="shared" si="1861"/>
        <v>0</v>
      </c>
      <c r="BG586" s="133">
        <f t="shared" si="1861"/>
        <v>0</v>
      </c>
      <c r="BH586" s="133">
        <f t="shared" si="1861"/>
        <v>0</v>
      </c>
      <c r="BI586" s="133">
        <f t="shared" si="1861"/>
        <v>0</v>
      </c>
      <c r="BJ586" s="133">
        <f t="shared" si="1861"/>
        <v>0</v>
      </c>
      <c r="BK586" s="133">
        <f t="shared" si="1861"/>
        <v>0</v>
      </c>
      <c r="BL586" s="133">
        <f t="shared" si="1861"/>
        <v>0</v>
      </c>
      <c r="BM586" s="133">
        <f t="shared" si="1861"/>
        <v>0</v>
      </c>
      <c r="BN586" s="133">
        <f t="shared" si="1861"/>
        <v>0</v>
      </c>
      <c r="BO586" s="133">
        <f t="shared" si="1861"/>
        <v>0</v>
      </c>
      <c r="BP586" s="133">
        <f t="shared" si="1861"/>
        <v>0</v>
      </c>
      <c r="BQ586" s="133">
        <f t="shared" si="1861"/>
        <v>0</v>
      </c>
      <c r="BR586" s="133">
        <f t="shared" si="1861"/>
        <v>0</v>
      </c>
    </row>
    <row r="587" spans="2:70" s="8" customFormat="1" outlineLevel="1">
      <c r="B587" s="678"/>
      <c r="C587" s="663" t="s">
        <v>726</v>
      </c>
      <c r="D587" s="96"/>
      <c r="AE587" s="409"/>
      <c r="AF587" s="548">
        <f t="shared" ref="AF587:BR587" si="1862">+AF560</f>
        <v>6.3806970509383332E-2</v>
      </c>
      <c r="AG587" s="991">
        <f t="shared" si="1862"/>
        <v>8.8914781934335219E-2</v>
      </c>
      <c r="AH587" s="548">
        <f t="shared" si="1862"/>
        <v>7.7276638947499032E-2</v>
      </c>
      <c r="AI587" s="548">
        <f t="shared" si="1862"/>
        <v>9.4829558918362977E-2</v>
      </c>
      <c r="AJ587" s="548">
        <f t="shared" si="1862"/>
        <v>7.5228242196078821E-2</v>
      </c>
      <c r="AK587" s="548">
        <f t="shared" si="1862"/>
        <v>8.4200374439150849E-2</v>
      </c>
      <c r="AL587" s="548">
        <f t="shared" si="1862"/>
        <v>9.3784895375280453E-2</v>
      </c>
      <c r="AM587" s="548">
        <f t="shared" si="1862"/>
        <v>5.2004674906896753E-2</v>
      </c>
      <c r="AN587" s="548">
        <f t="shared" si="1862"/>
        <v>7.131626829764981E-2</v>
      </c>
      <c r="AO587" s="548">
        <f t="shared" si="1862"/>
        <v>2.896164562562964E-2</v>
      </c>
      <c r="AP587" s="548">
        <f t="shared" si="1862"/>
        <v>3.2169441884269512E-2</v>
      </c>
      <c r="AQ587" s="548">
        <f t="shared" si="1862"/>
        <v>3.0655642306821163E-2</v>
      </c>
      <c r="AR587" s="548">
        <f t="shared" si="1862"/>
        <v>1.6778833819964367E-2</v>
      </c>
      <c r="AS587" s="548">
        <f t="shared" si="1862"/>
        <v>1.7248938440392214E-2</v>
      </c>
      <c r="AT587" s="548">
        <f t="shared" si="1862"/>
        <v>1.7027454763603789E-2</v>
      </c>
      <c r="AU587" s="548">
        <f t="shared" si="1862"/>
        <v>1.7049596484067342E-2</v>
      </c>
      <c r="AV587" s="548">
        <f t="shared" si="1862"/>
        <v>1.7505846704650052E-2</v>
      </c>
      <c r="AW587" s="548">
        <f t="shared" si="1862"/>
        <v>1.7290942896026174E-2</v>
      </c>
      <c r="AX587" s="548">
        <f t="shared" si="1862"/>
        <v>1.7320576275270616E-2</v>
      </c>
      <c r="AY587" s="548">
        <f t="shared" si="1862"/>
        <v>1.7763160919865628E-2</v>
      </c>
      <c r="AZ587" s="548">
        <f t="shared" si="1862"/>
        <v>1.7554743353294988E-2</v>
      </c>
      <c r="BA587" s="548">
        <f t="shared" si="1862"/>
        <v>1.7591788811764042E-2</v>
      </c>
      <c r="BB587" s="548">
        <f t="shared" si="1862"/>
        <v>1.8020901537051603E-2</v>
      </c>
      <c r="BC587" s="548">
        <f t="shared" si="1862"/>
        <v>1.7818874535583618E-2</v>
      </c>
      <c r="BD587" s="548">
        <f t="shared" si="1862"/>
        <v>1.7863248737165049E-2</v>
      </c>
      <c r="BE587" s="548">
        <f t="shared" si="1862"/>
        <v>1.8279087714642372E-2</v>
      </c>
      <c r="BF587" s="548">
        <f t="shared" si="1862"/>
        <v>1.8083353696229265E-2</v>
      </c>
      <c r="BG587" s="548">
        <f t="shared" si="1862"/>
        <v>1.8134969626335096E-2</v>
      </c>
      <c r="BH587" s="548">
        <f t="shared" si="1862"/>
        <v>1.8537737230828633E-2</v>
      </c>
      <c r="BI587" s="548">
        <f t="shared" si="1862"/>
        <v>1.8348196850663356E-2</v>
      </c>
      <c r="BJ587" s="548">
        <f t="shared" si="1862"/>
        <v>1.8406963894209705E-2</v>
      </c>
      <c r="BK587" s="548">
        <f t="shared" si="1862"/>
        <v>1.8796866398979706E-2</v>
      </c>
      <c r="BL587" s="548">
        <f t="shared" si="1862"/>
        <v>1.8613418688432581E-2</v>
      </c>
      <c r="BM587" s="548">
        <f t="shared" si="1862"/>
        <v>1.8679242707862365E-2</v>
      </c>
      <c r="BN587" s="548">
        <f t="shared" si="1862"/>
        <v>1.9056489986354119E-2</v>
      </c>
      <c r="BO587" s="548">
        <f t="shared" si="1862"/>
        <v>1.8879032488513303E-2</v>
      </c>
      <c r="BP587" s="548">
        <f t="shared" si="1862"/>
        <v>1.8951815902044089E-2</v>
      </c>
      <c r="BQ587" s="548">
        <f t="shared" si="1862"/>
        <v>1.9316621136310719E-2</v>
      </c>
      <c r="BR587" s="548">
        <f t="shared" si="1862"/>
        <v>1.9145050038144484E-2</v>
      </c>
    </row>
    <row r="588" spans="2:70" outlineLevel="1">
      <c r="B588" s="678"/>
      <c r="C588" s="658" t="s">
        <v>720</v>
      </c>
      <c r="AF588" s="429">
        <f t="shared" ref="AF588:AN588" si="1863">+AF1304</f>
        <v>-7.6655052264808357E-2</v>
      </c>
      <c r="AG588" s="974">
        <f t="shared" si="1863"/>
        <v>3.8889641573207775E-5</v>
      </c>
      <c r="AH588" s="429">
        <f t="shared" si="1863"/>
        <v>-3.2075439694772653E-2</v>
      </c>
      <c r="AI588" s="429">
        <f t="shared" si="1863"/>
        <v>-2.2989086489842731E-2</v>
      </c>
      <c r="AJ588" s="429">
        <f t="shared" si="1863"/>
        <v>3.6343270036015764E-2</v>
      </c>
      <c r="AK588" s="429">
        <f t="shared" si="1863"/>
        <v>1.1659227158156151E-2</v>
      </c>
      <c r="AL588" s="429">
        <f t="shared" si="1863"/>
        <v>4.3277084203654108E-2</v>
      </c>
      <c r="AM588" s="429">
        <f t="shared" si="1863"/>
        <v>2.9960091768952771E-2</v>
      </c>
      <c r="AN588" s="429">
        <f t="shared" si="1863"/>
        <v>3.5613012126239872E-2</v>
      </c>
      <c r="AO588" s="429">
        <f t="shared" ref="AO588:BR588" si="1864">+AO1304</f>
        <v>2.2007507265124918E-2</v>
      </c>
      <c r="AP588" s="429">
        <f t="shared" si="1864"/>
        <v>1.9002293124809125E-2</v>
      </c>
      <c r="AQ588" s="429">
        <f t="shared" si="1864"/>
        <v>2.0291396075401282E-2</v>
      </c>
      <c r="AR588" s="429">
        <f t="shared" si="1864"/>
        <v>1.8965157493795189E-2</v>
      </c>
      <c r="AS588" s="429">
        <f t="shared" si="1864"/>
        <v>1.9206907299791413E-2</v>
      </c>
      <c r="AT588" s="429">
        <f t="shared" si="1864"/>
        <v>1.9102812600876741E-2</v>
      </c>
      <c r="AU588" s="429">
        <f t="shared" si="1864"/>
        <v>1.9174089036797591E-2</v>
      </c>
      <c r="AV588" s="429">
        <f t="shared" si="1864"/>
        <v>1.9410424192475469E-2</v>
      </c>
      <c r="AW588" s="429">
        <f t="shared" si="1864"/>
        <v>1.9308625131171941E-2</v>
      </c>
      <c r="AX588" s="429">
        <f t="shared" si="1864"/>
        <v>1.9381944117069647E-2</v>
      </c>
      <c r="AY588" s="429">
        <f t="shared" si="1864"/>
        <v>1.9612786133007085E-2</v>
      </c>
      <c r="AZ588" s="429">
        <f t="shared" si="1864"/>
        <v>1.9513318748183066E-2</v>
      </c>
      <c r="BA588" s="429">
        <f t="shared" si="1864"/>
        <v>1.9588661621265043E-2</v>
      </c>
      <c r="BB588" s="429">
        <f t="shared" si="1864"/>
        <v>1.9813936891360052E-2</v>
      </c>
      <c r="BC588" s="429">
        <f t="shared" si="1864"/>
        <v>1.9716835101130127E-2</v>
      </c>
      <c r="BD588" s="429">
        <f t="shared" si="1864"/>
        <v>1.9794181891001104E-2</v>
      </c>
      <c r="BE588" s="429">
        <f t="shared" si="1864"/>
        <v>2.0013821737553346E-2</v>
      </c>
      <c r="BF588" s="429">
        <f t="shared" si="1864"/>
        <v>1.9919117316786028E-2</v>
      </c>
      <c r="BG588" s="429">
        <f t="shared" si="1864"/>
        <v>1.9998446790194992E-2</v>
      </c>
      <c r="BH588" s="429">
        <f t="shared" si="1864"/>
        <v>2.0212387497809983E-2</v>
      </c>
      <c r="BI588" s="429">
        <f t="shared" si="1864"/>
        <v>2.0120110060595955E-2</v>
      </c>
      <c r="BJ588" s="429">
        <f t="shared" si="1864"/>
        <v>2.0201399768150725E-2</v>
      </c>
      <c r="BK588" s="429">
        <f t="shared" si="1864"/>
        <v>2.0409582606563472E-2</v>
      </c>
      <c r="BL588" s="429">
        <f t="shared" si="1864"/>
        <v>2.03197595936019E-2</v>
      </c>
      <c r="BM588" s="429">
        <f t="shared" si="1864"/>
        <v>2.040298591828376E-2</v>
      </c>
      <c r="BN588" s="429">
        <f t="shared" si="1864"/>
        <v>2.0605357154239164E-2</v>
      </c>
      <c r="BO588" s="429">
        <f t="shared" si="1864"/>
        <v>2.0518013825090893E-2</v>
      </c>
      <c r="BP588" s="429">
        <f t="shared" si="1864"/>
        <v>2.060315203238278E-2</v>
      </c>
      <c r="BQ588" s="429">
        <f t="shared" si="1864"/>
        <v>2.0799662930746251E-2</v>
      </c>
      <c r="BR588" s="429">
        <f t="shared" si="1864"/>
        <v>2.0714822360878907E-2</v>
      </c>
    </row>
    <row r="589" spans="2:70" outlineLevel="1">
      <c r="B589" s="678"/>
      <c r="C589" s="658" t="s">
        <v>721</v>
      </c>
      <c r="AF589" s="429">
        <f t="shared" ref="AF589:AN589" si="1865">+AF1305</f>
        <v>7.8048780487804878E-2</v>
      </c>
      <c r="AG589" s="974">
        <f t="shared" si="1865"/>
        <v>1.2550200803212851E-2</v>
      </c>
      <c r="AH589" s="429">
        <f t="shared" si="1865"/>
        <v>3.997665596731835E-2</v>
      </c>
      <c r="AI589" s="429">
        <f t="shared" si="1865"/>
        <v>0.12700069589422408</v>
      </c>
      <c r="AJ589" s="429">
        <f t="shared" si="1865"/>
        <v>2.999389014791206E-2</v>
      </c>
      <c r="AK589" s="429">
        <f t="shared" si="1865"/>
        <v>7.0351635781065416E-2</v>
      </c>
      <c r="AL589" s="429">
        <f t="shared" si="1865"/>
        <v>1.4182477709814123E-2</v>
      </c>
      <c r="AM589" s="429">
        <f t="shared" si="1865"/>
        <v>8.3686495797808819E-3</v>
      </c>
      <c r="AN589" s="429">
        <f t="shared" si="1865"/>
        <v>1.083655722117847E-2</v>
      </c>
      <c r="AO589" s="429">
        <f t="shared" ref="AO589:BR589" si="1866">+AO1305</f>
        <v>1.1921634932645973E-2</v>
      </c>
      <c r="AP589" s="429">
        <f t="shared" si="1866"/>
        <v>8.0597302631827874E-3</v>
      </c>
      <c r="AQ589" s="429">
        <f t="shared" si="1866"/>
        <v>9.7163152757196204E-3</v>
      </c>
      <c r="AR589" s="429">
        <f t="shared" si="1866"/>
        <v>0</v>
      </c>
      <c r="AS589" s="429">
        <f t="shared" si="1866"/>
        <v>-8.719294106932302E-4</v>
      </c>
      <c r="AT589" s="429">
        <f t="shared" si="1866"/>
        <v>-4.9648658828072858E-4</v>
      </c>
      <c r="AU589" s="429">
        <f t="shared" si="1866"/>
        <v>0</v>
      </c>
      <c r="AV589" s="429">
        <f t="shared" si="1866"/>
        <v>-8.5623044442669394E-4</v>
      </c>
      <c r="AW589" s="429">
        <f t="shared" si="1866"/>
        <v>-4.874175386523066E-4</v>
      </c>
      <c r="AX589" s="429">
        <f t="shared" si="1866"/>
        <v>0</v>
      </c>
      <c r="AY589" s="429">
        <f t="shared" si="1866"/>
        <v>-8.4063317365172269E-4</v>
      </c>
      <c r="AZ589" s="429">
        <f t="shared" si="1866"/>
        <v>-4.7841322404750192E-4</v>
      </c>
      <c r="BA589" s="429">
        <f t="shared" si="1866"/>
        <v>0</v>
      </c>
      <c r="BB589" s="429">
        <f t="shared" si="1866"/>
        <v>-8.2514345451024549E-4</v>
      </c>
      <c r="BC589" s="429">
        <f t="shared" si="1866"/>
        <v>-4.6947677793375726E-4</v>
      </c>
      <c r="BD589" s="429">
        <f t="shared" si="1866"/>
        <v>0</v>
      </c>
      <c r="BE589" s="429">
        <f t="shared" si="1866"/>
        <v>-8.0976695703119373E-4</v>
      </c>
      <c r="BF589" s="429">
        <f t="shared" si="1866"/>
        <v>-4.6061122856978689E-4</v>
      </c>
      <c r="BG589" s="429">
        <f t="shared" si="1866"/>
        <v>0</v>
      </c>
      <c r="BH589" s="429">
        <f t="shared" si="1866"/>
        <v>-7.9450915960648405E-4</v>
      </c>
      <c r="BI589" s="429">
        <f t="shared" si="1866"/>
        <v>-4.5181949615311664E-4</v>
      </c>
      <c r="BJ589" s="429">
        <f t="shared" si="1866"/>
        <v>0</v>
      </c>
      <c r="BK589" s="429">
        <f t="shared" si="1866"/>
        <v>-7.7937534399695571E-4</v>
      </c>
      <c r="BL589" s="429">
        <f t="shared" si="1866"/>
        <v>-4.4310439025519713E-4</v>
      </c>
      <c r="BM589" s="429">
        <f t="shared" si="1866"/>
        <v>0</v>
      </c>
      <c r="BN589" s="429">
        <f t="shared" si="1866"/>
        <v>-7.6437059087271382E-4</v>
      </c>
      <c r="BO589" s="429">
        <f t="shared" si="1866"/>
        <v>-4.3446860754632079E-4</v>
      </c>
      <c r="BP589" s="429">
        <f t="shared" si="1866"/>
        <v>0</v>
      </c>
      <c r="BQ589" s="429">
        <f t="shared" si="1866"/>
        <v>-7.4949977589003347E-4</v>
      </c>
      <c r="BR589" s="429">
        <f t="shared" si="1866"/>
        <v>-4.2591472981133647E-4</v>
      </c>
    </row>
    <row r="590" spans="2:70" s="8" customFormat="1" outlineLevel="1">
      <c r="B590" s="678"/>
      <c r="C590" s="663" t="s">
        <v>727</v>
      </c>
      <c r="D590" s="96"/>
      <c r="AE590" s="409"/>
      <c r="AF590" s="548">
        <f t="shared" ref="AF590:AN590" si="1867">+AF588+AF589</f>
        <v>1.3937282229965209E-3</v>
      </c>
      <c r="AG590" s="991">
        <f t="shared" si="1867"/>
        <v>1.2589090444786059E-2</v>
      </c>
      <c r="AH590" s="548">
        <f t="shared" si="1867"/>
        <v>7.9012162725456969E-3</v>
      </c>
      <c r="AI590" s="548">
        <f t="shared" si="1867"/>
        <v>0.10401160940438135</v>
      </c>
      <c r="AJ590" s="548">
        <f t="shared" si="1867"/>
        <v>6.6337160183927824E-2</v>
      </c>
      <c r="AK590" s="548">
        <f t="shared" si="1867"/>
        <v>8.2010862939221565E-2</v>
      </c>
      <c r="AL590" s="548">
        <f t="shared" si="1867"/>
        <v>5.7459561913468231E-2</v>
      </c>
      <c r="AM590" s="548">
        <f t="shared" si="1867"/>
        <v>3.8328741348733653E-2</v>
      </c>
      <c r="AN590" s="548">
        <f t="shared" si="1867"/>
        <v>4.644956934741834E-2</v>
      </c>
      <c r="AO590" s="548">
        <f t="shared" ref="AO590:BR590" si="1868">+AO588+AO589</f>
        <v>3.3929142197770892E-2</v>
      </c>
      <c r="AP590" s="548">
        <f t="shared" si="1868"/>
        <v>2.7062023387991914E-2</v>
      </c>
      <c r="AQ590" s="548">
        <f t="shared" si="1868"/>
        <v>3.0007711351120903E-2</v>
      </c>
      <c r="AR590" s="548">
        <f t="shared" si="1868"/>
        <v>1.8965157493795189E-2</v>
      </c>
      <c r="AS590" s="548">
        <f t="shared" si="1868"/>
        <v>1.8334977889098183E-2</v>
      </c>
      <c r="AT590" s="548">
        <f t="shared" si="1868"/>
        <v>1.8606326012596014E-2</v>
      </c>
      <c r="AU590" s="548">
        <f t="shared" si="1868"/>
        <v>1.9174089036797591E-2</v>
      </c>
      <c r="AV590" s="548">
        <f t="shared" si="1868"/>
        <v>1.8554193748048776E-2</v>
      </c>
      <c r="AW590" s="548">
        <f t="shared" si="1868"/>
        <v>1.8821207592519634E-2</v>
      </c>
      <c r="AX590" s="548">
        <f t="shared" si="1868"/>
        <v>1.9381944117069647E-2</v>
      </c>
      <c r="AY590" s="548">
        <f t="shared" si="1868"/>
        <v>1.8772152959355363E-2</v>
      </c>
      <c r="AZ590" s="548">
        <f t="shared" si="1868"/>
        <v>1.9034905524135563E-2</v>
      </c>
      <c r="BA590" s="548">
        <f t="shared" si="1868"/>
        <v>1.9588661621265043E-2</v>
      </c>
      <c r="BB590" s="548">
        <f t="shared" si="1868"/>
        <v>1.8988793436849807E-2</v>
      </c>
      <c r="BC590" s="548">
        <f t="shared" si="1868"/>
        <v>1.9247358323196372E-2</v>
      </c>
      <c r="BD590" s="548">
        <f t="shared" si="1868"/>
        <v>1.9794181891001104E-2</v>
      </c>
      <c r="BE590" s="548">
        <f t="shared" si="1868"/>
        <v>1.9204054780522152E-2</v>
      </c>
      <c r="BF590" s="548">
        <f t="shared" si="1868"/>
        <v>1.945850608821624E-2</v>
      </c>
      <c r="BG590" s="548">
        <f t="shared" si="1868"/>
        <v>1.9998446790194992E-2</v>
      </c>
      <c r="BH590" s="548">
        <f t="shared" si="1868"/>
        <v>1.9417878338203499E-2</v>
      </c>
      <c r="BI590" s="548">
        <f t="shared" si="1868"/>
        <v>1.9668290564442838E-2</v>
      </c>
      <c r="BJ590" s="548">
        <f t="shared" si="1868"/>
        <v>2.0201399768150725E-2</v>
      </c>
      <c r="BK590" s="548">
        <f t="shared" si="1868"/>
        <v>1.9630207262566517E-2</v>
      </c>
      <c r="BL590" s="548">
        <f t="shared" si="1868"/>
        <v>1.9876655203346704E-2</v>
      </c>
      <c r="BM590" s="548">
        <f t="shared" si="1868"/>
        <v>2.040298591828376E-2</v>
      </c>
      <c r="BN590" s="548">
        <f t="shared" si="1868"/>
        <v>1.9840986563366452E-2</v>
      </c>
      <c r="BO590" s="548">
        <f t="shared" si="1868"/>
        <v>2.0083545217544574E-2</v>
      </c>
      <c r="BP590" s="548">
        <f t="shared" si="1868"/>
        <v>2.060315203238278E-2</v>
      </c>
      <c r="BQ590" s="548">
        <f t="shared" si="1868"/>
        <v>2.0050163154856217E-2</v>
      </c>
      <c r="BR590" s="548">
        <f t="shared" si="1868"/>
        <v>2.0288907631067572E-2</v>
      </c>
    </row>
    <row r="591" spans="2:70" outlineLevel="1">
      <c r="B591" s="678"/>
      <c r="C591" s="9" t="s">
        <v>722</v>
      </c>
      <c r="AF591" s="429">
        <f>+AF593-AF592</f>
        <v>1.7075726582715278E-2</v>
      </c>
      <c r="AG591" s="974">
        <f t="shared" ref="AG591:BR591" si="1869">+AG593-AG592</f>
        <v>3.7673031117643571E-2</v>
      </c>
      <c r="AH591" s="429">
        <f t="shared" si="1869"/>
        <v>2.8341305808373633E-2</v>
      </c>
      <c r="AI591" s="429">
        <f t="shared" si="1869"/>
        <v>2.4478543094097319E-2</v>
      </c>
      <c r="AJ591" s="429">
        <f t="shared" si="1869"/>
        <v>5.8554650655310625E-2</v>
      </c>
      <c r="AK591" s="429">
        <f t="shared" si="1869"/>
        <v>4.2844355183740579E-2</v>
      </c>
      <c r="AL591" s="429">
        <f t="shared" si="1869"/>
        <v>7.7391468197296504E-2</v>
      </c>
      <c r="AM591" s="429">
        <f t="shared" si="1869"/>
        <v>3.8982544987752943E-2</v>
      </c>
      <c r="AN591" s="429">
        <f t="shared" si="1869"/>
        <v>5.6450316556450705E-2</v>
      </c>
      <c r="AO591" s="429">
        <f t="shared" si="1869"/>
        <v>1.8402111019338793E-2</v>
      </c>
      <c r="AP591" s="429">
        <f t="shared" si="1869"/>
        <v>2.0991922156977046E-2</v>
      </c>
      <c r="AQ591" s="429">
        <f t="shared" si="1869"/>
        <v>1.9791599639367309E-2</v>
      </c>
      <c r="AR591" s="429">
        <f t="shared" si="1869"/>
        <v>1.729066884994257E-2</v>
      </c>
      <c r="AS591" s="429">
        <f t="shared" si="1869"/>
        <v>1.7825629079239836E-2</v>
      </c>
      <c r="AT591" s="429">
        <f t="shared" si="1869"/>
        <v>1.7577770234360631E-2</v>
      </c>
      <c r="AU591" s="429">
        <f t="shared" si="1869"/>
        <v>1.7560336788499775E-2</v>
      </c>
      <c r="AV591" s="429">
        <f t="shared" si="1869"/>
        <v>1.8084403415385156E-2</v>
      </c>
      <c r="AW591" s="429">
        <f t="shared" si="1869"/>
        <v>1.7841625466696116E-2</v>
      </c>
      <c r="AX591" s="429">
        <f t="shared" si="1869"/>
        <v>1.7829785687622834E-2</v>
      </c>
      <c r="AY591" s="429">
        <f t="shared" si="1869"/>
        <v>1.8343022245460902E-2</v>
      </c>
      <c r="AZ591" s="429">
        <f t="shared" si="1869"/>
        <v>1.8105293579352002E-2</v>
      </c>
      <c r="BA591" s="429">
        <f t="shared" si="1869"/>
        <v>1.8098998271041999E-2</v>
      </c>
      <c r="BB591" s="429">
        <f t="shared" si="1869"/>
        <v>1.8601468565139036E-2</v>
      </c>
      <c r="BC591" s="429">
        <f t="shared" si="1869"/>
        <v>1.8368757510442698E-2</v>
      </c>
      <c r="BD591" s="429">
        <f t="shared" si="1869"/>
        <v>1.8367957049127082E-2</v>
      </c>
      <c r="BE591" s="429">
        <f t="shared" si="1869"/>
        <v>1.8859725109602918E-2</v>
      </c>
      <c r="BF591" s="429">
        <f t="shared" si="1869"/>
        <v>1.8631999958088508E-2</v>
      </c>
      <c r="BG591" s="429">
        <f t="shared" si="1869"/>
        <v>1.8636644307915562E-2</v>
      </c>
      <c r="BH591" s="429">
        <f t="shared" si="1869"/>
        <v>1.9117774348287975E-2</v>
      </c>
      <c r="BI591" s="429">
        <f t="shared" si="1869"/>
        <v>1.8895003372529522E-2</v>
      </c>
      <c r="BJ591" s="429">
        <f t="shared" si="1869"/>
        <v>1.8905042099517821E-2</v>
      </c>
      <c r="BK591" s="429">
        <f t="shared" si="1869"/>
        <v>1.9375598480920669E-2</v>
      </c>
      <c r="BL591" s="429">
        <f t="shared" si="1869"/>
        <v>1.9157749949576332E-2</v>
      </c>
      <c r="BM591" s="429">
        <f t="shared" si="1869"/>
        <v>1.9173132233924584E-2</v>
      </c>
      <c r="BN591" s="429">
        <f t="shared" si="1869"/>
        <v>1.9633179434853942E-2</v>
      </c>
      <c r="BO591" s="429">
        <f t="shared" si="1869"/>
        <v>1.9420221625410156E-2</v>
      </c>
      <c r="BP591" s="429">
        <f t="shared" si="1869"/>
        <v>1.9440896272242103E-2</v>
      </c>
      <c r="BQ591" s="429">
        <f t="shared" si="1869"/>
        <v>1.9890498863712226E-2</v>
      </c>
      <c r="BR591" s="429">
        <f t="shared" si="1869"/>
        <v>1.9682400072748952E-2</v>
      </c>
    </row>
    <row r="592" spans="2:70" s="30" customFormat="1" outlineLevel="1">
      <c r="B592" s="678"/>
      <c r="C592" s="658" t="s">
        <v>723</v>
      </c>
      <c r="D592" s="31"/>
      <c r="AE592" s="168"/>
      <c r="AF592" s="647">
        <f t="shared" ref="AF592:AN592" si="1870">((AF684*AF259)+AF1300)/AC558</f>
        <v>1.9438293994246569E-2</v>
      </c>
      <c r="AG592" s="994">
        <f t="shared" si="1870"/>
        <v>2.6280147241265994E-2</v>
      </c>
      <c r="AH592" s="647">
        <f t="shared" si="1870"/>
        <v>2.3112708322901961E-2</v>
      </c>
      <c r="AI592" s="647">
        <f t="shared" si="1870"/>
        <v>7.707437097794638E-2</v>
      </c>
      <c r="AJ592" s="647">
        <f t="shared" si="1870"/>
        <v>1.7790727892538775E-2</v>
      </c>
      <c r="AK592" s="647">
        <f t="shared" si="1870"/>
        <v>4.4820477467878816E-2</v>
      </c>
      <c r="AL592" s="647">
        <f t="shared" si="1870"/>
        <v>9.9895542557257647E-3</v>
      </c>
      <c r="AM592" s="647">
        <f t="shared" si="1870"/>
        <v>1.0984654911540938E-2</v>
      </c>
      <c r="AN592" s="647">
        <f t="shared" si="1870"/>
        <v>1.0532098851877125E-2</v>
      </c>
      <c r="AO592" s="647">
        <f t="shared" ref="AO592:BR592" si="1871">((AO684*AO259)+AO1300)/AL558</f>
        <v>1.2186529680460705E-2</v>
      </c>
      <c r="AP592" s="647">
        <f t="shared" si="1871"/>
        <v>1.0246713806864642E-2</v>
      </c>
      <c r="AQ592" s="647">
        <f t="shared" si="1871"/>
        <v>1.1145777309702865E-2</v>
      </c>
      <c r="AR592" s="647">
        <f t="shared" si="1871"/>
        <v>0</v>
      </c>
      <c r="AS592" s="647">
        <f t="shared" si="1871"/>
        <v>-2.7222785815932376E-4</v>
      </c>
      <c r="AT592" s="647">
        <f t="shared" si="1871"/>
        <v>-1.4609870168740894E-4</v>
      </c>
      <c r="AU592" s="647">
        <f t="shared" si="1871"/>
        <v>0</v>
      </c>
      <c r="AV592" s="647">
        <f t="shared" si="1871"/>
        <v>-2.6753176573597609E-4</v>
      </c>
      <c r="AW592" s="647">
        <f t="shared" si="1871"/>
        <v>-1.4359559051992535E-4</v>
      </c>
      <c r="AX592" s="647">
        <f t="shared" si="1871"/>
        <v>0</v>
      </c>
      <c r="AY592" s="647">
        <f t="shared" si="1871"/>
        <v>-2.6284862551194312E-4</v>
      </c>
      <c r="AZ592" s="647">
        <f t="shared" si="1871"/>
        <v>-1.4109842635481637E-4</v>
      </c>
      <c r="BA592" s="647">
        <f t="shared" si="1871"/>
        <v>0</v>
      </c>
      <c r="BB592" s="647">
        <f t="shared" si="1871"/>
        <v>-2.5818067409891921E-4</v>
      </c>
      <c r="BC592" s="647">
        <f t="shared" si="1871"/>
        <v>-1.3860843733664883E-4</v>
      </c>
      <c r="BD592" s="647">
        <f t="shared" si="1871"/>
        <v>0</v>
      </c>
      <c r="BE592" s="647">
        <f t="shared" si="1871"/>
        <v>-2.5353009851285414E-4</v>
      </c>
      <c r="BF592" s="647">
        <f t="shared" si="1871"/>
        <v>-1.361268250236196E-4</v>
      </c>
      <c r="BG592" s="647">
        <f t="shared" si="1871"/>
        <v>0</v>
      </c>
      <c r="BH592" s="647">
        <f t="shared" si="1871"/>
        <v>-2.4889903453816499E-4</v>
      </c>
      <c r="BI592" s="647">
        <f t="shared" si="1871"/>
        <v>-1.3365476347476066E-4</v>
      </c>
      <c r="BJ592" s="647">
        <f t="shared" si="1871"/>
        <v>0</v>
      </c>
      <c r="BK592" s="647">
        <f t="shared" si="1871"/>
        <v>-2.4428956519210505E-4</v>
      </c>
      <c r="BL592" s="647">
        <f t="shared" si="1871"/>
        <v>-1.3119339839231582E-4</v>
      </c>
      <c r="BM592" s="647">
        <f t="shared" si="1871"/>
        <v>0</v>
      </c>
      <c r="BN592" s="647">
        <f t="shared" si="1871"/>
        <v>-2.3970371929011675E-4</v>
      </c>
      <c r="BO592" s="647">
        <f t="shared" si="1871"/>
        <v>-1.2874384631969717E-4</v>
      </c>
      <c r="BP592" s="647">
        <f t="shared" si="1871"/>
        <v>0</v>
      </c>
      <c r="BQ592" s="647">
        <f t="shared" si="1871"/>
        <v>-2.3514347011281057E-4</v>
      </c>
      <c r="BR592" s="647">
        <f t="shared" si="1871"/>
        <v>-1.2630719389532621E-4</v>
      </c>
    </row>
    <row r="593" spans="1:70" s="8" customFormat="1" outlineLevel="1">
      <c r="B593" s="678"/>
      <c r="C593" s="8" t="s">
        <v>728</v>
      </c>
      <c r="D593" s="96"/>
      <c r="AE593" s="409"/>
      <c r="AF593" s="548">
        <f t="shared" ref="AF593:BR593" si="1872">+AF563</f>
        <v>3.6514020576961848E-2</v>
      </c>
      <c r="AG593" s="991">
        <f t="shared" si="1872"/>
        <v>6.3953178358909568E-2</v>
      </c>
      <c r="AH593" s="548">
        <f t="shared" si="1872"/>
        <v>5.1454014131275594E-2</v>
      </c>
      <c r="AI593" s="548">
        <f t="shared" si="1872"/>
        <v>0.1015529140720437</v>
      </c>
      <c r="AJ593" s="548">
        <f t="shared" si="1872"/>
        <v>7.6345378547849396E-2</v>
      </c>
      <c r="AK593" s="548">
        <f t="shared" si="1872"/>
        <v>8.7664832651619395E-2</v>
      </c>
      <c r="AL593" s="548">
        <f t="shared" si="1872"/>
        <v>8.7381022453022261E-2</v>
      </c>
      <c r="AM593" s="548">
        <f t="shared" si="1872"/>
        <v>4.9967199899293879E-2</v>
      </c>
      <c r="AN593" s="548">
        <f t="shared" si="1872"/>
        <v>6.6982415408327833E-2</v>
      </c>
      <c r="AO593" s="548">
        <f t="shared" si="1872"/>
        <v>3.0588640699799496E-2</v>
      </c>
      <c r="AP593" s="548">
        <f t="shared" si="1872"/>
        <v>3.1238635963841688E-2</v>
      </c>
      <c r="AQ593" s="548">
        <f t="shared" si="1872"/>
        <v>3.0937376949070172E-2</v>
      </c>
      <c r="AR593" s="548">
        <f t="shared" si="1872"/>
        <v>1.729066884994257E-2</v>
      </c>
      <c r="AS593" s="548">
        <f t="shared" si="1872"/>
        <v>1.7553401221080511E-2</v>
      </c>
      <c r="AT593" s="548">
        <f t="shared" si="1872"/>
        <v>1.7431671532673221E-2</v>
      </c>
      <c r="AU593" s="548">
        <f t="shared" si="1872"/>
        <v>1.7560336788499775E-2</v>
      </c>
      <c r="AV593" s="548">
        <f t="shared" si="1872"/>
        <v>1.781687164964918E-2</v>
      </c>
      <c r="AW593" s="548">
        <f t="shared" si="1872"/>
        <v>1.7698029876176191E-2</v>
      </c>
      <c r="AX593" s="548">
        <f t="shared" si="1872"/>
        <v>1.7829785687622834E-2</v>
      </c>
      <c r="AY593" s="548">
        <f t="shared" si="1872"/>
        <v>1.8080173619948958E-2</v>
      </c>
      <c r="AZ593" s="548">
        <f t="shared" si="1872"/>
        <v>1.7964195152997187E-2</v>
      </c>
      <c r="BA593" s="548">
        <f t="shared" si="1872"/>
        <v>1.8098998271041999E-2</v>
      </c>
      <c r="BB593" s="548">
        <f t="shared" si="1872"/>
        <v>1.8343287891040116E-2</v>
      </c>
      <c r="BC593" s="548">
        <f t="shared" si="1872"/>
        <v>1.823014907310605E-2</v>
      </c>
      <c r="BD593" s="548">
        <f t="shared" si="1872"/>
        <v>1.8367957049127082E-2</v>
      </c>
      <c r="BE593" s="548">
        <f t="shared" si="1872"/>
        <v>1.8606195011090065E-2</v>
      </c>
      <c r="BF593" s="548">
        <f t="shared" si="1872"/>
        <v>1.8495873133064888E-2</v>
      </c>
      <c r="BG593" s="548">
        <f t="shared" si="1872"/>
        <v>1.8636644307915562E-2</v>
      </c>
      <c r="BH593" s="548">
        <f t="shared" si="1872"/>
        <v>1.8868875313749811E-2</v>
      </c>
      <c r="BI593" s="548">
        <f t="shared" si="1872"/>
        <v>1.8761348609054762E-2</v>
      </c>
      <c r="BJ593" s="548">
        <f t="shared" si="1872"/>
        <v>1.8905042099517821E-2</v>
      </c>
      <c r="BK593" s="548">
        <f t="shared" si="1872"/>
        <v>1.9131308915728562E-2</v>
      </c>
      <c r="BL593" s="548">
        <f t="shared" si="1872"/>
        <v>1.9026556551184015E-2</v>
      </c>
      <c r="BM593" s="548">
        <f t="shared" si="1872"/>
        <v>1.9173132233924584E-2</v>
      </c>
      <c r="BN593" s="548">
        <f t="shared" si="1872"/>
        <v>1.9393475715563824E-2</v>
      </c>
      <c r="BO593" s="548">
        <f t="shared" si="1872"/>
        <v>1.929147777909046E-2</v>
      </c>
      <c r="BP593" s="548">
        <f t="shared" si="1872"/>
        <v>1.9440896272242103E-2</v>
      </c>
      <c r="BQ593" s="548">
        <f t="shared" si="1872"/>
        <v>1.9655355393599416E-2</v>
      </c>
      <c r="BR593" s="548">
        <f t="shared" si="1872"/>
        <v>1.9556092878853626E-2</v>
      </c>
    </row>
    <row r="594" spans="1:70" outlineLevel="1">
      <c r="B594" s="678"/>
      <c r="C594" s="688" t="s">
        <v>729</v>
      </c>
      <c r="AF594" s="549">
        <f t="shared" ref="AF594:BR594" si="1873">((1+AF688)*(AF$259/AC$259)-1)+AF586-AF560</f>
        <v>0</v>
      </c>
      <c r="AG594" s="992">
        <f t="shared" si="1873"/>
        <v>2.0816681711721685E-16</v>
      </c>
      <c r="AH594" s="549">
        <f t="shared" si="1873"/>
        <v>-3.2966883899833432E-4</v>
      </c>
      <c r="AI594" s="549">
        <f t="shared" si="1873"/>
        <v>0</v>
      </c>
      <c r="AJ594" s="549">
        <f t="shared" si="1873"/>
        <v>2.6367796834847468E-16</v>
      </c>
      <c r="AK594" s="549">
        <f t="shared" si="1873"/>
        <v>-1.1144295807958976E-3</v>
      </c>
      <c r="AL594" s="549">
        <f t="shared" si="1873"/>
        <v>-1.9428902930940239E-16</v>
      </c>
      <c r="AM594" s="549">
        <f t="shared" si="1873"/>
        <v>0</v>
      </c>
      <c r="AN594" s="549">
        <f t="shared" si="1873"/>
        <v>1.4083811884802178E-3</v>
      </c>
      <c r="AO594" s="549">
        <f t="shared" si="1873"/>
        <v>2.4980018054066022E-16</v>
      </c>
      <c r="AP594" s="549">
        <f t="shared" si="1873"/>
        <v>2.0122792321330962E-16</v>
      </c>
      <c r="AQ594" s="549">
        <f t="shared" si="1873"/>
        <v>1.2836953722228372E-16</v>
      </c>
      <c r="AR594" s="549">
        <f t="shared" si="1873"/>
        <v>-4.4408920985006262E-16</v>
      </c>
      <c r="AS594" s="549">
        <f t="shared" si="1873"/>
        <v>-4.4408920985006262E-16</v>
      </c>
      <c r="AT594" s="549">
        <f t="shared" si="1873"/>
        <v>-2.2204460492503131E-16</v>
      </c>
      <c r="AU594" s="549">
        <f t="shared" si="1873"/>
        <v>0</v>
      </c>
      <c r="AV594" s="549">
        <f t="shared" si="1873"/>
        <v>0</v>
      </c>
      <c r="AW594" s="549">
        <f t="shared" si="1873"/>
        <v>-2.2204460492503131E-16</v>
      </c>
      <c r="AX594" s="549">
        <f t="shared" si="1873"/>
        <v>-2.2204460492503131E-16</v>
      </c>
      <c r="AY594" s="549">
        <f t="shared" si="1873"/>
        <v>2.2204460492503131E-16</v>
      </c>
      <c r="AZ594" s="549">
        <f t="shared" si="1873"/>
        <v>0</v>
      </c>
      <c r="BA594" s="549">
        <f t="shared" si="1873"/>
        <v>2.2204460492503131E-16</v>
      </c>
      <c r="BB594" s="549">
        <f t="shared" si="1873"/>
        <v>0</v>
      </c>
      <c r="BC594" s="549">
        <f t="shared" si="1873"/>
        <v>2.2204460492503131E-16</v>
      </c>
      <c r="BD594" s="549">
        <f t="shared" si="1873"/>
        <v>0</v>
      </c>
      <c r="BE594" s="549">
        <f t="shared" si="1873"/>
        <v>2.2204460492503131E-16</v>
      </c>
      <c r="BF594" s="549">
        <f t="shared" si="1873"/>
        <v>2.2204460492503131E-16</v>
      </c>
      <c r="BG594" s="549">
        <f t="shared" si="1873"/>
        <v>0</v>
      </c>
      <c r="BH594" s="549">
        <f t="shared" si="1873"/>
        <v>0</v>
      </c>
      <c r="BI594" s="549">
        <f t="shared" si="1873"/>
        <v>0</v>
      </c>
      <c r="BJ594" s="549">
        <f t="shared" si="1873"/>
        <v>0</v>
      </c>
      <c r="BK594" s="549">
        <f t="shared" si="1873"/>
        <v>-4.4408920985006262E-16</v>
      </c>
      <c r="BL594" s="549">
        <f t="shared" si="1873"/>
        <v>0</v>
      </c>
      <c r="BM594" s="549">
        <f t="shared" si="1873"/>
        <v>2.2204460492503131E-16</v>
      </c>
      <c r="BN594" s="549">
        <f t="shared" si="1873"/>
        <v>0</v>
      </c>
      <c r="BO594" s="549">
        <f t="shared" si="1873"/>
        <v>0</v>
      </c>
      <c r="BP594" s="549">
        <f t="shared" si="1873"/>
        <v>-2.2204460492503131E-16</v>
      </c>
      <c r="BQ594" s="549">
        <f t="shared" si="1873"/>
        <v>0</v>
      </c>
      <c r="BR594" s="549">
        <f t="shared" si="1873"/>
        <v>-2.2204460492503131E-16</v>
      </c>
    </row>
    <row r="595" spans="1:70" outlineLevel="1">
      <c r="B595" s="678"/>
      <c r="C595" s="688" t="s">
        <v>725</v>
      </c>
      <c r="AF595" s="549">
        <f t="shared" ref="AF595:AN595" si="1874">+AF590-AF561</f>
        <v>1.9428902930940239E-16</v>
      </c>
      <c r="AG595" s="992">
        <f t="shared" si="1874"/>
        <v>0</v>
      </c>
      <c r="AH595" s="549">
        <f t="shared" si="1874"/>
        <v>1.1102230246251565E-16</v>
      </c>
      <c r="AI595" s="549">
        <f t="shared" si="1874"/>
        <v>0</v>
      </c>
      <c r="AJ595" s="549">
        <f t="shared" si="1874"/>
        <v>0</v>
      </c>
      <c r="AK595" s="549">
        <f t="shared" si="1874"/>
        <v>0</v>
      </c>
      <c r="AL595" s="549">
        <f t="shared" si="1874"/>
        <v>1.0408340855860843E-16</v>
      </c>
      <c r="AM595" s="549">
        <f t="shared" si="1874"/>
        <v>0</v>
      </c>
      <c r="AN595" s="549">
        <f t="shared" si="1874"/>
        <v>5.5511151231257827E-17</v>
      </c>
      <c r="AO595" s="549">
        <f t="shared" ref="AO595:BR595" si="1875">+AO590-AO561</f>
        <v>-9.7144514654701197E-17</v>
      </c>
      <c r="AP595" s="549">
        <f t="shared" si="1875"/>
        <v>-2.1510571102112408E-16</v>
      </c>
      <c r="AQ595" s="549">
        <f t="shared" si="1875"/>
        <v>-1.1102230246251565E-16</v>
      </c>
      <c r="AR595" s="549">
        <f t="shared" si="1875"/>
        <v>-2.7061686225238191E-16</v>
      </c>
      <c r="AS595" s="549">
        <f t="shared" si="1875"/>
        <v>-3.1225022567582528E-17</v>
      </c>
      <c r="AT595" s="549">
        <f t="shared" si="1875"/>
        <v>-1.3877787807814457E-16</v>
      </c>
      <c r="AU595" s="549">
        <f t="shared" si="1875"/>
        <v>7.6327832942979512E-17</v>
      </c>
      <c r="AV595" s="549">
        <f t="shared" si="1875"/>
        <v>1.0061396160665481E-16</v>
      </c>
      <c r="AW595" s="549">
        <f t="shared" si="1875"/>
        <v>3.8163916471489756E-17</v>
      </c>
      <c r="AX595" s="549">
        <f t="shared" si="1875"/>
        <v>1.4224732503009818E-16</v>
      </c>
      <c r="AY595" s="549">
        <f t="shared" si="1875"/>
        <v>-2.7408630920433552E-16</v>
      </c>
      <c r="AZ595" s="549">
        <f t="shared" si="1875"/>
        <v>-1.0755285551056204E-16</v>
      </c>
      <c r="BA595" s="549">
        <f t="shared" si="1875"/>
        <v>0</v>
      </c>
      <c r="BB595" s="549">
        <f t="shared" si="1875"/>
        <v>0</v>
      </c>
      <c r="BC595" s="549">
        <f t="shared" si="1875"/>
        <v>-9.0205620750793969E-17</v>
      </c>
      <c r="BD595" s="549">
        <f t="shared" si="1875"/>
        <v>8.6736173798840355E-17</v>
      </c>
      <c r="BE595" s="549">
        <f t="shared" si="1875"/>
        <v>3.4694469519536142E-17</v>
      </c>
      <c r="BF595" s="549">
        <f t="shared" si="1875"/>
        <v>4.163336342344337E-17</v>
      </c>
      <c r="BG595" s="549">
        <f t="shared" si="1875"/>
        <v>1.9081958235744878E-16</v>
      </c>
      <c r="BH595" s="549">
        <f t="shared" si="1875"/>
        <v>-2.4286128663675299E-16</v>
      </c>
      <c r="BI595" s="549">
        <f t="shared" si="1875"/>
        <v>-1.3183898417423734E-16</v>
      </c>
      <c r="BJ595" s="549">
        <f t="shared" si="1875"/>
        <v>-2.1510571102112408E-16</v>
      </c>
      <c r="BK595" s="549">
        <f t="shared" si="1875"/>
        <v>3.8163916471489756E-17</v>
      </c>
      <c r="BL595" s="549">
        <f t="shared" si="1875"/>
        <v>-2.1163626406917047E-16</v>
      </c>
      <c r="BM595" s="549">
        <f t="shared" si="1875"/>
        <v>4.8572257327350599E-17</v>
      </c>
      <c r="BN595" s="549">
        <f t="shared" si="1875"/>
        <v>3.8163916471489756E-17</v>
      </c>
      <c r="BO595" s="549">
        <f t="shared" si="1875"/>
        <v>5.5511151231257827E-17</v>
      </c>
      <c r="BP595" s="549">
        <f t="shared" si="1875"/>
        <v>-5.2041704279304213E-17</v>
      </c>
      <c r="BQ595" s="549">
        <f t="shared" si="1875"/>
        <v>0</v>
      </c>
      <c r="BR595" s="549">
        <f t="shared" si="1875"/>
        <v>-1.4918621893400541E-16</v>
      </c>
    </row>
    <row r="596" spans="1:70" outlineLevel="1">
      <c r="B596" s="678"/>
      <c r="C596" s="688"/>
      <c r="AF596" s="549"/>
      <c r="AG596" s="992"/>
      <c r="AH596" s="549"/>
      <c r="AI596" s="549"/>
      <c r="AJ596" s="549"/>
      <c r="AK596" s="549"/>
      <c r="AL596" s="549"/>
      <c r="AM596" s="549"/>
      <c r="AN596" s="549"/>
      <c r="AO596" s="549"/>
      <c r="AP596" s="549"/>
      <c r="AQ596" s="549"/>
      <c r="AR596" s="549"/>
      <c r="AS596" s="549"/>
      <c r="AT596" s="549"/>
      <c r="AU596" s="549"/>
      <c r="AV596" s="549"/>
      <c r="AW596" s="549"/>
      <c r="AX596" s="549"/>
      <c r="AY596" s="549"/>
      <c r="AZ596" s="549"/>
      <c r="BA596" s="549"/>
      <c r="BB596" s="549"/>
      <c r="BC596" s="549"/>
      <c r="BD596" s="549"/>
      <c r="BE596" s="549"/>
      <c r="BF596" s="549"/>
      <c r="BG596" s="549"/>
      <c r="BH596" s="549"/>
      <c r="BI596" s="549"/>
      <c r="BJ596" s="549"/>
      <c r="BK596" s="549"/>
      <c r="BL596" s="549"/>
      <c r="BM596" s="549"/>
      <c r="BN596" s="549"/>
      <c r="BO596" s="549"/>
      <c r="BP596" s="549"/>
      <c r="BQ596" s="549"/>
      <c r="BR596" s="549"/>
    </row>
    <row r="597" spans="1:70" outlineLevel="1">
      <c r="B597" s="678"/>
      <c r="C597" s="8" t="s">
        <v>740</v>
      </c>
      <c r="AF597" s="549"/>
      <c r="AG597" s="992"/>
      <c r="AH597" s="549"/>
      <c r="AI597" s="549"/>
      <c r="AJ597" s="549"/>
      <c r="AK597" s="549"/>
      <c r="AL597" s="549"/>
      <c r="AM597" s="549"/>
      <c r="AN597" s="549"/>
      <c r="AO597" s="549"/>
      <c r="AP597" s="549"/>
      <c r="AQ597" s="549"/>
      <c r="AR597" s="549"/>
      <c r="AS597" s="549"/>
      <c r="AT597" s="549"/>
      <c r="AU597" s="549"/>
      <c r="AV597" s="549"/>
      <c r="AW597" s="549"/>
      <c r="AX597" s="549"/>
      <c r="AY597" s="549"/>
      <c r="AZ597" s="549"/>
      <c r="BA597" s="549"/>
      <c r="BB597" s="549"/>
      <c r="BC597" s="549"/>
      <c r="BD597" s="549"/>
      <c r="BE597" s="549"/>
      <c r="BF597" s="549"/>
      <c r="BG597" s="549"/>
      <c r="BH597" s="549"/>
      <c r="BI597" s="549"/>
      <c r="BJ597" s="549"/>
      <c r="BK597" s="549"/>
      <c r="BL597" s="549"/>
      <c r="BM597" s="549"/>
      <c r="BN597" s="549"/>
      <c r="BO597" s="549"/>
      <c r="BP597" s="549"/>
      <c r="BQ597" s="549"/>
      <c r="BR597" s="549"/>
    </row>
    <row r="598" spans="1:70" outlineLevel="1">
      <c r="B598" s="678"/>
      <c r="C598" s="745" t="s">
        <v>741</v>
      </c>
      <c r="AF598" s="429">
        <f t="shared" ref="AF598:BR598" si="1876">((AF13-AC13)*(1-AF105))/AC17</f>
        <v>-3.0457233181043389E-2</v>
      </c>
      <c r="AG598" s="974">
        <f t="shared" si="1876"/>
        <v>-1.7270039603565164E-2</v>
      </c>
      <c r="AH598" s="429">
        <f t="shared" si="1876"/>
        <v>-2.3131580194194961E-2</v>
      </c>
      <c r="AI598" s="429">
        <f t="shared" si="1876"/>
        <v>1.3582197915206901E-2</v>
      </c>
      <c r="AJ598" s="429">
        <f t="shared" si="1876"/>
        <v>1.1354302990630054E-2</v>
      </c>
      <c r="AK598" s="429">
        <f t="shared" si="1876"/>
        <v>1.2346980690264631E-2</v>
      </c>
      <c r="AL598" s="429">
        <f t="shared" si="1876"/>
        <v>1.4618397881962618E-2</v>
      </c>
      <c r="AM598" s="429">
        <f t="shared" si="1876"/>
        <v>1.2550450294071761E-2</v>
      </c>
      <c r="AN598" s="429">
        <f t="shared" si="1876"/>
        <v>1.347579632498826E-2</v>
      </c>
      <c r="AO598" s="429">
        <f t="shared" si="1876"/>
        <v>2.1042496501087981E-2</v>
      </c>
      <c r="AP598" s="429">
        <f t="shared" si="1876"/>
        <v>1.7984323330032546E-2</v>
      </c>
      <c r="AQ598" s="429">
        <f t="shared" si="1876"/>
        <v>1.9386703480658112E-2</v>
      </c>
      <c r="AR598" s="429">
        <f t="shared" si="1876"/>
        <v>2.0273029252600838E-2</v>
      </c>
      <c r="AS598" s="429">
        <f t="shared" si="1876"/>
        <v>1.731002218809494E-2</v>
      </c>
      <c r="AT598" s="429">
        <f t="shared" si="1876"/>
        <v>1.8670129998497501E-2</v>
      </c>
      <c r="AU598" s="429">
        <f t="shared" si="1876"/>
        <v>2.0039133366870295E-2</v>
      </c>
      <c r="AV598" s="429">
        <f t="shared" si="1876"/>
        <v>1.7300819876647139E-2</v>
      </c>
      <c r="AW598" s="429">
        <f t="shared" si="1876"/>
        <v>1.8559090050783475E-2</v>
      </c>
      <c r="AX598" s="429">
        <f t="shared" si="1876"/>
        <v>1.9994743532058268E-2</v>
      </c>
      <c r="AY598" s="429">
        <f t="shared" si="1876"/>
        <v>1.7292898950465093E-2</v>
      </c>
      <c r="AZ598" s="429">
        <f t="shared" si="1876"/>
        <v>1.8535581412412381E-2</v>
      </c>
      <c r="BA598" s="429">
        <f t="shared" si="1876"/>
        <v>1.9951687723865307E-2</v>
      </c>
      <c r="BB598" s="429">
        <f t="shared" si="1876"/>
        <v>1.5218702463984575E-2</v>
      </c>
      <c r="BC598" s="429">
        <f t="shared" si="1876"/>
        <v>1.7397574365386654E-2</v>
      </c>
      <c r="BD598" s="429">
        <f t="shared" si="1876"/>
        <v>1.5399157370432338E-2</v>
      </c>
      <c r="BE598" s="429">
        <f t="shared" si="1876"/>
        <v>1.0185194605377333E-2</v>
      </c>
      <c r="BF598" s="429">
        <f t="shared" si="1876"/>
        <v>1.2589311909366662E-2</v>
      </c>
      <c r="BG598" s="429">
        <f t="shared" si="1876"/>
        <v>8.8369987746485176E-3</v>
      </c>
      <c r="BH598" s="429">
        <f t="shared" si="1876"/>
        <v>7.2358111581943977E-3</v>
      </c>
      <c r="BI598" s="429">
        <f t="shared" si="1876"/>
        <v>7.9753846190906072E-3</v>
      </c>
      <c r="BJ598" s="429">
        <f t="shared" si="1876"/>
        <v>8.8278577291802402E-3</v>
      </c>
      <c r="BK598" s="429">
        <f t="shared" si="1876"/>
        <v>7.2439953310074251E-3</v>
      </c>
      <c r="BL598" s="429">
        <f t="shared" si="1876"/>
        <v>7.9759063634822231E-3</v>
      </c>
      <c r="BM598" s="429">
        <f t="shared" si="1876"/>
        <v>8.8168159632115231E-3</v>
      </c>
      <c r="BN598" s="429">
        <f t="shared" si="1876"/>
        <v>7.1789864169865911E-3</v>
      </c>
      <c r="BO598" s="429">
        <f t="shared" si="1876"/>
        <v>7.9361775488004764E-3</v>
      </c>
      <c r="BP598" s="429">
        <f t="shared" si="1876"/>
        <v>8.8222644543859072E-3</v>
      </c>
      <c r="BQ598" s="429">
        <f t="shared" si="1876"/>
        <v>7.2723680681849026E-3</v>
      </c>
      <c r="BR598" s="429">
        <f t="shared" si="1876"/>
        <v>7.9892379122978707E-3</v>
      </c>
    </row>
    <row r="599" spans="1:70" outlineLevel="1">
      <c r="B599" s="678"/>
      <c r="C599" s="746" t="s">
        <v>742</v>
      </c>
      <c r="AF599" s="429">
        <f t="shared" ref="AF599:BR599" si="1877">(AF15-AC15)/AC17</f>
        <v>2.5275437459494478E-2</v>
      </c>
      <c r="AG599" s="974">
        <f t="shared" si="1877"/>
        <v>-3.7273668482181305E-2</v>
      </c>
      <c r="AH599" s="429">
        <f t="shared" si="1877"/>
        <v>-9.7456392557107464E-3</v>
      </c>
      <c r="AI599" s="429">
        <f t="shared" si="1877"/>
        <v>-6.0890320495053316E-2</v>
      </c>
      <c r="AJ599" s="429">
        <f t="shared" si="1877"/>
        <v>-2.6605940644373053E-2</v>
      </c>
      <c r="AK599" s="429">
        <f t="shared" si="1877"/>
        <v>-4.1881948030598741E-2</v>
      </c>
      <c r="AL599" s="429">
        <f t="shared" si="1877"/>
        <v>-3.0951882112210529E-2</v>
      </c>
      <c r="AM599" s="429">
        <f t="shared" si="1877"/>
        <v>-1.7953744425120353E-2</v>
      </c>
      <c r="AN599" s="429">
        <f t="shared" si="1877"/>
        <v>-2.3770030673613905E-2</v>
      </c>
      <c r="AO599" s="429">
        <f t="shared" si="1877"/>
        <v>-1.334001979138494E-2</v>
      </c>
      <c r="AP599" s="429">
        <f t="shared" si="1877"/>
        <v>-1.2821508824798678E-2</v>
      </c>
      <c r="AQ599" s="429">
        <f t="shared" si="1877"/>
        <v>-1.3059281327122769E-2</v>
      </c>
      <c r="AR599" s="429">
        <f t="shared" si="1877"/>
        <v>-8.8925686917384859E-3</v>
      </c>
      <c r="AS599" s="429">
        <f t="shared" si="1877"/>
        <v>-8.3665536493162402E-3</v>
      </c>
      <c r="AT599" s="429">
        <f t="shared" si="1877"/>
        <v>-8.6080100994739232E-3</v>
      </c>
      <c r="AU599" s="429">
        <f t="shared" si="1877"/>
        <v>-8.8504333184625042E-3</v>
      </c>
      <c r="AV599" s="429">
        <f t="shared" si="1877"/>
        <v>-8.3719870019611422E-3</v>
      </c>
      <c r="AW599" s="429">
        <f t="shared" si="1877"/>
        <v>-8.5918357271449041E-3</v>
      </c>
      <c r="AX599" s="429">
        <f t="shared" si="1877"/>
        <v>-8.8421026306882977E-3</v>
      </c>
      <c r="AY599" s="429">
        <f t="shared" si="1877"/>
        <v>-8.3777114192524656E-3</v>
      </c>
      <c r="AZ599" s="429">
        <f t="shared" si="1877"/>
        <v>-8.5913028367105015E-3</v>
      </c>
      <c r="BA599" s="429">
        <f t="shared" si="1877"/>
        <v>-8.8342916106484409E-3</v>
      </c>
      <c r="BB599" s="429">
        <f t="shared" si="1877"/>
        <v>-8.0249185689354428E-3</v>
      </c>
      <c r="BC599" s="429">
        <f t="shared" si="1877"/>
        <v>-8.3975206544076655E-3</v>
      </c>
      <c r="BD599" s="429">
        <f t="shared" si="1877"/>
        <v>-8.0441550506340741E-3</v>
      </c>
      <c r="BE599" s="429">
        <f t="shared" si="1877"/>
        <v>-7.1657048313459037E-3</v>
      </c>
      <c r="BF599" s="429">
        <f t="shared" si="1877"/>
        <v>-7.5707513320685633E-3</v>
      </c>
      <c r="BG599" s="429">
        <f t="shared" si="1877"/>
        <v>-6.920926837302715E-3</v>
      </c>
      <c r="BH599" s="429">
        <f t="shared" si="1877"/>
        <v>-6.6855244263471147E-3</v>
      </c>
      <c r="BI599" s="429">
        <f t="shared" si="1877"/>
        <v>-6.794254580130896E-3</v>
      </c>
      <c r="BJ599" s="429">
        <f t="shared" si="1877"/>
        <v>-6.9575158826358976E-3</v>
      </c>
      <c r="BK599" s="429">
        <f t="shared" si="1877"/>
        <v>-6.7287305131612778E-3</v>
      </c>
      <c r="BL599" s="429">
        <f t="shared" si="1877"/>
        <v>-6.8344534195075076E-3</v>
      </c>
      <c r="BM599" s="429">
        <f t="shared" si="1877"/>
        <v>-6.9935630502296273E-3</v>
      </c>
      <c r="BN599" s="429">
        <f t="shared" si="1877"/>
        <v>-6.7589876896607436E-3</v>
      </c>
      <c r="BO599" s="429">
        <f t="shared" si="1877"/>
        <v>-6.8674351060442843E-3</v>
      </c>
      <c r="BP599" s="429">
        <f t="shared" si="1877"/>
        <v>-7.0322901996420729E-3</v>
      </c>
      <c r="BQ599" s="429">
        <f t="shared" si="1877"/>
        <v>-6.8167652987614459E-3</v>
      </c>
      <c r="BR599" s="429">
        <f t="shared" si="1877"/>
        <v>-6.9164515122866364E-3</v>
      </c>
    </row>
    <row r="600" spans="1:70" outlineLevel="1">
      <c r="B600" s="678"/>
      <c r="C600" s="688"/>
      <c r="AF600" s="429">
        <f t="shared" ref="AF600:BR600" si="1878">AF598+AF599</f>
        <v>-5.1817957215489104E-3</v>
      </c>
      <c r="AG600" s="974">
        <f t="shared" si="1878"/>
        <v>-5.4543708085746469E-2</v>
      </c>
      <c r="AH600" s="429">
        <f t="shared" si="1878"/>
        <v>-3.2877219449905709E-2</v>
      </c>
      <c r="AI600" s="429">
        <f t="shared" si="1878"/>
        <v>-4.7308122579846415E-2</v>
      </c>
      <c r="AJ600" s="429">
        <f t="shared" si="1878"/>
        <v>-1.5251637653742999E-2</v>
      </c>
      <c r="AK600" s="429">
        <f t="shared" si="1878"/>
        <v>-2.953496734033411E-2</v>
      </c>
      <c r="AL600" s="429">
        <f t="shared" si="1878"/>
        <v>-1.6333484230247913E-2</v>
      </c>
      <c r="AM600" s="429">
        <f t="shared" si="1878"/>
        <v>-5.4032941310485916E-3</v>
      </c>
      <c r="AN600" s="429">
        <f t="shared" si="1878"/>
        <v>-1.0294234348625645E-2</v>
      </c>
      <c r="AO600" s="429">
        <f t="shared" si="1878"/>
        <v>7.7024767097030409E-3</v>
      </c>
      <c r="AP600" s="429">
        <f t="shared" si="1878"/>
        <v>5.1628145052338686E-3</v>
      </c>
      <c r="AQ600" s="429">
        <f t="shared" si="1878"/>
        <v>6.3274221535353434E-3</v>
      </c>
      <c r="AR600" s="429">
        <f t="shared" si="1878"/>
        <v>1.1380460560862352E-2</v>
      </c>
      <c r="AS600" s="429">
        <f t="shared" si="1878"/>
        <v>8.9434685387787E-3</v>
      </c>
      <c r="AT600" s="429">
        <f t="shared" si="1878"/>
        <v>1.0062119899023577E-2</v>
      </c>
      <c r="AU600" s="429">
        <f t="shared" si="1878"/>
        <v>1.1188700048407791E-2</v>
      </c>
      <c r="AV600" s="429">
        <f t="shared" si="1878"/>
        <v>8.9288328746859966E-3</v>
      </c>
      <c r="AW600" s="429">
        <f t="shared" si="1878"/>
        <v>9.9672543236385708E-3</v>
      </c>
      <c r="AX600" s="429">
        <f t="shared" si="1878"/>
        <v>1.115264090136997E-2</v>
      </c>
      <c r="AY600" s="429">
        <f t="shared" si="1878"/>
        <v>8.9151875312126275E-3</v>
      </c>
      <c r="AZ600" s="429">
        <f t="shared" si="1878"/>
        <v>9.9442785757018794E-3</v>
      </c>
      <c r="BA600" s="429">
        <f t="shared" si="1878"/>
        <v>1.1117396113216866E-2</v>
      </c>
      <c r="BB600" s="429">
        <f t="shared" si="1878"/>
        <v>7.1937838950491325E-3</v>
      </c>
      <c r="BC600" s="429">
        <f t="shared" si="1878"/>
        <v>9.0000537109789884E-3</v>
      </c>
      <c r="BD600" s="429">
        <f t="shared" si="1878"/>
        <v>7.3550023197982636E-3</v>
      </c>
      <c r="BE600" s="429">
        <f t="shared" si="1878"/>
        <v>3.0194897740314294E-3</v>
      </c>
      <c r="BF600" s="429">
        <f t="shared" si="1878"/>
        <v>5.0185605772980991E-3</v>
      </c>
      <c r="BG600" s="429">
        <f t="shared" si="1878"/>
        <v>1.9160719373458026E-3</v>
      </c>
      <c r="BH600" s="429">
        <f t="shared" si="1878"/>
        <v>5.5028673184728295E-4</v>
      </c>
      <c r="BI600" s="429">
        <f t="shared" si="1878"/>
        <v>1.1811300389597112E-3</v>
      </c>
      <c r="BJ600" s="429">
        <f t="shared" si="1878"/>
        <v>1.8703418465443426E-3</v>
      </c>
      <c r="BK600" s="429">
        <f t="shared" si="1878"/>
        <v>5.1526481784614723E-4</v>
      </c>
      <c r="BL600" s="429">
        <f t="shared" si="1878"/>
        <v>1.1414529439747155E-3</v>
      </c>
      <c r="BM600" s="429">
        <f t="shared" si="1878"/>
        <v>1.8232529129818958E-3</v>
      </c>
      <c r="BN600" s="429">
        <f t="shared" si="1878"/>
        <v>4.1999872732584754E-4</v>
      </c>
      <c r="BO600" s="429">
        <f t="shared" si="1878"/>
        <v>1.0687424427561921E-3</v>
      </c>
      <c r="BP600" s="429">
        <f t="shared" si="1878"/>
        <v>1.7899742547438343E-3</v>
      </c>
      <c r="BQ600" s="429">
        <f t="shared" si="1878"/>
        <v>4.5560276942345664E-4</v>
      </c>
      <c r="BR600" s="429">
        <f t="shared" si="1878"/>
        <v>1.0727864000112343E-3</v>
      </c>
    </row>
    <row r="601" spans="1:70">
      <c r="B601" s="678"/>
      <c r="C601" s="688"/>
      <c r="AF601" s="549"/>
      <c r="AG601" s="992"/>
      <c r="AH601" s="549"/>
      <c r="AI601" s="549"/>
      <c r="AJ601" s="549"/>
      <c r="AK601" s="549"/>
      <c r="AL601" s="549"/>
      <c r="AM601" s="549"/>
      <c r="AN601" s="549"/>
      <c r="AP601" s="689"/>
      <c r="AQ601" s="33"/>
      <c r="AR601" s="33"/>
      <c r="AS601" s="33"/>
      <c r="AT601" s="33"/>
      <c r="AU601" s="33"/>
      <c r="AV601" s="33"/>
      <c r="AW601" s="33"/>
    </row>
    <row r="602" spans="1:70">
      <c r="A602" s="4" t="s">
        <v>53</v>
      </c>
      <c r="AF602" s="6"/>
      <c r="AH602" s="20"/>
      <c r="AJ602" s="20"/>
    </row>
    <row r="603" spans="1:70" outlineLevel="1">
      <c r="B603" s="5" t="s">
        <v>279</v>
      </c>
      <c r="AD603" s="19"/>
      <c r="AF603" s="133"/>
      <c r="AG603" s="938"/>
      <c r="AH603" s="133"/>
    </row>
    <row r="604" spans="1:70" outlineLevel="1">
      <c r="B604" s="1075" t="s">
        <v>667</v>
      </c>
      <c r="C604" s="8" t="s">
        <v>55</v>
      </c>
      <c r="D604" s="96" t="s">
        <v>58</v>
      </c>
      <c r="E604" s="562"/>
      <c r="F604" s="562"/>
      <c r="G604" s="562"/>
      <c r="H604" s="562"/>
      <c r="I604" s="562"/>
      <c r="J604" s="562"/>
      <c r="K604" s="562"/>
      <c r="L604" s="562"/>
      <c r="M604" s="562"/>
      <c r="N604" s="562"/>
      <c r="O604" s="562"/>
      <c r="P604" s="563"/>
      <c r="Q604" s="563"/>
      <c r="R604" s="563"/>
      <c r="S604" s="563"/>
      <c r="T604" s="460">
        <v>3313.6</v>
      </c>
      <c r="U604" s="461">
        <f>V604-T604</f>
        <v>3465.7999999999997</v>
      </c>
      <c r="V604" s="460">
        <v>6779.4</v>
      </c>
      <c r="W604" s="460">
        <v>3246.2</v>
      </c>
      <c r="X604" s="461">
        <f>Y604-W604</f>
        <v>3048.4000000000005</v>
      </c>
      <c r="Y604" s="460">
        <v>6294.6</v>
      </c>
      <c r="Z604" s="460">
        <v>2986.7</v>
      </c>
      <c r="AA604" s="461">
        <f>AB604-Z604</f>
        <v>3079.2</v>
      </c>
      <c r="AB604" s="460">
        <v>6065.9</v>
      </c>
      <c r="AC604" s="460">
        <v>3091.5</v>
      </c>
      <c r="AD604" s="461">
        <f>AE604-AC604</f>
        <v>3135</v>
      </c>
      <c r="AE604" s="834">
        <v>6226.5</v>
      </c>
      <c r="AF604" s="109">
        <v>3166.4</v>
      </c>
      <c r="AG604" s="995">
        <f>AG623*AG$259</f>
        <v>3336.5003190237226</v>
      </c>
      <c r="AH604" s="461">
        <f>AF604+AG604</f>
        <v>6502.9003190237227</v>
      </c>
      <c r="AI604" s="461">
        <f>AI623*AI$259</f>
        <v>3158.5514933722411</v>
      </c>
      <c r="AJ604" s="461">
        <f t="shared" ref="AJ604:AJ606" si="1879">AJ623*AJ$259</f>
        <v>3403.2384037099323</v>
      </c>
      <c r="AK604" s="461">
        <f>AI604+AJ604</f>
        <v>6561.7898970821734</v>
      </c>
      <c r="AL604" s="461">
        <f>AL623*AL$259</f>
        <v>3413.1288898868115</v>
      </c>
      <c r="AM604" s="461">
        <f t="shared" ref="AM604:AM606" si="1880">AM623*AM$259</f>
        <v>3564.6527757148106</v>
      </c>
      <c r="AN604" s="461">
        <f>AL604+AM604</f>
        <v>6977.7816656016221</v>
      </c>
      <c r="AO604" s="461">
        <f>AO623*AO$259</f>
        <v>3471.8933532024639</v>
      </c>
      <c r="AP604" s="461">
        <f t="shared" ref="AP604:AP606" si="1881">AP623*AP$259</f>
        <v>3619.4516636951894</v>
      </c>
      <c r="AQ604" s="461">
        <f>AO604+AP604</f>
        <v>7091.3450168976533</v>
      </c>
      <c r="AR604" s="461">
        <f>AR623*AR$259</f>
        <v>3529.3561408104033</v>
      </c>
      <c r="AS604" s="461">
        <f t="shared" ref="AS604:AS606" si="1882">AS623*AS$259</f>
        <v>3681.0862859024587</v>
      </c>
      <c r="AT604" s="461">
        <f>AR604+AS604</f>
        <v>7210.4424267128616</v>
      </c>
      <c r="AU604" s="461">
        <f>AU623*AU$259</f>
        <v>3588.712436410312</v>
      </c>
      <c r="AV604" s="461">
        <f t="shared" ref="AV604:AV606" si="1883">AV623*AV$259</f>
        <v>3744.7039161194857</v>
      </c>
      <c r="AW604" s="461">
        <f>AU604+AV604</f>
        <v>7333.4163525297972</v>
      </c>
      <c r="AX604" s="461">
        <f>AX623*AX$259</f>
        <v>3650.0260387954131</v>
      </c>
      <c r="AY604" s="461">
        <f t="shared" ref="AY604:AY606" si="1884">AY623*AY$259</f>
        <v>3810.3720793893362</v>
      </c>
      <c r="AZ604" s="461">
        <f>AX604+AY604</f>
        <v>7460.3981181847494</v>
      </c>
      <c r="BA604" s="461">
        <f>BA623*BA$259</f>
        <v>3713.3634656772642</v>
      </c>
      <c r="BB604" s="461">
        <f t="shared" ref="BB604:BB606" si="1885">BB623*BB$259</f>
        <v>3878.1611658567545</v>
      </c>
      <c r="BC604" s="461">
        <f>BA604+BB604</f>
        <v>7591.5246315340191</v>
      </c>
      <c r="BD604" s="461">
        <f>BD623*BD$259</f>
        <v>3778.7940726263923</v>
      </c>
      <c r="BE604" s="461">
        <f t="shared" ref="BE604:BE606" si="1886">BE623*BE$259</f>
        <v>3948.1445565414124</v>
      </c>
      <c r="BF604" s="461">
        <f>BD604+BE604</f>
        <v>7726.9386291678047</v>
      </c>
      <c r="BG604" s="461">
        <f>BG623*BG$259</f>
        <v>3846.3901775731888</v>
      </c>
      <c r="BH604" s="461">
        <f t="shared" ref="BH604:BH606" si="1887">BH623*BH$259</f>
        <v>4020.3987549913963</v>
      </c>
      <c r="BI604" s="461">
        <f>BG604+BH604</f>
        <v>7866.7889325645847</v>
      </c>
      <c r="BJ604" s="461">
        <f>BJ623*BJ$259</f>
        <v>3916.2271911346788</v>
      </c>
      <c r="BK604" s="461">
        <f t="shared" ref="BK604:BK606" si="1888">BK623*BK$259</f>
        <v>4095.0035250981432</v>
      </c>
      <c r="BL604" s="461">
        <f>BJ604+BK604</f>
        <v>8011.2307162328216</v>
      </c>
      <c r="BM604" s="461">
        <f>BM623*BM$259</f>
        <v>3988.3837530457859</v>
      </c>
      <c r="BN604" s="461">
        <f t="shared" ref="BN604:BN606" si="1889">BN623*BN$259</f>
        <v>4172.0420353678037</v>
      </c>
      <c r="BO604" s="461">
        <f>BM604+BN604</f>
        <v>8160.4257884135895</v>
      </c>
      <c r="BP604" s="461">
        <f>BP623*BP$259</f>
        <v>4062.941874987293</v>
      </c>
      <c r="BQ604" s="461">
        <f t="shared" ref="BQ604:BQ606" si="1890">BQ623*BQ$259</f>
        <v>4251.6010099584382</v>
      </c>
      <c r="BR604" s="461">
        <f>BP604+BQ604</f>
        <v>8314.5428849457312</v>
      </c>
    </row>
    <row r="605" spans="1:70" outlineLevel="1">
      <c r="B605" s="1075"/>
      <c r="C605" s="8" t="s">
        <v>56</v>
      </c>
      <c r="D605" s="96" t="s">
        <v>58</v>
      </c>
      <c r="E605" s="562"/>
      <c r="F605" s="562"/>
      <c r="G605" s="562"/>
      <c r="H605" s="562"/>
      <c r="I605" s="562"/>
      <c r="J605" s="562"/>
      <c r="K605" s="562"/>
      <c r="L605" s="562"/>
      <c r="M605" s="562"/>
      <c r="N605" s="562"/>
      <c r="O605" s="562"/>
      <c r="P605" s="563"/>
      <c r="Q605" s="563"/>
      <c r="R605" s="563"/>
      <c r="S605" s="563"/>
      <c r="T605" s="460">
        <v>501.8</v>
      </c>
      <c r="U605" s="461">
        <f>V605-T605</f>
        <v>548.29999999999995</v>
      </c>
      <c r="V605" s="460">
        <v>1050.0999999999999</v>
      </c>
      <c r="W605" s="460">
        <v>508.4</v>
      </c>
      <c r="X605" s="461">
        <f>Y605-W605</f>
        <v>478.00000000000011</v>
      </c>
      <c r="Y605" s="97">
        <f>Y607-Y606</f>
        <v>986.40000000000009</v>
      </c>
      <c r="Z605" s="460">
        <v>458.2</v>
      </c>
      <c r="AA605" s="461">
        <f>AB605-Z605</f>
        <v>506.7</v>
      </c>
      <c r="AB605" s="460">
        <v>964.9</v>
      </c>
      <c r="AC605" s="460">
        <v>484.6</v>
      </c>
      <c r="AD605" s="461">
        <f>AE605-AC605</f>
        <v>539.99999999999989</v>
      </c>
      <c r="AE605" s="834">
        <v>1024.5999999999999</v>
      </c>
      <c r="AF605" s="908">
        <v>513.1</v>
      </c>
      <c r="AG605" s="996">
        <f>AG624*AG$259</f>
        <v>589.88919636105254</v>
      </c>
      <c r="AH605" s="463">
        <f>AF605+AG605</f>
        <v>1102.9891963610526</v>
      </c>
      <c r="AI605" s="463">
        <f>AI624*AI$259</f>
        <v>548.68562897880645</v>
      </c>
      <c r="AJ605" s="463">
        <f>AJ624*AJ$259</f>
        <v>629.00367493434715</v>
      </c>
      <c r="AK605" s="463">
        <f>AI605+AJ605</f>
        <v>1177.6893039131537</v>
      </c>
      <c r="AL605" s="463">
        <f>AL624*AL$259</f>
        <v>601.1535381115375</v>
      </c>
      <c r="AM605" s="463">
        <f>AM624*AM$259</f>
        <v>660.65022180974211</v>
      </c>
      <c r="AN605" s="463">
        <f>AL605+AM605</f>
        <v>1261.8037599212796</v>
      </c>
      <c r="AO605" s="463">
        <f>AO624*AO$259</f>
        <v>616.17510117313327</v>
      </c>
      <c r="AP605" s="463">
        <f>AP624*AP$259</f>
        <v>679.04496580846194</v>
      </c>
      <c r="AQ605" s="463">
        <f>AO605+AP605</f>
        <v>1295.2200669815952</v>
      </c>
      <c r="AR605" s="463">
        <f>AR624*AR$259</f>
        <v>625.65124725066937</v>
      </c>
      <c r="AS605" s="463">
        <f>AS624*AS$259</f>
        <v>689.81391841148468</v>
      </c>
      <c r="AT605" s="463">
        <f>AR605+AS605</f>
        <v>1315.465165662154</v>
      </c>
      <c r="AU605" s="463">
        <f>AU624*AU$259</f>
        <v>635.41237251732673</v>
      </c>
      <c r="AV605" s="463">
        <f>AV624*AV$259</f>
        <v>700.90261899175277</v>
      </c>
      <c r="AW605" s="463">
        <f>AU605+AV605</f>
        <v>1336.3149915090794</v>
      </c>
      <c r="AX605" s="463">
        <f>AX624*AX$259</f>
        <v>645.46787207589136</v>
      </c>
      <c r="AY605" s="463">
        <f>AY624*AY$259</f>
        <v>712.32174093949061</v>
      </c>
      <c r="AZ605" s="463">
        <f>AX605+AY605</f>
        <v>1357.789613015382</v>
      </c>
      <c r="BA605" s="463">
        <f>BA624*BA$259</f>
        <v>655.82754022108406</v>
      </c>
      <c r="BB605" s="463">
        <f>BB624*BB$259</f>
        <v>724.08240944744534</v>
      </c>
      <c r="BC605" s="463">
        <f>BA605+BB605</f>
        <v>1379.9099496685294</v>
      </c>
      <c r="BD605" s="463">
        <f>BD624*BD$259</f>
        <v>666.50158803197598</v>
      </c>
      <c r="BE605" s="463">
        <f>BE624*BE$259</f>
        <v>736.19622148312328</v>
      </c>
      <c r="BF605" s="463">
        <f>BD605+BE605</f>
        <v>1402.6978095150994</v>
      </c>
      <c r="BG605" s="463">
        <f>BG624*BG$259</f>
        <v>677.50066179521025</v>
      </c>
      <c r="BH605" s="463">
        <f>BH624*BH$259</f>
        <v>748.67526670369671</v>
      </c>
      <c r="BI605" s="463">
        <f>BG605+BH605</f>
        <v>1426.1759284989071</v>
      </c>
      <c r="BJ605" s="463">
        <f>BJ624*BJ$259</f>
        <v>688.83586229919069</v>
      </c>
      <c r="BK605" s="463">
        <f>BK624*BK$259</f>
        <v>761.53214935916424</v>
      </c>
      <c r="BL605" s="463">
        <f>BJ605+BK605</f>
        <v>1450.368011658355</v>
      </c>
      <c r="BM605" s="463">
        <f>BM624*BM$259</f>
        <v>700.51876504138249</v>
      </c>
      <c r="BN605" s="463">
        <f>BN624*BN$259</f>
        <v>774.78001123160425</v>
      </c>
      <c r="BO605" s="463">
        <f>BM605+BN605</f>
        <v>1475.2987762729867</v>
      </c>
      <c r="BP605" s="463">
        <f>BP624*BP$259</f>
        <v>712.56144139295895</v>
      </c>
      <c r="BQ605" s="463">
        <f>BQ624*BQ$259</f>
        <v>788.43255566073378</v>
      </c>
      <c r="BR605" s="463">
        <f>BP605+BQ605</f>
        <v>1500.9939970536927</v>
      </c>
    </row>
    <row r="606" spans="1:70" outlineLevel="1">
      <c r="B606" s="1075"/>
      <c r="C606" s="6" t="s">
        <v>65</v>
      </c>
      <c r="D606" s="7" t="s">
        <v>58</v>
      </c>
      <c r="E606" s="564"/>
      <c r="F606" s="564"/>
      <c r="G606" s="564"/>
      <c r="H606" s="564"/>
      <c r="I606" s="564"/>
      <c r="J606" s="564"/>
      <c r="K606" s="564"/>
      <c r="L606" s="564"/>
      <c r="M606" s="564"/>
      <c r="N606" s="564"/>
      <c r="O606" s="564"/>
      <c r="P606" s="565"/>
      <c r="Q606" s="565"/>
      <c r="R606" s="565"/>
      <c r="S606" s="565"/>
      <c r="T606" s="12">
        <v>-113.8</v>
      </c>
      <c r="U606" s="26">
        <f>V606-T606</f>
        <v>-113.7</v>
      </c>
      <c r="V606" s="12">
        <v>-227.5</v>
      </c>
      <c r="W606" s="12">
        <v>-111.8</v>
      </c>
      <c r="X606" s="26">
        <f>Y606-W606</f>
        <v>-101.89999999999999</v>
      </c>
      <c r="Y606" s="12">
        <v>-213.7</v>
      </c>
      <c r="Z606" s="12">
        <v>-104</v>
      </c>
      <c r="AA606" s="26">
        <f>AB606-Z606</f>
        <v>-105</v>
      </c>
      <c r="AB606" s="12">
        <v>-209</v>
      </c>
      <c r="AC606" s="12">
        <v>-111.6</v>
      </c>
      <c r="AD606" s="26">
        <f>AE606-AC606</f>
        <v>-108.30000000000001</v>
      </c>
      <c r="AE606" s="400">
        <v>-219.9</v>
      </c>
      <c r="AF606" s="25">
        <v>-116.3</v>
      </c>
      <c r="AG606" s="943">
        <f t="shared" ref="AG606" si="1891">AG625*AG$259</f>
        <v>-119.80468500000011</v>
      </c>
      <c r="AH606" s="19">
        <f>AF606+AG606</f>
        <v>-236.1046850000001</v>
      </c>
      <c r="AI606" s="19">
        <f>AI625*AI$259</f>
        <v>-114.25726000000002</v>
      </c>
      <c r="AJ606" s="19">
        <f t="shared" si="1879"/>
        <v>-123.55553210000009</v>
      </c>
      <c r="AK606" s="19">
        <f>AI606+AJ606</f>
        <v>-237.81279210000011</v>
      </c>
      <c r="AL606" s="19">
        <f>AL625*AL$259</f>
        <v>-125.98235000000001</v>
      </c>
      <c r="AM606" s="19">
        <f t="shared" si="1880"/>
        <v>-128.91641262500011</v>
      </c>
      <c r="AN606" s="19">
        <f>AL606+AM606</f>
        <v>-254.89876262500013</v>
      </c>
      <c r="AO606" s="19">
        <f>AO625*AO$259</f>
        <v>-127.24217350000001</v>
      </c>
      <c r="AP606" s="19">
        <f t="shared" si="1881"/>
        <v>-130.20557675125013</v>
      </c>
      <c r="AQ606" s="19">
        <f>AO606+AP606</f>
        <v>-257.44775025125011</v>
      </c>
      <c r="AR606" s="19">
        <f>AR625*AR$259</f>
        <v>-128.514595235</v>
      </c>
      <c r="AS606" s="19">
        <f t="shared" si="1882"/>
        <v>-131.50763251876262</v>
      </c>
      <c r="AT606" s="19">
        <f>AR606+AS606</f>
        <v>-260.02222775376265</v>
      </c>
      <c r="AU606" s="19">
        <f>AU625*AU$259</f>
        <v>-129.79974118735001</v>
      </c>
      <c r="AV606" s="19">
        <f t="shared" si="1883"/>
        <v>-132.82270884395024</v>
      </c>
      <c r="AW606" s="19">
        <f>AU606+AV606</f>
        <v>-262.62245003130022</v>
      </c>
      <c r="AX606" s="19">
        <f>AX625*AX$259</f>
        <v>-131.0977385992235</v>
      </c>
      <c r="AY606" s="19">
        <f t="shared" si="1884"/>
        <v>-134.15093593238973</v>
      </c>
      <c r="AZ606" s="19">
        <f>AX606+AY606</f>
        <v>-265.24867453161323</v>
      </c>
      <c r="BA606" s="19">
        <f>BA625*BA$259</f>
        <v>-132.40871598521574</v>
      </c>
      <c r="BB606" s="19">
        <f t="shared" si="1885"/>
        <v>-135.49244529171364</v>
      </c>
      <c r="BC606" s="19">
        <f>BA606+BB606</f>
        <v>-267.90116127692937</v>
      </c>
      <c r="BD606" s="19">
        <f>BD625*BD$259</f>
        <v>-133.73280314506789</v>
      </c>
      <c r="BE606" s="19">
        <f t="shared" si="1886"/>
        <v>-136.84736974463075</v>
      </c>
      <c r="BF606" s="19">
        <f>BD606+BE606</f>
        <v>-270.58017288969864</v>
      </c>
      <c r="BG606" s="19">
        <f>BG625*BG$259</f>
        <v>-135.0701311765186</v>
      </c>
      <c r="BH606" s="19">
        <f t="shared" si="1887"/>
        <v>-138.21584344207707</v>
      </c>
      <c r="BI606" s="19">
        <f>BG606+BH606</f>
        <v>-273.28597461859567</v>
      </c>
      <c r="BJ606" s="19">
        <f>BJ625*BJ$259</f>
        <v>-136.42083248828379</v>
      </c>
      <c r="BK606" s="19">
        <f t="shared" si="1888"/>
        <v>-139.59800187649785</v>
      </c>
      <c r="BL606" s="19">
        <f>BJ606+BK606</f>
        <v>-276.01883436478164</v>
      </c>
      <c r="BM606" s="19">
        <f>BM625*BM$259</f>
        <v>-137.78504081316663</v>
      </c>
      <c r="BN606" s="19">
        <f t="shared" si="1889"/>
        <v>-140.99398189526283</v>
      </c>
      <c r="BO606" s="19">
        <f>BM606+BN606</f>
        <v>-278.77902270842947</v>
      </c>
      <c r="BP606" s="19">
        <f>BP625*BP$259</f>
        <v>-139.16289122129828</v>
      </c>
      <c r="BQ606" s="19">
        <f t="shared" si="1890"/>
        <v>-142.40392171421547</v>
      </c>
      <c r="BR606" s="19">
        <f>BP606+BQ606</f>
        <v>-281.56681293551378</v>
      </c>
    </row>
    <row r="607" spans="1:70" outlineLevel="1">
      <c r="B607" s="1075"/>
      <c r="C607" s="8" t="s">
        <v>57</v>
      </c>
      <c r="D607" s="96" t="s">
        <v>58</v>
      </c>
      <c r="E607" s="562"/>
      <c r="F607" s="562"/>
      <c r="G607" s="562"/>
      <c r="H607" s="562"/>
      <c r="I607" s="562"/>
      <c r="J607" s="562"/>
      <c r="K607" s="562"/>
      <c r="L607" s="562"/>
      <c r="M607" s="562"/>
      <c r="N607" s="562"/>
      <c r="O607" s="562"/>
      <c r="P607" s="563"/>
      <c r="Q607" s="563"/>
      <c r="R607" s="563"/>
      <c r="S607" s="563"/>
      <c r="T607" s="460">
        <v>388</v>
      </c>
      <c r="U607" s="461">
        <f>U605+U606</f>
        <v>434.59999999999997</v>
      </c>
      <c r="V607" s="460">
        <v>822.6</v>
      </c>
      <c r="W607" s="460">
        <v>396.6</v>
      </c>
      <c r="X607" s="461">
        <f>X605+X606</f>
        <v>376.10000000000014</v>
      </c>
      <c r="Y607" s="460">
        <v>772.7</v>
      </c>
      <c r="Z607" s="109">
        <v>354.2</v>
      </c>
      <c r="AA607" s="461">
        <f>AA605+AA606</f>
        <v>401.7</v>
      </c>
      <c r="AB607" s="460">
        <v>755.9</v>
      </c>
      <c r="AC607" s="341">
        <f>AC605+AC606</f>
        <v>373</v>
      </c>
      <c r="AD607" s="461">
        <f>AD605+AD606</f>
        <v>431.69999999999987</v>
      </c>
      <c r="AE607" s="834">
        <v>804.7</v>
      </c>
      <c r="AF607" s="461">
        <f>AF605+AF606</f>
        <v>396.8</v>
      </c>
      <c r="AG607" s="995">
        <f>AG605+AG606</f>
        <v>470.08451136105242</v>
      </c>
      <c r="AH607" s="461">
        <f>AF607+AG607</f>
        <v>866.88451136105243</v>
      </c>
      <c r="AI607" s="461">
        <f>AI605+AI606</f>
        <v>434.42836897880642</v>
      </c>
      <c r="AJ607" s="461">
        <f>AJ605+AJ606</f>
        <v>505.44814283434704</v>
      </c>
      <c r="AK607" s="461">
        <f>AI607+AJ607</f>
        <v>939.87651181315346</v>
      </c>
      <c r="AL607" s="461">
        <f>AL605+AL606</f>
        <v>475.1711881115375</v>
      </c>
      <c r="AM607" s="461">
        <f>AM605+AM606</f>
        <v>531.73380918474197</v>
      </c>
      <c r="AN607" s="461">
        <f>AL607+AM607</f>
        <v>1006.9049972962795</v>
      </c>
      <c r="AO607" s="461">
        <f>AO605+AO606</f>
        <v>488.93292767313324</v>
      </c>
      <c r="AP607" s="461">
        <f>AP605+AP606</f>
        <v>548.83938905721175</v>
      </c>
      <c r="AQ607" s="461">
        <f>AO607+AP607</f>
        <v>1037.772316730345</v>
      </c>
      <c r="AR607" s="461">
        <f>AR605+AR606</f>
        <v>497.13665201566937</v>
      </c>
      <c r="AS607" s="461">
        <f>AS605+AS606</f>
        <v>558.30628589272203</v>
      </c>
      <c r="AT607" s="461">
        <f>AR607+AS607</f>
        <v>1055.4429379083913</v>
      </c>
      <c r="AU607" s="461">
        <f>AU605+AU606</f>
        <v>505.61263132997669</v>
      </c>
      <c r="AV607" s="461">
        <f>AV605+AV606</f>
        <v>568.07991014780259</v>
      </c>
      <c r="AW607" s="461">
        <f>AU607+AV607</f>
        <v>1073.6925414777793</v>
      </c>
      <c r="AX607" s="461">
        <f>AX605+AX606</f>
        <v>514.37013347666789</v>
      </c>
      <c r="AY607" s="461">
        <f>AY605+AY606</f>
        <v>578.17080500710085</v>
      </c>
      <c r="AZ607" s="461">
        <f>AX607+AY607</f>
        <v>1092.5409384837687</v>
      </c>
      <c r="BA607" s="461">
        <f>BA605+BA606</f>
        <v>523.41882423586833</v>
      </c>
      <c r="BB607" s="461">
        <f>BB605+BB606</f>
        <v>588.58996415573165</v>
      </c>
      <c r="BC607" s="461">
        <f>BA607+BB607</f>
        <v>1112.0087883915999</v>
      </c>
      <c r="BD607" s="461">
        <f>BD605+BD606</f>
        <v>532.76878488690807</v>
      </c>
      <c r="BE607" s="461">
        <f>BE605+BE606</f>
        <v>599.3488517384925</v>
      </c>
      <c r="BF607" s="461">
        <f>BD607+BE607</f>
        <v>1132.1176366254006</v>
      </c>
      <c r="BG607" s="461">
        <f>BG605+BG606</f>
        <v>542.43053061869159</v>
      </c>
      <c r="BH607" s="461">
        <f>BH605+BH606</f>
        <v>610.45942326161958</v>
      </c>
      <c r="BI607" s="461">
        <f>BG607+BH607</f>
        <v>1152.8899538803112</v>
      </c>
      <c r="BJ607" s="461">
        <f>BJ605+BJ606</f>
        <v>552.41502981090684</v>
      </c>
      <c r="BK607" s="461">
        <f>BK605+BK606</f>
        <v>621.93414748266639</v>
      </c>
      <c r="BL607" s="461">
        <f>BJ607+BK607</f>
        <v>1174.3491772935731</v>
      </c>
      <c r="BM607" s="461">
        <f>BM605+BM606</f>
        <v>562.73372422821581</v>
      </c>
      <c r="BN607" s="461">
        <f>BN605+BN606</f>
        <v>633.78602933634147</v>
      </c>
      <c r="BO607" s="461">
        <f>BM607+BN607</f>
        <v>1196.5197535645573</v>
      </c>
      <c r="BP607" s="461">
        <f>BP605+BP606</f>
        <v>573.39855017166064</v>
      </c>
      <c r="BQ607" s="461">
        <f>BQ605+BQ606</f>
        <v>646.02863394651831</v>
      </c>
      <c r="BR607" s="461">
        <f>BP607+BQ607</f>
        <v>1219.427184118179</v>
      </c>
    </row>
    <row r="608" spans="1:70" s="99" customFormat="1" outlineLevel="1">
      <c r="B608" s="1075"/>
      <c r="C608" s="421" t="s">
        <v>74</v>
      </c>
      <c r="D608" s="100" t="s">
        <v>66</v>
      </c>
      <c r="E608" s="566"/>
      <c r="F608" s="566"/>
      <c r="G608" s="566"/>
      <c r="H608" s="566"/>
      <c r="I608" s="566"/>
      <c r="J608" s="566"/>
      <c r="K608" s="566"/>
      <c r="L608" s="566"/>
      <c r="M608" s="566"/>
      <c r="N608" s="566"/>
      <c r="O608" s="566"/>
      <c r="P608" s="567"/>
      <c r="Q608" s="565"/>
      <c r="R608" s="565"/>
      <c r="S608" s="565"/>
      <c r="T608" s="454">
        <f t="shared" ref="T608:AF608" si="1892">T607/T604</f>
        <v>0.11709319169483341</v>
      </c>
      <c r="U608" s="454">
        <f t="shared" si="1892"/>
        <v>0.12539673379883431</v>
      </c>
      <c r="V608" s="454">
        <f t="shared" si="1892"/>
        <v>0.12133817151960352</v>
      </c>
      <c r="W608" s="454">
        <f t="shared" si="1892"/>
        <v>0.12217361838457275</v>
      </c>
      <c r="X608" s="454">
        <f t="shared" si="1892"/>
        <v>0.12337619734942923</v>
      </c>
      <c r="Y608" s="454">
        <f t="shared" si="1892"/>
        <v>0.12275601309058558</v>
      </c>
      <c r="Z608" s="454">
        <f t="shared" si="1892"/>
        <v>0.11859242642381224</v>
      </c>
      <c r="AA608" s="454">
        <f t="shared" si="1892"/>
        <v>0.1304559625876851</v>
      </c>
      <c r="AB608" s="454">
        <f t="shared" si="1892"/>
        <v>0.12461464910400766</v>
      </c>
      <c r="AC608" s="454">
        <f t="shared" si="1892"/>
        <v>0.12065340449619925</v>
      </c>
      <c r="AD608" s="454">
        <f t="shared" si="1892"/>
        <v>0.13770334928229661</v>
      </c>
      <c r="AE608" s="458">
        <f t="shared" si="1892"/>
        <v>0.1292379346342247</v>
      </c>
      <c r="AF608" s="458">
        <f t="shared" si="1892"/>
        <v>0.12531581606872158</v>
      </c>
      <c r="AG608" s="989">
        <f t="shared" ref="AG608:BR608" si="1893">AG607/AG604</f>
        <v>0.1408914930056418</v>
      </c>
      <c r="AH608" s="454">
        <f t="shared" si="1893"/>
        <v>0.13330736576494184</v>
      </c>
      <c r="AI608" s="454">
        <f t="shared" si="1893"/>
        <v>0.13754037883833486</v>
      </c>
      <c r="AJ608" s="454">
        <f t="shared" si="1893"/>
        <v>0.14851975761772929</v>
      </c>
      <c r="AK608" s="454">
        <f t="shared" si="1893"/>
        <v>0.14323477687560338</v>
      </c>
      <c r="AL608" s="454">
        <f t="shared" si="1893"/>
        <v>0.13921864759326316</v>
      </c>
      <c r="AM608" s="454">
        <f t="shared" si="1893"/>
        <v>0.14916847239858158</v>
      </c>
      <c r="AN608" s="454">
        <f t="shared" si="1893"/>
        <v>0.14430159118621039</v>
      </c>
      <c r="AO608" s="454">
        <f t="shared" si="1893"/>
        <v>0.14082602140475975</v>
      </c>
      <c r="AP608" s="454">
        <f t="shared" si="1893"/>
        <v>0.1516360598381048</v>
      </c>
      <c r="AQ608" s="454">
        <f t="shared" si="1893"/>
        <v>0.14634350948338898</v>
      </c>
      <c r="AR608" s="454">
        <f t="shared" si="1893"/>
        <v>0.14085760466823219</v>
      </c>
      <c r="AS608" s="454">
        <f t="shared" si="1893"/>
        <v>0.15166889405197606</v>
      </c>
      <c r="AT608" s="454">
        <f t="shared" si="1893"/>
        <v>0.14637700094494102</v>
      </c>
      <c r="AU608" s="454">
        <f t="shared" si="1893"/>
        <v>0.14088970356056915</v>
      </c>
      <c r="AV608" s="454">
        <f t="shared" si="1893"/>
        <v>0.15170222342611409</v>
      </c>
      <c r="AW608" s="454">
        <f t="shared" si="1893"/>
        <v>0.14641096180327867</v>
      </c>
      <c r="AX608" s="454">
        <f t="shared" si="1893"/>
        <v>0.14092231891211962</v>
      </c>
      <c r="AY608" s="454">
        <f t="shared" si="1893"/>
        <v>0.15173604912089333</v>
      </c>
      <c r="AZ608" s="454">
        <f t="shared" si="1893"/>
        <v>0.14644539355355526</v>
      </c>
      <c r="BA608" s="454">
        <f t="shared" si="1893"/>
        <v>0.14095545159364148</v>
      </c>
      <c r="BB608" s="454">
        <f t="shared" si="1893"/>
        <v>0.15177037234493107</v>
      </c>
      <c r="BC608" s="454">
        <f t="shared" si="1893"/>
        <v>0.14648029774842425</v>
      </c>
      <c r="BD608" s="454">
        <f t="shared" si="1893"/>
        <v>0.1409891025145531</v>
      </c>
      <c r="BE608" s="454">
        <f t="shared" si="1893"/>
        <v>0.15180519435274276</v>
      </c>
      <c r="BF608" s="454">
        <f t="shared" si="1893"/>
        <v>0.14651567599512955</v>
      </c>
      <c r="BG608" s="454">
        <f t="shared" si="1893"/>
        <v>0.1410232726210133</v>
      </c>
      <c r="BH608" s="454">
        <f t="shared" si="1893"/>
        <v>0.15184051644223681</v>
      </c>
      <c r="BI608" s="454">
        <f t="shared" si="1893"/>
        <v>0.14655152995244622</v>
      </c>
      <c r="BJ608" s="454">
        <f t="shared" si="1893"/>
        <v>0.14105796289383593</v>
      </c>
      <c r="BK608" s="454">
        <f t="shared" si="1893"/>
        <v>0.15187633995205432</v>
      </c>
      <c r="BL608" s="454">
        <f t="shared" si="1893"/>
        <v>0.1465878613274785</v>
      </c>
      <c r="BM608" s="454">
        <f t="shared" si="1893"/>
        <v>0.14109317434624394</v>
      </c>
      <c r="BN608" s="454">
        <f t="shared" si="1893"/>
        <v>0.15191266625875868</v>
      </c>
      <c r="BO608" s="454">
        <f t="shared" si="1893"/>
        <v>0.14662467187231956</v>
      </c>
      <c r="BP608" s="454">
        <f t="shared" si="1893"/>
        <v>0.14112890802147002</v>
      </c>
      <c r="BQ608" s="454">
        <f t="shared" si="1893"/>
        <v>0.15194949677388322</v>
      </c>
      <c r="BR608" s="454">
        <f t="shared" si="1893"/>
        <v>0.14666196338058074</v>
      </c>
    </row>
    <row r="609" spans="2:70" s="99" customFormat="1" outlineLevel="1">
      <c r="B609" s="1075"/>
      <c r="C609" s="6" t="s">
        <v>296</v>
      </c>
      <c r="D609" s="7" t="s">
        <v>58</v>
      </c>
      <c r="E609" s="564"/>
      <c r="F609" s="564"/>
      <c r="G609" s="564"/>
      <c r="H609" s="564"/>
      <c r="I609" s="564"/>
      <c r="J609" s="564"/>
      <c r="K609" s="564"/>
      <c r="L609" s="564"/>
      <c r="M609" s="564"/>
      <c r="N609" s="564"/>
      <c r="O609" s="564"/>
      <c r="P609" s="567"/>
      <c r="Q609" s="565"/>
      <c r="R609" s="565"/>
      <c r="S609" s="565"/>
      <c r="T609" s="117">
        <v>3378</v>
      </c>
      <c r="U609" s="551"/>
      <c r="V609" s="117">
        <v>3391</v>
      </c>
      <c r="W609" s="117">
        <v>3256</v>
      </c>
      <c r="X609" s="551"/>
      <c r="Y609" s="117">
        <v>3080.3</v>
      </c>
      <c r="Z609" s="117">
        <v>2880.6</v>
      </c>
      <c r="AA609" s="118">
        <f>AB609*2-Z609</f>
        <v>2987.4</v>
      </c>
      <c r="AB609" s="117">
        <v>2934</v>
      </c>
      <c r="AC609" s="117">
        <v>3286</v>
      </c>
      <c r="AD609" s="551"/>
      <c r="AE609" s="835">
        <v>3300</v>
      </c>
      <c r="AF609" s="835">
        <v>3441.9</v>
      </c>
      <c r="AG609" s="997"/>
      <c r="AH609" s="570"/>
      <c r="AI609" s="570"/>
      <c r="AJ609" s="570"/>
      <c r="AK609" s="570"/>
      <c r="AL609" s="570"/>
      <c r="AM609" s="570"/>
      <c r="AN609" s="570"/>
      <c r="AO609" s="570"/>
      <c r="AP609" s="570"/>
      <c r="AQ609" s="570"/>
      <c r="AR609" s="570"/>
      <c r="AS609" s="570"/>
      <c r="AT609" s="570"/>
      <c r="AU609" s="570"/>
      <c r="AV609" s="570"/>
      <c r="AW609" s="570"/>
      <c r="AX609" s="570"/>
      <c r="AY609" s="570"/>
      <c r="AZ609" s="570"/>
      <c r="BA609" s="570"/>
      <c r="BB609" s="570"/>
      <c r="BC609" s="570"/>
      <c r="BD609" s="570"/>
      <c r="BE609" s="570"/>
      <c r="BF609" s="570"/>
      <c r="BG609" s="570"/>
      <c r="BH609" s="570"/>
      <c r="BI609" s="570"/>
      <c r="BJ609" s="570"/>
      <c r="BK609" s="570"/>
      <c r="BL609" s="570"/>
      <c r="BM609" s="570"/>
      <c r="BN609" s="570"/>
      <c r="BO609" s="570"/>
      <c r="BP609" s="570"/>
      <c r="BQ609" s="570"/>
      <c r="BR609" s="570"/>
    </row>
    <row r="610" spans="2:70" s="99" customFormat="1" outlineLevel="1">
      <c r="B610" s="1075"/>
      <c r="C610" s="9" t="s">
        <v>265</v>
      </c>
      <c r="D610" s="100" t="s">
        <v>66</v>
      </c>
      <c r="E610" s="566"/>
      <c r="F610" s="566"/>
      <c r="G610" s="566"/>
      <c r="H610" s="566"/>
      <c r="I610" s="566"/>
      <c r="J610" s="566"/>
      <c r="K610" s="566"/>
      <c r="L610" s="566"/>
      <c r="M610" s="566"/>
      <c r="N610" s="566"/>
      <c r="O610" s="566"/>
      <c r="P610" s="567"/>
      <c r="Q610" s="565"/>
      <c r="R610" s="565"/>
      <c r="S610" s="565"/>
      <c r="T610" s="116">
        <v>0.23</v>
      </c>
      <c r="U610" s="552"/>
      <c r="V610" s="116">
        <v>0.24299999999999999</v>
      </c>
      <c r="W610" s="116">
        <v>0.24399999999999999</v>
      </c>
      <c r="X610" s="552"/>
      <c r="Y610" s="116">
        <v>0.251</v>
      </c>
      <c r="Z610" s="116">
        <v>0.246</v>
      </c>
      <c r="AA610" s="92"/>
      <c r="AB610" s="116">
        <v>0.25800000000000001</v>
      </c>
      <c r="AC610" s="116">
        <v>0.22700000000000001</v>
      </c>
      <c r="AD610" s="552"/>
      <c r="AE610" s="836">
        <v>0.24399999999999999</v>
      </c>
      <c r="AF610" s="836">
        <v>0.24399999999999999</v>
      </c>
      <c r="AG610" s="997"/>
      <c r="AH610" s="570"/>
      <c r="AI610" s="570"/>
      <c r="AJ610" s="570"/>
      <c r="AK610" s="570"/>
      <c r="AL610" s="570"/>
      <c r="AM610" s="570"/>
      <c r="AN610" s="570"/>
      <c r="AO610" s="570"/>
      <c r="AP610" s="570"/>
      <c r="AQ610" s="570"/>
      <c r="AR610" s="570"/>
      <c r="AS610" s="570"/>
      <c r="AT610" s="570"/>
      <c r="AU610" s="570"/>
      <c r="AV610" s="570"/>
      <c r="AW610" s="570"/>
      <c r="AX610" s="570"/>
      <c r="AY610" s="570"/>
      <c r="AZ610" s="570"/>
      <c r="BA610" s="570"/>
      <c r="BB610" s="570"/>
      <c r="BC610" s="570"/>
      <c r="BD610" s="570"/>
      <c r="BE610" s="570"/>
      <c r="BF610" s="570"/>
      <c r="BG610" s="570"/>
      <c r="BH610" s="570"/>
      <c r="BI610" s="570"/>
      <c r="BJ610" s="570"/>
      <c r="BK610" s="570"/>
      <c r="BL610" s="570"/>
      <c r="BM610" s="570"/>
      <c r="BN610" s="570"/>
      <c r="BO610" s="570"/>
      <c r="BP610" s="570"/>
      <c r="BQ610" s="570"/>
      <c r="BR610" s="570"/>
    </row>
    <row r="611" spans="2:70" s="99" customFormat="1" outlineLevel="1">
      <c r="B611" s="1075"/>
      <c r="C611" s="6" t="s">
        <v>297</v>
      </c>
      <c r="D611" s="7" t="s">
        <v>58</v>
      </c>
      <c r="E611" s="564"/>
      <c r="F611" s="564"/>
      <c r="G611" s="564"/>
      <c r="H611" s="564"/>
      <c r="I611" s="564"/>
      <c r="J611" s="564"/>
      <c r="K611" s="564"/>
      <c r="L611" s="564"/>
      <c r="M611" s="564"/>
      <c r="N611" s="564"/>
      <c r="O611" s="564"/>
      <c r="P611" s="567"/>
      <c r="Q611" s="565"/>
      <c r="R611" s="565"/>
      <c r="S611" s="565"/>
      <c r="T611" s="117">
        <v>300.5</v>
      </c>
      <c r="U611" s="18">
        <f>V611-T611</f>
        <v>634.9</v>
      </c>
      <c r="V611" s="117">
        <v>935.4</v>
      </c>
      <c r="W611" s="117">
        <v>315.60000000000002</v>
      </c>
      <c r="X611" s="18">
        <f>Y611-W611</f>
        <v>535.79999999999995</v>
      </c>
      <c r="Y611" s="117">
        <v>851.4</v>
      </c>
      <c r="Z611" s="117">
        <v>298.7</v>
      </c>
      <c r="AA611" s="18">
        <f>AB611-Z611</f>
        <v>543.5</v>
      </c>
      <c r="AB611" s="117">
        <v>842.2</v>
      </c>
      <c r="AC611" s="117">
        <v>303.7</v>
      </c>
      <c r="AD611" s="18">
        <f>AE611-AC611</f>
        <v>559.5</v>
      </c>
      <c r="AE611" s="835">
        <v>863.2</v>
      </c>
      <c r="AF611" s="835">
        <v>273.7</v>
      </c>
      <c r="AG611" s="997"/>
      <c r="AH611" s="570"/>
      <c r="AI611" s="570"/>
      <c r="AJ611" s="570"/>
      <c r="AK611" s="570"/>
      <c r="AL611" s="570"/>
      <c r="AM611" s="570"/>
      <c r="AN611" s="570"/>
      <c r="AO611" s="570"/>
      <c r="AP611" s="570"/>
      <c r="AQ611" s="570"/>
      <c r="AR611" s="570"/>
      <c r="AS611" s="570"/>
      <c r="AT611" s="570"/>
      <c r="AU611" s="570"/>
      <c r="AV611" s="570"/>
      <c r="AW611" s="570"/>
      <c r="AX611" s="570"/>
      <c r="AY611" s="570"/>
      <c r="AZ611" s="570"/>
      <c r="BA611" s="570"/>
      <c r="BB611" s="570"/>
      <c r="BC611" s="570"/>
      <c r="BD611" s="570"/>
      <c r="BE611" s="570"/>
      <c r="BF611" s="570"/>
      <c r="BG611" s="570"/>
      <c r="BH611" s="570"/>
      <c r="BI611" s="570"/>
      <c r="BJ611" s="570"/>
      <c r="BK611" s="570"/>
      <c r="BL611" s="570"/>
      <c r="BM611" s="570"/>
      <c r="BN611" s="570"/>
      <c r="BO611" s="570"/>
      <c r="BP611" s="570"/>
      <c r="BQ611" s="570"/>
      <c r="BR611" s="570"/>
    </row>
    <row r="612" spans="2:70" s="99" customFormat="1" outlineLevel="1">
      <c r="B612" s="1075"/>
      <c r="C612" s="9" t="s">
        <v>298</v>
      </c>
      <c r="D612" s="7" t="s">
        <v>58</v>
      </c>
      <c r="E612" s="564"/>
      <c r="F612" s="564"/>
      <c r="G612" s="564"/>
      <c r="H612" s="564"/>
      <c r="I612" s="564"/>
      <c r="J612" s="564"/>
      <c r="K612" s="564"/>
      <c r="L612" s="564"/>
      <c r="M612" s="564"/>
      <c r="N612" s="564"/>
      <c r="O612" s="564"/>
      <c r="P612" s="567"/>
      <c r="Q612" s="565"/>
      <c r="R612" s="565"/>
      <c r="S612" s="565"/>
      <c r="T612" s="117">
        <v>1013.8</v>
      </c>
      <c r="U612" s="106">
        <f>V612</f>
        <v>1069.5</v>
      </c>
      <c r="V612" s="117">
        <v>1069.5</v>
      </c>
      <c r="W612" s="117">
        <v>969.8</v>
      </c>
      <c r="X612" s="106">
        <f>Y612</f>
        <v>969.8</v>
      </c>
      <c r="Y612" s="117">
        <v>969.8</v>
      </c>
      <c r="Z612" s="117">
        <v>1053.9000000000001</v>
      </c>
      <c r="AA612" s="106">
        <f>AB612</f>
        <v>1053.9000000000001</v>
      </c>
      <c r="AB612" s="117">
        <v>1053.9000000000001</v>
      </c>
      <c r="AC612" s="117">
        <v>980.3</v>
      </c>
      <c r="AD612" s="106">
        <f>AE612</f>
        <v>1004.8</v>
      </c>
      <c r="AE612" s="835">
        <v>1004.8</v>
      </c>
      <c r="AF612" s="835">
        <v>1007.2</v>
      </c>
      <c r="AG612" s="997"/>
      <c r="AH612" s="570"/>
      <c r="AI612" s="570"/>
      <c r="AJ612" s="570"/>
      <c r="AK612" s="570"/>
      <c r="AL612" s="570"/>
      <c r="AM612" s="570"/>
      <c r="AN612" s="570"/>
      <c r="AO612" s="570"/>
      <c r="AP612" s="570"/>
      <c r="AQ612" s="570"/>
      <c r="AR612" s="570"/>
      <c r="AS612" s="570"/>
      <c r="AT612" s="570"/>
      <c r="AU612" s="570"/>
      <c r="AV612" s="570"/>
      <c r="AW612" s="570"/>
      <c r="AX612" s="570"/>
      <c r="AY612" s="570"/>
      <c r="AZ612" s="570"/>
      <c r="BA612" s="570"/>
      <c r="BB612" s="570"/>
      <c r="BC612" s="570"/>
      <c r="BD612" s="570"/>
      <c r="BE612" s="570"/>
      <c r="BF612" s="570"/>
      <c r="BG612" s="570"/>
      <c r="BH612" s="570"/>
      <c r="BI612" s="570"/>
      <c r="BJ612" s="570"/>
      <c r="BK612" s="570"/>
      <c r="BL612" s="570"/>
      <c r="BM612" s="570"/>
      <c r="BN612" s="570"/>
      <c r="BO612" s="570"/>
      <c r="BP612" s="570"/>
      <c r="BQ612" s="570"/>
      <c r="BR612" s="570"/>
    </row>
    <row r="613" spans="2:70" s="99" customFormat="1" outlineLevel="1">
      <c r="B613" s="1075"/>
      <c r="C613" s="108" t="s">
        <v>655</v>
      </c>
      <c r="D613" s="7" t="s">
        <v>66</v>
      </c>
      <c r="E613" s="564"/>
      <c r="F613" s="564"/>
      <c r="G613" s="564"/>
      <c r="H613" s="564"/>
      <c r="I613" s="564"/>
      <c r="J613" s="564"/>
      <c r="K613" s="564"/>
      <c r="L613" s="564"/>
      <c r="M613" s="564"/>
      <c r="N613" s="564"/>
      <c r="O613" s="564"/>
      <c r="P613" s="567"/>
      <c r="Q613" s="565"/>
      <c r="R613" s="565"/>
      <c r="S613" s="565"/>
      <c r="T613" s="550">
        <f>+T612/T$604/2</f>
        <v>0.15297561564461612</v>
      </c>
      <c r="U613" s="550">
        <f>+U612/U$604/2</f>
        <v>0.1542933810375671</v>
      </c>
      <c r="V613" s="550">
        <f>+V612/V$604</f>
        <v>0.1577573236569608</v>
      </c>
      <c r="W613" s="550">
        <f t="shared" ref="W613:X613" si="1894">+W612/W$604/2</f>
        <v>0.14937465344094633</v>
      </c>
      <c r="X613" s="550">
        <f t="shared" si="1894"/>
        <v>0.15906705156803566</v>
      </c>
      <c r="Y613" s="550">
        <f t="shared" ref="Y613" si="1895">+Y612/Y$604</f>
        <v>0.15406856670797189</v>
      </c>
      <c r="Z613" s="550">
        <f t="shared" ref="Z613:AA613" si="1896">+Z612/Z$604/2</f>
        <v>0.17643218267653266</v>
      </c>
      <c r="AA613" s="550">
        <f t="shared" si="1896"/>
        <v>0.17113211223694469</v>
      </c>
      <c r="AB613" s="550">
        <f t="shared" ref="AB613" si="1897">+AB612/AB$604</f>
        <v>0.17374173659308598</v>
      </c>
      <c r="AC613" s="550">
        <f t="shared" ref="AC613:AF613" si="1898">+AC612/AC$604/2</f>
        <v>0.15854763060003235</v>
      </c>
      <c r="AD613" s="550">
        <f t="shared" si="1898"/>
        <v>0.16025518341307815</v>
      </c>
      <c r="AE613" s="837">
        <f t="shared" ref="AE613" si="1899">+AE612/AE$604</f>
        <v>0.16137476913193607</v>
      </c>
      <c r="AF613" s="837">
        <f t="shared" si="1898"/>
        <v>0.15904497220818595</v>
      </c>
      <c r="AG613" s="998"/>
      <c r="AH613" s="571"/>
      <c r="AI613" s="571"/>
      <c r="AJ613" s="571"/>
      <c r="AK613" s="571"/>
      <c r="AL613" s="571"/>
      <c r="AM613" s="571"/>
      <c r="AN613" s="571"/>
      <c r="AO613" s="571"/>
      <c r="AP613" s="571"/>
      <c r="AQ613" s="571"/>
      <c r="AR613" s="571"/>
      <c r="AS613" s="571"/>
      <c r="AT613" s="571"/>
      <c r="AU613" s="571"/>
      <c r="AV613" s="571"/>
      <c r="AW613" s="571"/>
      <c r="AX613" s="571"/>
      <c r="AY613" s="571"/>
      <c r="AZ613" s="571"/>
      <c r="BA613" s="571"/>
      <c r="BB613" s="571"/>
      <c r="BC613" s="571"/>
      <c r="BD613" s="571"/>
      <c r="BE613" s="571"/>
      <c r="BF613" s="571"/>
      <c r="BG613" s="571"/>
      <c r="BH613" s="571"/>
      <c r="BI613" s="571"/>
      <c r="BJ613" s="571"/>
      <c r="BK613" s="571"/>
      <c r="BL613" s="571"/>
      <c r="BM613" s="571"/>
      <c r="BN613" s="571"/>
      <c r="BO613" s="571"/>
      <c r="BP613" s="571"/>
      <c r="BQ613" s="571"/>
      <c r="BR613" s="571"/>
    </row>
    <row r="614" spans="2:70" s="99" customFormat="1" outlineLevel="1">
      <c r="B614" s="1075"/>
      <c r="C614" s="9" t="s">
        <v>299</v>
      </c>
      <c r="D614" s="7" t="s">
        <v>58</v>
      </c>
      <c r="E614" s="564"/>
      <c r="F614" s="564"/>
      <c r="G614" s="564"/>
      <c r="H614" s="564"/>
      <c r="I614" s="564"/>
      <c r="J614" s="564"/>
      <c r="K614" s="564"/>
      <c r="L614" s="564"/>
      <c r="M614" s="564"/>
      <c r="N614" s="564"/>
      <c r="O614" s="564"/>
      <c r="P614" s="567"/>
      <c r="Q614" s="565"/>
      <c r="R614" s="565"/>
      <c r="S614" s="565"/>
      <c r="T614" s="117">
        <v>853.2</v>
      </c>
      <c r="U614" s="106">
        <f>V614</f>
        <v>848.2</v>
      </c>
      <c r="V614" s="117">
        <v>848.2</v>
      </c>
      <c r="W614" s="117">
        <v>762.4</v>
      </c>
      <c r="X614" s="106">
        <f>Y614</f>
        <v>762.4</v>
      </c>
      <c r="Y614" s="117">
        <v>762.4</v>
      </c>
      <c r="Z614" s="117">
        <v>841.5</v>
      </c>
      <c r="AA614" s="106">
        <f>AB614</f>
        <v>841.5</v>
      </c>
      <c r="AB614" s="117">
        <v>841.5</v>
      </c>
      <c r="AC614" s="117">
        <v>826.3</v>
      </c>
      <c r="AD614" s="106">
        <f>AE614</f>
        <v>869.5</v>
      </c>
      <c r="AE614" s="835">
        <v>869.5</v>
      </c>
      <c r="AF614" s="835">
        <v>951.3</v>
      </c>
      <c r="AG614" s="997"/>
      <c r="AH614" s="570"/>
      <c r="AI614" s="570"/>
      <c r="AJ614" s="570"/>
      <c r="AK614" s="570"/>
      <c r="AL614" s="570"/>
      <c r="AM614" s="570"/>
      <c r="AN614" s="570"/>
      <c r="AO614" s="570"/>
      <c r="AP614" s="570"/>
      <c r="AQ614" s="570"/>
      <c r="AR614" s="570"/>
      <c r="AS614" s="570"/>
      <c r="AT614" s="570"/>
      <c r="AU614" s="570"/>
      <c r="AV614" s="570"/>
      <c r="AW614" s="570"/>
      <c r="AX614" s="570"/>
      <c r="AY614" s="570"/>
      <c r="AZ614" s="570"/>
      <c r="BA614" s="570"/>
      <c r="BB614" s="570"/>
      <c r="BC614" s="570"/>
      <c r="BD614" s="570"/>
      <c r="BE614" s="570"/>
      <c r="BF614" s="570"/>
      <c r="BG614" s="570"/>
      <c r="BH614" s="570"/>
      <c r="BI614" s="570"/>
      <c r="BJ614" s="570"/>
      <c r="BK614" s="570"/>
      <c r="BL614" s="570"/>
      <c r="BM614" s="570"/>
      <c r="BN614" s="570"/>
      <c r="BO614" s="570"/>
      <c r="BP614" s="570"/>
      <c r="BQ614" s="570"/>
      <c r="BR614" s="570"/>
    </row>
    <row r="615" spans="2:70" s="99" customFormat="1" outlineLevel="1">
      <c r="B615" s="1075"/>
      <c r="C615" s="108" t="s">
        <v>656</v>
      </c>
      <c r="D615" s="7" t="s">
        <v>66</v>
      </c>
      <c r="E615" s="564"/>
      <c r="F615" s="564"/>
      <c r="G615" s="564"/>
      <c r="H615" s="564"/>
      <c r="I615" s="564"/>
      <c r="J615" s="564"/>
      <c r="K615" s="564"/>
      <c r="L615" s="564"/>
      <c r="M615" s="564"/>
      <c r="N615" s="564"/>
      <c r="O615" s="564"/>
      <c r="P615" s="567"/>
      <c r="Q615" s="565"/>
      <c r="R615" s="565"/>
      <c r="S615" s="565"/>
      <c r="T615" s="550">
        <f>+T614/T$604/2</f>
        <v>0.12874215354901014</v>
      </c>
      <c r="U615" s="550">
        <f>+U614/U$604/2</f>
        <v>0.12236713024409951</v>
      </c>
      <c r="V615" s="550">
        <f>+V614/V$604</f>
        <v>0.1251143169012007</v>
      </c>
      <c r="W615" s="550">
        <f t="shared" ref="W615" si="1900">+W614/W$604/2</f>
        <v>0.11742961000554494</v>
      </c>
      <c r="X615" s="550">
        <f t="shared" ref="X615" si="1901">+X614/X$604/2</f>
        <v>0.12504920614092635</v>
      </c>
      <c r="Y615" s="550">
        <f t="shared" ref="Y615" si="1902">+Y614/Y$604</f>
        <v>0.12111968989292408</v>
      </c>
      <c r="Z615" s="550">
        <f t="shared" ref="Z615" si="1903">+Z614/Z$604/2</f>
        <v>0.14087454381089498</v>
      </c>
      <c r="AA615" s="550">
        <f t="shared" ref="AA615" si="1904">+AA614/AA$604/2</f>
        <v>0.13664263445050664</v>
      </c>
      <c r="AB615" s="550">
        <f t="shared" ref="AB615" si="1905">+AB614/AB$604</f>
        <v>0.13872632255724626</v>
      </c>
      <c r="AC615" s="550">
        <f t="shared" ref="AC615" si="1906">+AC614/AC$604/2</f>
        <v>0.13364062752709041</v>
      </c>
      <c r="AD615" s="550">
        <f t="shared" ref="AD615" si="1907">+AD614/AD$604/2</f>
        <v>0.13867623604465709</v>
      </c>
      <c r="AE615" s="837">
        <f t="shared" ref="AE615" si="1908">+AE614/AE$604</f>
        <v>0.13964506544607724</v>
      </c>
      <c r="AF615" s="837">
        <f t="shared" ref="AF615" si="1909">+AF614/AF$604/2</f>
        <v>0.15021791308741789</v>
      </c>
      <c r="AG615" s="997"/>
      <c r="AH615" s="570"/>
      <c r="AI615" s="570"/>
      <c r="AJ615" s="570"/>
      <c r="AK615" s="570"/>
      <c r="AL615" s="570"/>
      <c r="AM615" s="570"/>
      <c r="AN615" s="570"/>
      <c r="AO615" s="570"/>
      <c r="AP615" s="570"/>
      <c r="AQ615" s="570"/>
      <c r="AR615" s="570"/>
      <c r="AS615" s="570"/>
      <c r="AT615" s="570"/>
      <c r="AU615" s="570"/>
      <c r="AV615" s="570"/>
      <c r="AW615" s="570"/>
      <c r="AX615" s="570"/>
      <c r="AY615" s="570"/>
      <c r="AZ615" s="570"/>
      <c r="BA615" s="570"/>
      <c r="BB615" s="570"/>
      <c r="BC615" s="570"/>
      <c r="BD615" s="570"/>
      <c r="BE615" s="570"/>
      <c r="BF615" s="570"/>
      <c r="BG615" s="570"/>
      <c r="BH615" s="570"/>
      <c r="BI615" s="570"/>
      <c r="BJ615" s="570"/>
      <c r="BK615" s="570"/>
      <c r="BL615" s="570"/>
      <c r="BM615" s="570"/>
      <c r="BN615" s="570"/>
      <c r="BO615" s="570"/>
      <c r="BP615" s="570"/>
      <c r="BQ615" s="570"/>
      <c r="BR615" s="570"/>
    </row>
    <row r="616" spans="2:70" s="99" customFormat="1" outlineLevel="1">
      <c r="B616" s="1075"/>
      <c r="C616" s="9" t="s">
        <v>300</v>
      </c>
      <c r="D616" s="7" t="s">
        <v>58</v>
      </c>
      <c r="E616" s="564"/>
      <c r="F616" s="564"/>
      <c r="G616" s="564"/>
      <c r="H616" s="564"/>
      <c r="I616" s="564"/>
      <c r="J616" s="564"/>
      <c r="K616" s="564"/>
      <c r="L616" s="564"/>
      <c r="M616" s="564"/>
      <c r="N616" s="564"/>
      <c r="O616" s="564"/>
      <c r="P616" s="567"/>
      <c r="Q616" s="565"/>
      <c r="R616" s="565"/>
      <c r="S616" s="565"/>
      <c r="T616" s="117">
        <v>-1267.8</v>
      </c>
      <c r="U616" s="106">
        <f>V616</f>
        <v>-1468.6</v>
      </c>
      <c r="V616" s="117">
        <v>-1468.6</v>
      </c>
      <c r="W616" s="117">
        <v>-1312.5</v>
      </c>
      <c r="X616" s="106">
        <f>Y616</f>
        <v>-1312.5</v>
      </c>
      <c r="Y616" s="117">
        <v>-1312.5</v>
      </c>
      <c r="Z616" s="117">
        <v>-1448.7</v>
      </c>
      <c r="AA616" s="106">
        <f>AB616</f>
        <v>-1448.7</v>
      </c>
      <c r="AB616" s="117">
        <v>-1448.7</v>
      </c>
      <c r="AC616" s="117">
        <v>-1327.7</v>
      </c>
      <c r="AD616" s="19">
        <f>AE616</f>
        <v>-1545.1</v>
      </c>
      <c r="AE616" s="835">
        <v>-1545.1</v>
      </c>
      <c r="AF616" s="835">
        <v>-1493.4</v>
      </c>
      <c r="AG616" s="997"/>
      <c r="AH616" s="570"/>
      <c r="AI616" s="570"/>
      <c r="AJ616" s="570"/>
      <c r="AK616" s="570"/>
      <c r="AL616" s="570"/>
      <c r="AM616" s="570"/>
      <c r="AN616" s="570"/>
      <c r="AO616" s="570"/>
      <c r="AP616" s="570"/>
      <c r="AQ616" s="570"/>
      <c r="AR616" s="570"/>
      <c r="AS616" s="570"/>
      <c r="AT616" s="570"/>
      <c r="AU616" s="570"/>
      <c r="AV616" s="570"/>
      <c r="AW616" s="570"/>
      <c r="AX616" s="570"/>
      <c r="AY616" s="570"/>
      <c r="AZ616" s="570"/>
      <c r="BA616" s="570"/>
      <c r="BB616" s="570"/>
      <c r="BC616" s="570"/>
      <c r="BD616" s="570"/>
      <c r="BE616" s="570"/>
      <c r="BF616" s="570"/>
      <c r="BG616" s="570"/>
      <c r="BH616" s="570"/>
      <c r="BI616" s="570"/>
      <c r="BJ616" s="570"/>
      <c r="BK616" s="570"/>
      <c r="BL616" s="570"/>
      <c r="BM616" s="570"/>
      <c r="BN616" s="570"/>
      <c r="BO616" s="570"/>
      <c r="BP616" s="570"/>
      <c r="BQ616" s="570"/>
      <c r="BR616" s="570"/>
    </row>
    <row r="617" spans="2:70" s="99" customFormat="1" outlineLevel="1">
      <c r="B617" s="1075"/>
      <c r="C617" s="108" t="s">
        <v>656</v>
      </c>
      <c r="D617" s="7" t="s">
        <v>66</v>
      </c>
      <c r="E617" s="564"/>
      <c r="F617" s="564"/>
      <c r="G617" s="564"/>
      <c r="H617" s="564"/>
      <c r="I617" s="564"/>
      <c r="J617" s="564"/>
      <c r="K617" s="564"/>
      <c r="L617" s="564"/>
      <c r="M617" s="564"/>
      <c r="N617" s="564"/>
      <c r="O617" s="564"/>
      <c r="P617" s="567"/>
      <c r="Q617" s="565"/>
      <c r="R617" s="565"/>
      <c r="S617" s="565"/>
      <c r="T617" s="550">
        <f>-T616/T$604/2</f>
        <v>0.19130251086431677</v>
      </c>
      <c r="U617" s="550">
        <f>-U616/U$604/2</f>
        <v>0.21187027526112298</v>
      </c>
      <c r="V617" s="550">
        <f>-V616/V$604</f>
        <v>0.21662684013334513</v>
      </c>
      <c r="W617" s="550">
        <f t="shared" ref="W617:X617" si="1910">-W616/W$604/2</f>
        <v>0.2021594479699341</v>
      </c>
      <c r="X617" s="550">
        <f t="shared" si="1910"/>
        <v>0.21527686655294576</v>
      </c>
      <c r="Y617" s="550">
        <f t="shared" ref="Y617" si="1911">-Y616/Y$604</f>
        <v>0.20851205795443711</v>
      </c>
      <c r="Z617" s="550">
        <f t="shared" ref="Z617:AA617" si="1912">-Z616/Z$604/2</f>
        <v>0.24252519503130548</v>
      </c>
      <c r="AA617" s="550">
        <f t="shared" si="1912"/>
        <v>0.23523967264224477</v>
      </c>
      <c r="AB617" s="550">
        <f t="shared" ref="AB617" si="1913">-AB616/AB$604</f>
        <v>0.23882688471620042</v>
      </c>
      <c r="AC617" s="550">
        <f t="shared" ref="AC617:AD617" si="1914">-AC616/AC$604/2</f>
        <v>0.21473394792172085</v>
      </c>
      <c r="AD617" s="550">
        <f t="shared" si="1914"/>
        <v>0.24642743221690588</v>
      </c>
      <c r="AE617" s="837">
        <f t="shared" ref="AE617" si="1915">-AE616/AE$604</f>
        <v>0.24814904039187344</v>
      </c>
      <c r="AF617" s="837">
        <f t="shared" ref="AF617" si="1916">-AF616/AF$604/2</f>
        <v>0.23581985851440121</v>
      </c>
      <c r="AG617" s="997"/>
      <c r="AH617" s="570"/>
      <c r="AI617" s="570"/>
      <c r="AJ617" s="570"/>
      <c r="AK617" s="570"/>
      <c r="AL617" s="570"/>
      <c r="AM617" s="570"/>
      <c r="AN617" s="570"/>
      <c r="AO617" s="570"/>
      <c r="AP617" s="570"/>
      <c r="AQ617" s="570"/>
      <c r="AR617" s="570"/>
      <c r="AS617" s="570"/>
      <c r="AT617" s="570"/>
      <c r="AU617" s="570"/>
      <c r="AV617" s="570"/>
      <c r="AW617" s="570"/>
      <c r="AX617" s="570"/>
      <c r="AY617" s="570"/>
      <c r="AZ617" s="570"/>
      <c r="BA617" s="570"/>
      <c r="BB617" s="570"/>
      <c r="BC617" s="570"/>
      <c r="BD617" s="570"/>
      <c r="BE617" s="570"/>
      <c r="BF617" s="570"/>
      <c r="BG617" s="570"/>
      <c r="BH617" s="570"/>
      <c r="BI617" s="570"/>
      <c r="BJ617" s="570"/>
      <c r="BK617" s="570"/>
      <c r="BL617" s="570"/>
      <c r="BM617" s="570"/>
      <c r="BN617" s="570"/>
      <c r="BO617" s="570"/>
      <c r="BP617" s="570"/>
      <c r="BQ617" s="570"/>
      <c r="BR617" s="570"/>
    </row>
    <row r="618" spans="2:70" s="99" customFormat="1" outlineLevel="1">
      <c r="B618" s="1075"/>
      <c r="C618" s="6" t="s">
        <v>301</v>
      </c>
      <c r="D618" s="7" t="s">
        <v>58</v>
      </c>
      <c r="E618" s="564"/>
      <c r="F618" s="564"/>
      <c r="G618" s="564"/>
      <c r="H618" s="564"/>
      <c r="I618" s="564"/>
      <c r="J618" s="564"/>
      <c r="K618" s="564"/>
      <c r="L618" s="564"/>
      <c r="M618" s="564"/>
      <c r="N618" s="564"/>
      <c r="O618" s="564"/>
      <c r="P618" s="567"/>
      <c r="Q618" s="565"/>
      <c r="R618" s="565"/>
      <c r="S618" s="565"/>
      <c r="T618" s="121">
        <f t="shared" ref="T618:AD618" si="1917">+T612+T614+T616</f>
        <v>599.20000000000005</v>
      </c>
      <c r="U618" s="121">
        <f t="shared" si="1917"/>
        <v>449.10000000000014</v>
      </c>
      <c r="V618" s="121">
        <f t="shared" si="1917"/>
        <v>449.10000000000014</v>
      </c>
      <c r="W618" s="121">
        <f t="shared" si="1917"/>
        <v>419.69999999999982</v>
      </c>
      <c r="X618" s="121">
        <f t="shared" si="1917"/>
        <v>419.69999999999982</v>
      </c>
      <c r="Y618" s="121">
        <f t="shared" si="1917"/>
        <v>419.69999999999982</v>
      </c>
      <c r="Z618" s="121">
        <f t="shared" si="1917"/>
        <v>446.70000000000005</v>
      </c>
      <c r="AA618" s="121">
        <f t="shared" si="1917"/>
        <v>446.70000000000005</v>
      </c>
      <c r="AB618" s="121">
        <f t="shared" si="1917"/>
        <v>446.70000000000005</v>
      </c>
      <c r="AC618" s="121">
        <f t="shared" si="1917"/>
        <v>478.89999999999986</v>
      </c>
      <c r="AD618" s="121">
        <f t="shared" si="1917"/>
        <v>329.20000000000005</v>
      </c>
      <c r="AE618" s="121">
        <f>+AE612+AE614+AE616</f>
        <v>329.20000000000005</v>
      </c>
      <c r="AF618" s="121">
        <f t="shared" ref="AF618" si="1918">+AF612+AF614+AF616</f>
        <v>465.09999999999991</v>
      </c>
      <c r="AG618" s="999"/>
      <c r="AH618" s="561"/>
      <c r="AI618" s="561"/>
      <c r="AJ618" s="561"/>
      <c r="AK618" s="561"/>
      <c r="AL618" s="561"/>
      <c r="AM618" s="561"/>
      <c r="AN618" s="561"/>
      <c r="AO618" s="561"/>
      <c r="AP618" s="561"/>
      <c r="AQ618" s="561"/>
      <c r="AR618" s="561"/>
      <c r="AS618" s="561"/>
      <c r="AT618" s="561"/>
      <c r="AU618" s="561"/>
      <c r="AV618" s="561"/>
      <c r="AW618" s="561"/>
      <c r="AX618" s="561"/>
      <c r="AY618" s="561"/>
      <c r="AZ618" s="561"/>
      <c r="BA618" s="561"/>
      <c r="BB618" s="561"/>
      <c r="BC618" s="561"/>
      <c r="BD618" s="561"/>
      <c r="BE618" s="561"/>
      <c r="BF618" s="561"/>
      <c r="BG618" s="561"/>
      <c r="BH618" s="561"/>
      <c r="BI618" s="561"/>
      <c r="BJ618" s="561"/>
      <c r="BK618" s="561"/>
      <c r="BL618" s="561"/>
      <c r="BM618" s="561"/>
      <c r="BN618" s="561"/>
      <c r="BO618" s="561"/>
      <c r="BP618" s="561"/>
      <c r="BQ618" s="561"/>
      <c r="BR618" s="561"/>
    </row>
    <row r="619" spans="2:70" s="99" customFormat="1" outlineLevel="1">
      <c r="B619" s="1075"/>
      <c r="C619" s="9" t="s">
        <v>549</v>
      </c>
      <c r="D619" s="7" t="s">
        <v>58</v>
      </c>
      <c r="E619" s="564"/>
      <c r="F619" s="564"/>
      <c r="G619" s="564"/>
      <c r="H619" s="564"/>
      <c r="I619" s="564"/>
      <c r="J619" s="564"/>
      <c r="K619" s="564"/>
      <c r="L619" s="564"/>
      <c r="M619" s="564"/>
      <c r="N619" s="564"/>
      <c r="O619" s="564"/>
      <c r="P619" s="567"/>
      <c r="Q619" s="565"/>
      <c r="R619" s="565"/>
      <c r="S619" s="565"/>
      <c r="T619" s="560"/>
      <c r="U619" s="560"/>
      <c r="V619" s="560"/>
      <c r="W619" s="560"/>
      <c r="X619" s="560"/>
      <c r="Y619" s="560"/>
      <c r="Z619" s="560"/>
      <c r="AA619" s="560"/>
      <c r="AB619" s="560"/>
      <c r="AC619" s="560"/>
      <c r="AD619" s="560"/>
      <c r="AE619" s="561"/>
      <c r="AF619" s="576">
        <f>AF630*AF259</f>
        <v>-111.96016597510373</v>
      </c>
      <c r="AG619" s="937">
        <f>AG630*AG259</f>
        <v>-115.43933210526325</v>
      </c>
      <c r="AH619" s="171">
        <f>AF619+AG619</f>
        <v>-227.39949808036698</v>
      </c>
      <c r="AI619" s="171">
        <f>AI630*AI259</f>
        <v>-110.09404000000001</v>
      </c>
      <c r="AJ619" s="171">
        <f>AJ630*AJ259</f>
        <v>-119.05350866315797</v>
      </c>
      <c r="AK619" s="171">
        <f>AI619+AJ619</f>
        <v>-229.14754866315798</v>
      </c>
      <c r="AL619" s="171">
        <f>AL630*AL259</f>
        <v>-121.39189999999999</v>
      </c>
      <c r="AM619" s="171">
        <f>AM630*AM259</f>
        <v>-124.21905346052641</v>
      </c>
      <c r="AN619" s="171">
        <f>AL619+AM619</f>
        <v>-245.61095346052639</v>
      </c>
      <c r="AO619" s="171">
        <f>AO630*AO259</f>
        <v>-122.60581899999998</v>
      </c>
      <c r="AP619" s="171">
        <f>AP630*AP259</f>
        <v>-125.46124399513168</v>
      </c>
      <c r="AQ619" s="171">
        <f>AO619+AP619</f>
        <v>-248.06706299513166</v>
      </c>
      <c r="AR619" s="171">
        <f>AR630*AR259</f>
        <v>-123.83187718999999</v>
      </c>
      <c r="AS619" s="171">
        <f>AS630*AS259</f>
        <v>-126.715856435083</v>
      </c>
      <c r="AT619" s="171">
        <f>AR619+AS619</f>
        <v>-250.54773362508297</v>
      </c>
      <c r="AU619" s="171">
        <f>AU630*AU259</f>
        <v>-125.07019596189998</v>
      </c>
      <c r="AV619" s="171">
        <f>AV630*AV259</f>
        <v>-127.98301499943381</v>
      </c>
      <c r="AW619" s="171">
        <f>AU619+AV619</f>
        <v>-253.05321096133378</v>
      </c>
      <c r="AX619" s="171">
        <f>AX630*AX259</f>
        <v>-126.32089792151899</v>
      </c>
      <c r="AY619" s="171">
        <f>AY630*AY259</f>
        <v>-129.26284514942813</v>
      </c>
      <c r="AZ619" s="171">
        <f>AX619+AY619</f>
        <v>-255.58374307094712</v>
      </c>
      <c r="BA619" s="171">
        <f>BA630*BA259</f>
        <v>-127.58410690073418</v>
      </c>
      <c r="BB619" s="171">
        <f>BB630*BB259</f>
        <v>-130.55547360092243</v>
      </c>
      <c r="BC619" s="171">
        <f>BA619+BB619</f>
        <v>-258.13958050165661</v>
      </c>
      <c r="BD619" s="171">
        <f>BD630*BD259</f>
        <v>-128.85994796974154</v>
      </c>
      <c r="BE619" s="171">
        <f>BE630*BE259</f>
        <v>-131.86102833693164</v>
      </c>
      <c r="BF619" s="171">
        <f>BD619+BE619</f>
        <v>-260.72097630667315</v>
      </c>
      <c r="BG619" s="171">
        <f>BG630*BG259</f>
        <v>-130.14854744943895</v>
      </c>
      <c r="BH619" s="171">
        <f>BH630*BH259</f>
        <v>-133.17963862030098</v>
      </c>
      <c r="BI619" s="171">
        <f>BG619+BH619</f>
        <v>-263.3281860697399</v>
      </c>
      <c r="BJ619" s="171">
        <f>BJ630*BJ259</f>
        <v>-131.45003292393335</v>
      </c>
      <c r="BK619" s="171">
        <f>BK630*BK259</f>
        <v>-134.51143500650397</v>
      </c>
      <c r="BL619" s="171">
        <f>BJ619+BK619</f>
        <v>-265.96146793043732</v>
      </c>
      <c r="BM619" s="171">
        <f>BM630*BM259</f>
        <v>-132.76453325317269</v>
      </c>
      <c r="BN619" s="171">
        <f>BN630*BN259</f>
        <v>-135.85654935656902</v>
      </c>
      <c r="BO619" s="171">
        <f>BM619+BN619</f>
        <v>-268.62108260974173</v>
      </c>
      <c r="BP619" s="171">
        <f>BP630*BP259</f>
        <v>-134.0921785857044</v>
      </c>
      <c r="BQ619" s="171">
        <f>BQ630*BQ259</f>
        <v>-137.21511485013474</v>
      </c>
      <c r="BR619" s="171">
        <f>BP619+BQ619</f>
        <v>-271.30729343583914</v>
      </c>
    </row>
    <row r="620" spans="2:70" s="99" customFormat="1" outlineLevel="1">
      <c r="B620" s="1075"/>
      <c r="C620" s="9" t="s">
        <v>550</v>
      </c>
      <c r="D620" s="7" t="s">
        <v>58</v>
      </c>
      <c r="E620" s="564"/>
      <c r="F620" s="564"/>
      <c r="G620" s="564"/>
      <c r="H620" s="564"/>
      <c r="I620" s="564"/>
      <c r="J620" s="564"/>
      <c r="K620" s="564"/>
      <c r="L620" s="564"/>
      <c r="M620" s="564"/>
      <c r="N620" s="564"/>
      <c r="O620" s="564"/>
      <c r="P620" s="567"/>
      <c r="Q620" s="565"/>
      <c r="R620" s="565"/>
      <c r="S620" s="565"/>
      <c r="T620" s="560"/>
      <c r="U620" s="560"/>
      <c r="V620" s="560"/>
      <c r="W620" s="560"/>
      <c r="X620" s="560"/>
      <c r="Y620" s="560"/>
      <c r="Z620" s="560"/>
      <c r="AA620" s="560"/>
      <c r="AB620" s="560"/>
      <c r="AC620" s="560"/>
      <c r="AD620" s="560"/>
      <c r="AE620" s="561"/>
      <c r="AF620" s="576">
        <f>AF631*AF259</f>
        <v>0</v>
      </c>
      <c r="AG620" s="937">
        <f>AG631*AG259</f>
        <v>0</v>
      </c>
      <c r="AH620" s="171">
        <f>AF620+AG620</f>
        <v>0</v>
      </c>
      <c r="AI620" s="171">
        <f>AI631*AI259</f>
        <v>0</v>
      </c>
      <c r="AJ620" s="171">
        <f>AJ631*AJ259</f>
        <v>0</v>
      </c>
      <c r="AK620" s="171">
        <f>AI620+AJ620</f>
        <v>0</v>
      </c>
      <c r="AL620" s="171">
        <f>AL631*AL259</f>
        <v>0</v>
      </c>
      <c r="AM620" s="171">
        <f>AM631*AM259</f>
        <v>0</v>
      </c>
      <c r="AN620" s="171">
        <f>AL620+AM620</f>
        <v>0</v>
      </c>
      <c r="AO620" s="171">
        <f>AO631*AO259</f>
        <v>0</v>
      </c>
      <c r="AP620" s="171">
        <f>AP631*AP259</f>
        <v>0</v>
      </c>
      <c r="AQ620" s="171">
        <f>AO620+AP620</f>
        <v>0</v>
      </c>
      <c r="AR620" s="171">
        <f>AR631*AR259</f>
        <v>0</v>
      </c>
      <c r="AS620" s="171">
        <f>AS631*AS259</f>
        <v>0</v>
      </c>
      <c r="AT620" s="171">
        <f>AR620+AS620</f>
        <v>0</v>
      </c>
      <c r="AU620" s="171">
        <f>AU631*AU259</f>
        <v>0</v>
      </c>
      <c r="AV620" s="171">
        <f>AV631*AV259</f>
        <v>0</v>
      </c>
      <c r="AW620" s="171">
        <f>AU620+AV620</f>
        <v>0</v>
      </c>
      <c r="AX620" s="171">
        <f>AX631*AX259</f>
        <v>0</v>
      </c>
      <c r="AY620" s="171">
        <f>AY631*AY259</f>
        <v>0</v>
      </c>
      <c r="AZ620" s="171">
        <f>AX620+AY620</f>
        <v>0</v>
      </c>
      <c r="BA620" s="171">
        <f>BA631*BA259</f>
        <v>0</v>
      </c>
      <c r="BB620" s="171">
        <f>BB631*BB259</f>
        <v>0</v>
      </c>
      <c r="BC620" s="171">
        <f>BA620+BB620</f>
        <v>0</v>
      </c>
      <c r="BD620" s="171">
        <f>BD631*BD259</f>
        <v>0</v>
      </c>
      <c r="BE620" s="171">
        <f>BE631*BE259</f>
        <v>0</v>
      </c>
      <c r="BF620" s="171">
        <f>BD620+BE620</f>
        <v>0</v>
      </c>
      <c r="BG620" s="171">
        <f>BG631*BG259</f>
        <v>0</v>
      </c>
      <c r="BH620" s="171">
        <f>BH631*BH259</f>
        <v>0</v>
      </c>
      <c r="BI620" s="171">
        <f>BG620+BH620</f>
        <v>0</v>
      </c>
      <c r="BJ620" s="171">
        <f>BJ631*BJ259</f>
        <v>0</v>
      </c>
      <c r="BK620" s="171">
        <f>BK631*BK259</f>
        <v>0</v>
      </c>
      <c r="BL620" s="171">
        <f>BJ620+BK620</f>
        <v>0</v>
      </c>
      <c r="BM620" s="171">
        <f>BM631*BM259</f>
        <v>0</v>
      </c>
      <c r="BN620" s="171">
        <f>BN631*BN259</f>
        <v>0</v>
      </c>
      <c r="BO620" s="171">
        <f>BM620+BN620</f>
        <v>0</v>
      </c>
      <c r="BP620" s="171">
        <f>BP631*BP259</f>
        <v>0</v>
      </c>
      <c r="BQ620" s="171">
        <f>BQ631*BQ259</f>
        <v>0</v>
      </c>
      <c r="BR620" s="171">
        <f>BP620+BQ620</f>
        <v>0</v>
      </c>
    </row>
    <row r="621" spans="2:70" outlineLevel="1">
      <c r="B621" s="1075"/>
      <c r="C621" s="6" t="s">
        <v>548</v>
      </c>
      <c r="D621" s="7" t="s">
        <v>58</v>
      </c>
      <c r="E621" s="564"/>
      <c r="F621" s="564"/>
      <c r="G621" s="564"/>
      <c r="H621" s="564"/>
      <c r="I621" s="564"/>
      <c r="J621" s="564"/>
      <c r="K621" s="564"/>
      <c r="L621" s="564"/>
      <c r="M621" s="564"/>
      <c r="N621" s="564"/>
      <c r="O621" s="564"/>
      <c r="P621" s="565"/>
      <c r="Q621" s="565"/>
      <c r="R621" s="565"/>
      <c r="S621" s="565"/>
      <c r="T621" s="337">
        <v>-102.5</v>
      </c>
      <c r="U621" s="18">
        <f>V621-T621</f>
        <v>-89.199999999999989</v>
      </c>
      <c r="V621" s="337">
        <v>-191.7</v>
      </c>
      <c r="W621" s="337">
        <v>-76.2</v>
      </c>
      <c r="X621" s="18">
        <f>Y621-W621</f>
        <v>-89.600000000000009</v>
      </c>
      <c r="Y621" s="337">
        <v>-165.8</v>
      </c>
      <c r="Z621" s="337">
        <v>-100.9</v>
      </c>
      <c r="AA621" s="18">
        <f>AB621-Z621</f>
        <v>-114.29999999999998</v>
      </c>
      <c r="AB621" s="337">
        <v>-215.2</v>
      </c>
      <c r="AC621" s="337">
        <v>-105.4</v>
      </c>
      <c r="AD621" s="18">
        <f>AE621-AC621</f>
        <v>-114</v>
      </c>
      <c r="AE621" s="25">
        <v>-219.4</v>
      </c>
      <c r="AF621" s="345">
        <v>-112</v>
      </c>
      <c r="AG621" s="937">
        <f>AG632*AG259</f>
        <v>-115.43933210526325</v>
      </c>
      <c r="AH621" s="171">
        <f>AF621+AG621</f>
        <v>-227.43933210526325</v>
      </c>
      <c r="AI621" s="171">
        <f>AI632*AI259</f>
        <v>-110.09404000000001</v>
      </c>
      <c r="AJ621" s="171">
        <f>AJ632*AJ259</f>
        <v>-119.05350866315797</v>
      </c>
      <c r="AK621" s="171">
        <f>AI621+AJ621</f>
        <v>-229.14754866315798</v>
      </c>
      <c r="AL621" s="171">
        <f>AL632*AL259</f>
        <v>-121.39189999999999</v>
      </c>
      <c r="AM621" s="171">
        <f>AM632*AM259</f>
        <v>-124.21905346052641</v>
      </c>
      <c r="AN621" s="171">
        <f>AL621+AM621</f>
        <v>-245.61095346052639</v>
      </c>
      <c r="AO621" s="171">
        <f>AO632*AO259</f>
        <v>-122.60581899999998</v>
      </c>
      <c r="AP621" s="171">
        <f>AP632*AP259</f>
        <v>-125.46124399513168</v>
      </c>
      <c r="AQ621" s="171">
        <f>AO621+AP621</f>
        <v>-248.06706299513166</v>
      </c>
      <c r="AR621" s="171">
        <f>AR632*AR259</f>
        <v>-123.83187718999999</v>
      </c>
      <c r="AS621" s="171">
        <f>AS632*AS259</f>
        <v>-126.715856435083</v>
      </c>
      <c r="AT621" s="171">
        <f>AR621+AS621</f>
        <v>-250.54773362508297</v>
      </c>
      <c r="AU621" s="171">
        <f>AU632*AU259</f>
        <v>-125.07019596189998</v>
      </c>
      <c r="AV621" s="171">
        <f>AV632*AV259</f>
        <v>-127.98301499943381</v>
      </c>
      <c r="AW621" s="171">
        <f>AU621+AV621</f>
        <v>-253.05321096133378</v>
      </c>
      <c r="AX621" s="171">
        <f>AX632*AX259</f>
        <v>-126.32089792151899</v>
      </c>
      <c r="AY621" s="171">
        <f>AY632*AY259</f>
        <v>-129.26284514942813</v>
      </c>
      <c r="AZ621" s="171">
        <f>AX621+AY621</f>
        <v>-255.58374307094712</v>
      </c>
      <c r="BA621" s="171">
        <f>BA632*BA259</f>
        <v>-127.58410690073418</v>
      </c>
      <c r="BB621" s="171">
        <f>BB632*BB259</f>
        <v>-130.55547360092243</v>
      </c>
      <c r="BC621" s="171">
        <f>BA621+BB621</f>
        <v>-258.13958050165661</v>
      </c>
      <c r="BD621" s="171">
        <f>BD632*BD259</f>
        <v>-128.85994796974154</v>
      </c>
      <c r="BE621" s="171">
        <f>BE632*BE259</f>
        <v>-131.86102833693164</v>
      </c>
      <c r="BF621" s="171">
        <f>BD621+BE621</f>
        <v>-260.72097630667315</v>
      </c>
      <c r="BG621" s="171">
        <f>BG632*BG259</f>
        <v>-130.14854744943895</v>
      </c>
      <c r="BH621" s="171">
        <f>BH632*BH259</f>
        <v>-133.17963862030098</v>
      </c>
      <c r="BI621" s="171">
        <f>BG621+BH621</f>
        <v>-263.3281860697399</v>
      </c>
      <c r="BJ621" s="171">
        <f>BJ632*BJ259</f>
        <v>-131.45003292393335</v>
      </c>
      <c r="BK621" s="171">
        <f>BK632*BK259</f>
        <v>-134.51143500650397</v>
      </c>
      <c r="BL621" s="171">
        <f>BJ621+BK621</f>
        <v>-265.96146793043732</v>
      </c>
      <c r="BM621" s="171">
        <f>BM632*BM259</f>
        <v>-132.76453325317269</v>
      </c>
      <c r="BN621" s="171">
        <f>BN632*BN259</f>
        <v>-135.85654935656902</v>
      </c>
      <c r="BO621" s="171">
        <f>BM621+BN621</f>
        <v>-268.62108260974173</v>
      </c>
      <c r="BP621" s="171">
        <f>BP632*BP259</f>
        <v>-134.0921785857044</v>
      </c>
      <c r="BQ621" s="171">
        <f>BQ632*BQ259</f>
        <v>-137.21511485013474</v>
      </c>
      <c r="BR621" s="171">
        <f>BP621+BQ621</f>
        <v>-271.30729343583914</v>
      </c>
    </row>
    <row r="622" spans="2:70" outlineLevel="1">
      <c r="B622" s="1075"/>
      <c r="C622" s="553" t="s">
        <v>578</v>
      </c>
      <c r="D622" s="554" t="s">
        <v>66</v>
      </c>
      <c r="E622" s="568"/>
      <c r="F622" s="568"/>
      <c r="G622" s="568"/>
      <c r="H622" s="568"/>
      <c r="I622" s="568"/>
      <c r="J622" s="568"/>
      <c r="K622" s="568"/>
      <c r="L622" s="568"/>
      <c r="M622" s="568"/>
      <c r="N622" s="568"/>
      <c r="O622" s="568"/>
      <c r="P622" s="569"/>
      <c r="Q622" s="569"/>
      <c r="R622" s="569"/>
      <c r="S622" s="569"/>
      <c r="T622" s="556">
        <f>T621/T606</f>
        <v>0.90070298769771528</v>
      </c>
      <c r="U622" s="556">
        <f t="shared" ref="U622:AE622" si="1919">U621/U606</f>
        <v>0.78452066842568147</v>
      </c>
      <c r="V622" s="556">
        <f t="shared" si="1919"/>
        <v>0.84263736263736255</v>
      </c>
      <c r="W622" s="556">
        <f t="shared" si="1919"/>
        <v>0.68157423971377462</v>
      </c>
      <c r="X622" s="556">
        <f t="shared" si="1919"/>
        <v>0.87929342492639861</v>
      </c>
      <c r="Y622" s="556">
        <f t="shared" si="1919"/>
        <v>0.77585400093589152</v>
      </c>
      <c r="Z622" s="556">
        <f t="shared" si="1919"/>
        <v>0.9701923076923078</v>
      </c>
      <c r="AA622" s="556">
        <f t="shared" si="1919"/>
        <v>1.0885714285714283</v>
      </c>
      <c r="AB622" s="556">
        <f t="shared" si="1919"/>
        <v>1.0296650717703348</v>
      </c>
      <c r="AC622" s="556">
        <f t="shared" si="1919"/>
        <v>0.94444444444444453</v>
      </c>
      <c r="AD622" s="556">
        <f t="shared" si="1919"/>
        <v>1.0526315789473684</v>
      </c>
      <c r="AE622" s="556">
        <f t="shared" si="1919"/>
        <v>0.99772623919963621</v>
      </c>
      <c r="AF622" s="556">
        <f>AF621/AF606</f>
        <v>0.96302665520206365</v>
      </c>
      <c r="AG622" s="1000">
        <f t="shared" ref="AG622" si="1920">AG621/AG606</f>
        <v>0.96356275303643713</v>
      </c>
      <c r="AH622" s="556">
        <f>AH621/AH606</f>
        <v>0.96329868297726984</v>
      </c>
      <c r="AI622" s="556">
        <f>AI621/AI606</f>
        <v>0.96356275303643713</v>
      </c>
      <c r="AJ622" s="556">
        <f t="shared" ref="AJ622" si="1921">AJ621/AJ606</f>
        <v>0.96356275303643713</v>
      </c>
      <c r="AK622" s="556">
        <f>AK621/AK606</f>
        <v>0.96356275303643713</v>
      </c>
      <c r="AL622" s="556">
        <f>AL621/AL606</f>
        <v>0.96356275303643713</v>
      </c>
      <c r="AM622" s="556">
        <f t="shared" ref="AM622" si="1922">AM621/AM606</f>
        <v>0.96356275303643724</v>
      </c>
      <c r="AN622" s="556">
        <f>AN621/AN606</f>
        <v>0.96356275303643701</v>
      </c>
      <c r="AO622" s="556">
        <f>AO621/AO606</f>
        <v>0.96356275303643701</v>
      </c>
      <c r="AP622" s="556">
        <f t="shared" ref="AP622" si="1923">AP621/AP606</f>
        <v>0.96356275303643701</v>
      </c>
      <c r="AQ622" s="556">
        <f>AQ621/AQ606</f>
        <v>0.96356275303643713</v>
      </c>
      <c r="AR622" s="556">
        <f>AR621/AR606</f>
        <v>0.96356275303643713</v>
      </c>
      <c r="AS622" s="556">
        <f t="shared" ref="AS622" si="1924">AS621/AS606</f>
        <v>0.96356275303643713</v>
      </c>
      <c r="AT622" s="556">
        <f>AT621/AT606</f>
        <v>0.96356275303643701</v>
      </c>
      <c r="AU622" s="556">
        <f>AU621/AU606</f>
        <v>0.96356275303643701</v>
      </c>
      <c r="AV622" s="556">
        <f t="shared" ref="AV622" si="1925">AV621/AV606</f>
        <v>0.96356275303643701</v>
      </c>
      <c r="AW622" s="556">
        <f>AW621/AW606</f>
        <v>0.96356275303643713</v>
      </c>
      <c r="AX622" s="556">
        <f>AX621/AX606</f>
        <v>0.96356275303643713</v>
      </c>
      <c r="AY622" s="556">
        <f t="shared" ref="AY622" si="1926">AY621/AY606</f>
        <v>0.96356275303643701</v>
      </c>
      <c r="AZ622" s="556">
        <f>AZ621/AZ606</f>
        <v>0.96356275303643713</v>
      </c>
      <c r="BA622" s="556">
        <f>BA621/BA606</f>
        <v>0.96356275303643724</v>
      </c>
      <c r="BB622" s="556">
        <f t="shared" ref="BB622" si="1927">BB621/BB606</f>
        <v>0.96356275303643701</v>
      </c>
      <c r="BC622" s="556">
        <f>BC621/BC606</f>
        <v>0.96356275303643713</v>
      </c>
      <c r="BD622" s="556">
        <f>BD621/BD606</f>
        <v>0.96356275303643735</v>
      </c>
      <c r="BE622" s="556">
        <f t="shared" ref="BE622" si="1928">BE621/BE606</f>
        <v>0.96356275303643713</v>
      </c>
      <c r="BF622" s="556">
        <f>BF621/BF606</f>
        <v>0.96356275303643713</v>
      </c>
      <c r="BG622" s="556">
        <f>BG621/BG606</f>
        <v>0.96356275303643701</v>
      </c>
      <c r="BH622" s="556">
        <f t="shared" ref="BH622" si="1929">BH621/BH606</f>
        <v>0.96356275303643724</v>
      </c>
      <c r="BI622" s="556">
        <f>BI621/BI606</f>
        <v>0.96356275303643701</v>
      </c>
      <c r="BJ622" s="556">
        <f>BJ621/BJ606</f>
        <v>0.96356275303643713</v>
      </c>
      <c r="BK622" s="556">
        <f t="shared" ref="BK622" si="1930">BK621/BK606</f>
        <v>0.96356275303643701</v>
      </c>
      <c r="BL622" s="556">
        <f>BL621/BL606</f>
        <v>0.96356275303643713</v>
      </c>
      <c r="BM622" s="556">
        <f>BM621/BM606</f>
        <v>0.96356275303643713</v>
      </c>
      <c r="BN622" s="556">
        <f t="shared" ref="BN622" si="1931">BN621/BN606</f>
        <v>0.96356275303643701</v>
      </c>
      <c r="BO622" s="556">
        <f>BO621/BO606</f>
        <v>0.96356275303643724</v>
      </c>
      <c r="BP622" s="556">
        <f>BP621/BP606</f>
        <v>0.96356275303643713</v>
      </c>
      <c r="BQ622" s="556">
        <f t="shared" ref="BQ622" si="1932">BQ621/BQ606</f>
        <v>0.96356275303643724</v>
      </c>
      <c r="BR622" s="556">
        <f>BR621/BR606</f>
        <v>0.96356275303643713</v>
      </c>
    </row>
    <row r="623" spans="2:70" outlineLevel="1">
      <c r="B623" s="1075" t="s">
        <v>668</v>
      </c>
      <c r="C623" s="8" t="s">
        <v>55</v>
      </c>
      <c r="D623" s="96" t="s">
        <v>85</v>
      </c>
      <c r="E623" s="461">
        <f t="shared" ref="E623:O623" si="1933">E669</f>
        <v>935</v>
      </c>
      <c r="F623" s="461">
        <f t="shared" si="1933"/>
        <v>869</v>
      </c>
      <c r="G623" s="461">
        <f t="shared" si="1933"/>
        <v>1804</v>
      </c>
      <c r="H623" s="461">
        <f t="shared" si="1933"/>
        <v>869</v>
      </c>
      <c r="I623" s="461">
        <f t="shared" si="1933"/>
        <v>1940</v>
      </c>
      <c r="J623" s="461">
        <f t="shared" si="1933"/>
        <v>2809</v>
      </c>
      <c r="K623" s="461">
        <f t="shared" si="1933"/>
        <v>2248</v>
      </c>
      <c r="L623" s="461">
        <f t="shared" si="1933"/>
        <v>2329</v>
      </c>
      <c r="M623" s="461">
        <f t="shared" si="1933"/>
        <v>4577</v>
      </c>
      <c r="N623" s="461">
        <f t="shared" si="1933"/>
        <v>2272</v>
      </c>
      <c r="O623" s="461">
        <f t="shared" si="1933"/>
        <v>2411</v>
      </c>
      <c r="P623" s="462">
        <f>SUM(N623:O623)</f>
        <v>4683</v>
      </c>
      <c r="Q623" s="461">
        <f>Q669</f>
        <v>2534</v>
      </c>
      <c r="R623" s="461">
        <f>R669</f>
        <v>2553</v>
      </c>
      <c r="S623" s="461">
        <f>S669</f>
        <v>5087</v>
      </c>
      <c r="T623" s="461">
        <f t="shared" ref="T623:AB623" si="1934">T669</f>
        <v>2467</v>
      </c>
      <c r="U623" s="461">
        <f t="shared" si="1934"/>
        <v>2529</v>
      </c>
      <c r="V623" s="461">
        <f t="shared" si="1934"/>
        <v>4996</v>
      </c>
      <c r="W623" s="461">
        <f t="shared" si="1934"/>
        <v>2521</v>
      </c>
      <c r="X623" s="461">
        <f t="shared" si="1934"/>
        <v>2711</v>
      </c>
      <c r="Y623" s="461">
        <f t="shared" si="1934"/>
        <v>5232</v>
      </c>
      <c r="Z623" s="461">
        <f t="shared" si="1934"/>
        <v>2706</v>
      </c>
      <c r="AA623" s="461">
        <f t="shared" si="1934"/>
        <v>2760</v>
      </c>
      <c r="AB623" s="461">
        <f t="shared" si="1934"/>
        <v>5466</v>
      </c>
      <c r="AC623" s="461">
        <f>AC669</f>
        <v>2818</v>
      </c>
      <c r="AD623" s="461">
        <f>AD669</f>
        <v>2898</v>
      </c>
      <c r="AE623" s="461">
        <f>AE669</f>
        <v>5716</v>
      </c>
      <c r="AF623" s="463">
        <f>AF669</f>
        <v>2692.0574596774195</v>
      </c>
      <c r="AG623" s="996">
        <f>AG669</f>
        <v>2815.6120835643228</v>
      </c>
      <c r="AH623" s="463">
        <f>AF623+AG623</f>
        <v>5507.6695432417418</v>
      </c>
      <c r="AI623" s="463">
        <f>AI669</f>
        <v>2758.560256220298</v>
      </c>
      <c r="AJ623" s="463">
        <f>AJ669</f>
        <v>2812.5937220743244</v>
      </c>
      <c r="AK623" s="463">
        <f>AI623+AJ623</f>
        <v>5571.153978294622</v>
      </c>
      <c r="AL623" s="463">
        <f>AL669</f>
        <v>2730.5031119094492</v>
      </c>
      <c r="AM623" s="463">
        <f>AM669</f>
        <v>2851.7222205718485</v>
      </c>
      <c r="AN623" s="463">
        <f>AL623+AM623</f>
        <v>5582.2253324812973</v>
      </c>
      <c r="AO623" s="463">
        <f>AO669</f>
        <v>2777.5146825619713</v>
      </c>
      <c r="AP623" s="463">
        <f>AP669</f>
        <v>2895.5613309561513</v>
      </c>
      <c r="AQ623" s="463">
        <f>AO623+AP623</f>
        <v>5673.0760135181226</v>
      </c>
      <c r="AR623" s="463">
        <f>AR669</f>
        <v>2823.4849126483227</v>
      </c>
      <c r="AS623" s="463">
        <f>AS669</f>
        <v>2944.869028721967</v>
      </c>
      <c r="AT623" s="463">
        <f>AR623+AS623</f>
        <v>5768.3539413702892</v>
      </c>
      <c r="AU623" s="463">
        <f>AU669</f>
        <v>2870.9699491282495</v>
      </c>
      <c r="AV623" s="463">
        <f>AV669</f>
        <v>2995.7631328955886</v>
      </c>
      <c r="AW623" s="463">
        <f>AU623+AV623</f>
        <v>5866.7330820238385</v>
      </c>
      <c r="AX623" s="463">
        <f>AX669</f>
        <v>2920.0208310363305</v>
      </c>
      <c r="AY623" s="463">
        <f>AY669</f>
        <v>3048.2976635114692</v>
      </c>
      <c r="AZ623" s="463">
        <f>AX623+AY623</f>
        <v>5968.3184945477997</v>
      </c>
      <c r="BA623" s="463">
        <f>BA669</f>
        <v>2970.6907725418114</v>
      </c>
      <c r="BB623" s="463">
        <f>BB669</f>
        <v>3102.5289326854036</v>
      </c>
      <c r="BC623" s="463">
        <f>BA623+BB623</f>
        <v>6073.2197052272149</v>
      </c>
      <c r="BD623" s="463">
        <f>BD669</f>
        <v>3023.0352581011139</v>
      </c>
      <c r="BE623" s="463">
        <f>BE669</f>
        <v>3158.5156452331298</v>
      </c>
      <c r="BF623" s="463">
        <f>BD623+BE623</f>
        <v>6181.5509033342441</v>
      </c>
      <c r="BG623" s="463">
        <f>BG669</f>
        <v>3077.1121420585509</v>
      </c>
      <c r="BH623" s="463">
        <f>BH669</f>
        <v>3216.3190039931169</v>
      </c>
      <c r="BI623" s="463">
        <f>BG623+BH623</f>
        <v>6293.4311460516674</v>
      </c>
      <c r="BJ623" s="463">
        <f>BJ669</f>
        <v>3132.9817529077432</v>
      </c>
      <c r="BK623" s="463">
        <f>BK669</f>
        <v>3276.0028200785146</v>
      </c>
      <c r="BL623" s="463">
        <f>BJ623+BK623</f>
        <v>6408.9845729862573</v>
      </c>
      <c r="BM623" s="463">
        <f>BM669</f>
        <v>3190.7070024366285</v>
      </c>
      <c r="BN623" s="463">
        <f>BN669</f>
        <v>3337.633628294243</v>
      </c>
      <c r="BO623" s="463">
        <f>BM623+BN623</f>
        <v>6528.3406307308715</v>
      </c>
      <c r="BP623" s="463">
        <f>BP669</f>
        <v>3250.3534999898343</v>
      </c>
      <c r="BQ623" s="463">
        <f>BQ669</f>
        <v>3401.2808079667507</v>
      </c>
      <c r="BR623" s="463">
        <f>BP623+BQ623</f>
        <v>6651.634307956585</v>
      </c>
    </row>
    <row r="624" spans="2:70" outlineLevel="1">
      <c r="B624" s="1075"/>
      <c r="C624" s="8" t="s">
        <v>56</v>
      </c>
      <c r="D624" s="96" t="s">
        <v>85</v>
      </c>
      <c r="E624" s="461">
        <f t="shared" ref="E624:P624" si="1935">E673</f>
        <v>88.6</v>
      </c>
      <c r="F624" s="461">
        <f t="shared" si="1935"/>
        <v>129.4</v>
      </c>
      <c r="G624" s="461">
        <f t="shared" si="1935"/>
        <v>218</v>
      </c>
      <c r="H624" s="461">
        <f t="shared" si="1935"/>
        <v>115.9</v>
      </c>
      <c r="I624" s="461">
        <f t="shared" si="1935"/>
        <v>241.9</v>
      </c>
      <c r="J624" s="461">
        <f t="shared" si="1935"/>
        <v>357.8</v>
      </c>
      <c r="K624" s="461">
        <f t="shared" si="1935"/>
        <v>280</v>
      </c>
      <c r="L624" s="461">
        <f t="shared" si="1935"/>
        <v>330.9</v>
      </c>
      <c r="M624" s="461">
        <f t="shared" si="1935"/>
        <v>610.9</v>
      </c>
      <c r="N624" s="461">
        <f t="shared" si="1935"/>
        <v>327.60000000000002</v>
      </c>
      <c r="O624" s="461">
        <f t="shared" si="1935"/>
        <v>360.19999999999993</v>
      </c>
      <c r="P624" s="461">
        <f t="shared" si="1935"/>
        <v>687.8</v>
      </c>
      <c r="Q624" s="461">
        <f t="shared" ref="Q624:AA624" si="1936">Q673</f>
        <v>363.8</v>
      </c>
      <c r="R624" s="461">
        <f t="shared" si="1936"/>
        <v>392.40000000000003</v>
      </c>
      <c r="S624" s="461">
        <f t="shared" si="1936"/>
        <v>756.2</v>
      </c>
      <c r="T624" s="461">
        <f t="shared" si="1936"/>
        <v>373.6</v>
      </c>
      <c r="U624" s="461">
        <f t="shared" si="1936"/>
        <v>400.29999999999995</v>
      </c>
      <c r="V624" s="461">
        <f t="shared" si="1936"/>
        <v>773.9</v>
      </c>
      <c r="W624" s="461">
        <f t="shared" si="1936"/>
        <v>394.8</v>
      </c>
      <c r="X624" s="461">
        <f t="shared" si="1936"/>
        <v>425.7</v>
      </c>
      <c r="Y624" s="461">
        <f t="shared" si="1936"/>
        <v>820.5</v>
      </c>
      <c r="Z624" s="461">
        <f t="shared" si="1936"/>
        <v>415.3</v>
      </c>
      <c r="AA624" s="461">
        <f t="shared" si="1936"/>
        <v>454.40000000000003</v>
      </c>
      <c r="AB624" s="461">
        <f t="shared" ref="AB624:AE624" si="1937">AB673</f>
        <v>869.7</v>
      </c>
      <c r="AC624" s="461">
        <f t="shared" si="1937"/>
        <v>441.7</v>
      </c>
      <c r="AD624" s="461">
        <f t="shared" si="1937"/>
        <v>498.90000000000003</v>
      </c>
      <c r="AE624" s="461">
        <f t="shared" si="1937"/>
        <v>940.6</v>
      </c>
      <c r="AF624" s="424">
        <f t="shared" ref="AF624" si="1938">AF673</f>
        <v>436.2</v>
      </c>
      <c r="AG624" s="936">
        <f>AG673</f>
        <v>497.79679017810338</v>
      </c>
      <c r="AH624" s="424">
        <f>AF624+AG624</f>
        <v>933.99679017810331</v>
      </c>
      <c r="AI624" s="424">
        <f>AI673</f>
        <v>479.20142268891391</v>
      </c>
      <c r="AJ624" s="424">
        <f>AJ673</f>
        <v>519.83774787962579</v>
      </c>
      <c r="AK624" s="424">
        <f>AI624+AJ624</f>
        <v>999.0391705685397</v>
      </c>
      <c r="AL624" s="424">
        <f>AL673</f>
        <v>480.92283048923002</v>
      </c>
      <c r="AM624" s="424">
        <f>AM673</f>
        <v>528.52017744779369</v>
      </c>
      <c r="AN624" s="424">
        <f>AL624+AM624</f>
        <v>1009.4430079370237</v>
      </c>
      <c r="AO624" s="424">
        <f>AO673</f>
        <v>492.94008093850664</v>
      </c>
      <c r="AP624" s="424">
        <f>AP673</f>
        <v>543.2359726467696</v>
      </c>
      <c r="AQ624" s="424">
        <f>AO624+AP624</f>
        <v>1036.1760535852763</v>
      </c>
      <c r="AR624" s="424">
        <f>AR673</f>
        <v>500.5209978005355</v>
      </c>
      <c r="AS624" s="424">
        <f>AS673</f>
        <v>551.85113472918772</v>
      </c>
      <c r="AT624" s="424">
        <f>AR624+AS624</f>
        <v>1052.3721325297233</v>
      </c>
      <c r="AU624" s="424">
        <f>AU673</f>
        <v>508.3298980138614</v>
      </c>
      <c r="AV624" s="424">
        <f>AV673</f>
        <v>560.7220951934022</v>
      </c>
      <c r="AW624" s="424">
        <f>AU624+AV624</f>
        <v>1069.0519932072636</v>
      </c>
      <c r="AX624" s="424">
        <f>AX673</f>
        <v>516.37429766071307</v>
      </c>
      <c r="AY624" s="424">
        <f>AY673</f>
        <v>569.85739275159244</v>
      </c>
      <c r="AZ624" s="424">
        <f>AX624+AY624</f>
        <v>1086.2316904123054</v>
      </c>
      <c r="BA624" s="424">
        <f>BA673</f>
        <v>524.66203217686723</v>
      </c>
      <c r="BB624" s="424">
        <f>BB673</f>
        <v>579.26592755795627</v>
      </c>
      <c r="BC624" s="424">
        <f>BA624+BB624</f>
        <v>1103.9279597348236</v>
      </c>
      <c r="BD624" s="424">
        <f>BD673</f>
        <v>533.20127042558079</v>
      </c>
      <c r="BE624" s="424">
        <f>BE673</f>
        <v>588.95697718649865</v>
      </c>
      <c r="BF624" s="424">
        <f>BD624+BE624</f>
        <v>1122.1582476120793</v>
      </c>
      <c r="BG624" s="424">
        <f>BG673</f>
        <v>542.00052943616822</v>
      </c>
      <c r="BH624" s="424">
        <f>BH673</f>
        <v>598.94021336295737</v>
      </c>
      <c r="BI624" s="424">
        <f>BG624+BH624</f>
        <v>1140.9407427991255</v>
      </c>
      <c r="BJ624" s="424">
        <f>BJ673</f>
        <v>551.0686898393526</v>
      </c>
      <c r="BK624" s="424">
        <f>BK673</f>
        <v>609.22571948733139</v>
      </c>
      <c r="BL624" s="424">
        <f>BJ624+BK624</f>
        <v>1160.294409326684</v>
      </c>
      <c r="BM624" s="424">
        <f>BM673</f>
        <v>560.415012033106</v>
      </c>
      <c r="BN624" s="424">
        <f>BN673</f>
        <v>619.8240089852834</v>
      </c>
      <c r="BO624" s="424">
        <f>BM624+BN624</f>
        <v>1180.2390210183894</v>
      </c>
      <c r="BP624" s="424">
        <f>BP673</f>
        <v>570.04915311436719</v>
      </c>
      <c r="BQ624" s="424">
        <f>BQ673</f>
        <v>630.74604452858705</v>
      </c>
      <c r="BR624" s="424">
        <f>BP624+BQ624</f>
        <v>1200.7951976429542</v>
      </c>
    </row>
    <row r="625" spans="2:70" outlineLevel="1">
      <c r="B625" s="1075"/>
      <c r="C625" s="6" t="s">
        <v>65</v>
      </c>
      <c r="D625" s="7" t="s">
        <v>85</v>
      </c>
      <c r="E625" s="19">
        <f t="shared" ref="E625:P625" si="1939">E675</f>
        <v>-82.399999999999991</v>
      </c>
      <c r="F625" s="19">
        <f t="shared" si="1939"/>
        <v>12.899999999999991</v>
      </c>
      <c r="G625" s="19">
        <f t="shared" si="1939"/>
        <v>-69.5</v>
      </c>
      <c r="H625" s="19">
        <f t="shared" si="1939"/>
        <v>-35.300000000000011</v>
      </c>
      <c r="I625" s="19">
        <f t="shared" si="1939"/>
        <v>-70.199999999999989</v>
      </c>
      <c r="J625" s="19">
        <f t="shared" si="1939"/>
        <v>-105.5</v>
      </c>
      <c r="K625" s="19">
        <f t="shared" si="1939"/>
        <v>-82.1</v>
      </c>
      <c r="L625" s="19">
        <f t="shared" si="1939"/>
        <v>-78.599999999999994</v>
      </c>
      <c r="M625" s="19">
        <f t="shared" si="1939"/>
        <v>-160.69999999999999</v>
      </c>
      <c r="N625" s="19">
        <f t="shared" si="1939"/>
        <v>-81.900000000000034</v>
      </c>
      <c r="O625" s="19">
        <f t="shared" si="1939"/>
        <v>-79.39999999999992</v>
      </c>
      <c r="P625" s="19">
        <f t="shared" si="1939"/>
        <v>-161.29999999999995</v>
      </c>
      <c r="Q625" s="19">
        <f t="shared" ref="Q625:AA625" si="1940">Q675</f>
        <v>-83.600000000000023</v>
      </c>
      <c r="R625" s="19">
        <f t="shared" si="1940"/>
        <v>-84.200000000000045</v>
      </c>
      <c r="S625" s="19">
        <f t="shared" si="1940"/>
        <v>-167.80000000000007</v>
      </c>
      <c r="T625" s="19">
        <f t="shared" si="1940"/>
        <v>-84.700000000000045</v>
      </c>
      <c r="U625" s="19">
        <f t="shared" si="1940"/>
        <v>-82.999999999999886</v>
      </c>
      <c r="V625" s="19">
        <f t="shared" si="1940"/>
        <v>-167.69999999999993</v>
      </c>
      <c r="W625" s="19">
        <f t="shared" si="1940"/>
        <v>-95.900000000000034</v>
      </c>
      <c r="X625" s="19">
        <f t="shared" si="1940"/>
        <v>-81.699999999999989</v>
      </c>
      <c r="Y625" s="19">
        <f t="shared" si="1940"/>
        <v>-177.60000000000002</v>
      </c>
      <c r="Z625" s="19">
        <f t="shared" si="1940"/>
        <v>-94.300000000000011</v>
      </c>
      <c r="AA625" s="19">
        <f t="shared" si="1940"/>
        <v>-94.199999999999989</v>
      </c>
      <c r="AB625" s="19">
        <f t="shared" ref="AB625:AG625" si="1941">AB675</f>
        <v>-188.5</v>
      </c>
      <c r="AC625" s="19">
        <f t="shared" si="1941"/>
        <v>-101.69999999999999</v>
      </c>
      <c r="AD625" s="19">
        <f t="shared" si="1941"/>
        <v>-100.10000000000008</v>
      </c>
      <c r="AE625" s="19">
        <f t="shared" si="1941"/>
        <v>-201.80000000000007</v>
      </c>
      <c r="AF625" s="19">
        <f t="shared" ref="AF625" si="1942">AF675</f>
        <v>-98.800000000000011</v>
      </c>
      <c r="AG625" s="943">
        <f t="shared" si="1941"/>
        <v>-101.10100000000008</v>
      </c>
      <c r="AH625" s="19">
        <f>AF625+AG625</f>
        <v>-199.9010000000001</v>
      </c>
      <c r="AI625" s="19">
        <f>AI675</f>
        <v>-99.788000000000011</v>
      </c>
      <c r="AJ625" s="19">
        <f>AJ675</f>
        <v>-102.11201000000008</v>
      </c>
      <c r="AK625" s="19">
        <f>AI625+AJ625</f>
        <v>-201.90001000000009</v>
      </c>
      <c r="AL625" s="19">
        <f>AL675</f>
        <v>-100.78588000000001</v>
      </c>
      <c r="AM625" s="19">
        <f>AM675</f>
        <v>-103.13313010000009</v>
      </c>
      <c r="AN625" s="19">
        <f>AL625+AM625</f>
        <v>-203.91901010000009</v>
      </c>
      <c r="AO625" s="19">
        <f>AO675</f>
        <v>-101.7937388</v>
      </c>
      <c r="AP625" s="19">
        <f>AP675</f>
        <v>-104.1644614010001</v>
      </c>
      <c r="AQ625" s="19">
        <f>AO625+AP625</f>
        <v>-205.9582002010001</v>
      </c>
      <c r="AR625" s="19">
        <f>AR675</f>
        <v>-102.81167618800001</v>
      </c>
      <c r="AS625" s="19">
        <f>AS675</f>
        <v>-105.20610601501009</v>
      </c>
      <c r="AT625" s="19">
        <f>AR625+AS625</f>
        <v>-208.01778220301009</v>
      </c>
      <c r="AU625" s="19">
        <f>AU675</f>
        <v>-103.83979294988001</v>
      </c>
      <c r="AV625" s="19">
        <f>AV675</f>
        <v>-106.25816707516019</v>
      </c>
      <c r="AW625" s="19">
        <f>AU625+AV625</f>
        <v>-210.09796002504021</v>
      </c>
      <c r="AX625" s="19">
        <f>AX675</f>
        <v>-104.87819087937881</v>
      </c>
      <c r="AY625" s="19">
        <f>AY675</f>
        <v>-107.32074874591179</v>
      </c>
      <c r="AZ625" s="19">
        <f>AX625+AY625</f>
        <v>-212.19893962529059</v>
      </c>
      <c r="BA625" s="19">
        <f>BA675</f>
        <v>-105.92697278817259</v>
      </c>
      <c r="BB625" s="19">
        <f>BB675</f>
        <v>-108.3939562333709</v>
      </c>
      <c r="BC625" s="19">
        <f>BA625+BB625</f>
        <v>-214.32092902154349</v>
      </c>
      <c r="BD625" s="19">
        <f>BD675</f>
        <v>-106.98624251605432</v>
      </c>
      <c r="BE625" s="19">
        <f>BE675</f>
        <v>-109.47789579570461</v>
      </c>
      <c r="BF625" s="19">
        <f>BD625+BE625</f>
        <v>-216.46413831175892</v>
      </c>
      <c r="BG625" s="19">
        <f>BG675</f>
        <v>-108.05610494121487</v>
      </c>
      <c r="BH625" s="19">
        <f>BH675</f>
        <v>-110.57267475366166</v>
      </c>
      <c r="BI625" s="19">
        <f>BG625+BH625</f>
        <v>-218.62877969487653</v>
      </c>
      <c r="BJ625" s="19">
        <f>BJ675</f>
        <v>-109.13666599062702</v>
      </c>
      <c r="BK625" s="19">
        <f>BK675</f>
        <v>-111.67840150119828</v>
      </c>
      <c r="BL625" s="19">
        <f>BJ625+BK625</f>
        <v>-220.81506749182529</v>
      </c>
      <c r="BM625" s="19">
        <f>BM675</f>
        <v>-110.22803265053329</v>
      </c>
      <c r="BN625" s="19">
        <f>BN675</f>
        <v>-112.79518551621027</v>
      </c>
      <c r="BO625" s="19">
        <f>BM625+BN625</f>
        <v>-223.02321816674356</v>
      </c>
      <c r="BP625" s="19">
        <f>BP675</f>
        <v>-111.33031297703863</v>
      </c>
      <c r="BQ625" s="19">
        <f>BQ675</f>
        <v>-113.92313737137238</v>
      </c>
      <c r="BR625" s="19">
        <f>BP625+BQ625</f>
        <v>-225.25345034841101</v>
      </c>
    </row>
    <row r="626" spans="2:70" outlineLevel="1">
      <c r="B626" s="1075"/>
      <c r="C626" s="8" t="s">
        <v>57</v>
      </c>
      <c r="D626" s="96" t="s">
        <v>85</v>
      </c>
      <c r="E626" s="341">
        <f t="shared" ref="E626:AE626" si="1943">E624+E625</f>
        <v>6.2000000000000028</v>
      </c>
      <c r="F626" s="341">
        <f t="shared" si="1943"/>
        <v>142.30000000000001</v>
      </c>
      <c r="G626" s="341">
        <f t="shared" si="1943"/>
        <v>148.5</v>
      </c>
      <c r="H626" s="341">
        <f t="shared" si="1943"/>
        <v>80.599999999999994</v>
      </c>
      <c r="I626" s="341">
        <f t="shared" si="1943"/>
        <v>171.70000000000002</v>
      </c>
      <c r="J626" s="341">
        <f t="shared" si="1943"/>
        <v>252.3</v>
      </c>
      <c r="K626" s="341">
        <f t="shared" si="1943"/>
        <v>197.9</v>
      </c>
      <c r="L626" s="341">
        <f t="shared" si="1943"/>
        <v>252.29999999999998</v>
      </c>
      <c r="M626" s="341">
        <f t="shared" si="1943"/>
        <v>450.2</v>
      </c>
      <c r="N626" s="341">
        <f t="shared" si="1943"/>
        <v>245.7</v>
      </c>
      <c r="O626" s="341">
        <f t="shared" si="1943"/>
        <v>280.8</v>
      </c>
      <c r="P626" s="341">
        <f t="shared" si="1943"/>
        <v>526.5</v>
      </c>
      <c r="Q626" s="341">
        <f t="shared" si="1943"/>
        <v>280.2</v>
      </c>
      <c r="R626" s="341">
        <f t="shared" si="1943"/>
        <v>308.2</v>
      </c>
      <c r="S626" s="341">
        <f t="shared" si="1943"/>
        <v>588.4</v>
      </c>
      <c r="T626" s="341">
        <f t="shared" si="1943"/>
        <v>288.89999999999998</v>
      </c>
      <c r="U626" s="341">
        <f t="shared" si="1943"/>
        <v>317.30000000000007</v>
      </c>
      <c r="V626" s="341">
        <f t="shared" si="1943"/>
        <v>606.20000000000005</v>
      </c>
      <c r="W626" s="341">
        <f t="shared" si="1943"/>
        <v>298.89999999999998</v>
      </c>
      <c r="X626" s="341">
        <f t="shared" si="1943"/>
        <v>344</v>
      </c>
      <c r="Y626" s="341">
        <f t="shared" si="1943"/>
        <v>642.9</v>
      </c>
      <c r="Z626" s="341">
        <f t="shared" si="1943"/>
        <v>321</v>
      </c>
      <c r="AA626" s="341">
        <f t="shared" si="1943"/>
        <v>360.20000000000005</v>
      </c>
      <c r="AB626" s="341">
        <f t="shared" si="1943"/>
        <v>681.2</v>
      </c>
      <c r="AC626" s="341">
        <f t="shared" si="1943"/>
        <v>340</v>
      </c>
      <c r="AD626" s="341">
        <f t="shared" si="1943"/>
        <v>398.79999999999995</v>
      </c>
      <c r="AE626" s="341">
        <f t="shared" si="1943"/>
        <v>738.8</v>
      </c>
      <c r="AF626" s="341">
        <f t="shared" ref="AF626" si="1944">AF624+AF625</f>
        <v>337.4</v>
      </c>
      <c r="AG626" s="934">
        <f>AG676</f>
        <v>396.69579017810327</v>
      </c>
      <c r="AH626" s="461">
        <f>AF626+AG626</f>
        <v>734.09579017810324</v>
      </c>
      <c r="AI626" s="341">
        <f>AI676</f>
        <v>379.4134226889139</v>
      </c>
      <c r="AJ626" s="341">
        <f>AJ676</f>
        <v>417.72573787962574</v>
      </c>
      <c r="AK626" s="461">
        <f>AI626+AJ626</f>
        <v>797.13916056853964</v>
      </c>
      <c r="AL626" s="341">
        <f>AL676</f>
        <v>380.13695048923</v>
      </c>
      <c r="AM626" s="341">
        <f>AM676</f>
        <v>425.38704734779361</v>
      </c>
      <c r="AN626" s="461">
        <f>AL626+AM626</f>
        <v>805.52399783702367</v>
      </c>
      <c r="AO626" s="341">
        <f>AO676</f>
        <v>391.14634213850667</v>
      </c>
      <c r="AP626" s="341">
        <f>AP676</f>
        <v>439.07151124576956</v>
      </c>
      <c r="AQ626" s="461">
        <f>AO626+AP626</f>
        <v>830.21785338427617</v>
      </c>
      <c r="AR626" s="341">
        <f>AR676</f>
        <v>397.70932161253546</v>
      </c>
      <c r="AS626" s="341">
        <f>AS676</f>
        <v>446.64502871417761</v>
      </c>
      <c r="AT626" s="461">
        <f>AR626+AS626</f>
        <v>844.35435032671307</v>
      </c>
      <c r="AU626" s="341">
        <f>AU676</f>
        <v>404.49010506398139</v>
      </c>
      <c r="AV626" s="341">
        <f>AV676</f>
        <v>454.46392811824199</v>
      </c>
      <c r="AW626" s="461">
        <f>AU626+AV626</f>
        <v>858.95403318222338</v>
      </c>
      <c r="AX626" s="341">
        <f>AX676</f>
        <v>411.49610678133422</v>
      </c>
      <c r="AY626" s="341">
        <f>AY676</f>
        <v>462.53664400568067</v>
      </c>
      <c r="AZ626" s="461">
        <f>AX626+AY626</f>
        <v>874.03275078701495</v>
      </c>
      <c r="BA626" s="341">
        <f>BA676</f>
        <v>418.73505938869465</v>
      </c>
      <c r="BB626" s="341">
        <f>BB676</f>
        <v>470.87197132458533</v>
      </c>
      <c r="BC626" s="461">
        <f>BA626+BB626</f>
        <v>889.60703071327998</v>
      </c>
      <c r="BD626" s="341">
        <f>BD676</f>
        <v>426.2150279095265</v>
      </c>
      <c r="BE626" s="341">
        <f>BE676</f>
        <v>479.47908139079408</v>
      </c>
      <c r="BF626" s="461">
        <f>BD626+BE626</f>
        <v>905.69410930032063</v>
      </c>
      <c r="BG626" s="341">
        <f>BG676</f>
        <v>433.94442449495335</v>
      </c>
      <c r="BH626" s="341">
        <f>BH676</f>
        <v>488.36753860929576</v>
      </c>
      <c r="BI626" s="461">
        <f>BG626+BH626</f>
        <v>922.31196310424912</v>
      </c>
      <c r="BJ626" s="341">
        <f>BJ676</f>
        <v>441.93202384872552</v>
      </c>
      <c r="BK626" s="341">
        <f>BK676</f>
        <v>497.54731798613307</v>
      </c>
      <c r="BL626" s="461">
        <f>BJ626+BK626</f>
        <v>939.47934183485859</v>
      </c>
      <c r="BM626" s="341">
        <f>BM676</f>
        <v>450.18697938257276</v>
      </c>
      <c r="BN626" s="341">
        <f>BN676</f>
        <v>507.02882346907319</v>
      </c>
      <c r="BO626" s="461">
        <f>BM626+BN626</f>
        <v>957.215802851646</v>
      </c>
      <c r="BP626" s="341">
        <f>BP676</f>
        <v>458.71884013732853</v>
      </c>
      <c r="BQ626" s="341">
        <f>BQ676</f>
        <v>516.82290715721467</v>
      </c>
      <c r="BR626" s="461">
        <f>BP626+BQ626</f>
        <v>975.54174729454326</v>
      </c>
    </row>
    <row r="627" spans="2:70" s="99" customFormat="1" outlineLevel="1">
      <c r="B627" s="1075"/>
      <c r="C627" s="6" t="s">
        <v>296</v>
      </c>
      <c r="D627" s="7" t="s">
        <v>85</v>
      </c>
      <c r="E627" s="119">
        <v>886</v>
      </c>
      <c r="F627" s="119">
        <v>1009</v>
      </c>
      <c r="G627" s="150">
        <f>+G626/G628</f>
        <v>1010.2040816326531</v>
      </c>
      <c r="H627" s="119">
        <v>981</v>
      </c>
      <c r="I627" s="119">
        <v>1463</v>
      </c>
      <c r="J627" s="150">
        <f>+J626/J628</f>
        <v>1466.8604651162793</v>
      </c>
      <c r="K627" s="119">
        <v>2195</v>
      </c>
      <c r="L627" s="119">
        <v>2209</v>
      </c>
      <c r="M627" s="150">
        <f>+M626/M628</f>
        <v>2217.7339901477831</v>
      </c>
      <c r="N627" s="119">
        <v>2195</v>
      </c>
      <c r="O627" s="119">
        <v>2199</v>
      </c>
      <c r="P627" s="150">
        <f>+P626/P628</f>
        <v>2202.928870292887</v>
      </c>
      <c r="Q627" s="119">
        <v>2447</v>
      </c>
      <c r="R627" s="551"/>
      <c r="S627" s="119">
        <v>2457</v>
      </c>
      <c r="T627" s="119">
        <v>2515</v>
      </c>
      <c r="U627" s="551"/>
      <c r="V627" s="119">
        <v>2498</v>
      </c>
      <c r="W627" s="119">
        <v>2529</v>
      </c>
      <c r="X627" s="551"/>
      <c r="Y627" s="119">
        <v>2560</v>
      </c>
      <c r="Z627" s="119">
        <v>2611</v>
      </c>
      <c r="AA627" s="118"/>
      <c r="AB627" s="119">
        <v>2643</v>
      </c>
      <c r="AC627" s="119">
        <v>2996</v>
      </c>
      <c r="AD627" s="551"/>
      <c r="AE627" s="151">
        <v>3029</v>
      </c>
      <c r="AF627" s="151">
        <v>2987</v>
      </c>
      <c r="AG627" s="1001"/>
      <c r="AH627" s="580"/>
      <c r="AI627" s="580"/>
      <c r="AJ627" s="580"/>
      <c r="AK627" s="580"/>
      <c r="AL627" s="580"/>
      <c r="AM627" s="580"/>
      <c r="AN627" s="580"/>
      <c r="AO627" s="580"/>
      <c r="AP627" s="580"/>
      <c r="AQ627" s="580"/>
      <c r="AR627" s="580"/>
      <c r="AS627" s="580"/>
      <c r="AT627" s="580"/>
      <c r="AU627" s="580"/>
      <c r="AV627" s="580"/>
      <c r="AW627" s="580"/>
      <c r="AX627" s="580"/>
      <c r="AY627" s="580"/>
      <c r="AZ627" s="580"/>
      <c r="BA627" s="580"/>
      <c r="BB627" s="580"/>
      <c r="BC627" s="580"/>
      <c r="BD627" s="580"/>
      <c r="BE627" s="580"/>
      <c r="BF627" s="580"/>
      <c r="BG627" s="580"/>
      <c r="BH627" s="580"/>
      <c r="BI627" s="580"/>
      <c r="BJ627" s="580"/>
      <c r="BK627" s="580"/>
      <c r="BL627" s="580"/>
      <c r="BM627" s="580"/>
      <c r="BN627" s="580"/>
      <c r="BO627" s="580"/>
      <c r="BP627" s="580"/>
      <c r="BQ627" s="580"/>
      <c r="BR627" s="580"/>
    </row>
    <row r="628" spans="2:70" s="99" customFormat="1" outlineLevel="1">
      <c r="B628" s="1075"/>
      <c r="C628" s="9" t="s">
        <v>265</v>
      </c>
      <c r="D628" s="7" t="s">
        <v>66</v>
      </c>
      <c r="E628" s="116">
        <v>0.13300000000000001</v>
      </c>
      <c r="F628" s="552"/>
      <c r="G628" s="116">
        <v>0.14699999999999999</v>
      </c>
      <c r="H628" s="116">
        <v>0.16400000000000001</v>
      </c>
      <c r="I628" s="552"/>
      <c r="J628" s="116">
        <v>0.17199999999999999</v>
      </c>
      <c r="K628" s="116">
        <v>0.18</v>
      </c>
      <c r="L628" s="552"/>
      <c r="M628" s="116">
        <v>0.20300000000000001</v>
      </c>
      <c r="N628" s="116">
        <v>0.224</v>
      </c>
      <c r="O628" s="552"/>
      <c r="P628" s="116">
        <v>0.23899999999999999</v>
      </c>
      <c r="Q628" s="116">
        <v>0.22900000000000001</v>
      </c>
      <c r="R628" s="552"/>
      <c r="S628" s="94">
        <v>0.23899999999999999</v>
      </c>
      <c r="T628" s="116">
        <v>0.23</v>
      </c>
      <c r="U628" s="552"/>
      <c r="V628" s="94">
        <v>0.24299999999999999</v>
      </c>
      <c r="W628" s="116">
        <v>0.24399999999999999</v>
      </c>
      <c r="X628" s="552"/>
      <c r="Y628" s="94">
        <v>0.251</v>
      </c>
      <c r="Z628" s="116">
        <v>0.246</v>
      </c>
      <c r="AA628" s="40"/>
      <c r="AB628" s="94">
        <v>0.25800000000000001</v>
      </c>
      <c r="AC628" s="94">
        <v>0.22700000000000001</v>
      </c>
      <c r="AD628" s="552"/>
      <c r="AE628" s="838">
        <v>0.24399999999999999</v>
      </c>
      <c r="AF628" s="838">
        <v>0.24399999999999999</v>
      </c>
      <c r="AG628" s="997"/>
      <c r="AH628" s="570"/>
      <c r="AI628" s="570"/>
      <c r="AJ628" s="570"/>
      <c r="AK628" s="570"/>
      <c r="AL628" s="570"/>
      <c r="AM628" s="570"/>
      <c r="AN628" s="570"/>
      <c r="AO628" s="570"/>
      <c r="AP628" s="570"/>
      <c r="AQ628" s="570"/>
      <c r="AR628" s="570"/>
      <c r="AS628" s="570"/>
      <c r="AT628" s="570"/>
      <c r="AU628" s="570"/>
      <c r="AV628" s="570"/>
      <c r="AW628" s="570"/>
      <c r="AX628" s="570"/>
      <c r="AY628" s="570"/>
      <c r="AZ628" s="570"/>
      <c r="BA628" s="570"/>
      <c r="BB628" s="570"/>
      <c r="BC628" s="570"/>
      <c r="BD628" s="570"/>
      <c r="BE628" s="570"/>
      <c r="BF628" s="570"/>
      <c r="BG628" s="570"/>
      <c r="BH628" s="570"/>
      <c r="BI628" s="570"/>
      <c r="BJ628" s="570"/>
      <c r="BK628" s="570"/>
      <c r="BL628" s="570"/>
      <c r="BM628" s="570"/>
      <c r="BN628" s="570"/>
      <c r="BO628" s="570"/>
      <c r="BP628" s="570"/>
      <c r="BQ628" s="570"/>
      <c r="BR628" s="570"/>
    </row>
    <row r="629" spans="2:70" s="99" customFormat="1" outlineLevel="1">
      <c r="B629" s="1075"/>
      <c r="C629" s="6" t="s">
        <v>297</v>
      </c>
      <c r="D629" s="7" t="s">
        <v>85</v>
      </c>
      <c r="E629" s="119">
        <v>6.2</v>
      </c>
      <c r="F629" s="18">
        <f>G629-E629</f>
        <v>-19.5</v>
      </c>
      <c r="G629" s="119">
        <v>-13.3</v>
      </c>
      <c r="H629" s="119">
        <v>65.599999999999994</v>
      </c>
      <c r="I629" s="18">
        <f>J629-H629</f>
        <v>210.9</v>
      </c>
      <c r="J629" s="119">
        <v>276.5</v>
      </c>
      <c r="K629" s="119">
        <v>109.3</v>
      </c>
      <c r="L629" s="18">
        <f>M629-K629</f>
        <v>339.59999999999997</v>
      </c>
      <c r="M629" s="119">
        <v>448.9</v>
      </c>
      <c r="N629" s="119">
        <v>201.6</v>
      </c>
      <c r="O629" s="18">
        <f>P629-N629</f>
        <v>321.69999999999993</v>
      </c>
      <c r="P629" s="119">
        <v>523.29999999999995</v>
      </c>
      <c r="Q629" s="119">
        <v>229</v>
      </c>
      <c r="R629" s="18">
        <f>S629-Q629</f>
        <v>353</v>
      </c>
      <c r="S629" s="119">
        <v>582</v>
      </c>
      <c r="T629" s="119">
        <v>223.7</v>
      </c>
      <c r="U629" s="18">
        <f>V629-T629</f>
        <v>465.7</v>
      </c>
      <c r="V629" s="119">
        <v>689.4</v>
      </c>
      <c r="W629" s="119">
        <v>245.1</v>
      </c>
      <c r="X629" s="18">
        <f>Y629-W629</f>
        <v>462.79999999999995</v>
      </c>
      <c r="Y629" s="119">
        <v>707.9</v>
      </c>
      <c r="Z629" s="119">
        <v>270.7</v>
      </c>
      <c r="AA629" s="18">
        <f>AB629-Z629</f>
        <v>488.2</v>
      </c>
      <c r="AB629" s="119">
        <v>758.9</v>
      </c>
      <c r="AC629" s="119">
        <v>276.89999999999998</v>
      </c>
      <c r="AD629" s="18">
        <f>AE629-AC629</f>
        <v>515.5</v>
      </c>
      <c r="AE629" s="151">
        <v>792.4</v>
      </c>
      <c r="AF629" s="151">
        <v>232.7</v>
      </c>
      <c r="AG629" s="997"/>
      <c r="AH629" s="570"/>
      <c r="AI629" s="570"/>
      <c r="AJ629" s="570"/>
      <c r="AK629" s="570"/>
      <c r="AL629" s="570"/>
      <c r="AM629" s="570"/>
      <c r="AN629" s="570"/>
      <c r="AO629" s="570"/>
      <c r="AP629" s="570"/>
      <c r="AQ629" s="570"/>
      <c r="AR629" s="570"/>
      <c r="AS629" s="570"/>
      <c r="AT629" s="570"/>
      <c r="AU629" s="570"/>
      <c r="AV629" s="570"/>
      <c r="AW629" s="570"/>
      <c r="AX629" s="570"/>
      <c r="AY629" s="570"/>
      <c r="AZ629" s="570"/>
      <c r="BA629" s="570"/>
      <c r="BB629" s="570"/>
      <c r="BC629" s="570"/>
      <c r="BD629" s="570"/>
      <c r="BE629" s="570"/>
      <c r="BF629" s="570"/>
      <c r="BG629" s="570"/>
      <c r="BH629" s="570"/>
      <c r="BI629" s="570"/>
      <c r="BJ629" s="570"/>
      <c r="BK629" s="570"/>
      <c r="BL629" s="570"/>
      <c r="BM629" s="570"/>
      <c r="BN629" s="570"/>
      <c r="BO629" s="570"/>
      <c r="BP629" s="570"/>
      <c r="BQ629" s="570"/>
      <c r="BR629" s="570"/>
    </row>
    <row r="630" spans="2:70" outlineLevel="1">
      <c r="B630" s="1075"/>
      <c r="C630" s="9" t="s">
        <v>549</v>
      </c>
      <c r="D630" s="7" t="s">
        <v>85</v>
      </c>
      <c r="E630" s="572"/>
      <c r="F630" s="572"/>
      <c r="G630" s="572"/>
      <c r="H630" s="572"/>
      <c r="I630" s="572"/>
      <c r="J630" s="572"/>
      <c r="K630" s="572"/>
      <c r="L630" s="572"/>
      <c r="M630" s="572"/>
      <c r="N630" s="573"/>
      <c r="O630" s="572"/>
      <c r="P630" s="574"/>
      <c r="Q630" s="574"/>
      <c r="R630" s="574"/>
      <c r="S630" s="574"/>
      <c r="T630" s="574"/>
      <c r="U630" s="574"/>
      <c r="V630" s="574"/>
      <c r="W630" s="574"/>
      <c r="X630" s="574"/>
      <c r="Y630" s="575"/>
      <c r="Z630" s="576"/>
      <c r="AA630" s="574"/>
      <c r="AB630" s="575"/>
      <c r="AC630" s="576"/>
      <c r="AD630" s="576"/>
      <c r="AE630" s="575"/>
      <c r="AF630" s="662">
        <f>+AF633*AF625</f>
        <v>-95.2</v>
      </c>
      <c r="AG630" s="1002">
        <f>+AG633*AG625</f>
        <v>-97.417157894736917</v>
      </c>
      <c r="AH630" s="26">
        <f>AF630+AG630</f>
        <v>-192.61715789473692</v>
      </c>
      <c r="AI630" s="19">
        <f>+AI633*AI625</f>
        <v>-96.152000000000001</v>
      </c>
      <c r="AJ630" s="19">
        <f>+AJ633*AJ625</f>
        <v>-98.39132947368428</v>
      </c>
      <c r="AK630" s="26">
        <f>AI630+AJ630</f>
        <v>-194.54332947368428</v>
      </c>
      <c r="AL630" s="19">
        <f>+AL633*AL625</f>
        <v>-97.113519999999994</v>
      </c>
      <c r="AM630" s="19">
        <f>+AM633*AM625</f>
        <v>-99.375242768421131</v>
      </c>
      <c r="AN630" s="26">
        <f>AL630+AM630</f>
        <v>-196.48876276842111</v>
      </c>
      <c r="AO630" s="19">
        <f>+AO633*AO625</f>
        <v>-98.084655199999986</v>
      </c>
      <c r="AP630" s="19">
        <f>+AP633*AP625</f>
        <v>-100.36899519610535</v>
      </c>
      <c r="AQ630" s="26">
        <f>AO630+AP630</f>
        <v>-198.45365039610533</v>
      </c>
      <c r="AR630" s="19">
        <f>+AR633*AR625</f>
        <v>-99.065501751999989</v>
      </c>
      <c r="AS630" s="19">
        <f>+AS633*AS625</f>
        <v>-101.3726851480664</v>
      </c>
      <c r="AT630" s="26">
        <f>AR630+AS630</f>
        <v>-200.4381869000664</v>
      </c>
      <c r="AU630" s="19">
        <f>+AU633*AU625</f>
        <v>-100.05615676951999</v>
      </c>
      <c r="AV630" s="19">
        <f>+AV633*AV625</f>
        <v>-102.38641199954705</v>
      </c>
      <c r="AW630" s="26">
        <f>AU630+AV630</f>
        <v>-202.44256876906704</v>
      </c>
      <c r="AX630" s="19">
        <f>+AX633*AX625</f>
        <v>-101.05671833721519</v>
      </c>
      <c r="AY630" s="19">
        <f>+AY633*AY625</f>
        <v>-103.41027611954252</v>
      </c>
      <c r="AZ630" s="26">
        <f>AX630+AY630</f>
        <v>-204.4669944567577</v>
      </c>
      <c r="BA630" s="19">
        <f>+BA633*BA625</f>
        <v>-102.06728552058735</v>
      </c>
      <c r="BB630" s="19">
        <f>+BB633*BB625</f>
        <v>-104.44437888073794</v>
      </c>
      <c r="BC630" s="26">
        <f>BA630+BB630</f>
        <v>-206.51166440132528</v>
      </c>
      <c r="BD630" s="19">
        <f>+BD633*BD625</f>
        <v>-103.08795837579322</v>
      </c>
      <c r="BE630" s="19">
        <f>+BE633*BE625</f>
        <v>-105.48882266954531</v>
      </c>
      <c r="BF630" s="26">
        <f>BD630+BE630</f>
        <v>-208.57678104533852</v>
      </c>
      <c r="BG630" s="19">
        <f>+BG633*BG625</f>
        <v>-104.11883795955116</v>
      </c>
      <c r="BH630" s="19">
        <f>+BH633*BH625</f>
        <v>-106.54371089624078</v>
      </c>
      <c r="BI630" s="26">
        <f>BG630+BH630</f>
        <v>-210.66254885579195</v>
      </c>
      <c r="BJ630" s="19">
        <f>+BJ633*BJ625</f>
        <v>-105.16002633914667</v>
      </c>
      <c r="BK630" s="19">
        <f>+BK633*BK625</f>
        <v>-107.60914800520318</v>
      </c>
      <c r="BL630" s="26">
        <f>BJ630+BK630</f>
        <v>-212.76917434434984</v>
      </c>
      <c r="BM630" s="19">
        <f>+BM633*BM625</f>
        <v>-106.21162660253815</v>
      </c>
      <c r="BN630" s="19">
        <f>+BN633*BN625</f>
        <v>-108.68523948525522</v>
      </c>
      <c r="BO630" s="26">
        <f>BM630+BN630</f>
        <v>-214.89686608779337</v>
      </c>
      <c r="BP630" s="19">
        <f>+BP633*BP625</f>
        <v>-107.27374286856353</v>
      </c>
      <c r="BQ630" s="19">
        <f>+BQ633*BQ625</f>
        <v>-109.77209188010778</v>
      </c>
      <c r="BR630" s="26">
        <f>BP630+BQ630</f>
        <v>-217.04583474867133</v>
      </c>
    </row>
    <row r="631" spans="2:70" outlineLevel="1">
      <c r="B631" s="1075"/>
      <c r="C631" s="9" t="s">
        <v>550</v>
      </c>
      <c r="D631" s="7" t="s">
        <v>85</v>
      </c>
      <c r="E631" s="572"/>
      <c r="F631" s="572"/>
      <c r="G631" s="572"/>
      <c r="H631" s="572"/>
      <c r="I631" s="572"/>
      <c r="J631" s="572"/>
      <c r="K631" s="572"/>
      <c r="L631" s="572"/>
      <c r="M631" s="572"/>
      <c r="N631" s="573"/>
      <c r="O631" s="572"/>
      <c r="P631" s="574"/>
      <c r="Q631" s="574"/>
      <c r="R631" s="574"/>
      <c r="S631" s="574"/>
      <c r="T631" s="574"/>
      <c r="U631" s="574"/>
      <c r="V631" s="574"/>
      <c r="W631" s="574"/>
      <c r="X631" s="574"/>
      <c r="Y631" s="575"/>
      <c r="Z631" s="576"/>
      <c r="AA631" s="574"/>
      <c r="AB631" s="575"/>
      <c r="AC631" s="576"/>
      <c r="AD631" s="576"/>
      <c r="AE631" s="575"/>
      <c r="AF631" s="909">
        <v>0</v>
      </c>
      <c r="AG631" s="1003">
        <v>0</v>
      </c>
      <c r="AH631" s="347">
        <f>AF631+AG631</f>
        <v>0</v>
      </c>
      <c r="AI631" s="405">
        <v>0</v>
      </c>
      <c r="AJ631" s="405">
        <v>0</v>
      </c>
      <c r="AK631" s="171">
        <f>AI631+AJ631</f>
        <v>0</v>
      </c>
      <c r="AL631" s="405">
        <v>0</v>
      </c>
      <c r="AM631" s="405">
        <v>0</v>
      </c>
      <c r="AN631" s="171">
        <f>AL631+AM631</f>
        <v>0</v>
      </c>
      <c r="AO631" s="405">
        <v>0</v>
      </c>
      <c r="AP631" s="405">
        <v>0</v>
      </c>
      <c r="AQ631" s="171">
        <f>AO631+AP631</f>
        <v>0</v>
      </c>
      <c r="AR631" s="405">
        <v>0</v>
      </c>
      <c r="AS631" s="405">
        <v>0</v>
      </c>
      <c r="AT631" s="171">
        <f>AR631+AS631</f>
        <v>0</v>
      </c>
      <c r="AU631" s="405">
        <v>0</v>
      </c>
      <c r="AV631" s="405">
        <v>0</v>
      </c>
      <c r="AW631" s="171">
        <f>AU631+AV631</f>
        <v>0</v>
      </c>
      <c r="AX631" s="405">
        <v>0</v>
      </c>
      <c r="AY631" s="405">
        <v>0</v>
      </c>
      <c r="AZ631" s="171">
        <f>AX631+AY631</f>
        <v>0</v>
      </c>
      <c r="BA631" s="405">
        <v>0</v>
      </c>
      <c r="BB631" s="405">
        <v>0</v>
      </c>
      <c r="BC631" s="171">
        <f>BA631+BB631</f>
        <v>0</v>
      </c>
      <c r="BD631" s="405">
        <v>0</v>
      </c>
      <c r="BE631" s="405">
        <v>0</v>
      </c>
      <c r="BF631" s="171">
        <f>BD631+BE631</f>
        <v>0</v>
      </c>
      <c r="BG631" s="405">
        <v>0</v>
      </c>
      <c r="BH631" s="405">
        <v>0</v>
      </c>
      <c r="BI631" s="171">
        <f>BG631+BH631</f>
        <v>0</v>
      </c>
      <c r="BJ631" s="405">
        <v>0</v>
      </c>
      <c r="BK631" s="405">
        <v>0</v>
      </c>
      <c r="BL631" s="171">
        <f>BJ631+BK631</f>
        <v>0</v>
      </c>
      <c r="BM631" s="405">
        <v>0</v>
      </c>
      <c r="BN631" s="405">
        <v>0</v>
      </c>
      <c r="BO631" s="171">
        <f>BM631+BN631</f>
        <v>0</v>
      </c>
      <c r="BP631" s="405">
        <v>0</v>
      </c>
      <c r="BQ631" s="405">
        <v>0</v>
      </c>
      <c r="BR631" s="171">
        <f>BP631+BQ631</f>
        <v>0</v>
      </c>
    </row>
    <row r="632" spans="2:70" outlineLevel="1">
      <c r="B632" s="1075"/>
      <c r="C632" s="6" t="s">
        <v>548</v>
      </c>
      <c r="D632" s="7" t="s">
        <v>85</v>
      </c>
      <c r="E632" s="119">
        <v>-22.6</v>
      </c>
      <c r="F632" s="18">
        <f>G632-E632</f>
        <v>-45.4</v>
      </c>
      <c r="G632" s="337">
        <v>-68</v>
      </c>
      <c r="H632" s="119">
        <v>-23.6</v>
      </c>
      <c r="I632" s="18">
        <f>J632-H632</f>
        <v>-48.999999999999993</v>
      </c>
      <c r="J632" s="337">
        <v>-72.599999999999994</v>
      </c>
      <c r="K632" s="119">
        <v>-48.2</v>
      </c>
      <c r="L632" s="18">
        <f>M632-K632</f>
        <v>-34.299999999999997</v>
      </c>
      <c r="M632" s="337">
        <v>-82.5</v>
      </c>
      <c r="N632" s="119">
        <v>-38.700000000000003</v>
      </c>
      <c r="O632" s="18">
        <f>P632-N632</f>
        <v>-73.099999999999994</v>
      </c>
      <c r="P632" s="337">
        <v>-111.8</v>
      </c>
      <c r="Q632" s="337">
        <v>-57.9</v>
      </c>
      <c r="R632" s="18">
        <f>S632-Q632</f>
        <v>-74.5</v>
      </c>
      <c r="S632" s="337">
        <v>-132.4</v>
      </c>
      <c r="T632" s="337">
        <v>-76.3</v>
      </c>
      <c r="U632" s="18">
        <f>V632-T632</f>
        <v>-65.000000000000014</v>
      </c>
      <c r="V632" s="337">
        <v>-141.30000000000001</v>
      </c>
      <c r="W632" s="337">
        <v>-59.2</v>
      </c>
      <c r="X632" s="18">
        <f>Y632-W632</f>
        <v>-78.600000000000009</v>
      </c>
      <c r="Y632" s="337">
        <v>-137.80000000000001</v>
      </c>
      <c r="Z632" s="337">
        <v>-91.5</v>
      </c>
      <c r="AA632" s="18">
        <f>AB632-Z632</f>
        <v>-102.4</v>
      </c>
      <c r="AB632" s="337">
        <v>-193.9</v>
      </c>
      <c r="AC632" s="337">
        <v>-96.1</v>
      </c>
      <c r="AD632" s="18">
        <f>AE632-AC632</f>
        <v>-105.30000000000001</v>
      </c>
      <c r="AE632" s="25">
        <v>-201.4</v>
      </c>
      <c r="AF632" s="25">
        <v>-95.2</v>
      </c>
      <c r="AG632" s="943">
        <f>AG630+AG631</f>
        <v>-97.417157894736917</v>
      </c>
      <c r="AH632" s="26">
        <f>AF632+AG632</f>
        <v>-192.61715789473692</v>
      </c>
      <c r="AI632" s="19">
        <f>AI630+AI631</f>
        <v>-96.152000000000001</v>
      </c>
      <c r="AJ632" s="19">
        <f>AJ630+AJ631</f>
        <v>-98.39132947368428</v>
      </c>
      <c r="AK632" s="26">
        <f>AI632+AJ632</f>
        <v>-194.54332947368428</v>
      </c>
      <c r="AL632" s="19">
        <f>AL630+AL631</f>
        <v>-97.113519999999994</v>
      </c>
      <c r="AM632" s="19">
        <f>AM630+AM631</f>
        <v>-99.375242768421131</v>
      </c>
      <c r="AN632" s="26">
        <f>AL632+AM632</f>
        <v>-196.48876276842111</v>
      </c>
      <c r="AO632" s="19">
        <f>AO630+AO631</f>
        <v>-98.084655199999986</v>
      </c>
      <c r="AP632" s="19">
        <f>AP630+AP631</f>
        <v>-100.36899519610535</v>
      </c>
      <c r="AQ632" s="26">
        <f>AO632+AP632</f>
        <v>-198.45365039610533</v>
      </c>
      <c r="AR632" s="19">
        <f>AR630+AR631</f>
        <v>-99.065501751999989</v>
      </c>
      <c r="AS632" s="19">
        <f>AS630+AS631</f>
        <v>-101.3726851480664</v>
      </c>
      <c r="AT632" s="26">
        <f>AR632+AS632</f>
        <v>-200.4381869000664</v>
      </c>
      <c r="AU632" s="19">
        <f>AU630+AU631</f>
        <v>-100.05615676951999</v>
      </c>
      <c r="AV632" s="19">
        <f>AV630+AV631</f>
        <v>-102.38641199954705</v>
      </c>
      <c r="AW632" s="26">
        <f>AU632+AV632</f>
        <v>-202.44256876906704</v>
      </c>
      <c r="AX632" s="19">
        <f>AX630+AX631</f>
        <v>-101.05671833721519</v>
      </c>
      <c r="AY632" s="19">
        <f>AY630+AY631</f>
        <v>-103.41027611954252</v>
      </c>
      <c r="AZ632" s="26">
        <f>AX632+AY632</f>
        <v>-204.4669944567577</v>
      </c>
      <c r="BA632" s="19">
        <f>BA630+BA631</f>
        <v>-102.06728552058735</v>
      </c>
      <c r="BB632" s="19">
        <f>BB630+BB631</f>
        <v>-104.44437888073794</v>
      </c>
      <c r="BC632" s="26">
        <f>BA632+BB632</f>
        <v>-206.51166440132528</v>
      </c>
      <c r="BD632" s="19">
        <f>BD630+BD631</f>
        <v>-103.08795837579322</v>
      </c>
      <c r="BE632" s="19">
        <f>BE630+BE631</f>
        <v>-105.48882266954531</v>
      </c>
      <c r="BF632" s="26">
        <f>BD632+BE632</f>
        <v>-208.57678104533852</v>
      </c>
      <c r="BG632" s="19">
        <f>BG630+BG631</f>
        <v>-104.11883795955116</v>
      </c>
      <c r="BH632" s="19">
        <f>BH630+BH631</f>
        <v>-106.54371089624078</v>
      </c>
      <c r="BI632" s="26">
        <f>BG632+BH632</f>
        <v>-210.66254885579195</v>
      </c>
      <c r="BJ632" s="19">
        <f>BJ630+BJ631</f>
        <v>-105.16002633914667</v>
      </c>
      <c r="BK632" s="19">
        <f>BK630+BK631</f>
        <v>-107.60914800520318</v>
      </c>
      <c r="BL632" s="26">
        <f>BJ632+BK632</f>
        <v>-212.76917434434984</v>
      </c>
      <c r="BM632" s="19">
        <f>BM630+BM631</f>
        <v>-106.21162660253815</v>
      </c>
      <c r="BN632" s="19">
        <f>BN630+BN631</f>
        <v>-108.68523948525522</v>
      </c>
      <c r="BO632" s="26">
        <f>BM632+BN632</f>
        <v>-214.89686608779337</v>
      </c>
      <c r="BP632" s="19">
        <f>BP630+BP631</f>
        <v>-107.27374286856353</v>
      </c>
      <c r="BQ632" s="19">
        <f>BQ630+BQ631</f>
        <v>-109.77209188010778</v>
      </c>
      <c r="BR632" s="26">
        <f>BP632+BQ632</f>
        <v>-217.04583474867133</v>
      </c>
    </row>
    <row r="633" spans="2:70" outlineLevel="1">
      <c r="B633" s="1075"/>
      <c r="C633" s="9" t="s">
        <v>578</v>
      </c>
      <c r="D633" s="7" t="s">
        <v>66</v>
      </c>
      <c r="E633" s="119"/>
      <c r="F633" s="18"/>
      <c r="G633" s="399">
        <f t="shared" ref="G633:AE633" si="1945">+G632/G625</f>
        <v>0.97841726618705038</v>
      </c>
      <c r="H633" s="399">
        <f t="shared" si="1945"/>
        <v>0.66855524079320094</v>
      </c>
      <c r="I633" s="399">
        <f t="shared" si="1945"/>
        <v>0.69800569800569801</v>
      </c>
      <c r="J633" s="399">
        <f t="shared" si="1945"/>
        <v>0.68815165876777251</v>
      </c>
      <c r="K633" s="399">
        <f t="shared" si="1945"/>
        <v>0.58708891595615109</v>
      </c>
      <c r="L633" s="399">
        <f t="shared" si="1945"/>
        <v>0.43638676844783714</v>
      </c>
      <c r="M633" s="399">
        <f t="shared" si="1945"/>
        <v>0.51337896701929064</v>
      </c>
      <c r="N633" s="399">
        <f t="shared" si="1945"/>
        <v>0.47252747252747235</v>
      </c>
      <c r="O633" s="399">
        <f t="shared" si="1945"/>
        <v>0.92065491183879178</v>
      </c>
      <c r="P633" s="399">
        <f t="shared" si="1945"/>
        <v>0.69311841289522647</v>
      </c>
      <c r="Q633" s="399">
        <f t="shared" si="1945"/>
        <v>0.69258373205741608</v>
      </c>
      <c r="R633" s="399">
        <f t="shared" si="1945"/>
        <v>0.88479809976246981</v>
      </c>
      <c r="S633" s="399">
        <f t="shared" si="1945"/>
        <v>0.78903456495828339</v>
      </c>
      <c r="T633" s="399">
        <f t="shared" si="1945"/>
        <v>0.90082644628099118</v>
      </c>
      <c r="U633" s="399">
        <f t="shared" si="1945"/>
        <v>0.78313253012048312</v>
      </c>
      <c r="V633" s="399">
        <f t="shared" si="1945"/>
        <v>0.84257602862254066</v>
      </c>
      <c r="W633" s="399">
        <f t="shared" si="1945"/>
        <v>0.61730969760166821</v>
      </c>
      <c r="X633" s="399">
        <f t="shared" si="1945"/>
        <v>0.96205630354957183</v>
      </c>
      <c r="Y633" s="399">
        <f t="shared" si="1945"/>
        <v>0.77590090090090091</v>
      </c>
      <c r="Z633" s="399">
        <f t="shared" si="1945"/>
        <v>0.97030752916224805</v>
      </c>
      <c r="AA633" s="399">
        <f t="shared" si="1945"/>
        <v>1.0870488322717624</v>
      </c>
      <c r="AB633" s="399">
        <f t="shared" si="1945"/>
        <v>1.0286472148541115</v>
      </c>
      <c r="AC633" s="399">
        <f t="shared" si="1945"/>
        <v>0.94493608652900696</v>
      </c>
      <c r="AD633" s="399">
        <f t="shared" si="1945"/>
        <v>1.0519480519480513</v>
      </c>
      <c r="AE633" s="464">
        <f t="shared" si="1945"/>
        <v>0.99801783944499478</v>
      </c>
      <c r="AF633" s="387">
        <f t="shared" ref="AF633" si="1946">+AF632/AF625</f>
        <v>0.96356275303643713</v>
      </c>
      <c r="AG633" s="985">
        <f>+AF633</f>
        <v>0.96356275303643713</v>
      </c>
      <c r="AH633" s="399">
        <f>+AH632/AH625</f>
        <v>0.96356275303643713</v>
      </c>
      <c r="AI633" s="403">
        <f>+AG633</f>
        <v>0.96356275303643713</v>
      </c>
      <c r="AJ633" s="432">
        <f>+AI633</f>
        <v>0.96356275303643713</v>
      </c>
      <c r="AK633" s="464">
        <f>+AK632/AK625</f>
        <v>0.96356275303643713</v>
      </c>
      <c r="AL633" s="403">
        <f>+AJ633</f>
        <v>0.96356275303643713</v>
      </c>
      <c r="AM633" s="432">
        <f>+AL633</f>
        <v>0.96356275303643713</v>
      </c>
      <c r="AN633" s="464">
        <f>+AN632/AN625</f>
        <v>0.96356275303643713</v>
      </c>
      <c r="AO633" s="403">
        <f>+AM633</f>
        <v>0.96356275303643713</v>
      </c>
      <c r="AP633" s="432">
        <f>+AO633</f>
        <v>0.96356275303643713</v>
      </c>
      <c r="AQ633" s="464">
        <f>+AQ632/AQ625</f>
        <v>0.96356275303643713</v>
      </c>
      <c r="AR633" s="403">
        <f>+AP633</f>
        <v>0.96356275303643713</v>
      </c>
      <c r="AS633" s="432">
        <f>+AR633</f>
        <v>0.96356275303643713</v>
      </c>
      <c r="AT633" s="464">
        <f>+AT632/AT625</f>
        <v>0.96356275303643724</v>
      </c>
      <c r="AU633" s="403">
        <f>+AS633</f>
        <v>0.96356275303643713</v>
      </c>
      <c r="AV633" s="432">
        <f>+AU633</f>
        <v>0.96356275303643713</v>
      </c>
      <c r="AW633" s="464">
        <f>+AW632/AW625</f>
        <v>0.96356275303643701</v>
      </c>
      <c r="AX633" s="403">
        <f>+AV633</f>
        <v>0.96356275303643713</v>
      </c>
      <c r="AY633" s="432">
        <f>+AX633</f>
        <v>0.96356275303643713</v>
      </c>
      <c r="AZ633" s="464">
        <f>+AZ632/AZ625</f>
        <v>0.96356275303643713</v>
      </c>
      <c r="BA633" s="403">
        <f>+AY633</f>
        <v>0.96356275303643713</v>
      </c>
      <c r="BB633" s="432">
        <f>+BA633</f>
        <v>0.96356275303643713</v>
      </c>
      <c r="BC633" s="464">
        <f>+BC632/BC625</f>
        <v>0.96356275303643713</v>
      </c>
      <c r="BD633" s="403">
        <f>+BB633</f>
        <v>0.96356275303643713</v>
      </c>
      <c r="BE633" s="432">
        <f>+BD633</f>
        <v>0.96356275303643713</v>
      </c>
      <c r="BF633" s="464">
        <f>+BF632/BF625</f>
        <v>0.96356275303643713</v>
      </c>
      <c r="BG633" s="403">
        <f>+BE633</f>
        <v>0.96356275303643713</v>
      </c>
      <c r="BH633" s="432">
        <f>+BG633</f>
        <v>0.96356275303643713</v>
      </c>
      <c r="BI633" s="464">
        <f>+BI632/BI625</f>
        <v>0.96356275303643724</v>
      </c>
      <c r="BJ633" s="403">
        <f>+BH633</f>
        <v>0.96356275303643713</v>
      </c>
      <c r="BK633" s="432">
        <f>+BJ633</f>
        <v>0.96356275303643713</v>
      </c>
      <c r="BL633" s="464">
        <f>+BL632/BL625</f>
        <v>0.96356275303643713</v>
      </c>
      <c r="BM633" s="403">
        <f>+BK633</f>
        <v>0.96356275303643713</v>
      </c>
      <c r="BN633" s="432">
        <f>+BM633</f>
        <v>0.96356275303643713</v>
      </c>
      <c r="BO633" s="464">
        <f>+BO632/BO625</f>
        <v>0.96356275303643713</v>
      </c>
      <c r="BP633" s="403">
        <f>+BN633</f>
        <v>0.96356275303643713</v>
      </c>
      <c r="BQ633" s="432">
        <f>+BP633</f>
        <v>0.96356275303643713</v>
      </c>
      <c r="BR633" s="464">
        <f>+BR632/BR625</f>
        <v>0.96356275303643724</v>
      </c>
    </row>
    <row r="634" spans="2:70" outlineLevel="1">
      <c r="B634" s="1075"/>
      <c r="C634" s="9" t="s">
        <v>577</v>
      </c>
      <c r="D634" s="7" t="s">
        <v>66</v>
      </c>
      <c r="E634" s="119"/>
      <c r="F634" s="18"/>
      <c r="G634" s="47">
        <f t="shared" ref="G634:AM634" si="1947">-G632/G623</f>
        <v>3.7694013303769404E-2</v>
      </c>
      <c r="H634" s="47">
        <f t="shared" si="1947"/>
        <v>2.715765247410817E-2</v>
      </c>
      <c r="I634" s="47">
        <f t="shared" si="1947"/>
        <v>2.5257731958762884E-2</v>
      </c>
      <c r="J634" s="47">
        <f t="shared" si="1947"/>
        <v>2.5845496618013525E-2</v>
      </c>
      <c r="K634" s="47">
        <f t="shared" si="1947"/>
        <v>2.1441281138790038E-2</v>
      </c>
      <c r="L634" s="47">
        <f t="shared" si="1947"/>
        <v>1.4727350794332331E-2</v>
      </c>
      <c r="M634" s="47">
        <f t="shared" si="1947"/>
        <v>1.8024907144417741E-2</v>
      </c>
      <c r="N634" s="47">
        <f t="shared" si="1947"/>
        <v>1.7033450704225354E-2</v>
      </c>
      <c r="O634" s="47">
        <f t="shared" si="1947"/>
        <v>3.0319369556200744E-2</v>
      </c>
      <c r="P634" s="47">
        <f t="shared" si="1947"/>
        <v>2.3873585308562886E-2</v>
      </c>
      <c r="Q634" s="47">
        <f t="shared" si="1947"/>
        <v>2.2849250197316495E-2</v>
      </c>
      <c r="R634" s="47">
        <f t="shared" si="1947"/>
        <v>2.9181355268311789E-2</v>
      </c>
      <c r="S634" s="47">
        <f t="shared" si="1947"/>
        <v>2.6027127973265188E-2</v>
      </c>
      <c r="T634" s="47">
        <f t="shared" si="1947"/>
        <v>3.0928252938792054E-2</v>
      </c>
      <c r="U634" s="47">
        <f t="shared" si="1947"/>
        <v>2.570185844207197E-2</v>
      </c>
      <c r="V634" s="47">
        <f t="shared" si="1947"/>
        <v>2.8282626100880708E-2</v>
      </c>
      <c r="W634" s="47">
        <f t="shared" si="1947"/>
        <v>2.3482744942483143E-2</v>
      </c>
      <c r="X634" s="47">
        <f t="shared" si="1947"/>
        <v>2.8992991516045744E-2</v>
      </c>
      <c r="Y634" s="47">
        <f t="shared" si="1947"/>
        <v>2.6337920489296639E-2</v>
      </c>
      <c r="Z634" s="47">
        <f t="shared" si="1947"/>
        <v>3.3813747228381374E-2</v>
      </c>
      <c r="AA634" s="47">
        <f t="shared" si="1947"/>
        <v>3.7101449275362318E-2</v>
      </c>
      <c r="AB634" s="47">
        <f t="shared" si="1947"/>
        <v>3.547383827296012E-2</v>
      </c>
      <c r="AC634" s="47">
        <f t="shared" si="1947"/>
        <v>3.4102200141944643E-2</v>
      </c>
      <c r="AD634" s="47">
        <f t="shared" si="1947"/>
        <v>3.6335403726708078E-2</v>
      </c>
      <c r="AE634" s="386">
        <f t="shared" si="1947"/>
        <v>3.5234429671098674E-2</v>
      </c>
      <c r="AF634" s="386">
        <f t="shared" ref="AF634" si="1948">-AF632/AF623</f>
        <v>3.5363286789356831E-2</v>
      </c>
      <c r="AG634" s="977">
        <f t="shared" si="1947"/>
        <v>3.4598927339243114E-2</v>
      </c>
      <c r="AH634" s="47">
        <f>-AH632/AH623</f>
        <v>3.4972533552070188E-2</v>
      </c>
      <c r="AI634" s="47">
        <f>-AI632/AI623</f>
        <v>3.4855863591591353E-2</v>
      </c>
      <c r="AJ634" s="47">
        <f t="shared" si="1947"/>
        <v>3.4982418079607815E-2</v>
      </c>
      <c r="AK634" s="386">
        <f>-AK632/AK623</f>
        <v>3.4919754548452753E-2</v>
      </c>
      <c r="AL634" s="47">
        <f>-AL632/AL623</f>
        <v>3.556616345772564E-2</v>
      </c>
      <c r="AM634" s="47">
        <f t="shared" si="1947"/>
        <v>3.4847448342459411E-2</v>
      </c>
      <c r="AN634" s="386">
        <f>-AN632/AN623</f>
        <v>3.5199002380844759E-2</v>
      </c>
      <c r="AO634" s="47">
        <f>-AO632/AO623</f>
        <v>3.5313820595010134E-2</v>
      </c>
      <c r="AP634" s="47">
        <f t="shared" ref="AP634" si="1949">-AP632/AP623</f>
        <v>3.4663052763922023E-2</v>
      </c>
      <c r="AQ634" s="386">
        <f>-AQ632/AQ623</f>
        <v>3.4981666017380848E-2</v>
      </c>
      <c r="AR634" s="47">
        <f>-AR632/AR623</f>
        <v>3.5086251500129416E-2</v>
      </c>
      <c r="AS634" s="47">
        <f t="shared" ref="AS634" si="1950">-AS632/AS623</f>
        <v>3.4423495292780729E-2</v>
      </c>
      <c r="AT634" s="386">
        <f>-AT632/AT623</f>
        <v>3.4747900170018296E-2</v>
      </c>
      <c r="AU634" s="47">
        <f>-AU632/AU623</f>
        <v>3.4850994103892086E-2</v>
      </c>
      <c r="AV634" s="47">
        <f t="shared" ref="AV634" si="1951">-AV632/AV623</f>
        <v>3.4177071903740371E-2</v>
      </c>
      <c r="AW634" s="386">
        <f>-AW632/AW623</f>
        <v>3.4506865394876754E-2</v>
      </c>
      <c r="AX634" s="47">
        <f>-AX632/AX623</f>
        <v>3.4608218291836509E-2</v>
      </c>
      <c r="AY634" s="47">
        <f t="shared" ref="AY634" si="1952">-AY632/AY623</f>
        <v>3.3923942978855821E-2</v>
      </c>
      <c r="AZ634" s="386">
        <f>-AZ632/AZ623</f>
        <v>3.4258727084277282E-2</v>
      </c>
      <c r="BA634" s="47">
        <f>-BA632/BA623</f>
        <v>3.4358098279362662E-2</v>
      </c>
      <c r="BB634" s="47">
        <f t="shared" ref="BB634" si="1953">-BB632/BB623</f>
        <v>3.3664272323267519E-2</v>
      </c>
      <c r="BC634" s="386">
        <f>-BC632/BC623</f>
        <v>3.4003654474014974E-2</v>
      </c>
      <c r="BD634" s="47">
        <f>-BD632/BD623</f>
        <v>3.4100812453159011E-2</v>
      </c>
      <c r="BE634" s="47">
        <f t="shared" ref="BE634" si="1954">-BE632/BE623</f>
        <v>3.3398227052872237E-2</v>
      </c>
      <c r="BF634" s="386">
        <f>-BF632/BF623</f>
        <v>3.3741820508642106E-2</v>
      </c>
      <c r="BG634" s="47">
        <f>-BG632/BG623</f>
        <v>3.3836543210900627E-2</v>
      </c>
      <c r="BH634" s="47">
        <f t="shared" ref="BH634" si="1955">-BH632/BH623</f>
        <v>3.3125977480456661E-2</v>
      </c>
      <c r="BI634" s="386">
        <f>-BI632/BI623</f>
        <v>3.3473401705197976E-2</v>
      </c>
      <c r="BJ634" s="47">
        <f>-BJ632/BJ623</f>
        <v>3.356547679907388E-2</v>
      </c>
      <c r="BK634" s="47">
        <f t="shared" ref="BK634" si="1956">-BK632/BK623</f>
        <v>3.2847697000036209E-2</v>
      </c>
      <c r="BL634" s="386">
        <f>-BL632/BL623</f>
        <v>3.3198578015176956E-2</v>
      </c>
      <c r="BM634" s="47">
        <f>-BM632/BM623</f>
        <v>3.3287803148778043E-2</v>
      </c>
      <c r="BN634" s="47">
        <f t="shared" ref="BN634" si="1957">-BN632/BN623</f>
        <v>3.2563561969143014E-2</v>
      </c>
      <c r="BO634" s="386">
        <f>-BO632/BO623</f>
        <v>3.2917532684524596E-2</v>
      </c>
      <c r="BP634" s="47">
        <f>-BP632/BP623</f>
        <v>3.3003715709352545E-2</v>
      </c>
      <c r="BQ634" s="47">
        <f t="shared" ref="BQ634" si="1958">-BQ632/BQ623</f>
        <v>3.2273751588810559E-2</v>
      </c>
      <c r="BR634" s="386">
        <f>-BR632/BR623</f>
        <v>3.2630452111452421E-2</v>
      </c>
    </row>
    <row r="635" spans="2:70" outlineLevel="1">
      <c r="B635" s="5" t="s">
        <v>581</v>
      </c>
    </row>
    <row r="636" spans="2:70" outlineLevel="1">
      <c r="C636" s="467" t="s">
        <v>615</v>
      </c>
      <c r="D636" s="96" t="s">
        <v>85</v>
      </c>
      <c r="E636" s="344">
        <v>654</v>
      </c>
      <c r="F636" s="344">
        <v>620</v>
      </c>
      <c r="G636" s="462">
        <f>SUM(E636:F636)</f>
        <v>1274</v>
      </c>
      <c r="H636" s="344">
        <v>589</v>
      </c>
      <c r="I636" s="344">
        <v>1360</v>
      </c>
      <c r="J636" s="462">
        <f>SUM(H636:I636)</f>
        <v>1949</v>
      </c>
      <c r="K636" s="344">
        <v>1552</v>
      </c>
      <c r="L636" s="344">
        <v>1604</v>
      </c>
      <c r="M636" s="462">
        <f>SUM(K636:L636)</f>
        <v>3156</v>
      </c>
      <c r="N636" s="344">
        <v>1492</v>
      </c>
      <c r="O636" s="344">
        <v>1558</v>
      </c>
      <c r="P636" s="462">
        <f>SUM(N636:O636)</f>
        <v>3050</v>
      </c>
      <c r="Q636" s="344">
        <v>1503</v>
      </c>
      <c r="R636" s="344">
        <v>1563</v>
      </c>
      <c r="S636" s="64">
        <f>SUM(Q636:R636)</f>
        <v>3066</v>
      </c>
      <c r="T636" s="344">
        <v>1475</v>
      </c>
      <c r="U636" s="344">
        <v>1556</v>
      </c>
      <c r="V636" s="64">
        <f>SUM(T636:U636)</f>
        <v>3031</v>
      </c>
      <c r="W636" s="344">
        <v>1231</v>
      </c>
      <c r="X636" s="344">
        <v>1341</v>
      </c>
      <c r="Y636" s="64">
        <f>SUM(W636:X636)</f>
        <v>2572</v>
      </c>
      <c r="Z636" s="344">
        <v>1386</v>
      </c>
      <c r="AA636" s="344">
        <v>1399</v>
      </c>
      <c r="AB636" s="64">
        <f>SUM(Z636:AA636)</f>
        <v>2785</v>
      </c>
      <c r="AC636" s="460">
        <v>1340</v>
      </c>
      <c r="AD636" s="460">
        <v>1422</v>
      </c>
      <c r="AE636" s="468">
        <f>AC636+AD636</f>
        <v>2762</v>
      </c>
      <c r="AF636" s="910">
        <f>1580/$AF$259</f>
        <v>1343.4778225806451</v>
      </c>
      <c r="AG636" s="1004">
        <f>(AD636*(1+AG638))+AG643</f>
        <v>1465.4982216579072</v>
      </c>
      <c r="AH636" s="470">
        <f>+AG636+AF636</f>
        <v>2808.9760442385523</v>
      </c>
      <c r="AI636" s="470">
        <f>(AF636*(1+AI638))+AI643</f>
        <v>1386.0674890624803</v>
      </c>
      <c r="AJ636" s="470">
        <f>(AG636*(1+AJ638))+AJ643</f>
        <v>1491.7140334263927</v>
      </c>
      <c r="AK636" s="470">
        <f>+AJ636+AI636</f>
        <v>2877.7815224888727</v>
      </c>
      <c r="AL636" s="470">
        <f>(AI636*(1+AL638))+AL643</f>
        <v>1412.4766960858578</v>
      </c>
      <c r="AM636" s="470">
        <f>(AJ636*(1+AM638))+AM643</f>
        <v>1519.941145053398</v>
      </c>
      <c r="AN636" s="470">
        <f>+AM636+AL636</f>
        <v>2932.4178411392559</v>
      </c>
      <c r="AO636" s="470">
        <f>(AL636*(1+AO638))+AO643</f>
        <v>1436.2390984177291</v>
      </c>
      <c r="AP636" s="470">
        <f>(AM636*(1+AP638))+AP643</f>
        <v>1542.6207092910445</v>
      </c>
      <c r="AQ636" s="470">
        <f>+AP636+AO636</f>
        <v>2978.8598077087736</v>
      </c>
      <c r="AR636" s="470">
        <f>(AO636*(1+AR638))+AR643</f>
        <v>1457.8433188938845</v>
      </c>
      <c r="AS636" s="470">
        <f>(AP636*(1+AS638))+AS643</f>
        <v>1565.6878753324647</v>
      </c>
      <c r="AT636" s="470">
        <f>+AS636+AR636</f>
        <v>3023.5311942263493</v>
      </c>
      <c r="AU636" s="470">
        <f>(AR636*(1+AU638))+AU643</f>
        <v>1479.8203931494274</v>
      </c>
      <c r="AV636" s="470">
        <f>(AS636*(1+AV638))+AV643</f>
        <v>1589.1502960221605</v>
      </c>
      <c r="AW636" s="470">
        <f>+AV636+AU636</f>
        <v>3068.9706891715878</v>
      </c>
      <c r="AX636" s="470">
        <f>(AU636*(1+AX638))+AX643</f>
        <v>1502.1777491111859</v>
      </c>
      <c r="AY636" s="470">
        <f>(AV636*(1+AY638))+AY643</f>
        <v>1613.0157940809609</v>
      </c>
      <c r="AZ636" s="470">
        <f>+AY636+AX636</f>
        <v>3115.1935431921465</v>
      </c>
      <c r="BA636" s="470">
        <f>(AX636*(1+BA638))+BA643</f>
        <v>1524.9229806368287</v>
      </c>
      <c r="BB636" s="470">
        <f>(AY636*(1+BB638))+BB643</f>
        <v>1637.2923661736368</v>
      </c>
      <c r="BC636" s="470">
        <f>+BB636+BA636</f>
        <v>3162.2153468104652</v>
      </c>
      <c r="BD636" s="470">
        <f>(BA636*(1+BD638))+BD643</f>
        <v>1548.0638515027231</v>
      </c>
      <c r="BE636" s="470">
        <f>(BB636*(1+BE638))+BE643</f>
        <v>1661.988187078081</v>
      </c>
      <c r="BF636" s="470">
        <f>+BE636+BD636</f>
        <v>3210.052038580804</v>
      </c>
      <c r="BG636" s="470">
        <f>(BD636*(1+BG638))+BG643</f>
        <v>1571.608299491563</v>
      </c>
      <c r="BH636" s="470">
        <f>(BE636*(1+BH638))+BH643</f>
        <v>1687.1116139586479</v>
      </c>
      <c r="BI636" s="470">
        <f>+BH636+BG636</f>
        <v>3258.7199134502107</v>
      </c>
      <c r="BJ636" s="470">
        <f>(BG636*(1+BJ638))+BJ643</f>
        <v>1595.56444058231</v>
      </c>
      <c r="BK636" s="470">
        <f>(BH636*(1+BK638))+BK643</f>
        <v>1712.6711907463082</v>
      </c>
      <c r="BL636" s="470">
        <f>+BK636+BJ636</f>
        <v>3308.2356313286182</v>
      </c>
      <c r="BM636" s="470">
        <f>(BJ636*(1+BM638))+BM643</f>
        <v>1619.9405732450637</v>
      </c>
      <c r="BN636" s="470">
        <f>(BK636*(1+BN638))+BN643</f>
        <v>1738.6756526283443</v>
      </c>
      <c r="BO636" s="470">
        <f>+BN636+BM636</f>
        <v>3358.616225873408</v>
      </c>
      <c r="BP636" s="470">
        <f>(BM636*(1+BP638))+BP643</f>
        <v>1644.7451828435405</v>
      </c>
      <c r="BQ636" s="470">
        <f>(BN636*(1+BQ638))+BQ643</f>
        <v>1765.1339306503851</v>
      </c>
      <c r="BR636" s="470">
        <f>+BQ636+BP636</f>
        <v>3409.8791134939256</v>
      </c>
    </row>
    <row r="637" spans="2:70" outlineLevel="1">
      <c r="C637" s="108" t="s">
        <v>640</v>
      </c>
      <c r="D637" s="7" t="s">
        <v>66</v>
      </c>
      <c r="E637" s="577"/>
      <c r="F637" s="577"/>
      <c r="G637" s="577"/>
      <c r="H637" s="159">
        <f>+H636/E636-1</f>
        <v>-9.9388379204892963E-2</v>
      </c>
      <c r="I637" s="159">
        <f t="shared" ref="I637:AN637" si="1959">+I636/F636-1</f>
        <v>1.193548387096774</v>
      </c>
      <c r="J637" s="159">
        <f t="shared" si="1959"/>
        <v>0.52982731554160134</v>
      </c>
      <c r="K637" s="159">
        <f t="shared" si="1959"/>
        <v>1.6349745331069609</v>
      </c>
      <c r="L637" s="159">
        <f t="shared" si="1959"/>
        <v>0.17941176470588238</v>
      </c>
      <c r="M637" s="159">
        <f t="shared" si="1959"/>
        <v>0.61929194458696757</v>
      </c>
      <c r="N637" s="159">
        <f t="shared" si="1959"/>
        <v>-3.8659793814432963E-2</v>
      </c>
      <c r="O637" s="159">
        <f t="shared" si="1959"/>
        <v>-2.8678304239401542E-2</v>
      </c>
      <c r="P637" s="159">
        <f t="shared" si="1959"/>
        <v>-3.3586818757921466E-2</v>
      </c>
      <c r="Q637" s="159">
        <f t="shared" si="1959"/>
        <v>7.372654155495928E-3</v>
      </c>
      <c r="R637" s="159">
        <f t="shared" si="1959"/>
        <v>3.2092426187420031E-3</v>
      </c>
      <c r="S637" s="159">
        <f t="shared" si="1959"/>
        <v>5.2459016393442415E-3</v>
      </c>
      <c r="T637" s="159">
        <f t="shared" si="1959"/>
        <v>-1.8629407850964785E-2</v>
      </c>
      <c r="U637" s="159">
        <f t="shared" si="1959"/>
        <v>-4.4785668586052596E-3</v>
      </c>
      <c r="V637" s="159">
        <f t="shared" si="1959"/>
        <v>-1.1415525114155223E-2</v>
      </c>
      <c r="W637" s="159">
        <f t="shared" si="1959"/>
        <v>-0.16542372881355927</v>
      </c>
      <c r="X637" s="159">
        <f t="shared" si="1959"/>
        <v>-0.13817480719794339</v>
      </c>
      <c r="Y637" s="159">
        <f t="shared" si="1959"/>
        <v>-0.15143516991092054</v>
      </c>
      <c r="Z637" s="159">
        <f t="shared" si="1959"/>
        <v>0.12591389114541029</v>
      </c>
      <c r="AA637" s="159">
        <f t="shared" si="1959"/>
        <v>4.32513049962715E-2</v>
      </c>
      <c r="AB637" s="159">
        <f t="shared" si="1959"/>
        <v>8.2814930015552068E-2</v>
      </c>
      <c r="AC637" s="159">
        <f t="shared" si="1959"/>
        <v>-3.3189033189033212E-2</v>
      </c>
      <c r="AD637" s="159">
        <f t="shared" si="1959"/>
        <v>1.6440314510364651E-2</v>
      </c>
      <c r="AE637" s="46">
        <f t="shared" si="1959"/>
        <v>-8.2585278276481322E-3</v>
      </c>
      <c r="AF637" s="46">
        <f t="shared" si="1959"/>
        <v>2.5953899855559737E-3</v>
      </c>
      <c r="AG637" s="961">
        <f t="shared" si="1959"/>
        <v>3.0589466707388935E-2</v>
      </c>
      <c r="AH637" s="159">
        <f t="shared" si="1959"/>
        <v>1.700798125943237E-2</v>
      </c>
      <c r="AI637" s="159">
        <f t="shared" si="1959"/>
        <v>3.1701056590592636E-2</v>
      </c>
      <c r="AJ637" s="159">
        <f t="shared" si="1959"/>
        <v>1.7888668427606724E-2</v>
      </c>
      <c r="AK637" s="159">
        <f t="shared" si="1959"/>
        <v>2.4494861175995641E-2</v>
      </c>
      <c r="AL637" s="159">
        <f t="shared" si="1959"/>
        <v>1.9053334149869094E-2</v>
      </c>
      <c r="AM637" s="159">
        <f t="shared" si="1959"/>
        <v>1.8922602452273729E-2</v>
      </c>
      <c r="AN637" s="159">
        <f t="shared" si="1959"/>
        <v>1.8985568648425488E-2</v>
      </c>
      <c r="AO637" s="159">
        <f t="shared" ref="AO637" si="1960">+AO636/AL636-1</f>
        <v>1.6823217259243739E-2</v>
      </c>
      <c r="AP637" s="159">
        <f t="shared" ref="AP637" si="1961">+AP636/AM636-1</f>
        <v>1.4921343705614154E-2</v>
      </c>
      <c r="AQ637" s="159">
        <f t="shared" ref="AQ637" si="1962">+AQ636/AN636-1</f>
        <v>1.5837431459452267E-2</v>
      </c>
      <c r="AR637" s="159">
        <f t="shared" ref="AR637" si="1963">+AR636/AO636-1</f>
        <v>1.5042217204611852E-2</v>
      </c>
      <c r="AS637" s="159">
        <f t="shared" ref="AS637" si="1964">+AS636/AP636-1</f>
        <v>1.4953232445596765E-2</v>
      </c>
      <c r="AT637" s="159">
        <f t="shared" ref="AT637" si="1965">+AT636/AQ636-1</f>
        <v>1.4996135904742358E-2</v>
      </c>
      <c r="AU637" s="159">
        <f t="shared" ref="AU637" si="1966">+AU636/AR636-1</f>
        <v>1.5075059144365133E-2</v>
      </c>
      <c r="AV637" s="159">
        <f t="shared" ref="AV637" si="1967">+AV636/AS636-1</f>
        <v>1.4985375475756069E-2</v>
      </c>
      <c r="AW637" s="159">
        <f t="shared" ref="AW637" si="1968">+AW636/AT636-1</f>
        <v>1.5028617873038108E-2</v>
      </c>
      <c r="AX637" s="159">
        <f t="shared" ref="AX637" si="1969">+AX636/AU636-1</f>
        <v>1.5108155060747919E-2</v>
      </c>
      <c r="AY637" s="159">
        <f t="shared" ref="AY637" si="1970">+AY636/AV636-1</f>
        <v>1.5017772779918115E-2</v>
      </c>
      <c r="AZ637" s="159">
        <f t="shared" ref="AZ637" si="1971">+AZ636/AW636-1</f>
        <v>1.5061354018025996E-2</v>
      </c>
      <c r="BA637" s="159">
        <f t="shared" ref="BA637" si="1972">+BA636/AX636-1</f>
        <v>1.5141504751418955E-2</v>
      </c>
      <c r="BB637" s="159">
        <f t="shared" ref="BB637" si="1973">+BB636/AY636-1</f>
        <v>1.5050424293277187E-2</v>
      </c>
      <c r="BC637" s="159">
        <f t="shared" ref="BC637" si="1974">+BC636/AZ636-1</f>
        <v>1.509434420891087E-2</v>
      </c>
      <c r="BD637" s="159">
        <f t="shared" ref="BD637" si="1975">+BD636/BA636-1</f>
        <v>1.5175107962652978E-2</v>
      </c>
      <c r="BE637" s="159">
        <f t="shared" ref="BE637" si="1976">+BE636/BB636-1</f>
        <v>1.5083329901646403E-2</v>
      </c>
      <c r="BF637" s="159">
        <f t="shared" ref="BF637" si="1977">+BF636/BC636-1</f>
        <v>1.5127588264533864E-2</v>
      </c>
      <c r="BG637" s="159">
        <f t="shared" ref="BG637" si="1978">+BG636/BD636-1</f>
        <v>1.520896438863617E-2</v>
      </c>
      <c r="BH637" s="159">
        <f t="shared" ref="BH637" si="1979">+BH636/BE636-1</f>
        <v>1.511648944071986E-2</v>
      </c>
      <c r="BI637" s="159">
        <f t="shared" ref="BI637" si="1980">+BI636/BF636-1</f>
        <v>1.5161085952651199E-2</v>
      </c>
      <c r="BJ637" s="159">
        <f t="shared" ref="BJ637" si="1981">+BJ636/BG636-1</f>
        <v>1.5243073670772267E-2</v>
      </c>
      <c r="BK637" s="159">
        <f t="shared" ref="BK637" si="1982">+BK636/BH636-1</f>
        <v>1.5149902695345219E-2</v>
      </c>
      <c r="BL637" s="159">
        <f t="shared" ref="BL637" si="1983">+BL636/BI636-1</f>
        <v>1.5194836989222082E-2</v>
      </c>
      <c r="BM637" s="159">
        <f t="shared" ref="BM637" si="1984">+BM636/BJ636-1</f>
        <v>1.5277435397004435E-2</v>
      </c>
      <c r="BN637" s="159">
        <f t="shared" ref="BN637" si="1985">+BN636/BK636-1</f>
        <v>1.5183569398808272E-2</v>
      </c>
      <c r="BO637" s="159">
        <f t="shared" ref="BO637" si="1986">+BO636/BL636-1</f>
        <v>1.5228841037709495E-2</v>
      </c>
      <c r="BP637" s="159">
        <f t="shared" ref="BP637" si="1987">+BP636/BM636-1</f>
        <v>1.5312049101152025E-2</v>
      </c>
      <c r="BQ637" s="159">
        <f t="shared" ref="BQ637" si="1988">+BQ636/BN636-1</f>
        <v>1.5217489232131287E-2</v>
      </c>
      <c r="BR637" s="159">
        <f t="shared" ref="BR637" si="1989">+BR636/BO636-1</f>
        <v>1.5263097708398288E-2</v>
      </c>
    </row>
    <row r="638" spans="2:70" outlineLevel="1">
      <c r="C638" s="108" t="s">
        <v>613</v>
      </c>
      <c r="D638" s="7" t="s">
        <v>66</v>
      </c>
      <c r="E638" s="564"/>
      <c r="F638" s="564"/>
      <c r="G638" s="564"/>
      <c r="H638" s="465"/>
      <c r="I638" s="465"/>
      <c r="J638" s="162">
        <f t="shared" ref="J638:S638" si="1990">(J636-J643)/G636-1</f>
        <v>-0.33839859593417243</v>
      </c>
      <c r="K638" s="162">
        <f t="shared" si="1990"/>
        <v>-0.6414191554682438</v>
      </c>
      <c r="L638" s="162">
        <f t="shared" si="1990"/>
        <v>9.7963075155205193E-3</v>
      </c>
      <c r="M638" s="162">
        <f t="shared" si="1990"/>
        <v>-0.18700508175971664</v>
      </c>
      <c r="N638" s="162">
        <f t="shared" si="1990"/>
        <v>-4.5586340206185572E-2</v>
      </c>
      <c r="O638" s="162">
        <f t="shared" si="1990"/>
        <v>-2.8678304239401542E-2</v>
      </c>
      <c r="P638" s="162">
        <f t="shared" si="1990"/>
        <v>-3.6993029150823808E-2</v>
      </c>
      <c r="Q638" s="162">
        <f t="shared" si="1990"/>
        <v>7.372654155495928E-3</v>
      </c>
      <c r="R638" s="162">
        <f t="shared" si="1990"/>
        <v>3.2092426187420031E-3</v>
      </c>
      <c r="S638" s="162">
        <f t="shared" si="1990"/>
        <v>5.2459016393442415E-3</v>
      </c>
      <c r="T638" s="162">
        <f t="shared" ref="T638:AF638" si="1991">(T636-T643)/Q636-1</f>
        <v>-1.8629407850964785E-2</v>
      </c>
      <c r="U638" s="162">
        <f t="shared" si="1991"/>
        <v>-4.4785668586052596E-3</v>
      </c>
      <c r="V638" s="162">
        <f t="shared" si="1991"/>
        <v>-1.1415525114155223E-2</v>
      </c>
      <c r="W638" s="162">
        <f t="shared" si="1991"/>
        <v>-0.16542372881355927</v>
      </c>
      <c r="X638" s="162">
        <f t="shared" si="1991"/>
        <v>-0.13817480719794339</v>
      </c>
      <c r="Y638" s="162">
        <f t="shared" si="1991"/>
        <v>-0.15143516991092054</v>
      </c>
      <c r="Z638" s="162">
        <f t="shared" si="1991"/>
        <v>9.6083468724614152E-2</v>
      </c>
      <c r="AA638" s="162">
        <f t="shared" si="1991"/>
        <v>1.9374433545574554E-2</v>
      </c>
      <c r="AB638" s="162">
        <f t="shared" si="1991"/>
        <v>5.6088594628544097E-2</v>
      </c>
      <c r="AC638" s="162">
        <f t="shared" si="1991"/>
        <v>-3.3189033189033212E-2</v>
      </c>
      <c r="AD638" s="162">
        <f t="shared" si="1991"/>
        <v>1.6440314510364651E-2</v>
      </c>
      <c r="AE638" s="162">
        <f t="shared" si="1991"/>
        <v>-8.2585278276481322E-3</v>
      </c>
      <c r="AF638" s="162">
        <f t="shared" si="1991"/>
        <v>2.5953899855559737E-3</v>
      </c>
      <c r="AG638" s="984">
        <f>+AG639+AG642+AG640+AG641</f>
        <v>3.0589466707388852E-2</v>
      </c>
      <c r="AH638" s="429">
        <f>+AH639+AH640+AH641+AH642</f>
        <v>1.700798125943237E-2</v>
      </c>
      <c r="AI638" s="162">
        <f t="shared" ref="AI638:AJ638" si="1992">+AI639+AI642+AI640+AI641</f>
        <v>3.1701056590592566E-2</v>
      </c>
      <c r="AJ638" s="162">
        <f t="shared" si="1992"/>
        <v>1.7888668427606762E-2</v>
      </c>
      <c r="AK638" s="429">
        <f>+AK639+AK640+AK641+AK642</f>
        <v>2.4494861175995641E-2</v>
      </c>
      <c r="AL638" s="162">
        <f t="shared" ref="AL638:AM638" si="1993">+AL639+AL642+AL640+AL641</f>
        <v>1.905333414986907E-2</v>
      </c>
      <c r="AM638" s="162">
        <f t="shared" si="1993"/>
        <v>1.8922602452273757E-2</v>
      </c>
      <c r="AN638" s="429">
        <f>+AN639+AN640+AN641+AN642</f>
        <v>1.8985568648425488E-2</v>
      </c>
      <c r="AO638" s="162">
        <f t="shared" ref="AO638:AP638" si="1994">+AO639+AO642+AO640+AO641</f>
        <v>1.6823217259243788E-2</v>
      </c>
      <c r="AP638" s="162">
        <f t="shared" si="1994"/>
        <v>1.4921343705614199E-2</v>
      </c>
      <c r="AQ638" s="429">
        <f>+AQ639+AQ640+AQ641+AQ642</f>
        <v>1.5837431459452267E-2</v>
      </c>
      <c r="AR638" s="162">
        <f t="shared" ref="AR638:AS638" si="1995">+AR639+AR642+AR640+AR641</f>
        <v>1.5042217204611776E-2</v>
      </c>
      <c r="AS638" s="162">
        <f t="shared" si="1995"/>
        <v>1.4953232445596844E-2</v>
      </c>
      <c r="AT638" s="429">
        <f>+AT639+AT640+AT641+AT642</f>
        <v>1.4996135904742358E-2</v>
      </c>
      <c r="AU638" s="162">
        <f t="shared" ref="AU638:AV638" si="1996">+AU639+AU642+AU640+AU641</f>
        <v>1.5075059144365115E-2</v>
      </c>
      <c r="AV638" s="162">
        <f t="shared" si="1996"/>
        <v>1.4985375475755999E-2</v>
      </c>
      <c r="AW638" s="429">
        <f>+AW639+AW640+AW641+AW642</f>
        <v>1.5028617873038108E-2</v>
      </c>
      <c r="AX638" s="162">
        <f t="shared" ref="AX638:AY638" si="1997">+AX639+AX642+AX640+AX641</f>
        <v>1.5108155060747974E-2</v>
      </c>
      <c r="AY638" s="162">
        <f t="shared" si="1997"/>
        <v>1.5017772779918066E-2</v>
      </c>
      <c r="AZ638" s="429">
        <f>+AZ639+AZ640+AZ641+AZ642</f>
        <v>1.5061354018025996E-2</v>
      </c>
      <c r="BA638" s="162">
        <f t="shared" ref="BA638:BB638" si="1998">+BA639+BA642+BA640+BA641</f>
        <v>1.514150475141891E-2</v>
      </c>
      <c r="BB638" s="162">
        <f t="shared" si="1998"/>
        <v>1.5050424293277158E-2</v>
      </c>
      <c r="BC638" s="429">
        <f>+BC639+BC640+BC641+BC642</f>
        <v>1.509434420891087E-2</v>
      </c>
      <c r="BD638" s="162">
        <f t="shared" ref="BD638:BE638" si="1999">+BD639+BD642+BD640+BD641</f>
        <v>1.5175107962653023E-2</v>
      </c>
      <c r="BE638" s="162">
        <f t="shared" si="1999"/>
        <v>1.5083329901646438E-2</v>
      </c>
      <c r="BF638" s="429">
        <f>+BF639+BF640+BF641+BF642</f>
        <v>1.5127588264533864E-2</v>
      </c>
      <c r="BG638" s="162">
        <f t="shared" ref="BG638:BH638" si="2000">+BG639+BG642+BG640+BG641</f>
        <v>1.5208964388636136E-2</v>
      </c>
      <c r="BH638" s="162">
        <f t="shared" si="2000"/>
        <v>1.5116489440719871E-2</v>
      </c>
      <c r="BI638" s="429">
        <f>+BI639+BI640+BI641+BI642</f>
        <v>1.5161085952651199E-2</v>
      </c>
      <c r="BJ638" s="162">
        <f t="shared" ref="BJ638:BK638" si="2001">+BJ639+BJ642+BJ640+BJ641</f>
        <v>1.524307367077218E-2</v>
      </c>
      <c r="BK638" s="162">
        <f t="shared" si="2001"/>
        <v>1.5149902695345108E-2</v>
      </c>
      <c r="BL638" s="429">
        <f>+BL639+BL640+BL641+BL642</f>
        <v>1.5194836989222082E-2</v>
      </c>
      <c r="BM638" s="162">
        <f t="shared" ref="BM638:BN638" si="2002">+BM639+BM642+BM640+BM641</f>
        <v>1.5277435397004518E-2</v>
      </c>
      <c r="BN638" s="162">
        <f t="shared" si="2002"/>
        <v>1.5183569398808255E-2</v>
      </c>
      <c r="BO638" s="429">
        <f>+BO639+BO640+BO641+BO642</f>
        <v>1.5228841037709495E-2</v>
      </c>
      <c r="BP638" s="162">
        <f t="shared" ref="BP638:BQ638" si="2003">+BP639+BP642+BP640+BP641</f>
        <v>1.5312049101152081E-2</v>
      </c>
      <c r="BQ638" s="162">
        <f t="shared" si="2003"/>
        <v>1.5217489232131287E-2</v>
      </c>
      <c r="BR638" s="429">
        <f>+BR639+BR640+BR641+BR642</f>
        <v>1.5263097708398288E-2</v>
      </c>
    </row>
    <row r="639" spans="2:70" outlineLevel="1">
      <c r="C639" s="384" t="s">
        <v>534</v>
      </c>
      <c r="D639" s="31" t="s">
        <v>66</v>
      </c>
      <c r="E639" s="564"/>
      <c r="F639" s="564"/>
      <c r="G639" s="564"/>
      <c r="H639" s="564"/>
      <c r="I639" s="564"/>
      <c r="J639" s="564"/>
      <c r="K639" s="564"/>
      <c r="L639" s="564"/>
      <c r="M639" s="564"/>
      <c r="N639" s="564"/>
      <c r="O639" s="564"/>
      <c r="P639" s="565"/>
      <c r="Q639" s="565"/>
      <c r="R639" s="565"/>
      <c r="S639" s="565"/>
      <c r="T639" s="565"/>
      <c r="U639" s="565"/>
      <c r="V639" s="565"/>
      <c r="W639" s="565"/>
      <c r="X639" s="565"/>
      <c r="Y639" s="565"/>
      <c r="Z639" s="565"/>
      <c r="AA639" s="565"/>
      <c r="AB639" s="565"/>
      <c r="AC639" s="565"/>
      <c r="AD639" s="565"/>
      <c r="AE639" s="839"/>
      <c r="AF639" s="911">
        <f>+AF293</f>
        <v>2.3409075369562358E-2</v>
      </c>
      <c r="AG639" s="984">
        <f>+AG293</f>
        <v>2.3810305010067388E-2</v>
      </c>
      <c r="AH639" s="20">
        <f>(AF$660/AH$660*AF639)+(AG$660/AH$660*AG639)</f>
        <v>2.3602775637045423E-2</v>
      </c>
      <c r="AI639" s="162">
        <f>+AI293</f>
        <v>2.107962360888388E-2</v>
      </c>
      <c r="AJ639" s="162">
        <f>+AJ293</f>
        <v>1.9616109073432992E-2</v>
      </c>
      <c r="AK639" s="20">
        <f>(AI$660/AK$660*AI639)+(AJ$660/AK$660*AJ639)</f>
        <v>2.0385318233781785E-2</v>
      </c>
      <c r="AL639" s="162">
        <f>+AL293</f>
        <v>1.8909757101799998E-2</v>
      </c>
      <c r="AM639" s="162">
        <f>+AM293</f>
        <v>1.4889709224107671E-2</v>
      </c>
      <c r="AN639" s="20">
        <f>(AL$660/AN$660*AL639)+(AM$660/AN$660*AM639)</f>
        <v>1.696945245503708E-2</v>
      </c>
      <c r="AO639" s="162">
        <f>+AO293</f>
        <v>1.5009629393164237E-2</v>
      </c>
      <c r="AP639" s="162">
        <f>+AP293</f>
        <v>1.4921343705614199E-2</v>
      </c>
      <c r="AQ639" s="20">
        <f>(AO$660/AQ$660*AO639)+(AP$660/AQ$660*AP639)</f>
        <v>1.4967086133434768E-2</v>
      </c>
      <c r="AR639" s="162">
        <f>+AR293</f>
        <v>1.5042217204611776E-2</v>
      </c>
      <c r="AS639" s="162">
        <f>+AS293</f>
        <v>1.4953232445596844E-2</v>
      </c>
      <c r="AT639" s="20">
        <f>(AR$660/AT$660*AR639)+(AS$660/AT$660*AS639)</f>
        <v>1.4999328991309163E-2</v>
      </c>
      <c r="AU639" s="162">
        <f>+AU293</f>
        <v>1.5075059144365115E-2</v>
      </c>
      <c r="AV639" s="162">
        <f>+AV293</f>
        <v>1.4985375475755999E-2</v>
      </c>
      <c r="AW639" s="20">
        <f>(AU$660/AW$660*AU639)+(AV$660/AW$660*AV639)</f>
        <v>1.5031825949472433E-2</v>
      </c>
      <c r="AX639" s="162">
        <f>+AX293</f>
        <v>1.5108155060747974E-2</v>
      </c>
      <c r="AY639" s="162">
        <f>+AY293</f>
        <v>1.5017772779918066E-2</v>
      </c>
      <c r="AZ639" s="20">
        <f>(AX$660/AZ$660*AX639)+(AY$660/AZ$660*AY639)</f>
        <v>1.5064576923448592E-2</v>
      </c>
      <c r="BA639" s="162">
        <f>+BA293</f>
        <v>1.514150475141891E-2</v>
      </c>
      <c r="BB639" s="162">
        <f>+BB293</f>
        <v>1.5050424293277158E-2</v>
      </c>
      <c r="BC639" s="20">
        <f>(BA$660/BC$660*BA639)+(BB$660/BC$660*BB639)</f>
        <v>1.5097581779151464E-2</v>
      </c>
      <c r="BD639" s="162">
        <f>+BD293</f>
        <v>1.5175107962653023E-2</v>
      </c>
      <c r="BE639" s="162">
        <f>+BE293</f>
        <v>1.5083329901646438E-2</v>
      </c>
      <c r="BF639" s="20">
        <f>(BD$660/BF$660*BD639)+(BE$660/BF$660*BE639)</f>
        <v>1.5130840332150858E-2</v>
      </c>
      <c r="BG639" s="162">
        <f>+BG293</f>
        <v>1.5208964388636136E-2</v>
      </c>
      <c r="BH639" s="162">
        <f>+BH293</f>
        <v>1.5116489440719871E-2</v>
      </c>
      <c r="BI639" s="20">
        <f>(BG$660/BI$660*BG639)+(BH$660/BI$660*BH639)</f>
        <v>1.5164352346950107E-2</v>
      </c>
      <c r="BJ639" s="162">
        <f>+BJ293</f>
        <v>1.524307367077218E-2</v>
      </c>
      <c r="BK639" s="162">
        <f>+BK293</f>
        <v>1.5149902695345108E-2</v>
      </c>
      <c r="BL639" s="20">
        <f>(BJ$660/BL$660*BJ639)+(BK$660/BL$660*BK639)</f>
        <v>1.5198117536275781E-2</v>
      </c>
      <c r="BM639" s="162">
        <f>+BM293</f>
        <v>1.5277435397004518E-2</v>
      </c>
      <c r="BN639" s="162">
        <f>+BN293</f>
        <v>1.5183569398808255E-2</v>
      </c>
      <c r="BO639" s="20">
        <f>(BM$660/BO$660*BM639)+(BN$660/BO$660*BN639)</f>
        <v>1.523213556038024E-2</v>
      </c>
      <c r="BP639" s="162">
        <f>+BP293</f>
        <v>1.5312049101152081E-2</v>
      </c>
      <c r="BQ639" s="162">
        <f>+BQ293</f>
        <v>1.5217489232131287E-2</v>
      </c>
      <c r="BR639" s="20">
        <f>(BP$660/BR$660*BP639)+(BQ$660/BR$660*BQ639)</f>
        <v>1.5266406026357881E-2</v>
      </c>
    </row>
    <row r="640" spans="2:70" outlineLevel="1">
      <c r="C640" s="384" t="s">
        <v>92</v>
      </c>
      <c r="D640" s="31" t="s">
        <v>66</v>
      </c>
      <c r="E640" s="564"/>
      <c r="F640" s="564"/>
      <c r="G640" s="564"/>
      <c r="H640" s="564"/>
      <c r="I640" s="564"/>
      <c r="J640" s="564"/>
      <c r="K640" s="564"/>
      <c r="L640" s="564"/>
      <c r="M640" s="564"/>
      <c r="N640" s="564"/>
      <c r="O640" s="564"/>
      <c r="P640" s="565"/>
      <c r="Q640" s="565"/>
      <c r="R640" s="565"/>
      <c r="S640" s="565"/>
      <c r="T640" s="565"/>
      <c r="U640" s="565"/>
      <c r="V640" s="565"/>
      <c r="W640" s="565"/>
      <c r="X640" s="565"/>
      <c r="Y640" s="565"/>
      <c r="Z640" s="565"/>
      <c r="AA640" s="565"/>
      <c r="AB640" s="565"/>
      <c r="AC640" s="565"/>
      <c r="AD640" s="565"/>
      <c r="AE640" s="839"/>
      <c r="AF640" s="911">
        <f>AF315</f>
        <v>2.9830904337424481E-3</v>
      </c>
      <c r="AG640" s="984">
        <f>AG315</f>
        <v>4.228032125730319E-3</v>
      </c>
      <c r="AH640" s="20">
        <f>(AF$660/AH$660*AF640)+(AG$660/AH$660*AG640)</f>
        <v>3.5841066957397923E-3</v>
      </c>
      <c r="AI640" s="162">
        <f>AI315</f>
        <v>4.0844918448508316E-3</v>
      </c>
      <c r="AJ640" s="162">
        <f>AJ315</f>
        <v>6.0483870967741884E-4</v>
      </c>
      <c r="AK640" s="20">
        <f>(AI$660/AK$660*AI640)+(AJ$660/AK$660*AJ640)</f>
        <v>2.4337109221335622E-3</v>
      </c>
      <c r="AL640" s="162">
        <f>AL315</f>
        <v>0</v>
      </c>
      <c r="AM640" s="40">
        <f>AM315</f>
        <v>1.1904761904761945E-3</v>
      </c>
      <c r="AN640" s="20">
        <f>(AL$660/AN$660*AL640)+(AM$660/AN$660*AM640)</f>
        <v>5.7459178460519868E-4</v>
      </c>
      <c r="AO640" s="162">
        <f>AO315</f>
        <v>1.1904761904761945E-3</v>
      </c>
      <c r="AP640" s="40">
        <f>AP315</f>
        <v>0</v>
      </c>
      <c r="AQ640" s="20">
        <f>(AO$660/AQ$660*AO640)+(AP$660/AQ$660*AP640)</f>
        <v>6.1680746592245484E-4</v>
      </c>
      <c r="AR640" s="162">
        <f>AR315</f>
        <v>0</v>
      </c>
      <c r="AS640" s="40">
        <f>AS315</f>
        <v>0</v>
      </c>
      <c r="AT640" s="20">
        <f>(AR$660/AT$660*AR640)+(AS$660/AT$660*AS640)</f>
        <v>0</v>
      </c>
      <c r="AU640" s="162">
        <f>AU315</f>
        <v>0</v>
      </c>
      <c r="AV640" s="40">
        <f>AV315</f>
        <v>0</v>
      </c>
      <c r="AW640" s="20">
        <f>(AU$660/AW$660*AU640)+(AV$660/AW$660*AV640)</f>
        <v>0</v>
      </c>
      <c r="AX640" s="162">
        <f>AX315</f>
        <v>0</v>
      </c>
      <c r="AY640" s="40">
        <f>AY315</f>
        <v>0</v>
      </c>
      <c r="AZ640" s="20">
        <f>(AX$660/AZ$660*AX640)+(AY$660/AZ$660*AY640)</f>
        <v>0</v>
      </c>
      <c r="BA640" s="162">
        <f>BA315</f>
        <v>0</v>
      </c>
      <c r="BB640" s="40">
        <f>BB315</f>
        <v>0</v>
      </c>
      <c r="BC640" s="20">
        <f>(BA$660/BC$660*BA640)+(BB$660/BC$660*BB640)</f>
        <v>0</v>
      </c>
      <c r="BD640" s="162">
        <f>BD315</f>
        <v>0</v>
      </c>
      <c r="BE640" s="40">
        <f>BE315</f>
        <v>0</v>
      </c>
      <c r="BF640" s="20">
        <f>(BD$660/BF$660*BD640)+(BE$660/BF$660*BE640)</f>
        <v>0</v>
      </c>
      <c r="BG640" s="162">
        <f>BG315</f>
        <v>0</v>
      </c>
      <c r="BH640" s="40">
        <f>BH315</f>
        <v>0</v>
      </c>
      <c r="BI640" s="20">
        <f>(BG$660/BI$660*BG640)+(BH$660/BI$660*BH640)</f>
        <v>0</v>
      </c>
      <c r="BJ640" s="162">
        <f>BJ315</f>
        <v>0</v>
      </c>
      <c r="BK640" s="40">
        <f>BK315</f>
        <v>0</v>
      </c>
      <c r="BL640" s="20">
        <f>(BJ$660/BL$660*BJ640)+(BK$660/BL$660*BK640)</f>
        <v>0</v>
      </c>
      <c r="BM640" s="162">
        <f>BM315</f>
        <v>0</v>
      </c>
      <c r="BN640" s="40">
        <f>BN315</f>
        <v>0</v>
      </c>
      <c r="BO640" s="20">
        <f>(BM$660/BO$660*BM640)+(BN$660/BO$660*BN640)</f>
        <v>0</v>
      </c>
      <c r="BP640" s="162">
        <f>BP315</f>
        <v>0</v>
      </c>
      <c r="BQ640" s="40">
        <f>BQ315</f>
        <v>0</v>
      </c>
      <c r="BR640" s="20">
        <f>(BP$660/BR$660*BP640)+(BQ$660/BR$660*BQ640)</f>
        <v>0</v>
      </c>
    </row>
    <row r="641" spans="3:70" outlineLevel="1">
      <c r="C641" s="384" t="s">
        <v>280</v>
      </c>
      <c r="D641" s="31" t="s">
        <v>66</v>
      </c>
      <c r="E641" s="564"/>
      <c r="F641" s="564"/>
      <c r="G641" s="564"/>
      <c r="H641" s="564"/>
      <c r="I641" s="564"/>
      <c r="J641" s="564"/>
      <c r="K641" s="564"/>
      <c r="L641" s="564"/>
      <c r="M641" s="564"/>
      <c r="N641" s="564"/>
      <c r="O641" s="564"/>
      <c r="P641" s="565"/>
      <c r="Q641" s="565"/>
      <c r="R641" s="565"/>
      <c r="S641" s="565"/>
      <c r="T641" s="565"/>
      <c r="U641" s="565"/>
      <c r="V641" s="565"/>
      <c r="W641" s="565"/>
      <c r="X641" s="565"/>
      <c r="Y641" s="565"/>
      <c r="Z641" s="565"/>
      <c r="AA641" s="565"/>
      <c r="AB641" s="565"/>
      <c r="AC641" s="565"/>
      <c r="AD641" s="565"/>
      <c r="AE641" s="839"/>
      <c r="AF641" s="911">
        <f>+AF321</f>
        <v>5.576394607964304E-3</v>
      </c>
      <c r="AG641" s="984">
        <f>+AG321</f>
        <v>2.5511295715911447E-3</v>
      </c>
      <c r="AH641" s="20">
        <f>(AF$660/AH$660*AF641)+(AG$660/AH$660*AG641)</f>
        <v>4.1158977064516102E-3</v>
      </c>
      <c r="AI641" s="162">
        <f>+AI321</f>
        <v>6.5369411368578524E-3</v>
      </c>
      <c r="AJ641" s="162">
        <f>+AJ321</f>
        <v>-2.3322793555036478E-3</v>
      </c>
      <c r="AK641" s="20">
        <f>(AI$660/AK$660*AI641)+(AJ$660/AK$660*AJ641)</f>
        <v>2.3292976105056856E-3</v>
      </c>
      <c r="AL641" s="162">
        <f>+AL321</f>
        <v>1.4357704806907063E-4</v>
      </c>
      <c r="AM641" s="162">
        <f>+AM321</f>
        <v>2.8424170376898936E-3</v>
      </c>
      <c r="AN641" s="20">
        <f>(AL$660/AN$660*AL641)+(AM$660/AN$660*AM641)</f>
        <v>1.4461913283091541E-3</v>
      </c>
      <c r="AO641" s="162">
        <f>+AO321</f>
        <v>6.2311167560335807E-4</v>
      </c>
      <c r="AP641" s="162">
        <f>+AP321</f>
        <v>0</v>
      </c>
      <c r="AQ641" s="20">
        <f>(AO$660/AQ$660*AO641)+(AP$660/AQ$660*AP641)</f>
        <v>3.2284554423710459E-4</v>
      </c>
      <c r="AR641" s="162">
        <f>+AR321</f>
        <v>0</v>
      </c>
      <c r="AS641" s="162">
        <f>+AS321</f>
        <v>0</v>
      </c>
      <c r="AT641" s="20">
        <f>(AR$660/AT$660*AR641)+(AS$660/AT$660*AS641)</f>
        <v>0</v>
      </c>
      <c r="AU641" s="162">
        <f>+AU321</f>
        <v>0</v>
      </c>
      <c r="AV641" s="162">
        <f>+AV321</f>
        <v>0</v>
      </c>
      <c r="AW641" s="20">
        <f>(AU$660/AW$660*AU641)+(AV$660/AW$660*AV641)</f>
        <v>0</v>
      </c>
      <c r="AX641" s="162">
        <f>+AX321</f>
        <v>0</v>
      </c>
      <c r="AY641" s="162">
        <f>+AY321</f>
        <v>0</v>
      </c>
      <c r="AZ641" s="20">
        <f>(AX$660/AZ$660*AX641)+(AY$660/AZ$660*AY641)</f>
        <v>0</v>
      </c>
      <c r="BA641" s="162">
        <f>+BA321</f>
        <v>0</v>
      </c>
      <c r="BB641" s="162">
        <f>+BB321</f>
        <v>0</v>
      </c>
      <c r="BC641" s="20">
        <f>(BA$660/BC$660*BA641)+(BB$660/BC$660*BB641)</f>
        <v>0</v>
      </c>
      <c r="BD641" s="162">
        <f>+BD321</f>
        <v>0</v>
      </c>
      <c r="BE641" s="162">
        <f>+BE321</f>
        <v>0</v>
      </c>
      <c r="BF641" s="20">
        <f>(BD$660/BF$660*BD641)+(BE$660/BF$660*BE641)</f>
        <v>0</v>
      </c>
      <c r="BG641" s="162">
        <f>+BG321</f>
        <v>0</v>
      </c>
      <c r="BH641" s="162">
        <f>+BH321</f>
        <v>0</v>
      </c>
      <c r="BI641" s="20">
        <f>(BG$660/BI$660*BG641)+(BH$660/BI$660*BH641)</f>
        <v>0</v>
      </c>
      <c r="BJ641" s="162">
        <f>+BJ321</f>
        <v>0</v>
      </c>
      <c r="BK641" s="162">
        <f>+BK321</f>
        <v>0</v>
      </c>
      <c r="BL641" s="20">
        <f>(BJ$660/BL$660*BJ641)+(BK$660/BL$660*BK641)</f>
        <v>0</v>
      </c>
      <c r="BM641" s="162">
        <f>+BM321</f>
        <v>0</v>
      </c>
      <c r="BN641" s="162">
        <f>+BN321</f>
        <v>0</v>
      </c>
      <c r="BO641" s="20">
        <f>(BM$660/BO$660*BM641)+(BN$660/BO$660*BN641)</f>
        <v>0</v>
      </c>
      <c r="BP641" s="162">
        <f>+BP321</f>
        <v>0</v>
      </c>
      <c r="BQ641" s="162">
        <f>+BQ321</f>
        <v>0</v>
      </c>
      <c r="BR641" s="20">
        <f>(BP$660/BR$660*BP641)+(BQ$660/BR$660*BQ641)</f>
        <v>0</v>
      </c>
    </row>
    <row r="642" spans="3:70" outlineLevel="1">
      <c r="C642" s="384" t="s">
        <v>614</v>
      </c>
      <c r="D642" s="31" t="s">
        <v>66</v>
      </c>
      <c r="E642" s="564"/>
      <c r="F642" s="564"/>
      <c r="G642" s="564"/>
      <c r="H642" s="564"/>
      <c r="I642" s="564"/>
      <c r="J642" s="564"/>
      <c r="K642" s="564"/>
      <c r="L642" s="564"/>
      <c r="M642" s="564"/>
      <c r="N642" s="564"/>
      <c r="O642" s="564"/>
      <c r="P642" s="565"/>
      <c r="Q642" s="565"/>
      <c r="R642" s="565"/>
      <c r="S642" s="565"/>
      <c r="T642" s="565"/>
      <c r="U642" s="565"/>
      <c r="V642" s="565"/>
      <c r="W642" s="565"/>
      <c r="X642" s="565"/>
      <c r="Y642" s="565"/>
      <c r="Z642" s="565"/>
      <c r="AA642" s="565"/>
      <c r="AB642" s="565"/>
      <c r="AC642" s="565"/>
      <c r="AD642" s="565"/>
      <c r="AE642" s="839"/>
      <c r="AF642" s="912">
        <v>0</v>
      </c>
      <c r="AG642" s="973">
        <v>0</v>
      </c>
      <c r="AH642" s="20">
        <f>(AH636-AH643)/AE636-1-AH639-AH640-AH641</f>
        <v>-1.4294798779804455E-2</v>
      </c>
      <c r="AI642" s="540">
        <v>0</v>
      </c>
      <c r="AJ642" s="540">
        <v>0</v>
      </c>
      <c r="AK642" s="20">
        <f>(AK636-AK643)/AH636-1-AK639-AK640-AK641</f>
        <v>-6.5346559042539151E-4</v>
      </c>
      <c r="AL642" s="540">
        <v>0</v>
      </c>
      <c r="AM642" s="43">
        <v>0</v>
      </c>
      <c r="AN642" s="20">
        <f>(AN636-AN643)/AK636-1-AN639-AN640-AN641</f>
        <v>-4.6669195259449285E-6</v>
      </c>
      <c r="AO642" s="540">
        <v>0</v>
      </c>
      <c r="AP642" s="43">
        <v>0</v>
      </c>
      <c r="AQ642" s="20">
        <f>(AQ636-AQ643)/AN636-1-AQ639-AQ640-AQ641</f>
        <v>-6.9307684142060175E-5</v>
      </c>
      <c r="AR642" s="540">
        <v>0</v>
      </c>
      <c r="AS642" s="43">
        <v>0</v>
      </c>
      <c r="AT642" s="20">
        <f>(AT636-AT643)/AQ636-1-AT639-AT640-AT641</f>
        <v>-3.1930865668043651E-6</v>
      </c>
      <c r="AU642" s="540">
        <v>0</v>
      </c>
      <c r="AV642" s="43">
        <v>0</v>
      </c>
      <c r="AW642" s="20">
        <f>(AW636-AW643)/AT636-1-AW639-AW640-AW641</f>
        <v>-3.2080764343252188E-6</v>
      </c>
      <c r="AX642" s="540">
        <v>0</v>
      </c>
      <c r="AY642" s="43">
        <v>0</v>
      </c>
      <c r="AZ642" s="20">
        <f>(AZ636-AZ643)/AW636-1-AZ639-AZ640-AZ641</f>
        <v>-3.2229054225951792E-6</v>
      </c>
      <c r="BA642" s="540">
        <v>0</v>
      </c>
      <c r="BB642" s="43">
        <v>0</v>
      </c>
      <c r="BC642" s="20">
        <f>(BC636-BC643)/AZ636-1-BC639-BC640-BC641</f>
        <v>-3.2375702405940121E-6</v>
      </c>
      <c r="BD642" s="540">
        <v>0</v>
      </c>
      <c r="BE642" s="43">
        <v>0</v>
      </c>
      <c r="BF642" s="20">
        <f>(BF636-BF643)/BC636-1-BF639-BF640-BF641</f>
        <v>-3.2520676169940643E-6</v>
      </c>
      <c r="BG642" s="540">
        <v>0</v>
      </c>
      <c r="BH642" s="43">
        <v>0</v>
      </c>
      <c r="BI642" s="20">
        <f>(BI636-BI643)/BF636-1-BI639-BI640-BI641</f>
        <v>-3.2663942989077932E-6</v>
      </c>
      <c r="BJ642" s="540">
        <v>0</v>
      </c>
      <c r="BK642" s="43">
        <v>0</v>
      </c>
      <c r="BL642" s="20">
        <f>(BL636-BL643)/BI636-1-BL639-BL640-BL641</f>
        <v>-3.2805470536988179E-6</v>
      </c>
      <c r="BM642" s="540">
        <v>0</v>
      </c>
      <c r="BN642" s="43">
        <v>0</v>
      </c>
      <c r="BO642" s="20">
        <f>(BO636-BO643)/BL636-1-BO639-BO640-BO641</f>
        <v>-3.2945226707443986E-6</v>
      </c>
      <c r="BP642" s="540">
        <v>0</v>
      </c>
      <c r="BQ642" s="43">
        <v>0</v>
      </c>
      <c r="BR642" s="20">
        <f>(BR636-BR643)/BO636-1-BR639-BR640-BR641</f>
        <v>-3.30831795959316E-6</v>
      </c>
    </row>
    <row r="643" spans="3:70" outlineLevel="1">
      <c r="C643" s="93" t="s">
        <v>579</v>
      </c>
      <c r="D643" s="7" t="s">
        <v>85</v>
      </c>
      <c r="E643" s="784">
        <f>E712</f>
        <v>0</v>
      </c>
      <c r="F643" s="784">
        <f t="shared" ref="F643:AN643" si="2004">F712</f>
        <v>0</v>
      </c>
      <c r="G643" s="806">
        <f t="shared" si="2004"/>
        <v>0</v>
      </c>
      <c r="H643" s="806">
        <f t="shared" si="2004"/>
        <v>0</v>
      </c>
      <c r="I643" s="806">
        <f t="shared" ref="I643:S643" si="2005">I712</f>
        <v>1106.1198112201357</v>
      </c>
      <c r="J643" s="806">
        <f t="shared" si="2005"/>
        <v>1106.1198112201357</v>
      </c>
      <c r="K643" s="806">
        <f t="shared" si="2005"/>
        <v>1340.7958825707956</v>
      </c>
      <c r="L643" s="806">
        <f t="shared" si="2005"/>
        <v>230.67702177889223</v>
      </c>
      <c r="M643" s="806">
        <f t="shared" si="2005"/>
        <v>1571.4729043496877</v>
      </c>
      <c r="N643" s="806">
        <f t="shared" si="2005"/>
        <v>10.75</v>
      </c>
      <c r="O643" s="806">
        <f t="shared" si="2005"/>
        <v>0</v>
      </c>
      <c r="P643" s="806">
        <f t="shared" si="2005"/>
        <v>10.75</v>
      </c>
      <c r="Q643" s="806">
        <f t="shared" si="2005"/>
        <v>0</v>
      </c>
      <c r="R643" s="806">
        <f t="shared" si="2005"/>
        <v>0</v>
      </c>
      <c r="S643" s="806">
        <f t="shared" si="2005"/>
        <v>0</v>
      </c>
      <c r="T643" s="806">
        <f t="shared" si="2004"/>
        <v>0</v>
      </c>
      <c r="U643" s="806">
        <f t="shared" si="2004"/>
        <v>0</v>
      </c>
      <c r="V643" s="806">
        <f t="shared" si="2004"/>
        <v>0</v>
      </c>
      <c r="W643" s="806">
        <f t="shared" si="2004"/>
        <v>0</v>
      </c>
      <c r="X643" s="806">
        <f t="shared" si="2004"/>
        <v>0</v>
      </c>
      <c r="Y643" s="806">
        <f t="shared" si="2004"/>
        <v>0</v>
      </c>
      <c r="Z643" s="806">
        <f t="shared" si="2004"/>
        <v>36.721250000000005</v>
      </c>
      <c r="AA643" s="806">
        <f t="shared" si="2004"/>
        <v>32.018884615384614</v>
      </c>
      <c r="AB643" s="806">
        <f t="shared" si="2004"/>
        <v>68.740134615384619</v>
      </c>
      <c r="AC643" s="812">
        <f t="shared" si="2004"/>
        <v>0</v>
      </c>
      <c r="AD643" s="812">
        <f t="shared" si="2004"/>
        <v>0</v>
      </c>
      <c r="AE643" s="840">
        <f t="shared" si="2004"/>
        <v>0</v>
      </c>
      <c r="AF643" s="802">
        <f t="shared" si="2004"/>
        <v>0</v>
      </c>
      <c r="AG643" s="1005">
        <f t="shared" si="2004"/>
        <v>0</v>
      </c>
      <c r="AH643" s="803">
        <f t="shared" si="2004"/>
        <v>0</v>
      </c>
      <c r="AI643" s="802">
        <f t="shared" si="2004"/>
        <v>0</v>
      </c>
      <c r="AJ643" s="802">
        <f t="shared" si="2004"/>
        <v>0</v>
      </c>
      <c r="AK643" s="803">
        <f t="shared" si="2004"/>
        <v>0</v>
      </c>
      <c r="AL643" s="802">
        <f t="shared" si="2004"/>
        <v>0</v>
      </c>
      <c r="AM643" s="803">
        <f t="shared" si="2004"/>
        <v>0</v>
      </c>
      <c r="AN643" s="803">
        <f t="shared" si="2004"/>
        <v>0</v>
      </c>
      <c r="AO643" s="802">
        <f t="shared" ref="AO643:BR643" si="2006">AO712</f>
        <v>0</v>
      </c>
      <c r="AP643" s="803">
        <f t="shared" si="2006"/>
        <v>0</v>
      </c>
      <c r="AQ643" s="803">
        <f t="shared" si="2006"/>
        <v>0</v>
      </c>
      <c r="AR643" s="802">
        <f t="shared" si="2006"/>
        <v>0</v>
      </c>
      <c r="AS643" s="803">
        <f t="shared" si="2006"/>
        <v>0</v>
      </c>
      <c r="AT643" s="803">
        <f t="shared" si="2006"/>
        <v>0</v>
      </c>
      <c r="AU643" s="802">
        <f t="shared" si="2006"/>
        <v>0</v>
      </c>
      <c r="AV643" s="803">
        <f t="shared" si="2006"/>
        <v>0</v>
      </c>
      <c r="AW643" s="803">
        <f t="shared" si="2006"/>
        <v>0</v>
      </c>
      <c r="AX643" s="802">
        <f t="shared" si="2006"/>
        <v>0</v>
      </c>
      <c r="AY643" s="803">
        <f t="shared" si="2006"/>
        <v>0</v>
      </c>
      <c r="AZ643" s="803">
        <f t="shared" si="2006"/>
        <v>0</v>
      </c>
      <c r="BA643" s="802">
        <f t="shared" si="2006"/>
        <v>0</v>
      </c>
      <c r="BB643" s="803">
        <f t="shared" si="2006"/>
        <v>0</v>
      </c>
      <c r="BC643" s="803">
        <f t="shared" si="2006"/>
        <v>0</v>
      </c>
      <c r="BD643" s="802">
        <f t="shared" si="2006"/>
        <v>0</v>
      </c>
      <c r="BE643" s="803">
        <f t="shared" si="2006"/>
        <v>0</v>
      </c>
      <c r="BF643" s="803">
        <f t="shared" si="2006"/>
        <v>0</v>
      </c>
      <c r="BG643" s="802">
        <f t="shared" si="2006"/>
        <v>0</v>
      </c>
      <c r="BH643" s="803">
        <f t="shared" si="2006"/>
        <v>0</v>
      </c>
      <c r="BI643" s="803">
        <f t="shared" si="2006"/>
        <v>0</v>
      </c>
      <c r="BJ643" s="802">
        <f t="shared" si="2006"/>
        <v>0</v>
      </c>
      <c r="BK643" s="803">
        <f t="shared" si="2006"/>
        <v>0</v>
      </c>
      <c r="BL643" s="803">
        <f t="shared" si="2006"/>
        <v>0</v>
      </c>
      <c r="BM643" s="802">
        <f t="shared" si="2006"/>
        <v>0</v>
      </c>
      <c r="BN643" s="803">
        <f t="shared" si="2006"/>
        <v>0</v>
      </c>
      <c r="BO643" s="803">
        <f t="shared" si="2006"/>
        <v>0</v>
      </c>
      <c r="BP643" s="802">
        <f t="shared" si="2006"/>
        <v>0</v>
      </c>
      <c r="BQ643" s="803">
        <f t="shared" si="2006"/>
        <v>0</v>
      </c>
      <c r="BR643" s="803">
        <f t="shared" si="2006"/>
        <v>0</v>
      </c>
    </row>
    <row r="644" spans="3:70" s="8" customFormat="1" outlineLevel="1">
      <c r="C644" s="467" t="s">
        <v>617</v>
      </c>
      <c r="D644" s="96" t="s">
        <v>85</v>
      </c>
      <c r="E644" s="344"/>
      <c r="F644" s="578"/>
      <c r="G644" s="579"/>
      <c r="H644" s="578"/>
      <c r="I644" s="578"/>
      <c r="J644" s="579"/>
      <c r="K644" s="578"/>
      <c r="L644" s="578"/>
      <c r="M644" s="579"/>
      <c r="N644" s="578"/>
      <c r="O644" s="578"/>
      <c r="P644" s="579"/>
      <c r="Q644" s="578"/>
      <c r="R644" s="578"/>
      <c r="S644" s="579"/>
      <c r="T644" s="578"/>
      <c r="U644" s="578"/>
      <c r="V644" s="579"/>
      <c r="W644" s="344">
        <v>266</v>
      </c>
      <c r="X644" s="344">
        <v>290</v>
      </c>
      <c r="Y644" s="64">
        <f>SUM(W644:X644)</f>
        <v>556</v>
      </c>
      <c r="Z644" s="344">
        <v>202</v>
      </c>
      <c r="AA644" s="344">
        <v>263</v>
      </c>
      <c r="AB644" s="64">
        <f>SUM(Z644:AA644)</f>
        <v>465</v>
      </c>
      <c r="AC644" s="460">
        <v>366</v>
      </c>
      <c r="AD644" s="460">
        <v>402</v>
      </c>
      <c r="AE644" s="468">
        <f>AC644+AD644</f>
        <v>768</v>
      </c>
      <c r="AF644" s="910">
        <f>414/$AF$259</f>
        <v>352.02520161290323</v>
      </c>
      <c r="AG644" s="1004">
        <f>(AD644*(1+AG646))+AG651</f>
        <v>372.18311486093489</v>
      </c>
      <c r="AH644" s="470">
        <f>+AG644+AF644</f>
        <v>724.20831647383807</v>
      </c>
      <c r="AI644" s="470">
        <f>(AF644*(1+AI646))+AI651</f>
        <v>364.50216498841831</v>
      </c>
      <c r="AJ644" s="470">
        <f>(AG644*(1+AJ646))+AJ651</f>
        <v>371.60399229797645</v>
      </c>
      <c r="AK644" s="470">
        <f>+AJ644+AI644</f>
        <v>736.10615728639482</v>
      </c>
      <c r="AL644" s="470">
        <f>(AI644*(1+AL646))+AL651</f>
        <v>348.65511675535447</v>
      </c>
      <c r="AM644" s="470">
        <f>(AJ644*(1+AM646))+AM651</f>
        <v>373.24845177089344</v>
      </c>
      <c r="AN644" s="470">
        <f>+AM644+AL644</f>
        <v>721.90356852624791</v>
      </c>
      <c r="AO644" s="470">
        <f>(AL644*(1+AO646))+AO651</f>
        <v>357.47165160046296</v>
      </c>
      <c r="AP644" s="470">
        <f>(AM644*(1+AP646))+AP651</f>
        <v>381.51525494836818</v>
      </c>
      <c r="AQ644" s="470">
        <f>+AP644+AO644</f>
        <v>738.98690654883114</v>
      </c>
      <c r="AR644" s="470">
        <f>(AO644*(1+AR646))+AR651</f>
        <v>365.43376978947617</v>
      </c>
      <c r="AS644" s="470">
        <f>(AP644*(1+AS646))+AS651</f>
        <v>390.00906705098708</v>
      </c>
      <c r="AT644" s="470">
        <f>+AS644+AR644</f>
        <v>755.44283684046331</v>
      </c>
      <c r="AU644" s="470">
        <f>(AR644*(1+AU646))+AU651</f>
        <v>373.6153558360628</v>
      </c>
      <c r="AV644" s="470">
        <f>(AS644*(1+AV646))+AV651</f>
        <v>398.73693217060668</v>
      </c>
      <c r="AW644" s="470">
        <f>+AV644+AU644</f>
        <v>772.35228800666948</v>
      </c>
      <c r="AX644" s="470">
        <f>(AU644*(1+AX646))+AX651</f>
        <v>382.02323212170779</v>
      </c>
      <c r="AY644" s="470">
        <f>(AV644*(1+AY646))+AY651</f>
        <v>407.70612503855239</v>
      </c>
      <c r="AZ644" s="470">
        <f>+AY644+AX644</f>
        <v>789.72935716026018</v>
      </c>
      <c r="BA644" s="470">
        <f>(AX644*(1+BA646))+BA651</f>
        <v>390.66444456993293</v>
      </c>
      <c r="BB644" s="470">
        <f>(AY644*(1+BB646))+BB651</f>
        <v>416.92415873613851</v>
      </c>
      <c r="BC644" s="470">
        <f>+BB644+BA644</f>
        <v>807.58860330607149</v>
      </c>
      <c r="BD644" s="470">
        <f>(BA644*(1+BD646))+BD651</f>
        <v>399.54627012156283</v>
      </c>
      <c r="BE644" s="470">
        <f>(BB644*(1+BE646))+BE651</f>
        <v>426.39879266494228</v>
      </c>
      <c r="BF644" s="470">
        <f>+BE644+BD644</f>
        <v>825.9450627865051</v>
      </c>
      <c r="BG644" s="470">
        <f>(BD644*(1+BG646))+BG651</f>
        <v>408.67622446184413</v>
      </c>
      <c r="BH644" s="470">
        <f>(BE644*(1+BH646))+BH651</f>
        <v>436.13804078560662</v>
      </c>
      <c r="BI644" s="470">
        <f>+BH644+BG644</f>
        <v>844.81426524745075</v>
      </c>
      <c r="BJ644" s="470">
        <f>(BG644*(1+BJ646))+BJ651</f>
        <v>418.06207000792648</v>
      </c>
      <c r="BK644" s="470">
        <f>(BH644*(1+BK646))+BK651</f>
        <v>446.15018013424304</v>
      </c>
      <c r="BL644" s="470">
        <f>+BK644+BJ644</f>
        <v>864.21225014216952</v>
      </c>
      <c r="BM644" s="470">
        <f>(BJ644*(1+BM646))+BM651</f>
        <v>427.7118241655009</v>
      </c>
      <c r="BN644" s="470">
        <f>(BK644*(1+BN646))+BN651</f>
        <v>456.4437596258137</v>
      </c>
      <c r="BO644" s="470">
        <f>+BN644+BM644</f>
        <v>884.1555837913146</v>
      </c>
      <c r="BP644" s="470">
        <f>(BM644*(1+BP646))+BP651</f>
        <v>437.63376786368912</v>
      </c>
      <c r="BQ644" s="470">
        <f>(BN644*(1+BQ646))+BQ651</f>
        <v>467.02760915418759</v>
      </c>
      <c r="BR644" s="470">
        <f>+BQ644+BP644</f>
        <v>904.6613770178767</v>
      </c>
    </row>
    <row r="645" spans="3:70" s="8" customFormat="1" outlineLevel="1">
      <c r="C645" s="108" t="s">
        <v>641</v>
      </c>
      <c r="D645" s="7" t="s">
        <v>66</v>
      </c>
      <c r="E645" s="578"/>
      <c r="F645" s="578"/>
      <c r="G645" s="579"/>
      <c r="H645" s="578"/>
      <c r="I645" s="578"/>
      <c r="J645" s="579"/>
      <c r="K645" s="578"/>
      <c r="L645" s="578"/>
      <c r="M645" s="579"/>
      <c r="N645" s="578"/>
      <c r="O645" s="578"/>
      <c r="P645" s="579"/>
      <c r="Q645" s="578"/>
      <c r="R645" s="578"/>
      <c r="S645" s="579"/>
      <c r="T645" s="578"/>
      <c r="U645" s="578"/>
      <c r="V645" s="579"/>
      <c r="W645" s="578"/>
      <c r="X645" s="578"/>
      <c r="Y645" s="579"/>
      <c r="Z645" s="159">
        <f t="shared" ref="Z645" si="2007">+Z644/W644-1</f>
        <v>-0.24060150375939848</v>
      </c>
      <c r="AA645" s="159">
        <f t="shared" ref="AA645" si="2008">+AA644/X644-1</f>
        <v>-9.3103448275862033E-2</v>
      </c>
      <c r="AB645" s="159">
        <f t="shared" ref="AB645" si="2009">+AB644/Y644-1</f>
        <v>-0.16366906474820142</v>
      </c>
      <c r="AC645" s="159">
        <f t="shared" ref="AC645" si="2010">+AC644/Z644-1</f>
        <v>0.81188118811881194</v>
      </c>
      <c r="AD645" s="159">
        <f t="shared" ref="AD645" si="2011">+AD644/AA644-1</f>
        <v>0.52851711026615966</v>
      </c>
      <c r="AE645" s="46">
        <f t="shared" ref="AE645:AF645" si="2012">+AE644/AB644-1</f>
        <v>0.65161290322580645</v>
      </c>
      <c r="AF645" s="46">
        <f t="shared" si="2012"/>
        <v>-3.8182509254362729E-2</v>
      </c>
      <c r="AG645" s="961">
        <f t="shared" ref="AG645:AH645" si="2013">+AG644/AD644-1</f>
        <v>-7.4171356067326166E-2</v>
      </c>
      <c r="AH645" s="159">
        <f t="shared" si="2013"/>
        <v>-5.7020421258023313E-2</v>
      </c>
      <c r="AI645" s="159">
        <f t="shared" ref="AI645" si="2014">+AI644/AF644-1</f>
        <v>3.544338109416123E-2</v>
      </c>
      <c r="AJ645" s="159">
        <f t="shared" ref="AJ645:AK645" si="2015">+AJ644/AG644-1</f>
        <v>-1.5560151437145064E-3</v>
      </c>
      <c r="AK645" s="159">
        <f t="shared" si="2015"/>
        <v>1.6428754740745344E-2</v>
      </c>
      <c r="AL645" s="159">
        <f t="shared" ref="AL645" si="2016">+AL644/AI644-1</f>
        <v>-4.3475868609909041E-2</v>
      </c>
      <c r="AM645" s="159">
        <f t="shared" ref="AM645:AN645" si="2017">+AM644/AJ644-1</f>
        <v>4.4253008767418667E-3</v>
      </c>
      <c r="AN645" s="159">
        <f t="shared" si="2017"/>
        <v>-1.9294212688702128E-2</v>
      </c>
      <c r="AO645" s="159">
        <f t="shared" ref="AO645" si="2018">+AO644/AL644-1</f>
        <v>2.5287266474551373E-2</v>
      </c>
      <c r="AP645" s="159">
        <f t="shared" ref="AP645" si="2019">+AP644/AM644-1</f>
        <v>2.2148258454261605E-2</v>
      </c>
      <c r="AQ645" s="159">
        <f t="shared" ref="AQ645" si="2020">+AQ644/AN644-1</f>
        <v>2.3664293636141087E-2</v>
      </c>
      <c r="AR645" s="159">
        <f t="shared" ref="AR645" si="2021">+AR644/AO644-1</f>
        <v>2.2273425468468444E-2</v>
      </c>
      <c r="AS645" s="159">
        <f t="shared" ref="AS645" si="2022">+AS644/AP644-1</f>
        <v>2.2263361667591575E-2</v>
      </c>
      <c r="AT645" s="159">
        <f t="shared" ref="AT645" si="2023">+AT644/AQ644-1</f>
        <v>2.2268229850625598E-2</v>
      </c>
      <c r="AU645" s="159">
        <f t="shared" ref="AU645" si="2024">+AU644/AR644-1</f>
        <v>2.2388697276937375E-2</v>
      </c>
      <c r="AV645" s="159">
        <f t="shared" ref="AV645" si="2025">+AV644/AS644-1</f>
        <v>2.237862105518329E-2</v>
      </c>
      <c r="AW645" s="159">
        <f t="shared" ref="AW645" si="2026">+AW644/AT644-1</f>
        <v>2.2383495271366405E-2</v>
      </c>
      <c r="AX645" s="159">
        <f t="shared" ref="AX645" si="2027">+AX644/AU644-1</f>
        <v>2.2504097206685003E-2</v>
      </c>
      <c r="AY645" s="159">
        <f t="shared" ref="AY645" si="2028">+AY644/AV644-1</f>
        <v>2.2494010823427057E-2</v>
      </c>
      <c r="AZ645" s="159">
        <f t="shared" ref="AZ645" si="2029">+AZ644/AW644-1</f>
        <v>2.2498889979905901E-2</v>
      </c>
      <c r="BA645" s="159">
        <f t="shared" ref="BA645" si="2030">+BA644/AX644-1</f>
        <v>2.2619599337540208E-2</v>
      </c>
      <c r="BB645" s="159">
        <f t="shared" ref="BB645" si="2031">+BB644/AY644-1</f>
        <v>2.2609505061309765E-2</v>
      </c>
      <c r="BC645" s="159">
        <f t="shared" ref="BC645" si="2032">+BC644/AZ644-1</f>
        <v>2.2614388060778534E-2</v>
      </c>
      <c r="BD645" s="159">
        <f t="shared" ref="BD645" si="2033">+BD644/BA644-1</f>
        <v>2.2735177657151606E-2</v>
      </c>
      <c r="BE645" s="159">
        <f t="shared" ref="BE645" si="2034">+BE644/BB644-1</f>
        <v>2.2725077763603663E-2</v>
      </c>
      <c r="BF645" s="159">
        <f t="shared" ref="BF645" si="2035">+BF644/BC644-1</f>
        <v>2.272996350528822E-2</v>
      </c>
      <c r="BG645" s="159">
        <f t="shared" ref="BG645" si="2036">+BG644/BD644-1</f>
        <v>2.2850806084370401E-2</v>
      </c>
      <c r="BH645" s="159">
        <f t="shared" ref="BH645" si="2037">+BH644/BE644-1</f>
        <v>2.2840702854234562E-2</v>
      </c>
      <c r="BI645" s="159">
        <f t="shared" ref="BI645" si="2038">+BI644/BF644-1</f>
        <v>2.2845590234883639E-2</v>
      </c>
      <c r="BJ645" s="159">
        <f t="shared" ref="BJ645" si="2039">+BJ644/BG644-1</f>
        <v>2.2966458492763797E-2</v>
      </c>
      <c r="BK645" s="159">
        <f t="shared" ref="BK645" si="2040">+BK644/BH644-1</f>
        <v>2.2956354209785923E-2</v>
      </c>
      <c r="BL645" s="159">
        <f t="shared" ref="BL645" si="2041">+BL644/BI644-1</f>
        <v>2.2961242124666326E-2</v>
      </c>
      <c r="BM645" s="159">
        <f t="shared" ref="BM645" si="2042">+BM644/BJ644-1</f>
        <v>2.3082108734216122E-2</v>
      </c>
      <c r="BN645" s="159">
        <f t="shared" ref="BN645" si="2043">+BN644/BK644-1</f>
        <v>2.3072005683093977E-2</v>
      </c>
      <c r="BO645" s="159">
        <f t="shared" ref="BO645" si="2044">+BO644/BL644-1</f>
        <v>2.3076893026989787E-2</v>
      </c>
      <c r="BP645" s="159">
        <f t="shared" ref="BP645" si="2045">+BP644/BM644-1</f>
        <v>2.3197730662571026E-2</v>
      </c>
      <c r="BQ645" s="159">
        <f t="shared" ref="BQ645" si="2046">+BQ644/BN644-1</f>
        <v>2.3187631126889263E-2</v>
      </c>
      <c r="BR645" s="159">
        <f t="shared" ref="BR645" si="2047">+BR644/BO644-1</f>
        <v>2.3192516795100593E-2</v>
      </c>
    </row>
    <row r="646" spans="3:70" outlineLevel="1">
      <c r="C646" s="108" t="s">
        <v>616</v>
      </c>
      <c r="D646" s="7" t="s">
        <v>66</v>
      </c>
      <c r="E646" s="564"/>
      <c r="F646" s="564"/>
      <c r="G646" s="564"/>
      <c r="H646" s="564"/>
      <c r="I646" s="564"/>
      <c r="J646" s="564"/>
      <c r="K646" s="564"/>
      <c r="L646" s="564"/>
      <c r="M646" s="564"/>
      <c r="N646" s="564"/>
      <c r="O646" s="564"/>
      <c r="P646" s="565"/>
      <c r="Q646" s="565"/>
      <c r="R646" s="565"/>
      <c r="S646" s="565"/>
      <c r="T646" s="565"/>
      <c r="U646" s="565"/>
      <c r="V646" s="565"/>
      <c r="W646" s="565"/>
      <c r="X646" s="565"/>
      <c r="Y646" s="565"/>
      <c r="Z646" s="162">
        <f t="shared" ref="Z646:AF646" si="2048">(Z644-Z651)/W644-1</f>
        <v>-0.24060150375939848</v>
      </c>
      <c r="AA646" s="162">
        <f t="shared" si="2048"/>
        <v>-0.25466208270024804</v>
      </c>
      <c r="AB646" s="162">
        <f t="shared" si="2048"/>
        <v>-0.24793525896235957</v>
      </c>
      <c r="AC646" s="162">
        <f t="shared" si="2048"/>
        <v>1.4858121200860275E-2</v>
      </c>
      <c r="AD646" s="162">
        <f t="shared" si="2048"/>
        <v>9.1648897144633645E-2</v>
      </c>
      <c r="AE646" s="162">
        <f t="shared" si="2048"/>
        <v>5.8290323508843889E-2</v>
      </c>
      <c r="AF646" s="162">
        <f t="shared" si="2048"/>
        <v>-3.8182509254362729E-2</v>
      </c>
      <c r="AG646" s="984">
        <f t="shared" ref="AG646:AN646" si="2049">+AG647+AG648+AG649+AG650</f>
        <v>-7.4171356067326166E-2</v>
      </c>
      <c r="AH646" s="429">
        <f t="shared" si="2049"/>
        <v>-5.7020421258023313E-2</v>
      </c>
      <c r="AI646" s="162">
        <f t="shared" si="2049"/>
        <v>3.5443381094161328E-2</v>
      </c>
      <c r="AJ646" s="162">
        <f t="shared" si="2049"/>
        <v>-1.5560151437144717E-3</v>
      </c>
      <c r="AK646" s="429">
        <f t="shared" si="2049"/>
        <v>1.6428754740745344E-2</v>
      </c>
      <c r="AL646" s="162">
        <f t="shared" si="2049"/>
        <v>-4.3475868609909089E-2</v>
      </c>
      <c r="AM646" s="162">
        <f t="shared" si="2049"/>
        <v>4.4253008767418424E-3</v>
      </c>
      <c r="AN646" s="429">
        <f t="shared" si="2049"/>
        <v>-1.9294212688702128E-2</v>
      </c>
      <c r="AO646" s="162">
        <f t="shared" ref="AO646:BR646" si="2050">+AO647+AO648+AO649+AO650</f>
        <v>2.5287266474551373E-2</v>
      </c>
      <c r="AP646" s="162">
        <f t="shared" si="2050"/>
        <v>2.2148258454261688E-2</v>
      </c>
      <c r="AQ646" s="429">
        <f t="shared" si="2050"/>
        <v>2.3664293636141084E-2</v>
      </c>
      <c r="AR646" s="162">
        <f t="shared" si="2050"/>
        <v>2.2273425468468364E-2</v>
      </c>
      <c r="AS646" s="162">
        <f t="shared" si="2050"/>
        <v>2.226336166759153E-2</v>
      </c>
      <c r="AT646" s="429">
        <f t="shared" si="2050"/>
        <v>2.2268229850625598E-2</v>
      </c>
      <c r="AU646" s="162">
        <f t="shared" si="2050"/>
        <v>2.2388697276937288E-2</v>
      </c>
      <c r="AV646" s="162">
        <f t="shared" si="2050"/>
        <v>2.237862105518338E-2</v>
      </c>
      <c r="AW646" s="429">
        <f t="shared" si="2050"/>
        <v>2.2383495271366405E-2</v>
      </c>
      <c r="AX646" s="162">
        <f t="shared" si="2050"/>
        <v>2.2504097206685027E-2</v>
      </c>
      <c r="AY646" s="162">
        <f t="shared" si="2050"/>
        <v>2.2494010823427134E-2</v>
      </c>
      <c r="AZ646" s="429">
        <f t="shared" si="2050"/>
        <v>2.2498889979905901E-2</v>
      </c>
      <c r="BA646" s="162">
        <f t="shared" si="2050"/>
        <v>2.2619599337540187E-2</v>
      </c>
      <c r="BB646" s="162">
        <f t="shared" si="2050"/>
        <v>2.2609505061309831E-2</v>
      </c>
      <c r="BC646" s="429">
        <f t="shared" si="2050"/>
        <v>2.2614388060778534E-2</v>
      </c>
      <c r="BD646" s="162">
        <f t="shared" si="2050"/>
        <v>2.2735177657151606E-2</v>
      </c>
      <c r="BE646" s="162">
        <f t="shared" si="2050"/>
        <v>2.2725077763603684E-2</v>
      </c>
      <c r="BF646" s="429">
        <f t="shared" si="2050"/>
        <v>2.272996350528822E-2</v>
      </c>
      <c r="BG646" s="162">
        <f t="shared" si="2050"/>
        <v>2.285080608437037E-2</v>
      </c>
      <c r="BH646" s="162">
        <f t="shared" si="2050"/>
        <v>2.28407028542345E-2</v>
      </c>
      <c r="BI646" s="429">
        <f t="shared" si="2050"/>
        <v>2.2845590234883639E-2</v>
      </c>
      <c r="BJ646" s="162">
        <f t="shared" si="2050"/>
        <v>2.2966458492763745E-2</v>
      </c>
      <c r="BK646" s="162">
        <f t="shared" si="2050"/>
        <v>2.2956354209785836E-2</v>
      </c>
      <c r="BL646" s="429">
        <f t="shared" si="2050"/>
        <v>2.2961242124666326E-2</v>
      </c>
      <c r="BM646" s="162">
        <f t="shared" si="2050"/>
        <v>2.3082108734216043E-2</v>
      </c>
      <c r="BN646" s="162">
        <f t="shared" si="2050"/>
        <v>2.3072005683094088E-2</v>
      </c>
      <c r="BO646" s="429">
        <f t="shared" si="2050"/>
        <v>2.3076893026989787E-2</v>
      </c>
      <c r="BP646" s="162">
        <f t="shared" si="2050"/>
        <v>2.3197730662571126E-2</v>
      </c>
      <c r="BQ646" s="162">
        <f t="shared" si="2050"/>
        <v>2.3187631126889173E-2</v>
      </c>
      <c r="BR646" s="429">
        <f t="shared" si="2050"/>
        <v>2.3192516795100593E-2</v>
      </c>
    </row>
    <row r="647" spans="3:70" outlineLevel="1">
      <c r="C647" s="384" t="s">
        <v>534</v>
      </c>
      <c r="D647" s="31" t="s">
        <v>66</v>
      </c>
      <c r="E647" s="564"/>
      <c r="F647" s="564"/>
      <c r="G647" s="564"/>
      <c r="H647" s="564"/>
      <c r="I647" s="564"/>
      <c r="J647" s="564"/>
      <c r="K647" s="564"/>
      <c r="L647" s="564"/>
      <c r="M647" s="564"/>
      <c r="N647" s="564"/>
      <c r="O647" s="564"/>
      <c r="P647" s="565"/>
      <c r="Q647" s="565"/>
      <c r="R647" s="565"/>
      <c r="S647" s="565"/>
      <c r="T647" s="565"/>
      <c r="U647" s="565"/>
      <c r="V647" s="565"/>
      <c r="W647" s="565"/>
      <c r="X647" s="565"/>
      <c r="Y647" s="565"/>
      <c r="Z647" s="565"/>
      <c r="AA647" s="565"/>
      <c r="AB647" s="565"/>
      <c r="AC647" s="565"/>
      <c r="AD647" s="565"/>
      <c r="AE647" s="839"/>
      <c r="AF647" s="911">
        <f>+AF298</f>
        <v>2.6910581077826613E-2</v>
      </c>
      <c r="AG647" s="984">
        <f>+AG298</f>
        <v>2.9995738508299973E-2</v>
      </c>
      <c r="AH647" s="20">
        <f>(AF$660/AH$660*AF647)+(AG$660/AH$660*AG647)</f>
        <v>2.8399992026523876E-2</v>
      </c>
      <c r="AI647" s="162">
        <f>+AI298</f>
        <v>2.4941427119692439E-2</v>
      </c>
      <c r="AJ647" s="162">
        <f>+AJ298</f>
        <v>2.4839896991494588E-2</v>
      </c>
      <c r="AK647" s="20">
        <f>(AI$660/AK$660*AI647)+(AJ$660/AK$660*AJ647)</f>
        <v>2.4893260250122638E-2</v>
      </c>
      <c r="AL647" s="162">
        <f>+AL298</f>
        <v>2.5236210461724938E-2</v>
      </c>
      <c r="AM647" s="162">
        <f>+AM298</f>
        <v>2.2033337068437343E-2</v>
      </c>
      <c r="AN647" s="20">
        <f>(AL$660/AN$660*AL647)+(AM$660/AN$660*AM647)</f>
        <v>2.3690320881037494E-2</v>
      </c>
      <c r="AO647" s="162">
        <f>+AO298</f>
        <v>2.2158307586064307E-2</v>
      </c>
      <c r="AP647" s="162">
        <f>+AP298</f>
        <v>2.2148258454261688E-2</v>
      </c>
      <c r="AQ647" s="20">
        <f>(AO$660/AQ$660*AO647)+(AP$660/AQ$660*AP647)</f>
        <v>2.2153465093060078E-2</v>
      </c>
      <c r="AR647" s="162">
        <f>+AR298</f>
        <v>2.2273425468468364E-2</v>
      </c>
      <c r="AS647" s="162">
        <f>+AS298</f>
        <v>2.226336166759153E-2</v>
      </c>
      <c r="AT647" s="20">
        <f>(AR$660/AT$660*AR647)+(AS$660/AT$660*AS647)</f>
        <v>2.22685749924608E-2</v>
      </c>
      <c r="AU647" s="162">
        <f>+AU298</f>
        <v>2.2388697276937288E-2</v>
      </c>
      <c r="AV647" s="162">
        <f>+AV298</f>
        <v>2.237862105518338E-2</v>
      </c>
      <c r="AW647" s="20">
        <f>(AU$660/AW$660*AU647)+(AV$660/AW$660*AV647)</f>
        <v>2.2383839901390271E-2</v>
      </c>
      <c r="AX647" s="162">
        <f>+AX298</f>
        <v>2.2504097206685027E-2</v>
      </c>
      <c r="AY647" s="162">
        <f>+AY298</f>
        <v>2.2494010823427134E-2</v>
      </c>
      <c r="AZ647" s="20">
        <f>(AX$660/AZ$660*AX647)+(AY$660/AZ$660*AY647)</f>
        <v>2.2499234021219575E-2</v>
      </c>
      <c r="BA647" s="162">
        <f>+BA298</f>
        <v>2.2619599337540187E-2</v>
      </c>
      <c r="BB647" s="162">
        <f>+BB298</f>
        <v>2.2609505061309831E-2</v>
      </c>
      <c r="BC647" s="20">
        <f>(BA$660/BC$660*BA647)+(BB$660/BC$660*BB647)</f>
        <v>2.2614731436961164E-2</v>
      </c>
      <c r="BD647" s="162">
        <f>+BD298</f>
        <v>2.2735177657151606E-2</v>
      </c>
      <c r="BE647" s="162">
        <f>+BE298</f>
        <v>2.2725077763603684E-2</v>
      </c>
      <c r="BF647" s="20">
        <f>(BD$660/BF$660*BD647)+(BE$660/BF$660*BE647)</f>
        <v>2.2730306140464646E-2</v>
      </c>
      <c r="BG647" s="162">
        <f>+BG298</f>
        <v>2.285080608437037E-2</v>
      </c>
      <c r="BH647" s="162">
        <f>+BH298</f>
        <v>2.28407028542345E-2</v>
      </c>
      <c r="BI647" s="20">
        <f>(BG$660/BI$660*BG647)+(BH$660/BI$660*BH647)</f>
        <v>2.2845932053790832E-2</v>
      </c>
      <c r="BJ647" s="162">
        <f>+BJ298</f>
        <v>2.2966458492763745E-2</v>
      </c>
      <c r="BK647" s="162">
        <f>+BK298</f>
        <v>2.2956354209785836E-2</v>
      </c>
      <c r="BL647" s="20">
        <f>(BJ$660/BL$660*BJ647)+(BK$660/BL$660*BK647)</f>
        <v>2.2961583052719652E-2</v>
      </c>
      <c r="BM647" s="162">
        <f>+BM298</f>
        <v>2.3082108734216043E-2</v>
      </c>
      <c r="BN647" s="162">
        <f>+BN298</f>
        <v>2.3072005683094088E-2</v>
      </c>
      <c r="BO647" s="20">
        <f>(BM$660/BO$660*BM647)+(BN$660/BO$660*BN647)</f>
        <v>2.3077232990346849E-2</v>
      </c>
      <c r="BP647" s="162">
        <f>+BP298</f>
        <v>2.3197730662571126E-2</v>
      </c>
      <c r="BQ647" s="162">
        <f>+BQ298</f>
        <v>2.3187631126889173E-2</v>
      </c>
      <c r="BR647" s="20">
        <f>(BP$660/BR$660*BP647)+(BQ$660/BR$660*BQ647)</f>
        <v>2.3192855720724319E-2</v>
      </c>
    </row>
    <row r="648" spans="3:70" outlineLevel="1">
      <c r="C648" s="384" t="s">
        <v>92</v>
      </c>
      <c r="D648" s="31" t="s">
        <v>66</v>
      </c>
      <c r="E648" s="564"/>
      <c r="F648" s="564"/>
      <c r="G648" s="564"/>
      <c r="H648" s="564"/>
      <c r="I648" s="564"/>
      <c r="J648" s="564"/>
      <c r="K648" s="564"/>
      <c r="L648" s="564"/>
      <c r="M648" s="564"/>
      <c r="N648" s="564"/>
      <c r="O648" s="564"/>
      <c r="P648" s="565"/>
      <c r="Q648" s="565"/>
      <c r="R648" s="565"/>
      <c r="S648" s="565"/>
      <c r="T648" s="565"/>
      <c r="U648" s="565"/>
      <c r="V648" s="565"/>
      <c r="W648" s="565"/>
      <c r="X648" s="565"/>
      <c r="Y648" s="565"/>
      <c r="Z648" s="565"/>
      <c r="AA648" s="565"/>
      <c r="AB648" s="565"/>
      <c r="AC648" s="565"/>
      <c r="AD648" s="565"/>
      <c r="AE648" s="839"/>
      <c r="AF648" s="911">
        <f>AF315</f>
        <v>2.9830904337424481E-3</v>
      </c>
      <c r="AG648" s="984">
        <f>AG315</f>
        <v>4.228032125730319E-3</v>
      </c>
      <c r="AH648" s="20">
        <f>(AF$660/AH$660*AF648)+(AG$660/AH$660*AG648)</f>
        <v>3.5841066957397923E-3</v>
      </c>
      <c r="AI648" s="162">
        <f>AI315</f>
        <v>4.0844918448508316E-3</v>
      </c>
      <c r="AJ648" s="162">
        <f>AJ315</f>
        <v>6.0483870967741884E-4</v>
      </c>
      <c r="AK648" s="20">
        <f>(AI$660/AK$660*AI648)+(AJ$660/AK$660*AJ648)</f>
        <v>2.4337109221335622E-3</v>
      </c>
      <c r="AL648" s="162">
        <f>AL315</f>
        <v>0</v>
      </c>
      <c r="AM648" s="162">
        <f>AM315</f>
        <v>1.1904761904761945E-3</v>
      </c>
      <c r="AN648" s="20">
        <f>(AL$660/AN$660*AL648)+(AM$660/AN$660*AM648)</f>
        <v>5.7459178460519868E-4</v>
      </c>
      <c r="AO648" s="162">
        <f>AO315</f>
        <v>1.1904761904761945E-3</v>
      </c>
      <c r="AP648" s="162">
        <f>AP315</f>
        <v>0</v>
      </c>
      <c r="AQ648" s="20">
        <f>(AO$660/AQ$660*AO648)+(AP$660/AQ$660*AP648)</f>
        <v>6.1680746592245484E-4</v>
      </c>
      <c r="AR648" s="162">
        <f>AR315</f>
        <v>0</v>
      </c>
      <c r="AS648" s="162">
        <f>AS315</f>
        <v>0</v>
      </c>
      <c r="AT648" s="20">
        <f>(AR$660/AT$660*AR648)+(AS$660/AT$660*AS648)</f>
        <v>0</v>
      </c>
      <c r="AU648" s="162">
        <f>AU315</f>
        <v>0</v>
      </c>
      <c r="AV648" s="162">
        <f>AV315</f>
        <v>0</v>
      </c>
      <c r="AW648" s="20">
        <f>(AU$660/AW$660*AU648)+(AV$660/AW$660*AV648)</f>
        <v>0</v>
      </c>
      <c r="AX648" s="162">
        <f>AX315</f>
        <v>0</v>
      </c>
      <c r="AY648" s="162">
        <f>AY315</f>
        <v>0</v>
      </c>
      <c r="AZ648" s="20">
        <f>(AX$660/AZ$660*AX648)+(AY$660/AZ$660*AY648)</f>
        <v>0</v>
      </c>
      <c r="BA648" s="162">
        <f>BA315</f>
        <v>0</v>
      </c>
      <c r="BB648" s="162">
        <f>BB315</f>
        <v>0</v>
      </c>
      <c r="BC648" s="20">
        <f>(BA$660/BC$660*BA648)+(BB$660/BC$660*BB648)</f>
        <v>0</v>
      </c>
      <c r="BD648" s="162">
        <f>BD315</f>
        <v>0</v>
      </c>
      <c r="BE648" s="162">
        <f>BE315</f>
        <v>0</v>
      </c>
      <c r="BF648" s="20">
        <f>(BD$660/BF$660*BD648)+(BE$660/BF$660*BE648)</f>
        <v>0</v>
      </c>
      <c r="BG648" s="162">
        <f>BG315</f>
        <v>0</v>
      </c>
      <c r="BH648" s="162">
        <f>BH315</f>
        <v>0</v>
      </c>
      <c r="BI648" s="20">
        <f>(BG$660/BI$660*BG648)+(BH$660/BI$660*BH648)</f>
        <v>0</v>
      </c>
      <c r="BJ648" s="162">
        <f>BJ315</f>
        <v>0</v>
      </c>
      <c r="BK648" s="162">
        <f>BK315</f>
        <v>0</v>
      </c>
      <c r="BL648" s="20">
        <f>(BJ$660/BL$660*BJ648)+(BK$660/BL$660*BK648)</f>
        <v>0</v>
      </c>
      <c r="BM648" s="162">
        <f>BM315</f>
        <v>0</v>
      </c>
      <c r="BN648" s="162">
        <f>BN315</f>
        <v>0</v>
      </c>
      <c r="BO648" s="20">
        <f>(BM$660/BO$660*BM648)+(BN$660/BO$660*BN648)</f>
        <v>0</v>
      </c>
      <c r="BP648" s="162">
        <f>BP315</f>
        <v>0</v>
      </c>
      <c r="BQ648" s="162">
        <f>BQ315</f>
        <v>0</v>
      </c>
      <c r="BR648" s="20">
        <f>(BP$660/BR$660*BP648)+(BQ$660/BR$660*BQ648)</f>
        <v>0</v>
      </c>
    </row>
    <row r="649" spans="3:70" outlineLevel="1">
      <c r="C649" s="384" t="s">
        <v>280</v>
      </c>
      <c r="D649" s="31" t="s">
        <v>66</v>
      </c>
      <c r="E649" s="564"/>
      <c r="F649" s="564"/>
      <c r="G649" s="564"/>
      <c r="H649" s="564"/>
      <c r="I649" s="564"/>
      <c r="J649" s="564"/>
      <c r="K649" s="564"/>
      <c r="L649" s="564"/>
      <c r="M649" s="564"/>
      <c r="N649" s="564"/>
      <c r="O649" s="564"/>
      <c r="P649" s="565"/>
      <c r="Q649" s="565"/>
      <c r="R649" s="565"/>
      <c r="S649" s="565"/>
      <c r="T649" s="565"/>
      <c r="U649" s="565"/>
      <c r="V649" s="565"/>
      <c r="W649" s="565"/>
      <c r="X649" s="565"/>
      <c r="Y649" s="565"/>
      <c r="Z649" s="565"/>
      <c r="AA649" s="565"/>
      <c r="AB649" s="565"/>
      <c r="AC649" s="565"/>
      <c r="AD649" s="565"/>
      <c r="AE649" s="839"/>
      <c r="AF649" s="911">
        <f>+AF324</f>
        <v>-7.8087874845823815E-2</v>
      </c>
      <c r="AG649" s="984">
        <f>+AG324</f>
        <v>-0.10839512670135645</v>
      </c>
      <c r="AH649" s="20">
        <f>(AF$660/AH$660*AF649)+(AG$660/AH$660*AG649)</f>
        <v>-9.2719203637246256E-2</v>
      </c>
      <c r="AI649" s="162">
        <f>+AI324</f>
        <v>6.4174621296180599E-3</v>
      </c>
      <c r="AJ649" s="162">
        <f>+AJ324</f>
        <v>-2.7000750844886477E-2</v>
      </c>
      <c r="AK649" s="20">
        <f>(AI$660/AK$660*AI649)+(AJ$660/AK$660*AJ649)</f>
        <v>-9.4364595995273803E-3</v>
      </c>
      <c r="AL649" s="162">
        <f>+AL324</f>
        <v>-6.8712079071634027E-2</v>
      </c>
      <c r="AM649" s="162">
        <f>+AM324</f>
        <v>-1.8798512382171693E-2</v>
      </c>
      <c r="AN649" s="20">
        <f>(AL$660/AN$660*AL649)+(AM$660/AN$660*AM649)</f>
        <v>-4.4620941769142747E-2</v>
      </c>
      <c r="AO649" s="162">
        <f>+AO324</f>
        <v>1.938482698010872E-3</v>
      </c>
      <c r="AP649" s="162">
        <f>+AP324</f>
        <v>0</v>
      </c>
      <c r="AQ649" s="20">
        <f>(AO$660/AQ$660*AO649)+(AP$660/AQ$660*AP649)</f>
        <v>1.0043633045834683E-3</v>
      </c>
      <c r="AR649" s="162">
        <f>+AR324</f>
        <v>0</v>
      </c>
      <c r="AS649" s="162">
        <f>+AS324</f>
        <v>0</v>
      </c>
      <c r="AT649" s="20">
        <f>(AR$660/AT$660*AR649)+(AS$660/AT$660*AS649)</f>
        <v>0</v>
      </c>
      <c r="AU649" s="162">
        <f>+AU324</f>
        <v>0</v>
      </c>
      <c r="AV649" s="162">
        <f>+AV324</f>
        <v>0</v>
      </c>
      <c r="AW649" s="20">
        <f>(AU$660/AW$660*AU649)+(AV$660/AW$660*AV649)</f>
        <v>0</v>
      </c>
      <c r="AX649" s="162">
        <f>+AX324</f>
        <v>0</v>
      </c>
      <c r="AY649" s="162">
        <f>+AY324</f>
        <v>0</v>
      </c>
      <c r="AZ649" s="20">
        <f>(AX$660/AZ$660*AX649)+(AY$660/AZ$660*AY649)</f>
        <v>0</v>
      </c>
      <c r="BA649" s="162">
        <f>+BA324</f>
        <v>0</v>
      </c>
      <c r="BB649" s="162">
        <f>+BB324</f>
        <v>0</v>
      </c>
      <c r="BC649" s="20">
        <f>(BA$660/BC$660*BA649)+(BB$660/BC$660*BB649)</f>
        <v>0</v>
      </c>
      <c r="BD649" s="162">
        <f>+BD324</f>
        <v>0</v>
      </c>
      <c r="BE649" s="162">
        <f>+BE324</f>
        <v>0</v>
      </c>
      <c r="BF649" s="20">
        <f>(BD$660/BF$660*BD649)+(BE$660/BF$660*BE649)</f>
        <v>0</v>
      </c>
      <c r="BG649" s="162">
        <f>+BG324</f>
        <v>0</v>
      </c>
      <c r="BH649" s="162">
        <f>+BH324</f>
        <v>0</v>
      </c>
      <c r="BI649" s="20">
        <f>(BG$660/BI$660*BG649)+(BH$660/BI$660*BH649)</f>
        <v>0</v>
      </c>
      <c r="BJ649" s="162">
        <f>+BJ324</f>
        <v>0</v>
      </c>
      <c r="BK649" s="162">
        <f>+BK324</f>
        <v>0</v>
      </c>
      <c r="BL649" s="20">
        <f>(BJ$660/BL$660*BJ649)+(BK$660/BL$660*BK649)</f>
        <v>0</v>
      </c>
      <c r="BM649" s="162">
        <f>+BM324</f>
        <v>0</v>
      </c>
      <c r="BN649" s="162">
        <f>+BN324</f>
        <v>0</v>
      </c>
      <c r="BO649" s="20">
        <f>(BM$660/BO$660*BM649)+(BN$660/BO$660*BN649)</f>
        <v>0</v>
      </c>
      <c r="BP649" s="162">
        <f>+BP324</f>
        <v>0</v>
      </c>
      <c r="BQ649" s="162">
        <f>+BQ324</f>
        <v>0</v>
      </c>
      <c r="BR649" s="20">
        <f>(BP$660/BR$660*BP649)+(BQ$660/BR$660*BQ649)</f>
        <v>0</v>
      </c>
    </row>
    <row r="650" spans="3:70" outlineLevel="1">
      <c r="C650" s="384" t="s">
        <v>614</v>
      </c>
      <c r="D650" s="31" t="s">
        <v>66</v>
      </c>
      <c r="E650" s="564"/>
      <c r="F650" s="564"/>
      <c r="G650" s="564"/>
      <c r="H650" s="564"/>
      <c r="I650" s="564"/>
      <c r="J650" s="564"/>
      <c r="K650" s="564"/>
      <c r="L650" s="564"/>
      <c r="M650" s="564"/>
      <c r="N650" s="564"/>
      <c r="O650" s="564"/>
      <c r="P650" s="565"/>
      <c r="Q650" s="565"/>
      <c r="R650" s="565"/>
      <c r="S650" s="565"/>
      <c r="T650" s="565"/>
      <c r="U650" s="565"/>
      <c r="V650" s="565"/>
      <c r="W650" s="565"/>
      <c r="X650" s="565"/>
      <c r="Y650" s="565"/>
      <c r="Z650" s="565"/>
      <c r="AA650" s="565"/>
      <c r="AB650" s="565"/>
      <c r="AC650" s="565"/>
      <c r="AD650" s="565"/>
      <c r="AE650" s="839"/>
      <c r="AF650" s="912">
        <v>0</v>
      </c>
      <c r="AG650" s="973">
        <v>0</v>
      </c>
      <c r="AH650" s="20">
        <f>(AH644-AH651)/AE644-1-AH647-AH648-AH649</f>
        <v>3.714683656959275E-3</v>
      </c>
      <c r="AI650" s="540">
        <v>0</v>
      </c>
      <c r="AJ650" s="540">
        <v>0</v>
      </c>
      <c r="AK650" s="20">
        <f>(AK644-AK651)/AH644-1-AK647-AK648-AK649</f>
        <v>-1.4617568319834767E-3</v>
      </c>
      <c r="AL650" s="540">
        <v>0</v>
      </c>
      <c r="AM650" s="540">
        <v>0</v>
      </c>
      <c r="AN650" s="20">
        <f>(AN644-AN651)/AK644-1-AN647-AN648-AN649</f>
        <v>1.0618164147979253E-3</v>
      </c>
      <c r="AO650" s="540">
        <v>0</v>
      </c>
      <c r="AP650" s="540">
        <v>0</v>
      </c>
      <c r="AQ650" s="20">
        <f>(AQ644-AQ651)/AN644-1-AQ647-AQ648-AQ649</f>
        <v>-1.1034222742491368E-4</v>
      </c>
      <c r="AR650" s="540">
        <v>0</v>
      </c>
      <c r="AS650" s="540">
        <v>0</v>
      </c>
      <c r="AT650" s="20">
        <f>(AT644-AT651)/AQ644-1-AT647-AT648-AT649</f>
        <v>-3.4514183520212294E-7</v>
      </c>
      <c r="AU650" s="540">
        <v>0</v>
      </c>
      <c r="AV650" s="540">
        <v>0</v>
      </c>
      <c r="AW650" s="20">
        <f>(AW644-AW651)/AT644-1-AW647-AW648-AW649</f>
        <v>-3.4463002386575514E-7</v>
      </c>
      <c r="AX650" s="540">
        <v>0</v>
      </c>
      <c r="AY650" s="540">
        <v>0</v>
      </c>
      <c r="AZ650" s="20">
        <f>(AZ644-AZ651)/AW644-1-AZ647-AZ648-AZ649</f>
        <v>-3.4404131367404833E-7</v>
      </c>
      <c r="BA650" s="540">
        <v>0</v>
      </c>
      <c r="BB650" s="540">
        <v>0</v>
      </c>
      <c r="BC650" s="20">
        <f>(BC644-BC651)/AZ644-1-BC647-BC648-BC649</f>
        <v>-3.4337618263005631E-7</v>
      </c>
      <c r="BD650" s="540">
        <v>0</v>
      </c>
      <c r="BE650" s="540">
        <v>0</v>
      </c>
      <c r="BF650" s="20">
        <f>(BF644-BF651)/BC644-1-BF647-BF648-BF649</f>
        <v>-3.4263517642574293E-7</v>
      </c>
      <c r="BG650" s="540">
        <v>0</v>
      </c>
      <c r="BH650" s="540">
        <v>0</v>
      </c>
      <c r="BI650" s="20">
        <f>(BI644-BI651)/BF644-1-BI647-BI648-BI649</f>
        <v>-3.4181890719298114E-7</v>
      </c>
      <c r="BJ650" s="540">
        <v>0</v>
      </c>
      <c r="BK650" s="540">
        <v>0</v>
      </c>
      <c r="BL650" s="20">
        <f>(BL644-BL651)/BI644-1-BL647-BL648-BL649</f>
        <v>-3.4092805332661125E-7</v>
      </c>
      <c r="BM650" s="540">
        <v>0</v>
      </c>
      <c r="BN650" s="540">
        <v>0</v>
      </c>
      <c r="BO650" s="20">
        <f>(BO644-BO651)/BL644-1-BO647-BO648-BO649</f>
        <v>-3.3996335706276692E-7</v>
      </c>
      <c r="BP650" s="540">
        <v>0</v>
      </c>
      <c r="BQ650" s="540">
        <v>0</v>
      </c>
      <c r="BR650" s="20">
        <f>(BR644-BR651)/BO644-1-BR647-BR648-BR649</f>
        <v>-3.3892562372600521E-7</v>
      </c>
    </row>
    <row r="651" spans="3:70" outlineLevel="1">
      <c r="C651" s="93" t="s">
        <v>580</v>
      </c>
      <c r="D651" s="7" t="s">
        <v>85</v>
      </c>
      <c r="E651" s="782">
        <f>E713</f>
        <v>0</v>
      </c>
      <c r="F651" s="782">
        <f t="shared" ref="F651:AN651" si="2051">F713</f>
        <v>0</v>
      </c>
      <c r="G651" s="806">
        <f t="shared" si="2051"/>
        <v>0</v>
      </c>
      <c r="H651" s="806">
        <f t="shared" si="2051"/>
        <v>0</v>
      </c>
      <c r="I651" s="806">
        <f t="shared" si="2051"/>
        <v>0</v>
      </c>
      <c r="J651" s="806">
        <f t="shared" si="2051"/>
        <v>0</v>
      </c>
      <c r="K651" s="806">
        <f t="shared" ref="K651:S651" si="2052">K713</f>
        <v>24.518713093335705</v>
      </c>
      <c r="L651" s="806">
        <f t="shared" si="2052"/>
        <v>23.136426118482134</v>
      </c>
      <c r="M651" s="806">
        <f t="shared" si="2052"/>
        <v>47.65513921181784</v>
      </c>
      <c r="N651" s="806">
        <f t="shared" si="2052"/>
        <v>0</v>
      </c>
      <c r="O651" s="806">
        <f t="shared" si="2052"/>
        <v>0</v>
      </c>
      <c r="P651" s="806">
        <f t="shared" si="2052"/>
        <v>0</v>
      </c>
      <c r="Q651" s="806">
        <f t="shared" si="2052"/>
        <v>0</v>
      </c>
      <c r="R651" s="806">
        <f t="shared" si="2052"/>
        <v>0</v>
      </c>
      <c r="S651" s="806">
        <f t="shared" si="2052"/>
        <v>0</v>
      </c>
      <c r="T651" s="806">
        <f t="shared" si="2051"/>
        <v>0</v>
      </c>
      <c r="U651" s="806">
        <f t="shared" si="2051"/>
        <v>0</v>
      </c>
      <c r="V651" s="806">
        <f t="shared" si="2051"/>
        <v>0</v>
      </c>
      <c r="W651" s="806">
        <f t="shared" si="2051"/>
        <v>0</v>
      </c>
      <c r="X651" s="806">
        <f t="shared" si="2051"/>
        <v>0</v>
      </c>
      <c r="Y651" s="806">
        <f t="shared" si="2051"/>
        <v>0</v>
      </c>
      <c r="Z651" s="806">
        <f t="shared" si="2051"/>
        <v>0</v>
      </c>
      <c r="AA651" s="806">
        <f t="shared" si="2051"/>
        <v>46.852003983071953</v>
      </c>
      <c r="AB651" s="806">
        <f t="shared" si="2051"/>
        <v>46.852003983071953</v>
      </c>
      <c r="AC651" s="812">
        <f t="shared" si="2051"/>
        <v>160.99865951742623</v>
      </c>
      <c r="AD651" s="812">
        <f t="shared" si="2051"/>
        <v>114.89634005096133</v>
      </c>
      <c r="AE651" s="840">
        <f t="shared" si="2051"/>
        <v>275.89499956838756</v>
      </c>
      <c r="AF651" s="802">
        <f t="shared" si="2051"/>
        <v>0</v>
      </c>
      <c r="AG651" s="1005">
        <f t="shared" si="2051"/>
        <v>0</v>
      </c>
      <c r="AH651" s="803">
        <f t="shared" si="2051"/>
        <v>0</v>
      </c>
      <c r="AI651" s="802">
        <f t="shared" si="2051"/>
        <v>0</v>
      </c>
      <c r="AJ651" s="802">
        <f t="shared" si="2051"/>
        <v>0</v>
      </c>
      <c r="AK651" s="803">
        <f t="shared" si="2051"/>
        <v>0</v>
      </c>
      <c r="AL651" s="802">
        <f t="shared" si="2051"/>
        <v>0</v>
      </c>
      <c r="AM651" s="803">
        <f t="shared" si="2051"/>
        <v>0</v>
      </c>
      <c r="AN651" s="803">
        <f t="shared" si="2051"/>
        <v>0</v>
      </c>
      <c r="AO651" s="802">
        <f t="shared" ref="AO651:BR651" si="2053">AO713</f>
        <v>0</v>
      </c>
      <c r="AP651" s="803">
        <f t="shared" si="2053"/>
        <v>0</v>
      </c>
      <c r="AQ651" s="803">
        <f t="shared" si="2053"/>
        <v>0</v>
      </c>
      <c r="AR651" s="802">
        <f t="shared" si="2053"/>
        <v>0</v>
      </c>
      <c r="AS651" s="803">
        <f t="shared" si="2053"/>
        <v>0</v>
      </c>
      <c r="AT651" s="803">
        <f t="shared" si="2053"/>
        <v>0</v>
      </c>
      <c r="AU651" s="802">
        <f t="shared" si="2053"/>
        <v>0</v>
      </c>
      <c r="AV651" s="803">
        <f t="shared" si="2053"/>
        <v>0</v>
      </c>
      <c r="AW651" s="803">
        <f t="shared" si="2053"/>
        <v>0</v>
      </c>
      <c r="AX651" s="802">
        <f t="shared" si="2053"/>
        <v>0</v>
      </c>
      <c r="AY651" s="803">
        <f t="shared" si="2053"/>
        <v>0</v>
      </c>
      <c r="AZ651" s="803">
        <f t="shared" si="2053"/>
        <v>0</v>
      </c>
      <c r="BA651" s="802">
        <f t="shared" si="2053"/>
        <v>0</v>
      </c>
      <c r="BB651" s="803">
        <f t="shared" si="2053"/>
        <v>0</v>
      </c>
      <c r="BC651" s="803">
        <f t="shared" si="2053"/>
        <v>0</v>
      </c>
      <c r="BD651" s="802">
        <f t="shared" si="2053"/>
        <v>0</v>
      </c>
      <c r="BE651" s="803">
        <f t="shared" si="2053"/>
        <v>0</v>
      </c>
      <c r="BF651" s="803">
        <f t="shared" si="2053"/>
        <v>0</v>
      </c>
      <c r="BG651" s="802">
        <f t="shared" si="2053"/>
        <v>0</v>
      </c>
      <c r="BH651" s="803">
        <f t="shared" si="2053"/>
        <v>0</v>
      </c>
      <c r="BI651" s="803">
        <f t="shared" si="2053"/>
        <v>0</v>
      </c>
      <c r="BJ651" s="802">
        <f t="shared" si="2053"/>
        <v>0</v>
      </c>
      <c r="BK651" s="803">
        <f t="shared" si="2053"/>
        <v>0</v>
      </c>
      <c r="BL651" s="803">
        <f t="shared" si="2053"/>
        <v>0</v>
      </c>
      <c r="BM651" s="802">
        <f t="shared" si="2053"/>
        <v>0</v>
      </c>
      <c r="BN651" s="803">
        <f t="shared" si="2053"/>
        <v>0</v>
      </c>
      <c r="BO651" s="803">
        <f t="shared" si="2053"/>
        <v>0</v>
      </c>
      <c r="BP651" s="802">
        <f t="shared" si="2053"/>
        <v>0</v>
      </c>
      <c r="BQ651" s="803">
        <f t="shared" si="2053"/>
        <v>0</v>
      </c>
      <c r="BR651" s="803">
        <f t="shared" si="2053"/>
        <v>0</v>
      </c>
    </row>
    <row r="652" spans="3:70" s="8" customFormat="1" outlineLevel="1">
      <c r="C652" s="467" t="s">
        <v>637</v>
      </c>
      <c r="D652" s="96" t="s">
        <v>85</v>
      </c>
      <c r="E652" s="344">
        <v>104</v>
      </c>
      <c r="F652" s="344">
        <v>89</v>
      </c>
      <c r="G652" s="462">
        <f>SUM(E652:F652)</f>
        <v>193</v>
      </c>
      <c r="H652" s="344">
        <v>105</v>
      </c>
      <c r="I652" s="344">
        <v>223</v>
      </c>
      <c r="J652" s="462">
        <f>SUM(H652:I652)</f>
        <v>328</v>
      </c>
      <c r="K652" s="344">
        <v>274</v>
      </c>
      <c r="L652" s="344">
        <v>283</v>
      </c>
      <c r="M652" s="462">
        <f>SUM(K652:L652)</f>
        <v>557</v>
      </c>
      <c r="N652" s="344">
        <v>312</v>
      </c>
      <c r="O652" s="344">
        <v>369</v>
      </c>
      <c r="P652" s="462">
        <f>SUM(N652:O652)</f>
        <v>681</v>
      </c>
      <c r="Q652" s="344">
        <v>507</v>
      </c>
      <c r="R652" s="344">
        <v>439</v>
      </c>
      <c r="S652" s="64">
        <f>SUM(Q652:R652)</f>
        <v>946</v>
      </c>
      <c r="T652" s="344">
        <v>455</v>
      </c>
      <c r="U652" s="344">
        <v>446</v>
      </c>
      <c r="V652" s="64">
        <f>SUM(T652:U652)</f>
        <v>901</v>
      </c>
      <c r="W652" s="344">
        <v>503</v>
      </c>
      <c r="X652" s="344">
        <v>506</v>
      </c>
      <c r="Y652" s="64">
        <f>SUM(W652:X652)</f>
        <v>1009</v>
      </c>
      <c r="Z652" s="344">
        <v>544</v>
      </c>
      <c r="AA652" s="344">
        <v>509</v>
      </c>
      <c r="AB652" s="64">
        <f>SUM(Z652:AA652)</f>
        <v>1053</v>
      </c>
      <c r="AC652" s="460">
        <v>552</v>
      </c>
      <c r="AD652" s="460">
        <v>552</v>
      </c>
      <c r="AE652" s="468">
        <f>AC652+AD652</f>
        <v>1104</v>
      </c>
      <c r="AF652" s="910">
        <f>610/$AF$259</f>
        <v>518.68447580645159</v>
      </c>
      <c r="AG652" s="1004">
        <f>(AD652*(1+AG654))+AG659</f>
        <v>533.7124950173494</v>
      </c>
      <c r="AH652" s="470">
        <f>+AG652+AF652</f>
        <v>1052.396970823801</v>
      </c>
      <c r="AI652" s="470">
        <f>(AF652*(1+AI654))+AI659</f>
        <v>528.90934896847489</v>
      </c>
      <c r="AJ652" s="470">
        <f>(AG652*(1+AJ654))+AJ659</f>
        <v>518.91266389926636</v>
      </c>
      <c r="AK652" s="470">
        <f>+AJ652+AI652</f>
        <v>1047.8220128677413</v>
      </c>
      <c r="AL652" s="470">
        <f>(AI652*(1+AL654))+AL659</f>
        <v>510.77869695230925</v>
      </c>
      <c r="AM652" s="470">
        <f>(AJ652*(1+AM654))+AM659</f>
        <v>532.48283464201904</v>
      </c>
      <c r="AN652" s="470">
        <f>+AM652+AL652</f>
        <v>1043.2615315943283</v>
      </c>
      <c r="AO652" s="470">
        <f>(AL652*(1+AO654))+AO659</f>
        <v>532.26630405946571</v>
      </c>
      <c r="AP652" s="470">
        <f>(AM652*(1+AP654))+AP659</f>
        <v>553.33568646088588</v>
      </c>
      <c r="AQ652" s="470">
        <f>+AP652+AO652</f>
        <v>1085.6019905203516</v>
      </c>
      <c r="AR652" s="470">
        <f>(AO652*(1+AR654))+AR659</f>
        <v>553.07642313849306</v>
      </c>
      <c r="AS652" s="470">
        <f>(AP652*(1+AS654))+AS659</f>
        <v>575.06486093941226</v>
      </c>
      <c r="AT652" s="470">
        <f>+AS652+AR652</f>
        <v>1128.1412840779053</v>
      </c>
      <c r="AU652" s="470">
        <f>(AR652*(1+AU654))+AU659</f>
        <v>574.75977143103705</v>
      </c>
      <c r="AV652" s="470">
        <f>(AS652*(1+AV654))+AV659</f>
        <v>597.70930787329814</v>
      </c>
      <c r="AW652" s="470">
        <f>+AV652+AU652</f>
        <v>1172.4690793043351</v>
      </c>
      <c r="AX652" s="470">
        <f>(AU652*(1+AX654))+AX659</f>
        <v>597.35511382981952</v>
      </c>
      <c r="AY652" s="470">
        <f>(AV652*(1+AY654))+AY659</f>
        <v>621.30978105246891</v>
      </c>
      <c r="AZ652" s="470">
        <f>+AY652+AX652</f>
        <v>1218.6648948822885</v>
      </c>
      <c r="BA652" s="470">
        <f>(AX652*(1+BA654))+BA659</f>
        <v>620.90300895926168</v>
      </c>
      <c r="BB652" s="470">
        <f>(AY652*(1+BB654))+BB659</f>
        <v>645.90892426392531</v>
      </c>
      <c r="BC652" s="470">
        <f>+BB652+BA652</f>
        <v>1266.811933223187</v>
      </c>
      <c r="BD652" s="470">
        <f>(BA652*(1+BD654))+BD659</f>
        <v>645.44589462850149</v>
      </c>
      <c r="BE652" s="470">
        <f>(BB652*(1+BE654))+BE659</f>
        <v>671.55136147690348</v>
      </c>
      <c r="BF652" s="470">
        <f>+BE652+BD652</f>
        <v>1316.9972561054051</v>
      </c>
      <c r="BG652" s="470">
        <f>(BD652*(1+BG654))+BG659</f>
        <v>671.02817743781077</v>
      </c>
      <c r="BH652" s="470">
        <f>(BE652*(1+BH654))+BH659</f>
        <v>698.28379141652329</v>
      </c>
      <c r="BI652" s="470">
        <f>+BH652+BG652</f>
        <v>1369.3119688543341</v>
      </c>
      <c r="BJ652" s="470">
        <f>(BG652*(1+BJ654))+BJ659</f>
        <v>697.69632674308423</v>
      </c>
      <c r="BK652" s="470">
        <f>(BH652*(1+BK654))+BK659</f>
        <v>726.15508674236105</v>
      </c>
      <c r="BL652" s="470">
        <f>+BK652+BJ652</f>
        <v>1423.8514134854454</v>
      </c>
      <c r="BM652" s="470">
        <f>(BJ652*(1+BM654))+BM659</f>
        <v>725.49897319325623</v>
      </c>
      <c r="BN652" s="470">
        <f>(BK652*(1+BN654))+BN659</f>
        <v>755.21639805915879</v>
      </c>
      <c r="BO652" s="470">
        <f>+BN652+BM652</f>
        <v>1480.715371252415</v>
      </c>
      <c r="BP652" s="470">
        <f>(BM652*(1+BP654))+BP659</f>
        <v>754.48701206619478</v>
      </c>
      <c r="BQ652" s="470">
        <f>(BN652*(1+BQ654))+BQ659</f>
        <v>785.52126299819645</v>
      </c>
      <c r="BR652" s="470">
        <f>+BQ652+BP652</f>
        <v>1540.0082750643912</v>
      </c>
    </row>
    <row r="653" spans="3:70" s="8" customFormat="1" outlineLevel="1">
      <c r="C653" s="108" t="s">
        <v>642</v>
      </c>
      <c r="D653" s="7" t="s">
        <v>66</v>
      </c>
      <c r="E653" s="578"/>
      <c r="F653" s="578"/>
      <c r="G653" s="581"/>
      <c r="H653" s="159">
        <f>+H652/E652-1</f>
        <v>9.6153846153845812E-3</v>
      </c>
      <c r="I653" s="159">
        <f t="shared" ref="I653" si="2054">+I652/F652-1</f>
        <v>1.50561797752809</v>
      </c>
      <c r="J653" s="159">
        <f t="shared" ref="J653" si="2055">+J652/G652-1</f>
        <v>0.69948186528497414</v>
      </c>
      <c r="K653" s="159">
        <f t="shared" ref="K653" si="2056">+K652/H652-1</f>
        <v>1.6095238095238096</v>
      </c>
      <c r="L653" s="159">
        <f t="shared" ref="L653" si="2057">+L652/I652-1</f>
        <v>0.26905829596412567</v>
      </c>
      <c r="M653" s="159">
        <f t="shared" ref="M653" si="2058">+M652/J652-1</f>
        <v>0.69817073170731714</v>
      </c>
      <c r="N653" s="159">
        <f t="shared" ref="N653" si="2059">+N652/K652-1</f>
        <v>0.13868613138686126</v>
      </c>
      <c r="O653" s="159">
        <f t="shared" ref="O653" si="2060">+O652/L652-1</f>
        <v>0.30388692579505294</v>
      </c>
      <c r="P653" s="159">
        <f t="shared" ref="P653" si="2061">+P652/M652-1</f>
        <v>0.22262118491921012</v>
      </c>
      <c r="Q653" s="159">
        <f t="shared" ref="Q653" si="2062">+Q652/N652-1</f>
        <v>0.625</v>
      </c>
      <c r="R653" s="159">
        <f t="shared" ref="R653" si="2063">+R652/O652-1</f>
        <v>0.18970189701897011</v>
      </c>
      <c r="S653" s="159">
        <f t="shared" ref="S653" si="2064">+S652/P652-1</f>
        <v>0.38913362701908949</v>
      </c>
      <c r="T653" s="159">
        <f t="shared" ref="T653" si="2065">+T652/Q652-1</f>
        <v>-0.10256410256410253</v>
      </c>
      <c r="U653" s="159">
        <f t="shared" ref="U653" si="2066">+U652/R652-1</f>
        <v>1.5945330296127658E-2</v>
      </c>
      <c r="V653" s="159">
        <f t="shared" ref="V653" si="2067">+V652/S652-1</f>
        <v>-4.7568710359408017E-2</v>
      </c>
      <c r="W653" s="159">
        <f t="shared" ref="W653" si="2068">+W652/T652-1</f>
        <v>0.10549450549450556</v>
      </c>
      <c r="X653" s="159">
        <f t="shared" ref="X653" si="2069">+X652/U652-1</f>
        <v>0.13452914798206272</v>
      </c>
      <c r="Y653" s="159">
        <f t="shared" ref="Y653" si="2070">+Y652/V652-1</f>
        <v>0.11986681465038851</v>
      </c>
      <c r="Z653" s="159">
        <f t="shared" ref="Z653" si="2071">+Z652/W652-1</f>
        <v>8.1510934393638212E-2</v>
      </c>
      <c r="AA653" s="159">
        <f t="shared" ref="AA653" si="2072">+AA652/X652-1</f>
        <v>5.9288537549406772E-3</v>
      </c>
      <c r="AB653" s="159">
        <f t="shared" ref="AB653" si="2073">+AB652/Y652-1</f>
        <v>4.3607532210109046E-2</v>
      </c>
      <c r="AC653" s="159">
        <f t="shared" ref="AC653" si="2074">+AC652/Z652-1</f>
        <v>1.4705882352941124E-2</v>
      </c>
      <c r="AD653" s="159">
        <f t="shared" ref="AD653" si="2075">+AD652/AA652-1</f>
        <v>8.4479371316306562E-2</v>
      </c>
      <c r="AE653" s="46">
        <f t="shared" ref="AE653:AF653" si="2076">+AE652/AB652-1</f>
        <v>4.8433048433048409E-2</v>
      </c>
      <c r="AF653" s="46">
        <f t="shared" si="2076"/>
        <v>-6.0354210495558669E-2</v>
      </c>
      <c r="AG653" s="961">
        <f t="shared" ref="AG653" si="2077">+AG652/AD652-1</f>
        <v>-3.312953801204821E-2</v>
      </c>
      <c r="AH653" s="159">
        <f>+AH652/AE652-1</f>
        <v>-4.6741874253803495E-2</v>
      </c>
      <c r="AI653" s="159">
        <f>+AI652/AF652-1</f>
        <v>1.9713088860285666E-2</v>
      </c>
      <c r="AJ653" s="159">
        <f t="shared" ref="AJ653" si="2078">+AJ652/AG652-1</f>
        <v>-2.7729969330401283E-2</v>
      </c>
      <c r="AK653" s="159">
        <f>+AK652/AH652-1</f>
        <v>-4.3471789475776346E-3</v>
      </c>
      <c r="AL653" s="159">
        <f>+AL652/AI652-1</f>
        <v>-3.4279318472107967E-2</v>
      </c>
      <c r="AM653" s="159">
        <f t="shared" ref="AM653" si="2079">+AM652/AJ652-1</f>
        <v>2.6151165093529105E-2</v>
      </c>
      <c r="AN653" s="159">
        <f>+AN652/AK652-1</f>
        <v>-4.3523434489904922E-3</v>
      </c>
      <c r="AO653" s="159">
        <f>+AO652/AL652-1</f>
        <v>4.2068330639801088E-2</v>
      </c>
      <c r="AP653" s="159">
        <f t="shared" ref="AP653" si="2080">+AP652/AM652-1</f>
        <v>3.9161547494551474E-2</v>
      </c>
      <c r="AQ653" s="159">
        <f>+AQ652/AN652-1</f>
        <v>4.0584702535056527E-2</v>
      </c>
      <c r="AR653" s="159">
        <f>+AR652/AO652-1</f>
        <v>3.9097194243395972E-2</v>
      </c>
      <c r="AS653" s="159">
        <f t="shared" ref="AS653" si="2081">+AS652/AP652-1</f>
        <v>3.9269425432336247E-2</v>
      </c>
      <c r="AT653" s="159">
        <f>+AT652/AQ652-1</f>
        <v>3.9184981170828248E-2</v>
      </c>
      <c r="AU653" s="159">
        <f>+AU652/AR652-1</f>
        <v>3.9204976718225426E-2</v>
      </c>
      <c r="AV653" s="159">
        <f t="shared" ref="AV653" si="2082">+AV652/AS652-1</f>
        <v>3.9377205028480633E-2</v>
      </c>
      <c r="AW653" s="159">
        <f>+AW652/AT652-1</f>
        <v>3.9292769311834341E-2</v>
      </c>
      <c r="AX653" s="159">
        <f>+AX652/AU652-1</f>
        <v>3.9312672044747643E-2</v>
      </c>
      <c r="AY653" s="159">
        <f t="shared" ref="AY653" si="2083">+AY652/AV652-1</f>
        <v>3.9484868092724446E-2</v>
      </c>
      <c r="AZ653" s="159">
        <f>+AZ652/AW652-1</f>
        <v>3.9400455324043904E-2</v>
      </c>
      <c r="BA653" s="159">
        <f>+BA652/AX652-1</f>
        <v>3.9420262058978084E-2</v>
      </c>
      <c r="BB653" s="159">
        <f t="shared" ref="BB653" si="2084">+BB652/AY652-1</f>
        <v>3.9592396517219797E-2</v>
      </c>
      <c r="BC653" s="159">
        <f>+BC652/AZ652-1</f>
        <v>3.9508021067226284E-2</v>
      </c>
      <c r="BD653" s="159">
        <f>+BD652/BA652-1</f>
        <v>3.9527728671145956E-2</v>
      </c>
      <c r="BE653" s="159">
        <f t="shared" ref="BE653" si="2085">+BE652/BB652-1</f>
        <v>3.9699772289413904E-2</v>
      </c>
      <c r="BF653" s="159">
        <f>+BF652/BC652-1</f>
        <v>3.9615448486130189E-2</v>
      </c>
      <c r="BG653" s="159">
        <f>+BG652/BD652-1</f>
        <v>3.9635053878580573E-2</v>
      </c>
      <c r="BH653" s="159">
        <f t="shared" ref="BH653" si="2086">+BH652/BE652-1</f>
        <v>3.9806977504786456E-2</v>
      </c>
      <c r="BI653" s="159">
        <f>+BI652/BF652-1</f>
        <v>3.9722719623298985E-2</v>
      </c>
      <c r="BJ653" s="159">
        <f>+BJ652/BG652-1</f>
        <v>3.9742219778460708E-2</v>
      </c>
      <c r="BK653" s="159">
        <f t="shared" ref="BK653" si="2087">+BK652/BH652-1</f>
        <v>3.9913994379418005E-2</v>
      </c>
      <c r="BL653" s="159">
        <f>+BL652/BI652-1</f>
        <v>3.9829816631737236E-2</v>
      </c>
      <c r="BM653" s="159">
        <f>+BM652/BJ652-1</f>
        <v>3.984920858041141E-2</v>
      </c>
      <c r="BN653" s="159">
        <f t="shared" ref="BN653" si="2088">+BN652/BK652-1</f>
        <v>4.0020805262373171E-2</v>
      </c>
      <c r="BO653" s="159">
        <f>+BO652/BL652-1</f>
        <v>3.9936721787403595E-2</v>
      </c>
      <c r="BP653" s="159">
        <f>+BP652/BM652-1</f>
        <v>3.9956002618926956E-2</v>
      </c>
      <c r="BQ653" s="159">
        <f t="shared" ref="BQ653" si="2089">+BQ652/BN652-1</f>
        <v>4.0127392647880233E-2</v>
      </c>
      <c r="BR653" s="159">
        <f>+BR652/BO652-1</f>
        <v>4.0043417501518297E-2</v>
      </c>
    </row>
    <row r="654" spans="3:70" outlineLevel="1">
      <c r="C654" s="108" t="s">
        <v>618</v>
      </c>
      <c r="D654" s="7" t="s">
        <v>66</v>
      </c>
      <c r="E654" s="440"/>
      <c r="F654" s="440"/>
      <c r="G654" s="564"/>
      <c r="H654" s="465"/>
      <c r="I654" s="465"/>
      <c r="J654" s="162">
        <f t="shared" ref="J654:K654" si="2090">(J652-J659)/G652-1</f>
        <v>0.69948186528497414</v>
      </c>
      <c r="K654" s="162">
        <f t="shared" si="2090"/>
        <v>1.6095238095238096</v>
      </c>
      <c r="L654" s="162">
        <f t="shared" ref="L654:AF654" si="2091">(L652-L659)/I652-1</f>
        <v>0.21952784657862123</v>
      </c>
      <c r="M654" s="162">
        <f t="shared" si="2091"/>
        <v>0.66449606642387993</v>
      </c>
      <c r="N654" s="162">
        <f t="shared" si="2091"/>
        <v>9.7777140146501074E-2</v>
      </c>
      <c r="O654" s="162">
        <f t="shared" si="2091"/>
        <v>0.22185559648127273</v>
      </c>
      <c r="P654" s="162">
        <f t="shared" si="2091"/>
        <v>0.16081879749432937</v>
      </c>
      <c r="Q654" s="162">
        <f t="shared" si="2091"/>
        <v>0.16342493718575479</v>
      </c>
      <c r="R654" s="162">
        <f t="shared" si="2091"/>
        <v>-0.13685720144307534</v>
      </c>
      <c r="S654" s="162">
        <f t="shared" si="2091"/>
        <v>7.1699422828297443E-4</v>
      </c>
      <c r="T654" s="162">
        <f t="shared" si="2091"/>
        <v>-0.13147169507318368</v>
      </c>
      <c r="U654" s="162">
        <f t="shared" si="2091"/>
        <v>-6.4250496401630497E-2</v>
      </c>
      <c r="V654" s="162">
        <f t="shared" si="2091"/>
        <v>-0.10027707962200827</v>
      </c>
      <c r="W654" s="162">
        <f t="shared" si="2091"/>
        <v>1.9176497638344836E-2</v>
      </c>
      <c r="X654" s="162">
        <f t="shared" si="2091"/>
        <v>8.9377430530646063E-2</v>
      </c>
      <c r="Y654" s="162">
        <f t="shared" si="2091"/>
        <v>5.3926348992358486E-2</v>
      </c>
      <c r="Z654" s="162">
        <f t="shared" si="2091"/>
        <v>1.567461356472899E-3</v>
      </c>
      <c r="AA654" s="162">
        <f t="shared" si="2091"/>
        <v>-6.2027067968175809E-2</v>
      </c>
      <c r="AB654" s="162">
        <f t="shared" si="2091"/>
        <v>-3.0324344231507427E-2</v>
      </c>
      <c r="AC654" s="162">
        <f t="shared" si="2091"/>
        <v>-7.2165930715449855E-3</v>
      </c>
      <c r="AD654" s="162">
        <f t="shared" si="2091"/>
        <v>4.7273697034568407E-2</v>
      </c>
      <c r="AE654" s="162">
        <f t="shared" si="2091"/>
        <v>1.9122967862938989E-2</v>
      </c>
      <c r="AF654" s="429">
        <f t="shared" si="2091"/>
        <v>-8.1919851566152446E-2</v>
      </c>
      <c r="AG654" s="974">
        <f t="shared" ref="AG654:AM654" si="2092">+AG655+AG656+AG657+AG658</f>
        <v>-3.3129538012048168E-2</v>
      </c>
      <c r="AH654" s="429">
        <f>+AH655+AH656+AH657+AH658</f>
        <v>-5.7524694789100383E-2</v>
      </c>
      <c r="AI654" s="429">
        <f t="shared" si="2092"/>
        <v>1.9713088860285596E-2</v>
      </c>
      <c r="AJ654" s="429">
        <f t="shared" si="2092"/>
        <v>-2.7729969330401297E-2</v>
      </c>
      <c r="AK654" s="429">
        <f>+AK655+AK656+AK657+AK658</f>
        <v>-4.3471789475776346E-3</v>
      </c>
      <c r="AL654" s="429">
        <f t="shared" si="2092"/>
        <v>-3.4279318472108002E-2</v>
      </c>
      <c r="AM654" s="429">
        <f t="shared" si="2092"/>
        <v>2.6151165093529213E-2</v>
      </c>
      <c r="AN654" s="429">
        <f>+AN655+AN656+AN657+AN658</f>
        <v>-4.3523434489904922E-3</v>
      </c>
      <c r="AO654" s="429">
        <f t="shared" ref="AO654:AP654" si="2093">+AO655+AO656+AO657+AO658</f>
        <v>4.2068330639801151E-2</v>
      </c>
      <c r="AP654" s="429">
        <f t="shared" si="2093"/>
        <v>3.9161547494551543E-2</v>
      </c>
      <c r="AQ654" s="429">
        <f>+AQ655+AQ656+AQ657+AQ658</f>
        <v>4.0584702535056527E-2</v>
      </c>
      <c r="AR654" s="429">
        <f t="shared" ref="AR654:AS654" si="2094">+AR655+AR656+AR657+AR658</f>
        <v>3.9097194243395889E-2</v>
      </c>
      <c r="AS654" s="429">
        <f t="shared" si="2094"/>
        <v>3.9269425432336171E-2</v>
      </c>
      <c r="AT654" s="429">
        <f>+AT655+AT656+AT657+AT658</f>
        <v>3.9184981170828248E-2</v>
      </c>
      <c r="AU654" s="429">
        <f t="shared" ref="AU654:AV654" si="2095">+AU655+AU656+AU657+AU658</f>
        <v>3.920497671822544E-2</v>
      </c>
      <c r="AV654" s="429">
        <f t="shared" si="2095"/>
        <v>3.9377205028480619E-2</v>
      </c>
      <c r="AW654" s="429">
        <f>+AW655+AW656+AW657+AW658</f>
        <v>3.9292769311834341E-2</v>
      </c>
      <c r="AX654" s="429">
        <f t="shared" ref="AX654:AY654" si="2096">+AX655+AX656+AX657+AX658</f>
        <v>3.9312672044747671E-2</v>
      </c>
      <c r="AY654" s="429">
        <f t="shared" si="2096"/>
        <v>3.9484868092724543E-2</v>
      </c>
      <c r="AZ654" s="429">
        <f>+AZ655+AZ656+AZ657+AZ658</f>
        <v>3.9400455324043904E-2</v>
      </c>
      <c r="BA654" s="429">
        <f t="shared" ref="BA654:BB654" si="2097">+BA655+BA656+BA657+BA658</f>
        <v>3.9420262058978008E-2</v>
      </c>
      <c r="BB654" s="429">
        <f t="shared" si="2097"/>
        <v>3.9592396517219776E-2</v>
      </c>
      <c r="BC654" s="429">
        <f>+BC655+BC656+BC657+BC658</f>
        <v>3.9508021067226284E-2</v>
      </c>
      <c r="BD654" s="429">
        <f t="shared" ref="BD654:BE654" si="2098">+BD655+BD656+BD657+BD658</f>
        <v>3.9527728671145991E-2</v>
      </c>
      <c r="BE654" s="429">
        <f t="shared" si="2098"/>
        <v>3.9699772289413952E-2</v>
      </c>
      <c r="BF654" s="429">
        <f>+BF655+BF656+BF657+BF658</f>
        <v>3.9615448486130189E-2</v>
      </c>
      <c r="BG654" s="429">
        <f t="shared" ref="BG654:BH654" si="2099">+BG655+BG656+BG657+BG658</f>
        <v>3.9635053878580601E-2</v>
      </c>
      <c r="BH654" s="429">
        <f t="shared" si="2099"/>
        <v>3.9806977504786567E-2</v>
      </c>
      <c r="BI654" s="429">
        <f>+BI655+BI656+BI657+BI658</f>
        <v>3.9722719623298985E-2</v>
      </c>
      <c r="BJ654" s="429">
        <f t="shared" ref="BJ654:BK654" si="2100">+BJ655+BJ656+BJ657+BJ658</f>
        <v>3.9742219778460736E-2</v>
      </c>
      <c r="BK654" s="429">
        <f t="shared" si="2100"/>
        <v>3.9913994379418075E-2</v>
      </c>
      <c r="BL654" s="429">
        <f>+BL655+BL656+BL657+BL658</f>
        <v>3.9829816631737236E-2</v>
      </c>
      <c r="BM654" s="429">
        <f t="shared" ref="BM654:BN654" si="2101">+BM655+BM656+BM657+BM658</f>
        <v>3.9849208580411445E-2</v>
      </c>
      <c r="BN654" s="429">
        <f t="shared" si="2101"/>
        <v>4.0020805262373213E-2</v>
      </c>
      <c r="BO654" s="429">
        <f>+BO655+BO656+BO657+BO658</f>
        <v>3.9936721787403595E-2</v>
      </c>
      <c r="BP654" s="429">
        <f t="shared" ref="BP654:BQ654" si="2102">+BP655+BP656+BP657+BP658</f>
        <v>3.9956002618927004E-2</v>
      </c>
      <c r="BQ654" s="429">
        <f t="shared" si="2102"/>
        <v>4.012739264788024E-2</v>
      </c>
      <c r="BR654" s="429">
        <f>+BR655+BR656+BR657+BR658</f>
        <v>4.0043417501518297E-2</v>
      </c>
    </row>
    <row r="655" spans="3:70" outlineLevel="1">
      <c r="C655" s="384" t="s">
        <v>534</v>
      </c>
      <c r="D655" s="31" t="s">
        <v>66</v>
      </c>
      <c r="E655" s="564"/>
      <c r="F655" s="564"/>
      <c r="G655" s="564"/>
      <c r="H655" s="564"/>
      <c r="I655" s="564"/>
      <c r="J655" s="564"/>
      <c r="K655" s="564"/>
      <c r="L655" s="564"/>
      <c r="M655" s="564"/>
      <c r="N655" s="564"/>
      <c r="O655" s="564"/>
      <c r="P655" s="565"/>
      <c r="Q655" s="565"/>
      <c r="R655" s="565"/>
      <c r="S655" s="565"/>
      <c r="T655" s="565"/>
      <c r="U655" s="565"/>
      <c r="V655" s="565"/>
      <c r="W655" s="565"/>
      <c r="X655" s="565"/>
      <c r="Y655" s="565"/>
      <c r="Z655" s="565"/>
      <c r="AA655" s="565"/>
      <c r="AB655" s="565"/>
      <c r="AC655" s="565"/>
      <c r="AD655" s="565"/>
      <c r="AE655" s="839"/>
      <c r="AF655" s="911">
        <f>+AF303</f>
        <v>2.8915477721883333E-2</v>
      </c>
      <c r="AG655" s="984">
        <f>+AG303</f>
        <v>3.3870347625591754E-2</v>
      </c>
      <c r="AH655" s="20">
        <f>(AF$660/AH$660*AF655)+(AG$660/AH$660*AG655)</f>
        <v>3.130752339548825E-2</v>
      </c>
      <c r="AI655" s="162">
        <f>+AI303</f>
        <v>3.7431783627625878E-2</v>
      </c>
      <c r="AJ655" s="162">
        <f>+AJ303</f>
        <v>3.7847916348077291E-2</v>
      </c>
      <c r="AK655" s="20">
        <f>(AI$660/AK$660*AI655)+(AJ$660/AK$660*AJ655)</f>
        <v>3.7629200993539683E-2</v>
      </c>
      <c r="AL655" s="162">
        <f>+AL303</f>
        <v>4.1377702782023386E-2</v>
      </c>
      <c r="AM655" s="162">
        <f>+AM303</f>
        <v>3.9053589474787556E-2</v>
      </c>
      <c r="AN655" s="20">
        <f>(AL$660/AN$660*AL655)+(AM$660/AN$660*AM655)</f>
        <v>4.0255952995246758E-2</v>
      </c>
      <c r="AO655" s="162">
        <f>+AO303</f>
        <v>3.8989342845457291E-2</v>
      </c>
      <c r="AP655" s="162">
        <f>+AP303</f>
        <v>3.9161547494551543E-2</v>
      </c>
      <c r="AQ655" s="20">
        <f>(AO$660/AQ$660*AO655)+(AP$660/AQ$660*AP655)</f>
        <v>3.9072325119440116E-2</v>
      </c>
      <c r="AR655" s="162">
        <f>+AR303</f>
        <v>3.9097194243395889E-2</v>
      </c>
      <c r="AS655" s="162">
        <f>+AS303</f>
        <v>3.9269425432336171E-2</v>
      </c>
      <c r="AT655" s="20">
        <f>(AR$660/AT$660*AR655)+(AS$660/AT$660*AS655)</f>
        <v>3.9180204952762351E-2</v>
      </c>
      <c r="AU655" s="162">
        <f>+AU303</f>
        <v>3.920497671822544E-2</v>
      </c>
      <c r="AV655" s="162">
        <f>+AV303</f>
        <v>3.9377205028480619E-2</v>
      </c>
      <c r="AW655" s="20">
        <f>(AU$660/AW$660*AU655)+(AV$660/AW$660*AV655)</f>
        <v>3.9288001645938334E-2</v>
      </c>
      <c r="AX655" s="162">
        <f>+AX303</f>
        <v>3.9312672044747671E-2</v>
      </c>
      <c r="AY655" s="162">
        <f>+AY303</f>
        <v>3.9484868092724543E-2</v>
      </c>
      <c r="AZ655" s="20">
        <f>(AX$660/AZ$660*AX655)+(AY$660/AZ$660*AY655)</f>
        <v>3.9395696980080615E-2</v>
      </c>
      <c r="BA655" s="162">
        <f>+BA303</f>
        <v>3.9420262058978008E-2</v>
      </c>
      <c r="BB655" s="162">
        <f>+BB303</f>
        <v>3.9592396517219776E-2</v>
      </c>
      <c r="BC655" s="20">
        <f>(BA$660/BC$660*BA655)+(BB$660/BC$660*BB655)</f>
        <v>3.9503272807824452E-2</v>
      </c>
      <c r="BD655" s="162">
        <f>+BD303</f>
        <v>3.9527728671145991E-2</v>
      </c>
      <c r="BE655" s="162">
        <f>+BE303</f>
        <v>3.9699772289413952E-2</v>
      </c>
      <c r="BF655" s="20">
        <f>(BD$660/BF$660*BD655)+(BE$660/BF$660*BE655)</f>
        <v>3.9610711066287191E-2</v>
      </c>
      <c r="BG655" s="162">
        <f>+BG303</f>
        <v>3.9635053878580601E-2</v>
      </c>
      <c r="BH655" s="162">
        <f>+BH303</f>
        <v>3.9806977504786567E-2</v>
      </c>
      <c r="BI655" s="20">
        <f>(BG$660/BI$660*BG655)+(BH$660/BI$660*BH655)</f>
        <v>3.9717993789896461E-2</v>
      </c>
      <c r="BJ655" s="162">
        <f>+BJ303</f>
        <v>3.9742219778460736E-2</v>
      </c>
      <c r="BK655" s="162">
        <f>+BK303</f>
        <v>3.9913994379418075E-2</v>
      </c>
      <c r="BL655" s="20">
        <f>(BJ$660/BL$660*BJ655)+(BK$660/BL$660*BK655)</f>
        <v>3.9825103123067855E-2</v>
      </c>
      <c r="BM655" s="162">
        <f>+BM303</f>
        <v>3.9849208580411445E-2</v>
      </c>
      <c r="BN655" s="162">
        <f>+BN303</f>
        <v>4.0020805262373213E-2</v>
      </c>
      <c r="BO655" s="20">
        <f>(BM$660/BO$660*BM655)+(BN$660/BO$660*BN655)</f>
        <v>3.9932021332712689E-2</v>
      </c>
      <c r="BP655" s="162">
        <f>+BP303</f>
        <v>3.9956002618927004E-2</v>
      </c>
      <c r="BQ655" s="162">
        <f>+BQ303</f>
        <v>4.012739264788024E-2</v>
      </c>
      <c r="BR655" s="20">
        <f>(BP$660/BR$660*BP655)+(BQ$660/BR$660*BQ655)</f>
        <v>4.0038730820557367E-2</v>
      </c>
    </row>
    <row r="656" spans="3:70" outlineLevel="1">
      <c r="C656" s="383" t="s">
        <v>92</v>
      </c>
      <c r="D656" s="31" t="s">
        <v>66</v>
      </c>
      <c r="E656" s="564"/>
      <c r="F656" s="564"/>
      <c r="G656" s="564"/>
      <c r="H656" s="564"/>
      <c r="I656" s="564"/>
      <c r="J656" s="564"/>
      <c r="K656" s="564"/>
      <c r="L656" s="564"/>
      <c r="M656" s="564"/>
      <c r="N656" s="564"/>
      <c r="O656" s="564"/>
      <c r="P656" s="565"/>
      <c r="Q656" s="565"/>
      <c r="R656" s="565"/>
      <c r="S656" s="565"/>
      <c r="T656" s="565"/>
      <c r="U656" s="565"/>
      <c r="V656" s="565"/>
      <c r="W656" s="565"/>
      <c r="X656" s="565"/>
      <c r="Y656" s="565"/>
      <c r="Z656" s="565"/>
      <c r="AA656" s="565"/>
      <c r="AB656" s="565"/>
      <c r="AC656" s="565"/>
      <c r="AD656" s="565"/>
      <c r="AE656" s="839"/>
      <c r="AF656" s="911">
        <f>AF315</f>
        <v>2.9830904337424481E-3</v>
      </c>
      <c r="AG656" s="984">
        <f>AG315</f>
        <v>4.228032125730319E-3</v>
      </c>
      <c r="AH656" s="20">
        <f>(AF$660/AH$660*AF656)+(AG$660/AH$660*AG656)</f>
        <v>3.5841066957397923E-3</v>
      </c>
      <c r="AI656" s="162">
        <f>AI315</f>
        <v>4.0844918448508316E-3</v>
      </c>
      <c r="AJ656" s="162">
        <f>AJ315</f>
        <v>6.0483870967741884E-4</v>
      </c>
      <c r="AK656" s="20">
        <f>(AI$660/AK$660*AI656)+(AJ$660/AK$660*AJ656)</f>
        <v>2.4337109221335622E-3</v>
      </c>
      <c r="AL656" s="162">
        <f>AL315</f>
        <v>0</v>
      </c>
      <c r="AM656" s="40">
        <f>AM315</f>
        <v>1.1904761904761945E-3</v>
      </c>
      <c r="AN656" s="20">
        <f>(AL$660/AN$660*AL656)+(AM$660/AN$660*AM656)</f>
        <v>5.7459178460519868E-4</v>
      </c>
      <c r="AO656" s="162">
        <f>AO315</f>
        <v>1.1904761904761945E-3</v>
      </c>
      <c r="AP656" s="40">
        <f>AP315</f>
        <v>0</v>
      </c>
      <c r="AQ656" s="20">
        <f>(AO$660/AQ$660*AO656)+(AP$660/AQ$660*AP656)</f>
        <v>6.1680746592245484E-4</v>
      </c>
      <c r="AR656" s="162">
        <f>AR315</f>
        <v>0</v>
      </c>
      <c r="AS656" s="40">
        <f>AS315</f>
        <v>0</v>
      </c>
      <c r="AT656" s="20">
        <f>(AR$660/AT$660*AR656)+(AS$660/AT$660*AS656)</f>
        <v>0</v>
      </c>
      <c r="AU656" s="162">
        <f>AU315</f>
        <v>0</v>
      </c>
      <c r="AV656" s="40">
        <f>AV315</f>
        <v>0</v>
      </c>
      <c r="AW656" s="20">
        <f>(AU$660/AW$660*AU656)+(AV$660/AW$660*AV656)</f>
        <v>0</v>
      </c>
      <c r="AX656" s="162">
        <f>AX315</f>
        <v>0</v>
      </c>
      <c r="AY656" s="40">
        <f>AY315</f>
        <v>0</v>
      </c>
      <c r="AZ656" s="20">
        <f>(AX$660/AZ$660*AX656)+(AY$660/AZ$660*AY656)</f>
        <v>0</v>
      </c>
      <c r="BA656" s="162">
        <f>BA315</f>
        <v>0</v>
      </c>
      <c r="BB656" s="40">
        <f>BB315</f>
        <v>0</v>
      </c>
      <c r="BC656" s="20">
        <f>(BA$660/BC$660*BA656)+(BB$660/BC$660*BB656)</f>
        <v>0</v>
      </c>
      <c r="BD656" s="162">
        <f>BD315</f>
        <v>0</v>
      </c>
      <c r="BE656" s="40">
        <f>BE315</f>
        <v>0</v>
      </c>
      <c r="BF656" s="20">
        <f>(BD$660/BF$660*BD656)+(BE$660/BF$660*BE656)</f>
        <v>0</v>
      </c>
      <c r="BG656" s="162">
        <f>BG315</f>
        <v>0</v>
      </c>
      <c r="BH656" s="40">
        <f>BH315</f>
        <v>0</v>
      </c>
      <c r="BI656" s="20">
        <f>(BG$660/BI$660*BG656)+(BH$660/BI$660*BH656)</f>
        <v>0</v>
      </c>
      <c r="BJ656" s="162">
        <f>BJ315</f>
        <v>0</v>
      </c>
      <c r="BK656" s="40">
        <f>BK315</f>
        <v>0</v>
      </c>
      <c r="BL656" s="20">
        <f>(BJ$660/BL$660*BJ656)+(BK$660/BL$660*BK656)</f>
        <v>0</v>
      </c>
      <c r="BM656" s="162">
        <f>BM315</f>
        <v>0</v>
      </c>
      <c r="BN656" s="40">
        <f>BN315</f>
        <v>0</v>
      </c>
      <c r="BO656" s="20">
        <f>(BM$660/BO$660*BM656)+(BN$660/BO$660*BN656)</f>
        <v>0</v>
      </c>
      <c r="BP656" s="162">
        <f>BP315</f>
        <v>0</v>
      </c>
      <c r="BQ656" s="40">
        <f>BQ315</f>
        <v>0</v>
      </c>
      <c r="BR656" s="20">
        <f>(BP$660/BR$660*BP656)+(BQ$660/BR$660*BQ656)</f>
        <v>0</v>
      </c>
    </row>
    <row r="657" spans="3:70" outlineLevel="1">
      <c r="C657" s="383" t="s">
        <v>280</v>
      </c>
      <c r="D657" s="31" t="s">
        <v>66</v>
      </c>
      <c r="E657" s="564"/>
      <c r="F657" s="564"/>
      <c r="G657" s="564"/>
      <c r="H657" s="564"/>
      <c r="I657" s="564"/>
      <c r="J657" s="564"/>
      <c r="K657" s="564"/>
      <c r="L657" s="564"/>
      <c r="M657" s="564"/>
      <c r="N657" s="564"/>
      <c r="O657" s="564"/>
      <c r="P657" s="565"/>
      <c r="Q657" s="565"/>
      <c r="R657" s="565"/>
      <c r="S657" s="565"/>
      <c r="T657" s="565"/>
      <c r="U657" s="565"/>
      <c r="V657" s="565"/>
      <c r="W657" s="565"/>
      <c r="X657" s="565"/>
      <c r="Y657" s="565"/>
      <c r="Z657" s="565"/>
      <c r="AA657" s="565"/>
      <c r="AB657" s="565"/>
      <c r="AC657" s="565"/>
      <c r="AD657" s="565"/>
      <c r="AE657" s="839"/>
      <c r="AF657" s="911">
        <f>+AF327</f>
        <v>-5.2296270380373128E-2</v>
      </c>
      <c r="AG657" s="984">
        <f>+AG327</f>
        <v>-7.1227917763370244E-2</v>
      </c>
      <c r="AH657" s="20">
        <f>(AF$660/AH$660*AF657)+(AG$660/AH$660*AG657)</f>
        <v>-6.1435837331024812E-2</v>
      </c>
      <c r="AI657" s="162">
        <f>+AI327</f>
        <v>-2.1803186612191112E-2</v>
      </c>
      <c r="AJ657" s="162">
        <f>+AJ327</f>
        <v>-6.6182724388156006E-2</v>
      </c>
      <c r="AK657" s="20">
        <f>(AI$660/AK$660*AI657)+(AJ$660/AK$660*AJ657)</f>
        <v>-4.285726627864677E-2</v>
      </c>
      <c r="AL657" s="162">
        <f>+AL327</f>
        <v>-7.5657021254131387E-2</v>
      </c>
      <c r="AM657" s="162">
        <f>+AM327</f>
        <v>-1.4092900571734537E-2</v>
      </c>
      <c r="AN657" s="20">
        <f>(AL$660/AN$660*AL657)+(AM$660/AN$660*AM657)</f>
        <v>-4.594266135887097E-2</v>
      </c>
      <c r="AO657" s="162">
        <f>+AO327</f>
        <v>1.8885116038676645E-3</v>
      </c>
      <c r="AP657" s="162">
        <f>+AP327</f>
        <v>0</v>
      </c>
      <c r="AQ657" s="20">
        <f>(AO$660/AQ$660*AO657)+(AP$660/AQ$660*AP657)</f>
        <v>9.7847236766727941E-4</v>
      </c>
      <c r="AR657" s="162">
        <f>+AR327</f>
        <v>0</v>
      </c>
      <c r="AS657" s="162">
        <f>+AS327</f>
        <v>0</v>
      </c>
      <c r="AT657" s="20">
        <f>(AR$660/AT$660*AR657)+(AS$660/AT$660*AS657)</f>
        <v>0</v>
      </c>
      <c r="AU657" s="162">
        <f>+AU327</f>
        <v>0</v>
      </c>
      <c r="AV657" s="162">
        <f>+AV327</f>
        <v>0</v>
      </c>
      <c r="AW657" s="20">
        <f>(AU$660/AW$660*AU657)+(AV$660/AW$660*AV657)</f>
        <v>0</v>
      </c>
      <c r="AX657" s="162">
        <f>+AX327</f>
        <v>0</v>
      </c>
      <c r="AY657" s="162">
        <f>+AY327</f>
        <v>0</v>
      </c>
      <c r="AZ657" s="20">
        <f>(AX$660/AZ$660*AX657)+(AY$660/AZ$660*AY657)</f>
        <v>0</v>
      </c>
      <c r="BA657" s="162">
        <f>+BA327</f>
        <v>0</v>
      </c>
      <c r="BB657" s="162">
        <f>+BB327</f>
        <v>0</v>
      </c>
      <c r="BC657" s="20">
        <f>(BA$660/BC$660*BA657)+(BB$660/BC$660*BB657)</f>
        <v>0</v>
      </c>
      <c r="BD657" s="162">
        <f>+BD327</f>
        <v>0</v>
      </c>
      <c r="BE657" s="162">
        <f>+BE327</f>
        <v>0</v>
      </c>
      <c r="BF657" s="20">
        <f>(BD$660/BF$660*BD657)+(BE$660/BF$660*BE657)</f>
        <v>0</v>
      </c>
      <c r="BG657" s="162">
        <f>+BG327</f>
        <v>0</v>
      </c>
      <c r="BH657" s="162">
        <f>+BH327</f>
        <v>0</v>
      </c>
      <c r="BI657" s="20">
        <f>(BG$660/BI$660*BG657)+(BH$660/BI$660*BH657)</f>
        <v>0</v>
      </c>
      <c r="BJ657" s="162">
        <f>+BJ327</f>
        <v>0</v>
      </c>
      <c r="BK657" s="162">
        <f>+BK327</f>
        <v>0</v>
      </c>
      <c r="BL657" s="20">
        <f>(BJ$660/BL$660*BJ657)+(BK$660/BL$660*BK657)</f>
        <v>0</v>
      </c>
      <c r="BM657" s="162">
        <f>+BM327</f>
        <v>0</v>
      </c>
      <c r="BN657" s="162">
        <f>+BN327</f>
        <v>0</v>
      </c>
      <c r="BO657" s="20">
        <f>(BM$660/BO$660*BM657)+(BN$660/BO$660*BN657)</f>
        <v>0</v>
      </c>
      <c r="BP657" s="162">
        <f>+BP327</f>
        <v>0</v>
      </c>
      <c r="BQ657" s="162">
        <f>+BQ327</f>
        <v>0</v>
      </c>
      <c r="BR657" s="20">
        <f>(BP$660/BR$660*BP657)+(BQ$660/BR$660*BQ657)</f>
        <v>0</v>
      </c>
    </row>
    <row r="658" spans="3:70" outlineLevel="1">
      <c r="C658" s="384" t="s">
        <v>614</v>
      </c>
      <c r="D658" s="31" t="s">
        <v>66</v>
      </c>
      <c r="E658" s="564"/>
      <c r="F658" s="564"/>
      <c r="G658" s="564"/>
      <c r="H658" s="564"/>
      <c r="I658" s="564"/>
      <c r="J658" s="564"/>
      <c r="K658" s="564"/>
      <c r="L658" s="564"/>
      <c r="M658" s="564"/>
      <c r="N658" s="564"/>
      <c r="O658" s="564"/>
      <c r="P658" s="565"/>
      <c r="Q658" s="565"/>
      <c r="R658" s="565"/>
      <c r="S658" s="565"/>
      <c r="T658" s="565"/>
      <c r="U658" s="565"/>
      <c r="V658" s="565"/>
      <c r="W658" s="565"/>
      <c r="X658" s="565"/>
      <c r="Y658" s="565"/>
      <c r="Z658" s="565"/>
      <c r="AA658" s="565"/>
      <c r="AB658" s="565"/>
      <c r="AC658" s="565"/>
      <c r="AD658" s="565"/>
      <c r="AE658" s="839"/>
      <c r="AF658" s="912">
        <v>0</v>
      </c>
      <c r="AG658" s="973">
        <v>0</v>
      </c>
      <c r="AH658" s="20">
        <f>(AH652-AH659)/AE652-1-AH655-AH656-AH657</f>
        <v>-3.0980487549303617E-2</v>
      </c>
      <c r="AI658" s="540">
        <v>0</v>
      </c>
      <c r="AJ658" s="540">
        <v>0</v>
      </c>
      <c r="AK658" s="20">
        <f>(AK652-AK659)/AH652-1-AK655-AK656-AK657</f>
        <v>-1.5528245846041094E-3</v>
      </c>
      <c r="AL658" s="540">
        <v>0</v>
      </c>
      <c r="AM658" s="43">
        <v>0</v>
      </c>
      <c r="AN658" s="20">
        <f>(AN652-AN659)/AK652-1-AN655-AN656-AN657</f>
        <v>7.5977313002852098E-4</v>
      </c>
      <c r="AO658" s="540">
        <v>0</v>
      </c>
      <c r="AP658" s="43">
        <v>0</v>
      </c>
      <c r="AQ658" s="20">
        <f>(AQ652-AQ659)/AN652-1-AQ655-AQ656-AQ657</f>
        <v>-8.290241797332266E-5</v>
      </c>
      <c r="AR658" s="540">
        <v>0</v>
      </c>
      <c r="AS658" s="43">
        <v>0</v>
      </c>
      <c r="AT658" s="20">
        <f>(AT652-AT659)/AQ652-1-AT655-AT656-AT657</f>
        <v>4.7762180658966757E-6</v>
      </c>
      <c r="AU658" s="540">
        <v>0</v>
      </c>
      <c r="AV658" s="43">
        <v>0</v>
      </c>
      <c r="AW658" s="20">
        <f>(AW652-AW659)/AT652-1-AW655-AW656-AW657</f>
        <v>4.7676658960077445E-6</v>
      </c>
      <c r="AX658" s="540">
        <v>0</v>
      </c>
      <c r="AY658" s="43">
        <v>0</v>
      </c>
      <c r="AZ658" s="20">
        <f>(AZ652-AZ659)/AW652-1-AZ655-AZ656-AZ657</f>
        <v>4.7583439632889468E-6</v>
      </c>
      <c r="BA658" s="540">
        <v>0</v>
      </c>
      <c r="BB658" s="43">
        <v>0</v>
      </c>
      <c r="BC658" s="20">
        <f>(BC652-BC659)/AZ652-1-BC655-BC656-BC657</f>
        <v>4.7482594018322111E-6</v>
      </c>
      <c r="BD658" s="540">
        <v>0</v>
      </c>
      <c r="BE658" s="43">
        <v>0</v>
      </c>
      <c r="BF658" s="20">
        <f>(BF652-BF659)/BC652-1-BF655-BF656-BF657</f>
        <v>4.7374198429983583E-6</v>
      </c>
      <c r="BG658" s="540">
        <v>0</v>
      </c>
      <c r="BH658" s="43">
        <v>0</v>
      </c>
      <c r="BI658" s="20">
        <f>(BI652-BI659)/BF652-1-BI655-BI656-BI657</f>
        <v>4.7258334025246373E-6</v>
      </c>
      <c r="BJ658" s="540">
        <v>0</v>
      </c>
      <c r="BK658" s="43">
        <v>0</v>
      </c>
      <c r="BL658" s="20">
        <f>(BL652-BL659)/BI652-1-BL655-BL656-BL657</f>
        <v>4.7135086693808614E-6</v>
      </c>
      <c r="BM658" s="540">
        <v>0</v>
      </c>
      <c r="BN658" s="43">
        <v>0</v>
      </c>
      <c r="BO658" s="20">
        <f>(BO652-BO659)/BL652-1-BO655-BO656-BO657</f>
        <v>4.7004546909062972E-6</v>
      </c>
      <c r="BP658" s="540">
        <v>0</v>
      </c>
      <c r="BQ658" s="43">
        <v>0</v>
      </c>
      <c r="BR658" s="20">
        <f>(BR652-BR659)/BO652-1-BR655-BR656-BR657</f>
        <v>4.6866809609302784E-6</v>
      </c>
    </row>
    <row r="659" spans="3:70" outlineLevel="1">
      <c r="C659" s="108" t="s">
        <v>583</v>
      </c>
      <c r="D659" s="7" t="s">
        <v>85</v>
      </c>
      <c r="E659" s="782">
        <f>E715</f>
        <v>0</v>
      </c>
      <c r="F659" s="782">
        <f t="shared" ref="F659:AN659" si="2103">F715</f>
        <v>0</v>
      </c>
      <c r="G659" s="806">
        <f t="shared" si="2103"/>
        <v>0</v>
      </c>
      <c r="H659" s="806">
        <f t="shared" si="2103"/>
        <v>0</v>
      </c>
      <c r="I659" s="806">
        <f t="shared" si="2103"/>
        <v>0</v>
      </c>
      <c r="J659" s="806">
        <f t="shared" si="2103"/>
        <v>0</v>
      </c>
      <c r="K659" s="806">
        <f t="shared" si="2103"/>
        <v>0</v>
      </c>
      <c r="L659" s="806">
        <f t="shared" ref="L659:AF659" si="2104">L715</f>
        <v>11.045290212967464</v>
      </c>
      <c r="M659" s="806">
        <f t="shared" si="2104"/>
        <v>11.045290212967464</v>
      </c>
      <c r="N659" s="806">
        <f t="shared" si="2104"/>
        <v>11.209063599858739</v>
      </c>
      <c r="O659" s="806">
        <f t="shared" si="2104"/>
        <v>23.214866195799821</v>
      </c>
      <c r="P659" s="806">
        <f t="shared" si="2104"/>
        <v>34.423929795658559</v>
      </c>
      <c r="Q659" s="806">
        <f t="shared" si="2104"/>
        <v>144.01141959804448</v>
      </c>
      <c r="R659" s="806">
        <f t="shared" si="2104"/>
        <v>120.50030733249478</v>
      </c>
      <c r="S659" s="806">
        <f t="shared" si="2104"/>
        <v>264.51172693053928</v>
      </c>
      <c r="T659" s="806">
        <f t="shared" si="2104"/>
        <v>14.656149402104123</v>
      </c>
      <c r="U659" s="806">
        <f t="shared" si="2104"/>
        <v>35.205967920315778</v>
      </c>
      <c r="V659" s="806">
        <f t="shared" si="2104"/>
        <v>49.862117322419905</v>
      </c>
      <c r="W659" s="806">
        <f t="shared" si="2104"/>
        <v>39.274693574553126</v>
      </c>
      <c r="X659" s="806">
        <f t="shared" si="2104"/>
        <v>20.137665983331864</v>
      </c>
      <c r="Y659" s="806">
        <f t="shared" si="2104"/>
        <v>59.412359557884983</v>
      </c>
      <c r="Z659" s="806">
        <f t="shared" si="2104"/>
        <v>40.211566937694101</v>
      </c>
      <c r="AA659" s="806">
        <f t="shared" si="2104"/>
        <v>34.385696391896943</v>
      </c>
      <c r="AB659" s="806">
        <f t="shared" si="2104"/>
        <v>74.59726332959103</v>
      </c>
      <c r="AC659" s="812">
        <f t="shared" si="2104"/>
        <v>11.925826630920463</v>
      </c>
      <c r="AD659" s="812">
        <f t="shared" si="2104"/>
        <v>18.93768820940468</v>
      </c>
      <c r="AE659" s="840">
        <f t="shared" si="2104"/>
        <v>30.863514840325141</v>
      </c>
      <c r="AF659" s="804">
        <f t="shared" si="2104"/>
        <v>11.904233870967742</v>
      </c>
      <c r="AG659" s="1006">
        <f t="shared" si="2103"/>
        <v>0</v>
      </c>
      <c r="AH659" s="806">
        <f>AH715</f>
        <v>11.904233870967742</v>
      </c>
      <c r="AI659" s="804">
        <f t="shared" si="2103"/>
        <v>0</v>
      </c>
      <c r="AJ659" s="804">
        <f t="shared" si="2103"/>
        <v>0</v>
      </c>
      <c r="AK659" s="806">
        <f t="shared" si="2103"/>
        <v>0</v>
      </c>
      <c r="AL659" s="804">
        <f t="shared" si="2103"/>
        <v>0</v>
      </c>
      <c r="AM659" s="805">
        <f t="shared" si="2103"/>
        <v>0</v>
      </c>
      <c r="AN659" s="806">
        <f t="shared" si="2103"/>
        <v>0</v>
      </c>
      <c r="AO659" s="804">
        <f t="shared" ref="AO659:BR659" si="2105">AO715</f>
        <v>0</v>
      </c>
      <c r="AP659" s="805">
        <f t="shared" si="2105"/>
        <v>0</v>
      </c>
      <c r="AQ659" s="806">
        <f t="shared" si="2105"/>
        <v>0</v>
      </c>
      <c r="AR659" s="804">
        <f t="shared" si="2105"/>
        <v>0</v>
      </c>
      <c r="AS659" s="805">
        <f t="shared" si="2105"/>
        <v>0</v>
      </c>
      <c r="AT659" s="806">
        <f t="shared" si="2105"/>
        <v>0</v>
      </c>
      <c r="AU659" s="804">
        <f t="shared" si="2105"/>
        <v>0</v>
      </c>
      <c r="AV659" s="805">
        <f t="shared" si="2105"/>
        <v>0</v>
      </c>
      <c r="AW659" s="806">
        <f t="shared" si="2105"/>
        <v>0</v>
      </c>
      <c r="AX659" s="804">
        <f t="shared" si="2105"/>
        <v>0</v>
      </c>
      <c r="AY659" s="805">
        <f t="shared" si="2105"/>
        <v>0</v>
      </c>
      <c r="AZ659" s="806">
        <f t="shared" si="2105"/>
        <v>0</v>
      </c>
      <c r="BA659" s="804">
        <f t="shared" si="2105"/>
        <v>0</v>
      </c>
      <c r="BB659" s="805">
        <f t="shared" si="2105"/>
        <v>0</v>
      </c>
      <c r="BC659" s="806">
        <f t="shared" si="2105"/>
        <v>0</v>
      </c>
      <c r="BD659" s="804">
        <f t="shared" si="2105"/>
        <v>0</v>
      </c>
      <c r="BE659" s="805">
        <f t="shared" si="2105"/>
        <v>0</v>
      </c>
      <c r="BF659" s="806">
        <f t="shared" si="2105"/>
        <v>0</v>
      </c>
      <c r="BG659" s="804">
        <f t="shared" si="2105"/>
        <v>0</v>
      </c>
      <c r="BH659" s="805">
        <f t="shared" si="2105"/>
        <v>0</v>
      </c>
      <c r="BI659" s="806">
        <f t="shared" si="2105"/>
        <v>0</v>
      </c>
      <c r="BJ659" s="804">
        <f t="shared" si="2105"/>
        <v>0</v>
      </c>
      <c r="BK659" s="805">
        <f t="shared" si="2105"/>
        <v>0</v>
      </c>
      <c r="BL659" s="806">
        <f t="shared" si="2105"/>
        <v>0</v>
      </c>
      <c r="BM659" s="804">
        <f t="shared" si="2105"/>
        <v>0</v>
      </c>
      <c r="BN659" s="805">
        <f t="shared" si="2105"/>
        <v>0</v>
      </c>
      <c r="BO659" s="806">
        <f t="shared" si="2105"/>
        <v>0</v>
      </c>
      <c r="BP659" s="804">
        <f t="shared" si="2105"/>
        <v>0</v>
      </c>
      <c r="BQ659" s="805">
        <f t="shared" si="2105"/>
        <v>0</v>
      </c>
      <c r="BR659" s="806">
        <f t="shared" si="2105"/>
        <v>0</v>
      </c>
    </row>
    <row r="660" spans="3:70" s="8" customFormat="1" outlineLevel="1">
      <c r="C660" s="467" t="s">
        <v>638</v>
      </c>
      <c r="D660" s="96" t="s">
        <v>85</v>
      </c>
      <c r="E660" s="344">
        <v>180</v>
      </c>
      <c r="F660" s="344">
        <v>162</v>
      </c>
      <c r="G660" s="462">
        <f>SUM(E660:F660)</f>
        <v>342</v>
      </c>
      <c r="H660" s="344">
        <v>175</v>
      </c>
      <c r="I660" s="344">
        <v>362</v>
      </c>
      <c r="J660" s="462">
        <f>SUM(H660:I660)</f>
        <v>537</v>
      </c>
      <c r="K660" s="344">
        <v>428</v>
      </c>
      <c r="L660" s="344">
        <v>452</v>
      </c>
      <c r="M660" s="462">
        <f>SUM(K660:L660)</f>
        <v>880</v>
      </c>
      <c r="N660" s="344">
        <v>479</v>
      </c>
      <c r="O660" s="344">
        <v>498</v>
      </c>
      <c r="P660" s="462">
        <f>SUM(N660:O660)</f>
        <v>977</v>
      </c>
      <c r="Q660" s="344">
        <v>537</v>
      </c>
      <c r="R660" s="344">
        <v>565</v>
      </c>
      <c r="S660" s="64">
        <f>SUM(Q660:R660)</f>
        <v>1102</v>
      </c>
      <c r="T660" s="344">
        <v>551</v>
      </c>
      <c r="U660" s="344">
        <v>541</v>
      </c>
      <c r="V660" s="64">
        <f>SUM(T660:U660)</f>
        <v>1092</v>
      </c>
      <c r="W660" s="344">
        <v>534</v>
      </c>
      <c r="X660" s="344">
        <v>587</v>
      </c>
      <c r="Y660" s="64">
        <f>SUM(W660:X660)</f>
        <v>1121</v>
      </c>
      <c r="Z660" s="344">
        <v>610</v>
      </c>
      <c r="AA660" s="344">
        <v>621</v>
      </c>
      <c r="AB660" s="64">
        <f>SUM(Z660:AA660)</f>
        <v>1231</v>
      </c>
      <c r="AC660" s="460">
        <v>595</v>
      </c>
      <c r="AD660" s="460">
        <v>559</v>
      </c>
      <c r="AE660" s="468">
        <f>AC660+AD660</f>
        <v>1154</v>
      </c>
      <c r="AF660" s="910">
        <f>605/$AF$259</f>
        <v>514.43296370967744</v>
      </c>
      <c r="AG660" s="1004">
        <f>(AD660*(1+AG662))+AG667</f>
        <v>480.15276691519153</v>
      </c>
      <c r="AH660" s="470">
        <f>+AG660+AF660</f>
        <v>994.58573062486903</v>
      </c>
      <c r="AI660" s="470">
        <f t="shared" ref="AI660:AJ660" si="2106">(AF660*(1+AI662))+AI667</f>
        <v>516.55992173889638</v>
      </c>
      <c r="AJ660" s="470">
        <f t="shared" si="2106"/>
        <v>466.25852721645219</v>
      </c>
      <c r="AK660" s="470">
        <f>+AJ660+AI660</f>
        <v>982.81844895534857</v>
      </c>
      <c r="AL660" s="470">
        <f t="shared" ref="AL660:AM660" si="2107">(AI660*(1+AL662))+AL667</f>
        <v>495.68482711008676</v>
      </c>
      <c r="AM660" s="470">
        <f t="shared" si="2107"/>
        <v>462.45111370876674</v>
      </c>
      <c r="AN660" s="470">
        <f>+AM660+AL660</f>
        <v>958.13594081885344</v>
      </c>
      <c r="AO660" s="470">
        <f t="shared" ref="AO660" si="2108">(AL660*(1+AO662))+AO667</f>
        <v>489.27727187439666</v>
      </c>
      <c r="AP660" s="470">
        <f t="shared" ref="AP660" si="2109">(AM660*(1+AP662))+AP667</f>
        <v>455.05783249485825</v>
      </c>
      <c r="AQ660" s="470">
        <f>+AP660+AO660</f>
        <v>944.33510436925485</v>
      </c>
      <c r="AR660" s="470">
        <f t="shared" ref="AR660" si="2110">(AO660*(1+AR662))+AR667</f>
        <v>485.50427142141893</v>
      </c>
      <c r="AS660" s="470">
        <f t="shared" ref="AS660" si="2111">(AP660*(1+AS662))+AS667</f>
        <v>451.71303902033418</v>
      </c>
      <c r="AT660" s="470">
        <f>+AS660+AR660</f>
        <v>937.21731044175317</v>
      </c>
      <c r="AU660" s="470">
        <f t="shared" ref="AU660" si="2112">(AR660*(1+AU662))+AU667</f>
        <v>481.8015412662516</v>
      </c>
      <c r="AV660" s="470">
        <f t="shared" ref="AV660" si="2113">(AS660*(1+AV662))+AV667</f>
        <v>448.4307320592111</v>
      </c>
      <c r="AW660" s="470">
        <f>+AV660+AU660</f>
        <v>930.23227332546276</v>
      </c>
      <c r="AX660" s="470">
        <f t="shared" ref="AX660" si="2114">(AU660*(1+AX662))+AX667</f>
        <v>478.16782060795083</v>
      </c>
      <c r="AY660" s="470">
        <f t="shared" ref="AY660" si="2115">(AV660*(1+AY662))+AY667</f>
        <v>445.20979056071963</v>
      </c>
      <c r="AZ660" s="470">
        <f>+AY660+AX660</f>
        <v>923.37761116867046</v>
      </c>
      <c r="BA660" s="470">
        <f t="shared" ref="BA660" si="2116">(AX660*(1+BA662))+BA667</f>
        <v>474.60187129018459</v>
      </c>
      <c r="BB660" s="470">
        <f t="shared" ref="BB660" si="2117">(AY660*(1+BB662))+BB667</f>
        <v>442.04911360876571</v>
      </c>
      <c r="BC660" s="470">
        <f>+BB660+BA660</f>
        <v>916.65098489895036</v>
      </c>
      <c r="BD660" s="470">
        <f t="shared" ref="BD660" si="2118">(BA660*(1+BD662))+BD667</f>
        <v>471.10247739453558</v>
      </c>
      <c r="BE660" s="470">
        <f t="shared" ref="BE660" si="2119">(BB660*(1+BE662))+BE667</f>
        <v>438.94762006031215</v>
      </c>
      <c r="BF660" s="470">
        <f>+BE660+BD660</f>
        <v>910.05009745484767</v>
      </c>
      <c r="BG660" s="470">
        <f t="shared" ref="BG660" si="2120">(BD660*(1+BG662))+BG667</f>
        <v>467.66844484110879</v>
      </c>
      <c r="BH660" s="470">
        <f t="shared" ref="BH660" si="2121">(BE660*(1+BH662))+BH667</f>
        <v>435.9042481902548</v>
      </c>
      <c r="BI660" s="470">
        <f>+BH660+BG660</f>
        <v>903.57269303136354</v>
      </c>
      <c r="BJ660" s="470">
        <f t="shared" ref="BJ660" si="2122">(BG660*(1+BJ662))+BJ667</f>
        <v>464.29860099631185</v>
      </c>
      <c r="BK660" s="470">
        <f t="shared" ref="BK660" si="2123">(BH660*(1+BK662))+BK667</f>
        <v>432.91795534267681</v>
      </c>
      <c r="BL660" s="470">
        <f>+BK660+BJ660</f>
        <v>897.21655633898865</v>
      </c>
      <c r="BM660" s="470">
        <f t="shared" ref="BM660" si="2124">(BJ660*(1+BM662))+BM667</f>
        <v>460.99179428767974</v>
      </c>
      <c r="BN660" s="470">
        <f t="shared" ref="BN660" si="2125">(BK660*(1+BN662))+BN667</f>
        <v>429.98771758836625</v>
      </c>
      <c r="BO660" s="470">
        <f>+BN660+BM660</f>
        <v>890.97951187604599</v>
      </c>
      <c r="BP660" s="470">
        <f t="shared" ref="BP660" si="2126">(BM660*(1+BP662))+BP667</f>
        <v>457.74689382561729</v>
      </c>
      <c r="BQ660" s="470">
        <f t="shared" ref="BQ660" si="2127">(BN660*(1+BQ662))+BQ667</f>
        <v>427.11252938848492</v>
      </c>
      <c r="BR660" s="470">
        <f>+BQ660+BP660</f>
        <v>884.85942321410221</v>
      </c>
    </row>
    <row r="661" spans="3:70" s="8" customFormat="1" outlineLevel="1">
      <c r="C661" s="108" t="s">
        <v>643</v>
      </c>
      <c r="D661" s="7" t="s">
        <v>66</v>
      </c>
      <c r="E661" s="344"/>
      <c r="F661" s="344"/>
      <c r="G661" s="462"/>
      <c r="H661" s="159">
        <f>+H660/E660-1</f>
        <v>-2.777777777777779E-2</v>
      </c>
      <c r="I661" s="159">
        <f t="shared" ref="I661" si="2128">+I660/F660-1</f>
        <v>1.2345679012345681</v>
      </c>
      <c r="J661" s="159">
        <f t="shared" ref="J661" si="2129">+J660/G660-1</f>
        <v>0.57017543859649122</v>
      </c>
      <c r="K661" s="159">
        <f t="shared" ref="K661" si="2130">+K660/H660-1</f>
        <v>1.4457142857142857</v>
      </c>
      <c r="L661" s="159">
        <f t="shared" ref="L661" si="2131">+L660/I660-1</f>
        <v>0.24861878453038666</v>
      </c>
      <c r="M661" s="159">
        <f t="shared" ref="M661" si="2132">+M660/J660-1</f>
        <v>0.63873370577281197</v>
      </c>
      <c r="N661" s="159">
        <f t="shared" ref="N661" si="2133">+N660/K660-1</f>
        <v>0.11915887850467288</v>
      </c>
      <c r="O661" s="159">
        <f t="shared" ref="O661" si="2134">+O660/L660-1</f>
        <v>0.10176991150442483</v>
      </c>
      <c r="P661" s="159">
        <f t="shared" ref="P661" si="2135">+P660/M660-1</f>
        <v>0.11022727272727262</v>
      </c>
      <c r="Q661" s="159">
        <f t="shared" ref="Q661" si="2136">+Q660/N660-1</f>
        <v>0.12108559498956151</v>
      </c>
      <c r="R661" s="159">
        <f t="shared" ref="R661" si="2137">+R660/O660-1</f>
        <v>0.13453815261044166</v>
      </c>
      <c r="S661" s="159">
        <f t="shared" ref="S661" si="2138">+S660/P660-1</f>
        <v>0.12794268167860801</v>
      </c>
      <c r="T661" s="159">
        <f t="shared" ref="T661" si="2139">+T660/Q660-1</f>
        <v>2.6070763500931182E-2</v>
      </c>
      <c r="U661" s="159">
        <f t="shared" ref="U661" si="2140">+U660/R660-1</f>
        <v>-4.247787610619469E-2</v>
      </c>
      <c r="V661" s="159">
        <f t="shared" ref="V661" si="2141">+V660/S660-1</f>
        <v>-9.0744101633394303E-3</v>
      </c>
      <c r="W661" s="159">
        <f t="shared" ref="W661" si="2142">+W660/T660-1</f>
        <v>-3.0852994555353952E-2</v>
      </c>
      <c r="X661" s="159">
        <f t="shared" ref="X661" si="2143">+X660/U660-1</f>
        <v>8.5027726432532313E-2</v>
      </c>
      <c r="Y661" s="159">
        <f t="shared" ref="Y661" si="2144">+Y660/V660-1</f>
        <v>2.6556776556776462E-2</v>
      </c>
      <c r="Z661" s="159">
        <f t="shared" ref="Z661" si="2145">+Z660/W660-1</f>
        <v>0.14232209737827706</v>
      </c>
      <c r="AA661" s="159">
        <f t="shared" ref="AA661" si="2146">+AA660/X660-1</f>
        <v>5.7921635434412311E-2</v>
      </c>
      <c r="AB661" s="159">
        <f t="shared" ref="AB661" si="2147">+AB660/Y660-1</f>
        <v>9.8126672613737753E-2</v>
      </c>
      <c r="AC661" s="159">
        <f t="shared" ref="AC661" si="2148">+AC660/Z660-1</f>
        <v>-2.4590163934426257E-2</v>
      </c>
      <c r="AD661" s="159">
        <f t="shared" ref="AD661" si="2149">+AD660/AA660-1</f>
        <v>-9.9838969404186795E-2</v>
      </c>
      <c r="AE661" s="46">
        <f t="shared" ref="AE661:AF661" si="2150">+AE660/AB660-1</f>
        <v>-6.2550771730300547E-2</v>
      </c>
      <c r="AF661" s="46">
        <f t="shared" si="2150"/>
        <v>-0.13540678368121439</v>
      </c>
      <c r="AG661" s="961">
        <f t="shared" ref="AG661" si="2151">+AG660/AD660-1</f>
        <v>-0.14105050641289529</v>
      </c>
      <c r="AH661" s="159">
        <f t="shared" ref="AH661" si="2152">+AH660/AE660-1</f>
        <v>-0.13814061470981887</v>
      </c>
      <c r="AI661" s="46">
        <f t="shared" ref="AI661" si="2153">+AI660/AF660-1</f>
        <v>4.1345679209221498E-3</v>
      </c>
      <c r="AJ661" s="46">
        <f t="shared" ref="AJ661:AK661" si="2154">+AJ660/AG660-1</f>
        <v>-2.8937123049409541E-2</v>
      </c>
      <c r="AK661" s="159">
        <f t="shared" si="2154"/>
        <v>-1.1831339729886703E-2</v>
      </c>
      <c r="AL661" s="46">
        <f t="shared" ref="AL661" si="2155">+AL660/AI660-1</f>
        <v>-4.0411758152931743E-2</v>
      </c>
      <c r="AM661" s="159">
        <f t="shared" ref="AM661:AN661" si="2156">+AM660/AJ660-1</f>
        <v>-8.1658849874888251E-3</v>
      </c>
      <c r="AN661" s="159">
        <f t="shared" si="2156"/>
        <v>-2.5114005707494114E-2</v>
      </c>
      <c r="AO661" s="46">
        <f t="shared" ref="AO661" si="2157">+AO660/AL660-1</f>
        <v>-1.2926672121571836E-2</v>
      </c>
      <c r="AP661" s="159">
        <f t="shared" ref="AP661" si="2158">+AP660/AM660-1</f>
        <v>-1.59871627394641E-2</v>
      </c>
      <c r="AQ661" s="159">
        <f t="shared" ref="AQ661" si="2159">+AQ660/AN660-1</f>
        <v>-1.4403839644929639E-2</v>
      </c>
      <c r="AR661" s="46">
        <f t="shared" ref="AR661" si="2160">+AR660/AO660-1</f>
        <v>-7.7113748581117969E-3</v>
      </c>
      <c r="AS661" s="159">
        <f t="shared" ref="AS661" si="2161">+AS660/AP660-1</f>
        <v>-7.350260199206371E-3</v>
      </c>
      <c r="AT661" s="159">
        <f t="shared" ref="AT661" si="2162">+AT660/AQ660-1</f>
        <v>-7.5373603020464364E-3</v>
      </c>
      <c r="AU661" s="46">
        <f t="shared" ref="AU661" si="2163">+AU660/AR660-1</f>
        <v>-7.6265655589945469E-3</v>
      </c>
      <c r="AV661" s="159">
        <f t="shared" ref="AV661" si="2164">+AV660/AS660-1</f>
        <v>-7.26635425056954E-3</v>
      </c>
      <c r="AW661" s="159">
        <f t="shared" ref="AW661" si="2165">+AW660/AT660-1</f>
        <v>-7.4529535876776132E-3</v>
      </c>
      <c r="AX661" s="46">
        <f t="shared" ref="AX661" si="2166">+AX660/AU660-1</f>
        <v>-7.5419448612612516E-3</v>
      </c>
      <c r="AY661" s="159">
        <f t="shared" ref="AY661" si="2167">+AY660/AV660-1</f>
        <v>-7.1826957169076611E-3</v>
      </c>
      <c r="AZ661" s="159">
        <f t="shared" ref="AZ661" si="2168">+AZ660/AW660-1</f>
        <v>-7.3687640746840088E-3</v>
      </c>
      <c r="BA661" s="46">
        <f t="shared" ref="BA661" si="2169">+BA660/AX660-1</f>
        <v>-7.4575267596059813E-3</v>
      </c>
      <c r="BB661" s="159">
        <f t="shared" ref="BB661" si="2170">+BB660/AY660-1</f>
        <v>-7.099297946644878E-3</v>
      </c>
      <c r="BC661" s="159">
        <f t="shared" ref="BC661" si="2171">+BC660/AZ660-1</f>
        <v>-7.2848054667543627E-3</v>
      </c>
      <c r="BD661" s="46">
        <f t="shared" ref="BD661" si="2172">+BD660/BA660-1</f>
        <v>-7.373325111711071E-3</v>
      </c>
      <c r="BE661" s="159">
        <f t="shared" ref="BE661" si="2173">+BE660/BB660-1</f>
        <v>-7.0161741149842305E-3</v>
      </c>
      <c r="BF661" s="159">
        <f t="shared" ref="BF661" si="2174">+BF660/BC660-1</f>
        <v>-7.201091312666108E-3</v>
      </c>
      <c r="BG661" s="46">
        <f t="shared" ref="BG661" si="2175">+BG660/BD660-1</f>
        <v>-7.2893536294246219E-3</v>
      </c>
      <c r="BH661" s="159">
        <f t="shared" ref="BH661" si="2176">+BH660/BE660-1</f>
        <v>-6.933337216042279E-3</v>
      </c>
      <c r="BI661" s="159">
        <f t="shared" ref="BI661" si="2177">+BI660/BF660-1</f>
        <v>-7.1176349978969711E-3</v>
      </c>
      <c r="BJ661" s="46">
        <f t="shared" ref="BJ661" si="2178">+BJ660/BG660-1</f>
        <v>-7.2056258701436171E-3</v>
      </c>
      <c r="BK661" s="159">
        <f t="shared" ref="BK661" si="2179">+BK660/BH660-1</f>
        <v>-6.850800055232753E-3</v>
      </c>
      <c r="BL661" s="159">
        <f t="shared" ref="BL661" si="2180">+BL660/BI660-1</f>
        <v>-7.0344497364688285E-3</v>
      </c>
      <c r="BM661" s="46">
        <f t="shared" ref="BM661" si="2181">+BM660/BJ660-1</f>
        <v>-7.1221552284159717E-3</v>
      </c>
      <c r="BN661" s="159">
        <f t="shared" ref="BN661" si="2182">+BN660/BK660-1</f>
        <v>-6.7685752419095468E-3</v>
      </c>
      <c r="BO661" s="159">
        <f t="shared" ref="BO661" si="2183">+BO660/BL660-1</f>
        <v>-6.9515485630273766E-3</v>
      </c>
      <c r="BP661" s="46">
        <f t="shared" ref="BP661" si="2184">+BP660/BM660-1</f>
        <v>-7.038954927769292E-3</v>
      </c>
      <c r="BQ661" s="159">
        <f t="shared" ref="BQ661" si="2185">+BQ660/BN660-1</f>
        <v>-6.6866751822752812E-3</v>
      </c>
      <c r="BR661" s="159">
        <f t="shared" ref="BR661" si="2186">+BR660/BO660-1</f>
        <v>-6.8689443251700455E-3</v>
      </c>
    </row>
    <row r="662" spans="3:70" outlineLevel="1">
      <c r="C662" s="108" t="s">
        <v>639</v>
      </c>
      <c r="D662" s="7" t="s">
        <v>66</v>
      </c>
      <c r="E662" s="440"/>
      <c r="F662" s="440"/>
      <c r="G662" s="564"/>
      <c r="H662" s="465"/>
      <c r="I662" s="465"/>
      <c r="J662" s="162">
        <f t="shared" ref="J662:S662" si="2187">(J660-J667)/G660-1</f>
        <v>4.3666620526251254E-2</v>
      </c>
      <c r="K662" s="162">
        <f t="shared" si="2187"/>
        <v>0.20846230192749893</v>
      </c>
      <c r="L662" s="162">
        <f t="shared" si="2187"/>
        <v>0.15455228366617968</v>
      </c>
      <c r="M662" s="162">
        <f t="shared" si="2187"/>
        <v>0.1721207253714514</v>
      </c>
      <c r="N662" s="162">
        <f t="shared" si="2187"/>
        <v>0.11915887850467288</v>
      </c>
      <c r="O662" s="162">
        <f t="shared" si="2187"/>
        <v>0.10176991150442483</v>
      </c>
      <c r="P662" s="162">
        <f t="shared" si="2187"/>
        <v>0.11022727272727262</v>
      </c>
      <c r="Q662" s="162">
        <f t="shared" si="2187"/>
        <v>9.6512093584508518E-2</v>
      </c>
      <c r="R662" s="162">
        <f t="shared" si="2187"/>
        <v>4.7373632934792465E-2</v>
      </c>
      <c r="S662" s="162">
        <f t="shared" si="2187"/>
        <v>7.1465058371040113E-2</v>
      </c>
      <c r="T662" s="162">
        <f t="shared" ref="T662:AF662" si="2188">(T660-T667)/Q660-1</f>
        <v>-6.128309239954699E-2</v>
      </c>
      <c r="U662" s="162">
        <f t="shared" si="2188"/>
        <v>-6.9614211420123806E-2</v>
      </c>
      <c r="V662" s="162">
        <f t="shared" si="2188"/>
        <v>-6.5554491897392708E-2</v>
      </c>
      <c r="W662" s="162">
        <f t="shared" si="2188"/>
        <v>-3.0852994555353952E-2</v>
      </c>
      <c r="X662" s="162">
        <f t="shared" si="2188"/>
        <v>8.5027726432532313E-2</v>
      </c>
      <c r="Y662" s="162">
        <f t="shared" si="2188"/>
        <v>2.6556776556776462E-2</v>
      </c>
      <c r="Z662" s="162">
        <f t="shared" si="2188"/>
        <v>0.11151580410850093</v>
      </c>
      <c r="AA662" s="162">
        <f t="shared" si="2188"/>
        <v>1.6521556807757909E-2</v>
      </c>
      <c r="AB662" s="162">
        <f t="shared" si="2188"/>
        <v>6.1773053737817385E-2</v>
      </c>
      <c r="AC662" s="162">
        <f t="shared" si="2188"/>
        <v>-3.9837169615448254E-2</v>
      </c>
      <c r="AD662" s="162">
        <f t="shared" si="2188"/>
        <v>-9.9838969404186795E-2</v>
      </c>
      <c r="AE662" s="162">
        <f t="shared" si="2188"/>
        <v>-7.0106152287102708E-2</v>
      </c>
      <c r="AF662" s="429">
        <f t="shared" si="2188"/>
        <v>-0.13540678368121439</v>
      </c>
      <c r="AG662" s="974">
        <f>+AG663+AG664+AG665+AG666</f>
        <v>-0.14105050641289524</v>
      </c>
      <c r="AH662" s="429">
        <f>+AH663+AH664+AH665+AH666</f>
        <v>-0.13814061470981887</v>
      </c>
      <c r="AI662" s="429">
        <f t="shared" ref="AI662:AJ662" si="2189">+AI663+AI664+AI665+AI666</f>
        <v>4.1345679209222408E-3</v>
      </c>
      <c r="AJ662" s="429">
        <f t="shared" si="2189"/>
        <v>-2.893712304940959E-2</v>
      </c>
      <c r="AK662" s="429">
        <f>+AK663+AK664+AK665+AK666</f>
        <v>-1.1831339729886703E-2</v>
      </c>
      <c r="AL662" s="429">
        <f t="shared" ref="AL662:AM662" si="2190">+AL663+AL664+AL665+AL666</f>
        <v>-4.0411758152931757E-2</v>
      </c>
      <c r="AM662" s="429">
        <f t="shared" si="2190"/>
        <v>-8.1658849874887418E-3</v>
      </c>
      <c r="AN662" s="429">
        <f>+AN663+AN664+AN665+AN666</f>
        <v>-2.5114005707494114E-2</v>
      </c>
      <c r="AO662" s="429">
        <f t="shared" ref="AO662:AP662" si="2191">+AO663+AO664+AO665+AO666</f>
        <v>-1.2926672121571815E-2</v>
      </c>
      <c r="AP662" s="429">
        <f t="shared" si="2191"/>
        <v>-1.59871627394641E-2</v>
      </c>
      <c r="AQ662" s="429">
        <f>+AQ663+AQ664+AQ665+AQ666</f>
        <v>-1.4403839644929639E-2</v>
      </c>
      <c r="AR662" s="429">
        <f t="shared" ref="AR662:AS662" si="2192">+AR663+AR664+AR665+AR666</f>
        <v>-7.7113748581117943E-3</v>
      </c>
      <c r="AS662" s="429">
        <f t="shared" si="2192"/>
        <v>-7.3502601992063345E-3</v>
      </c>
      <c r="AT662" s="429">
        <f>+AT663+AT664+AT665+AT666</f>
        <v>-7.5373603020464364E-3</v>
      </c>
      <c r="AU662" s="429">
        <f t="shared" ref="AU662:AV662" si="2193">+AU663+AU664+AU665+AU666</f>
        <v>-7.6265655589945356E-3</v>
      </c>
      <c r="AV662" s="429">
        <f t="shared" si="2193"/>
        <v>-7.2663542505694888E-3</v>
      </c>
      <c r="AW662" s="429">
        <f>+AW663+AW664+AW665+AW666</f>
        <v>-7.4529535876776132E-3</v>
      </c>
      <c r="AX662" s="429">
        <f t="shared" ref="AX662:AY662" si="2194">+AX663+AX664+AX665+AX666</f>
        <v>-7.5419448612612195E-3</v>
      </c>
      <c r="AY662" s="429">
        <f t="shared" si="2194"/>
        <v>-7.1826957169076446E-3</v>
      </c>
      <c r="AZ662" s="429">
        <f>+AZ663+AZ664+AZ665+AZ666</f>
        <v>-7.3687640746840088E-3</v>
      </c>
      <c r="BA662" s="429">
        <f t="shared" ref="BA662:BB662" si="2195">+BA663+BA664+BA665+BA666</f>
        <v>-7.4575267596059284E-3</v>
      </c>
      <c r="BB662" s="429">
        <f t="shared" si="2195"/>
        <v>-7.0992979466448546E-3</v>
      </c>
      <c r="BC662" s="429">
        <f>+BC663+BC664+BC665+BC666</f>
        <v>-7.2848054667543627E-3</v>
      </c>
      <c r="BD662" s="429">
        <f t="shared" ref="BD662:BE662" si="2196">+BD663+BD664+BD665+BD666</f>
        <v>-7.3733251117110692E-3</v>
      </c>
      <c r="BE662" s="429">
        <f t="shared" si="2196"/>
        <v>-7.0161741149842452E-3</v>
      </c>
      <c r="BF662" s="429">
        <f>+BF663+BF664+BF665+BF666</f>
        <v>-7.201091312666108E-3</v>
      </c>
      <c r="BG662" s="429">
        <f t="shared" ref="BG662:BH662" si="2197">+BG663+BG664+BG665+BG666</f>
        <v>-7.2893536294245725E-3</v>
      </c>
      <c r="BH662" s="429">
        <f t="shared" si="2197"/>
        <v>-6.933337216042273E-3</v>
      </c>
      <c r="BI662" s="429">
        <f>+BI663+BI664+BI665+BI666</f>
        <v>-7.1176349978969711E-3</v>
      </c>
      <c r="BJ662" s="429">
        <f t="shared" ref="BJ662:BK662" si="2198">+BJ663+BJ664+BJ665+BJ666</f>
        <v>-7.2056258701436266E-3</v>
      </c>
      <c r="BK662" s="429">
        <f t="shared" si="2198"/>
        <v>-6.850800055232786E-3</v>
      </c>
      <c r="BL662" s="429">
        <f>+BL663+BL664+BL665+BL666</f>
        <v>-7.0344497364688285E-3</v>
      </c>
      <c r="BM662" s="429">
        <f t="shared" ref="BM662:BN662" si="2199">+BM663+BM664+BM665+BM666</f>
        <v>-7.1221552284159734E-3</v>
      </c>
      <c r="BN662" s="429">
        <f t="shared" si="2199"/>
        <v>-6.7685752419095416E-3</v>
      </c>
      <c r="BO662" s="429">
        <f>+BO663+BO664+BO665+BO666</f>
        <v>-6.9515485630273766E-3</v>
      </c>
      <c r="BP662" s="429">
        <f t="shared" ref="BP662:BQ662" si="2200">+BP663+BP664+BP665+BP666</f>
        <v>-7.0389549277692269E-3</v>
      </c>
      <c r="BQ662" s="429">
        <f t="shared" si="2200"/>
        <v>-6.6866751822752413E-3</v>
      </c>
      <c r="BR662" s="429">
        <f>+BR663+BR664+BR665+BR666</f>
        <v>-6.8689443251700455E-3</v>
      </c>
    </row>
    <row r="663" spans="3:70" outlineLevel="1">
      <c r="C663" s="384" t="s">
        <v>534</v>
      </c>
      <c r="D663" s="31" t="s">
        <v>66</v>
      </c>
      <c r="E663" s="564"/>
      <c r="F663" s="564"/>
      <c r="G663" s="564"/>
      <c r="H663" s="564"/>
      <c r="I663" s="564"/>
      <c r="J663" s="564"/>
      <c r="K663" s="564"/>
      <c r="L663" s="564"/>
      <c r="M663" s="564"/>
      <c r="N663" s="564"/>
      <c r="O663" s="564"/>
      <c r="P663" s="565"/>
      <c r="Q663" s="565"/>
      <c r="R663" s="565"/>
      <c r="S663" s="565"/>
      <c r="T663" s="565"/>
      <c r="U663" s="565"/>
      <c r="V663" s="565"/>
      <c r="W663" s="565"/>
      <c r="X663" s="565"/>
      <c r="Y663" s="565"/>
      <c r="Z663" s="565"/>
      <c r="AA663" s="565"/>
      <c r="AB663" s="565"/>
      <c r="AC663" s="565"/>
      <c r="AD663" s="565"/>
      <c r="AE663" s="839"/>
      <c r="AF663" s="911">
        <f>+AF310</f>
        <v>-5.0690435463362313E-2</v>
      </c>
      <c r="AG663" s="984">
        <f>+AG310</f>
        <v>-4.9750526320862506E-2</v>
      </c>
      <c r="AH663" s="20">
        <f>(AF$660/AH$660*AF663)+(AG$660/AH$660*AG663)</f>
        <v>-5.0236678726739287E-2</v>
      </c>
      <c r="AI663" s="162">
        <f>+AI310</f>
        <v>-2.4571089633675068E-3</v>
      </c>
      <c r="AJ663" s="162">
        <f>+AJ310</f>
        <v>-2.5642734323540906E-3</v>
      </c>
      <c r="AK663" s="20">
        <f>(AI$660/AK$660*AI663)+(AJ$660/AK$660*AJ663)</f>
        <v>-2.5079488184116686E-3</v>
      </c>
      <c r="AL663" s="162">
        <f>+AL310</f>
        <v>-1.5447987055185984E-3</v>
      </c>
      <c r="AM663" s="162">
        <f>+AM310</f>
        <v>-3.2172649900808273E-3</v>
      </c>
      <c r="AN663" s="20">
        <f>(AL$660/AN$660*AL663)+(AM$660/AN$660*AM663)</f>
        <v>-2.352026430715051E-3</v>
      </c>
      <c r="AO663" s="162">
        <f>+AO310</f>
        <v>-1.6055005464805039E-2</v>
      </c>
      <c r="AP663" s="162">
        <f>+AP310</f>
        <v>-1.59871627394641E-2</v>
      </c>
      <c r="AQ663" s="20">
        <f>(AO$660/AQ$660*AO663)+(AP$660/AQ$660*AP663)</f>
        <v>-1.6022313295043108E-2</v>
      </c>
      <c r="AR663" s="162">
        <f>+AR310</f>
        <v>-7.7113748581117943E-3</v>
      </c>
      <c r="AS663" s="162">
        <f>+AS310</f>
        <v>-7.3502601992063345E-3</v>
      </c>
      <c r="AT663" s="20">
        <f>(AR$660/AT$660*AR663)+(AS$660/AT$660*AS663)</f>
        <v>-7.5373274966390406E-3</v>
      </c>
      <c r="AU663" s="162">
        <f>+AU310</f>
        <v>-7.6265655589945356E-3</v>
      </c>
      <c r="AV663" s="162">
        <f>+AV310</f>
        <v>-7.2663542505694888E-3</v>
      </c>
      <c r="AW663" s="20">
        <f>(AU$660/AW$660*AU663)+(AV$660/AW$660*AV663)</f>
        <v>-7.4529209485408466E-3</v>
      </c>
      <c r="AX663" s="162">
        <f>+AX310</f>
        <v>-7.5419448612612195E-3</v>
      </c>
      <c r="AY663" s="162">
        <f>+AY310</f>
        <v>-7.1826957169076446E-3</v>
      </c>
      <c r="AZ663" s="20">
        <f>(AX$660/AZ$660*AX663)+(AY$660/AZ$660*AY663)</f>
        <v>-7.3687316120095471E-3</v>
      </c>
      <c r="BA663" s="162">
        <f>+BA310</f>
        <v>-7.4575267596059284E-3</v>
      </c>
      <c r="BB663" s="162">
        <f>+BB310</f>
        <v>-7.0992979466448546E-3</v>
      </c>
      <c r="BC663" s="20">
        <f>(BA$660/BC$660*BA663)+(BB$660/BC$660*BB663)</f>
        <v>-7.284773190529668E-3</v>
      </c>
      <c r="BD663" s="162">
        <f>+BD310</f>
        <v>-7.3733251117110692E-3</v>
      </c>
      <c r="BE663" s="162">
        <f>+BE310</f>
        <v>-7.0161741149842452E-3</v>
      </c>
      <c r="BF663" s="20">
        <f>(BD$660/BF$660*BD663)+(BE$660/BF$660*BE663)</f>
        <v>-7.2010592326634763E-3</v>
      </c>
      <c r="BG663" s="162">
        <f>+BG310</f>
        <v>-7.2893536294245725E-3</v>
      </c>
      <c r="BH663" s="162">
        <f>+BH310</f>
        <v>-6.933337216042273E-3</v>
      </c>
      <c r="BI663" s="20">
        <f>(BG$660/BI$660*BG663)+(BH$660/BI$660*BH663)</f>
        <v>-7.1176031236648597E-3</v>
      </c>
      <c r="BJ663" s="162">
        <f>+BJ310</f>
        <v>-7.2056258701436266E-3</v>
      </c>
      <c r="BK663" s="162">
        <f>+BK310</f>
        <v>-6.850800055232786E-3</v>
      </c>
      <c r="BL663" s="20">
        <f>(BJ$660/BL$660*BJ663)+(BK$660/BL$660*BK663)</f>
        <v>-7.0344180773217989E-3</v>
      </c>
      <c r="BM663" s="162">
        <f>+BM310</f>
        <v>-7.1221552284159734E-3</v>
      </c>
      <c r="BN663" s="162">
        <f>+BN310</f>
        <v>-6.7685752419095416E-3</v>
      </c>
      <c r="BO663" s="20">
        <f>(BM$660/BO$660*BM663)+(BN$660/BO$660*BN663)</f>
        <v>-6.9515171280373229E-3</v>
      </c>
      <c r="BP663" s="162">
        <f>+BP310</f>
        <v>-7.0389549277692269E-3</v>
      </c>
      <c r="BQ663" s="162">
        <f>+BQ310</f>
        <v>-6.6866751822752413E-3</v>
      </c>
      <c r="BR663" s="20">
        <f>(BP$660/BR$660*BP663)+(BQ$660/BR$660*BQ663)</f>
        <v>-6.8689131231583472E-3</v>
      </c>
    </row>
    <row r="664" spans="3:70" outlineLevel="1">
      <c r="C664" s="384" t="s">
        <v>92</v>
      </c>
      <c r="D664" s="31" t="s">
        <v>66</v>
      </c>
      <c r="E664" s="564"/>
      <c r="F664" s="564"/>
      <c r="G664" s="564"/>
      <c r="H664" s="564"/>
      <c r="I664" s="564"/>
      <c r="J664" s="564"/>
      <c r="K664" s="564"/>
      <c r="L664" s="564"/>
      <c r="M664" s="564"/>
      <c r="N664" s="564"/>
      <c r="O664" s="564"/>
      <c r="P664" s="565"/>
      <c r="Q664" s="565"/>
      <c r="R664" s="565"/>
      <c r="S664" s="565"/>
      <c r="T664" s="565"/>
      <c r="U664" s="565"/>
      <c r="V664" s="565"/>
      <c r="W664" s="565"/>
      <c r="X664" s="565"/>
      <c r="Y664" s="565"/>
      <c r="Z664" s="565"/>
      <c r="AA664" s="565"/>
      <c r="AB664" s="565"/>
      <c r="AC664" s="565"/>
      <c r="AD664" s="565"/>
      <c r="AE664" s="839"/>
      <c r="AF664" s="911">
        <f>AF315-AF317</f>
        <v>0</v>
      </c>
      <c r="AG664" s="1071">
        <f>AG315-AG317</f>
        <v>0</v>
      </c>
      <c r="AH664" s="133">
        <f>(AF$660/AH$660*AF664)+(AG$660/AH$660*AG664)</f>
        <v>0</v>
      </c>
      <c r="AI664" s="162">
        <f>AI315-AI317</f>
        <v>0</v>
      </c>
      <c r="AJ664" s="162">
        <f>AJ315-AJ317</f>
        <v>0</v>
      </c>
      <c r="AK664" s="133">
        <f>(AI$660/AK$660*AI664)+(AJ$660/AK$660*AJ664)</f>
        <v>0</v>
      </c>
      <c r="AL664" s="162">
        <f>AL315-AL317</f>
        <v>0</v>
      </c>
      <c r="AM664" s="162">
        <f>AM315-AM317</f>
        <v>0</v>
      </c>
      <c r="AN664" s="20">
        <f>(AL$660/AN$660*AL664)+(AM$660/AN$660*AM664)</f>
        <v>0</v>
      </c>
      <c r="AO664" s="162">
        <f>AO315-AO317</f>
        <v>0</v>
      </c>
      <c r="AP664" s="162">
        <f>AP315-AP317</f>
        <v>0</v>
      </c>
      <c r="AQ664" s="20">
        <f>(AO$660/AQ$660*AO664)+(AP$660/AQ$660*AP664)</f>
        <v>0</v>
      </c>
      <c r="AR664" s="162">
        <f>AR315-AR317</f>
        <v>0</v>
      </c>
      <c r="AS664" s="162">
        <f>AS315-AS317</f>
        <v>0</v>
      </c>
      <c r="AT664" s="20">
        <f>(AR$660/AT$660*AR664)+(AS$660/AT$660*AS664)</f>
        <v>0</v>
      </c>
      <c r="AU664" s="162">
        <f>AU315-AU317</f>
        <v>0</v>
      </c>
      <c r="AV664" s="162">
        <f>AV315-AV317</f>
        <v>0</v>
      </c>
      <c r="AW664" s="20">
        <f>(AU$660/AW$660*AU664)+(AV$660/AW$660*AV664)</f>
        <v>0</v>
      </c>
      <c r="AX664" s="162">
        <f>AX315-AX317</f>
        <v>0</v>
      </c>
      <c r="AY664" s="162">
        <f>AY315-AY317</f>
        <v>0</v>
      </c>
      <c r="AZ664" s="20">
        <f>(AX$660/AZ$660*AX664)+(AY$660/AZ$660*AY664)</f>
        <v>0</v>
      </c>
      <c r="BA664" s="162">
        <f>BA315-BA317</f>
        <v>0</v>
      </c>
      <c r="BB664" s="162">
        <f>BB315-BB317</f>
        <v>0</v>
      </c>
      <c r="BC664" s="20">
        <f>(BA$660/BC$660*BA664)+(BB$660/BC$660*BB664)</f>
        <v>0</v>
      </c>
      <c r="BD664" s="162">
        <f>BD315-BD317</f>
        <v>0</v>
      </c>
      <c r="BE664" s="162">
        <f>BE315-BE317</f>
        <v>0</v>
      </c>
      <c r="BF664" s="20">
        <f>(BD$660/BF$660*BD664)+(BE$660/BF$660*BE664)</f>
        <v>0</v>
      </c>
      <c r="BG664" s="162">
        <f>BG315-BG317</f>
        <v>0</v>
      </c>
      <c r="BH664" s="162">
        <f>BH315-BH317</f>
        <v>0</v>
      </c>
      <c r="BI664" s="20">
        <f>(BG$660/BI$660*BG664)+(BH$660/BI$660*BH664)</f>
        <v>0</v>
      </c>
      <c r="BJ664" s="162">
        <f>BJ315-BJ317</f>
        <v>0</v>
      </c>
      <c r="BK664" s="162">
        <f>BK315-BK317</f>
        <v>0</v>
      </c>
      <c r="BL664" s="20">
        <f>(BJ$660/BL$660*BJ664)+(BK$660/BL$660*BK664)</f>
        <v>0</v>
      </c>
      <c r="BM664" s="162">
        <f>BM315-BM317</f>
        <v>0</v>
      </c>
      <c r="BN664" s="162">
        <f>BN315-BN317</f>
        <v>0</v>
      </c>
      <c r="BO664" s="20">
        <f>(BM$660/BO$660*BM664)+(BN$660/BO$660*BN664)</f>
        <v>0</v>
      </c>
      <c r="BP664" s="162">
        <f>BP315-BP317</f>
        <v>0</v>
      </c>
      <c r="BQ664" s="162">
        <f>BQ315-BQ317</f>
        <v>0</v>
      </c>
      <c r="BR664" s="20">
        <f>(BP$660/BR$660*BP664)+(BQ$660/BR$660*BQ664)</f>
        <v>0</v>
      </c>
    </row>
    <row r="665" spans="3:70" s="8" customFormat="1" outlineLevel="1">
      <c r="C665" s="383" t="s">
        <v>280</v>
      </c>
      <c r="D665" s="31" t="s">
        <v>66</v>
      </c>
      <c r="E665" s="578"/>
      <c r="F665" s="578"/>
      <c r="G665" s="579"/>
      <c r="H665" s="578"/>
      <c r="I665" s="578"/>
      <c r="J665" s="579"/>
      <c r="K665" s="578"/>
      <c r="L665" s="578"/>
      <c r="M665" s="579"/>
      <c r="N665" s="578"/>
      <c r="O665" s="578"/>
      <c r="P665" s="579"/>
      <c r="Q665" s="578"/>
      <c r="R665" s="578"/>
      <c r="S665" s="579"/>
      <c r="T665" s="578"/>
      <c r="U665" s="578"/>
      <c r="V665" s="579"/>
      <c r="W665" s="578"/>
      <c r="X665" s="578"/>
      <c r="Y665" s="579"/>
      <c r="Z665" s="578"/>
      <c r="AA665" s="578"/>
      <c r="AB665" s="579"/>
      <c r="AC665" s="582"/>
      <c r="AD665" s="582"/>
      <c r="AE665" s="583"/>
      <c r="AF665" s="911">
        <f>+AF331</f>
        <v>-3.0076159809509694E-2</v>
      </c>
      <c r="AG665" s="984">
        <f>+AG331</f>
        <v>-6.1299980092032719E-2</v>
      </c>
      <c r="AH665" s="20">
        <f>(AF$660/AH$660*AF665)+(AG$660/AH$660*AG665)</f>
        <v>-4.5149977219796633E-2</v>
      </c>
      <c r="AI665" s="162">
        <f>+AI331</f>
        <v>6.5916768842897476E-3</v>
      </c>
      <c r="AJ665" s="162">
        <f>+AJ331</f>
        <v>-2.6372849617055501E-2</v>
      </c>
      <c r="AK665" s="20">
        <f>(AI$660/AK$660*AI665)+(AJ$660/AK$660*AJ665)</f>
        <v>-9.0470116173780035E-3</v>
      </c>
      <c r="AL665" s="162">
        <f>+AL331</f>
        <v>-3.8866959447413155E-2</v>
      </c>
      <c r="AM665" s="162">
        <f>+AM331</f>
        <v>-4.9486199974079137E-3</v>
      </c>
      <c r="AN665" s="20">
        <f>(AL$660/AN$660*AL665)+(AM$660/AN$660*AM665)</f>
        <v>-2.2496032123257532E-2</v>
      </c>
      <c r="AO665" s="162">
        <f>+AO331</f>
        <v>3.128333343233224E-3</v>
      </c>
      <c r="AP665" s="162">
        <f>+AP331</f>
        <v>0</v>
      </c>
      <c r="AQ665" s="20">
        <f>(AO$660/AQ$660*AO665)+(AP$660/AQ$660*AP665)</f>
        <v>1.6208466640803356E-3</v>
      </c>
      <c r="AR665" s="162">
        <f>+AR331</f>
        <v>0</v>
      </c>
      <c r="AS665" s="162">
        <f>+AS331</f>
        <v>0</v>
      </c>
      <c r="AT665" s="20">
        <f>(AR$660/AT$660*AR665)+(AS$660/AT$660*AS665)</f>
        <v>0</v>
      </c>
      <c r="AU665" s="162">
        <f>+AU331</f>
        <v>0</v>
      </c>
      <c r="AV665" s="162">
        <f>+AV331</f>
        <v>0</v>
      </c>
      <c r="AW665" s="20">
        <f>(AU$660/AW$660*AU665)+(AV$660/AW$660*AV665)</f>
        <v>0</v>
      </c>
      <c r="AX665" s="162">
        <f>+AX331</f>
        <v>0</v>
      </c>
      <c r="AY665" s="162">
        <f>+AY331</f>
        <v>0</v>
      </c>
      <c r="AZ665" s="20">
        <f>(AX$660/AZ$660*AX665)+(AY$660/AZ$660*AY665)</f>
        <v>0</v>
      </c>
      <c r="BA665" s="162">
        <f>+BA331</f>
        <v>0</v>
      </c>
      <c r="BB665" s="162">
        <f>+BB331</f>
        <v>0</v>
      </c>
      <c r="BC665" s="20">
        <f>(BA$660/BC$660*BA665)+(BB$660/BC$660*BB665)</f>
        <v>0</v>
      </c>
      <c r="BD665" s="162">
        <f>+BD331</f>
        <v>0</v>
      </c>
      <c r="BE665" s="162">
        <f>+BE331</f>
        <v>0</v>
      </c>
      <c r="BF665" s="20">
        <f>(BD$660/BF$660*BD665)+(BE$660/BF$660*BE665)</f>
        <v>0</v>
      </c>
      <c r="BG665" s="162">
        <f>+BG331</f>
        <v>0</v>
      </c>
      <c r="BH665" s="162">
        <f>+BH331</f>
        <v>0</v>
      </c>
      <c r="BI665" s="20">
        <f>(BG$660/BI$660*BG665)+(BH$660/BI$660*BH665)</f>
        <v>0</v>
      </c>
      <c r="BJ665" s="162">
        <f>+BJ331</f>
        <v>0</v>
      </c>
      <c r="BK665" s="162">
        <f>+BK331</f>
        <v>0</v>
      </c>
      <c r="BL665" s="20">
        <f>(BJ$660/BL$660*BJ665)+(BK$660/BL$660*BK665)</f>
        <v>0</v>
      </c>
      <c r="BM665" s="162">
        <f>+BM331</f>
        <v>0</v>
      </c>
      <c r="BN665" s="162">
        <f>+BN331</f>
        <v>0</v>
      </c>
      <c r="BO665" s="20">
        <f>(BM$660/BO$660*BM665)+(BN$660/BO$660*BN665)</f>
        <v>0</v>
      </c>
      <c r="BP665" s="162">
        <f>+BP331</f>
        <v>0</v>
      </c>
      <c r="BQ665" s="162">
        <f>+BQ331</f>
        <v>0</v>
      </c>
      <c r="BR665" s="20">
        <f>(BP$660/BR$660*BP665)+(BQ$660/BR$660*BQ665)</f>
        <v>0</v>
      </c>
    </row>
    <row r="666" spans="3:70" outlineLevel="1">
      <c r="C666" s="384" t="s">
        <v>614</v>
      </c>
      <c r="D666" s="31" t="s">
        <v>66</v>
      </c>
      <c r="E666" s="564"/>
      <c r="F666" s="564"/>
      <c r="G666" s="564"/>
      <c r="H666" s="564"/>
      <c r="I666" s="564"/>
      <c r="J666" s="564"/>
      <c r="K666" s="564"/>
      <c r="L666" s="564"/>
      <c r="M666" s="564"/>
      <c r="N666" s="564"/>
      <c r="O666" s="564"/>
      <c r="P666" s="565"/>
      <c r="Q666" s="565"/>
      <c r="R666" s="565"/>
      <c r="S666" s="565"/>
      <c r="T666" s="565"/>
      <c r="U666" s="565"/>
      <c r="V666" s="565"/>
      <c r="W666" s="565"/>
      <c r="X666" s="565"/>
      <c r="Y666" s="565"/>
      <c r="Z666" s="565"/>
      <c r="AA666" s="565"/>
      <c r="AB666" s="565"/>
      <c r="AC666" s="565"/>
      <c r="AD666" s="565"/>
      <c r="AE666" s="839"/>
      <c r="AF666" s="912">
        <v>-0.03</v>
      </c>
      <c r="AG666" s="973">
        <v>-0.03</v>
      </c>
      <c r="AH666" s="20">
        <f>(AH660-AH667)/AE660-1-AH663-AH664-AH665</f>
        <v>-4.2753958763282945E-2</v>
      </c>
      <c r="AI666" s="540">
        <v>0</v>
      </c>
      <c r="AJ666" s="540">
        <v>0</v>
      </c>
      <c r="AK666" s="20">
        <f>(AK660-AK667)/AH660-1-AK663-AK664-AK665</f>
        <v>-2.7637929409703166E-4</v>
      </c>
      <c r="AL666" s="540">
        <v>0</v>
      </c>
      <c r="AM666" s="43">
        <v>0</v>
      </c>
      <c r="AN666" s="20">
        <f>(AN660-AN667)/AK660-1-AN663-AN664-AN665</f>
        <v>-2.6594715352153131E-4</v>
      </c>
      <c r="AO666" s="540">
        <v>0</v>
      </c>
      <c r="AP666" s="43">
        <v>0</v>
      </c>
      <c r="AQ666" s="20">
        <f>(AQ660-AQ667)/AN660-1-AQ663-AQ664-AQ665</f>
        <v>-2.373013966866901E-6</v>
      </c>
      <c r="AR666" s="540">
        <v>0</v>
      </c>
      <c r="AS666" s="43">
        <v>0</v>
      </c>
      <c r="AT666" s="20">
        <f>(AT660-AT667)/AQ660-1-AT663-AT664-AT665</f>
        <v>-3.2805407395794517E-8</v>
      </c>
      <c r="AU666" s="540">
        <v>0</v>
      </c>
      <c r="AV666" s="43">
        <v>0</v>
      </c>
      <c r="AW666" s="20">
        <f>(AW660-AW667)/AT660-1-AW663-AW664-AW665</f>
        <v>-3.2639136766585142E-8</v>
      </c>
      <c r="AX666" s="540">
        <v>0</v>
      </c>
      <c r="AY666" s="43">
        <v>0</v>
      </c>
      <c r="AZ666" s="20">
        <f>(AZ660-AZ667)/AW660-1-AZ663-AZ664-AZ665</f>
        <v>-3.2462674461747332E-8</v>
      </c>
      <c r="BA666" s="540">
        <v>0</v>
      </c>
      <c r="BB666" s="43">
        <v>0</v>
      </c>
      <c r="BC666" s="20">
        <f>(BC660-BC667)/AZ660-1-BC663-BC664-BC665</f>
        <v>-3.2276224694663402E-8</v>
      </c>
      <c r="BD666" s="540">
        <v>0</v>
      </c>
      <c r="BE666" s="43">
        <v>0</v>
      </c>
      <c r="BF666" s="20">
        <f>(BF660-BF667)/BC660-1-BF663-BF664-BF665</f>
        <v>-3.2080002631759696E-8</v>
      </c>
      <c r="BG666" s="540">
        <v>0</v>
      </c>
      <c r="BH666" s="43">
        <v>0</v>
      </c>
      <c r="BI666" s="20">
        <f>(BI660-BI667)/BF660-1-BI663-BI664-BI665</f>
        <v>-3.1874232111345213E-8</v>
      </c>
      <c r="BJ666" s="540">
        <v>0</v>
      </c>
      <c r="BK666" s="43">
        <v>0</v>
      </c>
      <c r="BL666" s="20">
        <f>(BL660-BL667)/BI660-1-BL663-BL664-BL665</f>
        <v>-3.1659147029655665E-8</v>
      </c>
      <c r="BM666" s="540">
        <v>0</v>
      </c>
      <c r="BN666" s="43">
        <v>0</v>
      </c>
      <c r="BO666" s="20">
        <f>(BO660-BO667)/BL660-1-BO663-BO664-BO665</f>
        <v>-3.1434990053688661E-8</v>
      </c>
      <c r="BP666" s="540">
        <v>0</v>
      </c>
      <c r="BQ666" s="43">
        <v>0</v>
      </c>
      <c r="BR666" s="20">
        <f>(BR660-BR667)/BO660-1-BR663-BR664-BR665</f>
        <v>-3.1202011698330812E-8</v>
      </c>
    </row>
    <row r="667" spans="3:70" outlineLevel="1">
      <c r="C667" s="93" t="s">
        <v>582</v>
      </c>
      <c r="D667" s="7" t="s">
        <v>85</v>
      </c>
      <c r="E667" s="783">
        <f>E714</f>
        <v>0</v>
      </c>
      <c r="F667" s="783">
        <f t="shared" ref="F667:AN667" si="2201">F714</f>
        <v>0</v>
      </c>
      <c r="G667" s="808">
        <f t="shared" si="2201"/>
        <v>0</v>
      </c>
      <c r="H667" s="808">
        <f t="shared" si="2201"/>
        <v>0</v>
      </c>
      <c r="I667" s="808">
        <f t="shared" ref="I667:S667" si="2202">I714</f>
        <v>180.0660157800221</v>
      </c>
      <c r="J667" s="808">
        <f t="shared" si="2202"/>
        <v>180.0660157800221</v>
      </c>
      <c r="K667" s="808">
        <f t="shared" si="2202"/>
        <v>216.51909716268767</v>
      </c>
      <c r="L667" s="808">
        <f t="shared" si="2202"/>
        <v>34.052073312842928</v>
      </c>
      <c r="M667" s="808">
        <f t="shared" si="2202"/>
        <v>250.57117047553058</v>
      </c>
      <c r="N667" s="808">
        <f t="shared" si="2202"/>
        <v>0</v>
      </c>
      <c r="O667" s="808">
        <f t="shared" si="2202"/>
        <v>0</v>
      </c>
      <c r="P667" s="808">
        <f t="shared" si="2202"/>
        <v>0</v>
      </c>
      <c r="Q667" s="808">
        <f t="shared" si="2202"/>
        <v>11.770707173020476</v>
      </c>
      <c r="R667" s="808">
        <f t="shared" si="2202"/>
        <v>43.407930798473352</v>
      </c>
      <c r="S667" s="808">
        <f t="shared" si="2202"/>
        <v>55.178637971493828</v>
      </c>
      <c r="T667" s="808">
        <f t="shared" si="2201"/>
        <v>46.909020618556696</v>
      </c>
      <c r="U667" s="808">
        <f t="shared" si="2201"/>
        <v>15.332029452370001</v>
      </c>
      <c r="V667" s="808">
        <f t="shared" si="2201"/>
        <v>62.241050070926697</v>
      </c>
      <c r="W667" s="808">
        <f t="shared" si="2201"/>
        <v>0</v>
      </c>
      <c r="X667" s="808">
        <f t="shared" si="2201"/>
        <v>0</v>
      </c>
      <c r="Y667" s="808">
        <f t="shared" si="2201"/>
        <v>0</v>
      </c>
      <c r="Z667" s="808">
        <f t="shared" si="2201"/>
        <v>16.450560606060602</v>
      </c>
      <c r="AA667" s="808">
        <f t="shared" si="2201"/>
        <v>24.301846153846153</v>
      </c>
      <c r="AB667" s="808">
        <f t="shared" si="2201"/>
        <v>40.752406759906755</v>
      </c>
      <c r="AC667" s="813">
        <f t="shared" si="2201"/>
        <v>9.3006734654234702</v>
      </c>
      <c r="AD667" s="813">
        <f t="shared" si="2201"/>
        <v>0</v>
      </c>
      <c r="AE667" s="841">
        <f t="shared" si="2201"/>
        <v>9.3006734654234702</v>
      </c>
      <c r="AF667" s="807">
        <f t="shared" si="2201"/>
        <v>0</v>
      </c>
      <c r="AG667" s="1007">
        <f t="shared" si="2201"/>
        <v>0</v>
      </c>
      <c r="AH667" s="808">
        <f t="shared" si="2201"/>
        <v>0</v>
      </c>
      <c r="AI667" s="807">
        <f t="shared" si="2201"/>
        <v>0</v>
      </c>
      <c r="AJ667" s="807">
        <f t="shared" si="2201"/>
        <v>0</v>
      </c>
      <c r="AK667" s="808">
        <f t="shared" si="2201"/>
        <v>0</v>
      </c>
      <c r="AL667" s="807">
        <f t="shared" si="2201"/>
        <v>0</v>
      </c>
      <c r="AM667" s="808">
        <f t="shared" si="2201"/>
        <v>0</v>
      </c>
      <c r="AN667" s="808">
        <f t="shared" si="2201"/>
        <v>0</v>
      </c>
      <c r="AO667" s="807">
        <f t="shared" ref="AO667:BR667" si="2203">AO714</f>
        <v>0</v>
      </c>
      <c r="AP667" s="808">
        <f t="shared" si="2203"/>
        <v>0</v>
      </c>
      <c r="AQ667" s="808">
        <f t="shared" si="2203"/>
        <v>0</v>
      </c>
      <c r="AR667" s="807">
        <f t="shared" si="2203"/>
        <v>0</v>
      </c>
      <c r="AS667" s="808">
        <f t="shared" si="2203"/>
        <v>0</v>
      </c>
      <c r="AT667" s="808">
        <f t="shared" si="2203"/>
        <v>0</v>
      </c>
      <c r="AU667" s="807">
        <f t="shared" si="2203"/>
        <v>0</v>
      </c>
      <c r="AV667" s="808">
        <f t="shared" si="2203"/>
        <v>0</v>
      </c>
      <c r="AW667" s="808">
        <f t="shared" si="2203"/>
        <v>0</v>
      </c>
      <c r="AX667" s="807">
        <f t="shared" si="2203"/>
        <v>0</v>
      </c>
      <c r="AY667" s="808">
        <f t="shared" si="2203"/>
        <v>0</v>
      </c>
      <c r="AZ667" s="808">
        <f t="shared" si="2203"/>
        <v>0</v>
      </c>
      <c r="BA667" s="807">
        <f t="shared" si="2203"/>
        <v>0</v>
      </c>
      <c r="BB667" s="808">
        <f t="shared" si="2203"/>
        <v>0</v>
      </c>
      <c r="BC667" s="808">
        <f t="shared" si="2203"/>
        <v>0</v>
      </c>
      <c r="BD667" s="807">
        <f t="shared" si="2203"/>
        <v>0</v>
      </c>
      <c r="BE667" s="808">
        <f t="shared" si="2203"/>
        <v>0</v>
      </c>
      <c r="BF667" s="808">
        <f t="shared" si="2203"/>
        <v>0</v>
      </c>
      <c r="BG667" s="807">
        <f t="shared" si="2203"/>
        <v>0</v>
      </c>
      <c r="BH667" s="808">
        <f t="shared" si="2203"/>
        <v>0</v>
      </c>
      <c r="BI667" s="808">
        <f t="shared" si="2203"/>
        <v>0</v>
      </c>
      <c r="BJ667" s="807">
        <f t="shared" si="2203"/>
        <v>0</v>
      </c>
      <c r="BK667" s="808">
        <f t="shared" si="2203"/>
        <v>0</v>
      </c>
      <c r="BL667" s="808">
        <f t="shared" si="2203"/>
        <v>0</v>
      </c>
      <c r="BM667" s="807">
        <f t="shared" si="2203"/>
        <v>0</v>
      </c>
      <c r="BN667" s="808">
        <f t="shared" si="2203"/>
        <v>0</v>
      </c>
      <c r="BO667" s="808">
        <f t="shared" si="2203"/>
        <v>0</v>
      </c>
      <c r="BP667" s="807">
        <f t="shared" si="2203"/>
        <v>0</v>
      </c>
      <c r="BQ667" s="808">
        <f t="shared" si="2203"/>
        <v>0</v>
      </c>
      <c r="BR667" s="808">
        <f t="shared" si="2203"/>
        <v>0</v>
      </c>
    </row>
    <row r="668" spans="3:70" outlineLevel="1">
      <c r="C668" s="9" t="s">
        <v>84</v>
      </c>
      <c r="D668" s="7" t="s">
        <v>85</v>
      </c>
      <c r="E668" s="337">
        <v>-3</v>
      </c>
      <c r="F668" s="337">
        <v>-2</v>
      </c>
      <c r="G668" s="809">
        <f>SUM(E668:F668)</f>
        <v>-5</v>
      </c>
      <c r="H668" s="810">
        <v>0</v>
      </c>
      <c r="I668" s="810">
        <v>-5</v>
      </c>
      <c r="J668" s="809">
        <f>SUM(H668:I668)</f>
        <v>-5</v>
      </c>
      <c r="K668" s="810">
        <v>-6</v>
      </c>
      <c r="L668" s="810">
        <v>-10</v>
      </c>
      <c r="M668" s="809">
        <f>SUM(K668:L668)</f>
        <v>-16</v>
      </c>
      <c r="N668" s="810">
        <v>-11</v>
      </c>
      <c r="O668" s="810">
        <v>-14</v>
      </c>
      <c r="P668" s="809">
        <f>SUM(N668:O668)</f>
        <v>-25</v>
      </c>
      <c r="Q668" s="810">
        <v>-13</v>
      </c>
      <c r="R668" s="810">
        <v>-14</v>
      </c>
      <c r="S668" s="28">
        <f>SUM(Q668:R668)</f>
        <v>-27</v>
      </c>
      <c r="T668" s="810">
        <v>-14</v>
      </c>
      <c r="U668" s="810">
        <v>-14</v>
      </c>
      <c r="V668" s="28">
        <f>SUM(T668:U668)</f>
        <v>-28</v>
      </c>
      <c r="W668" s="810">
        <v>-13</v>
      </c>
      <c r="X668" s="810">
        <v>-13</v>
      </c>
      <c r="Y668" s="28">
        <f>SUM(W668:X668)</f>
        <v>-26</v>
      </c>
      <c r="Z668" s="810">
        <v>-36</v>
      </c>
      <c r="AA668" s="810">
        <v>-32</v>
      </c>
      <c r="AB668" s="28">
        <f>SUM(Z668:AA668)</f>
        <v>-68</v>
      </c>
      <c r="AC668" s="811">
        <v>-35</v>
      </c>
      <c r="AD668" s="811">
        <v>-37</v>
      </c>
      <c r="AE668" s="533">
        <f>AC668+AD668</f>
        <v>-72</v>
      </c>
      <c r="AF668" s="345">
        <f>-43/$AF$259</f>
        <v>-36.563004032258064</v>
      </c>
      <c r="AG668" s="1008">
        <f>(1+AG671)*AD668</f>
        <v>-35.934514887060445</v>
      </c>
      <c r="AH668" s="348">
        <f>+AG668+AF668</f>
        <v>-72.497518919318509</v>
      </c>
      <c r="AI668" s="348">
        <f>(1+AI671)*AF668</f>
        <v>-37.478668537971735</v>
      </c>
      <c r="AJ668" s="348">
        <f t="shared" ref="AJ668" si="2204">(1+AJ671)*AG668</f>
        <v>-35.895494765763253</v>
      </c>
      <c r="AK668" s="348">
        <f>+AJ668+AI668</f>
        <v>-73.374163303734989</v>
      </c>
      <c r="AL668" s="348">
        <f>(1+AL671)*AI668</f>
        <v>-37.092224994158705</v>
      </c>
      <c r="AM668" s="348">
        <f t="shared" ref="AM668" si="2205">(1+AM671)*AJ668</f>
        <v>-36.401324603228687</v>
      </c>
      <c r="AN668" s="348">
        <f>+AM668+AL668</f>
        <v>-73.493549597387386</v>
      </c>
      <c r="AO668" s="348">
        <f>(1+AO671)*AL668</f>
        <v>-37.739643390083145</v>
      </c>
      <c r="AP668" s="348">
        <f t="shared" ref="AP668" si="2206">(1+AP671)*AM668</f>
        <v>-36.968152239005789</v>
      </c>
      <c r="AQ668" s="348">
        <f>+AP668+AO668</f>
        <v>-74.707795629088935</v>
      </c>
      <c r="AR668" s="348">
        <f>(1+AR671)*AO668</f>
        <v>-38.372870594950058</v>
      </c>
      <c r="AS668" s="348">
        <f t="shared" ref="AS668" si="2207">(1+AS671)*AP668</f>
        <v>-37.605813621231434</v>
      </c>
      <c r="AT668" s="348">
        <f>+AS668+AR668</f>
        <v>-75.978684216181492</v>
      </c>
      <c r="AU668" s="348">
        <f>(1+AU671)*AR668</f>
        <v>-39.027112554529289</v>
      </c>
      <c r="AV668" s="348">
        <f t="shared" ref="AV668" si="2208">(1+AV671)*AS668</f>
        <v>-38.26413522968835</v>
      </c>
      <c r="AW668" s="348">
        <f>+AV668+AU668</f>
        <v>-77.291247784217632</v>
      </c>
      <c r="AX668" s="348">
        <f>(1+AX671)*AU668</f>
        <v>-39.703084634333578</v>
      </c>
      <c r="AY668" s="348">
        <f t="shared" ref="AY668" si="2209">(1+AY671)*AV668</f>
        <v>-38.943827221232809</v>
      </c>
      <c r="AZ668" s="348">
        <f>+AY668+AX668</f>
        <v>-78.646911855566387</v>
      </c>
      <c r="BA668" s="348">
        <f>(1+BA671)*AX668</f>
        <v>-40.401532914396377</v>
      </c>
      <c r="BB668" s="348">
        <f t="shared" ref="BB668" si="2210">(1+BB671)*AY668</f>
        <v>-39.645630097062593</v>
      </c>
      <c r="BC668" s="348">
        <f>+BB668+BA668</f>
        <v>-80.047163011458963</v>
      </c>
      <c r="BD668" s="348">
        <f>(1+BD671)*BA668</f>
        <v>-41.123235546209003</v>
      </c>
      <c r="BE668" s="348">
        <f t="shared" ref="BE668" si="2211">(1+BE671)*BB668</f>
        <v>-40.370316047109078</v>
      </c>
      <c r="BF668" s="348">
        <f>+BE668+BD668</f>
        <v>-81.493551593318074</v>
      </c>
      <c r="BG668" s="348">
        <f>(1+BG671)*BD668</f>
        <v>-41.869004173776126</v>
      </c>
      <c r="BH668" s="348">
        <f t="shared" ref="BH668" si="2212">(1+BH671)*BE668</f>
        <v>-41.118690357915902</v>
      </c>
      <c r="BI668" s="348">
        <f>+BH668+BG668</f>
        <v>-82.987694531692028</v>
      </c>
      <c r="BJ668" s="348">
        <f>(1+BJ671)*BG668</f>
        <v>-42.63968542188934</v>
      </c>
      <c r="BK668" s="348">
        <f t="shared" ref="BK668" si="2213">(1+BK671)*BH668</f>
        <v>-41.891592887074644</v>
      </c>
      <c r="BL668" s="348">
        <f>+BK668+BJ668</f>
        <v>-84.531278308963977</v>
      </c>
      <c r="BM668" s="348">
        <f>(1+BM671)*BJ668</f>
        <v>-43.43616245487172</v>
      </c>
      <c r="BN668" s="348">
        <f t="shared" ref="BN668" si="2214">(1+BN671)*BK668</f>
        <v>-42.689899607439607</v>
      </c>
      <c r="BO668" s="348">
        <f>+BN668+BM668</f>
        <v>-86.12606206231132</v>
      </c>
      <c r="BP668" s="348">
        <f>(1+BP671)*BM668</f>
        <v>-44.259356609207721</v>
      </c>
      <c r="BQ668" s="348">
        <f t="shared" ref="BQ668" si="2215">(1+BQ671)*BN668</f>
        <v>-43.514524224503667</v>
      </c>
      <c r="BR668" s="348">
        <f>+BQ668+BP668</f>
        <v>-87.773880833711388</v>
      </c>
    </row>
    <row r="669" spans="3:70" s="8" customFormat="1" outlineLevel="1">
      <c r="C669" s="8" t="s">
        <v>287</v>
      </c>
      <c r="D669" s="96" t="s">
        <v>85</v>
      </c>
      <c r="E669" s="64">
        <f t="shared" ref="E669:AE669" si="2216">E636+E644+E660+E652+E668</f>
        <v>935</v>
      </c>
      <c r="F669" s="64">
        <f t="shared" si="2216"/>
        <v>869</v>
      </c>
      <c r="G669" s="64">
        <f t="shared" si="2216"/>
        <v>1804</v>
      </c>
      <c r="H669" s="64">
        <f t="shared" si="2216"/>
        <v>869</v>
      </c>
      <c r="I669" s="64">
        <f t="shared" si="2216"/>
        <v>1940</v>
      </c>
      <c r="J669" s="64">
        <f t="shared" si="2216"/>
        <v>2809</v>
      </c>
      <c r="K669" s="64">
        <f t="shared" si="2216"/>
        <v>2248</v>
      </c>
      <c r="L669" s="64">
        <f t="shared" si="2216"/>
        <v>2329</v>
      </c>
      <c r="M669" s="64">
        <f t="shared" si="2216"/>
        <v>4577</v>
      </c>
      <c r="N669" s="64">
        <f t="shared" si="2216"/>
        <v>2272</v>
      </c>
      <c r="O669" s="64">
        <f t="shared" si="2216"/>
        <v>2411</v>
      </c>
      <c r="P669" s="64">
        <f t="shared" si="2216"/>
        <v>4683</v>
      </c>
      <c r="Q669" s="64">
        <f t="shared" si="2216"/>
        <v>2534</v>
      </c>
      <c r="R669" s="64">
        <f t="shared" si="2216"/>
        <v>2553</v>
      </c>
      <c r="S669" s="64">
        <f t="shared" si="2216"/>
        <v>5087</v>
      </c>
      <c r="T669" s="64">
        <f t="shared" si="2216"/>
        <v>2467</v>
      </c>
      <c r="U669" s="64">
        <f t="shared" si="2216"/>
        <v>2529</v>
      </c>
      <c r="V669" s="64">
        <f t="shared" si="2216"/>
        <v>4996</v>
      </c>
      <c r="W669" s="64">
        <f t="shared" si="2216"/>
        <v>2521</v>
      </c>
      <c r="X669" s="64">
        <f t="shared" si="2216"/>
        <v>2711</v>
      </c>
      <c r="Y669" s="64">
        <f t="shared" si="2216"/>
        <v>5232</v>
      </c>
      <c r="Z669" s="64">
        <f t="shared" si="2216"/>
        <v>2706</v>
      </c>
      <c r="AA669" s="64">
        <f t="shared" si="2216"/>
        <v>2760</v>
      </c>
      <c r="AB669" s="64">
        <f t="shared" si="2216"/>
        <v>5466</v>
      </c>
      <c r="AC669" s="64">
        <f t="shared" si="2216"/>
        <v>2818</v>
      </c>
      <c r="AD669" s="64">
        <f t="shared" si="2216"/>
        <v>2898</v>
      </c>
      <c r="AE669" s="341">
        <f t="shared" si="2216"/>
        <v>5716</v>
      </c>
      <c r="AF669" s="341">
        <f>AF636+AF644+AF660+AF652+AF668</f>
        <v>2692.0574596774195</v>
      </c>
      <c r="AG669" s="934">
        <f>AG636+AG644+AG660+AG652+AG668</f>
        <v>2815.6120835643228</v>
      </c>
      <c r="AH669" s="341">
        <f>+AG669+AF669</f>
        <v>5507.6695432417418</v>
      </c>
      <c r="AI669" s="341">
        <f>AI636+AI644+AI660+AI652+AI668</f>
        <v>2758.560256220298</v>
      </c>
      <c r="AJ669" s="341">
        <f t="shared" ref="AJ669" si="2217">AJ636+AJ644+AJ660+AJ652+AJ668</f>
        <v>2812.5937220743244</v>
      </c>
      <c r="AK669" s="341">
        <f>+AJ669+AI669</f>
        <v>5571.153978294622</v>
      </c>
      <c r="AL669" s="341">
        <f>AL636+AL644+AL660+AL652+AL668</f>
        <v>2730.5031119094492</v>
      </c>
      <c r="AM669" s="341">
        <f t="shared" ref="AM669" si="2218">AM636+AM644+AM660+AM652+AM668</f>
        <v>2851.7222205718485</v>
      </c>
      <c r="AN669" s="341">
        <f>+AM669+AL669</f>
        <v>5582.2253324812973</v>
      </c>
      <c r="AO669" s="341">
        <f>AO636+AO644+AO660+AO652+AO668</f>
        <v>2777.5146825619713</v>
      </c>
      <c r="AP669" s="341">
        <f t="shared" ref="AP669" si="2219">AP636+AP644+AP660+AP652+AP668</f>
        <v>2895.5613309561513</v>
      </c>
      <c r="AQ669" s="341">
        <f>+AP669+AO669</f>
        <v>5673.0760135181226</v>
      </c>
      <c r="AR669" s="341">
        <f>AR636+AR644+AR660+AR652+AR668</f>
        <v>2823.4849126483227</v>
      </c>
      <c r="AS669" s="341">
        <f t="shared" ref="AS669" si="2220">AS636+AS644+AS660+AS652+AS668</f>
        <v>2944.869028721967</v>
      </c>
      <c r="AT669" s="341">
        <f>+AS669+AR669</f>
        <v>5768.3539413702892</v>
      </c>
      <c r="AU669" s="341">
        <f>AU636+AU644+AU660+AU652+AU668</f>
        <v>2870.9699491282495</v>
      </c>
      <c r="AV669" s="341">
        <f t="shared" ref="AV669" si="2221">AV636+AV644+AV660+AV652+AV668</f>
        <v>2995.7631328955886</v>
      </c>
      <c r="AW669" s="341">
        <f>+AV669+AU669</f>
        <v>5866.7330820238385</v>
      </c>
      <c r="AX669" s="341">
        <f>AX636+AX644+AX660+AX652+AX668</f>
        <v>2920.0208310363305</v>
      </c>
      <c r="AY669" s="341">
        <f t="shared" ref="AY669" si="2222">AY636+AY644+AY660+AY652+AY668</f>
        <v>3048.2976635114692</v>
      </c>
      <c r="AZ669" s="341">
        <f>+AY669+AX669</f>
        <v>5968.3184945477997</v>
      </c>
      <c r="BA669" s="341">
        <f>BA636+BA644+BA660+BA652+BA668</f>
        <v>2970.6907725418114</v>
      </c>
      <c r="BB669" s="341">
        <f t="shared" ref="BB669" si="2223">BB636+BB644+BB660+BB652+BB668</f>
        <v>3102.5289326854036</v>
      </c>
      <c r="BC669" s="341">
        <f>+BB669+BA669</f>
        <v>6073.2197052272149</v>
      </c>
      <c r="BD669" s="341">
        <f>BD636+BD644+BD660+BD652+BD668</f>
        <v>3023.0352581011139</v>
      </c>
      <c r="BE669" s="341">
        <f t="shared" ref="BE669" si="2224">BE636+BE644+BE660+BE652+BE668</f>
        <v>3158.5156452331298</v>
      </c>
      <c r="BF669" s="341">
        <f>+BE669+BD669</f>
        <v>6181.5509033342441</v>
      </c>
      <c r="BG669" s="341">
        <f>BG636+BG644+BG660+BG652+BG668</f>
        <v>3077.1121420585509</v>
      </c>
      <c r="BH669" s="341">
        <f t="shared" ref="BH669" si="2225">BH636+BH644+BH660+BH652+BH668</f>
        <v>3216.3190039931169</v>
      </c>
      <c r="BI669" s="341">
        <f>+BH669+BG669</f>
        <v>6293.4311460516674</v>
      </c>
      <c r="BJ669" s="341">
        <f>BJ636+BJ644+BJ660+BJ652+BJ668</f>
        <v>3132.9817529077432</v>
      </c>
      <c r="BK669" s="341">
        <f t="shared" ref="BK669" si="2226">BK636+BK644+BK660+BK652+BK668</f>
        <v>3276.0028200785146</v>
      </c>
      <c r="BL669" s="341">
        <f>+BK669+BJ669</f>
        <v>6408.9845729862573</v>
      </c>
      <c r="BM669" s="341">
        <f>BM636+BM644+BM660+BM652+BM668</f>
        <v>3190.7070024366285</v>
      </c>
      <c r="BN669" s="341">
        <f t="shared" ref="BN669" si="2227">BN636+BN644+BN660+BN652+BN668</f>
        <v>3337.633628294243</v>
      </c>
      <c r="BO669" s="341">
        <f>+BN669+BM669</f>
        <v>6528.3406307308715</v>
      </c>
      <c r="BP669" s="341">
        <f>BP636+BP644+BP660+BP652+BP668</f>
        <v>3250.3534999898343</v>
      </c>
      <c r="BQ669" s="341">
        <f t="shared" ref="BQ669" si="2228">BQ636+BQ644+BQ660+BQ652+BQ668</f>
        <v>3401.2808079667507</v>
      </c>
      <c r="BR669" s="341">
        <f>+BQ669+BP669</f>
        <v>6651.634307956585</v>
      </c>
    </row>
    <row r="670" spans="3:70" s="8" customFormat="1" outlineLevel="1">
      <c r="C670" s="469" t="s">
        <v>584</v>
      </c>
      <c r="D670" s="7" t="s">
        <v>66</v>
      </c>
      <c r="E670" s="64"/>
      <c r="F670" s="64"/>
      <c r="G670" s="64"/>
      <c r="H670" s="454">
        <f>H669/E669-1</f>
        <v>-7.0588235294117618E-2</v>
      </c>
      <c r="I670" s="454">
        <f t="shared" ref="I670:AF670" si="2229">I669/F669-1</f>
        <v>1.232451093210587</v>
      </c>
      <c r="J670" s="454">
        <f t="shared" si="2229"/>
        <v>0.55709534368070956</v>
      </c>
      <c r="K670" s="454">
        <f t="shared" si="2229"/>
        <v>1.5868814729574225</v>
      </c>
      <c r="L670" s="454">
        <f t="shared" si="2229"/>
        <v>0.20051546391752573</v>
      </c>
      <c r="M670" s="454">
        <f t="shared" si="2229"/>
        <v>0.62940548237807059</v>
      </c>
      <c r="N670" s="454">
        <f t="shared" si="2229"/>
        <v>1.067615658362997E-2</v>
      </c>
      <c r="O670" s="454">
        <f t="shared" si="2229"/>
        <v>3.5208243881494239E-2</v>
      </c>
      <c r="P670" s="454">
        <f t="shared" si="2229"/>
        <v>2.3159274634039662E-2</v>
      </c>
      <c r="Q670" s="454">
        <f t="shared" si="2229"/>
        <v>0.11531690140845074</v>
      </c>
      <c r="R670" s="454">
        <f t="shared" si="2229"/>
        <v>5.8896723351306468E-2</v>
      </c>
      <c r="S670" s="454">
        <f t="shared" si="2229"/>
        <v>8.6269485372624466E-2</v>
      </c>
      <c r="T670" s="454">
        <f t="shared" si="2229"/>
        <v>-2.6440410418311022E-2</v>
      </c>
      <c r="U670" s="454">
        <f t="shared" si="2229"/>
        <v>-9.4007050528789327E-3</v>
      </c>
      <c r="V670" s="454">
        <f t="shared" si="2229"/>
        <v>-1.7888735993709437E-2</v>
      </c>
      <c r="W670" s="454">
        <f t="shared" si="2229"/>
        <v>2.1888933927847631E-2</v>
      </c>
      <c r="X670" s="454">
        <f t="shared" si="2229"/>
        <v>7.1965203637801567E-2</v>
      </c>
      <c r="Y670" s="454">
        <f t="shared" si="2229"/>
        <v>4.7237790232185661E-2</v>
      </c>
      <c r="Z670" s="454">
        <f t="shared" si="2229"/>
        <v>7.3383577945259848E-2</v>
      </c>
      <c r="AA670" s="454">
        <f t="shared" si="2229"/>
        <v>1.8074511250461001E-2</v>
      </c>
      <c r="AB670" s="454">
        <f t="shared" si="2229"/>
        <v>4.4724770642201817E-2</v>
      </c>
      <c r="AC670" s="454">
        <f t="shared" si="2229"/>
        <v>4.1389504804139055E-2</v>
      </c>
      <c r="AD670" s="454">
        <f t="shared" si="2229"/>
        <v>5.0000000000000044E-2</v>
      </c>
      <c r="AE670" s="458">
        <f t="shared" si="2229"/>
        <v>4.5737285034760378E-2</v>
      </c>
      <c r="AF670" s="458">
        <f t="shared" si="2229"/>
        <v>-4.4692171867487751E-2</v>
      </c>
      <c r="AG670" s="989">
        <f>AG669/AD669-1</f>
        <v>-2.8429232724526243E-2</v>
      </c>
      <c r="AH670" s="458">
        <f>AH669/AE669-1</f>
        <v>-3.6446895863936013E-2</v>
      </c>
      <c r="AI670" s="458">
        <f>AI669/AF669-1</f>
        <v>2.4703334731513316E-2</v>
      </c>
      <c r="AJ670" s="458">
        <f t="shared" ref="AJ670" si="2230">AJ669/AG669-1</f>
        <v>-1.0720089985468695E-3</v>
      </c>
      <c r="AK670" s="458">
        <f>AK669/AH669-1</f>
        <v>1.1526551212713843E-2</v>
      </c>
      <c r="AL670" s="458">
        <f>AL669/AI669-1</f>
        <v>-1.0170937628635301E-2</v>
      </c>
      <c r="AM670" s="458">
        <f t="shared" ref="AM670" si="2231">AM669/AJ669-1</f>
        <v>1.3911891429760459E-2</v>
      </c>
      <c r="AN670" s="458">
        <f>AN669/AK669-1</f>
        <v>1.9872640802622854E-3</v>
      </c>
      <c r="AO670" s="458">
        <f>AO669/AL669-1</f>
        <v>1.7217182594473135E-2</v>
      </c>
      <c r="AP670" s="458">
        <f t="shared" ref="AP670" si="2232">AP669/AM669-1</f>
        <v>1.53728543643048E-2</v>
      </c>
      <c r="AQ670" s="458">
        <f>AQ669/AN669-1</f>
        <v>1.6274993506298019E-2</v>
      </c>
      <c r="AR670" s="458">
        <f>AR669/AO669-1</f>
        <v>1.6550850432930364E-2</v>
      </c>
      <c r="AS670" s="458">
        <f t="shared" ref="AS670" si="2233">AS669/AP669-1</f>
        <v>1.7028718141339994E-2</v>
      </c>
      <c r="AT670" s="458">
        <f>AT669/AQ669-1</f>
        <v>1.6794756076797368E-2</v>
      </c>
      <c r="AU670" s="458">
        <f>AU669/AR669-1</f>
        <v>1.6817882138207452E-2</v>
      </c>
      <c r="AV670" s="458">
        <f t="shared" ref="AV670" si="2234">AV669/AS669-1</f>
        <v>1.7282298016394027E-2</v>
      </c>
      <c r="AW670" s="458">
        <f>AW669/AT669-1</f>
        <v>1.7054976454891291E-2</v>
      </c>
      <c r="AX670" s="458">
        <f>AX669/AU669-1</f>
        <v>1.7085125507139143E-2</v>
      </c>
      <c r="AY670" s="458">
        <f t="shared" ref="AY670" si="2235">AY669/AV669-1</f>
        <v>1.7536276496300518E-2</v>
      </c>
      <c r="AZ670" s="458">
        <f>AZ669/AW669-1</f>
        <v>1.7315499291288283E-2</v>
      </c>
      <c r="BA670" s="458">
        <f>BA669/AX669-1</f>
        <v>1.7352595901686696E-2</v>
      </c>
      <c r="BB670" s="458">
        <f t="shared" ref="BB670" si="2236">BB669/AY669-1</f>
        <v>1.7790673733438123E-2</v>
      </c>
      <c r="BC670" s="458">
        <f>BC669/AZ669-1</f>
        <v>1.7576342612286133E-2</v>
      </c>
      <c r="BD670" s="458">
        <f>BD669/BA669-1</f>
        <v>1.7620307722070683E-2</v>
      </c>
      <c r="BE670" s="458">
        <f t="shared" ref="BE670" si="2237">BE669/BB669-1</f>
        <v>1.8045508603610871E-2</v>
      </c>
      <c r="BF670" s="458">
        <f>BF669/BC669-1</f>
        <v>1.7837523317950854E-2</v>
      </c>
      <c r="BG670" s="458">
        <f>BG669/BD669-1</f>
        <v>1.7888274313877739E-2</v>
      </c>
      <c r="BH670" s="458">
        <f t="shared" ref="BH670" si="2238">BH669/BE669-1</f>
        <v>1.8300798619511172E-2</v>
      </c>
      <c r="BI670" s="458">
        <f>BI669/BF669-1</f>
        <v>1.8099057092141102E-2</v>
      </c>
      <c r="BJ670" s="458">
        <f>BJ669/BG669-1</f>
        <v>1.8156507878135386E-2</v>
      </c>
      <c r="BK670" s="458">
        <f t="shared" ref="BK670" si="2239">BK669/BH669-1</f>
        <v>1.8556559847235032E-2</v>
      </c>
      <c r="BL670" s="458">
        <f>BL669/BI669-1</f>
        <v>1.8360958315573939E-2</v>
      </c>
      <c r="BM670" s="458">
        <f>BM669/BJ669-1</f>
        <v>1.8425019384587848E-2</v>
      </c>
      <c r="BN670" s="458">
        <f t="shared" ref="BN670" si="2240">BN669/BK669-1</f>
        <v>1.8812806826048911E-2</v>
      </c>
      <c r="BO670" s="458">
        <f>BO669/BL669-1</f>
        <v>1.8623239982149098E-2</v>
      </c>
      <c r="BP670" s="458">
        <f>BP669/BM669-1</f>
        <v>1.8693818488396463E-2</v>
      </c>
      <c r="BQ670" s="458">
        <f t="shared" ref="BQ670" si="2241">BQ669/BN669-1</f>
        <v>1.9069552491606467E-2</v>
      </c>
      <c r="BR670" s="458">
        <f>BR669/BO669-1</f>
        <v>1.8885913618742922E-2</v>
      </c>
    </row>
    <row r="671" spans="3:70" s="8" customFormat="1" outlineLevel="1">
      <c r="C671" s="481" t="s">
        <v>286</v>
      </c>
      <c r="D671" s="7" t="s">
        <v>66</v>
      </c>
      <c r="E671" s="64"/>
      <c r="F671" s="64"/>
      <c r="G671" s="64"/>
      <c r="H671" s="454">
        <f t="shared" ref="H671" si="2242">+H670-H672</f>
        <v>-7.0588235294117618E-2</v>
      </c>
      <c r="I671" s="454">
        <f t="shared" ref="I671:AE671" si="2243">+I670-I672</f>
        <v>-0.24762465707728154</v>
      </c>
      <c r="J671" s="454">
        <f t="shared" si="2243"/>
        <v>-0.15586797505551986</v>
      </c>
      <c r="K671" s="454">
        <f t="shared" si="2243"/>
        <v>-0.23341046355215056</v>
      </c>
      <c r="L671" s="454">
        <f t="shared" si="2243"/>
        <v>4.6437726070523266E-2</v>
      </c>
      <c r="M671" s="454">
        <f t="shared" si="2243"/>
        <v>-4.0136882965469245E-2</v>
      </c>
      <c r="N671" s="454">
        <f t="shared" si="2243"/>
        <v>9.0788985771416211E-4</v>
      </c>
      <c r="O671" s="454">
        <f t="shared" si="2243"/>
        <v>2.524050399493356E-2</v>
      </c>
      <c r="P671" s="454">
        <f t="shared" si="2243"/>
        <v>1.3289506271431282E-2</v>
      </c>
      <c r="Q671" s="454">
        <f t="shared" si="2243"/>
        <v>4.6750824484566522E-2</v>
      </c>
      <c r="R671" s="454">
        <f t="shared" si="2243"/>
        <v>-9.0867847909449351E-3</v>
      </c>
      <c r="S671" s="454">
        <f t="shared" si="2243"/>
        <v>1.800333869271134E-2</v>
      </c>
      <c r="T671" s="454">
        <f t="shared" si="2243"/>
        <v>-5.0736057624570223E-2</v>
      </c>
      <c r="U671" s="454">
        <f t="shared" si="2243"/>
        <v>-2.9196238688870228E-2</v>
      </c>
      <c r="V671" s="454">
        <f t="shared" si="2243"/>
        <v>-3.9925922428414883E-2</v>
      </c>
      <c r="W671" s="454">
        <f t="shared" si="2243"/>
        <v>5.9689122113688597E-3</v>
      </c>
      <c r="X671" s="454">
        <f t="shared" si="2243"/>
        <v>6.4002504553842737E-2</v>
      </c>
      <c r="Y671" s="454">
        <f t="shared" si="2243"/>
        <v>3.5345804732208684E-2</v>
      </c>
      <c r="Z671" s="454">
        <f t="shared" si="2243"/>
        <v>3.6341381378915259E-2</v>
      </c>
      <c r="AA671" s="454">
        <f t="shared" si="2243"/>
        <v>-3.2666333878347428E-2</v>
      </c>
      <c r="AB671" s="454">
        <f t="shared" si="2243"/>
        <v>5.8451668808209845E-4</v>
      </c>
      <c r="AC671" s="454">
        <f t="shared" si="2243"/>
        <v>-2.5951648046478148E-2</v>
      </c>
      <c r="AD671" s="454">
        <f t="shared" si="2243"/>
        <v>1.509410050592068E-3</v>
      </c>
      <c r="AE671" s="458">
        <f t="shared" si="2243"/>
        <v>-1.2085471619856555E-2</v>
      </c>
      <c r="AF671" s="458">
        <f t="shared" ref="AF671" si="2244">+AF670-AF672</f>
        <v>-4.8916527393026342E-2</v>
      </c>
      <c r="AG671" s="989">
        <f>((AG638*AD636)+(AG646*AD644)+(AG654*AD652)+(AG662*AD660))/AD669</f>
        <v>-2.8796894944312351E-2</v>
      </c>
      <c r="AH671" s="458">
        <f>+AH670-AH672</f>
        <v>-3.8529512006512598E-2</v>
      </c>
      <c r="AI671" s="458">
        <f>((AI638*AF636)+(AI646*AF644)+(AI654*AF652)+(AI662*AF660))/AF669</f>
        <v>2.5043470304185474E-2</v>
      </c>
      <c r="AJ671" s="458">
        <f t="shared" ref="AJ671" si="2245">((AJ638*AG636)+(AJ646*AG644)+(AJ654*AG652)+(AJ662*AG660))/AG669</f>
        <v>-1.0858674847796608E-3</v>
      </c>
      <c r="AK671" s="458">
        <f>+AK670-AK672</f>
        <v>1.1526551212713843E-2</v>
      </c>
      <c r="AL671" s="458">
        <f>((AL638*AI636)+(AL646*AI644)+(AL654*AI652)+(AL662*AI660))/AI669</f>
        <v>-1.0311026482210814E-2</v>
      </c>
      <c r="AM671" s="458">
        <f t="shared" ref="AM671" si="2246">((AM638*AJ636)+(AM646*AJ644)+(AM654*AJ652)+(AM662*AJ660))/AJ669</f>
        <v>1.4091736045602389E-2</v>
      </c>
      <c r="AN671" s="458">
        <f>+AN670-AN672</f>
        <v>1.9872640802622854E-3</v>
      </c>
      <c r="AO671" s="458">
        <f>((AO638*AL636)+(AO646*AL644)+(AO654*AL652)+(AO662*AL660))/AL669</f>
        <v>1.7454288493785334E-2</v>
      </c>
      <c r="AP671" s="458">
        <f t="shared" ref="AP671" si="2247">((AP638*AM636)+(AP646*AM644)+(AP654*AM652)+(AP662*AM660))/AM669</f>
        <v>1.5571621141688589E-2</v>
      </c>
      <c r="AQ671" s="458">
        <f>+AQ670-AQ672</f>
        <v>1.6274993506298019E-2</v>
      </c>
      <c r="AR671" s="458">
        <f>((AR638*AO636)+(AR646*AO644)+(AR654*AO652)+(AR662*AO660))/AO669</f>
        <v>1.6778833819964246E-2</v>
      </c>
      <c r="AS671" s="458">
        <f t="shared" ref="AS671" si="2248">((AS638*AP636)+(AS646*AP644)+(AS654*AP652)+(AS662*AP660))/AP669</f>
        <v>1.7248938440391808E-2</v>
      </c>
      <c r="AT671" s="458">
        <f>+AT670-AT672</f>
        <v>1.6794756076797368E-2</v>
      </c>
      <c r="AU671" s="458">
        <f>((AU638*AR636)+(AU646*AR644)+(AU654*AR652)+(AU662*AR660))/AR669</f>
        <v>1.7049596484067366E-2</v>
      </c>
      <c r="AV671" s="458">
        <f t="shared" ref="AV671" si="2249">((AV638*AS636)+(AV646*AS644)+(AV654*AS652)+(AV662*AS660))/AS669</f>
        <v>1.7505846704649951E-2</v>
      </c>
      <c r="AW671" s="458">
        <f>+AW670-AW672</f>
        <v>1.7054976454891291E-2</v>
      </c>
      <c r="AX671" s="458">
        <f>((AX638*AU636)+(AX646*AU644)+(AX654*AU652)+(AX662*AU660))/AU669</f>
        <v>1.7320576275270498E-2</v>
      </c>
      <c r="AY671" s="458">
        <f t="shared" ref="AY671" si="2250">((AY638*AV636)+(AY646*AV644)+(AY654*AV652)+(AY662*AV660))/AV669</f>
        <v>1.776316091986575E-2</v>
      </c>
      <c r="AZ671" s="458">
        <f>+AZ670-AZ672</f>
        <v>1.7315499291288283E-2</v>
      </c>
      <c r="BA671" s="458">
        <f>((BA638*AX636)+(BA646*AX644)+(BA654*AX652)+(BA662*AX660))/AX669</f>
        <v>1.7591788811764368E-2</v>
      </c>
      <c r="BB671" s="458">
        <f t="shared" ref="BB671" si="2251">((BB638*AY636)+(BB646*AY644)+(BB654*AY652)+(BB662*AY660))/AY669</f>
        <v>1.8020901537051541E-2</v>
      </c>
      <c r="BC671" s="458">
        <f>+BC670-BC672</f>
        <v>1.7576342612286133E-2</v>
      </c>
      <c r="BD671" s="458">
        <f>((BD638*BA636)+(BD646*BA644)+(BD654*BA652)+(BD662*BA660))/BA669</f>
        <v>1.7863248737165001E-2</v>
      </c>
      <c r="BE671" s="458">
        <f t="shared" ref="BE671" si="2252">((BE638*BB636)+(BE646*BB644)+(BE654*BB652)+(BE662*BB660))/BB669</f>
        <v>1.8279087714642497E-2</v>
      </c>
      <c r="BF671" s="458">
        <f>+BF670-BF672</f>
        <v>1.7837523317950854E-2</v>
      </c>
      <c r="BG671" s="458">
        <f>((BG638*BD636)+(BG646*BD644)+(BG654*BD652)+(BG662*BD660))/BD669</f>
        <v>1.8134969626335054E-2</v>
      </c>
      <c r="BH671" s="458">
        <f t="shared" ref="BH671" si="2253">((BH638*BE636)+(BH646*BE644)+(BH654*BE652)+(BH662*BE660))/BE669</f>
        <v>1.8537737230828921E-2</v>
      </c>
      <c r="BI671" s="458">
        <f>+BI670-BI672</f>
        <v>1.8099057092141102E-2</v>
      </c>
      <c r="BJ671" s="458">
        <f>((BJ638*BG636)+(BJ646*BG644)+(BJ654*BG652)+(BJ662*BG660))/BG669</f>
        <v>1.8406963894209604E-2</v>
      </c>
      <c r="BK671" s="458">
        <f t="shared" ref="BK671" si="2254">((BK638*BH636)+(BK646*BH644)+(BK654*BH652)+(BK662*BH660))/BH669</f>
        <v>1.8796866398979185E-2</v>
      </c>
      <c r="BL671" s="458">
        <f>+BL670-BL672</f>
        <v>1.8360958315573939E-2</v>
      </c>
      <c r="BM671" s="458">
        <f>((BM638*BJ636)+(BM646*BJ644)+(BM654*BJ652)+(BM662*BJ660))/BJ669</f>
        <v>1.8679242707862507E-2</v>
      </c>
      <c r="BN671" s="458">
        <f t="shared" ref="BN671" si="2255">((BN638*BK636)+(BN646*BK644)+(BN654*BK652)+(BN662*BK660))/BK669</f>
        <v>1.9056489986354119E-2</v>
      </c>
      <c r="BO671" s="458">
        <f>+BO670-BO672</f>
        <v>1.8623239982149098E-2</v>
      </c>
      <c r="BP671" s="458">
        <f>((BP638*BM636)+(BP646*BM644)+(BP654*BM652)+(BP662*BM660))/BM669</f>
        <v>1.8951815902043891E-2</v>
      </c>
      <c r="BQ671" s="458">
        <f t="shared" ref="BQ671" si="2256">((BQ638*BN636)+(BQ646*BN644)+(BQ654*BN652)+(BQ662*BN660))/BN669</f>
        <v>1.9316621136310982E-2</v>
      </c>
      <c r="BR671" s="458">
        <f>+BR670-BR672</f>
        <v>1.8885913618742922E-2</v>
      </c>
    </row>
    <row r="672" spans="3:70" s="8" customFormat="1" outlineLevel="1">
      <c r="C672" s="481" t="s">
        <v>585</v>
      </c>
      <c r="D672" s="7" t="s">
        <v>66</v>
      </c>
      <c r="E672" s="64"/>
      <c r="F672" s="64"/>
      <c r="G672" s="64"/>
      <c r="H672" s="458">
        <f t="shared" ref="H672" si="2257">(H659+H667+H651+H643)/E669</f>
        <v>0</v>
      </c>
      <c r="I672" s="458">
        <f t="shared" ref="I672:AI672" si="2258">(I659+I667+I651+I643)/F669</f>
        <v>1.4800757502878685</v>
      </c>
      <c r="J672" s="458">
        <f t="shared" si="2258"/>
        <v>0.71296331873622942</v>
      </c>
      <c r="K672" s="458">
        <f t="shared" si="2258"/>
        <v>1.8202919365095731</v>
      </c>
      <c r="L672" s="458">
        <f t="shared" si="2258"/>
        <v>0.15407773784700246</v>
      </c>
      <c r="M672" s="458">
        <f t="shared" si="2258"/>
        <v>0.66954236534353984</v>
      </c>
      <c r="N672" s="458">
        <f t="shared" si="2258"/>
        <v>9.7682667259158078E-3</v>
      </c>
      <c r="O672" s="458">
        <f t="shared" si="2258"/>
        <v>9.9677398865606788E-3</v>
      </c>
      <c r="P672" s="458">
        <f t="shared" si="2258"/>
        <v>9.8697683626083801E-3</v>
      </c>
      <c r="Q672" s="458">
        <f t="shared" si="2258"/>
        <v>6.8566076923884223E-2</v>
      </c>
      <c r="R672" s="458">
        <f t="shared" si="2258"/>
        <v>6.7983508142251403E-2</v>
      </c>
      <c r="S672" s="458">
        <f t="shared" si="2258"/>
        <v>6.8266146679913126E-2</v>
      </c>
      <c r="T672" s="458">
        <f t="shared" si="2258"/>
        <v>2.4295647206259201E-2</v>
      </c>
      <c r="U672" s="458">
        <f t="shared" si="2258"/>
        <v>1.9795533635991295E-2</v>
      </c>
      <c r="V672" s="458">
        <f t="shared" si="2258"/>
        <v>2.2037186434705446E-2</v>
      </c>
      <c r="W672" s="458">
        <f t="shared" si="2258"/>
        <v>1.5920021716478772E-2</v>
      </c>
      <c r="X672" s="458">
        <f t="shared" si="2258"/>
        <v>7.9626990839588227E-3</v>
      </c>
      <c r="Y672" s="458">
        <f t="shared" si="2258"/>
        <v>1.1891985499976979E-2</v>
      </c>
      <c r="Z672" s="458">
        <f t="shared" si="2258"/>
        <v>3.7042196566344589E-2</v>
      </c>
      <c r="AA672" s="458">
        <f t="shared" si="2258"/>
        <v>5.0740845128808429E-2</v>
      </c>
      <c r="AB672" s="458">
        <f t="shared" si="2258"/>
        <v>4.4140253954119718E-2</v>
      </c>
      <c r="AC672" s="458">
        <f t="shared" si="2258"/>
        <v>6.7341152850617203E-2</v>
      </c>
      <c r="AD672" s="458">
        <f t="shared" si="2258"/>
        <v>4.8490589949407976E-2</v>
      </c>
      <c r="AE672" s="458">
        <f t="shared" si="2258"/>
        <v>5.7822756654616933E-2</v>
      </c>
      <c r="AF672" s="458">
        <f t="shared" si="2258"/>
        <v>4.2243555255385883E-3</v>
      </c>
      <c r="AG672" s="989">
        <f t="shared" si="2258"/>
        <v>0</v>
      </c>
      <c r="AH672" s="458">
        <f t="shared" si="2258"/>
        <v>2.0826161425765819E-3</v>
      </c>
      <c r="AI672" s="458">
        <f t="shared" si="2258"/>
        <v>0</v>
      </c>
      <c r="AJ672" s="458">
        <f t="shared" ref="AJ672:AM672" si="2259">(AJ659+AJ667+AJ651+AJ643)/AG669</f>
        <v>0</v>
      </c>
      <c r="AK672" s="458">
        <f>(AK659+AK667+AK651+AK643)/AH669</f>
        <v>0</v>
      </c>
      <c r="AL672" s="458">
        <f>(AL659+AL667+AL651+AL643)/AI669</f>
        <v>0</v>
      </c>
      <c r="AM672" s="458">
        <f t="shared" si="2259"/>
        <v>0</v>
      </c>
      <c r="AN672" s="458">
        <f>(AN659+AN667+AN651+AN643)/AK669</f>
        <v>0</v>
      </c>
      <c r="AO672" s="458">
        <f>(AO659+AO667+AO651+AO643)/AL669</f>
        <v>0</v>
      </c>
      <c r="AP672" s="458">
        <f t="shared" ref="AP672" si="2260">(AP659+AP667+AP651+AP643)/AM669</f>
        <v>0</v>
      </c>
      <c r="AQ672" s="458">
        <f>(AQ659+AQ667+AQ651+AQ643)/AN669</f>
        <v>0</v>
      </c>
      <c r="AR672" s="458">
        <f>(AR659+AR667+AR651+AR643)/AO669</f>
        <v>0</v>
      </c>
      <c r="AS672" s="458">
        <f t="shared" ref="AS672" si="2261">(AS659+AS667+AS651+AS643)/AP669</f>
        <v>0</v>
      </c>
      <c r="AT672" s="458">
        <f>(AT659+AT667+AT651+AT643)/AQ669</f>
        <v>0</v>
      </c>
      <c r="AU672" s="458">
        <f>(AU659+AU667+AU651+AU643)/AR669</f>
        <v>0</v>
      </c>
      <c r="AV672" s="458">
        <f t="shared" ref="AV672" si="2262">(AV659+AV667+AV651+AV643)/AS669</f>
        <v>0</v>
      </c>
      <c r="AW672" s="458">
        <f>(AW659+AW667+AW651+AW643)/AT669</f>
        <v>0</v>
      </c>
      <c r="AX672" s="458">
        <f>(AX659+AX667+AX651+AX643)/AU669</f>
        <v>0</v>
      </c>
      <c r="AY672" s="458">
        <f t="shared" ref="AY672" si="2263">(AY659+AY667+AY651+AY643)/AV669</f>
        <v>0</v>
      </c>
      <c r="AZ672" s="458">
        <f>(AZ659+AZ667+AZ651+AZ643)/AW669</f>
        <v>0</v>
      </c>
      <c r="BA672" s="458">
        <f>(BA659+BA667+BA651+BA643)/AX669</f>
        <v>0</v>
      </c>
      <c r="BB672" s="458">
        <f t="shared" ref="BB672" si="2264">(BB659+BB667+BB651+BB643)/AY669</f>
        <v>0</v>
      </c>
      <c r="BC672" s="458">
        <f>(BC659+BC667+BC651+BC643)/AZ669</f>
        <v>0</v>
      </c>
      <c r="BD672" s="458">
        <f>(BD659+BD667+BD651+BD643)/BA669</f>
        <v>0</v>
      </c>
      <c r="BE672" s="458">
        <f t="shared" ref="BE672" si="2265">(BE659+BE667+BE651+BE643)/BB669</f>
        <v>0</v>
      </c>
      <c r="BF672" s="458">
        <f>(BF659+BF667+BF651+BF643)/BC669</f>
        <v>0</v>
      </c>
      <c r="BG672" s="458">
        <f>(BG659+BG667+BG651+BG643)/BD669</f>
        <v>0</v>
      </c>
      <c r="BH672" s="458">
        <f t="shared" ref="BH672" si="2266">(BH659+BH667+BH651+BH643)/BE669</f>
        <v>0</v>
      </c>
      <c r="BI672" s="458">
        <f>(BI659+BI667+BI651+BI643)/BF669</f>
        <v>0</v>
      </c>
      <c r="BJ672" s="458">
        <f>(BJ659+BJ667+BJ651+BJ643)/BG669</f>
        <v>0</v>
      </c>
      <c r="BK672" s="458">
        <f t="shared" ref="BK672" si="2267">(BK659+BK667+BK651+BK643)/BH669</f>
        <v>0</v>
      </c>
      <c r="BL672" s="458">
        <f>(BL659+BL667+BL651+BL643)/BI669</f>
        <v>0</v>
      </c>
      <c r="BM672" s="458">
        <f>(BM659+BM667+BM651+BM643)/BJ669</f>
        <v>0</v>
      </c>
      <c r="BN672" s="458">
        <f t="shared" ref="BN672" si="2268">(BN659+BN667+BN651+BN643)/BK669</f>
        <v>0</v>
      </c>
      <c r="BO672" s="458">
        <f>(BO659+BO667+BO651+BO643)/BL669</f>
        <v>0</v>
      </c>
      <c r="BP672" s="458">
        <f>(BP659+BP667+BP651+BP643)/BM669</f>
        <v>0</v>
      </c>
      <c r="BQ672" s="458">
        <f t="shared" ref="BQ672" si="2269">(BQ659+BQ667+BQ651+BQ643)/BN669</f>
        <v>0</v>
      </c>
      <c r="BR672" s="458">
        <f>(BR659+BR667+BR651+BR643)/BO669</f>
        <v>0</v>
      </c>
    </row>
    <row r="673" spans="3:70" s="8" customFormat="1" outlineLevel="1">
      <c r="C673" s="8" t="s">
        <v>56</v>
      </c>
      <c r="D673" s="96" t="s">
        <v>85</v>
      </c>
      <c r="E673" s="344">
        <v>88.6</v>
      </c>
      <c r="F673" s="64">
        <f>G673-E673</f>
        <v>129.4</v>
      </c>
      <c r="G673" s="344">
        <v>218</v>
      </c>
      <c r="H673" s="344">
        <v>115.9</v>
      </c>
      <c r="I673" s="64">
        <f>J673-H673</f>
        <v>241.9</v>
      </c>
      <c r="J673" s="344">
        <v>357.8</v>
      </c>
      <c r="K673" s="344">
        <v>280</v>
      </c>
      <c r="L673" s="64">
        <f>M673-K673</f>
        <v>330.9</v>
      </c>
      <c r="M673" s="344">
        <v>610.9</v>
      </c>
      <c r="N673" s="344">
        <v>327.60000000000002</v>
      </c>
      <c r="O673" s="64">
        <f>P673-N673</f>
        <v>360.19999999999993</v>
      </c>
      <c r="P673" s="344">
        <v>687.8</v>
      </c>
      <c r="Q673" s="344">
        <v>363.8</v>
      </c>
      <c r="R673" s="64">
        <f>S673-Q673</f>
        <v>392.40000000000003</v>
      </c>
      <c r="S673" s="344">
        <v>756.2</v>
      </c>
      <c r="T673" s="109">
        <v>373.6</v>
      </c>
      <c r="U673" s="64">
        <f>V673-T673</f>
        <v>400.29999999999995</v>
      </c>
      <c r="V673" s="109">
        <v>773.9</v>
      </c>
      <c r="W673" s="109">
        <v>394.8</v>
      </c>
      <c r="X673" s="64">
        <f>Y673-W673</f>
        <v>425.7</v>
      </c>
      <c r="Y673" s="109">
        <v>820.5</v>
      </c>
      <c r="Z673" s="109">
        <v>415.3</v>
      </c>
      <c r="AA673" s="64">
        <f>AB673-Z673</f>
        <v>454.40000000000003</v>
      </c>
      <c r="AB673" s="109">
        <v>869.7</v>
      </c>
      <c r="AC673" s="109">
        <v>441.7</v>
      </c>
      <c r="AD673" s="64">
        <f>AE673-AC673</f>
        <v>498.90000000000003</v>
      </c>
      <c r="AE673" s="109">
        <v>940.6</v>
      </c>
      <c r="AF673" s="834">
        <v>436.2</v>
      </c>
      <c r="AG673" s="1009">
        <f t="shared" ref="AG673:BR673" si="2270">AG676-AG675</f>
        <v>497.79679017810338</v>
      </c>
      <c r="AH673" s="97">
        <f t="shared" si="2270"/>
        <v>933.99679017810331</v>
      </c>
      <c r="AI673" s="97">
        <f t="shared" si="2270"/>
        <v>479.20142268891391</v>
      </c>
      <c r="AJ673" s="97">
        <f t="shared" si="2270"/>
        <v>519.83774787962579</v>
      </c>
      <c r="AK673" s="97">
        <f t="shared" si="2270"/>
        <v>999.0391705685397</v>
      </c>
      <c r="AL673" s="97">
        <f t="shared" si="2270"/>
        <v>480.92283048923002</v>
      </c>
      <c r="AM673" s="97">
        <f t="shared" si="2270"/>
        <v>528.52017744779369</v>
      </c>
      <c r="AN673" s="97">
        <f t="shared" si="2270"/>
        <v>1009.4430079370238</v>
      </c>
      <c r="AO673" s="97">
        <f t="shared" si="2270"/>
        <v>492.94008093850664</v>
      </c>
      <c r="AP673" s="97">
        <f t="shared" si="2270"/>
        <v>543.2359726467696</v>
      </c>
      <c r="AQ673" s="97">
        <f t="shared" si="2270"/>
        <v>1036.1760535852763</v>
      </c>
      <c r="AR673" s="97">
        <f t="shared" si="2270"/>
        <v>500.5209978005355</v>
      </c>
      <c r="AS673" s="97">
        <f t="shared" si="2270"/>
        <v>551.85113472918772</v>
      </c>
      <c r="AT673" s="97">
        <f t="shared" si="2270"/>
        <v>1052.3721325297231</v>
      </c>
      <c r="AU673" s="97">
        <f t="shared" si="2270"/>
        <v>508.3298980138614</v>
      </c>
      <c r="AV673" s="97">
        <f t="shared" si="2270"/>
        <v>560.7220951934022</v>
      </c>
      <c r="AW673" s="97">
        <f t="shared" si="2270"/>
        <v>1069.0519932072636</v>
      </c>
      <c r="AX673" s="97">
        <f t="shared" si="2270"/>
        <v>516.37429766071307</v>
      </c>
      <c r="AY673" s="97">
        <f t="shared" si="2270"/>
        <v>569.85739275159244</v>
      </c>
      <c r="AZ673" s="97">
        <f t="shared" si="2270"/>
        <v>1086.2316904123056</v>
      </c>
      <c r="BA673" s="97">
        <f t="shared" si="2270"/>
        <v>524.66203217686723</v>
      </c>
      <c r="BB673" s="97">
        <f t="shared" si="2270"/>
        <v>579.26592755795627</v>
      </c>
      <c r="BC673" s="97">
        <f t="shared" si="2270"/>
        <v>1103.9279597348234</v>
      </c>
      <c r="BD673" s="97">
        <f t="shared" si="2270"/>
        <v>533.20127042558079</v>
      </c>
      <c r="BE673" s="97">
        <f t="shared" si="2270"/>
        <v>588.95697718649865</v>
      </c>
      <c r="BF673" s="97">
        <f t="shared" si="2270"/>
        <v>1122.1582476120795</v>
      </c>
      <c r="BG673" s="97">
        <f t="shared" si="2270"/>
        <v>542.00052943616822</v>
      </c>
      <c r="BH673" s="97">
        <f t="shared" si="2270"/>
        <v>598.94021336295737</v>
      </c>
      <c r="BI673" s="97">
        <f t="shared" si="2270"/>
        <v>1140.9407427991257</v>
      </c>
      <c r="BJ673" s="97">
        <f t="shared" si="2270"/>
        <v>551.0686898393526</v>
      </c>
      <c r="BK673" s="97">
        <f t="shared" si="2270"/>
        <v>609.22571948733139</v>
      </c>
      <c r="BL673" s="97">
        <f t="shared" si="2270"/>
        <v>1160.2944093266838</v>
      </c>
      <c r="BM673" s="97">
        <f t="shared" si="2270"/>
        <v>560.415012033106</v>
      </c>
      <c r="BN673" s="97">
        <f t="shared" si="2270"/>
        <v>619.8240089852834</v>
      </c>
      <c r="BO673" s="97">
        <f t="shared" si="2270"/>
        <v>1180.2390210183896</v>
      </c>
      <c r="BP673" s="97">
        <f t="shared" si="2270"/>
        <v>570.04915311436719</v>
      </c>
      <c r="BQ673" s="97">
        <f t="shared" si="2270"/>
        <v>630.74604452858705</v>
      </c>
      <c r="BR673" s="97">
        <f t="shared" si="2270"/>
        <v>1200.7951976429542</v>
      </c>
    </row>
    <row r="674" spans="3:70" outlineLevel="1">
      <c r="C674" s="9" t="s">
        <v>73</v>
      </c>
      <c r="D674" s="7" t="s">
        <v>66</v>
      </c>
      <c r="E674" s="20">
        <f t="shared" ref="E674:AE674" si="2271">E673/E669</f>
        <v>9.4759358288770051E-2</v>
      </c>
      <c r="F674" s="20">
        <f t="shared" si="2271"/>
        <v>0.14890678941311852</v>
      </c>
      <c r="G674" s="20">
        <f t="shared" si="2271"/>
        <v>0.12084257206208426</v>
      </c>
      <c r="H674" s="20">
        <f t="shared" si="2271"/>
        <v>0.13337169159953971</v>
      </c>
      <c r="I674" s="20">
        <f t="shared" si="2271"/>
        <v>0.12469072164948454</v>
      </c>
      <c r="J674" s="20">
        <f t="shared" si="2271"/>
        <v>0.12737629049483803</v>
      </c>
      <c r="K674" s="20">
        <f t="shared" si="2271"/>
        <v>0.12455516014234876</v>
      </c>
      <c r="L674" s="20">
        <f t="shared" si="2271"/>
        <v>0.14207814512666381</v>
      </c>
      <c r="M674" s="20">
        <f t="shared" si="2271"/>
        <v>0.13347170635787634</v>
      </c>
      <c r="N674" s="20">
        <f t="shared" si="2271"/>
        <v>0.14419014084507042</v>
      </c>
      <c r="O674" s="20">
        <f t="shared" si="2271"/>
        <v>0.14939858979676479</v>
      </c>
      <c r="P674" s="20">
        <f t="shared" si="2271"/>
        <v>0.14687166346359171</v>
      </c>
      <c r="Q674" s="20">
        <f t="shared" si="2271"/>
        <v>0.14356748224151539</v>
      </c>
      <c r="R674" s="20">
        <f t="shared" si="2271"/>
        <v>0.15370152761457109</v>
      </c>
      <c r="S674" s="20">
        <f t="shared" si="2271"/>
        <v>0.14865343031256145</v>
      </c>
      <c r="T674" s="20">
        <f t="shared" si="2271"/>
        <v>0.15143899473044184</v>
      </c>
      <c r="U674" s="20">
        <f t="shared" si="2271"/>
        <v>0.15828390668248318</v>
      </c>
      <c r="V674" s="20">
        <f t="shared" si="2271"/>
        <v>0.15490392313851081</v>
      </c>
      <c r="W674" s="20">
        <f t="shared" si="2271"/>
        <v>0.15660452201507338</v>
      </c>
      <c r="X674" s="20">
        <f t="shared" si="2271"/>
        <v>0.15702692733308743</v>
      </c>
      <c r="Y674" s="20">
        <f t="shared" si="2271"/>
        <v>0.15682339449541285</v>
      </c>
      <c r="Z674" s="20">
        <f t="shared" si="2271"/>
        <v>0.15347376201034738</v>
      </c>
      <c r="AA674" s="20">
        <f t="shared" si="2271"/>
        <v>0.16463768115942029</v>
      </c>
      <c r="AB674" s="20">
        <f t="shared" si="2271"/>
        <v>0.15911086717892428</v>
      </c>
      <c r="AC674" s="20">
        <f t="shared" si="2271"/>
        <v>0.15674237047551454</v>
      </c>
      <c r="AD674" s="20">
        <f t="shared" si="2271"/>
        <v>0.17215320910973086</v>
      </c>
      <c r="AE674" s="133">
        <f t="shared" si="2271"/>
        <v>0.164555633310007</v>
      </c>
      <c r="AF674" s="133">
        <f t="shared" ref="AF674:BR674" si="2272">AF673/AF669</f>
        <v>0.16203220270501523</v>
      </c>
      <c r="AG674" s="938">
        <f t="shared" si="2272"/>
        <v>0.1767987831434277</v>
      </c>
      <c r="AH674" s="20">
        <f t="shared" si="2272"/>
        <v>0.16958112371214723</v>
      </c>
      <c r="AI674" s="20">
        <f t="shared" si="2272"/>
        <v>0.17371432130523851</v>
      </c>
      <c r="AJ674" s="20">
        <f t="shared" si="2272"/>
        <v>0.18482504024656596</v>
      </c>
      <c r="AK674" s="20">
        <f t="shared" si="2272"/>
        <v>0.17932356105410574</v>
      </c>
      <c r="AL674" s="20">
        <f t="shared" si="2272"/>
        <v>0.17612975000527256</v>
      </c>
      <c r="AM674" s="20">
        <f t="shared" si="2272"/>
        <v>0.18533368139264661</v>
      </c>
      <c r="AN674" s="20">
        <f t="shared" si="2272"/>
        <v>0.18083164827893589</v>
      </c>
      <c r="AO674" s="20">
        <f t="shared" si="2272"/>
        <v>0.17747523857689212</v>
      </c>
      <c r="AP674" s="20">
        <f t="shared" si="2272"/>
        <v>0.18760990031158695</v>
      </c>
      <c r="AQ674" s="20">
        <f t="shared" si="2272"/>
        <v>0.18264801161067085</v>
      </c>
      <c r="AR674" s="20">
        <f t="shared" si="2272"/>
        <v>0.17727064719147573</v>
      </c>
      <c r="AS674" s="20">
        <f t="shared" si="2272"/>
        <v>0.18739411815834933</v>
      </c>
      <c r="AT674" s="20">
        <f t="shared" si="2272"/>
        <v>0.18243889733987598</v>
      </c>
      <c r="AU674" s="20">
        <f t="shared" si="2272"/>
        <v>0.17705859239948238</v>
      </c>
      <c r="AV674" s="20">
        <f t="shared" si="2272"/>
        <v>0.18717170561192864</v>
      </c>
      <c r="AW674" s="20">
        <f t="shared" si="2272"/>
        <v>0.18222270866266754</v>
      </c>
      <c r="AX674" s="20">
        <f t="shared" si="2272"/>
        <v>0.17683925134104236</v>
      </c>
      <c r="AY674" s="20">
        <f t="shared" si="2272"/>
        <v>0.18694283027962186</v>
      </c>
      <c r="AZ674" s="20">
        <f t="shared" si="2272"/>
        <v>0.18199961872085144</v>
      </c>
      <c r="BA674" s="20">
        <f t="shared" si="2272"/>
        <v>0.17661280569029095</v>
      </c>
      <c r="BB674" s="20">
        <f t="shared" si="2272"/>
        <v>0.18670766336949865</v>
      </c>
      <c r="BC674" s="20">
        <f t="shared" si="2272"/>
        <v>0.18176980470254905</v>
      </c>
      <c r="BD674" s="20">
        <f t="shared" si="2272"/>
        <v>0.17637944148905008</v>
      </c>
      <c r="BE674" s="20">
        <f t="shared" si="2272"/>
        <v>0.18646637957147993</v>
      </c>
      <c r="BF674" s="20">
        <f t="shared" si="2272"/>
        <v>0.18153344769947663</v>
      </c>
      <c r="BG674" s="20">
        <f t="shared" si="2272"/>
        <v>0.17613934897854466</v>
      </c>
      <c r="BH674" s="20">
        <f t="shared" si="2272"/>
        <v>0.18621915693666036</v>
      </c>
      <c r="BI674" s="20">
        <f t="shared" si="2272"/>
        <v>0.18129073256246267</v>
      </c>
      <c r="BJ674" s="20">
        <f t="shared" si="2272"/>
        <v>0.17589272242900927</v>
      </c>
      <c r="BK674" s="20">
        <f t="shared" si="2272"/>
        <v>0.18596617675461291</v>
      </c>
      <c r="BL674" s="20">
        <f t="shared" si="2272"/>
        <v>0.18104184775499407</v>
      </c>
      <c r="BM674" s="20">
        <f t="shared" si="2272"/>
        <v>0.17563975996703463</v>
      </c>
      <c r="BN674" s="20">
        <f t="shared" si="2272"/>
        <v>0.18570762342841551</v>
      </c>
      <c r="BO674" s="20">
        <f t="shared" si="2272"/>
        <v>0.18078698520457834</v>
      </c>
      <c r="BP674" s="20">
        <f t="shared" si="2272"/>
        <v>0.17538066340050398</v>
      </c>
      <c r="BQ674" s="20">
        <f t="shared" si="2272"/>
        <v>0.18544368434714459</v>
      </c>
      <c r="BR674" s="20">
        <f t="shared" si="2272"/>
        <v>0.18052634015170996</v>
      </c>
    </row>
    <row r="675" spans="3:70" outlineLevel="1">
      <c r="C675" s="6" t="s">
        <v>65</v>
      </c>
      <c r="D675" s="7" t="s">
        <v>85</v>
      </c>
      <c r="E675" s="28">
        <f>E676-E673</f>
        <v>-82.399999999999991</v>
      </c>
      <c r="F675" s="18">
        <f>G675-E675</f>
        <v>12.899999999999991</v>
      </c>
      <c r="G675" s="28">
        <f>G676-G673</f>
        <v>-69.5</v>
      </c>
      <c r="H675" s="28">
        <f>H676-H673</f>
        <v>-35.300000000000011</v>
      </c>
      <c r="I675" s="18">
        <f>J675-H675</f>
        <v>-70.199999999999989</v>
      </c>
      <c r="J675" s="28">
        <f>J676-J673</f>
        <v>-105.5</v>
      </c>
      <c r="K675" s="28">
        <f>K676-K673</f>
        <v>-82.1</v>
      </c>
      <c r="L675" s="18">
        <f>M675-K675</f>
        <v>-78.599999999999994</v>
      </c>
      <c r="M675" s="28">
        <f>M676-M673</f>
        <v>-160.69999999999999</v>
      </c>
      <c r="N675" s="28">
        <f>N676-N673</f>
        <v>-81.900000000000034</v>
      </c>
      <c r="O675" s="18">
        <f>P675-N675</f>
        <v>-79.39999999999992</v>
      </c>
      <c r="P675" s="28">
        <f>P676-P673</f>
        <v>-161.29999999999995</v>
      </c>
      <c r="Q675" s="28">
        <f>Q676-Q673</f>
        <v>-83.600000000000023</v>
      </c>
      <c r="R675" s="18">
        <f>S675-Q675</f>
        <v>-84.200000000000045</v>
      </c>
      <c r="S675" s="28">
        <f>S676-S673</f>
        <v>-167.80000000000007</v>
      </c>
      <c r="T675" s="28">
        <f>T676-T673</f>
        <v>-84.700000000000045</v>
      </c>
      <c r="U675" s="18">
        <f>V675-T675</f>
        <v>-82.999999999999886</v>
      </c>
      <c r="V675" s="28">
        <f>V676-V673</f>
        <v>-167.69999999999993</v>
      </c>
      <c r="W675" s="28">
        <f>W676-W673</f>
        <v>-95.900000000000034</v>
      </c>
      <c r="X675" s="18">
        <f>Y675-W675</f>
        <v>-81.699999999999989</v>
      </c>
      <c r="Y675" s="28">
        <f>Y676-Y673</f>
        <v>-177.60000000000002</v>
      </c>
      <c r="Z675" s="28">
        <f>Z676-Z673</f>
        <v>-94.300000000000011</v>
      </c>
      <c r="AA675" s="18">
        <f>AB675-Z675</f>
        <v>-94.199999999999989</v>
      </c>
      <c r="AB675" s="28">
        <f>AB676-AB673</f>
        <v>-188.5</v>
      </c>
      <c r="AC675" s="28">
        <f>AC676-AC673</f>
        <v>-101.69999999999999</v>
      </c>
      <c r="AD675" s="18">
        <f>AE675-AC675</f>
        <v>-100.10000000000008</v>
      </c>
      <c r="AE675" s="26">
        <f>AE676-AE673</f>
        <v>-201.80000000000007</v>
      </c>
      <c r="AF675" s="913">
        <f>AF676-AF673</f>
        <v>-98.800000000000011</v>
      </c>
      <c r="AG675" s="945">
        <f>(AD675*1.01)+AG717</f>
        <v>-101.10100000000008</v>
      </c>
      <c r="AH675" s="537">
        <f>AF675+AG675</f>
        <v>-199.9010000000001</v>
      </c>
      <c r="AI675" s="536">
        <f>(AF675*1.01)+AI717</f>
        <v>-99.788000000000011</v>
      </c>
      <c r="AJ675" s="536">
        <f>(AG675*1.01)+AJ717</f>
        <v>-102.11201000000008</v>
      </c>
      <c r="AK675" s="537">
        <f>AI675+AJ675</f>
        <v>-201.90001000000009</v>
      </c>
      <c r="AL675" s="536">
        <f>(AI675*1.01)+AL717</f>
        <v>-100.78588000000001</v>
      </c>
      <c r="AM675" s="536">
        <f>(AJ675*1.01)+AM717</f>
        <v>-103.13313010000009</v>
      </c>
      <c r="AN675" s="106">
        <f>AL675+AM675</f>
        <v>-203.91901010000009</v>
      </c>
      <c r="AO675" s="536">
        <f>(AL675*1.01)+AO717</f>
        <v>-101.7937388</v>
      </c>
      <c r="AP675" s="536">
        <f>(AM675*1.01)+AP717</f>
        <v>-104.1644614010001</v>
      </c>
      <c r="AQ675" s="106">
        <f>AO675+AP675</f>
        <v>-205.9582002010001</v>
      </c>
      <c r="AR675" s="536">
        <f>(AO675*1.01)+AR717</f>
        <v>-102.81167618800001</v>
      </c>
      <c r="AS675" s="536">
        <f>(AP675*1.01)+AS717</f>
        <v>-105.20610601501009</v>
      </c>
      <c r="AT675" s="106">
        <f>AR675+AS675</f>
        <v>-208.01778220301009</v>
      </c>
      <c r="AU675" s="536">
        <f>(AR675*1.01)+AU717</f>
        <v>-103.83979294988001</v>
      </c>
      <c r="AV675" s="536">
        <f>(AS675*1.01)+AV717</f>
        <v>-106.25816707516019</v>
      </c>
      <c r="AW675" s="106">
        <f>AU675+AV675</f>
        <v>-210.09796002504021</v>
      </c>
      <c r="AX675" s="536">
        <f>(AU675*1.01)+AX717</f>
        <v>-104.87819087937881</v>
      </c>
      <c r="AY675" s="536">
        <f>(AV675*1.01)+AY717</f>
        <v>-107.32074874591179</v>
      </c>
      <c r="AZ675" s="106">
        <f>AX675+AY675</f>
        <v>-212.19893962529059</v>
      </c>
      <c r="BA675" s="536">
        <f>(AX675*1.01)+BA717</f>
        <v>-105.92697278817259</v>
      </c>
      <c r="BB675" s="536">
        <f>(AY675*1.01)+BB717</f>
        <v>-108.3939562333709</v>
      </c>
      <c r="BC675" s="106">
        <f>BA675+BB675</f>
        <v>-214.32092902154349</v>
      </c>
      <c r="BD675" s="536">
        <f>(BA675*1.01)+BD717</f>
        <v>-106.98624251605432</v>
      </c>
      <c r="BE675" s="536">
        <f>(BB675*1.01)+BE717</f>
        <v>-109.47789579570461</v>
      </c>
      <c r="BF675" s="106">
        <f>BD675+BE675</f>
        <v>-216.46413831175892</v>
      </c>
      <c r="BG675" s="536">
        <f>(BD675*1.01)+BG717</f>
        <v>-108.05610494121487</v>
      </c>
      <c r="BH675" s="536">
        <f>(BE675*1.01)+BH717</f>
        <v>-110.57267475366166</v>
      </c>
      <c r="BI675" s="106">
        <f>BG675+BH675</f>
        <v>-218.62877969487653</v>
      </c>
      <c r="BJ675" s="536">
        <f>(BG675*1.01)+BJ717</f>
        <v>-109.13666599062702</v>
      </c>
      <c r="BK675" s="536">
        <f>(BH675*1.01)+BK717</f>
        <v>-111.67840150119828</v>
      </c>
      <c r="BL675" s="106">
        <f>BJ675+BK675</f>
        <v>-220.81506749182529</v>
      </c>
      <c r="BM675" s="536">
        <f>(BJ675*1.01)+BM717</f>
        <v>-110.22803265053329</v>
      </c>
      <c r="BN675" s="536">
        <f>(BK675*1.01)+BN717</f>
        <v>-112.79518551621027</v>
      </c>
      <c r="BO675" s="106">
        <f>BM675+BN675</f>
        <v>-223.02321816674356</v>
      </c>
      <c r="BP675" s="536">
        <f>(BM675*1.01)+BP717</f>
        <v>-111.33031297703863</v>
      </c>
      <c r="BQ675" s="536">
        <f>(BN675*1.01)+BQ717</f>
        <v>-113.92313737137238</v>
      </c>
      <c r="BR675" s="106">
        <f>BP675+BQ675</f>
        <v>-225.25345034841101</v>
      </c>
    </row>
    <row r="676" spans="3:70" s="8" customFormat="1" outlineLevel="1">
      <c r="C676" s="8" t="s">
        <v>57</v>
      </c>
      <c r="D676" s="96" t="s">
        <v>85</v>
      </c>
      <c r="E676" s="344">
        <v>6.2</v>
      </c>
      <c r="F676" s="64">
        <f>F673+F675</f>
        <v>142.30000000000001</v>
      </c>
      <c r="G676" s="344">
        <v>148.5</v>
      </c>
      <c r="H676" s="344">
        <v>80.599999999999994</v>
      </c>
      <c r="I676" s="64">
        <f>I673+I675</f>
        <v>171.70000000000002</v>
      </c>
      <c r="J676" s="344">
        <v>252.3</v>
      </c>
      <c r="K676" s="344">
        <v>197.9</v>
      </c>
      <c r="L676" s="64">
        <f>L673+L675</f>
        <v>252.29999999999998</v>
      </c>
      <c r="M676" s="344">
        <v>450.2</v>
      </c>
      <c r="N676" s="344">
        <v>245.7</v>
      </c>
      <c r="O676" s="64">
        <f>O673+O675</f>
        <v>280.8</v>
      </c>
      <c r="P676" s="344">
        <v>526.5</v>
      </c>
      <c r="Q676" s="344">
        <v>280.2</v>
      </c>
      <c r="R676" s="64">
        <f>R673+R675</f>
        <v>308.2</v>
      </c>
      <c r="S676" s="344">
        <v>588.4</v>
      </c>
      <c r="T676" s="109">
        <v>288.89999999999998</v>
      </c>
      <c r="U676" s="64">
        <f>U673+U675</f>
        <v>317.30000000000007</v>
      </c>
      <c r="V676" s="109">
        <v>606.20000000000005</v>
      </c>
      <c r="W676" s="109">
        <v>298.89999999999998</v>
      </c>
      <c r="X676" s="64">
        <f>X673+X675</f>
        <v>344</v>
      </c>
      <c r="Y676" s="109">
        <v>642.9</v>
      </c>
      <c r="Z676" s="109">
        <v>321</v>
      </c>
      <c r="AA676" s="64">
        <f>AA673+AA675</f>
        <v>360.20000000000005</v>
      </c>
      <c r="AB676" s="109">
        <v>681.2</v>
      </c>
      <c r="AC676" s="109">
        <v>340</v>
      </c>
      <c r="AD676" s="64">
        <f>AD673+AD675</f>
        <v>398.79999999999995</v>
      </c>
      <c r="AE676" s="109">
        <v>738.8</v>
      </c>
      <c r="AF676" s="914">
        <v>337.4</v>
      </c>
      <c r="AG676" s="1010">
        <f>(AD669*(1+AG671-AG315))*AD677+AG686</f>
        <v>396.69579017810327</v>
      </c>
      <c r="AH676" s="110">
        <f>AF676+AG676</f>
        <v>734.09579017810324</v>
      </c>
      <c r="AI676" s="471">
        <f>(AF669*(1+AI671-AI315))*AF677+AI686</f>
        <v>379.4134226889139</v>
      </c>
      <c r="AJ676" s="471">
        <f>(AG669*(1+AJ671-AJ315))*AG677+AJ686</f>
        <v>417.72573787962574</v>
      </c>
      <c r="AK676" s="110">
        <f>AI676+AJ676</f>
        <v>797.13916056853964</v>
      </c>
      <c r="AL676" s="471">
        <f>(AI669*(1+AL671-AL315))*AI677+AL686</f>
        <v>380.13695048923</v>
      </c>
      <c r="AM676" s="471">
        <f>(AJ669*(1+AM671-AM315))*AJ677+AM686</f>
        <v>425.38704734779361</v>
      </c>
      <c r="AN676" s="110">
        <f>AL676+AM676</f>
        <v>805.52399783702367</v>
      </c>
      <c r="AO676" s="471">
        <f>(AL669*(1+AO671-AO315))*AL677+AO686</f>
        <v>391.14634213850667</v>
      </c>
      <c r="AP676" s="471">
        <f>(AM669*(1+AP671-AP315))*AM677+AP686</f>
        <v>439.07151124576956</v>
      </c>
      <c r="AQ676" s="110">
        <f>AO676+AP676</f>
        <v>830.21785338427617</v>
      </c>
      <c r="AR676" s="471">
        <f>(AO669*(1+AR671-AR315))*AO677+AR686</f>
        <v>397.70932161253546</v>
      </c>
      <c r="AS676" s="471">
        <f>(AP669*(1+AS671-AS315))*AP677+AS686</f>
        <v>446.64502871417761</v>
      </c>
      <c r="AT676" s="110">
        <f>AR676+AS676</f>
        <v>844.35435032671307</v>
      </c>
      <c r="AU676" s="471">
        <f>(AR669*(1+AU671-AU315))*AR677+AU686</f>
        <v>404.49010506398139</v>
      </c>
      <c r="AV676" s="471">
        <f>(AS669*(1+AV671-AV315))*AS677+AV686</f>
        <v>454.46392811824199</v>
      </c>
      <c r="AW676" s="110">
        <f>AU676+AV676</f>
        <v>858.95403318222338</v>
      </c>
      <c r="AX676" s="471">
        <f>(AU669*(1+AX671-AX315))*AU677+AX686</f>
        <v>411.49610678133422</v>
      </c>
      <c r="AY676" s="471">
        <f>(AV669*(1+AY671-AY315))*AV677+AY686</f>
        <v>462.53664400568067</v>
      </c>
      <c r="AZ676" s="110">
        <f>AX676+AY676</f>
        <v>874.03275078701495</v>
      </c>
      <c r="BA676" s="471">
        <f>(AX669*(1+BA671-BA315))*AX677+BA686</f>
        <v>418.73505938869465</v>
      </c>
      <c r="BB676" s="471">
        <f>(AY669*(1+BB671-BB315))*AY677+BB686</f>
        <v>470.87197132458533</v>
      </c>
      <c r="BC676" s="110">
        <f>BA676+BB676</f>
        <v>889.60703071327998</v>
      </c>
      <c r="BD676" s="471">
        <f>(BA669*(1+BD671-BD315))*BA677+BD686</f>
        <v>426.2150279095265</v>
      </c>
      <c r="BE676" s="471">
        <f>(BB669*(1+BE671-BE315))*BB677+BE686</f>
        <v>479.47908139079408</v>
      </c>
      <c r="BF676" s="110">
        <f>BD676+BE676</f>
        <v>905.69410930032063</v>
      </c>
      <c r="BG676" s="471">
        <f>(BD669*(1+BG671-BG315))*BD677+BG686</f>
        <v>433.94442449495335</v>
      </c>
      <c r="BH676" s="471">
        <f>(BE669*(1+BH671-BH315))*BE677+BH686</f>
        <v>488.36753860929576</v>
      </c>
      <c r="BI676" s="110">
        <f>BG676+BH676</f>
        <v>922.31196310424912</v>
      </c>
      <c r="BJ676" s="471">
        <f>(BG669*(1+BJ671-BJ315))*BG677+BJ686</f>
        <v>441.93202384872552</v>
      </c>
      <c r="BK676" s="471">
        <f>(BH669*(1+BK671-BK315))*BH677+BK686</f>
        <v>497.54731798613307</v>
      </c>
      <c r="BL676" s="110">
        <f>BJ676+BK676</f>
        <v>939.47934183485859</v>
      </c>
      <c r="BM676" s="471">
        <f>(BJ669*(1+BM671-BM315))*BJ677+BM686</f>
        <v>450.18697938257276</v>
      </c>
      <c r="BN676" s="471">
        <f>(BK669*(1+BN671-BN315))*BK677+BN686</f>
        <v>507.02882346907319</v>
      </c>
      <c r="BO676" s="110">
        <f>BM676+BN676</f>
        <v>957.215802851646</v>
      </c>
      <c r="BP676" s="471">
        <f>(BM669*(1+BP671-BP315))*BM677+BP686</f>
        <v>458.71884013732853</v>
      </c>
      <c r="BQ676" s="471">
        <f>(BN669*(1+BQ671-BQ315))*BN677+BQ686</f>
        <v>516.82290715721467</v>
      </c>
      <c r="BR676" s="110">
        <f>BP676+BQ676</f>
        <v>975.54174729454326</v>
      </c>
    </row>
    <row r="677" spans="3:70" s="416" customFormat="1" outlineLevel="1">
      <c r="C677" s="421" t="s">
        <v>561</v>
      </c>
      <c r="D677" s="7" t="s">
        <v>66</v>
      </c>
      <c r="E677" s="478">
        <f t="shared" ref="E677:AE677" si="2273">E676/E669</f>
        <v>6.6310160427807486E-3</v>
      </c>
      <c r="F677" s="478">
        <f t="shared" si="2273"/>
        <v>0.16375143843498274</v>
      </c>
      <c r="G677" s="478">
        <f t="shared" si="2273"/>
        <v>8.2317073170731711E-2</v>
      </c>
      <c r="H677" s="478">
        <f t="shared" si="2273"/>
        <v>9.2750287686996544E-2</v>
      </c>
      <c r="I677" s="478">
        <f t="shared" si="2273"/>
        <v>8.8505154639175271E-2</v>
      </c>
      <c r="J677" s="478">
        <f t="shared" si="2273"/>
        <v>8.9818440726237098E-2</v>
      </c>
      <c r="K677" s="478">
        <f t="shared" si="2273"/>
        <v>8.8033807829181493E-2</v>
      </c>
      <c r="L677" s="478">
        <f t="shared" si="2273"/>
        <v>0.10832975525976814</v>
      </c>
      <c r="M677" s="478">
        <f t="shared" si="2273"/>
        <v>9.8361372077780201E-2</v>
      </c>
      <c r="N677" s="478">
        <f t="shared" si="2273"/>
        <v>0.10814260563380282</v>
      </c>
      <c r="O677" s="478">
        <f t="shared" si="2273"/>
        <v>0.11646619659892161</v>
      </c>
      <c r="P677" s="478">
        <f t="shared" si="2273"/>
        <v>0.11242793081358103</v>
      </c>
      <c r="Q677" s="478">
        <f t="shared" si="2273"/>
        <v>0.11057616416732438</v>
      </c>
      <c r="R677" s="478">
        <f t="shared" si="2273"/>
        <v>0.12072072072072072</v>
      </c>
      <c r="S677" s="478">
        <f t="shared" si="2273"/>
        <v>0.11566738745822684</v>
      </c>
      <c r="T677" s="478">
        <f t="shared" si="2273"/>
        <v>0.11710579651398459</v>
      </c>
      <c r="U677" s="478">
        <f t="shared" si="2273"/>
        <v>0.12546461051799132</v>
      </c>
      <c r="V677" s="478">
        <f t="shared" si="2273"/>
        <v>0.12133706965572459</v>
      </c>
      <c r="W677" s="478">
        <f t="shared" si="2273"/>
        <v>0.11856406188020625</v>
      </c>
      <c r="X677" s="478">
        <f t="shared" si="2273"/>
        <v>0.12689044632976762</v>
      </c>
      <c r="Y677" s="478">
        <f t="shared" si="2273"/>
        <v>0.12287844036697247</v>
      </c>
      <c r="Z677" s="478">
        <f t="shared" si="2273"/>
        <v>0.11862527716186252</v>
      </c>
      <c r="AA677" s="478">
        <f t="shared" si="2273"/>
        <v>0.1305072463768116</v>
      </c>
      <c r="AB677" s="478">
        <f t="shared" si="2273"/>
        <v>0.12462495426271497</v>
      </c>
      <c r="AC677" s="478">
        <f t="shared" si="2273"/>
        <v>0.12065294535131299</v>
      </c>
      <c r="AD677" s="478">
        <f t="shared" si="2273"/>
        <v>0.13761214630779847</v>
      </c>
      <c r="AE677" s="479">
        <f t="shared" si="2273"/>
        <v>0.12925122463261021</v>
      </c>
      <c r="AF677" s="479">
        <f t="shared" ref="AF677:BR677" si="2274">AF676/AF669</f>
        <v>0.12533164876816169</v>
      </c>
      <c r="AG677" s="1011">
        <f t="shared" si="2274"/>
        <v>0.14089149300564177</v>
      </c>
      <c r="AH677" s="478">
        <f t="shared" si="2274"/>
        <v>0.13328609939550298</v>
      </c>
      <c r="AI677" s="478">
        <f t="shared" si="2274"/>
        <v>0.13754037883833486</v>
      </c>
      <c r="AJ677" s="478">
        <f t="shared" si="2274"/>
        <v>0.14851975761772929</v>
      </c>
      <c r="AK677" s="478">
        <f t="shared" si="2274"/>
        <v>0.14308331158575352</v>
      </c>
      <c r="AL677" s="478">
        <f t="shared" si="2274"/>
        <v>0.13921864759326316</v>
      </c>
      <c r="AM677" s="478">
        <f t="shared" si="2274"/>
        <v>0.14916847239858161</v>
      </c>
      <c r="AN677" s="478">
        <f t="shared" si="2274"/>
        <v>0.14430159118621042</v>
      </c>
      <c r="AO677" s="478">
        <f t="shared" si="2274"/>
        <v>0.14082602140475975</v>
      </c>
      <c r="AP677" s="478">
        <f t="shared" si="2274"/>
        <v>0.15163605983810488</v>
      </c>
      <c r="AQ677" s="478">
        <f t="shared" si="2274"/>
        <v>0.14634350948338903</v>
      </c>
      <c r="AR677" s="478">
        <f t="shared" si="2274"/>
        <v>0.14085760466823216</v>
      </c>
      <c r="AS677" s="478">
        <f t="shared" si="2274"/>
        <v>0.15166889405197603</v>
      </c>
      <c r="AT677" s="478">
        <f t="shared" si="2274"/>
        <v>0.14637700094494102</v>
      </c>
      <c r="AU677" s="478">
        <f t="shared" si="2274"/>
        <v>0.14088970356056915</v>
      </c>
      <c r="AV677" s="478">
        <f t="shared" si="2274"/>
        <v>0.15170222342611406</v>
      </c>
      <c r="AW677" s="478">
        <f t="shared" si="2274"/>
        <v>0.14641096180327864</v>
      </c>
      <c r="AX677" s="478">
        <f t="shared" si="2274"/>
        <v>0.14092231891211959</v>
      </c>
      <c r="AY677" s="478">
        <f t="shared" si="2274"/>
        <v>0.15173604912089333</v>
      </c>
      <c r="AZ677" s="478">
        <f t="shared" si="2274"/>
        <v>0.14644539355355526</v>
      </c>
      <c r="BA677" s="478">
        <f t="shared" si="2274"/>
        <v>0.14095545159364145</v>
      </c>
      <c r="BB677" s="478">
        <f t="shared" si="2274"/>
        <v>0.1517703723449311</v>
      </c>
      <c r="BC677" s="478">
        <f t="shared" si="2274"/>
        <v>0.14648029774842428</v>
      </c>
      <c r="BD677" s="478">
        <f t="shared" si="2274"/>
        <v>0.14098910251455313</v>
      </c>
      <c r="BE677" s="478">
        <f t="shared" si="2274"/>
        <v>0.15180519435274278</v>
      </c>
      <c r="BF677" s="478">
        <f t="shared" si="2274"/>
        <v>0.14651567599512957</v>
      </c>
      <c r="BG677" s="478">
        <f t="shared" si="2274"/>
        <v>0.14102327262101333</v>
      </c>
      <c r="BH677" s="478">
        <f t="shared" si="2274"/>
        <v>0.15184051644223687</v>
      </c>
      <c r="BI677" s="478">
        <f t="shared" si="2274"/>
        <v>0.14655152995244625</v>
      </c>
      <c r="BJ677" s="478">
        <f t="shared" si="2274"/>
        <v>0.14105796289383593</v>
      </c>
      <c r="BK677" s="478">
        <f t="shared" si="2274"/>
        <v>0.1518763399520543</v>
      </c>
      <c r="BL677" s="478">
        <f t="shared" si="2274"/>
        <v>0.1465878613274785</v>
      </c>
      <c r="BM677" s="478">
        <f t="shared" si="2274"/>
        <v>0.14109317434624399</v>
      </c>
      <c r="BN677" s="478">
        <f t="shared" si="2274"/>
        <v>0.15191266625875868</v>
      </c>
      <c r="BO677" s="478">
        <f t="shared" si="2274"/>
        <v>0.14662467187231959</v>
      </c>
      <c r="BP677" s="478">
        <f t="shared" si="2274"/>
        <v>0.14112890802147005</v>
      </c>
      <c r="BQ677" s="478">
        <f t="shared" si="2274"/>
        <v>0.15194949677388322</v>
      </c>
      <c r="BR677" s="478">
        <f t="shared" si="2274"/>
        <v>0.14666196338058074</v>
      </c>
    </row>
    <row r="678" spans="3:70" outlineLevel="1">
      <c r="C678" s="538" t="s">
        <v>586</v>
      </c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AC678" s="63"/>
      <c r="AD678" s="63"/>
      <c r="AE678" s="429"/>
      <c r="AF678" s="376">
        <f>SUM(AF679:AF681)*AF376</f>
        <v>-23.273382430011399</v>
      </c>
      <c r="AG678" s="1002">
        <f>SUM(AG679:AG681)*AG376</f>
        <v>-1.1426218944910194</v>
      </c>
      <c r="AH678" s="376">
        <f>SUM(AH679:AH681)*AH376</f>
        <v>-24.500456980650178</v>
      </c>
      <c r="AI678" s="816"/>
      <c r="AJ678" s="815"/>
      <c r="AK678" s="1070"/>
      <c r="AL678" s="816"/>
      <c r="AM678" s="63"/>
      <c r="AN678" s="63"/>
      <c r="AO678" s="63"/>
      <c r="AP678" s="63"/>
      <c r="AQ678" s="816"/>
      <c r="AR678" s="63"/>
      <c r="AS678" s="63"/>
      <c r="AT678" s="63"/>
      <c r="AU678" s="63"/>
      <c r="AV678" s="63"/>
      <c r="AW678" s="63"/>
      <c r="AX678" s="63"/>
      <c r="AY678" s="63"/>
      <c r="AZ678" s="816"/>
      <c r="BA678" s="63"/>
      <c r="BB678" s="63"/>
      <c r="BC678" s="63"/>
      <c r="BD678" s="63"/>
      <c r="BE678" s="63"/>
      <c r="BF678" s="63"/>
      <c r="BG678" s="63"/>
      <c r="BH678" s="63"/>
      <c r="BI678" s="816"/>
      <c r="BJ678" s="63"/>
      <c r="BK678" s="63"/>
      <c r="BL678" s="63"/>
      <c r="BM678" s="63"/>
      <c r="BN678" s="63"/>
      <c r="BO678" s="63"/>
      <c r="BP678" s="63"/>
      <c r="BQ678" s="63"/>
      <c r="BR678" s="816"/>
    </row>
    <row r="679" spans="3:70" s="416" customFormat="1" outlineLevel="1">
      <c r="C679" s="469" t="s">
        <v>92</v>
      </c>
      <c r="D679" s="7" t="s">
        <v>85</v>
      </c>
      <c r="AE679" s="842"/>
      <c r="AF679" s="561">
        <f>+(AC660*AF664)+(AC652*AF656)+(AC644*AF648)+(AC636*AF640)</f>
        <v>6.7358181993904473</v>
      </c>
      <c r="AG679" s="1012">
        <f>+(AD660*AG664)+(AD652*AG656)+(AD644*AG648)+(AD636*AG640)</f>
        <v>10.045804330735237</v>
      </c>
      <c r="AH679" s="480">
        <f>AF679+AG679</f>
        <v>16.781622530125684</v>
      </c>
      <c r="AI679" s="472">
        <f>+(AF660*AI664)+(AF652*AI656)+(AF644*AI648)+(AF636*AI640)</f>
        <v>9.0438307867206511</v>
      </c>
      <c r="AJ679" s="472">
        <f>+(AG660*AJ664)+(AG652*AJ656)+(AG644*AJ648)+(AG636*AJ640)</f>
        <v>1.4343107852033405</v>
      </c>
      <c r="AK679" s="480">
        <f>AI679+AJ679</f>
        <v>10.478141571923992</v>
      </c>
      <c r="AL679" s="472">
        <f t="shared" ref="AL679:AM679" si="2275">+(AI660*AL664)+(AI652*AL656)+(AI644*AL648)+(AI636*AL640)</f>
        <v>0</v>
      </c>
      <c r="AM679" s="472">
        <f t="shared" si="2275"/>
        <v>2.8359889162186231</v>
      </c>
      <c r="AN679" s="480">
        <f t="shared" ref="AN679:AN681" si="2276">AL679+AM679</f>
        <v>2.8359889162186231</v>
      </c>
      <c r="AO679" s="472">
        <f t="shared" ref="AO679:AP679" si="2277">+(AL660*AO664)+(AL652*AO656)+(AL644*AO648)+(AL636*AO640)</f>
        <v>2.7046553688018204</v>
      </c>
      <c r="AP679" s="472">
        <f t="shared" si="2277"/>
        <v>0</v>
      </c>
      <c r="AQ679" s="480">
        <f t="shared" ref="AQ679:AQ681" si="2278">AO679+AP679</f>
        <v>2.7046553688018204</v>
      </c>
      <c r="AR679" s="472">
        <f t="shared" ref="AR679:AS679" si="2279">+(AO660*AR664)+(AO652*AR656)+(AO644*AR648)+(AO636*AR640)</f>
        <v>0</v>
      </c>
      <c r="AS679" s="472">
        <f t="shared" si="2279"/>
        <v>0</v>
      </c>
      <c r="AT679" s="480">
        <f t="shared" ref="AT679:AT681" si="2280">AR679+AS679</f>
        <v>0</v>
      </c>
      <c r="AU679" s="472">
        <f t="shared" ref="AU679:AV679" si="2281">+(AR660*AU664)+(AR652*AU656)+(AR644*AU648)+(AR636*AU640)</f>
        <v>0</v>
      </c>
      <c r="AV679" s="472">
        <f t="shared" si="2281"/>
        <v>0</v>
      </c>
      <c r="AW679" s="480">
        <f t="shared" ref="AW679:AW681" si="2282">AU679+AV679</f>
        <v>0</v>
      </c>
      <c r="AX679" s="472">
        <f t="shared" ref="AX679:AY679" si="2283">+(AU660*AX664)+(AU652*AX656)+(AU644*AX648)+(AU636*AX640)</f>
        <v>0</v>
      </c>
      <c r="AY679" s="472">
        <f t="shared" si="2283"/>
        <v>0</v>
      </c>
      <c r="AZ679" s="480">
        <f t="shared" ref="AZ679:AZ681" si="2284">AX679+AY679</f>
        <v>0</v>
      </c>
      <c r="BA679" s="472">
        <f t="shared" ref="BA679:BB679" si="2285">+(AX660*BA664)+(AX652*BA656)+(AX644*BA648)+(AX636*BA640)</f>
        <v>0</v>
      </c>
      <c r="BB679" s="472">
        <f t="shared" si="2285"/>
        <v>0</v>
      </c>
      <c r="BC679" s="480">
        <f t="shared" ref="BC679:BC681" si="2286">BA679+BB679</f>
        <v>0</v>
      </c>
      <c r="BD679" s="472">
        <f t="shared" ref="BD679:BE679" si="2287">+(BA660*BD664)+(BA652*BD656)+(BA644*BD648)+(BA636*BD640)</f>
        <v>0</v>
      </c>
      <c r="BE679" s="472">
        <f t="shared" si="2287"/>
        <v>0</v>
      </c>
      <c r="BF679" s="480">
        <f t="shared" ref="BF679:BF681" si="2288">BD679+BE679</f>
        <v>0</v>
      </c>
      <c r="BG679" s="472">
        <f t="shared" ref="BG679:BH679" si="2289">+(BD660*BG664)+(BD652*BG656)+(BD644*BG648)+(BD636*BG640)</f>
        <v>0</v>
      </c>
      <c r="BH679" s="472">
        <f t="shared" si="2289"/>
        <v>0</v>
      </c>
      <c r="BI679" s="480">
        <f t="shared" ref="BI679:BI681" si="2290">BG679+BH679</f>
        <v>0</v>
      </c>
      <c r="BJ679" s="472">
        <f t="shared" ref="BJ679:BK679" si="2291">+(BG660*BJ664)+(BG652*BJ656)+(BG644*BJ648)+(BG636*BJ640)</f>
        <v>0</v>
      </c>
      <c r="BK679" s="472">
        <f t="shared" si="2291"/>
        <v>0</v>
      </c>
      <c r="BL679" s="480">
        <f t="shared" ref="BL679:BL681" si="2292">BJ679+BK679</f>
        <v>0</v>
      </c>
      <c r="BM679" s="472">
        <f t="shared" ref="BM679:BN679" si="2293">+(BJ660*BM664)+(BJ652*BM656)+(BJ644*BM648)+(BJ636*BM640)</f>
        <v>0</v>
      </c>
      <c r="BN679" s="472">
        <f t="shared" si="2293"/>
        <v>0</v>
      </c>
      <c r="BO679" s="480">
        <f t="shared" ref="BO679:BO681" si="2294">BM679+BN679</f>
        <v>0</v>
      </c>
      <c r="BP679" s="472">
        <f t="shared" ref="BP679:BQ679" si="2295">+(BM660*BP664)+(BM652*BP656)+(BM644*BP648)+(BM636*BP640)</f>
        <v>0</v>
      </c>
      <c r="BQ679" s="472">
        <f t="shared" si="2295"/>
        <v>0</v>
      </c>
      <c r="BR679" s="480">
        <f t="shared" ref="BR679:BR681" si="2296">BP679+BQ679</f>
        <v>0</v>
      </c>
    </row>
    <row r="680" spans="3:70" s="416" customFormat="1" outlineLevel="1">
      <c r="C680" s="469" t="s">
        <v>744</v>
      </c>
      <c r="D680" s="7" t="s">
        <v>85</v>
      </c>
      <c r="AE680" s="842"/>
      <c r="AF680" s="561">
        <f>-0.15*(AC669-AC660)*AF319</f>
        <v>-26.52564013683785</v>
      </c>
      <c r="AG680" s="956">
        <f>-0.15*(AD669-AD660)*AG319</f>
        <v>-30.904272319010051</v>
      </c>
      <c r="AH680" s="376">
        <f>AF680+AG680</f>
        <v>-57.429912455847898</v>
      </c>
      <c r="AI680" s="149">
        <f>-0.15*(AF669-AF660)*AI319</f>
        <v>-17.788978989855291</v>
      </c>
      <c r="AJ680" s="149">
        <f>-0.15*(AG669-AG660)*AJ319</f>
        <v>-2.8251523991723335</v>
      </c>
      <c r="AK680" s="376">
        <f>AI680+AJ680</f>
        <v>-20.614131389027627</v>
      </c>
      <c r="AL680" s="149">
        <f>-0.15*(AI669-AI660)*AL319</f>
        <v>0</v>
      </c>
      <c r="AM680" s="149">
        <f>-0.15*(AJ669-AJ660)*AM319</f>
        <v>-5.5865123687092382</v>
      </c>
      <c r="AN680" s="376">
        <f t="shared" si="2276"/>
        <v>-5.5865123687092382</v>
      </c>
      <c r="AO680" s="149">
        <f>-0.15*(AL669-AL660)*AO319</f>
        <v>-5.320995916188977</v>
      </c>
      <c r="AP680" s="149">
        <f>-0.15*(AM669-AM660)*AP319</f>
        <v>0</v>
      </c>
      <c r="AQ680" s="376">
        <f t="shared" si="2278"/>
        <v>-5.320995916188977</v>
      </c>
      <c r="AR680" s="149">
        <f>-0.15*(AO669-AO660)*AR319</f>
        <v>0</v>
      </c>
      <c r="AS680" s="149">
        <f>-0.15*(AP669-AP660)*AS319</f>
        <v>0</v>
      </c>
      <c r="AT680" s="376">
        <f t="shared" si="2280"/>
        <v>0</v>
      </c>
      <c r="AU680" s="149">
        <f>-0.15*(AR669-AR660)*AU319</f>
        <v>0</v>
      </c>
      <c r="AV680" s="149">
        <f>-0.15*(AS669-AS660)*AV319</f>
        <v>0</v>
      </c>
      <c r="AW680" s="376">
        <f t="shared" si="2282"/>
        <v>0</v>
      </c>
      <c r="AX680" s="149">
        <f>-0.15*(AU669-AU660)*AX319</f>
        <v>0</v>
      </c>
      <c r="AY680" s="149">
        <f>-0.15*(AV669-AV660)*AY319</f>
        <v>0</v>
      </c>
      <c r="AZ680" s="376">
        <f t="shared" si="2284"/>
        <v>0</v>
      </c>
      <c r="BA680" s="149">
        <f>-0.15*(AX669-AX660)*BA319</f>
        <v>0</v>
      </c>
      <c r="BB680" s="149">
        <f>-0.15*(AY669-AY660)*BB319</f>
        <v>0</v>
      </c>
      <c r="BC680" s="376">
        <f t="shared" si="2286"/>
        <v>0</v>
      </c>
      <c r="BD680" s="149">
        <f>-0.15*(BA669-BA660)*BD319</f>
        <v>0</v>
      </c>
      <c r="BE680" s="149">
        <f>-0.15*(BB669-BB660)*BE319</f>
        <v>0</v>
      </c>
      <c r="BF680" s="376">
        <f t="shared" si="2288"/>
        <v>0</v>
      </c>
      <c r="BG680" s="149">
        <f>-0.15*(BD669-BD660)*BG319</f>
        <v>0</v>
      </c>
      <c r="BH680" s="149">
        <f>-0.15*(BE669-BE660)*BH319</f>
        <v>0</v>
      </c>
      <c r="BI680" s="376">
        <f t="shared" si="2290"/>
        <v>0</v>
      </c>
      <c r="BJ680" s="149">
        <f>-0.15*(BG669-BG660)*BJ319</f>
        <v>0</v>
      </c>
      <c r="BK680" s="149">
        <f>-0.15*(BH669-BH660)*BK319</f>
        <v>0</v>
      </c>
      <c r="BL680" s="376">
        <f t="shared" si="2292"/>
        <v>0</v>
      </c>
      <c r="BM680" s="149">
        <f>-0.15*(BJ669-BJ660)*BM319</f>
        <v>0</v>
      </c>
      <c r="BN680" s="149">
        <f>-0.15*(BK669-BK660)*BN319</f>
        <v>0</v>
      </c>
      <c r="BO680" s="376">
        <f t="shared" si="2294"/>
        <v>0</v>
      </c>
      <c r="BP680" s="149">
        <f>-0.15*(BM669-BM660)*BP319</f>
        <v>0</v>
      </c>
      <c r="BQ680" s="149">
        <f>-0.15*(BN669-BN660)*BQ319</f>
        <v>0</v>
      </c>
      <c r="BR680" s="376">
        <f t="shared" si="2296"/>
        <v>0</v>
      </c>
    </row>
    <row r="681" spans="3:70" s="416" customFormat="1" outlineLevel="1">
      <c r="C681" s="469" t="s">
        <v>745</v>
      </c>
      <c r="D681" s="7" t="s">
        <v>85</v>
      </c>
      <c r="AC681" s="546"/>
      <c r="AD681" s="546"/>
      <c r="AE681" s="843"/>
      <c r="AF681" s="561">
        <f>(0.15*AD319*(AA669-AA660))*(1-AD318)</f>
        <v>0</v>
      </c>
      <c r="AG681" s="956">
        <f>(0.15*AF319*(AC669-AC660)*(1-AF318))</f>
        <v>19.894230102628384</v>
      </c>
      <c r="AH681" s="376">
        <f>AF681+AG681</f>
        <v>19.894230102628384</v>
      </c>
      <c r="AI681" s="149">
        <f>(0.15*AG319*(AD669-AD660))*(1-AG318)</f>
        <v>21.014905176926835</v>
      </c>
      <c r="AJ681" s="149">
        <f>(0.15*AI319*(AF669-AF660)*(1-AI318))</f>
        <v>8.8944894949276438</v>
      </c>
      <c r="AK681" s="376">
        <f>AI681+AJ681</f>
        <v>29.909394671854479</v>
      </c>
      <c r="AL681" s="149">
        <f>(0.15*AJ319*(AG669-AG660))*(1-AJ318)</f>
        <v>1.412576199586167</v>
      </c>
      <c r="AM681" s="149">
        <f>(0.15*AL319*(AI669-AI660)*(1-AL318))</f>
        <v>0</v>
      </c>
      <c r="AN681" s="376">
        <f t="shared" si="2276"/>
        <v>1.412576199586167</v>
      </c>
      <c r="AO681" s="149">
        <f>(0.15*AM319*(AJ669-AJ660))*(1-AM318)</f>
        <v>2.7932561843546191</v>
      </c>
      <c r="AP681" s="149">
        <f>(0.15*AO319*(AL669-AL660)*(1-AO318))</f>
        <v>2.6604979580944881</v>
      </c>
      <c r="AQ681" s="376">
        <f t="shared" si="2278"/>
        <v>5.4537541424491067</v>
      </c>
      <c r="AR681" s="149">
        <f>(0.15*AP319*(AM669-AM660))*(1-AP318)</f>
        <v>0</v>
      </c>
      <c r="AS681" s="149">
        <f>(0.15*AR319*(AO669-AO660)*(1-AR318))</f>
        <v>0</v>
      </c>
      <c r="AT681" s="376">
        <f t="shared" si="2280"/>
        <v>0</v>
      </c>
      <c r="AU681" s="149">
        <f>(0.15*AS319*(AP669-AP660))*(1-AS318)</f>
        <v>0</v>
      </c>
      <c r="AV681" s="149">
        <f>(0.15*AU319*(AR669-AR660)*(1-AU318))</f>
        <v>0</v>
      </c>
      <c r="AW681" s="376">
        <f t="shared" si="2282"/>
        <v>0</v>
      </c>
      <c r="AX681" s="149">
        <f>(0.15*AV319*(AS669-AS660))*(1-AV318)</f>
        <v>0</v>
      </c>
      <c r="AY681" s="149">
        <f>(0.15*AX319*(AU669-AU660)*(1-AX318))</f>
        <v>0</v>
      </c>
      <c r="AZ681" s="376">
        <f t="shared" si="2284"/>
        <v>0</v>
      </c>
      <c r="BA681" s="149">
        <f>(0.15*AY319*(AV669-AV660))*(1-AY318)</f>
        <v>0</v>
      </c>
      <c r="BB681" s="149">
        <f>(0.15*BA319*(AX669-AX660)*(1-BA318))</f>
        <v>0</v>
      </c>
      <c r="BC681" s="376">
        <f t="shared" si="2286"/>
        <v>0</v>
      </c>
      <c r="BD681" s="149">
        <f>(0.15*BB319*(AY669-AY660))*(1-BB318)</f>
        <v>0</v>
      </c>
      <c r="BE681" s="149">
        <f>(0.15*BD319*(BA669-BA660)*(1-BD318))</f>
        <v>0</v>
      </c>
      <c r="BF681" s="376">
        <f t="shared" si="2288"/>
        <v>0</v>
      </c>
      <c r="BG681" s="149">
        <f>(0.15*BE319*(BB669-BB660))*(1-BE318)</f>
        <v>0</v>
      </c>
      <c r="BH681" s="149">
        <f>(0.15*BG319*(BD669-BD660)*(1-BG318))</f>
        <v>0</v>
      </c>
      <c r="BI681" s="376">
        <f t="shared" si="2290"/>
        <v>0</v>
      </c>
      <c r="BJ681" s="149">
        <f>(0.15*BH319*(BE669-BE660))*(1-BH318)</f>
        <v>0</v>
      </c>
      <c r="BK681" s="149">
        <f>(0.15*BJ319*(BG669-BG660)*(1-BJ318))</f>
        <v>0</v>
      </c>
      <c r="BL681" s="376">
        <f t="shared" si="2292"/>
        <v>0</v>
      </c>
      <c r="BM681" s="149">
        <f>(0.15*BK319*(BH669-BH660))*(1-BK318)</f>
        <v>0</v>
      </c>
      <c r="BN681" s="149">
        <f>(0.15*BM319*(BJ669-BJ660)*(1-BM318))</f>
        <v>0</v>
      </c>
      <c r="BO681" s="376">
        <f t="shared" si="2294"/>
        <v>0</v>
      </c>
      <c r="BP681" s="149">
        <f>(0.15*BN319*(BK669-BK660))*(1-BN318)</f>
        <v>0</v>
      </c>
      <c r="BQ681" s="149">
        <f>(0.15*BP319*(BM669-BM660)*(1-BP318))</f>
        <v>0</v>
      </c>
      <c r="BR681" s="376">
        <f t="shared" si="2296"/>
        <v>0</v>
      </c>
    </row>
    <row r="682" spans="3:70" s="416" customFormat="1" outlineLevel="1">
      <c r="C682" s="469" t="s">
        <v>273</v>
      </c>
      <c r="D682" s="7" t="s">
        <v>85</v>
      </c>
      <c r="AE682" s="842"/>
      <c r="AF682" s="915">
        <f>25/$AF$259</f>
        <v>21.257560483870968</v>
      </c>
      <c r="AG682" s="1003">
        <f>7.5/AG376</f>
        <v>6.3291139240506329</v>
      </c>
      <c r="AH682" s="817">
        <f>AF682+AG682</f>
        <v>27.586674407921599</v>
      </c>
      <c r="AI682" s="407">
        <f>(7.5/2)/AI376</f>
        <v>3.2751091703056767</v>
      </c>
      <c r="AJ682" s="407">
        <f>(7.5/2)/AJ376</f>
        <v>3.0991735537190084</v>
      </c>
      <c r="AK682" s="419">
        <f>AI682+AJ682</f>
        <v>6.3742827240246847</v>
      </c>
      <c r="AL682" s="101">
        <v>0</v>
      </c>
      <c r="AM682" s="101">
        <v>0</v>
      </c>
      <c r="AN682" s="419">
        <f>AL682+AM682</f>
        <v>0</v>
      </c>
      <c r="AO682" s="101">
        <v>0</v>
      </c>
      <c r="AP682" s="101">
        <v>0</v>
      </c>
      <c r="AQ682" s="419">
        <f>AO682+AP682</f>
        <v>0</v>
      </c>
      <c r="AR682" s="101">
        <v>0</v>
      </c>
      <c r="AS682" s="101">
        <v>0</v>
      </c>
      <c r="AT682" s="419">
        <f>AR682+AS682</f>
        <v>0</v>
      </c>
      <c r="AU682" s="101">
        <v>0</v>
      </c>
      <c r="AV682" s="101">
        <v>0</v>
      </c>
      <c r="AW682" s="419">
        <f>AU682+AV682</f>
        <v>0</v>
      </c>
      <c r="AX682" s="101">
        <v>0</v>
      </c>
      <c r="AY682" s="101">
        <v>0</v>
      </c>
      <c r="AZ682" s="419">
        <f>AX682+AY682</f>
        <v>0</v>
      </c>
      <c r="BA682" s="101">
        <v>0</v>
      </c>
      <c r="BB682" s="101">
        <v>0</v>
      </c>
      <c r="BC682" s="419">
        <f>BA682+BB682</f>
        <v>0</v>
      </c>
      <c r="BD682" s="101">
        <v>0</v>
      </c>
      <c r="BE682" s="101">
        <v>0</v>
      </c>
      <c r="BF682" s="419">
        <f>BD682+BE682</f>
        <v>0</v>
      </c>
      <c r="BG682" s="101">
        <v>0</v>
      </c>
      <c r="BH682" s="101">
        <v>0</v>
      </c>
      <c r="BI682" s="419">
        <f>BG682+BH682</f>
        <v>0</v>
      </c>
      <c r="BJ682" s="101">
        <v>0</v>
      </c>
      <c r="BK682" s="101">
        <v>0</v>
      </c>
      <c r="BL682" s="419">
        <f>BJ682+BK682</f>
        <v>0</v>
      </c>
      <c r="BM682" s="101">
        <v>0</v>
      </c>
      <c r="BN682" s="101">
        <v>0</v>
      </c>
      <c r="BO682" s="419">
        <f>BM682+BN682</f>
        <v>0</v>
      </c>
      <c r="BP682" s="101">
        <v>0</v>
      </c>
      <c r="BQ682" s="101">
        <v>0</v>
      </c>
      <c r="BR682" s="419">
        <f>BP682+BQ682</f>
        <v>0</v>
      </c>
    </row>
    <row r="683" spans="3:70" s="416" customFormat="1" outlineLevel="1">
      <c r="C683" s="469" t="s">
        <v>596</v>
      </c>
      <c r="D683" s="7" t="s">
        <v>85</v>
      </c>
      <c r="AE683" s="842"/>
      <c r="AF683" s="561">
        <f>AF692</f>
        <v>0.5</v>
      </c>
      <c r="AG683" s="1013">
        <f>AG692</f>
        <v>1</v>
      </c>
      <c r="AH683" s="23">
        <f>AF683+AG683</f>
        <v>1.5</v>
      </c>
      <c r="AI683" s="16">
        <f>AI692</f>
        <v>0.75</v>
      </c>
      <c r="AJ683" s="16">
        <f>AJ692</f>
        <v>0.5</v>
      </c>
      <c r="AK683" s="23">
        <f>AI683+AJ683</f>
        <v>1.25</v>
      </c>
      <c r="AL683" s="16">
        <f>AL692</f>
        <v>0.5</v>
      </c>
      <c r="AM683" s="16">
        <f>AM692</f>
        <v>0.5</v>
      </c>
      <c r="AN683" s="23">
        <f>AL683+AM683</f>
        <v>1</v>
      </c>
      <c r="AO683" s="16">
        <f>AO692</f>
        <v>0.25</v>
      </c>
      <c r="AP683" s="16">
        <f>AP692</f>
        <v>0</v>
      </c>
      <c r="AQ683" s="23">
        <f>AO683+AP683</f>
        <v>0.25</v>
      </c>
      <c r="AR683" s="16">
        <f>AR692</f>
        <v>0</v>
      </c>
      <c r="AS683" s="16">
        <f>AS692</f>
        <v>0</v>
      </c>
      <c r="AT683" s="23">
        <f>AR683+AS683</f>
        <v>0</v>
      </c>
      <c r="AU683" s="16">
        <f>AU692</f>
        <v>0</v>
      </c>
      <c r="AV683" s="16">
        <f>AV692</f>
        <v>0</v>
      </c>
      <c r="AW683" s="23">
        <f>AU683+AV683</f>
        <v>0</v>
      </c>
      <c r="AX683" s="16">
        <f>AX692</f>
        <v>0</v>
      </c>
      <c r="AY683" s="16">
        <f>AY692</f>
        <v>0</v>
      </c>
      <c r="AZ683" s="23">
        <f>AX683+AY683</f>
        <v>0</v>
      </c>
      <c r="BA683" s="16">
        <f>BA692</f>
        <v>0</v>
      </c>
      <c r="BB683" s="16">
        <f>BB692</f>
        <v>0</v>
      </c>
      <c r="BC683" s="23">
        <f>BA683+BB683</f>
        <v>0</v>
      </c>
      <c r="BD683" s="16">
        <f>BD692</f>
        <v>0</v>
      </c>
      <c r="BE683" s="16">
        <f>BE692</f>
        <v>0</v>
      </c>
      <c r="BF683" s="23">
        <f>BD683+BE683</f>
        <v>0</v>
      </c>
      <c r="BG683" s="16">
        <f>BG692</f>
        <v>0</v>
      </c>
      <c r="BH683" s="16">
        <f>BH692</f>
        <v>0</v>
      </c>
      <c r="BI683" s="23">
        <f>BG683+BH683</f>
        <v>0</v>
      </c>
      <c r="BJ683" s="16">
        <f>BJ692</f>
        <v>0</v>
      </c>
      <c r="BK683" s="16">
        <f>BK692</f>
        <v>0</v>
      </c>
      <c r="BL683" s="23">
        <f>BJ683+BK683</f>
        <v>0</v>
      </c>
      <c r="BM683" s="16">
        <f>BM692</f>
        <v>0</v>
      </c>
      <c r="BN683" s="16">
        <f>BN692</f>
        <v>0</v>
      </c>
      <c r="BO683" s="23">
        <f>BM683+BN683</f>
        <v>0</v>
      </c>
      <c r="BP683" s="16">
        <f>BP692</f>
        <v>0</v>
      </c>
      <c r="BQ683" s="16">
        <f>BQ692</f>
        <v>0</v>
      </c>
      <c r="BR683" s="23">
        <f>BP683+BQ683</f>
        <v>0</v>
      </c>
    </row>
    <row r="684" spans="3:70" s="416" customFormat="1" outlineLevel="1">
      <c r="C684" s="469" t="s">
        <v>274</v>
      </c>
      <c r="D684" s="7" t="s">
        <v>85</v>
      </c>
      <c r="E684" s="785">
        <f t="shared" ref="E684:H684" si="2297">+E718</f>
        <v>0</v>
      </c>
      <c r="F684" s="785">
        <f t="shared" si="2297"/>
        <v>0</v>
      </c>
      <c r="G684" s="814">
        <f t="shared" si="2297"/>
        <v>0</v>
      </c>
      <c r="H684" s="814">
        <f t="shared" si="2297"/>
        <v>0</v>
      </c>
      <c r="I684" s="814">
        <f t="shared" ref="I684:AG684" si="2298">+I718</f>
        <v>81.236997691014281</v>
      </c>
      <c r="J684" s="814">
        <f t="shared" si="2298"/>
        <v>81.236997691014281</v>
      </c>
      <c r="K684" s="814">
        <f t="shared" si="2298"/>
        <v>123.05963996759347</v>
      </c>
      <c r="L684" s="814">
        <f t="shared" si="2298"/>
        <v>59.050780461265198</v>
      </c>
      <c r="M684" s="814">
        <f t="shared" si="2298"/>
        <v>182.11042042885867</v>
      </c>
      <c r="N684" s="814">
        <f t="shared" si="2298"/>
        <v>38.735869636935483</v>
      </c>
      <c r="O684" s="814">
        <f t="shared" si="2298"/>
        <v>40.692296728712485</v>
      </c>
      <c r="P684" s="814">
        <f t="shared" si="2298"/>
        <v>79.428166365647968</v>
      </c>
      <c r="Q684" s="814">
        <f t="shared" si="2298"/>
        <v>16.704232783340103</v>
      </c>
      <c r="R684" s="814">
        <f t="shared" si="2298"/>
        <v>16.172561763701438</v>
      </c>
      <c r="S684" s="814">
        <f t="shared" si="2298"/>
        <v>32.876794547041548</v>
      </c>
      <c r="T684" s="814">
        <f t="shared" si="2298"/>
        <v>6.7241137082272378</v>
      </c>
      <c r="U684" s="814">
        <f t="shared" si="2298"/>
        <v>12.589349693859914</v>
      </c>
      <c r="V684" s="814">
        <f t="shared" si="2298"/>
        <v>19.313463402087152</v>
      </c>
      <c r="W684" s="814">
        <f t="shared" si="2298"/>
        <v>10.911195116193293</v>
      </c>
      <c r="X684" s="814">
        <f t="shared" si="2298"/>
        <v>6.8412977483862143</v>
      </c>
      <c r="Y684" s="814">
        <f t="shared" si="2298"/>
        <v>17.752492864579505</v>
      </c>
      <c r="Z684" s="814">
        <f t="shared" si="2298"/>
        <v>12.072886607320983</v>
      </c>
      <c r="AA684" s="814">
        <f t="shared" si="2298"/>
        <v>16.263676647003436</v>
      </c>
      <c r="AB684" s="814">
        <f t="shared" si="2298"/>
        <v>28.336563254324417</v>
      </c>
      <c r="AC684" s="814">
        <f t="shared" si="2298"/>
        <v>21.615332332849757</v>
      </c>
      <c r="AD684" s="814">
        <f t="shared" si="2298"/>
        <v>17.070060052756816</v>
      </c>
      <c r="AE684" s="844">
        <f t="shared" si="2298"/>
        <v>38.685392385606555</v>
      </c>
      <c r="AF684" s="561">
        <f t="shared" si="2298"/>
        <v>-1.3302451332241334</v>
      </c>
      <c r="AG684" s="1013">
        <f t="shared" si="2298"/>
        <v>11.030368979282782</v>
      </c>
      <c r="AH684" s="23">
        <f>+AH718</f>
        <v>9.7001238460586485</v>
      </c>
      <c r="AI684" s="16">
        <f t="shared" ref="AI684:AL684" si="2299">+AI718</f>
        <v>18.646997212636546</v>
      </c>
      <c r="AJ684" s="16">
        <f>+AJ718</f>
        <v>4.2687083725633794</v>
      </c>
      <c r="AK684" s="23">
        <f>+AK718</f>
        <v>22.915705585199927</v>
      </c>
      <c r="AL684" s="16">
        <f t="shared" si="2299"/>
        <v>2.7230934497816581</v>
      </c>
      <c r="AM684" s="16">
        <f>+AM718</f>
        <v>4.5226446280991714</v>
      </c>
      <c r="AN684" s="23">
        <f>+AN718</f>
        <v>7.2457380778808291</v>
      </c>
      <c r="AO684" s="16">
        <f t="shared" ref="AO684" si="2300">+AO718</f>
        <v>4.3999999999999986</v>
      </c>
      <c r="AP684" s="16">
        <f>+AP718</f>
        <v>4.4000000000000057</v>
      </c>
      <c r="AQ684" s="23">
        <f>+AQ718</f>
        <v>8.8000000000000043</v>
      </c>
      <c r="AR684" s="16">
        <f t="shared" ref="AR684" si="2301">+AR718</f>
        <v>0</v>
      </c>
      <c r="AS684" s="16">
        <f>+AS718</f>
        <v>0</v>
      </c>
      <c r="AT684" s="23">
        <f>+AT718</f>
        <v>0</v>
      </c>
      <c r="AU684" s="16">
        <f t="shared" ref="AU684" si="2302">+AU718</f>
        <v>0</v>
      </c>
      <c r="AV684" s="16">
        <f>+AV718</f>
        <v>0</v>
      </c>
      <c r="AW684" s="23">
        <f>+AW718</f>
        <v>0</v>
      </c>
      <c r="AX684" s="16">
        <f t="shared" ref="AX684" si="2303">+AX718</f>
        <v>0</v>
      </c>
      <c r="AY684" s="16">
        <f>+AY718</f>
        <v>0</v>
      </c>
      <c r="AZ684" s="23">
        <f>+AZ718</f>
        <v>0</v>
      </c>
      <c r="BA684" s="16">
        <f t="shared" ref="BA684" si="2304">+BA718</f>
        <v>0</v>
      </c>
      <c r="BB684" s="16">
        <f>+BB718</f>
        <v>0</v>
      </c>
      <c r="BC684" s="23">
        <f>+BC718</f>
        <v>0</v>
      </c>
      <c r="BD684" s="16">
        <f t="shared" ref="BD684" si="2305">+BD718</f>
        <v>0</v>
      </c>
      <c r="BE684" s="16">
        <f>+BE718</f>
        <v>0</v>
      </c>
      <c r="BF684" s="23">
        <f>+BF718</f>
        <v>0</v>
      </c>
      <c r="BG684" s="16">
        <f t="shared" ref="BG684" si="2306">+BG718</f>
        <v>0</v>
      </c>
      <c r="BH684" s="16">
        <f>+BH718</f>
        <v>0</v>
      </c>
      <c r="BI684" s="23">
        <f>+BI718</f>
        <v>0</v>
      </c>
      <c r="BJ684" s="16">
        <f t="shared" ref="BJ684" si="2307">+BJ718</f>
        <v>0</v>
      </c>
      <c r="BK684" s="16">
        <f>+BK718</f>
        <v>0</v>
      </c>
      <c r="BL684" s="23">
        <f>+BL718</f>
        <v>0</v>
      </c>
      <c r="BM684" s="16">
        <f t="shared" ref="BM684" si="2308">+BM718</f>
        <v>0</v>
      </c>
      <c r="BN684" s="16">
        <f>+BN718</f>
        <v>0</v>
      </c>
      <c r="BO684" s="23">
        <f>+BO718</f>
        <v>0</v>
      </c>
      <c r="BP684" s="16">
        <f t="shared" ref="BP684" si="2309">+BP718</f>
        <v>0</v>
      </c>
      <c r="BQ684" s="16">
        <f>+BQ718</f>
        <v>0</v>
      </c>
      <c r="BR684" s="23">
        <f>+BR718</f>
        <v>0</v>
      </c>
    </row>
    <row r="685" spans="3:70" s="416" customFormat="1" outlineLevel="1">
      <c r="C685" s="469" t="s">
        <v>275</v>
      </c>
      <c r="D685" s="7" t="s">
        <v>85</v>
      </c>
      <c r="AE685" s="842"/>
      <c r="AF685" s="909">
        <v>0</v>
      </c>
      <c r="AG685" s="1003">
        <f>-7.5/AG376</f>
        <v>-6.3291139240506329</v>
      </c>
      <c r="AH685" s="817">
        <f>AF685+AG685</f>
        <v>-6.3291139240506329</v>
      </c>
      <c r="AI685" s="101">
        <v>0</v>
      </c>
      <c r="AJ685" s="101">
        <f>+-AG685</f>
        <v>6.3291139240506329</v>
      </c>
      <c r="AK685" s="419">
        <f>AI685+AJ685</f>
        <v>6.3291139240506329</v>
      </c>
      <c r="AL685" s="101">
        <v>0</v>
      </c>
      <c r="AM685" s="101">
        <v>0</v>
      </c>
      <c r="AN685" s="419">
        <f>AL685+AM685</f>
        <v>0</v>
      </c>
      <c r="AO685" s="101">
        <v>0</v>
      </c>
      <c r="AP685" s="101">
        <v>0</v>
      </c>
      <c r="AQ685" s="419">
        <f>AO685+AP685</f>
        <v>0</v>
      </c>
      <c r="AR685" s="101">
        <v>0</v>
      </c>
      <c r="AS685" s="101">
        <v>0</v>
      </c>
      <c r="AT685" s="419">
        <f>AR685+AS685</f>
        <v>0</v>
      </c>
      <c r="AU685" s="101">
        <v>0</v>
      </c>
      <c r="AV685" s="101">
        <v>0</v>
      </c>
      <c r="AW685" s="419">
        <f>AU685+AV685</f>
        <v>0</v>
      </c>
      <c r="AX685" s="101">
        <v>0</v>
      </c>
      <c r="AY685" s="101">
        <v>0</v>
      </c>
      <c r="AZ685" s="419">
        <f>AX685+AY685</f>
        <v>0</v>
      </c>
      <c r="BA685" s="101">
        <v>0</v>
      </c>
      <c r="BB685" s="101">
        <v>0</v>
      </c>
      <c r="BC685" s="419">
        <f>BA685+BB685</f>
        <v>0</v>
      </c>
      <c r="BD685" s="101">
        <v>0</v>
      </c>
      <c r="BE685" s="101">
        <v>0</v>
      </c>
      <c r="BF685" s="419">
        <f>BD685+BE685</f>
        <v>0</v>
      </c>
      <c r="BG685" s="101">
        <v>0</v>
      </c>
      <c r="BH685" s="101">
        <v>0</v>
      </c>
      <c r="BI685" s="419">
        <f>BG685+BH685</f>
        <v>0</v>
      </c>
      <c r="BJ685" s="101">
        <v>0</v>
      </c>
      <c r="BK685" s="101">
        <v>0</v>
      </c>
      <c r="BL685" s="419">
        <f>BJ685+BK685</f>
        <v>0</v>
      </c>
      <c r="BM685" s="101">
        <v>0</v>
      </c>
      <c r="BN685" s="101">
        <v>0</v>
      </c>
      <c r="BO685" s="419">
        <f>BM685+BN685</f>
        <v>0</v>
      </c>
      <c r="BP685" s="101">
        <v>0</v>
      </c>
      <c r="BQ685" s="101">
        <v>0</v>
      </c>
      <c r="BR685" s="419">
        <f>BP685+BQ685</f>
        <v>0</v>
      </c>
    </row>
    <row r="686" spans="3:70" s="8" customFormat="1" outlineLevel="1">
      <c r="C686" s="547" t="s">
        <v>277</v>
      </c>
      <c r="D686" s="7" t="s">
        <v>85</v>
      </c>
      <c r="E686" s="557"/>
      <c r="F686" s="557"/>
      <c r="G686" s="557"/>
      <c r="H686" s="557"/>
      <c r="I686" s="557"/>
      <c r="J686" s="557"/>
      <c r="K686" s="557"/>
      <c r="L686" s="557"/>
      <c r="M686" s="557"/>
      <c r="N686" s="557"/>
      <c r="O686" s="557"/>
      <c r="P686" s="557"/>
      <c r="Q686" s="557"/>
      <c r="R686" s="557"/>
      <c r="S686" s="557"/>
      <c r="T686" s="557"/>
      <c r="U686" s="557"/>
      <c r="V686" s="557"/>
      <c r="W686" s="557"/>
      <c r="X686" s="557"/>
      <c r="Y686" s="557"/>
      <c r="Z686" s="557"/>
      <c r="AA686" s="557"/>
      <c r="AB686" s="557"/>
      <c r="AC686" s="557"/>
      <c r="AD686" s="557"/>
      <c r="AE686" s="845"/>
      <c r="AF686" s="916">
        <f>AF679+AF680+AF681+AF682+AF683+AF684+AF685</f>
        <v>0.63749341319943142</v>
      </c>
      <c r="AG686" s="1014">
        <f>AG679+AG680+AG681+AG682+AG683+AG684+AG685</f>
        <v>11.066131093636352</v>
      </c>
      <c r="AH686" s="558">
        <f>+AG686+AF686</f>
        <v>11.703624506835784</v>
      </c>
      <c r="AI686" s="558">
        <f>AI679+AI680+AI681+AI682+AI683+AI684+AI685</f>
        <v>34.941863356734416</v>
      </c>
      <c r="AJ686" s="558">
        <f>AJ679+AJ680+AJ681+AJ682+AJ683+AJ684+AJ685</f>
        <v>21.70064373129167</v>
      </c>
      <c r="AK686" s="558">
        <f>+AJ686+AI686</f>
        <v>56.642507088026086</v>
      </c>
      <c r="AL686" s="558">
        <f>AL679+AL680+AL681+AL682+AL683+AL684+AL685</f>
        <v>4.6356696493678253</v>
      </c>
      <c r="AM686" s="558">
        <f>AM679+AM680+AM681+AM682+AM683+AM684+AM685</f>
        <v>2.2721211756085564</v>
      </c>
      <c r="AN686" s="558">
        <f>+AM686+AL686</f>
        <v>6.9077908249763817</v>
      </c>
      <c r="AO686" s="558">
        <f>AO679+AO680+AO681+AO682+AO683+AO684+AO685</f>
        <v>4.8269156369674615</v>
      </c>
      <c r="AP686" s="558">
        <f>AP679+AP680+AP681+AP682+AP683+AP684+AP685</f>
        <v>7.0604979580944942</v>
      </c>
      <c r="AQ686" s="558">
        <f>+AP686+AO686</f>
        <v>11.887413595061956</v>
      </c>
      <c r="AR686" s="558">
        <f>AR679+AR680+AR681+AR682+AR683+AR684+AR685</f>
        <v>0</v>
      </c>
      <c r="AS686" s="558">
        <f>AS679+AS680+AS681+AS682+AS683+AS684+AS685</f>
        <v>0</v>
      </c>
      <c r="AT686" s="558">
        <f>+AS686+AR686</f>
        <v>0</v>
      </c>
      <c r="AU686" s="558">
        <f>AU679+AU680+AU681+AU682+AU683+AU684+AU685</f>
        <v>0</v>
      </c>
      <c r="AV686" s="558">
        <f>AV679+AV680+AV681+AV682+AV683+AV684+AV685</f>
        <v>0</v>
      </c>
      <c r="AW686" s="558">
        <f>+AV686+AU686</f>
        <v>0</v>
      </c>
      <c r="AX686" s="558">
        <f>AX679+AX680+AX681+AX682+AX683+AX684+AX685</f>
        <v>0</v>
      </c>
      <c r="AY686" s="558">
        <f>AY679+AY680+AY681+AY682+AY683+AY684+AY685</f>
        <v>0</v>
      </c>
      <c r="AZ686" s="558">
        <f>+AY686+AX686</f>
        <v>0</v>
      </c>
      <c r="BA686" s="558">
        <f>BA679+BA680+BA681+BA682+BA683+BA684+BA685</f>
        <v>0</v>
      </c>
      <c r="BB686" s="558">
        <f>BB679+BB680+BB681+BB682+BB683+BB684+BB685</f>
        <v>0</v>
      </c>
      <c r="BC686" s="558">
        <f>+BB686+BA686</f>
        <v>0</v>
      </c>
      <c r="BD686" s="558">
        <f>BD679+BD680+BD681+BD682+BD683+BD684+BD685</f>
        <v>0</v>
      </c>
      <c r="BE686" s="558">
        <f>BE679+BE680+BE681+BE682+BE683+BE684+BE685</f>
        <v>0</v>
      </c>
      <c r="BF686" s="558">
        <f>+BE686+BD686</f>
        <v>0</v>
      </c>
      <c r="BG686" s="558">
        <f>BG679+BG680+BG681+BG682+BG683+BG684+BG685</f>
        <v>0</v>
      </c>
      <c r="BH686" s="558">
        <f>BH679+BH680+BH681+BH682+BH683+BH684+BH685</f>
        <v>0</v>
      </c>
      <c r="BI686" s="558">
        <f>+BH686+BG686</f>
        <v>0</v>
      </c>
      <c r="BJ686" s="558">
        <f>BJ679+BJ680+BJ681+BJ682+BJ683+BJ684+BJ685</f>
        <v>0</v>
      </c>
      <c r="BK686" s="558">
        <f>BK679+BK680+BK681+BK682+BK683+BK684+BK685</f>
        <v>0</v>
      </c>
      <c r="BL686" s="558">
        <f>+BK686+BJ686</f>
        <v>0</v>
      </c>
      <c r="BM686" s="558">
        <f>BM679+BM680+BM681+BM682+BM683+BM684+BM685</f>
        <v>0</v>
      </c>
      <c r="BN686" s="558">
        <f>BN679+BN680+BN681+BN682+BN683+BN684+BN685</f>
        <v>0</v>
      </c>
      <c r="BO686" s="558">
        <f>+BN686+BM686</f>
        <v>0</v>
      </c>
      <c r="BP686" s="558">
        <f>BP679+BP680+BP681+BP682+BP683+BP684+BP685</f>
        <v>0</v>
      </c>
      <c r="BQ686" s="558">
        <f>BQ679+BQ680+BQ681+BQ682+BQ683+BQ684+BQ685</f>
        <v>0</v>
      </c>
      <c r="BR686" s="558">
        <f>+BQ686+BP686</f>
        <v>0</v>
      </c>
    </row>
    <row r="687" spans="3:70" s="416" customFormat="1" outlineLevel="1">
      <c r="C687" s="421" t="s">
        <v>569</v>
      </c>
      <c r="D687" s="7" t="s">
        <v>66</v>
      </c>
      <c r="H687" s="454">
        <f>H676/E676-1</f>
        <v>11.999999999999998</v>
      </c>
      <c r="I687" s="454">
        <f t="shared" ref="I687:AF687" si="2310">I676/F676-1</f>
        <v>0.20660576247364726</v>
      </c>
      <c r="J687" s="454">
        <f t="shared" si="2310"/>
        <v>0.69898989898989905</v>
      </c>
      <c r="K687" s="454">
        <f t="shared" si="2310"/>
        <v>1.4553349875930524</v>
      </c>
      <c r="L687" s="454">
        <f t="shared" si="2310"/>
        <v>0.46942341292952805</v>
      </c>
      <c r="M687" s="454">
        <f t="shared" si="2310"/>
        <v>0.78438367023384847</v>
      </c>
      <c r="N687" s="454">
        <f t="shared" si="2310"/>
        <v>0.24153612935826163</v>
      </c>
      <c r="O687" s="454">
        <f t="shared" si="2310"/>
        <v>0.11296076099881103</v>
      </c>
      <c r="P687" s="454">
        <f t="shared" si="2310"/>
        <v>0.16948023100844067</v>
      </c>
      <c r="Q687" s="454">
        <f t="shared" si="2310"/>
        <v>0.14041514041514036</v>
      </c>
      <c r="R687" s="454">
        <f t="shared" si="2310"/>
        <v>9.7578347578347602E-2</v>
      </c>
      <c r="S687" s="454">
        <f t="shared" si="2310"/>
        <v>0.11756885090218416</v>
      </c>
      <c r="T687" s="454">
        <f t="shared" si="2310"/>
        <v>3.1049250535331918E-2</v>
      </c>
      <c r="U687" s="454">
        <f t="shared" si="2310"/>
        <v>2.952628163530191E-2</v>
      </c>
      <c r="V687" s="454">
        <f t="shared" si="2310"/>
        <v>3.0251529571720059E-2</v>
      </c>
      <c r="W687" s="454">
        <f t="shared" si="2310"/>
        <v>3.4614053305642045E-2</v>
      </c>
      <c r="X687" s="454">
        <f t="shared" si="2310"/>
        <v>8.414749448471448E-2</v>
      </c>
      <c r="Y687" s="454">
        <f t="shared" si="2310"/>
        <v>6.0541075552622781E-2</v>
      </c>
      <c r="Z687" s="454">
        <f t="shared" si="2310"/>
        <v>7.3937771830043575E-2</v>
      </c>
      <c r="AA687" s="454">
        <f t="shared" si="2310"/>
        <v>4.7093023255813993E-2</v>
      </c>
      <c r="AB687" s="454">
        <f t="shared" si="2310"/>
        <v>5.9573806190698519E-2</v>
      </c>
      <c r="AC687" s="454">
        <f t="shared" si="2310"/>
        <v>5.9190031152647871E-2</v>
      </c>
      <c r="AD687" s="454">
        <f t="shared" si="2310"/>
        <v>0.10716268739589085</v>
      </c>
      <c r="AE687" s="458">
        <f t="shared" si="2310"/>
        <v>8.4556664709336316E-2</v>
      </c>
      <c r="AF687" s="458">
        <f t="shared" si="2310"/>
        <v>-7.6470588235294512E-3</v>
      </c>
      <c r="AG687" s="989">
        <f t="shared" ref="AG687:BR687" si="2311">AG676/AD676-1</f>
        <v>-5.276353615588536E-3</v>
      </c>
      <c r="AH687" s="454">
        <f t="shared" si="2311"/>
        <v>-6.3673657578461329E-3</v>
      </c>
      <c r="AI687" s="454">
        <f t="shared" si="2311"/>
        <v>0.12452111051841719</v>
      </c>
      <c r="AJ687" s="454">
        <f t="shared" si="2311"/>
        <v>5.3012782646573386E-2</v>
      </c>
      <c r="AK687" s="454">
        <f t="shared" si="2311"/>
        <v>8.5878942821809412E-2</v>
      </c>
      <c r="AL687" s="454">
        <f t="shared" si="2311"/>
        <v>1.9069641637567969E-3</v>
      </c>
      <c r="AM687" s="454">
        <f t="shared" si="2311"/>
        <v>1.8340525309875844E-2</v>
      </c>
      <c r="AN687" s="454">
        <f t="shared" si="2311"/>
        <v>1.0518661838798238E-2</v>
      </c>
      <c r="AO687" s="454">
        <f t="shared" si="2311"/>
        <v>2.8961645625629862E-2</v>
      </c>
      <c r="AP687" s="454">
        <f t="shared" si="2311"/>
        <v>3.2169441884269734E-2</v>
      </c>
      <c r="AQ687" s="454">
        <f t="shared" si="2311"/>
        <v>3.0655642306821385E-2</v>
      </c>
      <c r="AR687" s="454">
        <f t="shared" si="2311"/>
        <v>1.6778833819963923E-2</v>
      </c>
      <c r="AS687" s="454">
        <f t="shared" si="2311"/>
        <v>1.724893844039177E-2</v>
      </c>
      <c r="AT687" s="454">
        <f t="shared" si="2311"/>
        <v>1.7027454763603567E-2</v>
      </c>
      <c r="AU687" s="454">
        <f t="shared" si="2311"/>
        <v>1.7049596484067342E-2</v>
      </c>
      <c r="AV687" s="454">
        <f t="shared" si="2311"/>
        <v>1.7505846704650052E-2</v>
      </c>
      <c r="AW687" s="454">
        <f t="shared" si="2311"/>
        <v>1.7290942896025951E-2</v>
      </c>
      <c r="AX687" s="454">
        <f t="shared" si="2311"/>
        <v>1.7320576275270394E-2</v>
      </c>
      <c r="AY687" s="454">
        <f t="shared" si="2311"/>
        <v>1.776316091986585E-2</v>
      </c>
      <c r="AZ687" s="454">
        <f t="shared" si="2311"/>
        <v>1.7554743353294988E-2</v>
      </c>
      <c r="BA687" s="454">
        <f t="shared" si="2311"/>
        <v>1.7591788811764264E-2</v>
      </c>
      <c r="BB687" s="454">
        <f t="shared" si="2311"/>
        <v>1.8020901537051603E-2</v>
      </c>
      <c r="BC687" s="454">
        <f t="shared" si="2311"/>
        <v>1.781887453558384E-2</v>
      </c>
      <c r="BD687" s="454">
        <f t="shared" si="2311"/>
        <v>1.7863248737165049E-2</v>
      </c>
      <c r="BE687" s="454">
        <f t="shared" si="2311"/>
        <v>1.8279087714642595E-2</v>
      </c>
      <c r="BF687" s="454">
        <f t="shared" si="2311"/>
        <v>1.8083353696229487E-2</v>
      </c>
      <c r="BG687" s="454">
        <f t="shared" si="2311"/>
        <v>1.8134969626335096E-2</v>
      </c>
      <c r="BH687" s="454">
        <f t="shared" si="2311"/>
        <v>1.8537737230828633E-2</v>
      </c>
      <c r="BI687" s="454">
        <f t="shared" si="2311"/>
        <v>1.8348196850663356E-2</v>
      </c>
      <c r="BJ687" s="454">
        <f t="shared" si="2311"/>
        <v>1.8406963894209705E-2</v>
      </c>
      <c r="BK687" s="454">
        <f t="shared" si="2311"/>
        <v>1.8796866398979262E-2</v>
      </c>
      <c r="BL687" s="454">
        <f t="shared" si="2311"/>
        <v>1.8613418688432581E-2</v>
      </c>
      <c r="BM687" s="454">
        <f t="shared" si="2311"/>
        <v>1.8679242707862587E-2</v>
      </c>
      <c r="BN687" s="454">
        <f t="shared" si="2311"/>
        <v>1.9056489986354119E-2</v>
      </c>
      <c r="BO687" s="454">
        <f t="shared" si="2311"/>
        <v>1.8879032488513303E-2</v>
      </c>
      <c r="BP687" s="454">
        <f t="shared" si="2311"/>
        <v>1.8951815902043867E-2</v>
      </c>
      <c r="BQ687" s="454">
        <f t="shared" si="2311"/>
        <v>1.9316621136310719E-2</v>
      </c>
      <c r="BR687" s="454">
        <f t="shared" si="2311"/>
        <v>1.9145050038144262E-2</v>
      </c>
    </row>
    <row r="688" spans="3:70" s="416" customFormat="1" outlineLevel="1">
      <c r="C688" s="469" t="s">
        <v>591</v>
      </c>
      <c r="D688" s="7" t="s">
        <v>66</v>
      </c>
      <c r="H688" s="479">
        <f t="shared" ref="H688" si="2312">+H687-H689</f>
        <v>11.999999999999998</v>
      </c>
      <c r="I688" s="479">
        <f t="shared" ref="I688:AE688" si="2313">+I687-I689</f>
        <v>-0.36427967456791477</v>
      </c>
      <c r="J688" s="479">
        <f t="shared" si="2313"/>
        <v>0.15193940948811935</v>
      </c>
      <c r="K688" s="479">
        <f t="shared" si="2313"/>
        <v>-7.1459552947809701E-2</v>
      </c>
      <c r="L688" s="479">
        <f t="shared" si="2313"/>
        <v>0.1255050642908257</v>
      </c>
      <c r="M688" s="479">
        <f t="shared" si="2313"/>
        <v>6.2582558744119332E-2</v>
      </c>
      <c r="N688" s="479">
        <f t="shared" si="2313"/>
        <v>4.5801568282286487E-2</v>
      </c>
      <c r="O688" s="479">
        <f t="shared" si="2313"/>
        <v>-4.8324600589427141E-2</v>
      </c>
      <c r="P688" s="479">
        <f t="shared" si="2313"/>
        <v>-6.9483926380452532E-3</v>
      </c>
      <c r="Q688" s="479">
        <f t="shared" si="2313"/>
        <v>7.2428845000650721E-2</v>
      </c>
      <c r="R688" s="479">
        <f t="shared" si="2313"/>
        <v>3.998375440277268E-2</v>
      </c>
      <c r="S688" s="479">
        <f t="shared" si="2313"/>
        <v>5.5124796681782363E-2</v>
      </c>
      <c r="T688" s="479">
        <f t="shared" si="2313"/>
        <v>7.0516998278828159E-3</v>
      </c>
      <c r="U688" s="479">
        <f t="shared" si="2313"/>
        <v>-1.1321705690654986E-2</v>
      </c>
      <c r="V688" s="479">
        <f t="shared" si="2313"/>
        <v>-2.5721675766265592E-3</v>
      </c>
      <c r="W688" s="479">
        <f t="shared" si="2313"/>
        <v>-3.1540156323755855E-3</v>
      </c>
      <c r="X688" s="479">
        <f t="shared" si="2313"/>
        <v>6.2586518284316717E-2</v>
      </c>
      <c r="Y688" s="479">
        <f t="shared" si="2313"/>
        <v>3.1256197847938677E-2</v>
      </c>
      <c r="Z688" s="479">
        <f t="shared" si="2313"/>
        <v>3.3546715934021545E-2</v>
      </c>
      <c r="AA688" s="479">
        <f t="shared" si="2313"/>
        <v>-1.8510653198669513E-4</v>
      </c>
      <c r="AB688" s="479">
        <f t="shared" si="2313"/>
        <v>1.5497646205748422E-2</v>
      </c>
      <c r="AC688" s="479">
        <f t="shared" si="2313"/>
        <v>-8.1474527503108685E-3</v>
      </c>
      <c r="AD688" s="479">
        <f t="shared" si="2313"/>
        <v>5.977218197457821E-2</v>
      </c>
      <c r="AE688" s="479">
        <f t="shared" si="2313"/>
        <v>2.7766599551370147E-2</v>
      </c>
      <c r="AF688" s="458">
        <f t="shared" ref="AF688" si="2314">+AF687-AF689</f>
        <v>-3.7345731375761177E-3</v>
      </c>
      <c r="AG688" s="989">
        <f t="shared" ref="AG688:BR688" si="2315">(AG676-AD676-AG684)/AD676</f>
        <v>-3.2935252761232381E-2</v>
      </c>
      <c r="AH688" s="458">
        <f t="shared" si="2315"/>
        <v>-1.9496932414666161E-2</v>
      </c>
      <c r="AI688" s="458">
        <f t="shared" si="2315"/>
        <v>6.9254373077289197E-2</v>
      </c>
      <c r="AJ688" s="458">
        <f t="shared" si="2315"/>
        <v>4.2252123022111857E-2</v>
      </c>
      <c r="AK688" s="458">
        <f t="shared" si="2315"/>
        <v>5.4662709338655732E-2</v>
      </c>
      <c r="AL688" s="458">
        <f t="shared" si="2315"/>
        <v>-5.2701499996878681E-3</v>
      </c>
      <c r="AM688" s="458">
        <f t="shared" si="2315"/>
        <v>7.5136975183778499E-3</v>
      </c>
      <c r="AN688" s="458">
        <f t="shared" si="2315"/>
        <v>1.4289841058501892E-3</v>
      </c>
      <c r="AO688" s="458">
        <f t="shared" si="2315"/>
        <v>1.7386869760412631E-2</v>
      </c>
      <c r="AP688" s="458">
        <f t="shared" si="2315"/>
        <v>2.1825920548974833E-2</v>
      </c>
      <c r="AQ688" s="458">
        <f t="shared" si="2315"/>
        <v>1.9731076404837525E-2</v>
      </c>
      <c r="AR688" s="458">
        <f t="shared" si="2315"/>
        <v>1.677883381996402E-2</v>
      </c>
      <c r="AS688" s="458">
        <f t="shared" si="2315"/>
        <v>1.7248938440391756E-2</v>
      </c>
      <c r="AT688" s="458">
        <f t="shared" si="2315"/>
        <v>1.7027454763603671E-2</v>
      </c>
      <c r="AU688" s="458">
        <f t="shared" si="2315"/>
        <v>1.7049596484067429E-2</v>
      </c>
      <c r="AV688" s="458">
        <f t="shared" si="2315"/>
        <v>1.7505846704649979E-2</v>
      </c>
      <c r="AW688" s="458">
        <f t="shared" si="2315"/>
        <v>1.7290942896025979E-2</v>
      </c>
      <c r="AX688" s="458">
        <f t="shared" si="2315"/>
        <v>1.7320576275270408E-2</v>
      </c>
      <c r="AY688" s="458">
        <f t="shared" si="2315"/>
        <v>1.7763160919865843E-2</v>
      </c>
      <c r="AZ688" s="458">
        <f t="shared" si="2315"/>
        <v>1.7554743353294995E-2</v>
      </c>
      <c r="BA688" s="458">
        <f t="shared" si="2315"/>
        <v>1.7591788811764271E-2</v>
      </c>
      <c r="BB688" s="458">
        <f t="shared" si="2315"/>
        <v>1.8020901537051603E-2</v>
      </c>
      <c r="BC688" s="458">
        <f t="shared" si="2315"/>
        <v>1.7818874535583836E-2</v>
      </c>
      <c r="BD688" s="458">
        <f t="shared" si="2315"/>
        <v>1.7863248737165084E-2</v>
      </c>
      <c r="BE688" s="458">
        <f t="shared" si="2315"/>
        <v>1.8279087714642553E-2</v>
      </c>
      <c r="BF688" s="458">
        <f t="shared" si="2315"/>
        <v>1.8083353696229397E-2</v>
      </c>
      <c r="BG688" s="458">
        <f t="shared" si="2315"/>
        <v>1.8134969626335158E-2</v>
      </c>
      <c r="BH688" s="458">
        <f t="shared" si="2315"/>
        <v>1.8537737230828737E-2</v>
      </c>
      <c r="BI688" s="458">
        <f t="shared" si="2315"/>
        <v>1.8348196850663342E-2</v>
      </c>
      <c r="BJ688" s="458">
        <f t="shared" si="2315"/>
        <v>1.8406963894209597E-2</v>
      </c>
      <c r="BK688" s="458">
        <f t="shared" si="2315"/>
        <v>1.879686639897931E-2</v>
      </c>
      <c r="BL688" s="458">
        <f t="shared" si="2315"/>
        <v>1.861341868843247E-2</v>
      </c>
      <c r="BM688" s="458">
        <f t="shared" si="2315"/>
        <v>1.8679242707862535E-2</v>
      </c>
      <c r="BN688" s="458">
        <f t="shared" si="2315"/>
        <v>1.9056489986354175E-2</v>
      </c>
      <c r="BO688" s="458">
        <f t="shared" si="2315"/>
        <v>1.8879032488513331E-2</v>
      </c>
      <c r="BP688" s="458">
        <f t="shared" si="2315"/>
        <v>1.895181590204394E-2</v>
      </c>
      <c r="BQ688" s="458">
        <f t="shared" si="2315"/>
        <v>1.9316621136310774E-2</v>
      </c>
      <c r="BR688" s="458">
        <f t="shared" si="2315"/>
        <v>1.9145050038144321E-2</v>
      </c>
    </row>
    <row r="689" spans="2:70" s="416" customFormat="1" outlineLevel="1">
      <c r="C689" s="469" t="s">
        <v>590</v>
      </c>
      <c r="D689" s="7" t="s">
        <v>66</v>
      </c>
      <c r="H689" s="458">
        <f t="shared" ref="H689" si="2316">+H684/E676</f>
        <v>0</v>
      </c>
      <c r="I689" s="458">
        <f t="shared" ref="I689:AN689" si="2317">+I684/F676</f>
        <v>0.57088543704156203</v>
      </c>
      <c r="J689" s="458">
        <f t="shared" si="2317"/>
        <v>0.5470504895017797</v>
      </c>
      <c r="K689" s="458">
        <f t="shared" si="2317"/>
        <v>1.5267945405408621</v>
      </c>
      <c r="L689" s="458">
        <f t="shared" si="2317"/>
        <v>0.34391834863870235</v>
      </c>
      <c r="M689" s="458">
        <f t="shared" si="2317"/>
        <v>0.72180111148972914</v>
      </c>
      <c r="N689" s="458">
        <f t="shared" si="2317"/>
        <v>0.19573456107597514</v>
      </c>
      <c r="O689" s="458">
        <f t="shared" si="2317"/>
        <v>0.16128536158823817</v>
      </c>
      <c r="P689" s="458">
        <f t="shared" si="2317"/>
        <v>0.17642862364648593</v>
      </c>
      <c r="Q689" s="458">
        <f t="shared" si="2317"/>
        <v>6.7986295414489639E-2</v>
      </c>
      <c r="R689" s="458">
        <f t="shared" si="2317"/>
        <v>5.7594593175574922E-2</v>
      </c>
      <c r="S689" s="458">
        <f t="shared" si="2317"/>
        <v>6.24440542204018E-2</v>
      </c>
      <c r="T689" s="458">
        <f t="shared" si="2317"/>
        <v>2.3997550707449102E-2</v>
      </c>
      <c r="U689" s="458">
        <f t="shared" si="2317"/>
        <v>4.0847987325956896E-2</v>
      </c>
      <c r="V689" s="458">
        <f t="shared" si="2317"/>
        <v>3.2823697148346619E-2</v>
      </c>
      <c r="W689" s="458">
        <f t="shared" si="2317"/>
        <v>3.7768068938017631E-2</v>
      </c>
      <c r="X689" s="458">
        <f t="shared" si="2317"/>
        <v>2.156097620039777E-2</v>
      </c>
      <c r="Y689" s="458">
        <f t="shared" si="2317"/>
        <v>2.9284877704684104E-2</v>
      </c>
      <c r="Z689" s="458">
        <f t="shared" si="2317"/>
        <v>4.039105589602203E-2</v>
      </c>
      <c r="AA689" s="458">
        <f t="shared" si="2317"/>
        <v>4.7278129787800688E-2</v>
      </c>
      <c r="AB689" s="458">
        <f t="shared" si="2317"/>
        <v>4.4076159984950097E-2</v>
      </c>
      <c r="AC689" s="458">
        <f t="shared" si="2317"/>
        <v>6.7337483902958739E-2</v>
      </c>
      <c r="AD689" s="458">
        <f t="shared" si="2317"/>
        <v>4.7390505421312644E-2</v>
      </c>
      <c r="AE689" s="458">
        <f t="shared" si="2317"/>
        <v>5.6790065157966169E-2</v>
      </c>
      <c r="AF689" s="458">
        <f t="shared" si="2317"/>
        <v>-3.9124856859533335E-3</v>
      </c>
      <c r="AG689" s="989">
        <f t="shared" si="2317"/>
        <v>2.765889914564389E-2</v>
      </c>
      <c r="AH689" s="458">
        <f t="shared" si="2317"/>
        <v>1.3129566656820045E-2</v>
      </c>
      <c r="AI689" s="458">
        <f t="shared" si="2317"/>
        <v>5.5266737441127881E-2</v>
      </c>
      <c r="AJ689" s="458">
        <f t="shared" si="2317"/>
        <v>1.0760659624461532E-2</v>
      </c>
      <c r="AK689" s="458">
        <f t="shared" si="2317"/>
        <v>3.1216233483153763E-2</v>
      </c>
      <c r="AL689" s="458">
        <f t="shared" si="2317"/>
        <v>7.1771141634447621E-3</v>
      </c>
      <c r="AM689" s="458">
        <f t="shared" si="2317"/>
        <v>1.0826827791498073E-2</v>
      </c>
      <c r="AN689" s="458">
        <f t="shared" si="2317"/>
        <v>9.0896777329481423E-3</v>
      </c>
      <c r="AO689" s="458">
        <f t="shared" ref="AO689:BR689" si="2318">+AO684/AL676</f>
        <v>1.1574775865217183E-2</v>
      </c>
      <c r="AP689" s="458">
        <f t="shared" si="2318"/>
        <v>1.0343521335294901E-2</v>
      </c>
      <c r="AQ689" s="458">
        <f t="shared" si="2318"/>
        <v>1.092456590198378E-2</v>
      </c>
      <c r="AR689" s="458">
        <f t="shared" si="2318"/>
        <v>0</v>
      </c>
      <c r="AS689" s="458">
        <f t="shared" si="2318"/>
        <v>0</v>
      </c>
      <c r="AT689" s="458">
        <f t="shared" si="2318"/>
        <v>0</v>
      </c>
      <c r="AU689" s="458">
        <f t="shared" si="2318"/>
        <v>0</v>
      </c>
      <c r="AV689" s="458">
        <f t="shared" si="2318"/>
        <v>0</v>
      </c>
      <c r="AW689" s="458">
        <f t="shared" si="2318"/>
        <v>0</v>
      </c>
      <c r="AX689" s="458">
        <f t="shared" si="2318"/>
        <v>0</v>
      </c>
      <c r="AY689" s="458">
        <f t="shared" si="2318"/>
        <v>0</v>
      </c>
      <c r="AZ689" s="458">
        <f t="shared" si="2318"/>
        <v>0</v>
      </c>
      <c r="BA689" s="458">
        <f t="shared" si="2318"/>
        <v>0</v>
      </c>
      <c r="BB689" s="458">
        <f t="shared" si="2318"/>
        <v>0</v>
      </c>
      <c r="BC689" s="458">
        <f t="shared" si="2318"/>
        <v>0</v>
      </c>
      <c r="BD689" s="458">
        <f t="shared" si="2318"/>
        <v>0</v>
      </c>
      <c r="BE689" s="458">
        <f t="shared" si="2318"/>
        <v>0</v>
      </c>
      <c r="BF689" s="458">
        <f t="shared" si="2318"/>
        <v>0</v>
      </c>
      <c r="BG689" s="458">
        <f t="shared" si="2318"/>
        <v>0</v>
      </c>
      <c r="BH689" s="458">
        <f t="shared" si="2318"/>
        <v>0</v>
      </c>
      <c r="BI689" s="458">
        <f t="shared" si="2318"/>
        <v>0</v>
      </c>
      <c r="BJ689" s="458">
        <f t="shared" si="2318"/>
        <v>0</v>
      </c>
      <c r="BK689" s="458">
        <f t="shared" si="2318"/>
        <v>0</v>
      </c>
      <c r="BL689" s="458">
        <f t="shared" si="2318"/>
        <v>0</v>
      </c>
      <c r="BM689" s="458">
        <f t="shared" si="2318"/>
        <v>0</v>
      </c>
      <c r="BN689" s="458">
        <f t="shared" si="2318"/>
        <v>0</v>
      </c>
      <c r="BO689" s="458">
        <f t="shared" si="2318"/>
        <v>0</v>
      </c>
      <c r="BP689" s="458">
        <f t="shared" si="2318"/>
        <v>0</v>
      </c>
      <c r="BQ689" s="458">
        <f t="shared" si="2318"/>
        <v>0</v>
      </c>
      <c r="BR689" s="458">
        <f t="shared" si="2318"/>
        <v>0</v>
      </c>
    </row>
    <row r="690" spans="2:70" s="99" customFormat="1" outlineLevel="1">
      <c r="C690" s="474" t="s">
        <v>657</v>
      </c>
      <c r="D690" s="100"/>
      <c r="E690" s="100"/>
      <c r="F690" s="100"/>
      <c r="G690" s="100"/>
      <c r="H690" s="100"/>
      <c r="I690" s="100"/>
      <c r="J690" s="100"/>
      <c r="K690" s="100"/>
      <c r="L690" s="100"/>
      <c r="M690" s="100"/>
      <c r="N690" s="100"/>
      <c r="O690" s="100"/>
      <c r="AC690" s="103"/>
      <c r="AD690" s="103"/>
      <c r="AE690" s="430"/>
      <c r="AF690" s="1072">
        <f>+AF681+AF680+AF679</f>
        <v>-19.789821937447403</v>
      </c>
      <c r="AG690" s="1072">
        <f>+AG681+AG680+AG679</f>
        <v>-0.96423788564642976</v>
      </c>
      <c r="AH690" s="1072">
        <f>+AH681+AH680+AH679</f>
        <v>-20.754059823093829</v>
      </c>
      <c r="AI690" s="103"/>
      <c r="AJ690" s="103"/>
      <c r="AK690" s="900">
        <f>AK682*AK376</f>
        <v>7.5057179075390659</v>
      </c>
      <c r="AL690" s="103"/>
      <c r="AM690" s="103"/>
      <c r="AN690" s="103"/>
      <c r="AO690" s="103"/>
      <c r="AP690" s="103"/>
      <c r="AQ690" s="103"/>
      <c r="AR690" s="103"/>
      <c r="AS690" s="103"/>
      <c r="AT690" s="103"/>
      <c r="AU690" s="103"/>
      <c r="AV690" s="103"/>
      <c r="AW690" s="103"/>
      <c r="AX690" s="103"/>
      <c r="AY690" s="103"/>
      <c r="AZ690" s="103"/>
      <c r="BA690" s="103"/>
      <c r="BB690" s="103"/>
      <c r="BC690" s="103"/>
      <c r="BD690" s="103"/>
      <c r="BE690" s="103"/>
      <c r="BF690" s="103"/>
      <c r="BG690" s="103"/>
      <c r="BH690" s="103"/>
      <c r="BI690" s="103"/>
      <c r="BJ690" s="103"/>
      <c r="BK690" s="103"/>
      <c r="BL690" s="103"/>
      <c r="BM690" s="103"/>
      <c r="BN690" s="103"/>
      <c r="BO690" s="103"/>
      <c r="BP690" s="103"/>
      <c r="BQ690" s="103"/>
      <c r="BR690" s="103"/>
    </row>
    <row r="691" spans="2:70" s="99" customFormat="1" outlineLevel="1">
      <c r="C691" s="95" t="s">
        <v>588</v>
      </c>
      <c r="D691" s="100"/>
      <c r="E691" s="100"/>
      <c r="F691" s="100"/>
      <c r="G691" s="100"/>
      <c r="H691" s="100"/>
      <c r="I691" s="100"/>
      <c r="J691" s="100"/>
      <c r="K691" s="100"/>
      <c r="L691" s="100"/>
      <c r="M691" s="100"/>
      <c r="N691" s="100"/>
      <c r="O691" s="100"/>
      <c r="AC691" s="103"/>
      <c r="AD691" s="103"/>
      <c r="AE691" s="430"/>
      <c r="AF691" s="1073">
        <f>+AF690*AF376</f>
        <v>-23.273382430011399</v>
      </c>
      <c r="AG691" s="1073">
        <f>+AG690*AG376</f>
        <v>-1.1426218944910194</v>
      </c>
      <c r="AH691" s="1073">
        <f>+AH690*AH376</f>
        <v>-24.500456980650181</v>
      </c>
      <c r="AI691" s="103"/>
      <c r="AJ691" s="103"/>
      <c r="AK691" s="103"/>
      <c r="AL691" s="103"/>
      <c r="AM691" s="103"/>
      <c r="AN691" s="103"/>
      <c r="AO691" s="103"/>
      <c r="AP691" s="103"/>
      <c r="AQ691" s="103"/>
      <c r="AR691" s="103"/>
      <c r="AS691" s="103"/>
      <c r="AT691" s="103"/>
      <c r="AU691" s="103"/>
      <c r="AV691" s="103"/>
      <c r="AW691" s="103"/>
      <c r="AX691" s="103"/>
      <c r="AY691" s="103"/>
      <c r="AZ691" s="103"/>
      <c r="BA691" s="103"/>
      <c r="BB691" s="103"/>
      <c r="BC691" s="103"/>
      <c r="BD691" s="103"/>
      <c r="BE691" s="103"/>
      <c r="BF691" s="103"/>
      <c r="BG691" s="103"/>
      <c r="BH691" s="103"/>
      <c r="BI691" s="103"/>
      <c r="BJ691" s="103"/>
      <c r="BK691" s="103"/>
      <c r="BL691" s="103"/>
      <c r="BM691" s="103"/>
      <c r="BN691" s="103"/>
      <c r="BO691" s="103"/>
      <c r="BP691" s="103"/>
      <c r="BQ691" s="103"/>
      <c r="BR691" s="103"/>
    </row>
    <row r="692" spans="2:70" s="99" customFormat="1" outlineLevel="1">
      <c r="C692" s="469" t="s">
        <v>57</v>
      </c>
      <c r="D692" s="100"/>
      <c r="E692" s="100"/>
      <c r="F692" s="100"/>
      <c r="G692" s="100"/>
      <c r="H692" s="100"/>
      <c r="I692" s="100"/>
      <c r="J692" s="100"/>
      <c r="K692" s="100"/>
      <c r="L692" s="100"/>
      <c r="M692" s="100"/>
      <c r="N692" s="100"/>
      <c r="O692" s="100"/>
      <c r="AC692" s="103"/>
      <c r="AD692" s="103"/>
      <c r="AE692" s="430"/>
      <c r="AF692" s="348">
        <f>AF701+AF709</f>
        <v>0.5</v>
      </c>
      <c r="AG692" s="1008">
        <f>AG701+AG709</f>
        <v>1</v>
      </c>
      <c r="AH692" s="28">
        <f>AF692+AG692</f>
        <v>1.5</v>
      </c>
      <c r="AI692" s="28">
        <f>AI701+AI709</f>
        <v>0.75</v>
      </c>
      <c r="AJ692" s="28">
        <f>AJ701+AJ709</f>
        <v>0.5</v>
      </c>
      <c r="AK692" s="28">
        <f>AI692+AJ692</f>
        <v>1.25</v>
      </c>
      <c r="AL692" s="28">
        <f>AL701+AL709</f>
        <v>0.5</v>
      </c>
      <c r="AM692" s="28">
        <f>AM701+AM709</f>
        <v>0.5</v>
      </c>
      <c r="AN692" s="28">
        <f>AL692+AM692</f>
        <v>1</v>
      </c>
      <c r="AO692" s="28">
        <f>AO701+AO709</f>
        <v>0.25</v>
      </c>
      <c r="AP692" s="28">
        <f>AP701+AP709</f>
        <v>0</v>
      </c>
      <c r="AQ692" s="28">
        <f>AO692+AP692</f>
        <v>0.25</v>
      </c>
      <c r="AR692" s="28">
        <f>AR701+AR709</f>
        <v>0</v>
      </c>
      <c r="AS692" s="28">
        <f>AS701+AS709</f>
        <v>0</v>
      </c>
      <c r="AT692" s="28">
        <f>AR692+AS692</f>
        <v>0</v>
      </c>
      <c r="AU692" s="28">
        <f>AU701+AU709</f>
        <v>0</v>
      </c>
      <c r="AV692" s="28">
        <f>AV701+AV709</f>
        <v>0</v>
      </c>
      <c r="AW692" s="28">
        <f>AU692+AV692</f>
        <v>0</v>
      </c>
      <c r="AX692" s="28">
        <f>AX701+AX709</f>
        <v>0</v>
      </c>
      <c r="AY692" s="28">
        <f>AY701+AY709</f>
        <v>0</v>
      </c>
      <c r="AZ692" s="28">
        <f>AX692+AY692</f>
        <v>0</v>
      </c>
      <c r="BA692" s="28">
        <f>BA701+BA709</f>
        <v>0</v>
      </c>
      <c r="BB692" s="28">
        <f>BB701+BB709</f>
        <v>0</v>
      </c>
      <c r="BC692" s="28">
        <f>BA692+BB692</f>
        <v>0</v>
      </c>
      <c r="BD692" s="28">
        <f>BD701+BD709</f>
        <v>0</v>
      </c>
      <c r="BE692" s="28">
        <f>BE701+BE709</f>
        <v>0</v>
      </c>
      <c r="BF692" s="28">
        <f>BD692+BE692</f>
        <v>0</v>
      </c>
      <c r="BG692" s="28">
        <f>BG701+BG709</f>
        <v>0</v>
      </c>
      <c r="BH692" s="28">
        <f>BH701+BH709</f>
        <v>0</v>
      </c>
      <c r="BI692" s="28">
        <f>BG692+BH692</f>
        <v>0</v>
      </c>
      <c r="BJ692" s="28">
        <f>BJ701+BJ709</f>
        <v>0</v>
      </c>
      <c r="BK692" s="28">
        <f>BK701+BK709</f>
        <v>0</v>
      </c>
      <c r="BL692" s="28">
        <f>BJ692+BK692</f>
        <v>0</v>
      </c>
      <c r="BM692" s="28">
        <f>BM701+BM709</f>
        <v>0</v>
      </c>
      <c r="BN692" s="28">
        <f>BN701+BN709</f>
        <v>0</v>
      </c>
      <c r="BO692" s="28">
        <f>BM692+BN692</f>
        <v>0</v>
      </c>
      <c r="BP692" s="28">
        <f>BP701+BP709</f>
        <v>0</v>
      </c>
      <c r="BQ692" s="28">
        <f>BQ701+BQ709</f>
        <v>0</v>
      </c>
      <c r="BR692" s="28">
        <f>BP692+BQ692</f>
        <v>0</v>
      </c>
    </row>
    <row r="693" spans="2:70" s="99" customFormat="1" outlineLevel="1">
      <c r="C693" s="584" t="s">
        <v>589</v>
      </c>
      <c r="D693" s="100"/>
      <c r="E693" s="100"/>
      <c r="F693" s="100"/>
      <c r="G693" s="100"/>
      <c r="H693" s="100"/>
      <c r="I693" s="100"/>
      <c r="J693" s="100"/>
      <c r="K693" s="100"/>
      <c r="L693" s="100"/>
      <c r="M693" s="100"/>
      <c r="N693" s="100"/>
      <c r="O693" s="100"/>
      <c r="AC693" s="103"/>
      <c r="AD693" s="103"/>
      <c r="AE693" s="430"/>
      <c r="AF693" s="430"/>
      <c r="AG693" s="1015"/>
      <c r="AH693" s="103"/>
      <c r="AI693" s="103"/>
      <c r="AJ693" s="103"/>
      <c r="AK693" s="103"/>
      <c r="AL693" s="103"/>
      <c r="AM693" s="103"/>
      <c r="AN693" s="103"/>
    </row>
    <row r="694" spans="2:70" outlineLevel="2">
      <c r="B694" s="5"/>
      <c r="C694" s="95" t="s">
        <v>556</v>
      </c>
      <c r="D694" s="7" t="s">
        <v>82</v>
      </c>
    </row>
    <row r="695" spans="2:70" outlineLevel="2">
      <c r="B695" s="5"/>
      <c r="C695" s="108" t="s">
        <v>552</v>
      </c>
      <c r="D695" s="7" t="s">
        <v>85</v>
      </c>
      <c r="AE695" s="390">
        <v>10</v>
      </c>
      <c r="AF695" s="348"/>
      <c r="AG695" s="1008"/>
      <c r="AH695" s="348"/>
      <c r="AI695" s="348"/>
      <c r="AJ695" s="348"/>
      <c r="AK695" s="348"/>
      <c r="AL695" s="348"/>
      <c r="AM695" s="348"/>
      <c r="AN695" s="348"/>
    </row>
    <row r="696" spans="2:70" s="30" customFormat="1" outlineLevel="2">
      <c r="B696" s="5"/>
      <c r="C696" s="93" t="s">
        <v>55</v>
      </c>
      <c r="D696" s="31" t="s">
        <v>85</v>
      </c>
      <c r="AE696" s="168"/>
      <c r="AF696" s="172"/>
      <c r="AG696" s="1016"/>
      <c r="AH696" s="172"/>
      <c r="AI696" s="172"/>
      <c r="AJ696" s="172"/>
      <c r="AK696" s="172"/>
      <c r="AL696" s="172"/>
      <c r="AM696" s="172"/>
      <c r="AN696" s="172"/>
    </row>
    <row r="697" spans="2:70" outlineLevel="2">
      <c r="B697" s="5"/>
      <c r="C697" s="108" t="s">
        <v>57</v>
      </c>
      <c r="D697" s="7" t="s">
        <v>85</v>
      </c>
      <c r="AF697" s="348">
        <f>(AF698/2)*$AE$695</f>
        <v>0.5</v>
      </c>
      <c r="AG697" s="1008">
        <f>AG698/2*$AE$695</f>
        <v>0.5</v>
      </c>
      <c r="AH697" s="28">
        <f>AF697+AG697</f>
        <v>1</v>
      </c>
      <c r="AI697" s="28">
        <f>AI698/2*$AE$695</f>
        <v>0.75</v>
      </c>
      <c r="AJ697" s="28">
        <f>AJ698/2*$AE$695</f>
        <v>0.75</v>
      </c>
      <c r="AK697" s="28">
        <f>AI697+AJ697</f>
        <v>1.5</v>
      </c>
      <c r="AL697" s="28">
        <f>AL698/2*$AE$695</f>
        <v>1</v>
      </c>
      <c r="AM697" s="28">
        <f>AM698/2*$AE$695</f>
        <v>1</v>
      </c>
      <c r="AN697" s="28">
        <f>AL697+AM697</f>
        <v>2</v>
      </c>
      <c r="AO697" s="28">
        <f>AO698/2*$AE$695</f>
        <v>1</v>
      </c>
      <c r="AP697" s="28">
        <f>AP698/2*$AE$695</f>
        <v>1</v>
      </c>
      <c r="AQ697" s="28">
        <f>AO697+AP697</f>
        <v>2</v>
      </c>
      <c r="AR697" s="28">
        <f>AR698/2*$AE$695</f>
        <v>1</v>
      </c>
      <c r="AS697" s="28">
        <f>AS698/2*$AE$695</f>
        <v>1</v>
      </c>
      <c r="AT697" s="28">
        <f>AR697+AS697</f>
        <v>2</v>
      </c>
      <c r="AU697" s="28">
        <f>AU698/2*$AE$695</f>
        <v>1</v>
      </c>
      <c r="AV697" s="28">
        <f>AV698/2*$AE$695</f>
        <v>1</v>
      </c>
      <c r="AW697" s="28">
        <f>AU697+AV697</f>
        <v>2</v>
      </c>
      <c r="AX697" s="28">
        <f>AX698/2*$AE$695</f>
        <v>1</v>
      </c>
      <c r="AY697" s="28">
        <f>AY698/2*$AE$695</f>
        <v>1</v>
      </c>
      <c r="AZ697" s="28">
        <f>AX697+AY697</f>
        <v>2</v>
      </c>
      <c r="BA697" s="28">
        <f>BA698/2*$AE$695</f>
        <v>1</v>
      </c>
      <c r="BB697" s="28">
        <f>BB698/2*$AE$695</f>
        <v>1</v>
      </c>
      <c r="BC697" s="28">
        <f>BA697+BB697</f>
        <v>2</v>
      </c>
      <c r="BD697" s="28">
        <f>BD698/2*$AE$695</f>
        <v>1</v>
      </c>
      <c r="BE697" s="28">
        <f>BE698/2*$AE$695</f>
        <v>1</v>
      </c>
      <c r="BF697" s="28">
        <f>BD697+BE697</f>
        <v>2</v>
      </c>
      <c r="BG697" s="28">
        <f>BG698/2*$AE$695</f>
        <v>1</v>
      </c>
      <c r="BH697" s="28">
        <f>BH698/2*$AE$695</f>
        <v>1</v>
      </c>
      <c r="BI697" s="28">
        <f>BG697+BH697</f>
        <v>2</v>
      </c>
      <c r="BJ697" s="28">
        <f>BJ698/2*$AE$695</f>
        <v>1</v>
      </c>
      <c r="BK697" s="28">
        <f>BK698/2*$AE$695</f>
        <v>1</v>
      </c>
      <c r="BL697" s="28">
        <f>BJ697+BK697</f>
        <v>2</v>
      </c>
      <c r="BM697" s="28">
        <f>BM698/2*$AE$695</f>
        <v>1</v>
      </c>
      <c r="BN697" s="28">
        <f>BN698/2*$AE$695</f>
        <v>1</v>
      </c>
      <c r="BO697" s="28">
        <f>BM697+BN697</f>
        <v>2</v>
      </c>
      <c r="BP697" s="28">
        <f>BP698/2*$AE$695</f>
        <v>1</v>
      </c>
      <c r="BQ697" s="28">
        <f>BQ698/2*$AE$695</f>
        <v>1</v>
      </c>
      <c r="BR697" s="28">
        <f>BP697+BQ697</f>
        <v>2</v>
      </c>
    </row>
    <row r="698" spans="2:70" outlineLevel="2">
      <c r="B698" s="5"/>
      <c r="C698" s="108" t="s">
        <v>553</v>
      </c>
      <c r="D698" s="7" t="s">
        <v>66</v>
      </c>
      <c r="AF698" s="450">
        <v>0.1</v>
      </c>
      <c r="AG698" s="967">
        <v>0.1</v>
      </c>
      <c r="AH698" s="353">
        <f>AH697/$AE$695</f>
        <v>0.1</v>
      </c>
      <c r="AI698" s="473">
        <v>0.15</v>
      </c>
      <c r="AJ698" s="473">
        <v>0.15</v>
      </c>
      <c r="AK698" s="353">
        <f>AK697/$AE$695</f>
        <v>0.15</v>
      </c>
      <c r="AL698" s="473">
        <v>0.2</v>
      </c>
      <c r="AM698" s="473">
        <v>0.2</v>
      </c>
      <c r="AN698" s="353">
        <f>AN697/$AE$695</f>
        <v>0.2</v>
      </c>
      <c r="AO698" s="473">
        <v>0.2</v>
      </c>
      <c r="AP698" s="473">
        <v>0.2</v>
      </c>
      <c r="AQ698" s="353">
        <f>AQ697/$AE$695</f>
        <v>0.2</v>
      </c>
      <c r="AR698" s="473">
        <v>0.2</v>
      </c>
      <c r="AS698" s="473">
        <v>0.2</v>
      </c>
      <c r="AT698" s="353">
        <f>AT697/$AE$695</f>
        <v>0.2</v>
      </c>
      <c r="AU698" s="473">
        <v>0.2</v>
      </c>
      <c r="AV698" s="473">
        <v>0.2</v>
      </c>
      <c r="AW698" s="353">
        <f>AW697/$AE$695</f>
        <v>0.2</v>
      </c>
      <c r="AX698" s="473">
        <v>0.2</v>
      </c>
      <c r="AY698" s="473">
        <v>0.2</v>
      </c>
      <c r="AZ698" s="353">
        <f>AZ697/$AE$695</f>
        <v>0.2</v>
      </c>
      <c r="BA698" s="473">
        <v>0.2</v>
      </c>
      <c r="BB698" s="473">
        <v>0.2</v>
      </c>
      <c r="BC698" s="353">
        <f>BC697/$AE$695</f>
        <v>0.2</v>
      </c>
      <c r="BD698" s="473">
        <v>0.2</v>
      </c>
      <c r="BE698" s="473">
        <v>0.2</v>
      </c>
      <c r="BF698" s="353">
        <f>BF697/$AE$695</f>
        <v>0.2</v>
      </c>
      <c r="BG698" s="473">
        <v>0.2</v>
      </c>
      <c r="BH698" s="473">
        <v>0.2</v>
      </c>
      <c r="BI698" s="353">
        <f>BI697/$AE$695</f>
        <v>0.2</v>
      </c>
      <c r="BJ698" s="473">
        <v>0.2</v>
      </c>
      <c r="BK698" s="473">
        <v>0.2</v>
      </c>
      <c r="BL698" s="353">
        <f>BL697/$AE$695</f>
        <v>0.2</v>
      </c>
      <c r="BM698" s="473">
        <v>0.2</v>
      </c>
      <c r="BN698" s="473">
        <v>0.2</v>
      </c>
      <c r="BO698" s="353">
        <f>BO697/$AE$695</f>
        <v>0.2</v>
      </c>
      <c r="BP698" s="473">
        <v>0.2</v>
      </c>
      <c r="BQ698" s="473">
        <v>0.2</v>
      </c>
      <c r="BR698" s="353">
        <f>BR697/$AE$695</f>
        <v>0.2</v>
      </c>
    </row>
    <row r="699" spans="2:70" outlineLevel="2">
      <c r="B699" s="91"/>
      <c r="C699" s="475" t="s">
        <v>587</v>
      </c>
    </row>
    <row r="700" spans="2:70" outlineLevel="2">
      <c r="C700" s="383" t="s">
        <v>55</v>
      </c>
      <c r="D700" s="7" t="s">
        <v>85</v>
      </c>
      <c r="AF700" s="360">
        <f>+AF696-AC696</f>
        <v>0</v>
      </c>
      <c r="AG700" s="942">
        <f>+AG696-AD696</f>
        <v>0</v>
      </c>
      <c r="AH700" s="360">
        <f>+AG700+AF700</f>
        <v>0</v>
      </c>
      <c r="AI700" s="360">
        <f t="shared" ref="AI700" si="2319">+AI696-AF696</f>
        <v>0</v>
      </c>
      <c r="AJ700" s="360">
        <f t="shared" ref="AJ700" si="2320">+AJ696-AG696</f>
        <v>0</v>
      </c>
      <c r="AK700" s="360">
        <f>+AJ700+AI700</f>
        <v>0</v>
      </c>
      <c r="AL700" s="360">
        <f t="shared" ref="AL700" si="2321">+AL696-AI696</f>
        <v>0</v>
      </c>
      <c r="AM700" s="360">
        <f t="shared" ref="AM700" si="2322">+AM696-AJ696</f>
        <v>0</v>
      </c>
      <c r="AN700" s="360">
        <f>+AM700+AL700</f>
        <v>0</v>
      </c>
      <c r="AO700" s="360">
        <f t="shared" ref="AO700:AO701" si="2323">+AO696-AL696</f>
        <v>0</v>
      </c>
      <c r="AP700" s="360">
        <f t="shared" ref="AP700:AP701" si="2324">+AP696-AM696</f>
        <v>0</v>
      </c>
      <c r="AQ700" s="360">
        <f>+AP700+AO700</f>
        <v>0</v>
      </c>
      <c r="AR700" s="360">
        <f t="shared" ref="AR700:AR701" si="2325">+AR696-AO696</f>
        <v>0</v>
      </c>
      <c r="AS700" s="360">
        <f t="shared" ref="AS700:AS701" si="2326">+AS696-AP696</f>
        <v>0</v>
      </c>
      <c r="AT700" s="360">
        <f>+AS700+AR700</f>
        <v>0</v>
      </c>
      <c r="AU700" s="360">
        <f t="shared" ref="AU700:AU701" si="2327">+AU696-AR696</f>
        <v>0</v>
      </c>
      <c r="AV700" s="360">
        <f t="shared" ref="AV700:AV701" si="2328">+AV696-AS696</f>
        <v>0</v>
      </c>
      <c r="AW700" s="360">
        <f>+AV700+AU700</f>
        <v>0</v>
      </c>
      <c r="AX700" s="360">
        <f t="shared" ref="AX700:AX701" si="2329">+AX696-AU696</f>
        <v>0</v>
      </c>
      <c r="AY700" s="360">
        <f t="shared" ref="AY700:AY701" si="2330">+AY696-AV696</f>
        <v>0</v>
      </c>
      <c r="AZ700" s="360">
        <f>+AY700+AX700</f>
        <v>0</v>
      </c>
      <c r="BA700" s="360">
        <f t="shared" ref="BA700:BA701" si="2331">+BA696-AX696</f>
        <v>0</v>
      </c>
      <c r="BB700" s="360">
        <f t="shared" ref="BB700:BB701" si="2332">+BB696-AY696</f>
        <v>0</v>
      </c>
      <c r="BC700" s="360">
        <f>+BB700+BA700</f>
        <v>0</v>
      </c>
      <c r="BD700" s="360">
        <f t="shared" ref="BD700:BD701" si="2333">+BD696-BA696</f>
        <v>0</v>
      </c>
      <c r="BE700" s="360">
        <f t="shared" ref="BE700:BE701" si="2334">+BE696-BB696</f>
        <v>0</v>
      </c>
      <c r="BF700" s="360">
        <f>+BE700+BD700</f>
        <v>0</v>
      </c>
      <c r="BG700" s="360">
        <f t="shared" ref="BG700:BG701" si="2335">+BG696-BD696</f>
        <v>0</v>
      </c>
      <c r="BH700" s="360">
        <f t="shared" ref="BH700:BH701" si="2336">+BH696-BE696</f>
        <v>0</v>
      </c>
      <c r="BI700" s="360">
        <f>+BH700+BG700</f>
        <v>0</v>
      </c>
      <c r="BJ700" s="360">
        <f t="shared" ref="BJ700:BJ701" si="2337">+BJ696-BG696</f>
        <v>0</v>
      </c>
      <c r="BK700" s="360">
        <f t="shared" ref="BK700:BK701" si="2338">+BK696-BH696</f>
        <v>0</v>
      </c>
      <c r="BL700" s="360">
        <f>+BK700+BJ700</f>
        <v>0</v>
      </c>
      <c r="BM700" s="360">
        <f t="shared" ref="BM700:BM701" si="2339">+BM696-BJ696</f>
        <v>0</v>
      </c>
      <c r="BN700" s="360">
        <f t="shared" ref="BN700:BN701" si="2340">+BN696-BK696</f>
        <v>0</v>
      </c>
      <c r="BO700" s="360">
        <f>+BN700+BM700</f>
        <v>0</v>
      </c>
      <c r="BP700" s="360">
        <f t="shared" ref="BP700:BP701" si="2341">+BP696-BM696</f>
        <v>0</v>
      </c>
      <c r="BQ700" s="360">
        <f t="shared" ref="BQ700:BQ701" si="2342">+BQ696-BN696</f>
        <v>0</v>
      </c>
      <c r="BR700" s="360">
        <f>+BQ700+BP700</f>
        <v>0</v>
      </c>
    </row>
    <row r="701" spans="2:70" outlineLevel="2">
      <c r="B701" s="5"/>
      <c r="C701" s="383" t="s">
        <v>57</v>
      </c>
      <c r="D701" s="7" t="s">
        <v>85</v>
      </c>
      <c r="AF701" s="360">
        <f>+AF697-AC697</f>
        <v>0.5</v>
      </c>
      <c r="AG701" s="942">
        <f>+AG697-AD697</f>
        <v>0.5</v>
      </c>
      <c r="AH701" s="360">
        <f>+AG701+AF701</f>
        <v>1</v>
      </c>
      <c r="AI701" s="360">
        <f t="shared" ref="AI701:AM701" si="2343">+AI697-AF697</f>
        <v>0.25</v>
      </c>
      <c r="AJ701" s="360">
        <f t="shared" si="2343"/>
        <v>0.25</v>
      </c>
      <c r="AK701" s="360">
        <f>+AJ701+AI701</f>
        <v>0.5</v>
      </c>
      <c r="AL701" s="360">
        <f t="shared" si="2343"/>
        <v>0.25</v>
      </c>
      <c r="AM701" s="360">
        <f t="shared" si="2343"/>
        <v>0.25</v>
      </c>
      <c r="AN701" s="360">
        <f>+AM701+AL701</f>
        <v>0.5</v>
      </c>
      <c r="AO701" s="360">
        <f t="shared" si="2323"/>
        <v>0</v>
      </c>
      <c r="AP701" s="360">
        <f t="shared" si="2324"/>
        <v>0</v>
      </c>
      <c r="AQ701" s="360">
        <f>+AP701+AO701</f>
        <v>0</v>
      </c>
      <c r="AR701" s="360">
        <f t="shared" si="2325"/>
        <v>0</v>
      </c>
      <c r="AS701" s="360">
        <f t="shared" si="2326"/>
        <v>0</v>
      </c>
      <c r="AT701" s="360">
        <f>+AS701+AR701</f>
        <v>0</v>
      </c>
      <c r="AU701" s="360">
        <f t="shared" si="2327"/>
        <v>0</v>
      </c>
      <c r="AV701" s="360">
        <f t="shared" si="2328"/>
        <v>0</v>
      </c>
      <c r="AW701" s="360">
        <f>+AV701+AU701</f>
        <v>0</v>
      </c>
      <c r="AX701" s="360">
        <f t="shared" si="2329"/>
        <v>0</v>
      </c>
      <c r="AY701" s="360">
        <f t="shared" si="2330"/>
        <v>0</v>
      </c>
      <c r="AZ701" s="360">
        <f>+AY701+AX701</f>
        <v>0</v>
      </c>
      <c r="BA701" s="360">
        <f t="shared" si="2331"/>
        <v>0</v>
      </c>
      <c r="BB701" s="360">
        <f t="shared" si="2332"/>
        <v>0</v>
      </c>
      <c r="BC701" s="360">
        <f>+BB701+BA701</f>
        <v>0</v>
      </c>
      <c r="BD701" s="360">
        <f t="shared" si="2333"/>
        <v>0</v>
      </c>
      <c r="BE701" s="360">
        <f t="shared" si="2334"/>
        <v>0</v>
      </c>
      <c r="BF701" s="360">
        <f>+BE701+BD701</f>
        <v>0</v>
      </c>
      <c r="BG701" s="360">
        <f t="shared" si="2335"/>
        <v>0</v>
      </c>
      <c r="BH701" s="360">
        <f t="shared" si="2336"/>
        <v>0</v>
      </c>
      <c r="BI701" s="360">
        <f>+BH701+BG701</f>
        <v>0</v>
      </c>
      <c r="BJ701" s="360">
        <f t="shared" si="2337"/>
        <v>0</v>
      </c>
      <c r="BK701" s="360">
        <f t="shared" si="2338"/>
        <v>0</v>
      </c>
      <c r="BL701" s="360">
        <f>+BK701+BJ701</f>
        <v>0</v>
      </c>
      <c r="BM701" s="360">
        <f t="shared" si="2339"/>
        <v>0</v>
      </c>
      <c r="BN701" s="360">
        <f t="shared" si="2340"/>
        <v>0</v>
      </c>
      <c r="BO701" s="360">
        <f>+BN701+BM701</f>
        <v>0</v>
      </c>
      <c r="BP701" s="360">
        <f t="shared" si="2341"/>
        <v>0</v>
      </c>
      <c r="BQ701" s="360">
        <f t="shared" si="2342"/>
        <v>0</v>
      </c>
      <c r="BR701" s="360">
        <f>+BQ701+BP701</f>
        <v>0</v>
      </c>
    </row>
    <row r="702" spans="2:70" outlineLevel="2">
      <c r="B702" s="5"/>
      <c r="C702" s="95" t="s">
        <v>540</v>
      </c>
      <c r="D702" s="7" t="s">
        <v>83</v>
      </c>
    </row>
    <row r="703" spans="2:70" outlineLevel="2">
      <c r="B703" s="5"/>
      <c r="C703" s="108" t="s">
        <v>552</v>
      </c>
      <c r="D703" s="7" t="s">
        <v>85</v>
      </c>
      <c r="AE703" s="390">
        <v>10</v>
      </c>
    </row>
    <row r="704" spans="2:70" s="30" customFormat="1" outlineLevel="2">
      <c r="B704" s="5"/>
      <c r="C704" s="93" t="s">
        <v>55</v>
      </c>
      <c r="D704" s="31" t="s">
        <v>85</v>
      </c>
      <c r="AE704" s="168"/>
      <c r="AF704" s="172"/>
      <c r="AG704" s="1016"/>
      <c r="AH704" s="39"/>
      <c r="AI704" s="39"/>
      <c r="AJ704" s="39"/>
      <c r="AK704" s="39"/>
      <c r="AL704" s="39"/>
      <c r="AM704" s="39"/>
      <c r="AN704" s="39"/>
    </row>
    <row r="705" spans="2:70" outlineLevel="2">
      <c r="B705" s="5"/>
      <c r="C705" s="108" t="s">
        <v>57</v>
      </c>
      <c r="D705" s="7" t="s">
        <v>85</v>
      </c>
      <c r="AF705" s="360">
        <f>AF706/2*$AE$703</f>
        <v>0</v>
      </c>
      <c r="AG705" s="942">
        <f>AG706/2*$AE$703</f>
        <v>0.5</v>
      </c>
      <c r="AH705" s="24">
        <f>AF705+AG705</f>
        <v>0.5</v>
      </c>
      <c r="AI705" s="24">
        <f>AI706/2*$AE$703</f>
        <v>0.5</v>
      </c>
      <c r="AJ705" s="24">
        <f>AJ706/2*$AE$703</f>
        <v>0.75</v>
      </c>
      <c r="AK705" s="24">
        <f>AI705+AJ705</f>
        <v>1.25</v>
      </c>
      <c r="AL705" s="24">
        <f>AL706/2*$AE$703</f>
        <v>0.75</v>
      </c>
      <c r="AM705" s="24">
        <f>AM706/2*$AE$703</f>
        <v>1</v>
      </c>
      <c r="AN705" s="24">
        <f>AL705+AM705</f>
        <v>1.75</v>
      </c>
      <c r="AO705" s="24">
        <f>AO706/2*$AE$703</f>
        <v>1</v>
      </c>
      <c r="AP705" s="24">
        <f>AP706/2*$AE$703</f>
        <v>1</v>
      </c>
      <c r="AQ705" s="24">
        <f>AO705+AP705</f>
        <v>2</v>
      </c>
      <c r="AR705" s="24">
        <f>AR706/2*$AE$703</f>
        <v>1</v>
      </c>
      <c r="AS705" s="24">
        <f>AS706/2*$AE$703</f>
        <v>1</v>
      </c>
      <c r="AT705" s="24">
        <f>AR705+AS705</f>
        <v>2</v>
      </c>
      <c r="AU705" s="24">
        <f>AU706/2*$AE$703</f>
        <v>1</v>
      </c>
      <c r="AV705" s="24">
        <f>AV706/2*$AE$703</f>
        <v>1</v>
      </c>
      <c r="AW705" s="24">
        <f>AU705+AV705</f>
        <v>2</v>
      </c>
      <c r="AX705" s="24">
        <f>AX706/2*$AE$703</f>
        <v>1</v>
      </c>
      <c r="AY705" s="24">
        <f>AY706/2*$AE$703</f>
        <v>1</v>
      </c>
      <c r="AZ705" s="24">
        <f>AX705+AY705</f>
        <v>2</v>
      </c>
      <c r="BA705" s="24">
        <f>BA706/2*$AE$703</f>
        <v>1</v>
      </c>
      <c r="BB705" s="24">
        <f>BB706/2*$AE$703</f>
        <v>1</v>
      </c>
      <c r="BC705" s="24">
        <f>BA705+BB705</f>
        <v>2</v>
      </c>
      <c r="BD705" s="24">
        <f>BD706/2*$AE$703</f>
        <v>1</v>
      </c>
      <c r="BE705" s="24">
        <f>BE706/2*$AE$703</f>
        <v>1</v>
      </c>
      <c r="BF705" s="24">
        <f>BD705+BE705</f>
        <v>2</v>
      </c>
      <c r="BG705" s="24">
        <f>BG706/2*$AE$703</f>
        <v>1</v>
      </c>
      <c r="BH705" s="24">
        <f>BH706/2*$AE$703</f>
        <v>1</v>
      </c>
      <c r="BI705" s="24">
        <f>BG705+BH705</f>
        <v>2</v>
      </c>
      <c r="BJ705" s="24">
        <f>BJ706/2*$AE$703</f>
        <v>1</v>
      </c>
      <c r="BK705" s="24">
        <f>BK706/2*$AE$703</f>
        <v>1</v>
      </c>
      <c r="BL705" s="24">
        <f>BJ705+BK705</f>
        <v>2</v>
      </c>
      <c r="BM705" s="24">
        <f>BM706/2*$AE$703</f>
        <v>1</v>
      </c>
      <c r="BN705" s="24">
        <f>BN706/2*$AE$703</f>
        <v>1</v>
      </c>
      <c r="BO705" s="24">
        <f>BM705+BN705</f>
        <v>2</v>
      </c>
      <c r="BP705" s="24">
        <f>BP706/2*$AE$703</f>
        <v>1</v>
      </c>
      <c r="BQ705" s="24">
        <f>BQ706/2*$AE$703</f>
        <v>1</v>
      </c>
      <c r="BR705" s="24">
        <f>BP705+BQ705</f>
        <v>2</v>
      </c>
    </row>
    <row r="706" spans="2:70" outlineLevel="2">
      <c r="B706" s="5"/>
      <c r="C706" s="108" t="s">
        <v>553</v>
      </c>
      <c r="D706" s="7" t="s">
        <v>66</v>
      </c>
      <c r="AF706" s="450">
        <v>0</v>
      </c>
      <c r="AG706" s="967">
        <v>0.1</v>
      </c>
      <c r="AH706" s="353">
        <f>AH705/$AE$703</f>
        <v>0.05</v>
      </c>
      <c r="AI706" s="473">
        <v>0.1</v>
      </c>
      <c r="AJ706" s="473">
        <v>0.15</v>
      </c>
      <c r="AK706" s="353">
        <f>AK705/$AE$703</f>
        <v>0.125</v>
      </c>
      <c r="AL706" s="473">
        <v>0.15</v>
      </c>
      <c r="AM706" s="473">
        <v>0.2</v>
      </c>
      <c r="AN706" s="353">
        <f>AN705/$AE$703</f>
        <v>0.17499999999999999</v>
      </c>
      <c r="AO706" s="473">
        <v>0.2</v>
      </c>
      <c r="AP706" s="473">
        <v>0.2</v>
      </c>
      <c r="AQ706" s="353">
        <f>AQ705/$AE$703</f>
        <v>0.2</v>
      </c>
      <c r="AR706" s="473">
        <v>0.2</v>
      </c>
      <c r="AS706" s="473">
        <v>0.2</v>
      </c>
      <c r="AT706" s="353">
        <f>AT705/$AE$703</f>
        <v>0.2</v>
      </c>
      <c r="AU706" s="473">
        <v>0.2</v>
      </c>
      <c r="AV706" s="473">
        <v>0.2</v>
      </c>
      <c r="AW706" s="353">
        <f>AW705/$AE$703</f>
        <v>0.2</v>
      </c>
      <c r="AX706" s="473">
        <v>0.2</v>
      </c>
      <c r="AY706" s="473">
        <v>0.2</v>
      </c>
      <c r="AZ706" s="353">
        <f>AZ705/$AE$703</f>
        <v>0.2</v>
      </c>
      <c r="BA706" s="473">
        <v>0.2</v>
      </c>
      <c r="BB706" s="473">
        <v>0.2</v>
      </c>
      <c r="BC706" s="353">
        <f>BC705/$AE$703</f>
        <v>0.2</v>
      </c>
      <c r="BD706" s="473">
        <v>0.2</v>
      </c>
      <c r="BE706" s="473">
        <v>0.2</v>
      </c>
      <c r="BF706" s="353">
        <f>BF705/$AE$703</f>
        <v>0.2</v>
      </c>
      <c r="BG706" s="473">
        <v>0.2</v>
      </c>
      <c r="BH706" s="473">
        <v>0.2</v>
      </c>
      <c r="BI706" s="353">
        <f>BI705/$AE$703</f>
        <v>0.2</v>
      </c>
      <c r="BJ706" s="473">
        <v>0.2</v>
      </c>
      <c r="BK706" s="473">
        <v>0.2</v>
      </c>
      <c r="BL706" s="353">
        <f>BL705/$AE$703</f>
        <v>0.2</v>
      </c>
      <c r="BM706" s="473">
        <v>0.2</v>
      </c>
      <c r="BN706" s="473">
        <v>0.2</v>
      </c>
      <c r="BO706" s="353">
        <f>BO705/$AE$703</f>
        <v>0.2</v>
      </c>
      <c r="BP706" s="473">
        <v>0.2</v>
      </c>
      <c r="BQ706" s="473">
        <v>0.2</v>
      </c>
      <c r="BR706" s="353">
        <f>BR705/$AE$703</f>
        <v>0.2</v>
      </c>
    </row>
    <row r="707" spans="2:70" outlineLevel="2">
      <c r="B707" s="91"/>
      <c r="C707" s="476" t="s">
        <v>587</v>
      </c>
      <c r="D707" s="107"/>
      <c r="E707" s="107"/>
      <c r="F707" s="107"/>
      <c r="G707" s="107"/>
      <c r="H707" s="107"/>
      <c r="I707" s="107"/>
      <c r="J707" s="107"/>
      <c r="K707" s="107"/>
      <c r="L707" s="107"/>
      <c r="M707" s="107"/>
      <c r="N707" s="107"/>
      <c r="O707" s="107"/>
    </row>
    <row r="708" spans="2:70" outlineLevel="2">
      <c r="C708" s="477" t="s">
        <v>55</v>
      </c>
      <c r="D708" s="7" t="s">
        <v>85</v>
      </c>
      <c r="AF708" s="360">
        <f>+AF704-AC704</f>
        <v>0</v>
      </c>
      <c r="AG708" s="942">
        <f>+AG704-AD704</f>
        <v>0</v>
      </c>
      <c r="AH708" s="360">
        <f>+AG708+AF708</f>
        <v>0</v>
      </c>
      <c r="AI708" s="360">
        <f t="shared" ref="AI708:AI709" si="2344">+AI704-AF704</f>
        <v>0</v>
      </c>
      <c r="AJ708" s="360">
        <f t="shared" ref="AJ708:AJ709" si="2345">+AJ704-AG704</f>
        <v>0</v>
      </c>
      <c r="AK708" s="360">
        <f>+AJ708+AI708</f>
        <v>0</v>
      </c>
      <c r="AL708" s="360">
        <f t="shared" ref="AL708:AL709" si="2346">+AL704-AI704</f>
        <v>0</v>
      </c>
      <c r="AM708" s="360">
        <f t="shared" ref="AM708:AM709" si="2347">+AM704-AJ704</f>
        <v>0</v>
      </c>
      <c r="AN708" s="360">
        <f>+AM708+AL708</f>
        <v>0</v>
      </c>
      <c r="AO708" s="360">
        <f t="shared" ref="AO708:AO709" si="2348">+AO704-AL704</f>
        <v>0</v>
      </c>
      <c r="AP708" s="360">
        <f t="shared" ref="AP708:AP709" si="2349">+AP704-AM704</f>
        <v>0</v>
      </c>
      <c r="AQ708" s="360">
        <f>+AP708+AO708</f>
        <v>0</v>
      </c>
      <c r="AR708" s="360">
        <f t="shared" ref="AR708:AR709" si="2350">+AR704-AO704</f>
        <v>0</v>
      </c>
      <c r="AS708" s="360">
        <f t="shared" ref="AS708:AS709" si="2351">+AS704-AP704</f>
        <v>0</v>
      </c>
      <c r="AT708" s="360">
        <f>+AS708+AR708</f>
        <v>0</v>
      </c>
      <c r="AU708" s="360">
        <f t="shared" ref="AU708:AU709" si="2352">+AU704-AR704</f>
        <v>0</v>
      </c>
      <c r="AV708" s="360">
        <f t="shared" ref="AV708:AV709" si="2353">+AV704-AS704</f>
        <v>0</v>
      </c>
      <c r="AW708" s="360">
        <f>+AV708+AU708</f>
        <v>0</v>
      </c>
      <c r="AX708" s="360">
        <f t="shared" ref="AX708:AX709" si="2354">+AX704-AU704</f>
        <v>0</v>
      </c>
      <c r="AY708" s="360">
        <f t="shared" ref="AY708:AY709" si="2355">+AY704-AV704</f>
        <v>0</v>
      </c>
      <c r="AZ708" s="360">
        <f>+AY708+AX708</f>
        <v>0</v>
      </c>
      <c r="BA708" s="360">
        <f t="shared" ref="BA708:BA709" si="2356">+BA704-AX704</f>
        <v>0</v>
      </c>
      <c r="BB708" s="360">
        <f t="shared" ref="BB708:BB709" si="2357">+BB704-AY704</f>
        <v>0</v>
      </c>
      <c r="BC708" s="360">
        <f>+BB708+BA708</f>
        <v>0</v>
      </c>
      <c r="BD708" s="360">
        <f t="shared" ref="BD708:BD709" si="2358">+BD704-BA704</f>
        <v>0</v>
      </c>
      <c r="BE708" s="360">
        <f t="shared" ref="BE708:BE709" si="2359">+BE704-BB704</f>
        <v>0</v>
      </c>
      <c r="BF708" s="360">
        <f>+BE708+BD708</f>
        <v>0</v>
      </c>
      <c r="BG708" s="360">
        <f t="shared" ref="BG708:BG709" si="2360">+BG704-BD704</f>
        <v>0</v>
      </c>
      <c r="BH708" s="360">
        <f t="shared" ref="BH708:BH709" si="2361">+BH704-BE704</f>
        <v>0</v>
      </c>
      <c r="BI708" s="360">
        <f>+BH708+BG708</f>
        <v>0</v>
      </c>
      <c r="BJ708" s="360">
        <f t="shared" ref="BJ708:BJ709" si="2362">+BJ704-BG704</f>
        <v>0</v>
      </c>
      <c r="BK708" s="360">
        <f t="shared" ref="BK708:BK709" si="2363">+BK704-BH704</f>
        <v>0</v>
      </c>
      <c r="BL708" s="360">
        <f>+BK708+BJ708</f>
        <v>0</v>
      </c>
      <c r="BM708" s="360">
        <f t="shared" ref="BM708:BM709" si="2364">+BM704-BJ704</f>
        <v>0</v>
      </c>
      <c r="BN708" s="360">
        <f t="shared" ref="BN708:BN709" si="2365">+BN704-BK704</f>
        <v>0</v>
      </c>
      <c r="BO708" s="360">
        <f>+BN708+BM708</f>
        <v>0</v>
      </c>
      <c r="BP708" s="360">
        <f t="shared" ref="BP708:BP709" si="2366">+BP704-BM704</f>
        <v>0</v>
      </c>
      <c r="BQ708" s="360">
        <f t="shared" ref="BQ708:BQ709" si="2367">+BQ704-BN704</f>
        <v>0</v>
      </c>
      <c r="BR708" s="360">
        <f>+BQ708+BP708</f>
        <v>0</v>
      </c>
    </row>
    <row r="709" spans="2:70" outlineLevel="2">
      <c r="B709" s="5"/>
      <c r="C709" s="477" t="s">
        <v>57</v>
      </c>
      <c r="D709" s="7" t="s">
        <v>85</v>
      </c>
      <c r="AF709" s="360">
        <f>+AF705-AC705</f>
        <v>0</v>
      </c>
      <c r="AG709" s="942">
        <f>+AG705-AD705</f>
        <v>0.5</v>
      </c>
      <c r="AH709" s="360">
        <f>+AG709+AF709</f>
        <v>0.5</v>
      </c>
      <c r="AI709" s="360">
        <f t="shared" si="2344"/>
        <v>0.5</v>
      </c>
      <c r="AJ709" s="360">
        <f t="shared" si="2345"/>
        <v>0.25</v>
      </c>
      <c r="AK709" s="360">
        <f>+AJ709+AI709</f>
        <v>0.75</v>
      </c>
      <c r="AL709" s="360">
        <f t="shared" si="2346"/>
        <v>0.25</v>
      </c>
      <c r="AM709" s="360">
        <f t="shared" si="2347"/>
        <v>0.25</v>
      </c>
      <c r="AN709" s="360">
        <f>+AM709+AL709</f>
        <v>0.5</v>
      </c>
      <c r="AO709" s="360">
        <f t="shared" si="2348"/>
        <v>0.25</v>
      </c>
      <c r="AP709" s="360">
        <f t="shared" si="2349"/>
        <v>0</v>
      </c>
      <c r="AQ709" s="360">
        <f>+AP709+AO709</f>
        <v>0.25</v>
      </c>
      <c r="AR709" s="360">
        <f t="shared" si="2350"/>
        <v>0</v>
      </c>
      <c r="AS709" s="360">
        <f t="shared" si="2351"/>
        <v>0</v>
      </c>
      <c r="AT709" s="360">
        <f>+AS709+AR709</f>
        <v>0</v>
      </c>
      <c r="AU709" s="360">
        <f t="shared" si="2352"/>
        <v>0</v>
      </c>
      <c r="AV709" s="360">
        <f t="shared" si="2353"/>
        <v>0</v>
      </c>
      <c r="AW709" s="360">
        <f>+AV709+AU709</f>
        <v>0</v>
      </c>
      <c r="AX709" s="360">
        <f t="shared" si="2354"/>
        <v>0</v>
      </c>
      <c r="AY709" s="360">
        <f t="shared" si="2355"/>
        <v>0</v>
      </c>
      <c r="AZ709" s="360">
        <f>+AY709+AX709</f>
        <v>0</v>
      </c>
      <c r="BA709" s="360">
        <f t="shared" si="2356"/>
        <v>0</v>
      </c>
      <c r="BB709" s="360">
        <f t="shared" si="2357"/>
        <v>0</v>
      </c>
      <c r="BC709" s="360">
        <f>+BB709+BA709</f>
        <v>0</v>
      </c>
      <c r="BD709" s="360">
        <f t="shared" si="2358"/>
        <v>0</v>
      </c>
      <c r="BE709" s="360">
        <f t="shared" si="2359"/>
        <v>0</v>
      </c>
      <c r="BF709" s="360">
        <f>+BE709+BD709</f>
        <v>0</v>
      </c>
      <c r="BG709" s="360">
        <f t="shared" si="2360"/>
        <v>0</v>
      </c>
      <c r="BH709" s="360">
        <f t="shared" si="2361"/>
        <v>0</v>
      </c>
      <c r="BI709" s="360">
        <f>+BH709+BG709</f>
        <v>0</v>
      </c>
      <c r="BJ709" s="360">
        <f t="shared" si="2362"/>
        <v>0</v>
      </c>
      <c r="BK709" s="360">
        <f t="shared" si="2363"/>
        <v>0</v>
      </c>
      <c r="BL709" s="360">
        <f>+BK709+BJ709</f>
        <v>0</v>
      </c>
      <c r="BM709" s="360">
        <f t="shared" si="2364"/>
        <v>0</v>
      </c>
      <c r="BN709" s="360">
        <f t="shared" si="2365"/>
        <v>0</v>
      </c>
      <c r="BO709" s="360">
        <f>+BN709+BM709</f>
        <v>0</v>
      </c>
      <c r="BP709" s="360">
        <f t="shared" si="2366"/>
        <v>0</v>
      </c>
      <c r="BQ709" s="360">
        <f t="shared" si="2367"/>
        <v>0</v>
      </c>
      <c r="BR709" s="360">
        <f>+BQ709+BP709</f>
        <v>0</v>
      </c>
    </row>
    <row r="710" spans="2:70" outlineLevel="1">
      <c r="B710" s="5"/>
      <c r="C710" s="482" t="s">
        <v>658</v>
      </c>
      <c r="AF710" s="360"/>
      <c r="AG710" s="942"/>
      <c r="AH710" s="24"/>
      <c r="AI710" s="24"/>
      <c r="AJ710" s="24"/>
      <c r="AK710" s="24"/>
      <c r="AL710" s="24"/>
      <c r="AM710" s="24"/>
      <c r="AN710" s="24"/>
    </row>
    <row r="711" spans="2:70" outlineLevel="1">
      <c r="B711" s="5"/>
      <c r="C711" s="95" t="s">
        <v>660</v>
      </c>
      <c r="AF711" s="360"/>
      <c r="AG711" s="942"/>
      <c r="AH711" s="24"/>
      <c r="AI711" s="24"/>
      <c r="AJ711" s="24"/>
      <c r="AK711" s="24"/>
      <c r="AL711" s="24"/>
      <c r="AM711" s="24"/>
      <c r="AN711" s="24"/>
    </row>
    <row r="712" spans="2:70" outlineLevel="1">
      <c r="B712" s="5"/>
      <c r="C712" s="481" t="s">
        <v>80</v>
      </c>
      <c r="E712" s="791">
        <f>SUM(E839,E1071,E1113*(1-14%))</f>
        <v>0</v>
      </c>
      <c r="F712" s="791">
        <f t="shared" ref="F712:AN712" si="2368">SUM(F839,F1071,F1113*(1-14%))</f>
        <v>0</v>
      </c>
      <c r="G712" s="826">
        <f t="shared" si="2368"/>
        <v>0</v>
      </c>
      <c r="H712" s="826">
        <f t="shared" si="2368"/>
        <v>0</v>
      </c>
      <c r="I712" s="826">
        <f t="shared" ref="I712:S712" si="2369">SUM(I839,I1071,I1113*(1-14%))</f>
        <v>1106.1198112201357</v>
      </c>
      <c r="J712" s="826">
        <f t="shared" si="2369"/>
        <v>1106.1198112201357</v>
      </c>
      <c r="K712" s="826">
        <f t="shared" si="2369"/>
        <v>1340.7958825707956</v>
      </c>
      <c r="L712" s="826">
        <f t="shared" si="2369"/>
        <v>230.67702177889223</v>
      </c>
      <c r="M712" s="826">
        <f t="shared" si="2369"/>
        <v>1571.4729043496877</v>
      </c>
      <c r="N712" s="826">
        <f t="shared" si="2369"/>
        <v>10.75</v>
      </c>
      <c r="O712" s="826">
        <f t="shared" si="2369"/>
        <v>0</v>
      </c>
      <c r="P712" s="826">
        <f t="shared" si="2369"/>
        <v>10.75</v>
      </c>
      <c r="Q712" s="826">
        <f t="shared" si="2369"/>
        <v>0</v>
      </c>
      <c r="R712" s="826">
        <f t="shared" si="2369"/>
        <v>0</v>
      </c>
      <c r="S712" s="826">
        <f t="shared" si="2369"/>
        <v>0</v>
      </c>
      <c r="T712" s="826">
        <f t="shared" si="2368"/>
        <v>0</v>
      </c>
      <c r="U712" s="826">
        <f t="shared" si="2368"/>
        <v>0</v>
      </c>
      <c r="V712" s="826">
        <f t="shared" si="2368"/>
        <v>0</v>
      </c>
      <c r="W712" s="826">
        <f t="shared" si="2368"/>
        <v>0</v>
      </c>
      <c r="X712" s="826">
        <f t="shared" si="2368"/>
        <v>0</v>
      </c>
      <c r="Y712" s="826">
        <f t="shared" si="2368"/>
        <v>0</v>
      </c>
      <c r="Z712" s="826">
        <f t="shared" si="2368"/>
        <v>36.721250000000005</v>
      </c>
      <c r="AA712" s="826">
        <f t="shared" si="2368"/>
        <v>32.018884615384614</v>
      </c>
      <c r="AB712" s="826">
        <f t="shared" si="2368"/>
        <v>68.740134615384619</v>
      </c>
      <c r="AC712" s="826">
        <f t="shared" si="2368"/>
        <v>0</v>
      </c>
      <c r="AD712" s="826">
        <f t="shared" si="2368"/>
        <v>0</v>
      </c>
      <c r="AE712" s="846">
        <f t="shared" si="2368"/>
        <v>0</v>
      </c>
      <c r="AF712" s="26">
        <f t="shared" si="2368"/>
        <v>0</v>
      </c>
      <c r="AG712" s="933">
        <f t="shared" si="2368"/>
        <v>0</v>
      </c>
      <c r="AH712" s="18">
        <f t="shared" si="2368"/>
        <v>0</v>
      </c>
      <c r="AI712" s="18">
        <f t="shared" si="2368"/>
        <v>0</v>
      </c>
      <c r="AJ712" s="18">
        <f t="shared" si="2368"/>
        <v>0</v>
      </c>
      <c r="AK712" s="18">
        <f t="shared" si="2368"/>
        <v>0</v>
      </c>
      <c r="AL712" s="18">
        <f t="shared" si="2368"/>
        <v>0</v>
      </c>
      <c r="AM712" s="18">
        <f t="shared" si="2368"/>
        <v>0</v>
      </c>
      <c r="AN712" s="18">
        <f t="shared" si="2368"/>
        <v>0</v>
      </c>
      <c r="AO712" s="18">
        <f t="shared" ref="AO712:BR712" si="2370">SUM(AO839,AO1071,AO1113*(1-14%))</f>
        <v>0</v>
      </c>
      <c r="AP712" s="18">
        <f t="shared" si="2370"/>
        <v>0</v>
      </c>
      <c r="AQ712" s="18">
        <f t="shared" si="2370"/>
        <v>0</v>
      </c>
      <c r="AR712" s="18">
        <f t="shared" si="2370"/>
        <v>0</v>
      </c>
      <c r="AS712" s="18">
        <f t="shared" si="2370"/>
        <v>0</v>
      </c>
      <c r="AT712" s="18">
        <f t="shared" si="2370"/>
        <v>0</v>
      </c>
      <c r="AU712" s="18">
        <f t="shared" si="2370"/>
        <v>0</v>
      </c>
      <c r="AV712" s="18">
        <f t="shared" si="2370"/>
        <v>0</v>
      </c>
      <c r="AW712" s="18">
        <f t="shared" si="2370"/>
        <v>0</v>
      </c>
      <c r="AX712" s="18">
        <f t="shared" si="2370"/>
        <v>0</v>
      </c>
      <c r="AY712" s="18">
        <f t="shared" si="2370"/>
        <v>0</v>
      </c>
      <c r="AZ712" s="18">
        <f t="shared" si="2370"/>
        <v>0</v>
      </c>
      <c r="BA712" s="18">
        <f t="shared" si="2370"/>
        <v>0</v>
      </c>
      <c r="BB712" s="18">
        <f t="shared" si="2370"/>
        <v>0</v>
      </c>
      <c r="BC712" s="18">
        <f t="shared" si="2370"/>
        <v>0</v>
      </c>
      <c r="BD712" s="18">
        <f t="shared" si="2370"/>
        <v>0</v>
      </c>
      <c r="BE712" s="18">
        <f t="shared" si="2370"/>
        <v>0</v>
      </c>
      <c r="BF712" s="18">
        <f t="shared" si="2370"/>
        <v>0</v>
      </c>
      <c r="BG712" s="18">
        <f t="shared" si="2370"/>
        <v>0</v>
      </c>
      <c r="BH712" s="18">
        <f t="shared" si="2370"/>
        <v>0</v>
      </c>
      <c r="BI712" s="18">
        <f t="shared" si="2370"/>
        <v>0</v>
      </c>
      <c r="BJ712" s="18">
        <f t="shared" si="2370"/>
        <v>0</v>
      </c>
      <c r="BK712" s="18">
        <f t="shared" si="2370"/>
        <v>0</v>
      </c>
      <c r="BL712" s="18">
        <f t="shared" si="2370"/>
        <v>0</v>
      </c>
      <c r="BM712" s="18">
        <f t="shared" si="2370"/>
        <v>0</v>
      </c>
      <c r="BN712" s="18">
        <f t="shared" si="2370"/>
        <v>0</v>
      </c>
      <c r="BO712" s="18">
        <f t="shared" si="2370"/>
        <v>0</v>
      </c>
      <c r="BP712" s="18">
        <f t="shared" si="2370"/>
        <v>0</v>
      </c>
      <c r="BQ712" s="18">
        <f t="shared" si="2370"/>
        <v>0</v>
      </c>
      <c r="BR712" s="18">
        <f t="shared" si="2370"/>
        <v>0</v>
      </c>
    </row>
    <row r="713" spans="2:70" outlineLevel="1">
      <c r="B713" s="5"/>
      <c r="C713" s="481" t="s">
        <v>81</v>
      </c>
      <c r="E713" s="791">
        <f>SUM(E757,E797,E1092)</f>
        <v>0</v>
      </c>
      <c r="F713" s="791">
        <f>SUM(F757,F797,F1092)</f>
        <v>0</v>
      </c>
      <c r="G713" s="826">
        <f t="shared" ref="G713" si="2371">SUM(G757,G797,G1092)</f>
        <v>0</v>
      </c>
      <c r="H713" s="826">
        <f>SUM(H757,H797,H1092)</f>
        <v>0</v>
      </c>
      <c r="I713" s="826">
        <f>SUM(I757,I797,I1092)</f>
        <v>0</v>
      </c>
      <c r="J713" s="826">
        <f t="shared" ref="J713" si="2372">SUM(J757,J797,J1092)</f>
        <v>0</v>
      </c>
      <c r="K713" s="826">
        <f t="shared" ref="K713:U713" si="2373">SUM(K757,K797,K1092)</f>
        <v>24.518713093335705</v>
      </c>
      <c r="L713" s="826">
        <f t="shared" si="2373"/>
        <v>23.136426118482134</v>
      </c>
      <c r="M713" s="826">
        <f t="shared" si="2373"/>
        <v>47.65513921181784</v>
      </c>
      <c r="N713" s="826">
        <f t="shared" si="2373"/>
        <v>0</v>
      </c>
      <c r="O713" s="826">
        <f t="shared" si="2373"/>
        <v>0</v>
      </c>
      <c r="P713" s="826">
        <f t="shared" si="2373"/>
        <v>0</v>
      </c>
      <c r="Q713" s="826">
        <f t="shared" si="2373"/>
        <v>0</v>
      </c>
      <c r="R713" s="826">
        <f t="shared" si="2373"/>
        <v>0</v>
      </c>
      <c r="S713" s="826">
        <f t="shared" si="2373"/>
        <v>0</v>
      </c>
      <c r="T713" s="826">
        <f t="shared" si="2373"/>
        <v>0</v>
      </c>
      <c r="U713" s="826">
        <f t="shared" si="2373"/>
        <v>0</v>
      </c>
      <c r="V713" s="826">
        <f t="shared" ref="V713" si="2374">SUM(V757,V797,V1092)</f>
        <v>0</v>
      </c>
      <c r="W713" s="826">
        <f>SUM(W757,W797,W1092)</f>
        <v>0</v>
      </c>
      <c r="X713" s="826">
        <f>SUM(X757,X797,X1092)</f>
        <v>0</v>
      </c>
      <c r="Y713" s="826">
        <f t="shared" ref="Y713" si="2375">SUM(Y757,Y797,Y1092)</f>
        <v>0</v>
      </c>
      <c r="Z713" s="826">
        <f>SUM(Z757,Z797,Z1092)</f>
        <v>0</v>
      </c>
      <c r="AA713" s="826">
        <f>SUM(AA757,AA797,AA1092)</f>
        <v>46.852003983071953</v>
      </c>
      <c r="AB713" s="826">
        <f t="shared" ref="AB713" si="2376">SUM(AB757,AB797,AB1092)</f>
        <v>46.852003983071953</v>
      </c>
      <c r="AC713" s="826">
        <f>SUM(AC757,AC797,AC1092)</f>
        <v>160.99865951742623</v>
      </c>
      <c r="AD713" s="826">
        <f>SUM(AD757,AD797,AD1092)</f>
        <v>114.89634005096133</v>
      </c>
      <c r="AE713" s="846">
        <f t="shared" ref="AE713" si="2377">SUM(AE757,AE797,AE1092)</f>
        <v>275.89499956838756</v>
      </c>
      <c r="AF713" s="171">
        <f>SUM(AF757,AF797,AF1092)</f>
        <v>0</v>
      </c>
      <c r="AG713" s="937">
        <f>SUM(AG757,AG797,AG1092)</f>
        <v>0</v>
      </c>
      <c r="AH713" s="347">
        <f t="shared" ref="AH713:AN713" si="2378">SUM(AH757,AH797,AH1092)</f>
        <v>0</v>
      </c>
      <c r="AI713" s="347">
        <f t="shared" si="2378"/>
        <v>0</v>
      </c>
      <c r="AJ713" s="347">
        <f t="shared" si="2378"/>
        <v>0</v>
      </c>
      <c r="AK713" s="347">
        <f t="shared" si="2378"/>
        <v>0</v>
      </c>
      <c r="AL713" s="347">
        <f t="shared" si="2378"/>
        <v>0</v>
      </c>
      <c r="AM713" s="347">
        <f t="shared" si="2378"/>
        <v>0</v>
      </c>
      <c r="AN713" s="347">
        <f t="shared" si="2378"/>
        <v>0</v>
      </c>
      <c r="AO713" s="347">
        <f t="shared" ref="AO713:BR713" si="2379">SUM(AO757,AO797,AO1092)</f>
        <v>0</v>
      </c>
      <c r="AP713" s="347">
        <f t="shared" si="2379"/>
        <v>0</v>
      </c>
      <c r="AQ713" s="347">
        <f t="shared" si="2379"/>
        <v>0</v>
      </c>
      <c r="AR713" s="347">
        <f t="shared" si="2379"/>
        <v>0</v>
      </c>
      <c r="AS713" s="347">
        <f t="shared" si="2379"/>
        <v>0</v>
      </c>
      <c r="AT713" s="347">
        <f t="shared" si="2379"/>
        <v>0</v>
      </c>
      <c r="AU713" s="347">
        <f t="shared" si="2379"/>
        <v>0</v>
      </c>
      <c r="AV713" s="347">
        <f t="shared" si="2379"/>
        <v>0</v>
      </c>
      <c r="AW713" s="347">
        <f t="shared" si="2379"/>
        <v>0</v>
      </c>
      <c r="AX713" s="347">
        <f t="shared" si="2379"/>
        <v>0</v>
      </c>
      <c r="AY713" s="347">
        <f t="shared" si="2379"/>
        <v>0</v>
      </c>
      <c r="AZ713" s="347">
        <f t="shared" si="2379"/>
        <v>0</v>
      </c>
      <c r="BA713" s="347">
        <f t="shared" si="2379"/>
        <v>0</v>
      </c>
      <c r="BB713" s="347">
        <f t="shared" si="2379"/>
        <v>0</v>
      </c>
      <c r="BC713" s="347">
        <f t="shared" si="2379"/>
        <v>0</v>
      </c>
      <c r="BD713" s="347">
        <f t="shared" si="2379"/>
        <v>0</v>
      </c>
      <c r="BE713" s="347">
        <f t="shared" si="2379"/>
        <v>0</v>
      </c>
      <c r="BF713" s="347">
        <f t="shared" si="2379"/>
        <v>0</v>
      </c>
      <c r="BG713" s="347">
        <f t="shared" si="2379"/>
        <v>0</v>
      </c>
      <c r="BH713" s="347">
        <f t="shared" si="2379"/>
        <v>0</v>
      </c>
      <c r="BI713" s="347">
        <f t="shared" si="2379"/>
        <v>0</v>
      </c>
      <c r="BJ713" s="347">
        <f t="shared" si="2379"/>
        <v>0</v>
      </c>
      <c r="BK713" s="347">
        <f t="shared" si="2379"/>
        <v>0</v>
      </c>
      <c r="BL713" s="347">
        <f t="shared" si="2379"/>
        <v>0</v>
      </c>
      <c r="BM713" s="347">
        <f t="shared" si="2379"/>
        <v>0</v>
      </c>
      <c r="BN713" s="347">
        <f t="shared" si="2379"/>
        <v>0</v>
      </c>
      <c r="BO713" s="347">
        <f t="shared" si="2379"/>
        <v>0</v>
      </c>
      <c r="BP713" s="347">
        <f t="shared" si="2379"/>
        <v>0</v>
      </c>
      <c r="BQ713" s="347">
        <f t="shared" si="2379"/>
        <v>0</v>
      </c>
      <c r="BR713" s="347">
        <f t="shared" si="2379"/>
        <v>0</v>
      </c>
    </row>
    <row r="714" spans="2:70" outlineLevel="1">
      <c r="B714" s="5"/>
      <c r="C714" s="481" t="s">
        <v>82</v>
      </c>
      <c r="E714" s="791">
        <f>E818+E965+E1007+(E1113*14%)</f>
        <v>0</v>
      </c>
      <c r="F714" s="791">
        <f t="shared" ref="F714:AN714" si="2380">F818+F965+F1007+(F1113*14%)</f>
        <v>0</v>
      </c>
      <c r="G714" s="826">
        <f t="shared" si="2380"/>
        <v>0</v>
      </c>
      <c r="H714" s="826">
        <f t="shared" si="2380"/>
        <v>0</v>
      </c>
      <c r="I714" s="826">
        <f t="shared" ref="I714:S714" si="2381">I818+I965+I1007+(I1113*14%)</f>
        <v>180.0660157800221</v>
      </c>
      <c r="J714" s="826">
        <f t="shared" si="2381"/>
        <v>180.0660157800221</v>
      </c>
      <c r="K714" s="826">
        <f t="shared" si="2381"/>
        <v>216.51909716268767</v>
      </c>
      <c r="L714" s="826">
        <f t="shared" si="2381"/>
        <v>34.052073312842928</v>
      </c>
      <c r="M714" s="826">
        <f t="shared" si="2381"/>
        <v>250.57117047553058</v>
      </c>
      <c r="N714" s="826">
        <f t="shared" si="2381"/>
        <v>0</v>
      </c>
      <c r="O714" s="826">
        <f t="shared" si="2381"/>
        <v>0</v>
      </c>
      <c r="P714" s="826">
        <f t="shared" si="2381"/>
        <v>0</v>
      </c>
      <c r="Q714" s="826">
        <f t="shared" si="2381"/>
        <v>11.770707173020476</v>
      </c>
      <c r="R714" s="826">
        <f t="shared" si="2381"/>
        <v>43.407930798473352</v>
      </c>
      <c r="S714" s="826">
        <f t="shared" si="2381"/>
        <v>55.178637971493828</v>
      </c>
      <c r="T714" s="826">
        <f t="shared" si="2380"/>
        <v>46.909020618556696</v>
      </c>
      <c r="U714" s="826">
        <f t="shared" si="2380"/>
        <v>15.332029452370001</v>
      </c>
      <c r="V714" s="826">
        <f t="shared" si="2380"/>
        <v>62.241050070926697</v>
      </c>
      <c r="W714" s="826">
        <f t="shared" si="2380"/>
        <v>0</v>
      </c>
      <c r="X714" s="826">
        <f t="shared" si="2380"/>
        <v>0</v>
      </c>
      <c r="Y714" s="826">
        <f t="shared" si="2380"/>
        <v>0</v>
      </c>
      <c r="Z714" s="826">
        <f t="shared" si="2380"/>
        <v>16.450560606060602</v>
      </c>
      <c r="AA714" s="826">
        <f t="shared" si="2380"/>
        <v>24.301846153846153</v>
      </c>
      <c r="AB714" s="826">
        <f t="shared" si="2380"/>
        <v>40.752406759906755</v>
      </c>
      <c r="AC714" s="826">
        <f t="shared" si="2380"/>
        <v>9.3006734654234702</v>
      </c>
      <c r="AD714" s="826">
        <f t="shared" si="2380"/>
        <v>0</v>
      </c>
      <c r="AE714" s="846">
        <f t="shared" si="2380"/>
        <v>9.3006734654234702</v>
      </c>
      <c r="AF714" s="171">
        <f t="shared" si="2380"/>
        <v>0</v>
      </c>
      <c r="AG714" s="937">
        <f t="shared" si="2380"/>
        <v>0</v>
      </c>
      <c r="AH714" s="347">
        <f t="shared" si="2380"/>
        <v>0</v>
      </c>
      <c r="AI714" s="347">
        <f t="shared" si="2380"/>
        <v>0</v>
      </c>
      <c r="AJ714" s="347">
        <f t="shared" si="2380"/>
        <v>0</v>
      </c>
      <c r="AK714" s="347">
        <f t="shared" si="2380"/>
        <v>0</v>
      </c>
      <c r="AL714" s="347">
        <f t="shared" si="2380"/>
        <v>0</v>
      </c>
      <c r="AM714" s="347">
        <f t="shared" si="2380"/>
        <v>0</v>
      </c>
      <c r="AN714" s="347">
        <f t="shared" si="2380"/>
        <v>0</v>
      </c>
      <c r="AO714" s="347">
        <f t="shared" ref="AO714:BR714" si="2382">AO818+AO965+AO1007+(AO1113*14%)</f>
        <v>0</v>
      </c>
      <c r="AP714" s="347">
        <f t="shared" si="2382"/>
        <v>0</v>
      </c>
      <c r="AQ714" s="347">
        <f t="shared" si="2382"/>
        <v>0</v>
      </c>
      <c r="AR714" s="347">
        <f t="shared" si="2382"/>
        <v>0</v>
      </c>
      <c r="AS714" s="347">
        <f t="shared" si="2382"/>
        <v>0</v>
      </c>
      <c r="AT714" s="347">
        <f t="shared" si="2382"/>
        <v>0</v>
      </c>
      <c r="AU714" s="347">
        <f t="shared" si="2382"/>
        <v>0</v>
      </c>
      <c r="AV714" s="347">
        <f t="shared" si="2382"/>
        <v>0</v>
      </c>
      <c r="AW714" s="347">
        <f t="shared" si="2382"/>
        <v>0</v>
      </c>
      <c r="AX714" s="347">
        <f t="shared" si="2382"/>
        <v>0</v>
      </c>
      <c r="AY714" s="347">
        <f t="shared" si="2382"/>
        <v>0</v>
      </c>
      <c r="AZ714" s="347">
        <f t="shared" si="2382"/>
        <v>0</v>
      </c>
      <c r="BA714" s="347">
        <f t="shared" si="2382"/>
        <v>0</v>
      </c>
      <c r="BB714" s="347">
        <f t="shared" si="2382"/>
        <v>0</v>
      </c>
      <c r="BC714" s="347">
        <f t="shared" si="2382"/>
        <v>0</v>
      </c>
      <c r="BD714" s="347">
        <f t="shared" si="2382"/>
        <v>0</v>
      </c>
      <c r="BE714" s="347">
        <f t="shared" si="2382"/>
        <v>0</v>
      </c>
      <c r="BF714" s="347">
        <f t="shared" si="2382"/>
        <v>0</v>
      </c>
      <c r="BG714" s="347">
        <f t="shared" si="2382"/>
        <v>0</v>
      </c>
      <c r="BH714" s="347">
        <f t="shared" si="2382"/>
        <v>0</v>
      </c>
      <c r="BI714" s="347">
        <f t="shared" si="2382"/>
        <v>0</v>
      </c>
      <c r="BJ714" s="347">
        <f t="shared" si="2382"/>
        <v>0</v>
      </c>
      <c r="BK714" s="347">
        <f t="shared" si="2382"/>
        <v>0</v>
      </c>
      <c r="BL714" s="347">
        <f t="shared" si="2382"/>
        <v>0</v>
      </c>
      <c r="BM714" s="347">
        <f t="shared" si="2382"/>
        <v>0</v>
      </c>
      <c r="BN714" s="347">
        <f t="shared" si="2382"/>
        <v>0</v>
      </c>
      <c r="BO714" s="347">
        <f t="shared" si="2382"/>
        <v>0</v>
      </c>
      <c r="BP714" s="347">
        <f t="shared" si="2382"/>
        <v>0</v>
      </c>
      <c r="BQ714" s="347">
        <f t="shared" si="2382"/>
        <v>0</v>
      </c>
      <c r="BR714" s="347">
        <f t="shared" si="2382"/>
        <v>0</v>
      </c>
    </row>
    <row r="715" spans="2:70" outlineLevel="1">
      <c r="B715" s="5"/>
      <c r="C715" s="481" t="s">
        <v>83</v>
      </c>
      <c r="E715" s="791">
        <f t="shared" ref="E715:AN715" si="2383">SUM(E737,E777,E860,E881,E902,E923,E944,E986,E1029,E1050)</f>
        <v>0</v>
      </c>
      <c r="F715" s="791">
        <f t="shared" si="2383"/>
        <v>0</v>
      </c>
      <c r="G715" s="826">
        <f t="shared" si="2383"/>
        <v>0</v>
      </c>
      <c r="H715" s="826">
        <f t="shared" si="2383"/>
        <v>0</v>
      </c>
      <c r="I715" s="826">
        <f t="shared" si="2383"/>
        <v>0</v>
      </c>
      <c r="J715" s="826">
        <f t="shared" si="2383"/>
        <v>0</v>
      </c>
      <c r="K715" s="826">
        <f t="shared" si="2383"/>
        <v>0</v>
      </c>
      <c r="L715" s="826">
        <f t="shared" ref="L715:AF715" si="2384">SUM(L737,L777,L860,L881,L902,L923,L944,L986,L1029,L1050)</f>
        <v>11.045290212967464</v>
      </c>
      <c r="M715" s="826">
        <f t="shared" si="2384"/>
        <v>11.045290212967464</v>
      </c>
      <c r="N715" s="826">
        <f t="shared" si="2384"/>
        <v>11.209063599858739</v>
      </c>
      <c r="O715" s="826">
        <f t="shared" si="2384"/>
        <v>23.214866195799821</v>
      </c>
      <c r="P715" s="826">
        <f t="shared" si="2384"/>
        <v>34.423929795658559</v>
      </c>
      <c r="Q715" s="826">
        <f t="shared" si="2384"/>
        <v>144.01141959804448</v>
      </c>
      <c r="R715" s="826">
        <f t="shared" si="2384"/>
        <v>120.50030733249478</v>
      </c>
      <c r="S715" s="826">
        <f t="shared" si="2384"/>
        <v>264.51172693053928</v>
      </c>
      <c r="T715" s="826">
        <f t="shared" si="2384"/>
        <v>14.656149402104123</v>
      </c>
      <c r="U715" s="826">
        <f t="shared" si="2384"/>
        <v>35.205967920315778</v>
      </c>
      <c r="V715" s="826">
        <f t="shared" si="2384"/>
        <v>49.862117322419905</v>
      </c>
      <c r="W715" s="826">
        <f t="shared" si="2384"/>
        <v>39.274693574553126</v>
      </c>
      <c r="X715" s="826">
        <f t="shared" si="2384"/>
        <v>20.137665983331864</v>
      </c>
      <c r="Y715" s="826">
        <f t="shared" si="2384"/>
        <v>59.412359557884983</v>
      </c>
      <c r="Z715" s="826">
        <f t="shared" si="2384"/>
        <v>40.211566937694101</v>
      </c>
      <c r="AA715" s="826">
        <f t="shared" si="2384"/>
        <v>34.385696391896943</v>
      </c>
      <c r="AB715" s="826">
        <f t="shared" si="2384"/>
        <v>74.59726332959103</v>
      </c>
      <c r="AC715" s="826">
        <f t="shared" si="2384"/>
        <v>11.925826630920463</v>
      </c>
      <c r="AD715" s="826">
        <f t="shared" si="2384"/>
        <v>18.93768820940468</v>
      </c>
      <c r="AE715" s="846">
        <f t="shared" si="2384"/>
        <v>30.863514840325141</v>
      </c>
      <c r="AF715" s="26">
        <f t="shared" si="2384"/>
        <v>11.904233870967742</v>
      </c>
      <c r="AG715" s="933">
        <f t="shared" si="2383"/>
        <v>0</v>
      </c>
      <c r="AH715" s="18">
        <f>SUM(AH737,AH777,AH860,AH881,AH902,AH923,AH944,AH986,AH1029,AH1050)</f>
        <v>11.904233870967742</v>
      </c>
      <c r="AI715" s="18">
        <f t="shared" si="2383"/>
        <v>0</v>
      </c>
      <c r="AJ715" s="18">
        <f t="shared" si="2383"/>
        <v>0</v>
      </c>
      <c r="AK715" s="18">
        <f t="shared" si="2383"/>
        <v>0</v>
      </c>
      <c r="AL715" s="18">
        <f t="shared" si="2383"/>
        <v>0</v>
      </c>
      <c r="AM715" s="18">
        <f t="shared" si="2383"/>
        <v>0</v>
      </c>
      <c r="AN715" s="18">
        <f t="shared" si="2383"/>
        <v>0</v>
      </c>
      <c r="AO715" s="18">
        <f t="shared" ref="AO715:BR715" si="2385">SUM(AO737,AO777,AO860,AO881,AO902,AO923,AO944,AO986,AO1029,AO1050)</f>
        <v>0</v>
      </c>
      <c r="AP715" s="18">
        <f t="shared" si="2385"/>
        <v>0</v>
      </c>
      <c r="AQ715" s="18">
        <f t="shared" si="2385"/>
        <v>0</v>
      </c>
      <c r="AR715" s="18">
        <f t="shared" si="2385"/>
        <v>0</v>
      </c>
      <c r="AS715" s="18">
        <f t="shared" si="2385"/>
        <v>0</v>
      </c>
      <c r="AT715" s="18">
        <f t="shared" si="2385"/>
        <v>0</v>
      </c>
      <c r="AU715" s="18">
        <f t="shared" si="2385"/>
        <v>0</v>
      </c>
      <c r="AV715" s="18">
        <f t="shared" si="2385"/>
        <v>0</v>
      </c>
      <c r="AW715" s="18">
        <f t="shared" si="2385"/>
        <v>0</v>
      </c>
      <c r="AX715" s="18">
        <f t="shared" si="2385"/>
        <v>0</v>
      </c>
      <c r="AY715" s="18">
        <f t="shared" si="2385"/>
        <v>0</v>
      </c>
      <c r="AZ715" s="18">
        <f t="shared" si="2385"/>
        <v>0</v>
      </c>
      <c r="BA715" s="18">
        <f t="shared" si="2385"/>
        <v>0</v>
      </c>
      <c r="BB715" s="18">
        <f t="shared" si="2385"/>
        <v>0</v>
      </c>
      <c r="BC715" s="18">
        <f t="shared" si="2385"/>
        <v>0</v>
      </c>
      <c r="BD715" s="18">
        <f t="shared" si="2385"/>
        <v>0</v>
      </c>
      <c r="BE715" s="18">
        <f t="shared" si="2385"/>
        <v>0</v>
      </c>
      <c r="BF715" s="18">
        <f t="shared" si="2385"/>
        <v>0</v>
      </c>
      <c r="BG715" s="18">
        <f t="shared" si="2385"/>
        <v>0</v>
      </c>
      <c r="BH715" s="18">
        <f t="shared" si="2385"/>
        <v>0</v>
      </c>
      <c r="BI715" s="18">
        <f t="shared" si="2385"/>
        <v>0</v>
      </c>
      <c r="BJ715" s="18">
        <f t="shared" si="2385"/>
        <v>0</v>
      </c>
      <c r="BK715" s="18">
        <f t="shared" si="2385"/>
        <v>0</v>
      </c>
      <c r="BL715" s="18">
        <f t="shared" si="2385"/>
        <v>0</v>
      </c>
      <c r="BM715" s="18">
        <f t="shared" si="2385"/>
        <v>0</v>
      </c>
      <c r="BN715" s="18">
        <f t="shared" si="2385"/>
        <v>0</v>
      </c>
      <c r="BO715" s="18">
        <f t="shared" si="2385"/>
        <v>0</v>
      </c>
      <c r="BP715" s="18">
        <f t="shared" si="2385"/>
        <v>0</v>
      </c>
      <c r="BQ715" s="18">
        <f t="shared" si="2385"/>
        <v>0</v>
      </c>
      <c r="BR715" s="18">
        <f t="shared" si="2385"/>
        <v>0</v>
      </c>
    </row>
    <row r="716" spans="2:70" outlineLevel="1">
      <c r="B716" s="5"/>
      <c r="C716" s="457" t="s">
        <v>661</v>
      </c>
      <c r="E716" s="751">
        <f>SUM(E712:E715)</f>
        <v>0</v>
      </c>
      <c r="F716" s="751">
        <f t="shared" ref="F716:H716" si="2386">SUM(F712:F715)</f>
        <v>0</v>
      </c>
      <c r="G716" s="64">
        <f t="shared" si="2386"/>
        <v>0</v>
      </c>
      <c r="H716" s="64">
        <f t="shared" si="2386"/>
        <v>0</v>
      </c>
      <c r="I716" s="64">
        <f t="shared" ref="I716:AF716" si="2387">SUM(I712:I715)</f>
        <v>1286.1858270001578</v>
      </c>
      <c r="J716" s="64">
        <f t="shared" si="2387"/>
        <v>1286.1858270001578</v>
      </c>
      <c r="K716" s="64">
        <f t="shared" si="2387"/>
        <v>1581.8336928268191</v>
      </c>
      <c r="L716" s="64">
        <f t="shared" si="2387"/>
        <v>298.91081142318478</v>
      </c>
      <c r="M716" s="64">
        <f t="shared" si="2387"/>
        <v>1880.7445042500037</v>
      </c>
      <c r="N716" s="64">
        <f t="shared" si="2387"/>
        <v>21.959063599858737</v>
      </c>
      <c r="O716" s="64">
        <f t="shared" si="2387"/>
        <v>23.214866195799821</v>
      </c>
      <c r="P716" s="64">
        <f t="shared" si="2387"/>
        <v>45.173929795658559</v>
      </c>
      <c r="Q716" s="64">
        <f t="shared" si="2387"/>
        <v>155.78212677106495</v>
      </c>
      <c r="R716" s="64">
        <f t="shared" si="2387"/>
        <v>163.90823813096813</v>
      </c>
      <c r="S716" s="64">
        <f t="shared" si="2387"/>
        <v>319.69036490203314</v>
      </c>
      <c r="T716" s="64">
        <f t="shared" si="2387"/>
        <v>61.565170020660815</v>
      </c>
      <c r="U716" s="64">
        <f t="shared" si="2387"/>
        <v>50.53799737268578</v>
      </c>
      <c r="V716" s="64">
        <f t="shared" si="2387"/>
        <v>112.10316739334661</v>
      </c>
      <c r="W716" s="64">
        <f t="shared" si="2387"/>
        <v>39.274693574553126</v>
      </c>
      <c r="X716" s="64">
        <f t="shared" si="2387"/>
        <v>20.137665983331864</v>
      </c>
      <c r="Y716" s="64">
        <f t="shared" si="2387"/>
        <v>59.412359557884983</v>
      </c>
      <c r="Z716" s="64">
        <f t="shared" si="2387"/>
        <v>93.383377543754705</v>
      </c>
      <c r="AA716" s="64">
        <f t="shared" si="2387"/>
        <v>137.55843114419966</v>
      </c>
      <c r="AB716" s="64">
        <f t="shared" si="2387"/>
        <v>230.94180868795434</v>
      </c>
      <c r="AC716" s="64">
        <f t="shared" si="2387"/>
        <v>182.22515961377016</v>
      </c>
      <c r="AD716" s="64">
        <f t="shared" si="2387"/>
        <v>133.83402826036601</v>
      </c>
      <c r="AE716" s="341">
        <f t="shared" si="2387"/>
        <v>316.05918787413617</v>
      </c>
      <c r="AF716" s="341">
        <f t="shared" si="2387"/>
        <v>11.904233870967742</v>
      </c>
      <c r="AG716" s="934">
        <f t="shared" ref="AG716" si="2388">SUM(AG712:AG715)</f>
        <v>0</v>
      </c>
      <c r="AH716" s="64">
        <f>SUM(AH712:AH715)</f>
        <v>11.904233870967742</v>
      </c>
      <c r="AI716" s="64">
        <f t="shared" ref="AI716" si="2389">SUM(AI712:AI715)</f>
        <v>0</v>
      </c>
      <c r="AJ716" s="64">
        <f t="shared" ref="AJ716" si="2390">SUM(AJ712:AJ715)</f>
        <v>0</v>
      </c>
      <c r="AK716" s="64">
        <f t="shared" ref="AK716" si="2391">SUM(AK712:AK715)</f>
        <v>0</v>
      </c>
      <c r="AL716" s="64">
        <f t="shared" ref="AL716" si="2392">SUM(AL712:AL715)</f>
        <v>0</v>
      </c>
      <c r="AM716" s="64">
        <f t="shared" ref="AM716" si="2393">SUM(AM712:AM715)</f>
        <v>0</v>
      </c>
      <c r="AN716" s="64">
        <f t="shared" ref="AN716:AP716" si="2394">SUM(AN712:AN715)</f>
        <v>0</v>
      </c>
      <c r="AO716" s="64">
        <f t="shared" si="2394"/>
        <v>0</v>
      </c>
      <c r="AP716" s="64">
        <f t="shared" si="2394"/>
        <v>0</v>
      </c>
      <c r="AQ716" s="64">
        <f t="shared" ref="AQ716:BR716" si="2395">SUM(AQ712:AQ715)</f>
        <v>0</v>
      </c>
      <c r="AR716" s="64">
        <f t="shared" si="2395"/>
        <v>0</v>
      </c>
      <c r="AS716" s="64">
        <f t="shared" si="2395"/>
        <v>0</v>
      </c>
      <c r="AT716" s="64">
        <f t="shared" si="2395"/>
        <v>0</v>
      </c>
      <c r="AU716" s="64">
        <f t="shared" si="2395"/>
        <v>0</v>
      </c>
      <c r="AV716" s="64">
        <f t="shared" si="2395"/>
        <v>0</v>
      </c>
      <c r="AW716" s="64">
        <f t="shared" si="2395"/>
        <v>0</v>
      </c>
      <c r="AX716" s="64">
        <f t="shared" si="2395"/>
        <v>0</v>
      </c>
      <c r="AY716" s="64">
        <f t="shared" si="2395"/>
        <v>0</v>
      </c>
      <c r="AZ716" s="64">
        <f t="shared" si="2395"/>
        <v>0</v>
      </c>
      <c r="BA716" s="64">
        <f t="shared" si="2395"/>
        <v>0</v>
      </c>
      <c r="BB716" s="64">
        <f t="shared" si="2395"/>
        <v>0</v>
      </c>
      <c r="BC716" s="64">
        <f t="shared" si="2395"/>
        <v>0</v>
      </c>
      <c r="BD716" s="64">
        <f t="shared" si="2395"/>
        <v>0</v>
      </c>
      <c r="BE716" s="64">
        <f t="shared" si="2395"/>
        <v>0</v>
      </c>
      <c r="BF716" s="64">
        <f t="shared" si="2395"/>
        <v>0</v>
      </c>
      <c r="BG716" s="64">
        <f t="shared" si="2395"/>
        <v>0</v>
      </c>
      <c r="BH716" s="64">
        <f t="shared" si="2395"/>
        <v>0</v>
      </c>
      <c r="BI716" s="64">
        <f t="shared" si="2395"/>
        <v>0</v>
      </c>
      <c r="BJ716" s="64">
        <f t="shared" si="2395"/>
        <v>0</v>
      </c>
      <c r="BK716" s="64">
        <f t="shared" si="2395"/>
        <v>0</v>
      </c>
      <c r="BL716" s="64">
        <f t="shared" si="2395"/>
        <v>0</v>
      </c>
      <c r="BM716" s="64">
        <f t="shared" si="2395"/>
        <v>0</v>
      </c>
      <c r="BN716" s="64">
        <f t="shared" si="2395"/>
        <v>0</v>
      </c>
      <c r="BO716" s="64">
        <f t="shared" si="2395"/>
        <v>0</v>
      </c>
      <c r="BP716" s="64">
        <f t="shared" si="2395"/>
        <v>0</v>
      </c>
      <c r="BQ716" s="64">
        <f t="shared" si="2395"/>
        <v>0</v>
      </c>
      <c r="BR716" s="64">
        <f t="shared" si="2395"/>
        <v>0</v>
      </c>
    </row>
    <row r="717" spans="2:70" outlineLevel="1">
      <c r="B717" s="5"/>
      <c r="C717" s="469" t="s">
        <v>268</v>
      </c>
      <c r="E717" s="750">
        <f t="shared" ref="E717:AN717" si="2396">SUM(E840,E1072,E758,E798,E966,E1008,E1093,E1114,E819,E738,E778,E861,E882,E903,E924,E945,E987,E1030,E1051)</f>
        <v>0</v>
      </c>
      <c r="F717" s="750">
        <f t="shared" si="2396"/>
        <v>0</v>
      </c>
      <c r="G717" s="826">
        <f t="shared" si="2396"/>
        <v>0</v>
      </c>
      <c r="H717" s="826">
        <f t="shared" si="2396"/>
        <v>0</v>
      </c>
      <c r="I717" s="826">
        <f t="shared" ref="I717:AF717" si="2397">SUM(I840,I1072,I758,I798,I966,I1008,I1093,I1114,I819,I738,I778,I861,I882,I903,I924,I945,I987,I1030,I1051)</f>
        <v>-38.585574810004729</v>
      </c>
      <c r="J717" s="826">
        <f t="shared" si="2397"/>
        <v>-38.585574810004729</v>
      </c>
      <c r="K717" s="826">
        <f t="shared" si="2397"/>
        <v>-47.713888335824976</v>
      </c>
      <c r="L717" s="826">
        <f t="shared" si="2397"/>
        <v>-9.4850794447363622</v>
      </c>
      <c r="M717" s="826">
        <f t="shared" si="2397"/>
        <v>-57.19896778056134</v>
      </c>
      <c r="N717" s="826">
        <f t="shared" si="2397"/>
        <v>-0.91764945901617034</v>
      </c>
      <c r="O717" s="826">
        <f t="shared" si="2397"/>
        <v>-1.132001094499953</v>
      </c>
      <c r="P717" s="826">
        <f t="shared" si="2397"/>
        <v>-2.0496505535161234</v>
      </c>
      <c r="Q717" s="826">
        <f t="shared" si="2397"/>
        <v>-7.3499024503786234</v>
      </c>
      <c r="R717" s="826">
        <f t="shared" si="2397"/>
        <v>-7.4522199478874684</v>
      </c>
      <c r="S717" s="826">
        <f t="shared" si="2397"/>
        <v>-14.802122398266093</v>
      </c>
      <c r="T717" s="826">
        <f t="shared" si="2397"/>
        <v>-2.5549492795709123</v>
      </c>
      <c r="U717" s="826">
        <f t="shared" si="2397"/>
        <v>-1.4394797739187233</v>
      </c>
      <c r="V717" s="826">
        <f t="shared" si="2397"/>
        <v>-3.9944290534896361</v>
      </c>
      <c r="W717" s="826">
        <f t="shared" si="2397"/>
        <v>-1.1782408072365937</v>
      </c>
      <c r="X717" s="826">
        <f t="shared" si="2397"/>
        <v>-0.60412997949995595</v>
      </c>
      <c r="Y717" s="826">
        <f t="shared" si="2397"/>
        <v>-1.7823707867365497</v>
      </c>
      <c r="Z717" s="826">
        <f t="shared" si="2397"/>
        <v>-2.067076326312641</v>
      </c>
      <c r="AA717" s="826">
        <f t="shared" si="2397"/>
        <v>-3.3516081492215073</v>
      </c>
      <c r="AB717" s="826">
        <f t="shared" si="2397"/>
        <v>-5.4186844755341488</v>
      </c>
      <c r="AC717" s="826">
        <f t="shared" si="2397"/>
        <v>-6.1476529117375041</v>
      </c>
      <c r="AD717" s="826">
        <f t="shared" si="2397"/>
        <v>-4.9178214718827089</v>
      </c>
      <c r="AE717" s="846">
        <f t="shared" si="2397"/>
        <v>-11.065474383620213</v>
      </c>
      <c r="AF717" s="26">
        <f t="shared" si="2397"/>
        <v>-0.42515120967741932</v>
      </c>
      <c r="AG717" s="933">
        <f t="shared" si="2396"/>
        <v>0</v>
      </c>
      <c r="AH717" s="18">
        <f>SUM(AH840,AH1072,AH758,AH798,AH966,AH1008,AH1093,AH1114,AH819,AH738,AH778,AH861,AH882,AH903,AH924,AH945,AH987,AH1030,AH1051)</f>
        <v>-0.42515120967741932</v>
      </c>
      <c r="AI717" s="18">
        <f t="shared" si="2396"/>
        <v>0</v>
      </c>
      <c r="AJ717" s="18">
        <f t="shared" si="2396"/>
        <v>0</v>
      </c>
      <c r="AK717" s="18">
        <f t="shared" si="2396"/>
        <v>0</v>
      </c>
      <c r="AL717" s="18">
        <f t="shared" si="2396"/>
        <v>0</v>
      </c>
      <c r="AM717" s="18">
        <f t="shared" si="2396"/>
        <v>0</v>
      </c>
      <c r="AN717" s="18">
        <f t="shared" si="2396"/>
        <v>0</v>
      </c>
      <c r="AO717" s="18">
        <f t="shared" ref="AO717:BR717" si="2398">SUM(AO840,AO1072,AO758,AO798,AO966,AO1008,AO1093,AO1114,AO819,AO738,AO778,AO861,AO882,AO903,AO924,AO945,AO987,AO1030,AO1051)</f>
        <v>0</v>
      </c>
      <c r="AP717" s="18">
        <f t="shared" si="2398"/>
        <v>0</v>
      </c>
      <c r="AQ717" s="18">
        <f t="shared" si="2398"/>
        <v>0</v>
      </c>
      <c r="AR717" s="18">
        <f t="shared" si="2398"/>
        <v>0</v>
      </c>
      <c r="AS717" s="18">
        <f t="shared" si="2398"/>
        <v>0</v>
      </c>
      <c r="AT717" s="18">
        <f t="shared" si="2398"/>
        <v>0</v>
      </c>
      <c r="AU717" s="18">
        <f t="shared" si="2398"/>
        <v>0</v>
      </c>
      <c r="AV717" s="18">
        <f t="shared" si="2398"/>
        <v>0</v>
      </c>
      <c r="AW717" s="18">
        <f t="shared" si="2398"/>
        <v>0</v>
      </c>
      <c r="AX717" s="18">
        <f t="shared" si="2398"/>
        <v>0</v>
      </c>
      <c r="AY717" s="18">
        <f t="shared" si="2398"/>
        <v>0</v>
      </c>
      <c r="AZ717" s="18">
        <f t="shared" si="2398"/>
        <v>0</v>
      </c>
      <c r="BA717" s="18">
        <f t="shared" si="2398"/>
        <v>0</v>
      </c>
      <c r="BB717" s="18">
        <f t="shared" si="2398"/>
        <v>0</v>
      </c>
      <c r="BC717" s="18">
        <f t="shared" si="2398"/>
        <v>0</v>
      </c>
      <c r="BD717" s="18">
        <f t="shared" si="2398"/>
        <v>0</v>
      </c>
      <c r="BE717" s="18">
        <f t="shared" si="2398"/>
        <v>0</v>
      </c>
      <c r="BF717" s="18">
        <f t="shared" si="2398"/>
        <v>0</v>
      </c>
      <c r="BG717" s="18">
        <f t="shared" si="2398"/>
        <v>0</v>
      </c>
      <c r="BH717" s="18">
        <f t="shared" si="2398"/>
        <v>0</v>
      </c>
      <c r="BI717" s="18">
        <f t="shared" si="2398"/>
        <v>0</v>
      </c>
      <c r="BJ717" s="18">
        <f t="shared" si="2398"/>
        <v>0</v>
      </c>
      <c r="BK717" s="18">
        <f t="shared" si="2398"/>
        <v>0</v>
      </c>
      <c r="BL717" s="18">
        <f t="shared" si="2398"/>
        <v>0</v>
      </c>
      <c r="BM717" s="18">
        <f t="shared" si="2398"/>
        <v>0</v>
      </c>
      <c r="BN717" s="18">
        <f t="shared" si="2398"/>
        <v>0</v>
      </c>
      <c r="BO717" s="18">
        <f t="shared" si="2398"/>
        <v>0</v>
      </c>
      <c r="BP717" s="18">
        <f t="shared" si="2398"/>
        <v>0</v>
      </c>
      <c r="BQ717" s="18">
        <f t="shared" si="2398"/>
        <v>0</v>
      </c>
      <c r="BR717" s="18">
        <f t="shared" si="2398"/>
        <v>0</v>
      </c>
    </row>
    <row r="718" spans="2:70" outlineLevel="1">
      <c r="B718" s="5"/>
      <c r="C718" s="457" t="s">
        <v>269</v>
      </c>
      <c r="E718" s="751">
        <f t="shared" ref="E718:AL718" si="2399">SUM(E841,E1073,E759,E799,E967,E1009,E1094,E1115,E820,E739,E779,E862,E883,E904,E925,E946,E988,E1031,E1052)</f>
        <v>0</v>
      </c>
      <c r="F718" s="751">
        <f t="shared" si="2399"/>
        <v>0</v>
      </c>
      <c r="G718" s="64">
        <f t="shared" si="2399"/>
        <v>0</v>
      </c>
      <c r="H718" s="64">
        <f t="shared" si="2399"/>
        <v>0</v>
      </c>
      <c r="I718" s="64">
        <f t="shared" si="2399"/>
        <v>81.236997691014281</v>
      </c>
      <c r="J718" s="64">
        <f t="shared" si="2399"/>
        <v>81.236997691014281</v>
      </c>
      <c r="K718" s="64">
        <f t="shared" si="2399"/>
        <v>123.05963996759347</v>
      </c>
      <c r="L718" s="64">
        <f t="shared" si="2399"/>
        <v>59.050780461265198</v>
      </c>
      <c r="M718" s="64">
        <f t="shared" si="2399"/>
        <v>182.11042042885867</v>
      </c>
      <c r="N718" s="64">
        <f t="shared" si="2399"/>
        <v>38.735869636935483</v>
      </c>
      <c r="O718" s="64">
        <f t="shared" si="2399"/>
        <v>40.692296728712485</v>
      </c>
      <c r="P718" s="64">
        <f t="shared" si="2399"/>
        <v>79.428166365647968</v>
      </c>
      <c r="Q718" s="64">
        <f t="shared" si="2399"/>
        <v>16.704232783340103</v>
      </c>
      <c r="R718" s="64">
        <f t="shared" si="2399"/>
        <v>16.172561763701438</v>
      </c>
      <c r="S718" s="64">
        <f t="shared" si="2399"/>
        <v>32.876794547041548</v>
      </c>
      <c r="T718" s="64">
        <f t="shared" si="2399"/>
        <v>6.7241137082272378</v>
      </c>
      <c r="U718" s="64">
        <f t="shared" si="2399"/>
        <v>12.589349693859914</v>
      </c>
      <c r="V718" s="64">
        <f t="shared" si="2399"/>
        <v>19.313463402087152</v>
      </c>
      <c r="W718" s="64">
        <f t="shared" si="2399"/>
        <v>10.911195116193293</v>
      </c>
      <c r="X718" s="64">
        <f t="shared" si="2399"/>
        <v>6.8412977483862143</v>
      </c>
      <c r="Y718" s="64">
        <f t="shared" si="2399"/>
        <v>17.752492864579505</v>
      </c>
      <c r="Z718" s="64">
        <f t="shared" si="2399"/>
        <v>12.072886607320983</v>
      </c>
      <c r="AA718" s="64">
        <f t="shared" si="2399"/>
        <v>16.263676647003436</v>
      </c>
      <c r="AB718" s="64">
        <f t="shared" si="2399"/>
        <v>28.336563254324417</v>
      </c>
      <c r="AC718" s="64">
        <f t="shared" si="2399"/>
        <v>21.615332332849757</v>
      </c>
      <c r="AD718" s="64">
        <f t="shared" si="2399"/>
        <v>17.070060052756816</v>
      </c>
      <c r="AE718" s="341">
        <f t="shared" si="2399"/>
        <v>38.685392385606555</v>
      </c>
      <c r="AF718" s="341">
        <f>SUM(AF841,AF1073,AF759,AF799,AF967,AF1009,AF1094,AF1115,AF820,AF739,AF779,AF862,AF883,AF904,AF925,AF946,AF988,AF1031,AF1052)</f>
        <v>-1.3302451332241334</v>
      </c>
      <c r="AG718" s="934">
        <f>SUM(AG841,AG1073,AG759,AG799,AG967,AG1009,AG1094,AG1115,AG820,AG739,AG779,AG862,AG883,AG904,AG925,AG946,AG988,AG1031,AG1052)</f>
        <v>11.030368979282782</v>
      </c>
      <c r="AH718" s="64">
        <f>SUM(AH841,AH1073,AH759,AH799,AH967,AH1009,AH1094,AH1115,AH820,AH739,AH779,AH862,AH883,AH904,AH925,AH946,AH988,AH1031,AH1052)</f>
        <v>9.7001238460586485</v>
      </c>
      <c r="AI718" s="64">
        <f t="shared" si="2399"/>
        <v>18.646997212636546</v>
      </c>
      <c r="AJ718" s="64">
        <f>SUM(AJ841,AJ1073,AJ759,AJ799,AJ967,AJ1009,AJ1094,AJ1115,AJ820,AJ739,AJ779,AJ862,AJ883,AJ904,AJ925,AJ946,AJ988,AJ1031,AJ1052)</f>
        <v>4.2687083725633794</v>
      </c>
      <c r="AK718" s="64">
        <f>SUM(AK841,AK1073,AK759,AK799,AK967,AK1009,AK1094,AK1115,AK820,AK739,AK779,AK862,AK883,AK904,AK925,AK946,AK988,AK1031,AK1052)</f>
        <v>22.915705585199927</v>
      </c>
      <c r="AL718" s="64">
        <f t="shared" si="2399"/>
        <v>2.7230934497816581</v>
      </c>
      <c r="AM718" s="64">
        <f>SUM(AM841,AM1073,AM759,AM799,AM967,AM1009,AM1094,AM1115,AM820,AM739,AM779,AM862,AM883,AM904,AM925,AM946,AM988,AM1031,AM1052)</f>
        <v>4.5226446280991714</v>
      </c>
      <c r="AN718" s="64">
        <f>SUM(AN841,AN1073,AN759,AN799,AN967,AN1009,AN1094,AN1115,AN820,AN739,AN779,AN862,AN883,AN904,AN925,AN946,AN988,AN1031,AN1052)</f>
        <v>7.2457380778808291</v>
      </c>
      <c r="AO718" s="64">
        <f t="shared" ref="AO718" si="2400">SUM(AO841,AO1073,AO759,AO799,AO967,AO1009,AO1094,AO1115,AO820,AO739,AO779,AO862,AO883,AO904,AO925,AO946,AO988,AO1031,AO1052)</f>
        <v>4.3999999999999986</v>
      </c>
      <c r="AP718" s="64">
        <f>SUM(AP841,AP1073,AP759,AP799,AP967,AP1009,AP1094,AP1115,AP820,AP739,AP779,AP862,AP883,AP904,AP925,AP946,AP988,AP1031,AP1052)</f>
        <v>4.4000000000000057</v>
      </c>
      <c r="AQ718" s="64">
        <f>SUM(AQ841,AQ1073,AQ759,AQ799,AQ967,AQ1009,AQ1094,AQ1115,AQ820,AQ739,AQ779,AQ862,AQ883,AQ904,AQ925,AQ946,AQ988,AQ1031,AQ1052)</f>
        <v>8.8000000000000043</v>
      </c>
      <c r="AR718" s="64">
        <f t="shared" ref="AR718" si="2401">SUM(AR841,AR1073,AR759,AR799,AR967,AR1009,AR1094,AR1115,AR820,AR739,AR779,AR862,AR883,AR904,AR925,AR946,AR988,AR1031,AR1052)</f>
        <v>0</v>
      </c>
      <c r="AS718" s="64">
        <f>SUM(AS841,AS1073,AS759,AS799,AS967,AS1009,AS1094,AS1115,AS820,AS739,AS779,AS862,AS883,AS904,AS925,AS946,AS988,AS1031,AS1052)</f>
        <v>0</v>
      </c>
      <c r="AT718" s="64">
        <f>SUM(AT841,AT1073,AT759,AT799,AT967,AT1009,AT1094,AT1115,AT820,AT739,AT779,AT862,AT883,AT904,AT925,AT946,AT988,AT1031,AT1052)</f>
        <v>0</v>
      </c>
      <c r="AU718" s="64">
        <f t="shared" ref="AU718" si="2402">SUM(AU841,AU1073,AU759,AU799,AU967,AU1009,AU1094,AU1115,AU820,AU739,AU779,AU862,AU883,AU904,AU925,AU946,AU988,AU1031,AU1052)</f>
        <v>0</v>
      </c>
      <c r="AV718" s="64">
        <f>SUM(AV841,AV1073,AV759,AV799,AV967,AV1009,AV1094,AV1115,AV820,AV739,AV779,AV862,AV883,AV904,AV925,AV946,AV988,AV1031,AV1052)</f>
        <v>0</v>
      </c>
      <c r="AW718" s="64">
        <f>SUM(AW841,AW1073,AW759,AW799,AW967,AW1009,AW1094,AW1115,AW820,AW739,AW779,AW862,AW883,AW904,AW925,AW946,AW988,AW1031,AW1052)</f>
        <v>0</v>
      </c>
      <c r="AX718" s="64">
        <f t="shared" ref="AX718" si="2403">SUM(AX841,AX1073,AX759,AX799,AX967,AX1009,AX1094,AX1115,AX820,AX739,AX779,AX862,AX883,AX904,AX925,AX946,AX988,AX1031,AX1052)</f>
        <v>0</v>
      </c>
      <c r="AY718" s="64">
        <f>SUM(AY841,AY1073,AY759,AY799,AY967,AY1009,AY1094,AY1115,AY820,AY739,AY779,AY862,AY883,AY904,AY925,AY946,AY988,AY1031,AY1052)</f>
        <v>0</v>
      </c>
      <c r="AZ718" s="64">
        <f>SUM(AZ841,AZ1073,AZ759,AZ799,AZ967,AZ1009,AZ1094,AZ1115,AZ820,AZ739,AZ779,AZ862,AZ883,AZ904,AZ925,AZ946,AZ988,AZ1031,AZ1052)</f>
        <v>0</v>
      </c>
      <c r="BA718" s="64">
        <f t="shared" ref="BA718" si="2404">SUM(BA841,BA1073,BA759,BA799,BA967,BA1009,BA1094,BA1115,BA820,BA739,BA779,BA862,BA883,BA904,BA925,BA946,BA988,BA1031,BA1052)</f>
        <v>0</v>
      </c>
      <c r="BB718" s="64">
        <f>SUM(BB841,BB1073,BB759,BB799,BB967,BB1009,BB1094,BB1115,BB820,BB739,BB779,BB862,BB883,BB904,BB925,BB946,BB988,BB1031,BB1052)</f>
        <v>0</v>
      </c>
      <c r="BC718" s="64">
        <f>SUM(BC841,BC1073,BC759,BC799,BC967,BC1009,BC1094,BC1115,BC820,BC739,BC779,BC862,BC883,BC904,BC925,BC946,BC988,BC1031,BC1052)</f>
        <v>0</v>
      </c>
      <c r="BD718" s="64">
        <f t="shared" ref="BD718" si="2405">SUM(BD841,BD1073,BD759,BD799,BD967,BD1009,BD1094,BD1115,BD820,BD739,BD779,BD862,BD883,BD904,BD925,BD946,BD988,BD1031,BD1052)</f>
        <v>0</v>
      </c>
      <c r="BE718" s="64">
        <f>SUM(BE841,BE1073,BE759,BE799,BE967,BE1009,BE1094,BE1115,BE820,BE739,BE779,BE862,BE883,BE904,BE925,BE946,BE988,BE1031,BE1052)</f>
        <v>0</v>
      </c>
      <c r="BF718" s="64">
        <f>SUM(BF841,BF1073,BF759,BF799,BF967,BF1009,BF1094,BF1115,BF820,BF739,BF779,BF862,BF883,BF904,BF925,BF946,BF988,BF1031,BF1052)</f>
        <v>0</v>
      </c>
      <c r="BG718" s="64">
        <f t="shared" ref="BG718" si="2406">SUM(BG841,BG1073,BG759,BG799,BG967,BG1009,BG1094,BG1115,BG820,BG739,BG779,BG862,BG883,BG904,BG925,BG946,BG988,BG1031,BG1052)</f>
        <v>0</v>
      </c>
      <c r="BH718" s="64">
        <f>SUM(BH841,BH1073,BH759,BH799,BH967,BH1009,BH1094,BH1115,BH820,BH739,BH779,BH862,BH883,BH904,BH925,BH946,BH988,BH1031,BH1052)</f>
        <v>0</v>
      </c>
      <c r="BI718" s="64">
        <f>SUM(BI841,BI1073,BI759,BI799,BI967,BI1009,BI1094,BI1115,BI820,BI739,BI779,BI862,BI883,BI904,BI925,BI946,BI988,BI1031,BI1052)</f>
        <v>0</v>
      </c>
      <c r="BJ718" s="64">
        <f t="shared" ref="BJ718" si="2407">SUM(BJ841,BJ1073,BJ759,BJ799,BJ967,BJ1009,BJ1094,BJ1115,BJ820,BJ739,BJ779,BJ862,BJ883,BJ904,BJ925,BJ946,BJ988,BJ1031,BJ1052)</f>
        <v>0</v>
      </c>
      <c r="BK718" s="64">
        <f>SUM(BK841,BK1073,BK759,BK799,BK967,BK1009,BK1094,BK1115,BK820,BK739,BK779,BK862,BK883,BK904,BK925,BK946,BK988,BK1031,BK1052)</f>
        <v>0</v>
      </c>
      <c r="BL718" s="64">
        <f>SUM(BL841,BL1073,BL759,BL799,BL967,BL1009,BL1094,BL1115,BL820,BL739,BL779,BL862,BL883,BL904,BL925,BL946,BL988,BL1031,BL1052)</f>
        <v>0</v>
      </c>
      <c r="BM718" s="64">
        <f t="shared" ref="BM718" si="2408">SUM(BM841,BM1073,BM759,BM799,BM967,BM1009,BM1094,BM1115,BM820,BM739,BM779,BM862,BM883,BM904,BM925,BM946,BM988,BM1031,BM1052)</f>
        <v>0</v>
      </c>
      <c r="BN718" s="64">
        <f>SUM(BN841,BN1073,BN759,BN799,BN967,BN1009,BN1094,BN1115,BN820,BN739,BN779,BN862,BN883,BN904,BN925,BN946,BN988,BN1031,BN1052)</f>
        <v>0</v>
      </c>
      <c r="BO718" s="64">
        <f>SUM(BO841,BO1073,BO759,BO799,BO967,BO1009,BO1094,BO1115,BO820,BO739,BO779,BO862,BO883,BO904,BO925,BO946,BO988,BO1031,BO1052)</f>
        <v>0</v>
      </c>
      <c r="BP718" s="64">
        <f t="shared" ref="BP718" si="2409">SUM(BP841,BP1073,BP759,BP799,BP967,BP1009,BP1094,BP1115,BP820,BP739,BP779,BP862,BP883,BP904,BP925,BP946,BP988,BP1031,BP1052)</f>
        <v>0</v>
      </c>
      <c r="BQ718" s="64">
        <f>SUM(BQ841,BQ1073,BQ759,BQ799,BQ967,BQ1009,BQ1094,BQ1115,BQ820,BQ739,BQ779,BQ862,BQ883,BQ904,BQ925,BQ946,BQ988,BQ1031,BQ1052)</f>
        <v>0</v>
      </c>
      <c r="BR718" s="64">
        <f>SUM(BR841,BR1073,BR759,BR799,BR967,BR1009,BR1094,BR1115,BR820,BR739,BR779,BR862,BR883,BR904,BR925,BR946,BR988,BR1031,BR1052)</f>
        <v>0</v>
      </c>
    </row>
    <row r="719" spans="2:70" outlineLevel="1">
      <c r="B719" s="5"/>
      <c r="C719" s="584" t="s">
        <v>659</v>
      </c>
      <c r="I719" s="750"/>
      <c r="AF719" s="360"/>
      <c r="AG719" s="942"/>
      <c r="AH719" s="24"/>
      <c r="AI719" s="24"/>
      <c r="AJ719" s="24"/>
      <c r="AK719" s="24"/>
      <c r="AL719" s="24"/>
      <c r="AM719" s="24"/>
      <c r="AN719" s="24"/>
      <c r="AO719" s="24"/>
      <c r="AP719" s="24"/>
      <c r="AQ719" s="24"/>
      <c r="AR719" s="24"/>
      <c r="AS719" s="24"/>
      <c r="AT719" s="24"/>
      <c r="AU719" s="24"/>
      <c r="AV719" s="24"/>
      <c r="AW719" s="24"/>
      <c r="AX719" s="24"/>
      <c r="AY719" s="24"/>
      <c r="AZ719" s="24"/>
      <c r="BA719" s="24"/>
      <c r="BB719" s="24"/>
      <c r="BC719" s="2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</row>
    <row r="720" spans="2:70" outlineLevel="2">
      <c r="B720" s="5"/>
      <c r="C720" s="8" t="s">
        <v>88</v>
      </c>
    </row>
    <row r="721" spans="2:70" outlineLevel="2">
      <c r="B721" s="5"/>
      <c r="C721" s="9" t="s">
        <v>266</v>
      </c>
      <c r="AB721" s="484" t="s">
        <v>593</v>
      </c>
    </row>
    <row r="722" spans="2:70" outlineLevel="2">
      <c r="B722" s="5"/>
      <c r="C722" s="9" t="s">
        <v>262</v>
      </c>
      <c r="Y722" s="89"/>
      <c r="AB722" s="485">
        <v>42744</v>
      </c>
    </row>
    <row r="723" spans="2:70" s="30" customFormat="1" outlineLevel="2">
      <c r="C723" s="84" t="s">
        <v>72</v>
      </c>
      <c r="D723" s="31" t="s">
        <v>58</v>
      </c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Y723" s="35"/>
      <c r="AB723" s="486">
        <v>28</v>
      </c>
      <c r="AC723" s="35"/>
      <c r="AE723" s="168"/>
      <c r="AF723" s="168"/>
      <c r="AG723" s="964"/>
    </row>
    <row r="724" spans="2:70" s="30" customFormat="1" outlineLevel="2">
      <c r="C724" s="84" t="s">
        <v>76</v>
      </c>
      <c r="D724" s="74" t="s">
        <v>77</v>
      </c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Y724" s="38"/>
      <c r="AB724" s="487">
        <f>AB723/AB726</f>
        <v>5.3846153846153841</v>
      </c>
      <c r="AC724" s="35"/>
      <c r="AE724" s="165"/>
      <c r="AF724" s="168"/>
      <c r="AG724" s="964"/>
    </row>
    <row r="725" spans="2:70" s="30" customFormat="1" outlineLevel="2">
      <c r="C725" s="84" t="s">
        <v>55</v>
      </c>
      <c r="D725" s="31" t="s">
        <v>58</v>
      </c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Y725" s="35"/>
      <c r="AB725" s="486">
        <v>28</v>
      </c>
      <c r="AC725" s="37"/>
      <c r="AD725" s="37">
        <f>AB725*0.5</f>
        <v>14</v>
      </c>
      <c r="AE725" s="26">
        <f>SUM(AC725:AD725)</f>
        <v>14</v>
      </c>
      <c r="AF725" s="167">
        <f>AH725*0.5</f>
        <v>14</v>
      </c>
      <c r="AG725" s="1017">
        <f>AH725*0.5</f>
        <v>14</v>
      </c>
      <c r="AH725" s="407">
        <f>AB725</f>
        <v>28</v>
      </c>
      <c r="AI725" s="37">
        <f>AK725*0.5</f>
        <v>14</v>
      </c>
      <c r="AJ725" s="37">
        <f>AK725*0.5</f>
        <v>14</v>
      </c>
      <c r="AK725" s="407">
        <f>AH725</f>
        <v>28</v>
      </c>
      <c r="AL725" s="37">
        <f>AN725*0.5</f>
        <v>14</v>
      </c>
      <c r="AM725" s="37">
        <f>AN725*0.5</f>
        <v>14</v>
      </c>
      <c r="AN725" s="407">
        <f>AK725</f>
        <v>28</v>
      </c>
      <c r="AO725" s="37">
        <f>AQ725*0.5</f>
        <v>14</v>
      </c>
      <c r="AP725" s="37">
        <f>AQ725*0.5</f>
        <v>14</v>
      </c>
      <c r="AQ725" s="407">
        <f>AN725</f>
        <v>28</v>
      </c>
      <c r="AR725" s="37">
        <f>AT725*0.5</f>
        <v>14</v>
      </c>
      <c r="AS725" s="37">
        <f>AT725*0.5</f>
        <v>14</v>
      </c>
      <c r="AT725" s="407">
        <f>AQ725</f>
        <v>28</v>
      </c>
      <c r="AU725" s="37">
        <f>AW725*0.5</f>
        <v>14</v>
      </c>
      <c r="AV725" s="37">
        <f>AW725*0.5</f>
        <v>14</v>
      </c>
      <c r="AW725" s="407">
        <f>AT725</f>
        <v>28</v>
      </c>
      <c r="AX725" s="37">
        <f>AZ725*0.5</f>
        <v>14</v>
      </c>
      <c r="AY725" s="37">
        <f>AZ725*0.5</f>
        <v>14</v>
      </c>
      <c r="AZ725" s="407">
        <f>AW725</f>
        <v>28</v>
      </c>
      <c r="BA725" s="37">
        <f>BC725*0.5</f>
        <v>14</v>
      </c>
      <c r="BB725" s="37">
        <f>BC725*0.5</f>
        <v>14</v>
      </c>
      <c r="BC725" s="407">
        <f>AZ725</f>
        <v>28</v>
      </c>
      <c r="BD725" s="37">
        <f>BF725*0.5</f>
        <v>14</v>
      </c>
      <c r="BE725" s="37">
        <f>BF725*0.5</f>
        <v>14</v>
      </c>
      <c r="BF725" s="407">
        <f>BC725</f>
        <v>28</v>
      </c>
      <c r="BG725" s="37">
        <f>BI725*0.5</f>
        <v>14</v>
      </c>
      <c r="BH725" s="37">
        <f>BI725*0.5</f>
        <v>14</v>
      </c>
      <c r="BI725" s="407">
        <f>BF725</f>
        <v>28</v>
      </c>
      <c r="BJ725" s="37">
        <f>BL725*0.5</f>
        <v>14</v>
      </c>
      <c r="BK725" s="37">
        <f>BL725*0.5</f>
        <v>14</v>
      </c>
      <c r="BL725" s="407">
        <f>BI725</f>
        <v>28</v>
      </c>
      <c r="BM725" s="37">
        <f>BO725*0.5</f>
        <v>14</v>
      </c>
      <c r="BN725" s="37">
        <f>BO725*0.5</f>
        <v>14</v>
      </c>
      <c r="BO725" s="407">
        <f>BL725</f>
        <v>28</v>
      </c>
      <c r="BP725" s="37">
        <f>BR725*0.5</f>
        <v>14</v>
      </c>
      <c r="BQ725" s="37">
        <f>BR725*0.5</f>
        <v>14</v>
      </c>
      <c r="BR725" s="407">
        <f>BO725</f>
        <v>28</v>
      </c>
    </row>
    <row r="726" spans="2:70" s="30" customFormat="1" outlineLevel="2">
      <c r="C726" s="84" t="s">
        <v>594</v>
      </c>
      <c r="D726" s="31" t="s">
        <v>58</v>
      </c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Y726" s="39"/>
      <c r="AB726" s="488">
        <f>AB729-AB728</f>
        <v>5.2</v>
      </c>
      <c r="AC726" s="37"/>
      <c r="AD726" s="37">
        <f>AB726*0.5</f>
        <v>2.6</v>
      </c>
      <c r="AE726" s="26">
        <f>SUM(AC726:AD726)</f>
        <v>2.6</v>
      </c>
      <c r="AF726" s="164">
        <f>AF727*AF725</f>
        <v>2.6</v>
      </c>
      <c r="AG726" s="1018">
        <f>AG727*AG725</f>
        <v>2.6</v>
      </c>
      <c r="AH726" s="13">
        <f>AB726</f>
        <v>5.2</v>
      </c>
      <c r="AI726" s="13">
        <f>AI727*AI725</f>
        <v>2.6</v>
      </c>
      <c r="AJ726" s="13">
        <f>AJ727*AJ725</f>
        <v>2.6</v>
      </c>
      <c r="AK726" s="13">
        <f>AI726+AJ726</f>
        <v>5.2</v>
      </c>
      <c r="AL726" s="13">
        <f>AL727*AL725</f>
        <v>2.6</v>
      </c>
      <c r="AM726" s="13">
        <f>AM727*AM725</f>
        <v>2.6</v>
      </c>
      <c r="AN726" s="13">
        <f>AL726+AM726</f>
        <v>5.2</v>
      </c>
      <c r="AO726" s="13">
        <f>AO727*AO725</f>
        <v>2.6</v>
      </c>
      <c r="AP726" s="13">
        <f>AP727*AP725</f>
        <v>2.6</v>
      </c>
      <c r="AQ726" s="13">
        <f>AO726+AP726</f>
        <v>5.2</v>
      </c>
      <c r="AR726" s="13">
        <f>AR727*AR725</f>
        <v>2.6</v>
      </c>
      <c r="AS726" s="13">
        <f>AS727*AS725</f>
        <v>2.6</v>
      </c>
      <c r="AT726" s="13">
        <f>AR726+AS726</f>
        <v>5.2</v>
      </c>
      <c r="AU726" s="13">
        <f>AU727*AU725</f>
        <v>2.6</v>
      </c>
      <c r="AV726" s="13">
        <f>AV727*AV725</f>
        <v>2.6</v>
      </c>
      <c r="AW726" s="13">
        <f>AU726+AV726</f>
        <v>5.2</v>
      </c>
      <c r="AX726" s="13">
        <f>AX727*AX725</f>
        <v>2.6</v>
      </c>
      <c r="AY726" s="13">
        <f>AY727*AY725</f>
        <v>2.6</v>
      </c>
      <c r="AZ726" s="13">
        <f>AX726+AY726</f>
        <v>5.2</v>
      </c>
      <c r="BA726" s="13">
        <f>BA727*BA725</f>
        <v>2.6</v>
      </c>
      <c r="BB726" s="13">
        <f>BB727*BB725</f>
        <v>2.6</v>
      </c>
      <c r="BC726" s="13">
        <f>BA726+BB726</f>
        <v>5.2</v>
      </c>
      <c r="BD726" s="13">
        <f>BD727*BD725</f>
        <v>2.6</v>
      </c>
      <c r="BE726" s="13">
        <f>BE727*BE725</f>
        <v>2.6</v>
      </c>
      <c r="BF726" s="13">
        <f>BD726+BE726</f>
        <v>5.2</v>
      </c>
      <c r="BG726" s="13">
        <f>BG727*BG725</f>
        <v>2.6</v>
      </c>
      <c r="BH726" s="13">
        <f>BH727*BH725</f>
        <v>2.6</v>
      </c>
      <c r="BI726" s="13">
        <f>BG726+BH726</f>
        <v>5.2</v>
      </c>
      <c r="BJ726" s="13">
        <f>BJ727*BJ725</f>
        <v>2.6</v>
      </c>
      <c r="BK726" s="13">
        <f>BK727*BK725</f>
        <v>2.6</v>
      </c>
      <c r="BL726" s="13">
        <f>BJ726+BK726</f>
        <v>5.2</v>
      </c>
      <c r="BM726" s="13">
        <f>BM727*BM725</f>
        <v>2.6</v>
      </c>
      <c r="BN726" s="13">
        <f>BN727*BN725</f>
        <v>2.6</v>
      </c>
      <c r="BO726" s="13">
        <f>BM726+BN726</f>
        <v>5.2</v>
      </c>
      <c r="BP726" s="13">
        <f>BP727*BP725</f>
        <v>2.6</v>
      </c>
      <c r="BQ726" s="13">
        <f>BQ727*BQ725</f>
        <v>2.6</v>
      </c>
      <c r="BR726" s="13">
        <f>BP726+BQ726</f>
        <v>5.2</v>
      </c>
    </row>
    <row r="727" spans="2:70" s="30" customFormat="1" outlineLevel="2">
      <c r="C727" s="93" t="s">
        <v>73</v>
      </c>
      <c r="D727" s="31" t="s">
        <v>66</v>
      </c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Y727" s="39"/>
      <c r="AB727" s="489">
        <f>AB726/AB725</f>
        <v>0.18571428571428572</v>
      </c>
      <c r="AE727" s="179"/>
      <c r="AF727" s="166">
        <f>AB727</f>
        <v>0.18571428571428572</v>
      </c>
      <c r="AG727" s="983">
        <f>AB727</f>
        <v>0.18571428571428572</v>
      </c>
      <c r="AH727" s="40">
        <f>AH726/AH725</f>
        <v>0.18571428571428572</v>
      </c>
      <c r="AI727" s="87">
        <f>AF727</f>
        <v>0.18571428571428572</v>
      </c>
      <c r="AJ727" s="87">
        <f>AG727</f>
        <v>0.18571428571428572</v>
      </c>
      <c r="AK727" s="40">
        <f>AK726/AK725</f>
        <v>0.18571428571428572</v>
      </c>
      <c r="AL727" s="87">
        <f>AH727</f>
        <v>0.18571428571428572</v>
      </c>
      <c r="AM727" s="87">
        <f>AH727</f>
        <v>0.18571428571428572</v>
      </c>
      <c r="AN727" s="40">
        <f>AN726/AN725</f>
        <v>0.18571428571428572</v>
      </c>
      <c r="AO727" s="87">
        <f>AK727</f>
        <v>0.18571428571428572</v>
      </c>
      <c r="AP727" s="87">
        <f>AK727</f>
        <v>0.18571428571428572</v>
      </c>
      <c r="AQ727" s="40">
        <f>AQ726/AQ725</f>
        <v>0.18571428571428572</v>
      </c>
      <c r="AR727" s="87">
        <f>AN727</f>
        <v>0.18571428571428572</v>
      </c>
      <c r="AS727" s="87">
        <f>AN727</f>
        <v>0.18571428571428572</v>
      </c>
      <c r="AT727" s="40">
        <f>AT726/AT725</f>
        <v>0.18571428571428572</v>
      </c>
      <c r="AU727" s="87">
        <f>AQ727</f>
        <v>0.18571428571428572</v>
      </c>
      <c r="AV727" s="87">
        <f>AQ727</f>
        <v>0.18571428571428572</v>
      </c>
      <c r="AW727" s="40">
        <f>AW726/AW725</f>
        <v>0.18571428571428572</v>
      </c>
      <c r="AX727" s="87">
        <f>AT727</f>
        <v>0.18571428571428572</v>
      </c>
      <c r="AY727" s="87">
        <f>AT727</f>
        <v>0.18571428571428572</v>
      </c>
      <c r="AZ727" s="40">
        <f>AZ726/AZ725</f>
        <v>0.18571428571428572</v>
      </c>
      <c r="BA727" s="87">
        <f>AW727</f>
        <v>0.18571428571428572</v>
      </c>
      <c r="BB727" s="87">
        <f>AW727</f>
        <v>0.18571428571428572</v>
      </c>
      <c r="BC727" s="40">
        <f>BC726/BC725</f>
        <v>0.18571428571428572</v>
      </c>
      <c r="BD727" s="87">
        <f>AZ727</f>
        <v>0.18571428571428572</v>
      </c>
      <c r="BE727" s="87">
        <f>AZ727</f>
        <v>0.18571428571428572</v>
      </c>
      <c r="BF727" s="40">
        <f>BF726/BF725</f>
        <v>0.18571428571428572</v>
      </c>
      <c r="BG727" s="87">
        <f>BC727</f>
        <v>0.18571428571428572</v>
      </c>
      <c r="BH727" s="87">
        <f>BC727</f>
        <v>0.18571428571428572</v>
      </c>
      <c r="BI727" s="40">
        <f>BI726/BI725</f>
        <v>0.18571428571428572</v>
      </c>
      <c r="BJ727" s="87">
        <f>BF727</f>
        <v>0.18571428571428572</v>
      </c>
      <c r="BK727" s="87">
        <f>BF727</f>
        <v>0.18571428571428572</v>
      </c>
      <c r="BL727" s="40">
        <f>BL726/BL725</f>
        <v>0.18571428571428572</v>
      </c>
      <c r="BM727" s="87">
        <f>BI727</f>
        <v>0.18571428571428572</v>
      </c>
      <c r="BN727" s="87">
        <f>BI727</f>
        <v>0.18571428571428572</v>
      </c>
      <c r="BO727" s="40">
        <f>BO726/BO725</f>
        <v>0.18571428571428572</v>
      </c>
      <c r="BP727" s="87">
        <f>BL727</f>
        <v>0.18571428571428572</v>
      </c>
      <c r="BQ727" s="87">
        <f>BL727</f>
        <v>0.18571428571428572</v>
      </c>
      <c r="BR727" s="40">
        <f>BR726/BR725</f>
        <v>0.18571428571428572</v>
      </c>
    </row>
    <row r="728" spans="2:70" s="30" customFormat="1" outlineLevel="2">
      <c r="C728" s="84" t="s">
        <v>65</v>
      </c>
      <c r="D728" s="31" t="s">
        <v>58</v>
      </c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Y728" s="39"/>
      <c r="Z728" s="40"/>
      <c r="AB728" s="747">
        <v>-1</v>
      </c>
      <c r="AC728" s="37"/>
      <c r="AD728" s="37">
        <f>AB728*0.5</f>
        <v>-0.5</v>
      </c>
      <c r="AE728" s="26">
        <f>SUM(AC728:AD728)</f>
        <v>-0.5</v>
      </c>
      <c r="AF728" s="167">
        <f>AH728*0.5</f>
        <v>-0.5</v>
      </c>
      <c r="AG728" s="1017">
        <f>AH728*0.5</f>
        <v>-0.5</v>
      </c>
      <c r="AH728" s="13">
        <f>AE728*(AH725/AE725)</f>
        <v>-1</v>
      </c>
      <c r="AI728" s="37">
        <f>AK728*0.5</f>
        <v>-0.5</v>
      </c>
      <c r="AJ728" s="37">
        <f>AK728*0.5</f>
        <v>-0.5</v>
      </c>
      <c r="AK728" s="13">
        <f>AH728*(AK725/AH725)</f>
        <v>-1</v>
      </c>
      <c r="AL728" s="37">
        <f>AN728*0.5</f>
        <v>-0.5</v>
      </c>
      <c r="AM728" s="37">
        <f>AN728*0.5</f>
        <v>-0.5</v>
      </c>
      <c r="AN728" s="13">
        <f>AK728*(AN725/AK725)</f>
        <v>-1</v>
      </c>
      <c r="AO728" s="37">
        <f>AQ728*0.5</f>
        <v>-0.5</v>
      </c>
      <c r="AP728" s="37">
        <f>AQ728*0.5</f>
        <v>-0.5</v>
      </c>
      <c r="AQ728" s="13">
        <f>AN728*(AQ725/AN725)</f>
        <v>-1</v>
      </c>
      <c r="AR728" s="37">
        <f>AT728*0.5</f>
        <v>-0.5</v>
      </c>
      <c r="AS728" s="37">
        <f>AT728*0.5</f>
        <v>-0.5</v>
      </c>
      <c r="AT728" s="13">
        <f>AQ728*(AT725/AQ725)</f>
        <v>-1</v>
      </c>
      <c r="AU728" s="37">
        <f>AW728*0.5</f>
        <v>-0.5</v>
      </c>
      <c r="AV728" s="37">
        <f>AW728*0.5</f>
        <v>-0.5</v>
      </c>
      <c r="AW728" s="13">
        <f>AT728*(AW725/AT725)</f>
        <v>-1</v>
      </c>
      <c r="AX728" s="37">
        <f>AZ728*0.5</f>
        <v>-0.5</v>
      </c>
      <c r="AY728" s="37">
        <f>AZ728*0.5</f>
        <v>-0.5</v>
      </c>
      <c r="AZ728" s="13">
        <f>AW728*(AZ725/AW725)</f>
        <v>-1</v>
      </c>
      <c r="BA728" s="37">
        <f>BC728*0.5</f>
        <v>-0.5</v>
      </c>
      <c r="BB728" s="37">
        <f>BC728*0.5</f>
        <v>-0.5</v>
      </c>
      <c r="BC728" s="13">
        <f>AZ728*(BC725/AZ725)</f>
        <v>-1</v>
      </c>
      <c r="BD728" s="37">
        <f>BF728*0.5</f>
        <v>-0.5</v>
      </c>
      <c r="BE728" s="37">
        <f>BF728*0.5</f>
        <v>-0.5</v>
      </c>
      <c r="BF728" s="13">
        <f>BC728*(BF725/BC725)</f>
        <v>-1</v>
      </c>
      <c r="BG728" s="37">
        <f>BI728*0.5</f>
        <v>-0.5</v>
      </c>
      <c r="BH728" s="37">
        <f>BI728*0.5</f>
        <v>-0.5</v>
      </c>
      <c r="BI728" s="13">
        <f>BF728*(BI725/BF725)</f>
        <v>-1</v>
      </c>
      <c r="BJ728" s="37">
        <f>BL728*0.5</f>
        <v>-0.5</v>
      </c>
      <c r="BK728" s="37">
        <f>BL728*0.5</f>
        <v>-0.5</v>
      </c>
      <c r="BL728" s="13">
        <f>BI728*(BL725/BI725)</f>
        <v>-1</v>
      </c>
      <c r="BM728" s="37">
        <f>BO728*0.5</f>
        <v>-0.5</v>
      </c>
      <c r="BN728" s="37">
        <f>BO728*0.5</f>
        <v>-0.5</v>
      </c>
      <c r="BO728" s="13">
        <f>BL728*(BO725/BL725)</f>
        <v>-1</v>
      </c>
      <c r="BP728" s="37">
        <f>BR728*0.5</f>
        <v>-0.5</v>
      </c>
      <c r="BQ728" s="37">
        <f>BR728*0.5</f>
        <v>-0.5</v>
      </c>
      <c r="BR728" s="13">
        <f>BO728*(BR725/BO725)</f>
        <v>-1</v>
      </c>
    </row>
    <row r="729" spans="2:70" s="30" customFormat="1" outlineLevel="2">
      <c r="C729" s="84" t="s">
        <v>78</v>
      </c>
      <c r="D729" s="31" t="s">
        <v>58</v>
      </c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Y729" s="39"/>
      <c r="AB729" s="531">
        <f>AB734-AB732</f>
        <v>4.2</v>
      </c>
      <c r="AC729" s="37"/>
      <c r="AD729" s="37">
        <f>AD726+AD728</f>
        <v>2.1</v>
      </c>
      <c r="AE729" s="167">
        <f>AE726+AE728</f>
        <v>2.1</v>
      </c>
      <c r="AF729" s="164">
        <f>AF726+AF728</f>
        <v>2.1</v>
      </c>
      <c r="AG729" s="1018">
        <f>AG726+AG728</f>
        <v>2.1</v>
      </c>
      <c r="AH729" s="13">
        <f>AB729</f>
        <v>4.2</v>
      </c>
      <c r="AI729" s="13">
        <f>AI726+AI728</f>
        <v>2.1</v>
      </c>
      <c r="AJ729" s="13">
        <f>AJ726+AJ728</f>
        <v>2.1</v>
      </c>
      <c r="AK729" s="13">
        <f>AI729+AJ729</f>
        <v>4.2</v>
      </c>
      <c r="AL729" s="13">
        <f>AL726+AL728</f>
        <v>2.1</v>
      </c>
      <c r="AM729" s="13">
        <f>AM726+AM728</f>
        <v>2.1</v>
      </c>
      <c r="AN729" s="13">
        <f>AL729+AM729</f>
        <v>4.2</v>
      </c>
      <c r="AO729" s="13">
        <f>AO726+AO728</f>
        <v>2.1</v>
      </c>
      <c r="AP729" s="13">
        <f>AP726+AP728</f>
        <v>2.1</v>
      </c>
      <c r="AQ729" s="13">
        <f>AO729+AP729</f>
        <v>4.2</v>
      </c>
      <c r="AR729" s="13">
        <f>AR726+AR728</f>
        <v>2.1</v>
      </c>
      <c r="AS729" s="13">
        <f>AS726+AS728</f>
        <v>2.1</v>
      </c>
      <c r="AT729" s="13">
        <f>AR729+AS729</f>
        <v>4.2</v>
      </c>
      <c r="AU729" s="13">
        <f>AU726+AU728</f>
        <v>2.1</v>
      </c>
      <c r="AV729" s="13">
        <f>AV726+AV728</f>
        <v>2.1</v>
      </c>
      <c r="AW729" s="13">
        <f>AU729+AV729</f>
        <v>4.2</v>
      </c>
      <c r="AX729" s="13">
        <f>AX726+AX728</f>
        <v>2.1</v>
      </c>
      <c r="AY729" s="13">
        <f>AY726+AY728</f>
        <v>2.1</v>
      </c>
      <c r="AZ729" s="13">
        <f>AX729+AY729</f>
        <v>4.2</v>
      </c>
      <c r="BA729" s="13">
        <f>BA726+BA728</f>
        <v>2.1</v>
      </c>
      <c r="BB729" s="13">
        <f>BB726+BB728</f>
        <v>2.1</v>
      </c>
      <c r="BC729" s="13">
        <f>BA729+BB729</f>
        <v>4.2</v>
      </c>
      <c r="BD729" s="13">
        <f>BD726+BD728</f>
        <v>2.1</v>
      </c>
      <c r="BE729" s="13">
        <f>BE726+BE728</f>
        <v>2.1</v>
      </c>
      <c r="BF729" s="13">
        <f>BD729+BE729</f>
        <v>4.2</v>
      </c>
      <c r="BG729" s="13">
        <f>BG726+BG728</f>
        <v>2.1</v>
      </c>
      <c r="BH729" s="13">
        <f>BH726+BH728</f>
        <v>2.1</v>
      </c>
      <c r="BI729" s="13">
        <f>BG729+BH729</f>
        <v>4.2</v>
      </c>
      <c r="BJ729" s="13">
        <f>BJ726+BJ728</f>
        <v>2.1</v>
      </c>
      <c r="BK729" s="13">
        <f>BK726+BK728</f>
        <v>2.1</v>
      </c>
      <c r="BL729" s="13">
        <f>BJ729+BK729</f>
        <v>4.2</v>
      </c>
      <c r="BM729" s="13">
        <f>BM726+BM728</f>
        <v>2.1</v>
      </c>
      <c r="BN729" s="13">
        <f>BN726+BN728</f>
        <v>2.1</v>
      </c>
      <c r="BO729" s="13">
        <f>BM729+BN729</f>
        <v>4.2</v>
      </c>
      <c r="BP729" s="13">
        <f>BP726+BP728</f>
        <v>2.1</v>
      </c>
      <c r="BQ729" s="13">
        <f>BQ726+BQ728</f>
        <v>2.1</v>
      </c>
      <c r="BR729" s="13">
        <f>BP729+BQ729</f>
        <v>4.2</v>
      </c>
    </row>
    <row r="730" spans="2:70" s="30" customFormat="1" outlineLevel="2">
      <c r="C730" s="93" t="s">
        <v>74</v>
      </c>
      <c r="D730" s="31" t="s">
        <v>66</v>
      </c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Y730" s="39"/>
      <c r="AB730" s="489">
        <f>AB729/AB725</f>
        <v>0.15</v>
      </c>
      <c r="AC730" s="32"/>
      <c r="AD730" s="32"/>
      <c r="AE730" s="165"/>
      <c r="AF730" s="171"/>
      <c r="AG730" s="937"/>
      <c r="AH730" s="347"/>
      <c r="AI730" s="347"/>
      <c r="AJ730" s="347"/>
      <c r="AK730" s="347"/>
      <c r="AL730" s="347"/>
      <c r="AM730" s="347"/>
      <c r="AN730" s="347"/>
      <c r="AO730" s="347"/>
      <c r="AP730" s="347"/>
      <c r="AQ730" s="347"/>
      <c r="AR730" s="347"/>
      <c r="AS730" s="347"/>
      <c r="AT730" s="347"/>
      <c r="AU730" s="347"/>
      <c r="AV730" s="347"/>
      <c r="AW730" s="347"/>
      <c r="AX730" s="347"/>
      <c r="AY730" s="347"/>
      <c r="AZ730" s="347"/>
      <c r="BA730" s="347"/>
      <c r="BB730" s="347"/>
      <c r="BC730" s="347"/>
      <c r="BD730" s="347"/>
      <c r="BE730" s="347"/>
      <c r="BF730" s="347"/>
      <c r="BG730" s="347"/>
      <c r="BH730" s="347"/>
      <c r="BI730" s="347"/>
      <c r="BJ730" s="347"/>
      <c r="BK730" s="347"/>
      <c r="BL730" s="347"/>
      <c r="BM730" s="347"/>
      <c r="BN730" s="347"/>
      <c r="BO730" s="347"/>
      <c r="BP730" s="347"/>
      <c r="BQ730" s="347"/>
      <c r="BR730" s="347"/>
    </row>
    <row r="731" spans="2:70" s="30" customFormat="1" outlineLevel="2">
      <c r="C731" s="84" t="s">
        <v>90</v>
      </c>
      <c r="D731" s="31" t="s">
        <v>58</v>
      </c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Y731" s="39"/>
      <c r="AB731" s="490"/>
      <c r="AC731" s="32"/>
      <c r="AD731" s="32"/>
      <c r="AE731" s="165"/>
      <c r="AF731" s="390">
        <v>0</v>
      </c>
      <c r="AG731" s="946">
        <v>0</v>
      </c>
      <c r="AH731" s="347">
        <f>AF731+AG731</f>
        <v>0</v>
      </c>
      <c r="AI731" s="435">
        <v>0.25</v>
      </c>
      <c r="AJ731" s="435">
        <v>0.25</v>
      </c>
      <c r="AK731" s="347">
        <f>AI731+AJ731</f>
        <v>0.5</v>
      </c>
      <c r="AL731" s="435">
        <v>0.4</v>
      </c>
      <c r="AM731" s="435">
        <v>0.4</v>
      </c>
      <c r="AN731" s="347">
        <f>AL731+AM731</f>
        <v>0.8</v>
      </c>
      <c r="AO731" s="435">
        <v>0</v>
      </c>
      <c r="AP731" s="435">
        <v>0</v>
      </c>
      <c r="AQ731" s="347">
        <f>AO731+AP731</f>
        <v>0</v>
      </c>
      <c r="AR731" s="435">
        <v>0</v>
      </c>
      <c r="AS731" s="435">
        <v>0</v>
      </c>
      <c r="AT731" s="347">
        <f>AR731+AS731</f>
        <v>0</v>
      </c>
      <c r="AU731" s="435">
        <v>0</v>
      </c>
      <c r="AV731" s="435">
        <v>0</v>
      </c>
      <c r="AW731" s="347">
        <f>AU731+AV731</f>
        <v>0</v>
      </c>
      <c r="AX731" s="435">
        <v>0</v>
      </c>
      <c r="AY731" s="435">
        <v>0</v>
      </c>
      <c r="AZ731" s="347">
        <f>AX731+AY731</f>
        <v>0</v>
      </c>
      <c r="BA731" s="435">
        <v>0</v>
      </c>
      <c r="BB731" s="435">
        <v>0</v>
      </c>
      <c r="BC731" s="347">
        <f>BA731+BB731</f>
        <v>0</v>
      </c>
      <c r="BD731" s="435">
        <v>0</v>
      </c>
      <c r="BE731" s="435">
        <v>0</v>
      </c>
      <c r="BF731" s="347">
        <f>BD731+BE731</f>
        <v>0</v>
      </c>
      <c r="BG731" s="435">
        <v>0</v>
      </c>
      <c r="BH731" s="435">
        <v>0</v>
      </c>
      <c r="BI731" s="347">
        <f>BG731+BH731</f>
        <v>0</v>
      </c>
      <c r="BJ731" s="435">
        <v>0</v>
      </c>
      <c r="BK731" s="435">
        <v>0</v>
      </c>
      <c r="BL731" s="347">
        <f>BJ731+BK731</f>
        <v>0</v>
      </c>
      <c r="BM731" s="435">
        <v>0</v>
      </c>
      <c r="BN731" s="435">
        <v>0</v>
      </c>
      <c r="BO731" s="347">
        <f>BM731+BN731</f>
        <v>0</v>
      </c>
      <c r="BP731" s="435">
        <v>0</v>
      </c>
      <c r="BQ731" s="435">
        <v>0</v>
      </c>
      <c r="BR731" s="347">
        <f>BP731+BQ731</f>
        <v>0</v>
      </c>
    </row>
    <row r="732" spans="2:70" s="30" customFormat="1" outlineLevel="2">
      <c r="C732" s="84" t="s">
        <v>89</v>
      </c>
      <c r="D732" s="31" t="s">
        <v>58</v>
      </c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Y732" s="39"/>
      <c r="AB732" s="487">
        <f>AB733*AB725</f>
        <v>1.4000000000000001</v>
      </c>
      <c r="AC732" s="41"/>
      <c r="AD732" s="41">
        <v>0</v>
      </c>
      <c r="AE732" s="168">
        <f>AC732+AD732</f>
        <v>0</v>
      </c>
      <c r="AF732" s="164">
        <f>AC732+AF731</f>
        <v>0</v>
      </c>
      <c r="AG732" s="1018">
        <f>AD732+AG731</f>
        <v>0</v>
      </c>
      <c r="AH732" s="13">
        <f>AF732+AG732</f>
        <v>0</v>
      </c>
      <c r="AI732" s="13">
        <f>AF732+AI731</f>
        <v>0.25</v>
      </c>
      <c r="AJ732" s="13">
        <f>AG732+AJ731</f>
        <v>0.25</v>
      </c>
      <c r="AK732" s="13">
        <f>AI732+AJ732</f>
        <v>0.5</v>
      </c>
      <c r="AL732" s="13">
        <f>AI732+AL731</f>
        <v>0.65</v>
      </c>
      <c r="AM732" s="13">
        <f>AJ732+AM731</f>
        <v>0.65</v>
      </c>
      <c r="AN732" s="13">
        <f>AL732+AM732</f>
        <v>1.3</v>
      </c>
      <c r="AO732" s="13">
        <f>AL732+AO731</f>
        <v>0.65</v>
      </c>
      <c r="AP732" s="13">
        <f>AM732+AP731</f>
        <v>0.65</v>
      </c>
      <c r="AQ732" s="13">
        <f>AO732+AP732</f>
        <v>1.3</v>
      </c>
      <c r="AR732" s="13">
        <f>AO732+AR731</f>
        <v>0.65</v>
      </c>
      <c r="AS732" s="13">
        <f>AP732+AS731</f>
        <v>0.65</v>
      </c>
      <c r="AT732" s="13">
        <f>AR732+AS732</f>
        <v>1.3</v>
      </c>
      <c r="AU732" s="13">
        <f>AR732+AU731</f>
        <v>0.65</v>
      </c>
      <c r="AV732" s="13">
        <f>AS732+AV731</f>
        <v>0.65</v>
      </c>
      <c r="AW732" s="13">
        <f>AU732+AV732</f>
        <v>1.3</v>
      </c>
      <c r="AX732" s="13">
        <f>AU732+AX731</f>
        <v>0.65</v>
      </c>
      <c r="AY732" s="13">
        <f>AV732+AY731</f>
        <v>0.65</v>
      </c>
      <c r="AZ732" s="13">
        <f>AX732+AY732</f>
        <v>1.3</v>
      </c>
      <c r="BA732" s="13">
        <f>AX732+BA731</f>
        <v>0.65</v>
      </c>
      <c r="BB732" s="13">
        <f>AY732+BB731</f>
        <v>0.65</v>
      </c>
      <c r="BC732" s="13">
        <f>BA732+BB732</f>
        <v>1.3</v>
      </c>
      <c r="BD732" s="13">
        <f>BA732+BD731</f>
        <v>0.65</v>
      </c>
      <c r="BE732" s="13">
        <f>BB732+BE731</f>
        <v>0.65</v>
      </c>
      <c r="BF732" s="13">
        <f>BD732+BE732</f>
        <v>1.3</v>
      </c>
      <c r="BG732" s="13">
        <f>BD732+BG731</f>
        <v>0.65</v>
      </c>
      <c r="BH732" s="13">
        <f>BE732+BH731</f>
        <v>0.65</v>
      </c>
      <c r="BI732" s="13">
        <f>BG732+BH732</f>
        <v>1.3</v>
      </c>
      <c r="BJ732" s="13">
        <f>BG732+BJ731</f>
        <v>0.65</v>
      </c>
      <c r="BK732" s="13">
        <f>BH732+BK731</f>
        <v>0.65</v>
      </c>
      <c r="BL732" s="13">
        <f>BJ732+BK732</f>
        <v>1.3</v>
      </c>
      <c r="BM732" s="13">
        <f>BJ732+BM731</f>
        <v>0.65</v>
      </c>
      <c r="BN732" s="13">
        <f>BK732+BN731</f>
        <v>0.65</v>
      </c>
      <c r="BO732" s="13">
        <f>BM732+BN732</f>
        <v>1.3</v>
      </c>
      <c r="BP732" s="13">
        <f>BM732+BP731</f>
        <v>0.65</v>
      </c>
      <c r="BQ732" s="13">
        <f>BN732+BQ731</f>
        <v>0.65</v>
      </c>
      <c r="BR732" s="13">
        <f>BP732+BQ732</f>
        <v>1.3</v>
      </c>
    </row>
    <row r="733" spans="2:70" s="30" customFormat="1" outlineLevel="2">
      <c r="C733" s="84" t="s">
        <v>264</v>
      </c>
      <c r="D733" s="31" t="s">
        <v>66</v>
      </c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Y733" s="39"/>
      <c r="AB733" s="497">
        <v>0.05</v>
      </c>
      <c r="AC733" s="41"/>
      <c r="AD733" s="41"/>
      <c r="AE733" s="168"/>
      <c r="AF733" s="164"/>
      <c r="AG733" s="1018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</row>
    <row r="734" spans="2:70" s="30" customFormat="1" outlineLevel="2">
      <c r="C734" s="84" t="s">
        <v>79</v>
      </c>
      <c r="D734" s="31" t="s">
        <v>58</v>
      </c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Y734" s="39"/>
      <c r="AB734" s="491">
        <f>AB735*AB723</f>
        <v>5.6000000000000005</v>
      </c>
      <c r="AC734" s="42"/>
      <c r="AD734" s="42">
        <f>AD729+AD732</f>
        <v>2.1</v>
      </c>
      <c r="AE734" s="171">
        <f>AC734+AD734</f>
        <v>2.1</v>
      </c>
      <c r="AF734" s="164">
        <f>AF732+AF729</f>
        <v>2.1</v>
      </c>
      <c r="AG734" s="1018">
        <f>AG732+AG729</f>
        <v>2.1</v>
      </c>
      <c r="AH734" s="13">
        <f>AF734+AG734</f>
        <v>4.2</v>
      </c>
      <c r="AI734" s="13">
        <f>AI732+AI729</f>
        <v>2.35</v>
      </c>
      <c r="AJ734" s="13">
        <f>AJ732+AJ729</f>
        <v>2.35</v>
      </c>
      <c r="AK734" s="13">
        <f>AI734+AJ734</f>
        <v>4.7</v>
      </c>
      <c r="AL734" s="13">
        <f>AL732+AL729</f>
        <v>2.75</v>
      </c>
      <c r="AM734" s="13">
        <f>AM732+AM729</f>
        <v>2.75</v>
      </c>
      <c r="AN734" s="13">
        <f>AL734+AM734</f>
        <v>5.5</v>
      </c>
      <c r="AO734" s="13">
        <f>AO732+AO729</f>
        <v>2.75</v>
      </c>
      <c r="AP734" s="13">
        <f>AP732+AP729</f>
        <v>2.75</v>
      </c>
      <c r="AQ734" s="13">
        <f>AO734+AP734</f>
        <v>5.5</v>
      </c>
      <c r="AR734" s="13">
        <f>AR732+AR729</f>
        <v>2.75</v>
      </c>
      <c r="AS734" s="13">
        <f>AS732+AS729</f>
        <v>2.75</v>
      </c>
      <c r="AT734" s="13">
        <f>AR734+AS734</f>
        <v>5.5</v>
      </c>
      <c r="AU734" s="13">
        <f>AU732+AU729</f>
        <v>2.75</v>
      </c>
      <c r="AV734" s="13">
        <f>AV732+AV729</f>
        <v>2.75</v>
      </c>
      <c r="AW734" s="13">
        <f>AU734+AV734</f>
        <v>5.5</v>
      </c>
      <c r="AX734" s="13">
        <f>AX732+AX729</f>
        <v>2.75</v>
      </c>
      <c r="AY734" s="13">
        <f>AY732+AY729</f>
        <v>2.75</v>
      </c>
      <c r="AZ734" s="13">
        <f>AX734+AY734</f>
        <v>5.5</v>
      </c>
      <c r="BA734" s="13">
        <f>BA732+BA729</f>
        <v>2.75</v>
      </c>
      <c r="BB734" s="13">
        <f>BB732+BB729</f>
        <v>2.75</v>
      </c>
      <c r="BC734" s="13">
        <f>BA734+BB734</f>
        <v>5.5</v>
      </c>
      <c r="BD734" s="13">
        <f>BD732+BD729</f>
        <v>2.75</v>
      </c>
      <c r="BE734" s="13">
        <f>BE732+BE729</f>
        <v>2.75</v>
      </c>
      <c r="BF734" s="13">
        <f>BD734+BE734</f>
        <v>5.5</v>
      </c>
      <c r="BG734" s="13">
        <f>BG732+BG729</f>
        <v>2.75</v>
      </c>
      <c r="BH734" s="13">
        <f>BH732+BH729</f>
        <v>2.75</v>
      </c>
      <c r="BI734" s="13">
        <f>BG734+BH734</f>
        <v>5.5</v>
      </c>
      <c r="BJ734" s="13">
        <f>BJ732+BJ729</f>
        <v>2.75</v>
      </c>
      <c r="BK734" s="13">
        <f>BK732+BK729</f>
        <v>2.75</v>
      </c>
      <c r="BL734" s="13">
        <f>BJ734+BK734</f>
        <v>5.5</v>
      </c>
      <c r="BM734" s="13">
        <f>BM732+BM729</f>
        <v>2.75</v>
      </c>
      <c r="BN734" s="13">
        <f>BN732+BN729</f>
        <v>2.75</v>
      </c>
      <c r="BO734" s="13">
        <f>BM734+BN734</f>
        <v>5.5</v>
      </c>
      <c r="BP734" s="13">
        <f>BP732+BP729</f>
        <v>2.75</v>
      </c>
      <c r="BQ734" s="13">
        <f>BQ732+BQ729</f>
        <v>2.75</v>
      </c>
      <c r="BR734" s="13">
        <f>BP734+BQ734</f>
        <v>5.5</v>
      </c>
    </row>
    <row r="735" spans="2:70" s="30" customFormat="1" outlineLevel="2">
      <c r="C735" s="84" t="s">
        <v>75</v>
      </c>
      <c r="D735" s="31" t="s">
        <v>66</v>
      </c>
      <c r="Y735" s="39"/>
      <c r="AB735" s="492">
        <v>0.2</v>
      </c>
      <c r="AD735" s="466">
        <f>AD734/$AB$723*2</f>
        <v>0.15</v>
      </c>
      <c r="AE735" s="483">
        <f>AE734*2/$AB$723</f>
        <v>0.15</v>
      </c>
      <c r="AF735" s="483">
        <f>AF734/$AB$723*2</f>
        <v>0.15</v>
      </c>
      <c r="AG735" s="966">
        <f>AG734/$AB$723*2</f>
        <v>0.15</v>
      </c>
      <c r="AH735" s="466">
        <f>AH734/$AB$723</f>
        <v>0.15</v>
      </c>
      <c r="AI735" s="466">
        <f>AI734/$AB$723*2</f>
        <v>0.16785714285714287</v>
      </c>
      <c r="AJ735" s="466">
        <f>AJ734/$AB$723*2</f>
        <v>0.16785714285714287</v>
      </c>
      <c r="AK735" s="466">
        <f>AK734/$AB$723</f>
        <v>0.16785714285714287</v>
      </c>
      <c r="AL735" s="466">
        <f>AL734/$AB$723*2</f>
        <v>0.19642857142857142</v>
      </c>
      <c r="AM735" s="466">
        <f>AM734/$AB$723*2</f>
        <v>0.19642857142857142</v>
      </c>
      <c r="AN735" s="466">
        <f>AN734/$AB$723</f>
        <v>0.19642857142857142</v>
      </c>
      <c r="AO735" s="466">
        <f>AO734/$AB$723*2</f>
        <v>0.19642857142857142</v>
      </c>
      <c r="AP735" s="466">
        <f>AP734/$AB$723*2</f>
        <v>0.19642857142857142</v>
      </c>
      <c r="AQ735" s="466">
        <f>AQ734/$AB$723</f>
        <v>0.19642857142857142</v>
      </c>
      <c r="AR735" s="466">
        <f>AR734/$AB$723*2</f>
        <v>0.19642857142857142</v>
      </c>
      <c r="AS735" s="466">
        <f>AS734/$AB$723*2</f>
        <v>0.19642857142857142</v>
      </c>
      <c r="AT735" s="466">
        <f>AT734/$AB$723</f>
        <v>0.19642857142857142</v>
      </c>
      <c r="AU735" s="466">
        <f>AU734/$AB$723*2</f>
        <v>0.19642857142857142</v>
      </c>
      <c r="AV735" s="466">
        <f>AV734/$AB$723*2</f>
        <v>0.19642857142857142</v>
      </c>
      <c r="AW735" s="466">
        <f>AW734/$AB$723</f>
        <v>0.19642857142857142</v>
      </c>
      <c r="AX735" s="466">
        <f>AX734/$AB$723*2</f>
        <v>0.19642857142857142</v>
      </c>
      <c r="AY735" s="466">
        <f>AY734/$AB$723*2</f>
        <v>0.19642857142857142</v>
      </c>
      <c r="AZ735" s="466">
        <f>AZ734/$AB$723</f>
        <v>0.19642857142857142</v>
      </c>
      <c r="BA735" s="466">
        <f>BA734/$AB$723*2</f>
        <v>0.19642857142857142</v>
      </c>
      <c r="BB735" s="466">
        <f>BB734/$AB$723*2</f>
        <v>0.19642857142857142</v>
      </c>
      <c r="BC735" s="466">
        <f>BC734/$AB$723</f>
        <v>0.19642857142857142</v>
      </c>
      <c r="BD735" s="466">
        <f>BD734/$AB$723*2</f>
        <v>0.19642857142857142</v>
      </c>
      <c r="BE735" s="466">
        <f>BE734/$AB$723*2</f>
        <v>0.19642857142857142</v>
      </c>
      <c r="BF735" s="466">
        <f>BF734/$AB$723</f>
        <v>0.19642857142857142</v>
      </c>
      <c r="BG735" s="466">
        <f>BG734/$AB$723*2</f>
        <v>0.19642857142857142</v>
      </c>
      <c r="BH735" s="466">
        <f>BH734/$AB$723*2</f>
        <v>0.19642857142857142</v>
      </c>
      <c r="BI735" s="466">
        <f>BI734/$AB$723</f>
        <v>0.19642857142857142</v>
      </c>
      <c r="BJ735" s="466">
        <f>BJ734/$AB$723*2</f>
        <v>0.19642857142857142</v>
      </c>
      <c r="BK735" s="466">
        <f>BK734/$AB$723*2</f>
        <v>0.19642857142857142</v>
      </c>
      <c r="BL735" s="466">
        <f>BL734/$AB$723</f>
        <v>0.19642857142857142</v>
      </c>
      <c r="BM735" s="466">
        <f>BM734/$AB$723*2</f>
        <v>0.19642857142857142</v>
      </c>
      <c r="BN735" s="466">
        <f>BN734/$AB$723*2</f>
        <v>0.19642857142857142</v>
      </c>
      <c r="BO735" s="466">
        <f>BO734/$AB$723</f>
        <v>0.19642857142857142</v>
      </c>
      <c r="BP735" s="466">
        <f>BP734/$AB$723*2</f>
        <v>0.19642857142857142</v>
      </c>
      <c r="BQ735" s="466">
        <f>BQ734/$AB$723*2</f>
        <v>0.19642857142857142</v>
      </c>
      <c r="BR735" s="466">
        <f>BR734/$AB$723</f>
        <v>0.19642857142857142</v>
      </c>
    </row>
    <row r="736" spans="2:70" s="85" customFormat="1" outlineLevel="2">
      <c r="C736" s="467" t="s">
        <v>57</v>
      </c>
      <c r="D736" s="96" t="s">
        <v>85</v>
      </c>
      <c r="E736" s="96"/>
      <c r="F736" s="96"/>
      <c r="G736" s="96"/>
      <c r="H736" s="96"/>
      <c r="I736" s="96"/>
      <c r="J736" s="96"/>
      <c r="K736" s="96"/>
      <c r="L736" s="96"/>
      <c r="M736" s="96"/>
      <c r="N736" s="96"/>
      <c r="O736" s="96"/>
      <c r="Y736" s="494"/>
      <c r="AA736" s="494"/>
      <c r="AB736" s="494"/>
      <c r="AC736" s="494"/>
      <c r="AD736" s="495">
        <f t="shared" ref="AD736:AN736" si="2410">AD734/AD$259</f>
        <v>1.9399583043780406</v>
      </c>
      <c r="AE736" s="496">
        <f t="shared" si="2410"/>
        <v>1.9280228656642224</v>
      </c>
      <c r="AF736" s="496">
        <f t="shared" si="2410"/>
        <v>1.7856350806451613</v>
      </c>
      <c r="AG736" s="1019">
        <f t="shared" si="2410"/>
        <v>1.7721518987341771</v>
      </c>
      <c r="AH736" s="495">
        <f t="shared" si="2410"/>
        <v>3.5577358812682101</v>
      </c>
      <c r="AI736" s="495">
        <f t="shared" si="2410"/>
        <v>2.052401746724891</v>
      </c>
      <c r="AJ736" s="495">
        <f t="shared" si="2410"/>
        <v>1.9421487603305787</v>
      </c>
      <c r="AK736" s="495">
        <f t="shared" si="2410"/>
        <v>3.9915074309978769</v>
      </c>
      <c r="AL736" s="495">
        <f t="shared" si="2410"/>
        <v>2.2000000000000002</v>
      </c>
      <c r="AM736" s="495">
        <f t="shared" si="2410"/>
        <v>2.2000000000000002</v>
      </c>
      <c r="AN736" s="495">
        <f t="shared" si="2410"/>
        <v>4.4000000000000004</v>
      </c>
      <c r="AO736" s="495">
        <f t="shared" ref="AO736:BR736" si="2411">AO734/AO$259</f>
        <v>2.2000000000000002</v>
      </c>
      <c r="AP736" s="495">
        <f t="shared" si="2411"/>
        <v>2.2000000000000002</v>
      </c>
      <c r="AQ736" s="495">
        <f t="shared" si="2411"/>
        <v>4.4000000000000004</v>
      </c>
      <c r="AR736" s="495">
        <f t="shared" si="2411"/>
        <v>2.2000000000000002</v>
      </c>
      <c r="AS736" s="495">
        <f t="shared" si="2411"/>
        <v>2.2000000000000002</v>
      </c>
      <c r="AT736" s="495">
        <f t="shared" si="2411"/>
        <v>4.4000000000000004</v>
      </c>
      <c r="AU736" s="495">
        <f t="shared" si="2411"/>
        <v>2.2000000000000002</v>
      </c>
      <c r="AV736" s="495">
        <f t="shared" si="2411"/>
        <v>2.2000000000000002</v>
      </c>
      <c r="AW736" s="495">
        <f t="shared" si="2411"/>
        <v>4.4000000000000004</v>
      </c>
      <c r="AX736" s="495">
        <f t="shared" si="2411"/>
        <v>2.2000000000000002</v>
      </c>
      <c r="AY736" s="495">
        <f t="shared" si="2411"/>
        <v>2.2000000000000002</v>
      </c>
      <c r="AZ736" s="495">
        <f t="shared" si="2411"/>
        <v>4.4000000000000004</v>
      </c>
      <c r="BA736" s="495">
        <f t="shared" si="2411"/>
        <v>2.2000000000000002</v>
      </c>
      <c r="BB736" s="495">
        <f t="shared" si="2411"/>
        <v>2.2000000000000002</v>
      </c>
      <c r="BC736" s="495">
        <f t="shared" si="2411"/>
        <v>4.4000000000000004</v>
      </c>
      <c r="BD736" s="495">
        <f t="shared" si="2411"/>
        <v>2.2000000000000002</v>
      </c>
      <c r="BE736" s="495">
        <f t="shared" si="2411"/>
        <v>2.2000000000000002</v>
      </c>
      <c r="BF736" s="495">
        <f t="shared" si="2411"/>
        <v>4.4000000000000004</v>
      </c>
      <c r="BG736" s="495">
        <f t="shared" si="2411"/>
        <v>2.2000000000000002</v>
      </c>
      <c r="BH736" s="495">
        <f t="shared" si="2411"/>
        <v>2.2000000000000002</v>
      </c>
      <c r="BI736" s="495">
        <f t="shared" si="2411"/>
        <v>4.4000000000000004</v>
      </c>
      <c r="BJ736" s="495">
        <f t="shared" si="2411"/>
        <v>2.2000000000000002</v>
      </c>
      <c r="BK736" s="495">
        <f t="shared" si="2411"/>
        <v>2.2000000000000002</v>
      </c>
      <c r="BL736" s="495">
        <f t="shared" si="2411"/>
        <v>4.4000000000000004</v>
      </c>
      <c r="BM736" s="495">
        <f t="shared" si="2411"/>
        <v>2.2000000000000002</v>
      </c>
      <c r="BN736" s="495">
        <f t="shared" si="2411"/>
        <v>2.2000000000000002</v>
      </c>
      <c r="BO736" s="495">
        <f t="shared" si="2411"/>
        <v>4.4000000000000004</v>
      </c>
      <c r="BP736" s="495">
        <f t="shared" si="2411"/>
        <v>2.2000000000000002</v>
      </c>
      <c r="BQ736" s="495">
        <f t="shared" si="2411"/>
        <v>2.2000000000000002</v>
      </c>
      <c r="BR736" s="495">
        <f t="shared" si="2411"/>
        <v>4.4000000000000004</v>
      </c>
    </row>
    <row r="737" spans="2:71" outlineLevel="2">
      <c r="B737" s="5"/>
      <c r="C737" s="511" t="s">
        <v>267</v>
      </c>
      <c r="D737" s="512" t="s">
        <v>85</v>
      </c>
      <c r="E737" s="512"/>
      <c r="F737" s="512"/>
      <c r="G737" s="512"/>
      <c r="H737" s="512"/>
      <c r="I737" s="512"/>
      <c r="J737" s="512"/>
      <c r="K737" s="512"/>
      <c r="L737" s="512"/>
      <c r="M737" s="512"/>
      <c r="N737" s="512"/>
      <c r="O737" s="512"/>
      <c r="P737" s="513"/>
      <c r="Q737" s="513"/>
      <c r="R737" s="513"/>
      <c r="S737" s="513"/>
      <c r="T737" s="513"/>
      <c r="U737" s="513"/>
      <c r="V737" s="513"/>
      <c r="W737" s="513"/>
      <c r="X737" s="513"/>
      <c r="Y737" s="513"/>
      <c r="Z737" s="513"/>
      <c r="AA737" s="513"/>
      <c r="AB737" s="513"/>
      <c r="AC737" s="514"/>
      <c r="AD737" s="514">
        <f>(AD725-AA725)/AD259</f>
        <v>12.933055362520269</v>
      </c>
      <c r="AE737" s="514">
        <f>+AD737+AC737</f>
        <v>12.933055362520269</v>
      </c>
      <c r="AF737" s="514">
        <f>(AF725-AC725)/AF259</f>
        <v>11.904233870967742</v>
      </c>
      <c r="AG737" s="1020">
        <f>(AG725-$AD$725)/AG259</f>
        <v>0</v>
      </c>
      <c r="AH737" s="514">
        <f>AF737+AG737</f>
        <v>11.904233870967742</v>
      </c>
      <c r="AI737" s="514">
        <f>(AI725-AF725)/AI259</f>
        <v>0</v>
      </c>
      <c r="AJ737" s="514">
        <f>(AJ725-AG725)/AJ259</f>
        <v>0</v>
      </c>
      <c r="AK737" s="514">
        <f>+AJ737+AI737</f>
        <v>0</v>
      </c>
      <c r="AL737" s="514">
        <f>(AL725-AI725)/AL259</f>
        <v>0</v>
      </c>
      <c r="AM737" s="514">
        <f>(AM725-AJ725)/AM259</f>
        <v>0</v>
      </c>
      <c r="AN737" s="514">
        <f>+AM737+AL737</f>
        <v>0</v>
      </c>
      <c r="AO737" s="514">
        <f>(AO725-AL725)/AO259</f>
        <v>0</v>
      </c>
      <c r="AP737" s="514">
        <f>(AP725-AM725)/AP259</f>
        <v>0</v>
      </c>
      <c r="AQ737" s="514">
        <f>+AP737+AO737</f>
        <v>0</v>
      </c>
      <c r="AR737" s="514">
        <f>(AR725-AO725)/AR259</f>
        <v>0</v>
      </c>
      <c r="AS737" s="514">
        <f>(AS725-AP725)/AS259</f>
        <v>0</v>
      </c>
      <c r="AT737" s="514">
        <f>+AS737+AR737</f>
        <v>0</v>
      </c>
      <c r="AU737" s="514">
        <f>(AU725-AR725)/AU259</f>
        <v>0</v>
      </c>
      <c r="AV737" s="514">
        <f>(AV725-AS725)/AV259</f>
        <v>0</v>
      </c>
      <c r="AW737" s="514">
        <f>+AV737+AU737</f>
        <v>0</v>
      </c>
      <c r="AX737" s="514">
        <f>(AX725-AU725)/AX259</f>
        <v>0</v>
      </c>
      <c r="AY737" s="514">
        <f>(AY725-AV725)/AY259</f>
        <v>0</v>
      </c>
      <c r="AZ737" s="514">
        <f>+AY737+AX737</f>
        <v>0</v>
      </c>
      <c r="BA737" s="514">
        <f>(BA725-AX725)/BA259</f>
        <v>0</v>
      </c>
      <c r="BB737" s="514">
        <f>(BB725-AY725)/BB259</f>
        <v>0</v>
      </c>
      <c r="BC737" s="514">
        <f>+BB737+BA737</f>
        <v>0</v>
      </c>
      <c r="BD737" s="514">
        <f>(BD725-BA725)/BD259</f>
        <v>0</v>
      </c>
      <c r="BE737" s="514">
        <f>(BE725-BB725)/BE259</f>
        <v>0</v>
      </c>
      <c r="BF737" s="514">
        <f>+BE737+BD737</f>
        <v>0</v>
      </c>
      <c r="BG737" s="514">
        <f>(BG725-BD725)/BG259</f>
        <v>0</v>
      </c>
      <c r="BH737" s="514">
        <f>(BH725-BE725)/BH259</f>
        <v>0</v>
      </c>
      <c r="BI737" s="514">
        <f>+BH737+BG737</f>
        <v>0</v>
      </c>
      <c r="BJ737" s="514">
        <f>(BJ725-BG725)/BJ259</f>
        <v>0</v>
      </c>
      <c r="BK737" s="514">
        <f>(BK725-BH725)/BK259</f>
        <v>0</v>
      </c>
      <c r="BL737" s="514">
        <f>+BK737+BJ737</f>
        <v>0</v>
      </c>
      <c r="BM737" s="514">
        <f>(BM725-BJ725)/BM259</f>
        <v>0</v>
      </c>
      <c r="BN737" s="514">
        <f>(BN725-BK725)/BN259</f>
        <v>0</v>
      </c>
      <c r="BO737" s="514">
        <f>+BN737+BM737</f>
        <v>0</v>
      </c>
      <c r="BP737" s="514">
        <f>(BP725-BM725)/BP259</f>
        <v>0</v>
      </c>
      <c r="BQ737" s="514">
        <f>(BQ725-BN725)/BQ259</f>
        <v>0</v>
      </c>
      <c r="BR737" s="515">
        <f>+BQ737+BP737</f>
        <v>0</v>
      </c>
    </row>
    <row r="738" spans="2:71" outlineLevel="2">
      <c r="B738" s="5"/>
      <c r="C738" s="516" t="s">
        <v>268</v>
      </c>
      <c r="D738" s="401" t="s">
        <v>85</v>
      </c>
      <c r="E738" s="401"/>
      <c r="F738" s="401"/>
      <c r="G738" s="401"/>
      <c r="H738" s="401"/>
      <c r="I738" s="401"/>
      <c r="J738" s="401"/>
      <c r="K738" s="401"/>
      <c r="L738" s="401"/>
      <c r="M738" s="401"/>
      <c r="N738" s="401"/>
      <c r="O738" s="401"/>
      <c r="P738" s="130"/>
      <c r="Q738" s="130"/>
      <c r="R738" s="130"/>
      <c r="S738" s="130"/>
      <c r="T738" s="130"/>
      <c r="U738" s="130"/>
      <c r="V738" s="130"/>
      <c r="W738" s="130"/>
      <c r="X738" s="130"/>
      <c r="Y738" s="130"/>
      <c r="Z738" s="130"/>
      <c r="AA738" s="130"/>
      <c r="AB738" s="130"/>
      <c r="AC738" s="130"/>
      <c r="AD738" s="171">
        <f>(AD728-AA728)/AD259</f>
        <v>-0.46189483437572393</v>
      </c>
      <c r="AE738" s="171">
        <f>+AD738+AC738</f>
        <v>-0.46189483437572393</v>
      </c>
      <c r="AF738" s="171">
        <f>(AF728-AC728)/AF259</f>
        <v>-0.42515120967741932</v>
      </c>
      <c r="AG738" s="937">
        <f>(AG728-AD728)/AG259</f>
        <v>0</v>
      </c>
      <c r="AH738" s="171">
        <f>+AG738+AF738</f>
        <v>-0.42515120967741932</v>
      </c>
      <c r="AI738" s="171">
        <f>(AI728-AF728)/AI259</f>
        <v>0</v>
      </c>
      <c r="AJ738" s="171">
        <f>(AJ728-AG728)/AJ259</f>
        <v>0</v>
      </c>
      <c r="AK738" s="171">
        <f>+AJ738+AI738</f>
        <v>0</v>
      </c>
      <c r="AL738" s="171">
        <f>(AL728-AI728)/AL259</f>
        <v>0</v>
      </c>
      <c r="AM738" s="171">
        <f>(AM728-AJ728)/AM259</f>
        <v>0</v>
      </c>
      <c r="AN738" s="171">
        <f>+AM738+AL738</f>
        <v>0</v>
      </c>
      <c r="AO738" s="171">
        <f>(AO728-AL728)/AO259</f>
        <v>0</v>
      </c>
      <c r="AP738" s="171">
        <f>(AP728-AM728)/AP259</f>
        <v>0</v>
      </c>
      <c r="AQ738" s="171">
        <f>+AP738+AO738</f>
        <v>0</v>
      </c>
      <c r="AR738" s="171">
        <f>(AR728-AO728)/AR259</f>
        <v>0</v>
      </c>
      <c r="AS738" s="171">
        <f>(AS728-AP728)/AS259</f>
        <v>0</v>
      </c>
      <c r="AT738" s="171">
        <f>+AS738+AR738</f>
        <v>0</v>
      </c>
      <c r="AU738" s="171">
        <f>(AU728-AR728)/AU259</f>
        <v>0</v>
      </c>
      <c r="AV738" s="171">
        <f>(AV728-AS728)/AV259</f>
        <v>0</v>
      </c>
      <c r="AW738" s="171">
        <f>+AV738+AU738</f>
        <v>0</v>
      </c>
      <c r="AX738" s="171">
        <f>(AX728-AU728)/AX259</f>
        <v>0</v>
      </c>
      <c r="AY738" s="171">
        <f>(AY728-AV728)/AY259</f>
        <v>0</v>
      </c>
      <c r="AZ738" s="171">
        <f>+AY738+AX738</f>
        <v>0</v>
      </c>
      <c r="BA738" s="171">
        <f>(BA728-AX728)/BA259</f>
        <v>0</v>
      </c>
      <c r="BB738" s="171">
        <f>(BB728-AY728)/BB259</f>
        <v>0</v>
      </c>
      <c r="BC738" s="171">
        <f>+BB738+BA738</f>
        <v>0</v>
      </c>
      <c r="BD738" s="171">
        <f>(BD728-BA728)/BD259</f>
        <v>0</v>
      </c>
      <c r="BE738" s="171">
        <f>(BE728-BB728)/BE259</f>
        <v>0</v>
      </c>
      <c r="BF738" s="171">
        <f>+BE738+BD738</f>
        <v>0</v>
      </c>
      <c r="BG738" s="171">
        <f>(BG728-BD728)/BG259</f>
        <v>0</v>
      </c>
      <c r="BH738" s="171">
        <f>(BH728-BE728)/BH259</f>
        <v>0</v>
      </c>
      <c r="BI738" s="171">
        <f>+BH738+BG738</f>
        <v>0</v>
      </c>
      <c r="BJ738" s="171">
        <f>(BJ728-BG728)/BJ259</f>
        <v>0</v>
      </c>
      <c r="BK738" s="171">
        <f>(BK728-BH728)/BK259</f>
        <v>0</v>
      </c>
      <c r="BL738" s="171">
        <f>+BK738+BJ738</f>
        <v>0</v>
      </c>
      <c r="BM738" s="171">
        <f>(BM728-BJ728)/BM259</f>
        <v>0</v>
      </c>
      <c r="BN738" s="171">
        <f>(BN728-BK728)/BN259</f>
        <v>0</v>
      </c>
      <c r="BO738" s="171">
        <f>+BN738+BM738</f>
        <v>0</v>
      </c>
      <c r="BP738" s="171">
        <f>(BP728-BM728)/BP259</f>
        <v>0</v>
      </c>
      <c r="BQ738" s="171">
        <f>(BQ728-BN728)/BQ259</f>
        <v>0</v>
      </c>
      <c r="BR738" s="517">
        <f>+BQ738+BP738</f>
        <v>0</v>
      </c>
    </row>
    <row r="739" spans="2:71" outlineLevel="2">
      <c r="B739" s="5"/>
      <c r="C739" s="518" t="s">
        <v>269</v>
      </c>
      <c r="D739" s="519" t="s">
        <v>85</v>
      </c>
      <c r="E739" s="519"/>
      <c r="F739" s="519"/>
      <c r="G739" s="519"/>
      <c r="H739" s="519"/>
      <c r="I739" s="519"/>
      <c r="J739" s="519"/>
      <c r="K739" s="519"/>
      <c r="L739" s="519"/>
      <c r="M739" s="519"/>
      <c r="N739" s="519"/>
      <c r="O739" s="519"/>
      <c r="P739" s="520"/>
      <c r="Q739" s="520"/>
      <c r="R739" s="520"/>
      <c r="S739" s="520"/>
      <c r="T739" s="520"/>
      <c r="U739" s="520"/>
      <c r="V739" s="520"/>
      <c r="W739" s="520"/>
      <c r="X739" s="520"/>
      <c r="Y739" s="520"/>
      <c r="Z739" s="520"/>
      <c r="AA739" s="520"/>
      <c r="AB739" s="520"/>
      <c r="AC739" s="520"/>
      <c r="AD739" s="521">
        <f>+AD736-AA736</f>
        <v>1.9399583043780406</v>
      </c>
      <c r="AE739" s="521">
        <f>+AD739+AC739</f>
        <v>1.9399583043780406</v>
      </c>
      <c r="AF739" s="521">
        <f>+AF736-AC736</f>
        <v>1.7856350806451613</v>
      </c>
      <c r="AG739" s="1021">
        <f>+AG736-AD736</f>
        <v>-0.16780640564386351</v>
      </c>
      <c r="AH739" s="521">
        <f>+AG739+AF739</f>
        <v>1.6178286750012978</v>
      </c>
      <c r="AI739" s="521">
        <f t="shared" ref="AI739:AM739" si="2412">+AI736-AF736</f>
        <v>0.26676666607972965</v>
      </c>
      <c r="AJ739" s="521">
        <f t="shared" si="2412"/>
        <v>0.16999686159640159</v>
      </c>
      <c r="AK739" s="521">
        <f>+AJ739+AI739</f>
        <v>0.43676352767613125</v>
      </c>
      <c r="AL739" s="521">
        <f t="shared" si="2412"/>
        <v>0.14759825327510923</v>
      </c>
      <c r="AM739" s="521">
        <f t="shared" si="2412"/>
        <v>0.25785123966942147</v>
      </c>
      <c r="AN739" s="521">
        <f>+AM739+AL739</f>
        <v>0.4054494929445307</v>
      </c>
      <c r="AO739" s="521">
        <f t="shared" ref="AO739" si="2413">+AO736-AL736</f>
        <v>0</v>
      </c>
      <c r="AP739" s="521">
        <f t="shared" ref="AP739" si="2414">+AP736-AM736</f>
        <v>0</v>
      </c>
      <c r="AQ739" s="521">
        <f>+AP739+AO739</f>
        <v>0</v>
      </c>
      <c r="AR739" s="521">
        <f t="shared" ref="AR739" si="2415">+AR736-AO736</f>
        <v>0</v>
      </c>
      <c r="AS739" s="521">
        <f t="shared" ref="AS739" si="2416">+AS736-AP736</f>
        <v>0</v>
      </c>
      <c r="AT739" s="521">
        <f>+AS739+AR739</f>
        <v>0</v>
      </c>
      <c r="AU739" s="521">
        <f t="shared" ref="AU739" si="2417">+AU736-AR736</f>
        <v>0</v>
      </c>
      <c r="AV739" s="521">
        <f t="shared" ref="AV739" si="2418">+AV736-AS736</f>
        <v>0</v>
      </c>
      <c r="AW739" s="521">
        <f>+AV739+AU739</f>
        <v>0</v>
      </c>
      <c r="AX739" s="521">
        <f t="shared" ref="AX739" si="2419">+AX736-AU736</f>
        <v>0</v>
      </c>
      <c r="AY739" s="521">
        <f t="shared" ref="AY739" si="2420">+AY736-AV736</f>
        <v>0</v>
      </c>
      <c r="AZ739" s="521">
        <f>+AY739+AX739</f>
        <v>0</v>
      </c>
      <c r="BA739" s="521">
        <f t="shared" ref="BA739" si="2421">+BA736-AX736</f>
        <v>0</v>
      </c>
      <c r="BB739" s="521">
        <f t="shared" ref="BB739" si="2422">+BB736-AY736</f>
        <v>0</v>
      </c>
      <c r="BC739" s="521">
        <f>+BB739+BA739</f>
        <v>0</v>
      </c>
      <c r="BD739" s="521">
        <f t="shared" ref="BD739" si="2423">+BD736-BA736</f>
        <v>0</v>
      </c>
      <c r="BE739" s="521">
        <f t="shared" ref="BE739" si="2424">+BE736-BB736</f>
        <v>0</v>
      </c>
      <c r="BF739" s="521">
        <f>+BE739+BD739</f>
        <v>0</v>
      </c>
      <c r="BG739" s="521">
        <f t="shared" ref="BG739" si="2425">+BG736-BD736</f>
        <v>0</v>
      </c>
      <c r="BH739" s="521">
        <f t="shared" ref="BH739" si="2426">+BH736-BE736</f>
        <v>0</v>
      </c>
      <c r="BI739" s="521">
        <f>+BH739+BG739</f>
        <v>0</v>
      </c>
      <c r="BJ739" s="521">
        <f t="shared" ref="BJ739" si="2427">+BJ736-BG736</f>
        <v>0</v>
      </c>
      <c r="BK739" s="521">
        <f t="shared" ref="BK739" si="2428">+BK736-BH736</f>
        <v>0</v>
      </c>
      <c r="BL739" s="521">
        <f>+BK739+BJ739</f>
        <v>0</v>
      </c>
      <c r="BM739" s="521">
        <f t="shared" ref="BM739" si="2429">+BM736-BJ736</f>
        <v>0</v>
      </c>
      <c r="BN739" s="521">
        <f t="shared" ref="BN739" si="2430">+BN736-BK736</f>
        <v>0</v>
      </c>
      <c r="BO739" s="521">
        <f>+BN739+BM739</f>
        <v>0</v>
      </c>
      <c r="BP739" s="521">
        <f t="shared" ref="BP739" si="2431">+BP736-BM736</f>
        <v>0</v>
      </c>
      <c r="BQ739" s="521">
        <f t="shared" ref="BQ739" si="2432">+BQ736-BN736</f>
        <v>0</v>
      </c>
      <c r="BR739" s="522">
        <f>+BQ739+BP739</f>
        <v>0</v>
      </c>
    </row>
    <row r="740" spans="2:71" outlineLevel="2">
      <c r="B740" s="5"/>
      <c r="C740" s="8" t="s">
        <v>87</v>
      </c>
    </row>
    <row r="741" spans="2:71" outlineLevel="2">
      <c r="B741" s="5"/>
      <c r="C741" s="9" t="s">
        <v>266</v>
      </c>
      <c r="Y741" s="498" t="s">
        <v>81</v>
      </c>
    </row>
    <row r="742" spans="2:71" outlineLevel="2">
      <c r="B742" s="5"/>
      <c r="C742" s="9" t="s">
        <v>262</v>
      </c>
      <c r="Y742" s="485">
        <v>42522</v>
      </c>
      <c r="Z742" s="89"/>
    </row>
    <row r="743" spans="2:71" s="30" customFormat="1" outlineLevel="2">
      <c r="C743" s="84" t="s">
        <v>72</v>
      </c>
      <c r="D743" s="31" t="s">
        <v>58</v>
      </c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Y743" s="486">
        <v>435</v>
      </c>
      <c r="Z743" s="35"/>
      <c r="AC743" s="35"/>
      <c r="AE743" s="168"/>
      <c r="AF743" s="168"/>
      <c r="AG743" s="964"/>
    </row>
    <row r="744" spans="2:71" s="30" customFormat="1" outlineLevel="2">
      <c r="C744" s="84" t="s">
        <v>76</v>
      </c>
      <c r="D744" s="74" t="s">
        <v>77</v>
      </c>
      <c r="E744" s="2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Y744" s="486">
        <v>8.5</v>
      </c>
      <c r="Z744" s="35"/>
      <c r="AC744" s="35"/>
      <c r="AE744" s="165"/>
      <c r="AF744" s="168"/>
      <c r="AG744" s="964"/>
    </row>
    <row r="745" spans="2:71" s="30" customFormat="1" outlineLevel="2">
      <c r="C745" s="84" t="s">
        <v>55</v>
      </c>
      <c r="D745" s="31" t="s">
        <v>58</v>
      </c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Y745" s="486">
        <v>375</v>
      </c>
      <c r="Z745" s="35"/>
      <c r="AA745" s="347">
        <f>Y745*0.5*(1/6)</f>
        <v>31.25</v>
      </c>
      <c r="AB745" s="347">
        <f>SUM(Z745:AA745)</f>
        <v>31.25</v>
      </c>
      <c r="AC745" s="37">
        <f>AE745*0.5</f>
        <v>155.625</v>
      </c>
      <c r="AD745" s="37">
        <f>AE745-AC745</f>
        <v>155.625</v>
      </c>
      <c r="AE745" s="26">
        <f>Y745*0.83</f>
        <v>311.25</v>
      </c>
      <c r="AF745" s="167">
        <f>AC745</f>
        <v>155.625</v>
      </c>
      <c r="AG745" s="1018">
        <f>AD745</f>
        <v>155.625</v>
      </c>
      <c r="AH745" s="13">
        <f>AE745</f>
        <v>311.25</v>
      </c>
      <c r="AI745" s="13">
        <f>AF745</f>
        <v>155.625</v>
      </c>
      <c r="AJ745" s="13">
        <f>AG745</f>
        <v>155.625</v>
      </c>
      <c r="AK745" s="13">
        <f>AI745+AJ745</f>
        <v>311.25</v>
      </c>
      <c r="AL745" s="13">
        <f>AI745</f>
        <v>155.625</v>
      </c>
      <c r="AM745" s="13">
        <f>AJ745</f>
        <v>155.625</v>
      </c>
      <c r="AN745" s="13">
        <f>AL745+AM745</f>
        <v>311.25</v>
      </c>
      <c r="AO745" s="13">
        <f>AL745</f>
        <v>155.625</v>
      </c>
      <c r="AP745" s="13">
        <f>AM745</f>
        <v>155.625</v>
      </c>
      <c r="AQ745" s="13">
        <f>AO745+AP745</f>
        <v>311.25</v>
      </c>
      <c r="AR745" s="13">
        <f>AO745</f>
        <v>155.625</v>
      </c>
      <c r="AS745" s="13">
        <f>AP745</f>
        <v>155.625</v>
      </c>
      <c r="AT745" s="13">
        <f>AR745+AS745</f>
        <v>311.25</v>
      </c>
      <c r="AU745" s="13">
        <f>AR745</f>
        <v>155.625</v>
      </c>
      <c r="AV745" s="13">
        <f>AS745</f>
        <v>155.625</v>
      </c>
      <c r="AW745" s="13">
        <f>AU745+AV745</f>
        <v>311.25</v>
      </c>
      <c r="AX745" s="13">
        <f t="shared" ref="AX745:AY745" si="2433">AU745</f>
        <v>155.625</v>
      </c>
      <c r="AY745" s="13">
        <f t="shared" si="2433"/>
        <v>155.625</v>
      </c>
      <c r="AZ745" s="13">
        <f t="shared" ref="AZ745:AZ746" si="2434">AX745+AY745</f>
        <v>311.25</v>
      </c>
      <c r="BA745" s="13">
        <f t="shared" ref="BA745:BB745" si="2435">AX745</f>
        <v>155.625</v>
      </c>
      <c r="BB745" s="13">
        <f t="shared" si="2435"/>
        <v>155.625</v>
      </c>
      <c r="BC745" s="13">
        <f t="shared" ref="BC745:BC746" si="2436">BA745+BB745</f>
        <v>311.25</v>
      </c>
      <c r="BD745" s="13">
        <f t="shared" ref="BD745:BE745" si="2437">BA745</f>
        <v>155.625</v>
      </c>
      <c r="BE745" s="13">
        <f t="shared" si="2437"/>
        <v>155.625</v>
      </c>
      <c r="BF745" s="13">
        <f t="shared" ref="BF745:BF746" si="2438">BD745+BE745</f>
        <v>311.25</v>
      </c>
      <c r="BG745" s="13">
        <f t="shared" ref="BG745:BH745" si="2439">BD745</f>
        <v>155.625</v>
      </c>
      <c r="BH745" s="13">
        <f t="shared" si="2439"/>
        <v>155.625</v>
      </c>
      <c r="BI745" s="13">
        <f t="shared" ref="BI745:BI746" si="2440">BG745+BH745</f>
        <v>311.25</v>
      </c>
      <c r="BJ745" s="13">
        <f t="shared" ref="BJ745:BK745" si="2441">BG745</f>
        <v>155.625</v>
      </c>
      <c r="BK745" s="13">
        <f t="shared" si="2441"/>
        <v>155.625</v>
      </c>
      <c r="BL745" s="13">
        <f t="shared" ref="BL745:BL746" si="2442">BJ745+BK745</f>
        <v>311.25</v>
      </c>
      <c r="BM745" s="13">
        <f t="shared" ref="BM745:BN745" si="2443">BJ745</f>
        <v>155.625</v>
      </c>
      <c r="BN745" s="13">
        <f t="shared" si="2443"/>
        <v>155.625</v>
      </c>
      <c r="BO745" s="13">
        <f t="shared" ref="BO745:BO746" si="2444">BM745+BN745</f>
        <v>311.25</v>
      </c>
      <c r="BP745" s="13">
        <f t="shared" ref="BP745:BQ745" si="2445">BM745</f>
        <v>155.625</v>
      </c>
      <c r="BQ745" s="13">
        <f t="shared" si="2445"/>
        <v>155.625</v>
      </c>
      <c r="BR745" s="13">
        <f t="shared" ref="BR745:BR746" si="2446">BP745+BQ745</f>
        <v>311.25</v>
      </c>
    </row>
    <row r="746" spans="2:71" s="30" customFormat="1" outlineLevel="2">
      <c r="C746" s="84" t="s">
        <v>595</v>
      </c>
      <c r="D746" s="31" t="s">
        <v>58</v>
      </c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Y746" s="488">
        <f>Y743/Y744</f>
        <v>51.176470588235297</v>
      </c>
      <c r="Z746" s="39"/>
      <c r="AA746" s="347">
        <f>+AA747*AA745</f>
        <v>4.2647058823529411</v>
      </c>
      <c r="AB746" s="347">
        <f>SUM(Z746:AA746)</f>
        <v>4.2647058823529411</v>
      </c>
      <c r="AC746" s="37">
        <f>+AC747*AC745</f>
        <v>21.238235294117647</v>
      </c>
      <c r="AD746" s="37">
        <f>+AD747*AD745</f>
        <v>21.238235294117647</v>
      </c>
      <c r="AE746" s="26">
        <f>+AD746+AC746</f>
        <v>42.476470588235294</v>
      </c>
      <c r="AF746" s="167">
        <f>AH746*0.5</f>
        <v>21.238235294117647</v>
      </c>
      <c r="AG746" s="1018">
        <f>AH746*0.5</f>
        <v>21.238235294117647</v>
      </c>
      <c r="AH746" s="13">
        <f>AE746</f>
        <v>42.476470588235294</v>
      </c>
      <c r="AI746" s="13">
        <f>AI747*AI745</f>
        <v>21.238235294117647</v>
      </c>
      <c r="AJ746" s="13">
        <f>AJ747*AJ745</f>
        <v>21.238235294117647</v>
      </c>
      <c r="AK746" s="13">
        <f>AI746+AJ746</f>
        <v>42.476470588235294</v>
      </c>
      <c r="AL746" s="13">
        <f>AL747*AL745</f>
        <v>21.238235294117647</v>
      </c>
      <c r="AM746" s="13">
        <f>AM747*AM745</f>
        <v>21.238235294117647</v>
      </c>
      <c r="AN746" s="13">
        <f>AL746+AM746</f>
        <v>42.476470588235294</v>
      </c>
      <c r="AO746" s="13">
        <f>AO747*AO745</f>
        <v>21.238235294117647</v>
      </c>
      <c r="AP746" s="13">
        <f>AP747*AP745</f>
        <v>21.238235294117647</v>
      </c>
      <c r="AQ746" s="13">
        <f>AO746+AP746</f>
        <v>42.476470588235294</v>
      </c>
      <c r="AR746" s="13">
        <f>AR747*AR745</f>
        <v>21.238235294117647</v>
      </c>
      <c r="AS746" s="13">
        <f>AS747*AS745</f>
        <v>21.238235294117647</v>
      </c>
      <c r="AT746" s="13">
        <f>AR746+AS746</f>
        <v>42.476470588235294</v>
      </c>
      <c r="AU746" s="13">
        <f>AU747*AU745</f>
        <v>21.238235294117647</v>
      </c>
      <c r="AV746" s="13">
        <f>AV747*AV745</f>
        <v>21.238235294117647</v>
      </c>
      <c r="AW746" s="13">
        <f>AU746+AV746</f>
        <v>42.476470588235294</v>
      </c>
      <c r="AX746" s="13">
        <f t="shared" ref="AX746:AY746" si="2447">AX747*AX745</f>
        <v>21.238235294117647</v>
      </c>
      <c r="AY746" s="13">
        <f t="shared" si="2447"/>
        <v>21.238235294117647</v>
      </c>
      <c r="AZ746" s="13">
        <f t="shared" si="2434"/>
        <v>42.476470588235294</v>
      </c>
      <c r="BA746" s="13">
        <f t="shared" ref="BA746:BB746" si="2448">BA747*BA745</f>
        <v>21.238235294117647</v>
      </c>
      <c r="BB746" s="13">
        <f t="shared" si="2448"/>
        <v>21.238235294117647</v>
      </c>
      <c r="BC746" s="13">
        <f t="shared" si="2436"/>
        <v>42.476470588235294</v>
      </c>
      <c r="BD746" s="13">
        <f t="shared" ref="BD746:BE746" si="2449">BD747*BD745</f>
        <v>21.238235294117647</v>
      </c>
      <c r="BE746" s="13">
        <f t="shared" si="2449"/>
        <v>21.238235294117647</v>
      </c>
      <c r="BF746" s="13">
        <f t="shared" si="2438"/>
        <v>42.476470588235294</v>
      </c>
      <c r="BG746" s="13">
        <f t="shared" ref="BG746:BH746" si="2450">BG747*BG745</f>
        <v>21.238235294117647</v>
      </c>
      <c r="BH746" s="13">
        <f t="shared" si="2450"/>
        <v>21.238235294117647</v>
      </c>
      <c r="BI746" s="13">
        <f t="shared" si="2440"/>
        <v>42.476470588235294</v>
      </c>
      <c r="BJ746" s="13">
        <f t="shared" ref="BJ746:BK746" si="2451">BJ747*BJ745</f>
        <v>21.238235294117647</v>
      </c>
      <c r="BK746" s="13">
        <f t="shared" si="2451"/>
        <v>21.238235294117647</v>
      </c>
      <c r="BL746" s="13">
        <f t="shared" si="2442"/>
        <v>42.476470588235294</v>
      </c>
      <c r="BM746" s="13">
        <f t="shared" ref="BM746:BN746" si="2452">BM747*BM745</f>
        <v>21.238235294117647</v>
      </c>
      <c r="BN746" s="13">
        <f t="shared" si="2452"/>
        <v>21.238235294117647</v>
      </c>
      <c r="BO746" s="13">
        <f t="shared" si="2444"/>
        <v>42.476470588235294</v>
      </c>
      <c r="BP746" s="13">
        <f t="shared" ref="BP746:BQ746" si="2453">BP747*BP745</f>
        <v>21.238235294117647</v>
      </c>
      <c r="BQ746" s="13">
        <f t="shared" si="2453"/>
        <v>21.238235294117647</v>
      </c>
      <c r="BR746" s="13">
        <f t="shared" si="2446"/>
        <v>42.476470588235294</v>
      </c>
    </row>
    <row r="747" spans="2:71" s="30" customFormat="1" outlineLevel="2">
      <c r="C747" s="93" t="s">
        <v>73</v>
      </c>
      <c r="D747" s="31" t="s">
        <v>66</v>
      </c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Y747" s="489">
        <f>Y746/Y745</f>
        <v>0.13647058823529412</v>
      </c>
      <c r="Z747" s="40"/>
      <c r="AA747" s="504">
        <f>+Y747</f>
        <v>0.13647058823529412</v>
      </c>
      <c r="AB747" s="504">
        <f>+AB746/AB745</f>
        <v>0.13647058823529412</v>
      </c>
      <c r="AC747" s="504">
        <f>+AA747</f>
        <v>0.13647058823529412</v>
      </c>
      <c r="AD747" s="504">
        <f>+AC747</f>
        <v>0.13647058823529412</v>
      </c>
      <c r="AE747" s="162">
        <f>+AE746/AE745</f>
        <v>0.13647058823529412</v>
      </c>
      <c r="AF747" s="162">
        <f t="shared" ref="AF747:AG747" si="2454">AF746/AF745</f>
        <v>0.13647058823529412</v>
      </c>
      <c r="AG747" s="984">
        <f t="shared" si="2454"/>
        <v>0.13647058823529412</v>
      </c>
      <c r="AH747" s="40">
        <f>AH746/AH745</f>
        <v>0.13647058823529412</v>
      </c>
      <c r="AI747" s="87">
        <f>AF747</f>
        <v>0.13647058823529412</v>
      </c>
      <c r="AJ747" s="87">
        <f>AG747</f>
        <v>0.13647058823529412</v>
      </c>
      <c r="AK747" s="40">
        <f>AK746/AK745</f>
        <v>0.13647058823529412</v>
      </c>
      <c r="AL747" s="87">
        <f>AH747</f>
        <v>0.13647058823529412</v>
      </c>
      <c r="AM747" s="87">
        <f>AH747</f>
        <v>0.13647058823529412</v>
      </c>
      <c r="AN747" s="40">
        <f>AN746/AN745</f>
        <v>0.13647058823529412</v>
      </c>
      <c r="AO747" s="87">
        <f>AK747</f>
        <v>0.13647058823529412</v>
      </c>
      <c r="AP747" s="87">
        <f>AK747</f>
        <v>0.13647058823529412</v>
      </c>
      <c r="AQ747" s="40">
        <f>AQ746/AQ745</f>
        <v>0.13647058823529412</v>
      </c>
      <c r="AR747" s="87">
        <f>AN747</f>
        <v>0.13647058823529412</v>
      </c>
      <c r="AS747" s="87">
        <f>AN747</f>
        <v>0.13647058823529412</v>
      </c>
      <c r="AT747" s="40">
        <f>AT746/AT745</f>
        <v>0.13647058823529412</v>
      </c>
      <c r="AU747" s="87">
        <f>AQ747</f>
        <v>0.13647058823529412</v>
      </c>
      <c r="AV747" s="87">
        <f>AQ747</f>
        <v>0.13647058823529412</v>
      </c>
      <c r="AW747" s="40">
        <f>AW746/AW745</f>
        <v>0.13647058823529412</v>
      </c>
      <c r="AX747" s="87">
        <f t="shared" ref="AX747" si="2455">AT747</f>
        <v>0.13647058823529412</v>
      </c>
      <c r="AY747" s="87">
        <f t="shared" ref="AY747" si="2456">AT747</f>
        <v>0.13647058823529412</v>
      </c>
      <c r="AZ747" s="40">
        <f t="shared" ref="AZ747" si="2457">AZ746/AZ745</f>
        <v>0.13647058823529412</v>
      </c>
      <c r="BA747" s="87">
        <f t="shared" ref="BA747" si="2458">AW747</f>
        <v>0.13647058823529412</v>
      </c>
      <c r="BB747" s="87">
        <f t="shared" ref="BB747" si="2459">AW747</f>
        <v>0.13647058823529412</v>
      </c>
      <c r="BC747" s="40">
        <f t="shared" ref="BC747" si="2460">BC746/BC745</f>
        <v>0.13647058823529412</v>
      </c>
      <c r="BD747" s="87">
        <f t="shared" ref="BD747" si="2461">AZ747</f>
        <v>0.13647058823529412</v>
      </c>
      <c r="BE747" s="87">
        <f t="shared" ref="BE747" si="2462">AZ747</f>
        <v>0.13647058823529412</v>
      </c>
      <c r="BF747" s="40">
        <f t="shared" ref="BF747" si="2463">BF746/BF745</f>
        <v>0.13647058823529412</v>
      </c>
      <c r="BG747" s="87">
        <f t="shared" ref="BG747" si="2464">BC747</f>
        <v>0.13647058823529412</v>
      </c>
      <c r="BH747" s="87">
        <f t="shared" ref="BH747" si="2465">BC747</f>
        <v>0.13647058823529412</v>
      </c>
      <c r="BI747" s="40">
        <f t="shared" ref="BI747" si="2466">BI746/BI745</f>
        <v>0.13647058823529412</v>
      </c>
      <c r="BJ747" s="87">
        <f t="shared" ref="BJ747" si="2467">BF747</f>
        <v>0.13647058823529412</v>
      </c>
      <c r="BK747" s="87">
        <f t="shared" ref="BK747" si="2468">BF747</f>
        <v>0.13647058823529412</v>
      </c>
      <c r="BL747" s="40">
        <f t="shared" ref="BL747" si="2469">BL746/BL745</f>
        <v>0.13647058823529412</v>
      </c>
      <c r="BM747" s="87">
        <f t="shared" ref="BM747" si="2470">BI747</f>
        <v>0.13647058823529412</v>
      </c>
      <c r="BN747" s="87">
        <f t="shared" ref="BN747" si="2471">BI747</f>
        <v>0.13647058823529412</v>
      </c>
      <c r="BO747" s="40">
        <f t="shared" ref="BO747" si="2472">BO746/BO745</f>
        <v>0.13647058823529412</v>
      </c>
      <c r="BP747" s="87">
        <f t="shared" ref="BP747" si="2473">BL747</f>
        <v>0.13647058823529412</v>
      </c>
      <c r="BQ747" s="87">
        <f t="shared" ref="BQ747" si="2474">BL747</f>
        <v>0.13647058823529412</v>
      </c>
      <c r="BR747" s="40">
        <f t="shared" ref="BR747" si="2475">BR746/BR745</f>
        <v>0.13647058823529412</v>
      </c>
    </row>
    <row r="748" spans="2:71" s="30" customFormat="1" outlineLevel="2">
      <c r="C748" s="84" t="s">
        <v>65</v>
      </c>
      <c r="D748" s="31" t="s">
        <v>58</v>
      </c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Y748" s="488">
        <f>Y749-Y746</f>
        <v>-11.176470588235297</v>
      </c>
      <c r="Z748" s="39"/>
      <c r="AA748" s="410">
        <f>Y748*0.5*(1/6)</f>
        <v>-0.93137254901960809</v>
      </c>
      <c r="AB748" s="410">
        <f>SUM(Z748:AA748)</f>
        <v>-0.93137254901960809</v>
      </c>
      <c r="AC748" s="500">
        <f>AE748*0.5</f>
        <v>-5.5882352941176485</v>
      </c>
      <c r="AD748" s="500">
        <f>AE748-AC748</f>
        <v>-5.5882352941176485</v>
      </c>
      <c r="AE748" s="348">
        <f>Y748</f>
        <v>-11.176470588235297</v>
      </c>
      <c r="AF748" s="917">
        <f>AC748</f>
        <v>-5.5882352941176485</v>
      </c>
      <c r="AG748" s="1022">
        <f>AD748</f>
        <v>-5.5882352941176485</v>
      </c>
      <c r="AH748" s="501">
        <f>AE748</f>
        <v>-11.176470588235297</v>
      </c>
      <c r="AI748" s="500">
        <f>AF748</f>
        <v>-5.5882352941176485</v>
      </c>
      <c r="AJ748" s="500">
        <f>AG748</f>
        <v>-5.5882352941176485</v>
      </c>
      <c r="AK748" s="500">
        <f>AI748+AJ748</f>
        <v>-11.176470588235297</v>
      </c>
      <c r="AL748" s="500">
        <f>AI748</f>
        <v>-5.5882352941176485</v>
      </c>
      <c r="AM748" s="500">
        <f>AJ748</f>
        <v>-5.5882352941176485</v>
      </c>
      <c r="AN748" s="500">
        <f>AL748+AM748</f>
        <v>-11.176470588235297</v>
      </c>
      <c r="AO748" s="500">
        <f>AL748</f>
        <v>-5.5882352941176485</v>
      </c>
      <c r="AP748" s="500">
        <f>AM748</f>
        <v>-5.5882352941176485</v>
      </c>
      <c r="AQ748" s="500">
        <f>AO748+AP748</f>
        <v>-11.176470588235297</v>
      </c>
      <c r="AR748" s="500">
        <f>AO748</f>
        <v>-5.5882352941176485</v>
      </c>
      <c r="AS748" s="500">
        <f>AP748</f>
        <v>-5.5882352941176485</v>
      </c>
      <c r="AT748" s="500">
        <f>AR748+AS748</f>
        <v>-11.176470588235297</v>
      </c>
      <c r="AU748" s="500">
        <f>AR748</f>
        <v>-5.5882352941176485</v>
      </c>
      <c r="AV748" s="500">
        <f>AS748</f>
        <v>-5.5882352941176485</v>
      </c>
      <c r="AW748" s="500">
        <f>AU748+AV748</f>
        <v>-11.176470588235297</v>
      </c>
      <c r="AX748" s="500">
        <f t="shared" ref="AX748:AY748" si="2476">AU748</f>
        <v>-5.5882352941176485</v>
      </c>
      <c r="AY748" s="500">
        <f t="shared" si="2476"/>
        <v>-5.5882352941176485</v>
      </c>
      <c r="AZ748" s="500">
        <f t="shared" ref="AZ748:AZ749" si="2477">AX748+AY748</f>
        <v>-11.176470588235297</v>
      </c>
      <c r="BA748" s="500">
        <f t="shared" ref="BA748:BB748" si="2478">AX748</f>
        <v>-5.5882352941176485</v>
      </c>
      <c r="BB748" s="500">
        <f t="shared" si="2478"/>
        <v>-5.5882352941176485</v>
      </c>
      <c r="BC748" s="500">
        <f t="shared" ref="BC748:BC749" si="2479">BA748+BB748</f>
        <v>-11.176470588235297</v>
      </c>
      <c r="BD748" s="500">
        <f t="shared" ref="BD748:BE748" si="2480">BA748</f>
        <v>-5.5882352941176485</v>
      </c>
      <c r="BE748" s="500">
        <f t="shared" si="2480"/>
        <v>-5.5882352941176485</v>
      </c>
      <c r="BF748" s="500">
        <f t="shared" ref="BF748:BF749" si="2481">BD748+BE748</f>
        <v>-11.176470588235297</v>
      </c>
      <c r="BG748" s="500">
        <f t="shared" ref="BG748:BH748" si="2482">BD748</f>
        <v>-5.5882352941176485</v>
      </c>
      <c r="BH748" s="500">
        <f t="shared" si="2482"/>
        <v>-5.5882352941176485</v>
      </c>
      <c r="BI748" s="500">
        <f t="shared" ref="BI748:BI749" si="2483">BG748+BH748</f>
        <v>-11.176470588235297</v>
      </c>
      <c r="BJ748" s="500">
        <f t="shared" ref="BJ748:BK748" si="2484">BG748</f>
        <v>-5.5882352941176485</v>
      </c>
      <c r="BK748" s="500">
        <f t="shared" si="2484"/>
        <v>-5.5882352941176485</v>
      </c>
      <c r="BL748" s="500">
        <f t="shared" ref="BL748:BL749" si="2485">BJ748+BK748</f>
        <v>-11.176470588235297</v>
      </c>
      <c r="BM748" s="500">
        <f t="shared" ref="BM748:BN748" si="2486">BJ748</f>
        <v>-5.5882352941176485</v>
      </c>
      <c r="BN748" s="500">
        <f t="shared" si="2486"/>
        <v>-5.5882352941176485</v>
      </c>
      <c r="BO748" s="500">
        <f t="shared" ref="BO748:BO749" si="2487">BM748+BN748</f>
        <v>-11.176470588235297</v>
      </c>
      <c r="BP748" s="500">
        <f t="shared" ref="BP748:BQ748" si="2488">BM748</f>
        <v>-5.5882352941176485</v>
      </c>
      <c r="BQ748" s="500">
        <f t="shared" si="2488"/>
        <v>-5.5882352941176485</v>
      </c>
      <c r="BR748" s="500">
        <f t="shared" ref="BR748:BR749" si="2489">BP748+BQ748</f>
        <v>-11.176470588235297</v>
      </c>
    </row>
    <row r="749" spans="2:71" s="30" customFormat="1" outlineLevel="2">
      <c r="C749" s="84" t="s">
        <v>78</v>
      </c>
      <c r="D749" s="31" t="s">
        <v>58</v>
      </c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Y749" s="490">
        <f>Y754-Y752</f>
        <v>40</v>
      </c>
      <c r="AA749" s="493">
        <f>AA746+AA748</f>
        <v>3.333333333333333</v>
      </c>
      <c r="AB749" s="493">
        <f>AB746+AB748</f>
        <v>3.333333333333333</v>
      </c>
      <c r="AC749" s="410">
        <f>AC746+AC748</f>
        <v>15.649999999999999</v>
      </c>
      <c r="AD749" s="410">
        <f>AD746+AD748</f>
        <v>15.649999999999999</v>
      </c>
      <c r="AE749" s="348">
        <f>SUM(AC749:AD749)</f>
        <v>31.299999999999997</v>
      </c>
      <c r="AF749" s="493">
        <f>AF746+AF748</f>
        <v>15.649999999999999</v>
      </c>
      <c r="AG749" s="1023">
        <f>AG746+AG748</f>
        <v>15.649999999999999</v>
      </c>
      <c r="AH749" s="410">
        <f>SUM(AF749:AG749)</f>
        <v>31.299999999999997</v>
      </c>
      <c r="AI749" s="410">
        <f>AI746+AI748</f>
        <v>15.649999999999999</v>
      </c>
      <c r="AJ749" s="410">
        <f>AJ746+AJ748</f>
        <v>15.649999999999999</v>
      </c>
      <c r="AK749" s="410">
        <f>AI749+AJ749</f>
        <v>31.299999999999997</v>
      </c>
      <c r="AL749" s="410">
        <f>AL746+AL748</f>
        <v>15.649999999999999</v>
      </c>
      <c r="AM749" s="410">
        <f>AM746+AM748</f>
        <v>15.649999999999999</v>
      </c>
      <c r="AN749" s="410">
        <f>AL749+AM749</f>
        <v>31.299999999999997</v>
      </c>
      <c r="AO749" s="410">
        <f>AO746+AO748</f>
        <v>15.649999999999999</v>
      </c>
      <c r="AP749" s="410">
        <f>AP746+AP748</f>
        <v>15.649999999999999</v>
      </c>
      <c r="AQ749" s="410">
        <f>AO749+AP749</f>
        <v>31.299999999999997</v>
      </c>
      <c r="AR749" s="410">
        <f>AR746+AR748</f>
        <v>15.649999999999999</v>
      </c>
      <c r="AS749" s="410">
        <f>AS746+AS748</f>
        <v>15.649999999999999</v>
      </c>
      <c r="AT749" s="410">
        <f>AR749+AS749</f>
        <v>31.299999999999997</v>
      </c>
      <c r="AU749" s="410">
        <f>AU746+AU748</f>
        <v>15.649999999999999</v>
      </c>
      <c r="AV749" s="410">
        <f>AV746+AV748</f>
        <v>15.649999999999999</v>
      </c>
      <c r="AW749" s="410">
        <f>AU749+AV749</f>
        <v>31.299999999999997</v>
      </c>
      <c r="AX749" s="410">
        <f t="shared" ref="AX749:AY749" si="2490">AX746+AX748</f>
        <v>15.649999999999999</v>
      </c>
      <c r="AY749" s="410">
        <f t="shared" si="2490"/>
        <v>15.649999999999999</v>
      </c>
      <c r="AZ749" s="410">
        <f t="shared" si="2477"/>
        <v>31.299999999999997</v>
      </c>
      <c r="BA749" s="410">
        <f t="shared" ref="BA749:BB749" si="2491">BA746+BA748</f>
        <v>15.649999999999999</v>
      </c>
      <c r="BB749" s="410">
        <f t="shared" si="2491"/>
        <v>15.649999999999999</v>
      </c>
      <c r="BC749" s="410">
        <f t="shared" si="2479"/>
        <v>31.299999999999997</v>
      </c>
      <c r="BD749" s="410">
        <f t="shared" ref="BD749:BE749" si="2492">BD746+BD748</f>
        <v>15.649999999999999</v>
      </c>
      <c r="BE749" s="410">
        <f t="shared" si="2492"/>
        <v>15.649999999999999</v>
      </c>
      <c r="BF749" s="410">
        <f t="shared" si="2481"/>
        <v>31.299999999999997</v>
      </c>
      <c r="BG749" s="410">
        <f t="shared" ref="BG749:BH749" si="2493">BG746+BG748</f>
        <v>15.649999999999999</v>
      </c>
      <c r="BH749" s="410">
        <f t="shared" si="2493"/>
        <v>15.649999999999999</v>
      </c>
      <c r="BI749" s="410">
        <f t="shared" si="2483"/>
        <v>31.299999999999997</v>
      </c>
      <c r="BJ749" s="410">
        <f t="shared" ref="BJ749:BK749" si="2494">BJ746+BJ748</f>
        <v>15.649999999999999</v>
      </c>
      <c r="BK749" s="410">
        <f t="shared" si="2494"/>
        <v>15.649999999999999</v>
      </c>
      <c r="BL749" s="410">
        <f t="shared" si="2485"/>
        <v>31.299999999999997</v>
      </c>
      <c r="BM749" s="410">
        <f t="shared" ref="BM749:BN749" si="2495">BM746+BM748</f>
        <v>15.649999999999999</v>
      </c>
      <c r="BN749" s="410">
        <f t="shared" si="2495"/>
        <v>15.649999999999999</v>
      </c>
      <c r="BO749" s="410">
        <f t="shared" si="2487"/>
        <v>31.299999999999997</v>
      </c>
      <c r="BP749" s="410">
        <f t="shared" ref="BP749:BQ749" si="2496">BP746+BP748</f>
        <v>15.649999999999999</v>
      </c>
      <c r="BQ749" s="410">
        <f t="shared" si="2496"/>
        <v>15.649999999999999</v>
      </c>
      <c r="BR749" s="410">
        <f t="shared" si="2489"/>
        <v>31.299999999999997</v>
      </c>
    </row>
    <row r="750" spans="2:71" s="30" customFormat="1" outlineLevel="2">
      <c r="C750" s="84" t="s">
        <v>74</v>
      </c>
      <c r="D750" s="31" t="s">
        <v>66</v>
      </c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Y750" s="489">
        <f>Y749/Y745</f>
        <v>0.10666666666666667</v>
      </c>
      <c r="Z750" s="40"/>
      <c r="AA750" s="40">
        <f>AA749/AA745</f>
        <v>0.10666666666666666</v>
      </c>
      <c r="AB750" s="40">
        <f>AB749/AB745</f>
        <v>0.10666666666666666</v>
      </c>
      <c r="AC750" s="40">
        <f t="shared" ref="AC750:AN750" si="2497">AC749/AC745</f>
        <v>0.10056224899598393</v>
      </c>
      <c r="AD750" s="40">
        <f t="shared" si="2497"/>
        <v>0.10056224899598393</v>
      </c>
      <c r="AE750" s="162">
        <f t="shared" si="2497"/>
        <v>0.10056224899598393</v>
      </c>
      <c r="AF750" s="162">
        <f t="shared" si="2497"/>
        <v>0.10056224899598393</v>
      </c>
      <c r="AG750" s="984">
        <f t="shared" si="2497"/>
        <v>0.10056224899598393</v>
      </c>
      <c r="AH750" s="40">
        <f t="shared" si="2497"/>
        <v>0.10056224899598393</v>
      </c>
      <c r="AI750" s="40">
        <f t="shared" si="2497"/>
        <v>0.10056224899598393</v>
      </c>
      <c r="AJ750" s="40">
        <f t="shared" si="2497"/>
        <v>0.10056224899598393</v>
      </c>
      <c r="AK750" s="40">
        <f t="shared" si="2497"/>
        <v>0.10056224899598393</v>
      </c>
      <c r="AL750" s="40">
        <f t="shared" si="2497"/>
        <v>0.10056224899598393</v>
      </c>
      <c r="AM750" s="40">
        <f t="shared" si="2497"/>
        <v>0.10056224899598393</v>
      </c>
      <c r="AN750" s="40">
        <f t="shared" si="2497"/>
        <v>0.10056224899598393</v>
      </c>
      <c r="AO750" s="40">
        <f t="shared" ref="AO750:AQ750" si="2498">AO749/AO745</f>
        <v>0.10056224899598393</v>
      </c>
      <c r="AP750" s="40">
        <f t="shared" si="2498"/>
        <v>0.10056224899598393</v>
      </c>
      <c r="AQ750" s="40">
        <f t="shared" si="2498"/>
        <v>0.10056224899598393</v>
      </c>
      <c r="AR750" s="40">
        <f t="shared" ref="AR750:AT750" si="2499">AR749/AR745</f>
        <v>0.10056224899598393</v>
      </c>
      <c r="AS750" s="40">
        <f t="shared" si="2499"/>
        <v>0.10056224899598393</v>
      </c>
      <c r="AT750" s="40">
        <f t="shared" si="2499"/>
        <v>0.10056224899598393</v>
      </c>
      <c r="AU750" s="40">
        <f t="shared" ref="AU750:AW750" si="2500">AU749/AU745</f>
        <v>0.10056224899598393</v>
      </c>
      <c r="AV750" s="40">
        <f t="shared" si="2500"/>
        <v>0.10056224899598393</v>
      </c>
      <c r="AW750" s="40">
        <f t="shared" si="2500"/>
        <v>0.10056224899598393</v>
      </c>
      <c r="AX750" s="40">
        <f t="shared" ref="AX750:BR750" si="2501">AX749/AX745</f>
        <v>0.10056224899598393</v>
      </c>
      <c r="AY750" s="40">
        <f t="shared" si="2501"/>
        <v>0.10056224899598393</v>
      </c>
      <c r="AZ750" s="40">
        <f t="shared" si="2501"/>
        <v>0.10056224899598393</v>
      </c>
      <c r="BA750" s="40">
        <f t="shared" si="2501"/>
        <v>0.10056224899598393</v>
      </c>
      <c r="BB750" s="40">
        <f t="shared" si="2501"/>
        <v>0.10056224899598393</v>
      </c>
      <c r="BC750" s="40">
        <f t="shared" si="2501"/>
        <v>0.10056224899598393</v>
      </c>
      <c r="BD750" s="40">
        <f t="shared" si="2501"/>
        <v>0.10056224899598393</v>
      </c>
      <c r="BE750" s="40">
        <f t="shared" si="2501"/>
        <v>0.10056224899598393</v>
      </c>
      <c r="BF750" s="40">
        <f t="shared" si="2501"/>
        <v>0.10056224899598393</v>
      </c>
      <c r="BG750" s="40">
        <f t="shared" si="2501"/>
        <v>0.10056224899598393</v>
      </c>
      <c r="BH750" s="40">
        <f t="shared" si="2501"/>
        <v>0.10056224899598393</v>
      </c>
      <c r="BI750" s="40">
        <f t="shared" si="2501"/>
        <v>0.10056224899598393</v>
      </c>
      <c r="BJ750" s="40">
        <f t="shared" si="2501"/>
        <v>0.10056224899598393</v>
      </c>
      <c r="BK750" s="40">
        <f t="shared" si="2501"/>
        <v>0.10056224899598393</v>
      </c>
      <c r="BL750" s="40">
        <f t="shared" si="2501"/>
        <v>0.10056224899598393</v>
      </c>
      <c r="BM750" s="40">
        <f t="shared" si="2501"/>
        <v>0.10056224899598393</v>
      </c>
      <c r="BN750" s="40">
        <f t="shared" si="2501"/>
        <v>0.10056224899598393</v>
      </c>
      <c r="BO750" s="40">
        <f t="shared" si="2501"/>
        <v>0.10056224899598393</v>
      </c>
      <c r="BP750" s="40">
        <f t="shared" si="2501"/>
        <v>0.10056224899598393</v>
      </c>
      <c r="BQ750" s="40">
        <f t="shared" si="2501"/>
        <v>0.10056224899598393</v>
      </c>
      <c r="BR750" s="40">
        <f t="shared" si="2501"/>
        <v>0.10056224899598393</v>
      </c>
    </row>
    <row r="751" spans="2:71" s="30" customFormat="1" outlineLevel="2">
      <c r="C751" s="84" t="s">
        <v>90</v>
      </c>
      <c r="D751" s="31" t="s">
        <v>58</v>
      </c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Y751" s="490"/>
      <c r="AC751" s="347"/>
      <c r="AD751" s="347">
        <f>+AD752</f>
        <v>1</v>
      </c>
      <c r="AE751" s="502">
        <f>+AD751+AC751</f>
        <v>1</v>
      </c>
      <c r="AF751" s="918">
        <v>-5</v>
      </c>
      <c r="AG751" s="946">
        <v>12.5</v>
      </c>
      <c r="AH751" s="178">
        <f>AF751+AG751</f>
        <v>7.5</v>
      </c>
      <c r="AI751" s="435">
        <v>20</v>
      </c>
      <c r="AJ751" s="435">
        <v>5</v>
      </c>
      <c r="AK751" s="347">
        <f>AI751+AJ751</f>
        <v>25</v>
      </c>
      <c r="AL751" s="435">
        <v>6.5</v>
      </c>
      <c r="AM751" s="435">
        <v>6.5</v>
      </c>
      <c r="AN751" s="347">
        <f>AL751+AM751</f>
        <v>13</v>
      </c>
      <c r="AO751" s="435">
        <v>5.5</v>
      </c>
      <c r="AP751" s="435">
        <v>5.5</v>
      </c>
      <c r="AQ751" s="347">
        <f>AO751+AP751</f>
        <v>11</v>
      </c>
      <c r="AR751" s="435">
        <v>0</v>
      </c>
      <c r="AS751" s="435">
        <v>0</v>
      </c>
      <c r="AT751" s="347">
        <f>AR751+AS751</f>
        <v>0</v>
      </c>
      <c r="AU751" s="435">
        <v>0</v>
      </c>
      <c r="AV751" s="435">
        <v>0</v>
      </c>
      <c r="AW751" s="347">
        <f>AU751+AV751</f>
        <v>0</v>
      </c>
      <c r="AX751" s="435">
        <v>0</v>
      </c>
      <c r="AY751" s="435">
        <v>0</v>
      </c>
      <c r="AZ751" s="347">
        <f t="shared" ref="AZ751:AZ752" si="2502">AX751+AY751</f>
        <v>0</v>
      </c>
      <c r="BA751" s="435">
        <v>0</v>
      </c>
      <c r="BB751" s="435">
        <v>0</v>
      </c>
      <c r="BC751" s="347">
        <f t="shared" ref="BC751:BC752" si="2503">BA751+BB751</f>
        <v>0</v>
      </c>
      <c r="BD751" s="435">
        <v>0</v>
      </c>
      <c r="BE751" s="435">
        <v>0</v>
      </c>
      <c r="BF751" s="347">
        <f t="shared" ref="BF751:BF752" si="2504">BD751+BE751</f>
        <v>0</v>
      </c>
      <c r="BG751" s="435">
        <v>0</v>
      </c>
      <c r="BH751" s="435">
        <v>0</v>
      </c>
      <c r="BI751" s="347">
        <f t="shared" ref="BI751:BI752" si="2505">BG751+BH751</f>
        <v>0</v>
      </c>
      <c r="BJ751" s="435">
        <v>0</v>
      </c>
      <c r="BK751" s="435">
        <v>0</v>
      </c>
      <c r="BL751" s="347">
        <f t="shared" ref="BL751:BL752" si="2506">BJ751+BK751</f>
        <v>0</v>
      </c>
      <c r="BM751" s="435">
        <v>0</v>
      </c>
      <c r="BN751" s="435">
        <v>0</v>
      </c>
      <c r="BO751" s="347">
        <f t="shared" ref="BO751:BO752" si="2507">BM751+BN751</f>
        <v>0</v>
      </c>
      <c r="BP751" s="435">
        <v>0</v>
      </c>
      <c r="BQ751" s="435">
        <v>0</v>
      </c>
      <c r="BR751" s="347">
        <f t="shared" ref="BR751:BR752" si="2508">BP751+BQ751</f>
        <v>0</v>
      </c>
    </row>
    <row r="752" spans="2:71" s="30" customFormat="1" outlineLevel="2">
      <c r="C752" s="84" t="s">
        <v>89</v>
      </c>
      <c r="D752" s="31" t="s">
        <v>58</v>
      </c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Y752" s="503">
        <v>25</v>
      </c>
      <c r="Z752" s="368"/>
      <c r="AC752" s="435">
        <v>0</v>
      </c>
      <c r="AD752" s="435">
        <v>1</v>
      </c>
      <c r="AE752" s="171">
        <f>AC752+AD752</f>
        <v>1</v>
      </c>
      <c r="AF752" s="376">
        <f>AC752+AF751</f>
        <v>-5</v>
      </c>
      <c r="AG752" s="1002">
        <f>AD752+AG751</f>
        <v>13.5</v>
      </c>
      <c r="AH752" s="178">
        <f>AF752+AG752</f>
        <v>8.5</v>
      </c>
      <c r="AI752" s="42">
        <f>AF752+AI751</f>
        <v>15</v>
      </c>
      <c r="AJ752" s="42">
        <f>AG752+AJ751</f>
        <v>18.5</v>
      </c>
      <c r="AK752" s="347">
        <f>AI752+AJ752</f>
        <v>33.5</v>
      </c>
      <c r="AL752" s="42">
        <f>AI752+AL751</f>
        <v>21.5</v>
      </c>
      <c r="AM752" s="42">
        <f>AJ752+AM751</f>
        <v>25</v>
      </c>
      <c r="AN752" s="347">
        <f>AL752+AM752</f>
        <v>46.5</v>
      </c>
      <c r="AO752" s="42">
        <f>AL752+AO751</f>
        <v>27</v>
      </c>
      <c r="AP752" s="42">
        <f>AM752+AP751</f>
        <v>30.5</v>
      </c>
      <c r="AQ752" s="347">
        <f>AO752+AP752</f>
        <v>57.5</v>
      </c>
      <c r="AR752" s="42">
        <f>AO752+AR751</f>
        <v>27</v>
      </c>
      <c r="AS752" s="42">
        <f>AP752+AS751</f>
        <v>30.5</v>
      </c>
      <c r="AT752" s="347">
        <f>AR752+AS752</f>
        <v>57.5</v>
      </c>
      <c r="AU752" s="42">
        <f>AR752+AU751</f>
        <v>27</v>
      </c>
      <c r="AV752" s="42">
        <f>AS752+AV751</f>
        <v>30.5</v>
      </c>
      <c r="AW752" s="347">
        <f>AU752+AV752</f>
        <v>57.5</v>
      </c>
      <c r="AX752" s="42">
        <f t="shared" ref="AX752:AY752" si="2509">AU752+AX751</f>
        <v>27</v>
      </c>
      <c r="AY752" s="42">
        <f t="shared" si="2509"/>
        <v>30.5</v>
      </c>
      <c r="AZ752" s="347">
        <f t="shared" si="2502"/>
        <v>57.5</v>
      </c>
      <c r="BA752" s="42">
        <f t="shared" ref="BA752:BB752" si="2510">AX752+BA751</f>
        <v>27</v>
      </c>
      <c r="BB752" s="42">
        <f t="shared" si="2510"/>
        <v>30.5</v>
      </c>
      <c r="BC752" s="347">
        <f t="shared" si="2503"/>
        <v>57.5</v>
      </c>
      <c r="BD752" s="42">
        <f t="shared" ref="BD752:BE752" si="2511">BA752+BD751</f>
        <v>27</v>
      </c>
      <c r="BE752" s="42">
        <f t="shared" si="2511"/>
        <v>30.5</v>
      </c>
      <c r="BF752" s="347">
        <f t="shared" si="2504"/>
        <v>57.5</v>
      </c>
      <c r="BG752" s="42">
        <f t="shared" ref="BG752:BH752" si="2512">BD752+BG751</f>
        <v>27</v>
      </c>
      <c r="BH752" s="42">
        <f t="shared" si="2512"/>
        <v>30.5</v>
      </c>
      <c r="BI752" s="347">
        <f t="shared" si="2505"/>
        <v>57.5</v>
      </c>
      <c r="BJ752" s="42">
        <f t="shared" ref="BJ752:BK752" si="2513">BG752+BJ751</f>
        <v>27</v>
      </c>
      <c r="BK752" s="42">
        <f t="shared" si="2513"/>
        <v>30.5</v>
      </c>
      <c r="BL752" s="347">
        <f t="shared" si="2506"/>
        <v>57.5</v>
      </c>
      <c r="BM752" s="42">
        <f t="shared" ref="BM752:BN752" si="2514">BJ752+BM751</f>
        <v>27</v>
      </c>
      <c r="BN752" s="42">
        <f t="shared" si="2514"/>
        <v>30.5</v>
      </c>
      <c r="BO752" s="347">
        <f t="shared" si="2507"/>
        <v>57.5</v>
      </c>
      <c r="BP752" s="42">
        <f t="shared" ref="BP752:BQ752" si="2515">BM752+BP751</f>
        <v>27</v>
      </c>
      <c r="BQ752" s="42">
        <f t="shared" si="2515"/>
        <v>30.5</v>
      </c>
      <c r="BR752" s="347">
        <f t="shared" si="2508"/>
        <v>57.5</v>
      </c>
      <c r="BS752" s="35"/>
    </row>
    <row r="753" spans="2:71" s="30" customFormat="1" outlineLevel="2">
      <c r="C753" s="84" t="s">
        <v>264</v>
      </c>
      <c r="D753" s="31" t="s">
        <v>66</v>
      </c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Y753" s="489">
        <f>Y752/Y745</f>
        <v>6.6666666666666666E-2</v>
      </c>
      <c r="Z753" s="40"/>
      <c r="AC753" s="41"/>
      <c r="AD753" s="41"/>
      <c r="AE753" s="493"/>
      <c r="AF753" s="415"/>
      <c r="AG753" s="1024"/>
      <c r="AH753" s="415"/>
      <c r="AI753" s="88"/>
      <c r="AJ753" s="88"/>
      <c r="AL753" s="88"/>
      <c r="AM753" s="88"/>
      <c r="AO753" s="88"/>
      <c r="AP753" s="88"/>
      <c r="AR753" s="88"/>
      <c r="AS753" s="88"/>
      <c r="AU753" s="88"/>
      <c r="AV753" s="88"/>
      <c r="AX753" s="88"/>
      <c r="AY753" s="88"/>
      <c r="BA753" s="88"/>
      <c r="BB753" s="88"/>
      <c r="BD753" s="88"/>
      <c r="BE753" s="88"/>
      <c r="BG753" s="88"/>
      <c r="BH753" s="88"/>
      <c r="BJ753" s="88"/>
      <c r="BK753" s="88"/>
      <c r="BM753" s="88"/>
      <c r="BN753" s="88"/>
      <c r="BP753" s="88"/>
      <c r="BQ753" s="88"/>
    </row>
    <row r="754" spans="2:71" s="30" customFormat="1" outlineLevel="2">
      <c r="C754" s="84" t="s">
        <v>79</v>
      </c>
      <c r="D754" s="31" t="s">
        <v>58</v>
      </c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Y754" s="503">
        <v>65</v>
      </c>
      <c r="Z754" s="368"/>
      <c r="AA754" s="376">
        <f>AA749+AA752</f>
        <v>3.333333333333333</v>
      </c>
      <c r="AB754" s="376">
        <f>+AA754+Z754</f>
        <v>3.333333333333333</v>
      </c>
      <c r="AC754" s="376">
        <f>AC749+AC752</f>
        <v>15.649999999999999</v>
      </c>
      <c r="AD754" s="376">
        <f>AD749+AD752</f>
        <v>16.649999999999999</v>
      </c>
      <c r="AE754" s="171">
        <f>AC754+AD754</f>
        <v>32.299999999999997</v>
      </c>
      <c r="AF754" s="171">
        <f>AF752+AF749</f>
        <v>10.649999999999999</v>
      </c>
      <c r="AG754" s="937">
        <f>AG752+AG749</f>
        <v>29.15</v>
      </c>
      <c r="AH754" s="171">
        <f>AF754+AG754</f>
        <v>39.799999999999997</v>
      </c>
      <c r="AI754" s="171">
        <f>AI752+AI749</f>
        <v>30.65</v>
      </c>
      <c r="AJ754" s="171">
        <f>AJ752+AJ749</f>
        <v>34.15</v>
      </c>
      <c r="AK754" s="171">
        <f>AI754+AJ754</f>
        <v>64.8</v>
      </c>
      <c r="AL754" s="171">
        <f>AL752+AL749</f>
        <v>37.15</v>
      </c>
      <c r="AM754" s="171">
        <f>AM752+AM749</f>
        <v>40.65</v>
      </c>
      <c r="AN754" s="171">
        <f>AL754+AM754</f>
        <v>77.8</v>
      </c>
      <c r="AO754" s="171">
        <f>AO752+AO749</f>
        <v>42.65</v>
      </c>
      <c r="AP754" s="171">
        <f>AP752+AP749</f>
        <v>46.15</v>
      </c>
      <c r="AQ754" s="171">
        <f>AO754+AP754</f>
        <v>88.8</v>
      </c>
      <c r="AR754" s="171">
        <f>AR752+AR749</f>
        <v>42.65</v>
      </c>
      <c r="AS754" s="171">
        <f>AS752+AS749</f>
        <v>46.15</v>
      </c>
      <c r="AT754" s="171">
        <f>AR754+AS754</f>
        <v>88.8</v>
      </c>
      <c r="AU754" s="171">
        <f>AU752+AU749</f>
        <v>42.65</v>
      </c>
      <c r="AV754" s="171">
        <f>AV752+AV749</f>
        <v>46.15</v>
      </c>
      <c r="AW754" s="171">
        <f>AU754+AV754</f>
        <v>88.8</v>
      </c>
      <c r="AX754" s="171">
        <f t="shared" ref="AX754:AY754" si="2516">AX752+AX749</f>
        <v>42.65</v>
      </c>
      <c r="AY754" s="171">
        <f t="shared" si="2516"/>
        <v>46.15</v>
      </c>
      <c r="AZ754" s="171">
        <f t="shared" ref="AZ754" si="2517">AX754+AY754</f>
        <v>88.8</v>
      </c>
      <c r="BA754" s="171">
        <f t="shared" ref="BA754:BB754" si="2518">BA752+BA749</f>
        <v>42.65</v>
      </c>
      <c r="BB754" s="171">
        <f t="shared" si="2518"/>
        <v>46.15</v>
      </c>
      <c r="BC754" s="171">
        <f t="shared" ref="BC754" si="2519">BA754+BB754</f>
        <v>88.8</v>
      </c>
      <c r="BD754" s="171">
        <f t="shared" ref="BD754:BE754" si="2520">BD752+BD749</f>
        <v>42.65</v>
      </c>
      <c r="BE754" s="171">
        <f t="shared" si="2520"/>
        <v>46.15</v>
      </c>
      <c r="BF754" s="171">
        <f t="shared" ref="BF754" si="2521">BD754+BE754</f>
        <v>88.8</v>
      </c>
      <c r="BG754" s="171">
        <f t="shared" ref="BG754:BH754" si="2522">BG752+BG749</f>
        <v>42.65</v>
      </c>
      <c r="BH754" s="171">
        <f t="shared" si="2522"/>
        <v>46.15</v>
      </c>
      <c r="BI754" s="171">
        <f t="shared" ref="BI754" si="2523">BG754+BH754</f>
        <v>88.8</v>
      </c>
      <c r="BJ754" s="171">
        <f t="shared" ref="BJ754:BK754" si="2524">BJ752+BJ749</f>
        <v>42.65</v>
      </c>
      <c r="BK754" s="171">
        <f t="shared" si="2524"/>
        <v>46.15</v>
      </c>
      <c r="BL754" s="171">
        <f t="shared" ref="BL754" si="2525">BJ754+BK754</f>
        <v>88.8</v>
      </c>
      <c r="BM754" s="171">
        <f t="shared" ref="BM754:BN754" si="2526">BM752+BM749</f>
        <v>42.65</v>
      </c>
      <c r="BN754" s="171">
        <f t="shared" si="2526"/>
        <v>46.15</v>
      </c>
      <c r="BO754" s="171">
        <f t="shared" ref="BO754" si="2527">BM754+BN754</f>
        <v>88.8</v>
      </c>
      <c r="BP754" s="171">
        <f t="shared" ref="BP754:BQ754" si="2528">BP752+BP749</f>
        <v>42.65</v>
      </c>
      <c r="BQ754" s="171">
        <f t="shared" si="2528"/>
        <v>46.15</v>
      </c>
      <c r="BR754" s="171">
        <f t="shared" ref="BR754" si="2529">BP754+BQ754</f>
        <v>88.8</v>
      </c>
    </row>
    <row r="755" spans="2:71" s="30" customFormat="1" outlineLevel="2">
      <c r="C755" s="84" t="s">
        <v>75</v>
      </c>
      <c r="D755" s="31" t="s">
        <v>66</v>
      </c>
      <c r="Y755" s="499">
        <f>Y754/Y743</f>
        <v>0.14942528735632185</v>
      </c>
      <c r="Z755" s="162"/>
      <c r="AA755" s="162">
        <f>AA754/$Y$743*2</f>
        <v>1.532567049808429E-2</v>
      </c>
      <c r="AB755" s="162">
        <f>AB754/$Y$743</f>
        <v>7.6628352490421452E-3</v>
      </c>
      <c r="AC755" s="162">
        <f>AC754/$Y$743*2</f>
        <v>7.1954022988505742E-2</v>
      </c>
      <c r="AD755" s="162">
        <f>AD754/$Y$743*2</f>
        <v>7.6551724137931029E-2</v>
      </c>
      <c r="AE755" s="162">
        <f>AE754/$Y$743</f>
        <v>7.4252873563218386E-2</v>
      </c>
      <c r="AF755" s="162">
        <f>AF754/$Y$743*2</f>
        <v>4.8965517241379306E-2</v>
      </c>
      <c r="AG755" s="984">
        <f>AG754/$Y$743*2</f>
        <v>0.13402298850574712</v>
      </c>
      <c r="AH755" s="162">
        <f>AH754/$Y$743</f>
        <v>9.1494252873563206E-2</v>
      </c>
      <c r="AI755" s="162">
        <f>AI754/$Y$743*2</f>
        <v>0.14091954022988504</v>
      </c>
      <c r="AJ755" s="162">
        <f>AJ754/$Y$743*2</f>
        <v>0.15701149425287356</v>
      </c>
      <c r="AK755" s="162">
        <f>AK754/$Y$743</f>
        <v>0.1489655172413793</v>
      </c>
      <c r="AL755" s="162">
        <f>AL754/$Y$743*2</f>
        <v>0.17080459770114942</v>
      </c>
      <c r="AM755" s="162">
        <f>AM754/$Y$743*2</f>
        <v>0.18689655172413794</v>
      </c>
      <c r="AN755" s="162">
        <f>AN754/$Y$743</f>
        <v>0.17885057471264368</v>
      </c>
      <c r="AO755" s="162">
        <f>AO754/$Y$743*2</f>
        <v>0.19609195402298851</v>
      </c>
      <c r="AP755" s="162">
        <f>AP754/$Y$743*2</f>
        <v>0.212183908045977</v>
      </c>
      <c r="AQ755" s="162">
        <f>AQ754/$Y$743</f>
        <v>0.20413793103448274</v>
      </c>
      <c r="AR755" s="162">
        <f>AR754/$Y$743*2</f>
        <v>0.19609195402298851</v>
      </c>
      <c r="AS755" s="162">
        <f>AS754/$Y$743*2</f>
        <v>0.212183908045977</v>
      </c>
      <c r="AT755" s="162">
        <f>AT754/$Y$743</f>
        <v>0.20413793103448274</v>
      </c>
      <c r="AU755" s="162">
        <f>AU754/$Y$743*2</f>
        <v>0.19609195402298851</v>
      </c>
      <c r="AV755" s="162">
        <f>AV754/$Y$743*2</f>
        <v>0.212183908045977</v>
      </c>
      <c r="AW755" s="162">
        <f>AW754/$Y$743</f>
        <v>0.20413793103448274</v>
      </c>
      <c r="AX755" s="162">
        <f t="shared" ref="AX755:AY755" si="2530">AX754/$Y$743*2</f>
        <v>0.19609195402298851</v>
      </c>
      <c r="AY755" s="162">
        <f t="shared" si="2530"/>
        <v>0.212183908045977</v>
      </c>
      <c r="AZ755" s="162">
        <f t="shared" ref="AZ755" si="2531">AZ754/$Y$743</f>
        <v>0.20413793103448274</v>
      </c>
      <c r="BA755" s="162">
        <f t="shared" ref="BA755:BB755" si="2532">BA754/$Y$743*2</f>
        <v>0.19609195402298851</v>
      </c>
      <c r="BB755" s="162">
        <f t="shared" si="2532"/>
        <v>0.212183908045977</v>
      </c>
      <c r="BC755" s="162">
        <f t="shared" ref="BC755" si="2533">BC754/$Y$743</f>
        <v>0.20413793103448274</v>
      </c>
      <c r="BD755" s="162">
        <f t="shared" ref="BD755:BE755" si="2534">BD754/$Y$743*2</f>
        <v>0.19609195402298851</v>
      </c>
      <c r="BE755" s="162">
        <f t="shared" si="2534"/>
        <v>0.212183908045977</v>
      </c>
      <c r="BF755" s="162">
        <f t="shared" ref="BF755" si="2535">BF754/$Y$743</f>
        <v>0.20413793103448274</v>
      </c>
      <c r="BG755" s="162">
        <f t="shared" ref="BG755:BH755" si="2536">BG754/$Y$743*2</f>
        <v>0.19609195402298851</v>
      </c>
      <c r="BH755" s="162">
        <f t="shared" si="2536"/>
        <v>0.212183908045977</v>
      </c>
      <c r="BI755" s="162">
        <f t="shared" ref="BI755" si="2537">BI754/$Y$743</f>
        <v>0.20413793103448274</v>
      </c>
      <c r="BJ755" s="162">
        <f t="shared" ref="BJ755:BK755" si="2538">BJ754/$Y$743*2</f>
        <v>0.19609195402298851</v>
      </c>
      <c r="BK755" s="162">
        <f t="shared" si="2538"/>
        <v>0.212183908045977</v>
      </c>
      <c r="BL755" s="162">
        <f t="shared" ref="BL755" si="2539">BL754/$Y$743</f>
        <v>0.20413793103448274</v>
      </c>
      <c r="BM755" s="162">
        <f t="shared" ref="BM755:BN755" si="2540">BM754/$Y$743*2</f>
        <v>0.19609195402298851</v>
      </c>
      <c r="BN755" s="162">
        <f t="shared" si="2540"/>
        <v>0.212183908045977</v>
      </c>
      <c r="BO755" s="162">
        <f t="shared" ref="BO755" si="2541">BO754/$Y$743</f>
        <v>0.20413793103448274</v>
      </c>
      <c r="BP755" s="162">
        <f t="shared" ref="BP755:BQ755" si="2542">BP754/$Y$743*2</f>
        <v>0.19609195402298851</v>
      </c>
      <c r="BQ755" s="162">
        <f t="shared" si="2542"/>
        <v>0.212183908045977</v>
      </c>
      <c r="BR755" s="162">
        <f t="shared" ref="BR755" si="2543">BR754/$Y$743</f>
        <v>0.20413793103448274</v>
      </c>
      <c r="BS755" s="35"/>
    </row>
    <row r="756" spans="2:71" s="85" customFormat="1" outlineLevel="2">
      <c r="C756" s="467" t="s">
        <v>57</v>
      </c>
      <c r="D756" s="96" t="s">
        <v>85</v>
      </c>
      <c r="E756" s="96"/>
      <c r="F756" s="96"/>
      <c r="G756" s="96"/>
      <c r="H756" s="96"/>
      <c r="I756" s="96"/>
      <c r="J756" s="96"/>
      <c r="K756" s="96"/>
      <c r="L756" s="96"/>
      <c r="M756" s="96"/>
      <c r="N756" s="96"/>
      <c r="O756" s="96"/>
      <c r="Y756" s="494"/>
      <c r="AA756" s="496">
        <f t="shared" ref="AA756:AN756" si="2544">AA754/AA$259</f>
        <v>2.9889635714878433</v>
      </c>
      <c r="AB756" s="496">
        <f t="shared" si="2544"/>
        <v>3.003924681395246</v>
      </c>
      <c r="AC756" s="496">
        <f t="shared" si="2544"/>
        <v>14.265415549597853</v>
      </c>
      <c r="AD756" s="496">
        <f t="shared" si="2544"/>
        <v>15.381097984711605</v>
      </c>
      <c r="AE756" s="496">
        <f t="shared" si="2544"/>
        <v>29.65482788616875</v>
      </c>
      <c r="AF756" s="496">
        <f t="shared" si="2544"/>
        <v>9.0557207661290313</v>
      </c>
      <c r="AG756" s="1019">
        <f t="shared" si="2544"/>
        <v>24.599156118143458</v>
      </c>
      <c r="AH756" s="496">
        <f t="shared" si="2544"/>
        <v>33.713782874874937</v>
      </c>
      <c r="AI756" s="496">
        <f t="shared" si="2544"/>
        <v>26.768558951965066</v>
      </c>
      <c r="AJ756" s="496">
        <f t="shared" si="2544"/>
        <v>28.223140495867767</v>
      </c>
      <c r="AK756" s="496">
        <f t="shared" si="2544"/>
        <v>55.031847133757957</v>
      </c>
      <c r="AL756" s="496">
        <f t="shared" si="2544"/>
        <v>29.72</v>
      </c>
      <c r="AM756" s="496">
        <f t="shared" si="2544"/>
        <v>32.519999999999996</v>
      </c>
      <c r="AN756" s="496">
        <f t="shared" si="2544"/>
        <v>62.239999999999995</v>
      </c>
      <c r="AO756" s="496">
        <f t="shared" ref="AO756:AQ756" si="2545">AO754/AO$259</f>
        <v>34.119999999999997</v>
      </c>
      <c r="AP756" s="496">
        <f t="shared" si="2545"/>
        <v>36.92</v>
      </c>
      <c r="AQ756" s="496">
        <f t="shared" si="2545"/>
        <v>71.039999999999992</v>
      </c>
      <c r="AR756" s="496">
        <f t="shared" ref="AR756:AT756" si="2546">AR754/AR$259</f>
        <v>34.119999999999997</v>
      </c>
      <c r="AS756" s="496">
        <f t="shared" si="2546"/>
        <v>36.92</v>
      </c>
      <c r="AT756" s="496">
        <f t="shared" si="2546"/>
        <v>71.039999999999992</v>
      </c>
      <c r="AU756" s="496">
        <f t="shared" ref="AU756:AW756" si="2547">AU754/AU$259</f>
        <v>34.119999999999997</v>
      </c>
      <c r="AV756" s="496">
        <f t="shared" si="2547"/>
        <v>36.92</v>
      </c>
      <c r="AW756" s="496">
        <f t="shared" si="2547"/>
        <v>71.039999999999992</v>
      </c>
      <c r="AX756" s="496">
        <f t="shared" ref="AX756:BR756" si="2548">AX754/AX$259</f>
        <v>34.119999999999997</v>
      </c>
      <c r="AY756" s="496">
        <f t="shared" si="2548"/>
        <v>36.92</v>
      </c>
      <c r="AZ756" s="496">
        <f t="shared" si="2548"/>
        <v>71.039999999999992</v>
      </c>
      <c r="BA756" s="496">
        <f t="shared" si="2548"/>
        <v>34.119999999999997</v>
      </c>
      <c r="BB756" s="496">
        <f t="shared" si="2548"/>
        <v>36.92</v>
      </c>
      <c r="BC756" s="496">
        <f t="shared" si="2548"/>
        <v>71.039999999999992</v>
      </c>
      <c r="BD756" s="496">
        <f t="shared" si="2548"/>
        <v>34.119999999999997</v>
      </c>
      <c r="BE756" s="496">
        <f t="shared" si="2548"/>
        <v>36.92</v>
      </c>
      <c r="BF756" s="496">
        <f t="shared" si="2548"/>
        <v>71.039999999999992</v>
      </c>
      <c r="BG756" s="496">
        <f t="shared" si="2548"/>
        <v>34.119999999999997</v>
      </c>
      <c r="BH756" s="496">
        <f t="shared" si="2548"/>
        <v>36.92</v>
      </c>
      <c r="BI756" s="496">
        <f t="shared" si="2548"/>
        <v>71.039999999999992</v>
      </c>
      <c r="BJ756" s="496">
        <f t="shared" si="2548"/>
        <v>34.119999999999997</v>
      </c>
      <c r="BK756" s="496">
        <f t="shared" si="2548"/>
        <v>36.92</v>
      </c>
      <c r="BL756" s="496">
        <f t="shared" si="2548"/>
        <v>71.039999999999992</v>
      </c>
      <c r="BM756" s="496">
        <f t="shared" si="2548"/>
        <v>34.119999999999997</v>
      </c>
      <c r="BN756" s="496">
        <f t="shared" si="2548"/>
        <v>36.92</v>
      </c>
      <c r="BO756" s="496">
        <f t="shared" si="2548"/>
        <v>71.039999999999992</v>
      </c>
      <c r="BP756" s="496">
        <f t="shared" si="2548"/>
        <v>34.119999999999997</v>
      </c>
      <c r="BQ756" s="496">
        <f t="shared" si="2548"/>
        <v>36.92</v>
      </c>
      <c r="BR756" s="496">
        <f t="shared" si="2548"/>
        <v>71.039999999999992</v>
      </c>
    </row>
    <row r="757" spans="2:71" outlineLevel="2">
      <c r="B757" s="5"/>
      <c r="C757" s="511" t="s">
        <v>267</v>
      </c>
      <c r="D757" s="512" t="s">
        <v>85</v>
      </c>
      <c r="E757" s="512"/>
      <c r="F757" s="512"/>
      <c r="G757" s="512"/>
      <c r="H757" s="512"/>
      <c r="I757" s="512"/>
      <c r="J757" s="512"/>
      <c r="K757" s="512"/>
      <c r="L757" s="512"/>
      <c r="M757" s="512"/>
      <c r="N757" s="512"/>
      <c r="O757" s="512"/>
      <c r="P757" s="513"/>
      <c r="Q757" s="513"/>
      <c r="R757" s="513"/>
      <c r="S757" s="513"/>
      <c r="T757" s="513"/>
      <c r="U757" s="513"/>
      <c r="V757" s="513"/>
      <c r="W757" s="513"/>
      <c r="X757" s="513"/>
      <c r="Y757" s="513"/>
      <c r="Z757" s="513"/>
      <c r="AA757" s="514">
        <f>(AA745-X745)/AA259</f>
        <v>28.021533482698533</v>
      </c>
      <c r="AB757" s="514">
        <f>+AA757+Z757</f>
        <v>28.021533482698533</v>
      </c>
      <c r="AC757" s="514">
        <f>(AC745-Z745)/AC259</f>
        <v>141.85656836461123</v>
      </c>
      <c r="AD757" s="514">
        <f>(AD745-AA745)/AD259</f>
        <v>114.89634005096133</v>
      </c>
      <c r="AE757" s="514">
        <f>+AD757+AC757</f>
        <v>256.75290841557256</v>
      </c>
      <c r="AF757" s="514">
        <f t="shared" ref="AF757:BR757" si="2549">(AF745-AC745)/AF259</f>
        <v>0</v>
      </c>
      <c r="AG757" s="1020">
        <f t="shared" si="2549"/>
        <v>0</v>
      </c>
      <c r="AH757" s="514">
        <f t="shared" si="2549"/>
        <v>0</v>
      </c>
      <c r="AI757" s="514">
        <f t="shared" si="2549"/>
        <v>0</v>
      </c>
      <c r="AJ757" s="514">
        <f t="shared" si="2549"/>
        <v>0</v>
      </c>
      <c r="AK757" s="514">
        <f t="shared" si="2549"/>
        <v>0</v>
      </c>
      <c r="AL757" s="514">
        <f t="shared" si="2549"/>
        <v>0</v>
      </c>
      <c r="AM757" s="514">
        <f t="shared" si="2549"/>
        <v>0</v>
      </c>
      <c r="AN757" s="514">
        <f t="shared" si="2549"/>
        <v>0</v>
      </c>
      <c r="AO757" s="514">
        <f t="shared" si="2549"/>
        <v>0</v>
      </c>
      <c r="AP757" s="514">
        <f t="shared" si="2549"/>
        <v>0</v>
      </c>
      <c r="AQ757" s="514">
        <f t="shared" si="2549"/>
        <v>0</v>
      </c>
      <c r="AR757" s="514">
        <f t="shared" si="2549"/>
        <v>0</v>
      </c>
      <c r="AS757" s="514">
        <f t="shared" si="2549"/>
        <v>0</v>
      </c>
      <c r="AT757" s="514">
        <f t="shared" si="2549"/>
        <v>0</v>
      </c>
      <c r="AU757" s="514">
        <f t="shared" si="2549"/>
        <v>0</v>
      </c>
      <c r="AV757" s="514">
        <f t="shared" si="2549"/>
        <v>0</v>
      </c>
      <c r="AW757" s="514">
        <f t="shared" si="2549"/>
        <v>0</v>
      </c>
      <c r="AX757" s="514">
        <f t="shared" si="2549"/>
        <v>0</v>
      </c>
      <c r="AY757" s="514">
        <f t="shared" si="2549"/>
        <v>0</v>
      </c>
      <c r="AZ757" s="514">
        <f t="shared" si="2549"/>
        <v>0</v>
      </c>
      <c r="BA757" s="514">
        <f t="shared" si="2549"/>
        <v>0</v>
      </c>
      <c r="BB757" s="514">
        <f t="shared" si="2549"/>
        <v>0</v>
      </c>
      <c r="BC757" s="514">
        <f t="shared" si="2549"/>
        <v>0</v>
      </c>
      <c r="BD757" s="514">
        <f t="shared" si="2549"/>
        <v>0</v>
      </c>
      <c r="BE757" s="514">
        <f t="shared" si="2549"/>
        <v>0</v>
      </c>
      <c r="BF757" s="514">
        <f t="shared" si="2549"/>
        <v>0</v>
      </c>
      <c r="BG757" s="514">
        <f t="shared" si="2549"/>
        <v>0</v>
      </c>
      <c r="BH757" s="514">
        <f t="shared" si="2549"/>
        <v>0</v>
      </c>
      <c r="BI757" s="514">
        <f t="shared" si="2549"/>
        <v>0</v>
      </c>
      <c r="BJ757" s="514">
        <f t="shared" si="2549"/>
        <v>0</v>
      </c>
      <c r="BK757" s="514">
        <f t="shared" si="2549"/>
        <v>0</v>
      </c>
      <c r="BL757" s="514">
        <f t="shared" si="2549"/>
        <v>0</v>
      </c>
      <c r="BM757" s="514">
        <f t="shared" si="2549"/>
        <v>0</v>
      </c>
      <c r="BN757" s="514">
        <f t="shared" si="2549"/>
        <v>0</v>
      </c>
      <c r="BO757" s="514">
        <f t="shared" si="2549"/>
        <v>0</v>
      </c>
      <c r="BP757" s="514">
        <f t="shared" si="2549"/>
        <v>0</v>
      </c>
      <c r="BQ757" s="514">
        <f t="shared" si="2549"/>
        <v>0</v>
      </c>
      <c r="BR757" s="515">
        <f t="shared" si="2549"/>
        <v>0</v>
      </c>
    </row>
    <row r="758" spans="2:71" outlineLevel="2">
      <c r="B758" s="5"/>
      <c r="C758" s="516" t="s">
        <v>268</v>
      </c>
      <c r="D758" s="401" t="s">
        <v>85</v>
      </c>
      <c r="E758" s="401"/>
      <c r="F758" s="401"/>
      <c r="G758" s="401"/>
      <c r="H758" s="401"/>
      <c r="I758" s="401"/>
      <c r="J758" s="401"/>
      <c r="K758" s="401"/>
      <c r="L758" s="401"/>
      <c r="M758" s="401"/>
      <c r="N758" s="401"/>
      <c r="O758" s="401"/>
      <c r="P758" s="130"/>
      <c r="Q758" s="130"/>
      <c r="R758" s="130"/>
      <c r="S758" s="130"/>
      <c r="T758" s="130"/>
      <c r="U758" s="130"/>
      <c r="V758" s="130"/>
      <c r="W758" s="130"/>
      <c r="X758" s="130"/>
      <c r="Y758" s="130"/>
      <c r="Z758" s="130"/>
      <c r="AA758" s="171">
        <f>(AA748-X748)/AA259</f>
        <v>-0.83515158615101537</v>
      </c>
      <c r="AB758" s="171">
        <f>+AA758+Z758</f>
        <v>-0.83515158615101537</v>
      </c>
      <c r="AC758" s="171">
        <f>(AC748-Z748)/AC259</f>
        <v>-5.0938337801608586</v>
      </c>
      <c r="AD758" s="171">
        <f>(AD748-AA748)/AD259</f>
        <v>-4.3019616927150768</v>
      </c>
      <c r="AE758" s="171">
        <f>+AD758+AC758</f>
        <v>-9.3957954728759354</v>
      </c>
      <c r="AF758" s="171">
        <f>(AF748-AC748)/AF259</f>
        <v>0</v>
      </c>
      <c r="AG758" s="937">
        <f>(AG748-AD748)/AG259</f>
        <v>0</v>
      </c>
      <c r="AH758" s="171">
        <f>AF758+AG758</f>
        <v>0</v>
      </c>
      <c r="AI758" s="171">
        <f>(AI748-AF748)/AI259</f>
        <v>0</v>
      </c>
      <c r="AJ758" s="171">
        <f>(AJ748-AG748)/AJ259</f>
        <v>0</v>
      </c>
      <c r="AK758" s="171">
        <f t="shared" ref="AK758" si="2550">AI758+AJ758</f>
        <v>0</v>
      </c>
      <c r="AL758" s="171">
        <f>(AL748-AI748)/AL259</f>
        <v>0</v>
      </c>
      <c r="AM758" s="171">
        <f>(AM748-AJ748)/AM259</f>
        <v>0</v>
      </c>
      <c r="AN758" s="171">
        <f t="shared" ref="AN758" si="2551">AL758+AM758</f>
        <v>0</v>
      </c>
      <c r="AO758" s="171">
        <f>(AO748-AL748)/AO259</f>
        <v>0</v>
      </c>
      <c r="AP758" s="171">
        <f>(AP748-AM748)/AP259</f>
        <v>0</v>
      </c>
      <c r="AQ758" s="171">
        <f t="shared" ref="AQ758" si="2552">AO758+AP758</f>
        <v>0</v>
      </c>
      <c r="AR758" s="171">
        <f>(AR748-AO748)/AR259</f>
        <v>0</v>
      </c>
      <c r="AS758" s="171">
        <f>(AS748-AP748)/AS259</f>
        <v>0</v>
      </c>
      <c r="AT758" s="171">
        <f t="shared" ref="AT758" si="2553">AR758+AS758</f>
        <v>0</v>
      </c>
      <c r="AU758" s="171">
        <f>(AU748-AR748)/AU259</f>
        <v>0</v>
      </c>
      <c r="AV758" s="171">
        <f>(AV748-AS748)/AV259</f>
        <v>0</v>
      </c>
      <c r="AW758" s="171">
        <f t="shared" ref="AW758" si="2554">AU758+AV758</f>
        <v>0</v>
      </c>
      <c r="AX758" s="171">
        <f>(AX748-AU748)/AX259</f>
        <v>0</v>
      </c>
      <c r="AY758" s="171">
        <f>(AY748-AV748)/AY259</f>
        <v>0</v>
      </c>
      <c r="AZ758" s="171">
        <f t="shared" ref="AZ758" si="2555">AX758+AY758</f>
        <v>0</v>
      </c>
      <c r="BA758" s="171">
        <f>(BA748-AX748)/BA259</f>
        <v>0</v>
      </c>
      <c r="BB758" s="171">
        <f>(BB748-AY748)/BB259</f>
        <v>0</v>
      </c>
      <c r="BC758" s="171">
        <f t="shared" ref="BC758" si="2556">BA758+BB758</f>
        <v>0</v>
      </c>
      <c r="BD758" s="171">
        <f>(BD748-BA748)/BD259</f>
        <v>0</v>
      </c>
      <c r="BE758" s="171">
        <f>(BE748-BB748)/BE259</f>
        <v>0</v>
      </c>
      <c r="BF758" s="171">
        <f t="shared" ref="BF758" si="2557">BD758+BE758</f>
        <v>0</v>
      </c>
      <c r="BG758" s="171">
        <f>(BG748-BD748)/BG259</f>
        <v>0</v>
      </c>
      <c r="BH758" s="171">
        <f>(BH748-BE748)/BH259</f>
        <v>0</v>
      </c>
      <c r="BI758" s="171">
        <f t="shared" ref="BI758" si="2558">BG758+BH758</f>
        <v>0</v>
      </c>
      <c r="BJ758" s="171">
        <f>(BJ748-BG748)/BJ259</f>
        <v>0</v>
      </c>
      <c r="BK758" s="171">
        <f>(BK748-BH748)/BK259</f>
        <v>0</v>
      </c>
      <c r="BL758" s="171">
        <f t="shared" ref="BL758" si="2559">BJ758+BK758</f>
        <v>0</v>
      </c>
      <c r="BM758" s="171">
        <f>(BM748-BJ748)/BM259</f>
        <v>0</v>
      </c>
      <c r="BN758" s="171">
        <f>(BN748-BK748)/BN259</f>
        <v>0</v>
      </c>
      <c r="BO758" s="171">
        <f t="shared" ref="BO758" si="2560">BM758+BN758</f>
        <v>0</v>
      </c>
      <c r="BP758" s="171">
        <f>(BP748-BM748)/BP259</f>
        <v>0</v>
      </c>
      <c r="BQ758" s="171">
        <f>(BQ748-BN748)/BQ259</f>
        <v>0</v>
      </c>
      <c r="BR758" s="517">
        <f t="shared" ref="BR758" si="2561">BP758+BQ758</f>
        <v>0</v>
      </c>
    </row>
    <row r="759" spans="2:71" outlineLevel="2">
      <c r="B759" s="5"/>
      <c r="C759" s="518" t="s">
        <v>269</v>
      </c>
      <c r="D759" s="519" t="s">
        <v>85</v>
      </c>
      <c r="E759" s="519"/>
      <c r="F759" s="519"/>
      <c r="G759" s="519"/>
      <c r="H759" s="519"/>
      <c r="I759" s="519"/>
      <c r="J759" s="519"/>
      <c r="K759" s="519"/>
      <c r="L759" s="519"/>
      <c r="M759" s="519"/>
      <c r="N759" s="519"/>
      <c r="O759" s="519"/>
      <c r="P759" s="520"/>
      <c r="Q759" s="520"/>
      <c r="R759" s="520"/>
      <c r="S759" s="520"/>
      <c r="T759" s="520"/>
      <c r="U759" s="520"/>
      <c r="V759" s="520"/>
      <c r="W759" s="520"/>
      <c r="X759" s="520"/>
      <c r="Y759" s="520"/>
      <c r="Z759" s="520"/>
      <c r="AA759" s="521">
        <f t="shared" ref="AA759:AD759" si="2562">+AA756-X756</f>
        <v>2.9889635714878433</v>
      </c>
      <c r="AB759" s="521">
        <f>+AA759+Z759</f>
        <v>2.9889635714878433</v>
      </c>
      <c r="AC759" s="521">
        <f t="shared" si="2562"/>
        <v>14.265415549597853</v>
      </c>
      <c r="AD759" s="521">
        <f t="shared" si="2562"/>
        <v>12.392134413223761</v>
      </c>
      <c r="AE759" s="521">
        <f>+AD759+AC759</f>
        <v>26.657549962821612</v>
      </c>
      <c r="AF759" s="521">
        <f>(AF754-AC754)/AF259</f>
        <v>-4.2515120967741931</v>
      </c>
      <c r="AG759" s="1021">
        <f>(AG754-AD754)/AG259</f>
        <v>10.548523206751055</v>
      </c>
      <c r="AH759" s="521">
        <f>+AG759+AF759</f>
        <v>6.2970111099768618</v>
      </c>
      <c r="AI759" s="521">
        <f t="shared" ref="AI759:AJ759" si="2563">+AI756-AF756</f>
        <v>17.712838185836034</v>
      </c>
      <c r="AJ759" s="521">
        <f t="shared" si="2563"/>
        <v>3.6239843777243088</v>
      </c>
      <c r="AK759" s="521">
        <f t="shared" ref="AK759" si="2564">+AJ759+AI759</f>
        <v>21.336822563560343</v>
      </c>
      <c r="AL759" s="521">
        <f t="shared" ref="AL759:AM759" si="2565">+AL756-AI756</f>
        <v>2.9514410480349333</v>
      </c>
      <c r="AM759" s="521">
        <f t="shared" si="2565"/>
        <v>4.2968595041322288</v>
      </c>
      <c r="AN759" s="521">
        <f t="shared" ref="AN759" si="2566">+AM759+AL759</f>
        <v>7.2483005521671622</v>
      </c>
      <c r="AO759" s="521">
        <f t="shared" ref="AO759" si="2567">+AO756-AL756</f>
        <v>4.3999999999999986</v>
      </c>
      <c r="AP759" s="521">
        <f t="shared" ref="AP759" si="2568">+AP756-AM756</f>
        <v>4.4000000000000057</v>
      </c>
      <c r="AQ759" s="521">
        <f t="shared" ref="AQ759" si="2569">+AP759+AO759</f>
        <v>8.8000000000000043</v>
      </c>
      <c r="AR759" s="521">
        <f t="shared" ref="AR759" si="2570">+AR756-AO756</f>
        <v>0</v>
      </c>
      <c r="AS759" s="521">
        <f t="shared" ref="AS759" si="2571">+AS756-AP756</f>
        <v>0</v>
      </c>
      <c r="AT759" s="521">
        <f t="shared" ref="AT759" si="2572">+AS759+AR759</f>
        <v>0</v>
      </c>
      <c r="AU759" s="521">
        <f t="shared" ref="AU759" si="2573">+AU756-AR756</f>
        <v>0</v>
      </c>
      <c r="AV759" s="521">
        <f t="shared" ref="AV759" si="2574">+AV756-AS756</f>
        <v>0</v>
      </c>
      <c r="AW759" s="521">
        <f t="shared" ref="AW759" si="2575">+AV759+AU759</f>
        <v>0</v>
      </c>
      <c r="AX759" s="521">
        <f t="shared" ref="AX759" si="2576">+AX756-AU756</f>
        <v>0</v>
      </c>
      <c r="AY759" s="521">
        <f t="shared" ref="AY759" si="2577">+AY756-AV756</f>
        <v>0</v>
      </c>
      <c r="AZ759" s="521">
        <f t="shared" ref="AZ759" si="2578">+AY759+AX759</f>
        <v>0</v>
      </c>
      <c r="BA759" s="521">
        <f t="shared" ref="BA759" si="2579">+BA756-AX756</f>
        <v>0</v>
      </c>
      <c r="BB759" s="521">
        <f t="shared" ref="BB759" si="2580">+BB756-AY756</f>
        <v>0</v>
      </c>
      <c r="BC759" s="521">
        <f t="shared" ref="BC759" si="2581">+BB759+BA759</f>
        <v>0</v>
      </c>
      <c r="BD759" s="521">
        <f t="shared" ref="BD759" si="2582">+BD756-BA756</f>
        <v>0</v>
      </c>
      <c r="BE759" s="521">
        <f t="shared" ref="BE759" si="2583">+BE756-BB756</f>
        <v>0</v>
      </c>
      <c r="BF759" s="521">
        <f t="shared" ref="BF759" si="2584">+BE759+BD759</f>
        <v>0</v>
      </c>
      <c r="BG759" s="521">
        <f t="shared" ref="BG759" si="2585">+BG756-BD756</f>
        <v>0</v>
      </c>
      <c r="BH759" s="521">
        <f t="shared" ref="BH759" si="2586">+BH756-BE756</f>
        <v>0</v>
      </c>
      <c r="BI759" s="521">
        <f t="shared" ref="BI759" si="2587">+BH759+BG759</f>
        <v>0</v>
      </c>
      <c r="BJ759" s="521">
        <f t="shared" ref="BJ759" si="2588">+BJ756-BG756</f>
        <v>0</v>
      </c>
      <c r="BK759" s="521">
        <f t="shared" ref="BK759" si="2589">+BK756-BH756</f>
        <v>0</v>
      </c>
      <c r="BL759" s="521">
        <f t="shared" ref="BL759" si="2590">+BK759+BJ759</f>
        <v>0</v>
      </c>
      <c r="BM759" s="521">
        <f t="shared" ref="BM759" si="2591">+BM756-BJ756</f>
        <v>0</v>
      </c>
      <c r="BN759" s="521">
        <f t="shared" ref="BN759" si="2592">+BN756-BK756</f>
        <v>0</v>
      </c>
      <c r="BO759" s="521">
        <f t="shared" ref="BO759" si="2593">+BN759+BM759</f>
        <v>0</v>
      </c>
      <c r="BP759" s="521">
        <f t="shared" ref="BP759" si="2594">+BP756-BM756</f>
        <v>0</v>
      </c>
      <c r="BQ759" s="521">
        <f t="shared" ref="BQ759" si="2595">+BQ756-BN756</f>
        <v>0</v>
      </c>
      <c r="BR759" s="522">
        <f t="shared" ref="BR759" si="2596">+BQ759+BP759</f>
        <v>0</v>
      </c>
    </row>
    <row r="760" spans="2:71" outlineLevel="2">
      <c r="B760" s="5"/>
      <c r="C760" s="8" t="s">
        <v>342</v>
      </c>
      <c r="AF760" s="18"/>
      <c r="AG760" s="933"/>
      <c r="AH760" s="156"/>
      <c r="AI760" s="156"/>
      <c r="AJ760" s="156"/>
      <c r="AK760" s="156"/>
    </row>
    <row r="761" spans="2:71" outlineLevel="2">
      <c r="B761" s="5"/>
      <c r="C761" s="9" t="s">
        <v>266</v>
      </c>
      <c r="Y761" s="484" t="s">
        <v>593</v>
      </c>
      <c r="AC761" s="28"/>
      <c r="AD761" s="28"/>
      <c r="AE761" s="28"/>
      <c r="AF761" s="28"/>
      <c r="AG761" s="1008"/>
      <c r="AH761" s="28"/>
    </row>
    <row r="762" spans="2:71" outlineLevel="2">
      <c r="B762" s="5"/>
      <c r="C762" s="9" t="s">
        <v>262</v>
      </c>
      <c r="Y762" s="485">
        <v>42486</v>
      </c>
      <c r="AC762" s="28"/>
      <c r="AD762" s="28"/>
      <c r="AE762" s="28"/>
      <c r="AF762" s="28"/>
      <c r="AG762" s="1008"/>
      <c r="AH762" s="28"/>
    </row>
    <row r="763" spans="2:71" s="30" customFormat="1" outlineLevel="2">
      <c r="C763" s="84" t="s">
        <v>72</v>
      </c>
      <c r="D763" s="31" t="s">
        <v>58</v>
      </c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Y763" s="486">
        <v>13</v>
      </c>
      <c r="AC763" s="35"/>
      <c r="AE763" s="168"/>
      <c r="AF763" s="168"/>
      <c r="AG763" s="964"/>
      <c r="AH763" s="410"/>
    </row>
    <row r="764" spans="2:71" s="30" customFormat="1" outlineLevel="2">
      <c r="C764" s="84" t="s">
        <v>76</v>
      </c>
      <c r="D764" s="74" t="s">
        <v>77</v>
      </c>
      <c r="E764" s="2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Y764" s="488">
        <f>Y763/Y766</f>
        <v>6.117647058823529</v>
      </c>
      <c r="AC764" s="35"/>
      <c r="AE764" s="165"/>
      <c r="AF764" s="168"/>
      <c r="AG764" s="964"/>
      <c r="AH764" s="410"/>
    </row>
    <row r="765" spans="2:71" s="30" customFormat="1" outlineLevel="2">
      <c r="C765" s="84" t="s">
        <v>55</v>
      </c>
      <c r="D765" s="31" t="s">
        <v>58</v>
      </c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Y765" s="505">
        <f>1.5*Y763</f>
        <v>19.5</v>
      </c>
      <c r="Z765" s="177"/>
      <c r="AA765" s="37">
        <f>Y765*0.5*(2/6)</f>
        <v>3.25</v>
      </c>
      <c r="AB765" s="26">
        <f>SUM(Z765:AA765)</f>
        <v>3.25</v>
      </c>
      <c r="AC765" s="164">
        <f>AE765*0.5</f>
        <v>9.75</v>
      </c>
      <c r="AD765" s="13">
        <f>AE765*0.5</f>
        <v>9.75</v>
      </c>
      <c r="AE765" s="164">
        <f>Y765</f>
        <v>19.5</v>
      </c>
      <c r="AF765" s="164">
        <f>AC765</f>
        <v>9.75</v>
      </c>
      <c r="AG765" s="1018">
        <f>AD765</f>
        <v>9.75</v>
      </c>
      <c r="AH765" s="13">
        <f>AF765+AG765</f>
        <v>19.5</v>
      </c>
      <c r="AI765" s="13">
        <f>AF765</f>
        <v>9.75</v>
      </c>
      <c r="AJ765" s="13">
        <f>AG765</f>
        <v>9.75</v>
      </c>
      <c r="AK765" s="13">
        <f>AI765+AJ765</f>
        <v>19.5</v>
      </c>
      <c r="AL765" s="13">
        <f>AI765</f>
        <v>9.75</v>
      </c>
      <c r="AM765" s="13">
        <f>AJ765</f>
        <v>9.75</v>
      </c>
      <c r="AN765" s="13">
        <f>AL765+AM765</f>
        <v>19.5</v>
      </c>
      <c r="AO765" s="13">
        <f>AL765</f>
        <v>9.75</v>
      </c>
      <c r="AP765" s="13">
        <f>AM765</f>
        <v>9.75</v>
      </c>
      <c r="AQ765" s="13">
        <f>AO765+AP765</f>
        <v>19.5</v>
      </c>
      <c r="AR765" s="13">
        <f>AO765</f>
        <v>9.75</v>
      </c>
      <c r="AS765" s="13">
        <f>AP765</f>
        <v>9.75</v>
      </c>
      <c r="AT765" s="13">
        <f>AR765+AS765</f>
        <v>19.5</v>
      </c>
      <c r="AU765" s="13">
        <f>AR765</f>
        <v>9.75</v>
      </c>
      <c r="AV765" s="13">
        <f>AS765</f>
        <v>9.75</v>
      </c>
      <c r="AW765" s="13">
        <f>AU765+AV765</f>
        <v>19.5</v>
      </c>
      <c r="AX765" s="13">
        <f>AU765</f>
        <v>9.75</v>
      </c>
      <c r="AY765" s="13">
        <f>AV765</f>
        <v>9.75</v>
      </c>
      <c r="AZ765" s="13">
        <f>AX765+AY765</f>
        <v>19.5</v>
      </c>
      <c r="BA765" s="13">
        <f>AX765</f>
        <v>9.75</v>
      </c>
      <c r="BB765" s="13">
        <f>AY765</f>
        <v>9.75</v>
      </c>
      <c r="BC765" s="13">
        <f>BA765+BB765</f>
        <v>19.5</v>
      </c>
      <c r="BD765" s="13">
        <f>BA765</f>
        <v>9.75</v>
      </c>
      <c r="BE765" s="13">
        <f>BB765</f>
        <v>9.75</v>
      </c>
      <c r="BF765" s="13">
        <f>BD765+BE765</f>
        <v>19.5</v>
      </c>
      <c r="BG765" s="13">
        <f>BD765</f>
        <v>9.75</v>
      </c>
      <c r="BH765" s="13">
        <f>BE765</f>
        <v>9.75</v>
      </c>
      <c r="BI765" s="13">
        <f>BG765+BH765</f>
        <v>19.5</v>
      </c>
      <c r="BJ765" s="13">
        <f>BG765</f>
        <v>9.75</v>
      </c>
      <c r="BK765" s="13">
        <f>BH765</f>
        <v>9.75</v>
      </c>
      <c r="BL765" s="13">
        <f>BJ765+BK765</f>
        <v>19.5</v>
      </c>
      <c r="BM765" s="13">
        <f>BJ765</f>
        <v>9.75</v>
      </c>
      <c r="BN765" s="13">
        <f>BK765</f>
        <v>9.75</v>
      </c>
      <c r="BO765" s="13">
        <f>BM765+BN765</f>
        <v>19.5</v>
      </c>
      <c r="BP765" s="13">
        <f>BM765</f>
        <v>9.75</v>
      </c>
      <c r="BQ765" s="13">
        <f>BN765</f>
        <v>9.75</v>
      </c>
      <c r="BR765" s="13">
        <f>BP765+BQ765</f>
        <v>19.5</v>
      </c>
    </row>
    <row r="766" spans="2:71" s="30" customFormat="1" outlineLevel="2">
      <c r="C766" s="84" t="s">
        <v>56</v>
      </c>
      <c r="D766" s="31" t="s">
        <v>58</v>
      </c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Y766" s="506">
        <f>Y769-Y768</f>
        <v>2.125</v>
      </c>
      <c r="Z766" s="177"/>
      <c r="AA766" s="37">
        <f>Y766*0.5*(2/6)</f>
        <v>0.35416666666666663</v>
      </c>
      <c r="AB766" s="26">
        <f>SUM(Z766:AA766)</f>
        <v>0.35416666666666663</v>
      </c>
      <c r="AC766" s="164">
        <f>AC767*AC765</f>
        <v>1.0625</v>
      </c>
      <c r="AD766" s="13">
        <f>AD767*AD765</f>
        <v>1.0625</v>
      </c>
      <c r="AE766" s="164">
        <f>Y766</f>
        <v>2.125</v>
      </c>
      <c r="AF766" s="164">
        <f>AF767*AF765</f>
        <v>1.0625</v>
      </c>
      <c r="AG766" s="1018">
        <f>AG767*AG765</f>
        <v>1.0625</v>
      </c>
      <c r="AH766" s="13">
        <f>AF766+AG766</f>
        <v>2.125</v>
      </c>
      <c r="AI766" s="13">
        <f>AI767*AI765</f>
        <v>1.0625</v>
      </c>
      <c r="AJ766" s="13">
        <f>AJ767*AJ765</f>
        <v>1.0625</v>
      </c>
      <c r="AK766" s="13">
        <f>AI766+AJ766</f>
        <v>2.125</v>
      </c>
      <c r="AL766" s="13">
        <f>AL767*AL765</f>
        <v>1.0625</v>
      </c>
      <c r="AM766" s="13">
        <f>AM767*AM765</f>
        <v>1.0625</v>
      </c>
      <c r="AN766" s="13">
        <f>AL766+AM766</f>
        <v>2.125</v>
      </c>
      <c r="AO766" s="13">
        <f>AO767*AO765</f>
        <v>1.0625</v>
      </c>
      <c r="AP766" s="13">
        <f>AP767*AP765</f>
        <v>1.0625</v>
      </c>
      <c r="AQ766" s="13">
        <f>AO766+AP766</f>
        <v>2.125</v>
      </c>
      <c r="AR766" s="13">
        <f>AR767*AR765</f>
        <v>1.0625</v>
      </c>
      <c r="AS766" s="13">
        <f>AS767*AS765</f>
        <v>1.0625</v>
      </c>
      <c r="AT766" s="13">
        <f>AR766+AS766</f>
        <v>2.125</v>
      </c>
      <c r="AU766" s="13">
        <f>AU767*AU765</f>
        <v>1.0625</v>
      </c>
      <c r="AV766" s="13">
        <f>AV767*AV765</f>
        <v>1.0625</v>
      </c>
      <c r="AW766" s="13">
        <f>AU766+AV766</f>
        <v>2.125</v>
      </c>
      <c r="AX766" s="13">
        <f>AX767*AX765</f>
        <v>1.0625</v>
      </c>
      <c r="AY766" s="13">
        <f>AY767*AY765</f>
        <v>1.0625</v>
      </c>
      <c r="AZ766" s="13">
        <f>AX766+AY766</f>
        <v>2.125</v>
      </c>
      <c r="BA766" s="13">
        <f>BA767*BA765</f>
        <v>1.0625</v>
      </c>
      <c r="BB766" s="13">
        <f>BB767*BB765</f>
        <v>1.0625</v>
      </c>
      <c r="BC766" s="13">
        <f>BA766+BB766</f>
        <v>2.125</v>
      </c>
      <c r="BD766" s="13">
        <f>BD767*BD765</f>
        <v>1.0625</v>
      </c>
      <c r="BE766" s="13">
        <f>BE767*BE765</f>
        <v>1.0625</v>
      </c>
      <c r="BF766" s="13">
        <f>BD766+BE766</f>
        <v>2.125</v>
      </c>
      <c r="BG766" s="13">
        <f>BG767*BG765</f>
        <v>1.0625</v>
      </c>
      <c r="BH766" s="13">
        <f>BH767*BH765</f>
        <v>1.0625</v>
      </c>
      <c r="BI766" s="13">
        <f>BG766+BH766</f>
        <v>2.125</v>
      </c>
      <c r="BJ766" s="13">
        <f>BJ767*BJ765</f>
        <v>1.0625</v>
      </c>
      <c r="BK766" s="13">
        <f>BK767*BK765</f>
        <v>1.0625</v>
      </c>
      <c r="BL766" s="13">
        <f>BJ766+BK766</f>
        <v>2.125</v>
      </c>
      <c r="BM766" s="13">
        <f>BM767*BM765</f>
        <v>1.0625</v>
      </c>
      <c r="BN766" s="13">
        <f>BN767*BN765</f>
        <v>1.0625</v>
      </c>
      <c r="BO766" s="13">
        <f>BM766+BN766</f>
        <v>2.125</v>
      </c>
      <c r="BP766" s="13">
        <f>BP767*BP765</f>
        <v>1.0625</v>
      </c>
      <c r="BQ766" s="13">
        <f>BQ767*BQ765</f>
        <v>1.0625</v>
      </c>
      <c r="BR766" s="13">
        <f>BP766+BQ766</f>
        <v>2.125</v>
      </c>
    </row>
    <row r="767" spans="2:71" s="30" customFormat="1" outlineLevel="2">
      <c r="C767" s="84" t="s">
        <v>73</v>
      </c>
      <c r="D767" s="31" t="s">
        <v>66</v>
      </c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Y767" s="507">
        <f>Y766/Y765</f>
        <v>0.10897435897435898</v>
      </c>
      <c r="Z767" s="359"/>
      <c r="AA767" s="359">
        <f t="shared" ref="AA767:AB767" si="2597">AA766/AA765</f>
        <v>0.10897435897435896</v>
      </c>
      <c r="AB767" s="359">
        <f t="shared" si="2597"/>
        <v>0.10897435897435896</v>
      </c>
      <c r="AC767" s="393">
        <f>Y767</f>
        <v>0.10897435897435898</v>
      </c>
      <c r="AD767" s="213">
        <f>Y767</f>
        <v>0.10897435897435898</v>
      </c>
      <c r="AE767" s="359">
        <f>AE766/AE765</f>
        <v>0.10897435897435898</v>
      </c>
      <c r="AF767" s="393">
        <f>AC767</f>
        <v>0.10897435897435898</v>
      </c>
      <c r="AG767" s="976">
        <f>AD767</f>
        <v>0.10897435897435898</v>
      </c>
      <c r="AH767" s="385">
        <f>AH766/AH765</f>
        <v>0.10897435897435898</v>
      </c>
      <c r="AI767" s="213">
        <f>AE767</f>
        <v>0.10897435897435898</v>
      </c>
      <c r="AJ767" s="213">
        <f>AE767</f>
        <v>0.10897435897435898</v>
      </c>
      <c r="AK767" s="385">
        <f>AK766/AK765</f>
        <v>0.10897435897435898</v>
      </c>
      <c r="AL767" s="213">
        <f>AH767</f>
        <v>0.10897435897435898</v>
      </c>
      <c r="AM767" s="213">
        <f>AH767</f>
        <v>0.10897435897435898</v>
      </c>
      <c r="AN767" s="385">
        <f>AN766/AN765</f>
        <v>0.10897435897435898</v>
      </c>
      <c r="AO767" s="213">
        <f>AK767</f>
        <v>0.10897435897435898</v>
      </c>
      <c r="AP767" s="213">
        <f>AK767</f>
        <v>0.10897435897435898</v>
      </c>
      <c r="AQ767" s="385">
        <f>AQ766/AQ765</f>
        <v>0.10897435897435898</v>
      </c>
      <c r="AR767" s="213">
        <f>AN767</f>
        <v>0.10897435897435898</v>
      </c>
      <c r="AS767" s="213">
        <f>AN767</f>
        <v>0.10897435897435898</v>
      </c>
      <c r="AT767" s="385">
        <f>AT766/AT765</f>
        <v>0.10897435897435898</v>
      </c>
      <c r="AU767" s="213">
        <f>AQ767</f>
        <v>0.10897435897435898</v>
      </c>
      <c r="AV767" s="213">
        <f>AQ767</f>
        <v>0.10897435897435898</v>
      </c>
      <c r="AW767" s="385">
        <f>AW766/AW765</f>
        <v>0.10897435897435898</v>
      </c>
      <c r="AX767" s="213">
        <f>AT767</f>
        <v>0.10897435897435898</v>
      </c>
      <c r="AY767" s="213">
        <f>AT767</f>
        <v>0.10897435897435898</v>
      </c>
      <c r="AZ767" s="385">
        <f>AZ766/AZ765</f>
        <v>0.10897435897435898</v>
      </c>
      <c r="BA767" s="213">
        <f>AW767</f>
        <v>0.10897435897435898</v>
      </c>
      <c r="BB767" s="213">
        <f>AW767</f>
        <v>0.10897435897435898</v>
      </c>
      <c r="BC767" s="385">
        <f>BC766/BC765</f>
        <v>0.10897435897435898</v>
      </c>
      <c r="BD767" s="213">
        <f>AZ767</f>
        <v>0.10897435897435898</v>
      </c>
      <c r="BE767" s="213">
        <f>AZ767</f>
        <v>0.10897435897435898</v>
      </c>
      <c r="BF767" s="385">
        <f>BF766/BF765</f>
        <v>0.10897435897435898</v>
      </c>
      <c r="BG767" s="213">
        <f>BC767</f>
        <v>0.10897435897435898</v>
      </c>
      <c r="BH767" s="213">
        <f>BC767</f>
        <v>0.10897435897435898</v>
      </c>
      <c r="BI767" s="385">
        <f>BI766/BI765</f>
        <v>0.10897435897435898</v>
      </c>
      <c r="BJ767" s="213">
        <f>BF767</f>
        <v>0.10897435897435898</v>
      </c>
      <c r="BK767" s="213">
        <f>BF767</f>
        <v>0.10897435897435898</v>
      </c>
      <c r="BL767" s="385">
        <f>BL766/BL765</f>
        <v>0.10897435897435898</v>
      </c>
      <c r="BM767" s="213">
        <f>BI767</f>
        <v>0.10897435897435898</v>
      </c>
      <c r="BN767" s="213">
        <f>BI767</f>
        <v>0.10897435897435898</v>
      </c>
      <c r="BO767" s="385">
        <f>BO766/BO765</f>
        <v>0.10897435897435898</v>
      </c>
      <c r="BP767" s="213">
        <f>BL767</f>
        <v>0.10897435897435898</v>
      </c>
      <c r="BQ767" s="213">
        <f>BL767</f>
        <v>0.10897435897435898</v>
      </c>
      <c r="BR767" s="385">
        <f>BR766/BR765</f>
        <v>0.10897435897435898</v>
      </c>
    </row>
    <row r="768" spans="2:71" s="30" customFormat="1" outlineLevel="2">
      <c r="C768" s="84" t="s">
        <v>65</v>
      </c>
      <c r="D768" s="31" t="s">
        <v>58</v>
      </c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Y768" s="508">
        <v>-0.5</v>
      </c>
      <c r="Z768" s="177"/>
      <c r="AA768" s="37">
        <f>Y768*0.5*(2/6)</f>
        <v>-8.3333333333333329E-2</v>
      </c>
      <c r="AB768" s="167">
        <f>SUM(Z768:AA768)</f>
        <v>-8.3333333333333329E-2</v>
      </c>
      <c r="AC768" s="167">
        <f>AE768*0.5</f>
        <v>-0.25</v>
      </c>
      <c r="AD768" s="37">
        <f>AE768*0.5</f>
        <v>-0.25</v>
      </c>
      <c r="AE768" s="167">
        <f>Y768</f>
        <v>-0.5</v>
      </c>
      <c r="AF768" s="167">
        <f>AC768</f>
        <v>-0.25</v>
      </c>
      <c r="AG768" s="1017">
        <f>AD768</f>
        <v>-0.25</v>
      </c>
      <c r="AH768" s="37">
        <f>AF768+AG768</f>
        <v>-0.5</v>
      </c>
      <c r="AI768" s="37">
        <f>AF768</f>
        <v>-0.25</v>
      </c>
      <c r="AJ768" s="37">
        <f>AG768</f>
        <v>-0.25</v>
      </c>
      <c r="AK768" s="37">
        <f>AI768+AJ768</f>
        <v>-0.5</v>
      </c>
      <c r="AL768" s="37">
        <f>AI768</f>
        <v>-0.25</v>
      </c>
      <c r="AM768" s="37">
        <f>AJ768</f>
        <v>-0.25</v>
      </c>
      <c r="AN768" s="37">
        <f>AL768+AM768</f>
        <v>-0.5</v>
      </c>
      <c r="AO768" s="37">
        <f>AL768</f>
        <v>-0.25</v>
      </c>
      <c r="AP768" s="37">
        <f>AM768</f>
        <v>-0.25</v>
      </c>
      <c r="AQ768" s="37">
        <f>AO768+AP768</f>
        <v>-0.5</v>
      </c>
      <c r="AR768" s="37">
        <f>AO768</f>
        <v>-0.25</v>
      </c>
      <c r="AS768" s="37">
        <f>AP768</f>
        <v>-0.25</v>
      </c>
      <c r="AT768" s="37">
        <f>AR768+AS768</f>
        <v>-0.5</v>
      </c>
      <c r="AU768" s="37">
        <f>AR768</f>
        <v>-0.25</v>
      </c>
      <c r="AV768" s="37">
        <f>AS768</f>
        <v>-0.25</v>
      </c>
      <c r="AW768" s="37">
        <f>AU768+AV768</f>
        <v>-0.5</v>
      </c>
      <c r="AX768" s="37">
        <f>AU768</f>
        <v>-0.25</v>
      </c>
      <c r="AY768" s="37">
        <f>AV768</f>
        <v>-0.25</v>
      </c>
      <c r="AZ768" s="37">
        <f>AX768+AY768</f>
        <v>-0.5</v>
      </c>
      <c r="BA768" s="37">
        <f>AX768</f>
        <v>-0.25</v>
      </c>
      <c r="BB768" s="37">
        <f>AY768</f>
        <v>-0.25</v>
      </c>
      <c r="BC768" s="37">
        <f>BA768+BB768</f>
        <v>-0.5</v>
      </c>
      <c r="BD768" s="37">
        <f>BA768</f>
        <v>-0.25</v>
      </c>
      <c r="BE768" s="37">
        <f>BB768</f>
        <v>-0.25</v>
      </c>
      <c r="BF768" s="37">
        <f>BD768+BE768</f>
        <v>-0.5</v>
      </c>
      <c r="BG768" s="37">
        <f>BD768</f>
        <v>-0.25</v>
      </c>
      <c r="BH768" s="37">
        <f>BE768</f>
        <v>-0.25</v>
      </c>
      <c r="BI768" s="37">
        <f>BG768+BH768</f>
        <v>-0.5</v>
      </c>
      <c r="BJ768" s="37">
        <f>BG768</f>
        <v>-0.25</v>
      </c>
      <c r="BK768" s="37">
        <f>BH768</f>
        <v>-0.25</v>
      </c>
      <c r="BL768" s="37">
        <f>BJ768+BK768</f>
        <v>-0.5</v>
      </c>
      <c r="BM768" s="37">
        <f>BJ768</f>
        <v>-0.25</v>
      </c>
      <c r="BN768" s="37">
        <f>BK768</f>
        <v>-0.25</v>
      </c>
      <c r="BO768" s="37">
        <f>BM768+BN768</f>
        <v>-0.5</v>
      </c>
      <c r="BP768" s="37">
        <f>BM768</f>
        <v>-0.25</v>
      </c>
      <c r="BQ768" s="37">
        <f>BN768</f>
        <v>-0.25</v>
      </c>
      <c r="BR768" s="37">
        <f>BP768+BQ768</f>
        <v>-0.5</v>
      </c>
    </row>
    <row r="769" spans="2:70" s="30" customFormat="1" outlineLevel="2">
      <c r="C769" s="84" t="s">
        <v>78</v>
      </c>
      <c r="D769" s="31" t="s">
        <v>58</v>
      </c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Y769" s="506">
        <f>Y774-Y772</f>
        <v>1.625</v>
      </c>
      <c r="Z769" s="176"/>
      <c r="AA769" s="347">
        <f>AA766+AA768</f>
        <v>0.27083333333333331</v>
      </c>
      <c r="AB769" s="347">
        <f>AB766+AB768</f>
        <v>0.27083333333333331</v>
      </c>
      <c r="AC769" s="171">
        <f>AE769*0.5</f>
        <v>0.8125</v>
      </c>
      <c r="AD769" s="347">
        <f>AE769*0.5</f>
        <v>0.8125</v>
      </c>
      <c r="AE769" s="171">
        <f>Y769</f>
        <v>1.625</v>
      </c>
      <c r="AF769" s="171">
        <f>AF766+AF768</f>
        <v>0.8125</v>
      </c>
      <c r="AG769" s="937">
        <f>AG766+AG768</f>
        <v>0.8125</v>
      </c>
      <c r="AH769" s="347">
        <f>AF769+AG769</f>
        <v>1.625</v>
      </c>
      <c r="AI769" s="347">
        <f>AI766+AI768</f>
        <v>0.8125</v>
      </c>
      <c r="AJ769" s="347">
        <f>AJ766+AJ768</f>
        <v>0.8125</v>
      </c>
      <c r="AK769" s="347">
        <f>AI769+AJ769</f>
        <v>1.625</v>
      </c>
      <c r="AL769" s="347">
        <f>AL766+AL768</f>
        <v>0.8125</v>
      </c>
      <c r="AM769" s="347">
        <f>AM766+AM768</f>
        <v>0.8125</v>
      </c>
      <c r="AN769" s="347">
        <f>AL769+AM769</f>
        <v>1.625</v>
      </c>
      <c r="AO769" s="347">
        <f>AO766+AO768</f>
        <v>0.8125</v>
      </c>
      <c r="AP769" s="347">
        <f>AP766+AP768</f>
        <v>0.8125</v>
      </c>
      <c r="AQ769" s="347">
        <f>AO769+AP769</f>
        <v>1.625</v>
      </c>
      <c r="AR769" s="347">
        <f>AR766+AR768</f>
        <v>0.8125</v>
      </c>
      <c r="AS769" s="347">
        <f>AS766+AS768</f>
        <v>0.8125</v>
      </c>
      <c r="AT769" s="347">
        <f>AR769+AS769</f>
        <v>1.625</v>
      </c>
      <c r="AU769" s="347">
        <f>AU766+AU768</f>
        <v>0.8125</v>
      </c>
      <c r="AV769" s="347">
        <f>AV766+AV768</f>
        <v>0.8125</v>
      </c>
      <c r="AW769" s="347">
        <f>AU769+AV769</f>
        <v>1.625</v>
      </c>
      <c r="AX769" s="347">
        <f>AX766+AX768</f>
        <v>0.8125</v>
      </c>
      <c r="AY769" s="347">
        <f>AY766+AY768</f>
        <v>0.8125</v>
      </c>
      <c r="AZ769" s="347">
        <f>AX769+AY769</f>
        <v>1.625</v>
      </c>
      <c r="BA769" s="347">
        <f>BA766+BA768</f>
        <v>0.8125</v>
      </c>
      <c r="BB769" s="347">
        <f>BB766+BB768</f>
        <v>0.8125</v>
      </c>
      <c r="BC769" s="347">
        <f>BA769+BB769</f>
        <v>1.625</v>
      </c>
      <c r="BD769" s="347">
        <f>BD766+BD768</f>
        <v>0.8125</v>
      </c>
      <c r="BE769" s="347">
        <f>BE766+BE768</f>
        <v>0.8125</v>
      </c>
      <c r="BF769" s="347">
        <f>BD769+BE769</f>
        <v>1.625</v>
      </c>
      <c r="BG769" s="347">
        <f>BG766+BG768</f>
        <v>0.8125</v>
      </c>
      <c r="BH769" s="347">
        <f>BH766+BH768</f>
        <v>0.8125</v>
      </c>
      <c r="BI769" s="347">
        <f>BG769+BH769</f>
        <v>1.625</v>
      </c>
      <c r="BJ769" s="347">
        <f>BJ766+BJ768</f>
        <v>0.8125</v>
      </c>
      <c r="BK769" s="347">
        <f>BK766+BK768</f>
        <v>0.8125</v>
      </c>
      <c r="BL769" s="347">
        <f>BJ769+BK769</f>
        <v>1.625</v>
      </c>
      <c r="BM769" s="347">
        <f>BM766+BM768</f>
        <v>0.8125</v>
      </c>
      <c r="BN769" s="347">
        <f>BN766+BN768</f>
        <v>0.8125</v>
      </c>
      <c r="BO769" s="347">
        <f>BM769+BN769</f>
        <v>1.625</v>
      </c>
      <c r="BP769" s="347">
        <f>BP766+BP768</f>
        <v>0.8125</v>
      </c>
      <c r="BQ769" s="347">
        <f>BQ766+BQ768</f>
        <v>0.8125</v>
      </c>
      <c r="BR769" s="347">
        <f>BP769+BQ769</f>
        <v>1.625</v>
      </c>
    </row>
    <row r="770" spans="2:70" s="30" customFormat="1" outlineLevel="2">
      <c r="C770" s="84" t="s">
        <v>74</v>
      </c>
      <c r="D770" s="31" t="s">
        <v>66</v>
      </c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Y770" s="507">
        <f>Y769/Y765</f>
        <v>8.3333333333333329E-2</v>
      </c>
      <c r="Z770" s="359"/>
      <c r="AA770" s="359">
        <f t="shared" ref="AA770:AN770" si="2598">AA769/AA765</f>
        <v>8.3333333333333329E-2</v>
      </c>
      <c r="AB770" s="359">
        <f t="shared" si="2598"/>
        <v>8.3333333333333329E-2</v>
      </c>
      <c r="AC770" s="359">
        <f t="shared" si="2598"/>
        <v>8.3333333333333329E-2</v>
      </c>
      <c r="AD770" s="359">
        <f t="shared" si="2598"/>
        <v>8.3333333333333329E-2</v>
      </c>
      <c r="AE770" s="359">
        <f t="shared" si="2598"/>
        <v>8.3333333333333329E-2</v>
      </c>
      <c r="AF770" s="359">
        <f t="shared" si="2598"/>
        <v>8.3333333333333329E-2</v>
      </c>
      <c r="AG770" s="1025">
        <f t="shared" si="2598"/>
        <v>8.3333333333333329E-2</v>
      </c>
      <c r="AH770" s="359">
        <f t="shared" si="2598"/>
        <v>8.3333333333333329E-2</v>
      </c>
      <c r="AI770" s="359">
        <f t="shared" si="2598"/>
        <v>8.3333333333333329E-2</v>
      </c>
      <c r="AJ770" s="359">
        <f t="shared" si="2598"/>
        <v>8.3333333333333329E-2</v>
      </c>
      <c r="AK770" s="359">
        <f t="shared" si="2598"/>
        <v>8.3333333333333329E-2</v>
      </c>
      <c r="AL770" s="359">
        <f t="shared" si="2598"/>
        <v>8.3333333333333329E-2</v>
      </c>
      <c r="AM770" s="359">
        <f t="shared" si="2598"/>
        <v>8.3333333333333329E-2</v>
      </c>
      <c r="AN770" s="359">
        <f t="shared" si="2598"/>
        <v>8.3333333333333329E-2</v>
      </c>
      <c r="AO770" s="359">
        <f t="shared" ref="AO770:BR770" si="2599">AO769/AO765</f>
        <v>8.3333333333333329E-2</v>
      </c>
      <c r="AP770" s="359">
        <f t="shared" si="2599"/>
        <v>8.3333333333333329E-2</v>
      </c>
      <c r="AQ770" s="359">
        <f t="shared" si="2599"/>
        <v>8.3333333333333329E-2</v>
      </c>
      <c r="AR770" s="359">
        <f t="shared" si="2599"/>
        <v>8.3333333333333329E-2</v>
      </c>
      <c r="AS770" s="359">
        <f t="shared" si="2599"/>
        <v>8.3333333333333329E-2</v>
      </c>
      <c r="AT770" s="359">
        <f t="shared" si="2599"/>
        <v>8.3333333333333329E-2</v>
      </c>
      <c r="AU770" s="359">
        <f t="shared" si="2599"/>
        <v>8.3333333333333329E-2</v>
      </c>
      <c r="AV770" s="359">
        <f t="shared" si="2599"/>
        <v>8.3333333333333329E-2</v>
      </c>
      <c r="AW770" s="359">
        <f t="shared" si="2599"/>
        <v>8.3333333333333329E-2</v>
      </c>
      <c r="AX770" s="359">
        <f t="shared" si="2599"/>
        <v>8.3333333333333329E-2</v>
      </c>
      <c r="AY770" s="359">
        <f t="shared" si="2599"/>
        <v>8.3333333333333329E-2</v>
      </c>
      <c r="AZ770" s="359">
        <f t="shared" si="2599"/>
        <v>8.3333333333333329E-2</v>
      </c>
      <c r="BA770" s="359">
        <f t="shared" si="2599"/>
        <v>8.3333333333333329E-2</v>
      </c>
      <c r="BB770" s="359">
        <f t="shared" si="2599"/>
        <v>8.3333333333333329E-2</v>
      </c>
      <c r="BC770" s="359">
        <f t="shared" si="2599"/>
        <v>8.3333333333333329E-2</v>
      </c>
      <c r="BD770" s="359">
        <f t="shared" si="2599"/>
        <v>8.3333333333333329E-2</v>
      </c>
      <c r="BE770" s="359">
        <f t="shared" si="2599"/>
        <v>8.3333333333333329E-2</v>
      </c>
      <c r="BF770" s="359">
        <f t="shared" si="2599"/>
        <v>8.3333333333333329E-2</v>
      </c>
      <c r="BG770" s="359">
        <f t="shared" si="2599"/>
        <v>8.3333333333333329E-2</v>
      </c>
      <c r="BH770" s="359">
        <f t="shared" si="2599"/>
        <v>8.3333333333333329E-2</v>
      </c>
      <c r="BI770" s="359">
        <f t="shared" si="2599"/>
        <v>8.3333333333333329E-2</v>
      </c>
      <c r="BJ770" s="359">
        <f t="shared" si="2599"/>
        <v>8.3333333333333329E-2</v>
      </c>
      <c r="BK770" s="359">
        <f t="shared" si="2599"/>
        <v>8.3333333333333329E-2</v>
      </c>
      <c r="BL770" s="359">
        <f t="shared" si="2599"/>
        <v>8.3333333333333329E-2</v>
      </c>
      <c r="BM770" s="359">
        <f t="shared" si="2599"/>
        <v>8.3333333333333329E-2</v>
      </c>
      <c r="BN770" s="359">
        <f t="shared" si="2599"/>
        <v>8.3333333333333329E-2</v>
      </c>
      <c r="BO770" s="359">
        <f t="shared" si="2599"/>
        <v>8.3333333333333329E-2</v>
      </c>
      <c r="BP770" s="359">
        <f t="shared" si="2599"/>
        <v>8.3333333333333329E-2</v>
      </c>
      <c r="BQ770" s="359">
        <f t="shared" si="2599"/>
        <v>8.3333333333333329E-2</v>
      </c>
      <c r="BR770" s="359">
        <f t="shared" si="2599"/>
        <v>8.3333333333333329E-2</v>
      </c>
    </row>
    <row r="771" spans="2:70" s="30" customFormat="1" outlineLevel="2">
      <c r="C771" s="84" t="s">
        <v>90</v>
      </c>
      <c r="D771" s="31" t="s">
        <v>58</v>
      </c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Y771" s="509"/>
      <c r="Z771" s="32"/>
      <c r="AA771" s="435">
        <v>0</v>
      </c>
      <c r="AB771" s="502">
        <f>AA771</f>
        <v>0</v>
      </c>
      <c r="AC771" s="435">
        <v>0.2</v>
      </c>
      <c r="AD771" s="435">
        <v>0.2</v>
      </c>
      <c r="AE771" s="171">
        <f>AC771+AD771</f>
        <v>0.4</v>
      </c>
      <c r="AF771" s="390">
        <v>0.2</v>
      </c>
      <c r="AG771" s="946">
        <v>0.2</v>
      </c>
      <c r="AH771" s="347">
        <f>AF771+AG771</f>
        <v>0.4</v>
      </c>
      <c r="AI771" s="435">
        <v>0.2</v>
      </c>
      <c r="AJ771" s="435">
        <v>0</v>
      </c>
      <c r="AK771" s="347">
        <f>AI771+AJ771</f>
        <v>0.2</v>
      </c>
      <c r="AL771" s="435">
        <v>0</v>
      </c>
      <c r="AM771" s="435">
        <v>0</v>
      </c>
      <c r="AN771" s="347">
        <f>AL771+AM771</f>
        <v>0</v>
      </c>
      <c r="AO771" s="435">
        <v>0</v>
      </c>
      <c r="AP771" s="435">
        <v>0</v>
      </c>
      <c r="AQ771" s="347">
        <f>AO771+AP771</f>
        <v>0</v>
      </c>
      <c r="AR771" s="435">
        <v>0</v>
      </c>
      <c r="AS771" s="435">
        <v>0</v>
      </c>
      <c r="AT771" s="347">
        <f>AR771+AS771</f>
        <v>0</v>
      </c>
      <c r="AU771" s="435">
        <v>0</v>
      </c>
      <c r="AV771" s="435">
        <v>0</v>
      </c>
      <c r="AW771" s="347">
        <f>AU771+AV771</f>
        <v>0</v>
      </c>
      <c r="AX771" s="435">
        <v>0</v>
      </c>
      <c r="AY771" s="435">
        <v>0</v>
      </c>
      <c r="AZ771" s="347">
        <f>AX771+AY771</f>
        <v>0</v>
      </c>
      <c r="BA771" s="435">
        <v>0</v>
      </c>
      <c r="BB771" s="435">
        <v>0</v>
      </c>
      <c r="BC771" s="347">
        <f>BA771+BB771</f>
        <v>0</v>
      </c>
      <c r="BD771" s="435">
        <v>0</v>
      </c>
      <c r="BE771" s="435">
        <v>0</v>
      </c>
      <c r="BF771" s="347">
        <f>BD771+BE771</f>
        <v>0</v>
      </c>
      <c r="BG771" s="435">
        <v>0</v>
      </c>
      <c r="BH771" s="435">
        <v>0</v>
      </c>
      <c r="BI771" s="347">
        <f>BG771+BH771</f>
        <v>0</v>
      </c>
      <c r="BJ771" s="435">
        <v>0</v>
      </c>
      <c r="BK771" s="435">
        <v>0</v>
      </c>
      <c r="BL771" s="347">
        <f>BJ771+BK771</f>
        <v>0</v>
      </c>
      <c r="BM771" s="435">
        <v>0</v>
      </c>
      <c r="BN771" s="435">
        <v>0</v>
      </c>
      <c r="BO771" s="347">
        <f>BM771+BN771</f>
        <v>0</v>
      </c>
      <c r="BP771" s="435">
        <v>0</v>
      </c>
      <c r="BQ771" s="435">
        <v>0</v>
      </c>
      <c r="BR771" s="347">
        <f>BP771+BQ771</f>
        <v>0</v>
      </c>
    </row>
    <row r="772" spans="2:70" s="30" customFormat="1" outlineLevel="2">
      <c r="C772" s="84" t="s">
        <v>89</v>
      </c>
      <c r="D772" s="31" t="s">
        <v>58</v>
      </c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Y772" s="510">
        <f>Y773*Y765</f>
        <v>0.97500000000000009</v>
      </c>
      <c r="Z772" s="41"/>
      <c r="AA772" s="435">
        <v>0</v>
      </c>
      <c r="AB772" s="171">
        <f>Z772+AA772</f>
        <v>0</v>
      </c>
      <c r="AC772" s="376">
        <f>Z772+AC771</f>
        <v>0.2</v>
      </c>
      <c r="AD772" s="42">
        <f>AA772+AD771</f>
        <v>0.2</v>
      </c>
      <c r="AE772" s="171">
        <f>AC772+AD772</f>
        <v>0.4</v>
      </c>
      <c r="AF772" s="376">
        <f>AC772+AF771</f>
        <v>0.4</v>
      </c>
      <c r="AG772" s="1002">
        <f>AD772+AG771</f>
        <v>0.4</v>
      </c>
      <c r="AH772" s="347">
        <f>AF772+AG772</f>
        <v>0.8</v>
      </c>
      <c r="AI772" s="42">
        <f>AF772+AI771</f>
        <v>0.60000000000000009</v>
      </c>
      <c r="AJ772" s="42">
        <f>AG772+AJ771</f>
        <v>0.4</v>
      </c>
      <c r="AK772" s="347">
        <f>AI772+AJ772</f>
        <v>1</v>
      </c>
      <c r="AL772" s="42">
        <f>AI772+AL771</f>
        <v>0.60000000000000009</v>
      </c>
      <c r="AM772" s="42">
        <f>AJ772+AM771</f>
        <v>0.4</v>
      </c>
      <c r="AN772" s="347">
        <f>AL772+AM772</f>
        <v>1</v>
      </c>
      <c r="AO772" s="42">
        <f>AL772+AO771</f>
        <v>0.60000000000000009</v>
      </c>
      <c r="AP772" s="42">
        <f>AM772+AP771</f>
        <v>0.4</v>
      </c>
      <c r="AQ772" s="347">
        <f>AO772+AP772</f>
        <v>1</v>
      </c>
      <c r="AR772" s="42">
        <f>AO772+AR771</f>
        <v>0.60000000000000009</v>
      </c>
      <c r="AS772" s="42">
        <f>AP772+AS771</f>
        <v>0.4</v>
      </c>
      <c r="AT772" s="347">
        <f>AR772+AS772</f>
        <v>1</v>
      </c>
      <c r="AU772" s="42">
        <f>AR772+AU771</f>
        <v>0.60000000000000009</v>
      </c>
      <c r="AV772" s="42">
        <f>AS772+AV771</f>
        <v>0.4</v>
      </c>
      <c r="AW772" s="347">
        <f>AU772+AV772</f>
        <v>1</v>
      </c>
      <c r="AX772" s="42">
        <f>AU772+AX771</f>
        <v>0.60000000000000009</v>
      </c>
      <c r="AY772" s="42">
        <f>AV772+AY771</f>
        <v>0.4</v>
      </c>
      <c r="AZ772" s="347">
        <f>AX772+AY772</f>
        <v>1</v>
      </c>
      <c r="BA772" s="42">
        <f>AX772+BA771</f>
        <v>0.60000000000000009</v>
      </c>
      <c r="BB772" s="42">
        <f>AY772+BB771</f>
        <v>0.4</v>
      </c>
      <c r="BC772" s="347">
        <f>BA772+BB772</f>
        <v>1</v>
      </c>
      <c r="BD772" s="42">
        <f>BA772+BD771</f>
        <v>0.60000000000000009</v>
      </c>
      <c r="BE772" s="42">
        <f>BB772+BE771</f>
        <v>0.4</v>
      </c>
      <c r="BF772" s="347">
        <f>BD772+BE772</f>
        <v>1</v>
      </c>
      <c r="BG772" s="42">
        <f>BD772+BG771</f>
        <v>0.60000000000000009</v>
      </c>
      <c r="BH772" s="42">
        <f>BE772+BH771</f>
        <v>0.4</v>
      </c>
      <c r="BI772" s="347">
        <f>BG772+BH772</f>
        <v>1</v>
      </c>
      <c r="BJ772" s="42">
        <f>BG772+BJ771</f>
        <v>0.60000000000000009</v>
      </c>
      <c r="BK772" s="42">
        <f>BH772+BK771</f>
        <v>0.4</v>
      </c>
      <c r="BL772" s="347">
        <f>BJ772+BK772</f>
        <v>1</v>
      </c>
      <c r="BM772" s="42">
        <f>BJ772+BM771</f>
        <v>0.60000000000000009</v>
      </c>
      <c r="BN772" s="42">
        <f>BK772+BN771</f>
        <v>0.4</v>
      </c>
      <c r="BO772" s="347">
        <f>BM772+BN772</f>
        <v>1</v>
      </c>
      <c r="BP772" s="42">
        <f>BM772+BP771</f>
        <v>0.60000000000000009</v>
      </c>
      <c r="BQ772" s="42">
        <f>BN772+BQ771</f>
        <v>0.4</v>
      </c>
      <c r="BR772" s="347">
        <f>BP772+BQ772</f>
        <v>1</v>
      </c>
    </row>
    <row r="773" spans="2:70" s="30" customFormat="1" outlineLevel="2">
      <c r="C773" s="84" t="s">
        <v>264</v>
      </c>
      <c r="D773" s="31" t="s">
        <v>66</v>
      </c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Y773" s="497">
        <v>0.05</v>
      </c>
      <c r="Z773" s="41"/>
      <c r="AA773" s="435"/>
      <c r="AB773" s="171"/>
      <c r="AC773" s="376"/>
      <c r="AD773" s="42"/>
      <c r="AE773" s="171"/>
      <c r="AF773" s="376"/>
      <c r="AG773" s="1002"/>
      <c r="AH773" s="347"/>
      <c r="AI773" s="42"/>
      <c r="AJ773" s="42"/>
      <c r="AK773" s="347"/>
      <c r="AL773" s="42"/>
      <c r="AM773" s="42"/>
      <c r="AN773" s="347"/>
      <c r="AO773" s="42"/>
      <c r="AP773" s="42"/>
      <c r="AQ773" s="347"/>
      <c r="AR773" s="42"/>
      <c r="AS773" s="42"/>
      <c r="AT773" s="347"/>
      <c r="AU773" s="42"/>
      <c r="AV773" s="42"/>
      <c r="AW773" s="347"/>
      <c r="AX773" s="42"/>
      <c r="AY773" s="42"/>
      <c r="AZ773" s="347"/>
      <c r="BA773" s="42"/>
      <c r="BB773" s="42"/>
      <c r="BC773" s="347"/>
      <c r="BD773" s="42"/>
      <c r="BE773" s="42"/>
      <c r="BF773" s="347"/>
      <c r="BG773" s="42"/>
      <c r="BH773" s="42"/>
      <c r="BI773" s="347"/>
      <c r="BJ773" s="42"/>
      <c r="BK773" s="42"/>
      <c r="BL773" s="347"/>
      <c r="BM773" s="42"/>
      <c r="BN773" s="42"/>
      <c r="BO773" s="347"/>
      <c r="BP773" s="42"/>
      <c r="BQ773" s="42"/>
      <c r="BR773" s="347"/>
    </row>
    <row r="774" spans="2:70" s="30" customFormat="1" outlineLevel="2">
      <c r="C774" s="84" t="s">
        <v>79</v>
      </c>
      <c r="D774" s="31" t="s">
        <v>58</v>
      </c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Y774" s="510">
        <f>Y775*Y763</f>
        <v>2.6</v>
      </c>
      <c r="Z774" s="42"/>
      <c r="AA774" s="42">
        <f>AA769+AA772</f>
        <v>0.27083333333333331</v>
      </c>
      <c r="AB774" s="171">
        <f>Z774+AA774</f>
        <v>0.27083333333333331</v>
      </c>
      <c r="AC774" s="171">
        <f>AC772+AC769</f>
        <v>1.0125</v>
      </c>
      <c r="AD774" s="347">
        <f>AD772+AD769</f>
        <v>1.0125</v>
      </c>
      <c r="AE774" s="171">
        <f>AC774+AD774</f>
        <v>2.0249999999999999</v>
      </c>
      <c r="AF774" s="171">
        <f>AF772+AF769</f>
        <v>1.2124999999999999</v>
      </c>
      <c r="AG774" s="937">
        <f>AG772+AG769</f>
        <v>1.2124999999999999</v>
      </c>
      <c r="AH774" s="347">
        <f>AF774+AG774</f>
        <v>2.4249999999999998</v>
      </c>
      <c r="AI774" s="347">
        <f>AI772+AI769</f>
        <v>1.4125000000000001</v>
      </c>
      <c r="AJ774" s="347">
        <f>AJ772+AJ769</f>
        <v>1.2124999999999999</v>
      </c>
      <c r="AK774" s="347">
        <f>AI774+AJ774</f>
        <v>2.625</v>
      </c>
      <c r="AL774" s="347">
        <f>AL772+AL769</f>
        <v>1.4125000000000001</v>
      </c>
      <c r="AM774" s="347">
        <f>AM772+AM769</f>
        <v>1.2124999999999999</v>
      </c>
      <c r="AN774" s="347">
        <f>AL774+AM774</f>
        <v>2.625</v>
      </c>
      <c r="AO774" s="347">
        <f>AO772+AO769</f>
        <v>1.4125000000000001</v>
      </c>
      <c r="AP774" s="347">
        <f>AP772+AP769</f>
        <v>1.2124999999999999</v>
      </c>
      <c r="AQ774" s="347">
        <f>AO774+AP774</f>
        <v>2.625</v>
      </c>
      <c r="AR774" s="347">
        <f>AR772+AR769</f>
        <v>1.4125000000000001</v>
      </c>
      <c r="AS774" s="347">
        <f>AS772+AS769</f>
        <v>1.2124999999999999</v>
      </c>
      <c r="AT774" s="347">
        <f>AR774+AS774</f>
        <v>2.625</v>
      </c>
      <c r="AU774" s="347">
        <f>AU772+AU769</f>
        <v>1.4125000000000001</v>
      </c>
      <c r="AV774" s="347">
        <f>AV772+AV769</f>
        <v>1.2124999999999999</v>
      </c>
      <c r="AW774" s="347">
        <f>AU774+AV774</f>
        <v>2.625</v>
      </c>
      <c r="AX774" s="347">
        <f>AX772+AX769</f>
        <v>1.4125000000000001</v>
      </c>
      <c r="AY774" s="347">
        <f>AY772+AY769</f>
        <v>1.2124999999999999</v>
      </c>
      <c r="AZ774" s="347">
        <f>AX774+AY774</f>
        <v>2.625</v>
      </c>
      <c r="BA774" s="347">
        <f>BA772+BA769</f>
        <v>1.4125000000000001</v>
      </c>
      <c r="BB774" s="347">
        <f>BB772+BB769</f>
        <v>1.2124999999999999</v>
      </c>
      <c r="BC774" s="347">
        <f>BA774+BB774</f>
        <v>2.625</v>
      </c>
      <c r="BD774" s="347">
        <f>BD772+BD769</f>
        <v>1.4125000000000001</v>
      </c>
      <c r="BE774" s="347">
        <f>BE772+BE769</f>
        <v>1.2124999999999999</v>
      </c>
      <c r="BF774" s="347">
        <f>BD774+BE774</f>
        <v>2.625</v>
      </c>
      <c r="BG774" s="347">
        <f>BG772+BG769</f>
        <v>1.4125000000000001</v>
      </c>
      <c r="BH774" s="347">
        <f>BH772+BH769</f>
        <v>1.2124999999999999</v>
      </c>
      <c r="BI774" s="347">
        <f>BG774+BH774</f>
        <v>2.625</v>
      </c>
      <c r="BJ774" s="347">
        <f>BJ772+BJ769</f>
        <v>1.4125000000000001</v>
      </c>
      <c r="BK774" s="347">
        <f>BK772+BK769</f>
        <v>1.2124999999999999</v>
      </c>
      <c r="BL774" s="347">
        <f>BJ774+BK774</f>
        <v>2.625</v>
      </c>
      <c r="BM774" s="347">
        <f>BM772+BM769</f>
        <v>1.4125000000000001</v>
      </c>
      <c r="BN774" s="347">
        <f>BN772+BN769</f>
        <v>1.2124999999999999</v>
      </c>
      <c r="BO774" s="347">
        <f>BM774+BN774</f>
        <v>2.625</v>
      </c>
      <c r="BP774" s="347">
        <f>BP772+BP769</f>
        <v>1.4125000000000001</v>
      </c>
      <c r="BQ774" s="347">
        <f>BQ772+BQ769</f>
        <v>1.2124999999999999</v>
      </c>
      <c r="BR774" s="347">
        <f>BP774+BQ774</f>
        <v>2.625</v>
      </c>
    </row>
    <row r="775" spans="2:70" s="30" customFormat="1" outlineLevel="2">
      <c r="C775" s="84" t="s">
        <v>75</v>
      </c>
      <c r="D775" s="31" t="s">
        <v>66</v>
      </c>
      <c r="Y775" s="492">
        <v>0.2</v>
      </c>
      <c r="AB775" s="162">
        <f>AB774/$Y$763</f>
        <v>2.0833333333333332E-2</v>
      </c>
      <c r="AC775" s="162">
        <f>AC774/$Y$763*2</f>
        <v>0.15576923076923077</v>
      </c>
      <c r="AD775" s="40">
        <f>AD774/$Y$763*2</f>
        <v>0.15576923076923077</v>
      </c>
      <c r="AE775" s="162">
        <f>AE774/$Y$763</f>
        <v>0.15576923076923077</v>
      </c>
      <c r="AF775" s="162">
        <f>AF774/$Y$763*2</f>
        <v>0.18653846153846151</v>
      </c>
      <c r="AG775" s="984">
        <f>AG774/$Y$763*2</f>
        <v>0.18653846153846151</v>
      </c>
      <c r="AH775" s="40">
        <f>AH774/$Y$763</f>
        <v>0.18653846153846151</v>
      </c>
      <c r="AI775" s="40">
        <f>AI774/$Y$763*2</f>
        <v>0.21730769230769231</v>
      </c>
      <c r="AJ775" s="40">
        <f>AJ774/$Y$763*2</f>
        <v>0.18653846153846151</v>
      </c>
      <c r="AK775" s="40">
        <f>AK774/$Y$763</f>
        <v>0.20192307692307693</v>
      </c>
      <c r="AL775" s="40">
        <f>AL774/$Y$763*2</f>
        <v>0.21730769230769231</v>
      </c>
      <c r="AM775" s="40">
        <f>AM774/$Y$763*2</f>
        <v>0.18653846153846151</v>
      </c>
      <c r="AN775" s="40">
        <f>AN774/$Y$763</f>
        <v>0.20192307692307693</v>
      </c>
      <c r="AO775" s="40">
        <f>AO774/$Y$763*2</f>
        <v>0.21730769230769231</v>
      </c>
      <c r="AP775" s="40">
        <f>AP774/$Y$763*2</f>
        <v>0.18653846153846151</v>
      </c>
      <c r="AQ775" s="40">
        <f>AQ774/$Y$763</f>
        <v>0.20192307692307693</v>
      </c>
      <c r="AR775" s="40">
        <f>AR774/$Y$763*2</f>
        <v>0.21730769230769231</v>
      </c>
      <c r="AS775" s="40">
        <f>AS774/$Y$763*2</f>
        <v>0.18653846153846151</v>
      </c>
      <c r="AT775" s="40">
        <f>AT774/$Y$763</f>
        <v>0.20192307692307693</v>
      </c>
      <c r="AU775" s="40">
        <f>AU774/$Y$763*2</f>
        <v>0.21730769230769231</v>
      </c>
      <c r="AV775" s="40">
        <f>AV774/$Y$763*2</f>
        <v>0.18653846153846151</v>
      </c>
      <c r="AW775" s="40">
        <f>AW774/$Y$763</f>
        <v>0.20192307692307693</v>
      </c>
      <c r="AX775" s="40">
        <f>AX774/$Y$763*2</f>
        <v>0.21730769230769231</v>
      </c>
      <c r="AY775" s="40">
        <f>AY774/$Y$763*2</f>
        <v>0.18653846153846151</v>
      </c>
      <c r="AZ775" s="40">
        <f>AZ774/$Y$763</f>
        <v>0.20192307692307693</v>
      </c>
      <c r="BA775" s="40">
        <f>BA774/$Y$763*2</f>
        <v>0.21730769230769231</v>
      </c>
      <c r="BB775" s="40">
        <f>BB774/$Y$763*2</f>
        <v>0.18653846153846151</v>
      </c>
      <c r="BC775" s="40">
        <f>BC774/$Y$763</f>
        <v>0.20192307692307693</v>
      </c>
      <c r="BD775" s="40">
        <f>BD774/$Y$763*2</f>
        <v>0.21730769230769231</v>
      </c>
      <c r="BE775" s="40">
        <f>BE774/$Y$763*2</f>
        <v>0.18653846153846151</v>
      </c>
      <c r="BF775" s="40">
        <f>BF774/$Y$763</f>
        <v>0.20192307692307693</v>
      </c>
      <c r="BG775" s="40">
        <f>BG774/$Y$763*2</f>
        <v>0.21730769230769231</v>
      </c>
      <c r="BH775" s="40">
        <f>BH774/$Y$763*2</f>
        <v>0.18653846153846151</v>
      </c>
      <c r="BI775" s="40">
        <f>BI774/$Y$763</f>
        <v>0.20192307692307693</v>
      </c>
      <c r="BJ775" s="40">
        <f>BJ774/$Y$763*2</f>
        <v>0.21730769230769231</v>
      </c>
      <c r="BK775" s="40">
        <f>BK774/$Y$763*2</f>
        <v>0.18653846153846151</v>
      </c>
      <c r="BL775" s="40">
        <f>BL774/$Y$763</f>
        <v>0.20192307692307693</v>
      </c>
      <c r="BM775" s="40">
        <f>BM774/$Y$763*2</f>
        <v>0.21730769230769231</v>
      </c>
      <c r="BN775" s="40">
        <f>BN774/$Y$763*2</f>
        <v>0.18653846153846151</v>
      </c>
      <c r="BO775" s="40">
        <f>BO774/$Y$763</f>
        <v>0.20192307692307693</v>
      </c>
      <c r="BP775" s="40">
        <f>BP774/$Y$763*2</f>
        <v>0.21730769230769231</v>
      </c>
      <c r="BQ775" s="40">
        <f>BQ774/$Y$763*2</f>
        <v>0.18653846153846151</v>
      </c>
      <c r="BR775" s="40">
        <f>BR774/$Y$763</f>
        <v>0.20192307692307693</v>
      </c>
    </row>
    <row r="776" spans="2:70" s="85" customFormat="1" outlineLevel="2">
      <c r="C776" s="467" t="s">
        <v>57</v>
      </c>
      <c r="D776" s="96" t="s">
        <v>85</v>
      </c>
      <c r="E776" s="96"/>
      <c r="F776" s="96"/>
      <c r="G776" s="96"/>
      <c r="H776" s="96"/>
      <c r="I776" s="96"/>
      <c r="J776" s="96"/>
      <c r="K776" s="96"/>
      <c r="L776" s="96"/>
      <c r="M776" s="96"/>
      <c r="N776" s="96"/>
      <c r="O776" s="96"/>
      <c r="Y776" s="494"/>
      <c r="AA776" s="495">
        <f t="shared" ref="AA776:AN776" si="2600">AA774/AA$259</f>
        <v>0.24285329018338728</v>
      </c>
      <c r="AB776" s="495">
        <f t="shared" si="2600"/>
        <v>0.24406888036336374</v>
      </c>
      <c r="AC776" s="495">
        <f t="shared" si="2600"/>
        <v>0.92292225201072375</v>
      </c>
      <c r="AD776" s="495">
        <f t="shared" si="2600"/>
        <v>0.93533703961084091</v>
      </c>
      <c r="AE776" s="496">
        <f t="shared" si="2600"/>
        <v>1.8591649061762143</v>
      </c>
      <c r="AF776" s="496">
        <f t="shared" si="2600"/>
        <v>1.0309916834677417</v>
      </c>
      <c r="AG776" s="1019">
        <f t="shared" si="2600"/>
        <v>1.0232067510548521</v>
      </c>
      <c r="AH776" s="495">
        <f t="shared" si="2600"/>
        <v>2.0541689314465259</v>
      </c>
      <c r="AI776" s="495">
        <f t="shared" si="2600"/>
        <v>1.2336244541484718</v>
      </c>
      <c r="AJ776" s="495">
        <f t="shared" si="2600"/>
        <v>1.0020661157024793</v>
      </c>
      <c r="AK776" s="495">
        <f t="shared" si="2600"/>
        <v>2.2292993630573248</v>
      </c>
      <c r="AL776" s="495">
        <f t="shared" si="2600"/>
        <v>1.1300000000000001</v>
      </c>
      <c r="AM776" s="495">
        <f t="shared" si="2600"/>
        <v>0.97</v>
      </c>
      <c r="AN776" s="495">
        <f t="shared" si="2600"/>
        <v>2.1</v>
      </c>
      <c r="AO776" s="495">
        <f t="shared" ref="AO776:BR776" si="2601">AO774/AO$259</f>
        <v>1.1300000000000001</v>
      </c>
      <c r="AP776" s="495">
        <f t="shared" si="2601"/>
        <v>0.97</v>
      </c>
      <c r="AQ776" s="495">
        <f t="shared" si="2601"/>
        <v>2.1</v>
      </c>
      <c r="AR776" s="495">
        <f t="shared" si="2601"/>
        <v>1.1300000000000001</v>
      </c>
      <c r="AS776" s="495">
        <f t="shared" si="2601"/>
        <v>0.97</v>
      </c>
      <c r="AT776" s="495">
        <f t="shared" si="2601"/>
        <v>2.1</v>
      </c>
      <c r="AU776" s="495">
        <f t="shared" si="2601"/>
        <v>1.1300000000000001</v>
      </c>
      <c r="AV776" s="495">
        <f t="shared" si="2601"/>
        <v>0.97</v>
      </c>
      <c r="AW776" s="495">
        <f t="shared" si="2601"/>
        <v>2.1</v>
      </c>
      <c r="AX776" s="495">
        <f t="shared" si="2601"/>
        <v>1.1300000000000001</v>
      </c>
      <c r="AY776" s="495">
        <f t="shared" si="2601"/>
        <v>0.97</v>
      </c>
      <c r="AZ776" s="495">
        <f t="shared" si="2601"/>
        <v>2.1</v>
      </c>
      <c r="BA776" s="495">
        <f t="shared" si="2601"/>
        <v>1.1300000000000001</v>
      </c>
      <c r="BB776" s="495">
        <f t="shared" si="2601"/>
        <v>0.97</v>
      </c>
      <c r="BC776" s="495">
        <f t="shared" si="2601"/>
        <v>2.1</v>
      </c>
      <c r="BD776" s="495">
        <f t="shared" si="2601"/>
        <v>1.1300000000000001</v>
      </c>
      <c r="BE776" s="495">
        <f t="shared" si="2601"/>
        <v>0.97</v>
      </c>
      <c r="BF776" s="495">
        <f t="shared" si="2601"/>
        <v>2.1</v>
      </c>
      <c r="BG776" s="495">
        <f t="shared" si="2601"/>
        <v>1.1300000000000001</v>
      </c>
      <c r="BH776" s="495">
        <f t="shared" si="2601"/>
        <v>0.97</v>
      </c>
      <c r="BI776" s="495">
        <f t="shared" si="2601"/>
        <v>2.1</v>
      </c>
      <c r="BJ776" s="495">
        <f t="shared" si="2601"/>
        <v>1.1300000000000001</v>
      </c>
      <c r="BK776" s="495">
        <f t="shared" si="2601"/>
        <v>0.97</v>
      </c>
      <c r="BL776" s="495">
        <f t="shared" si="2601"/>
        <v>2.1</v>
      </c>
      <c r="BM776" s="495">
        <f t="shared" si="2601"/>
        <v>1.1300000000000001</v>
      </c>
      <c r="BN776" s="495">
        <f t="shared" si="2601"/>
        <v>0.97</v>
      </c>
      <c r="BO776" s="495">
        <f t="shared" si="2601"/>
        <v>2.1</v>
      </c>
      <c r="BP776" s="495">
        <f t="shared" si="2601"/>
        <v>1.1300000000000001</v>
      </c>
      <c r="BQ776" s="495">
        <f t="shared" si="2601"/>
        <v>0.97</v>
      </c>
      <c r="BR776" s="495">
        <f t="shared" si="2601"/>
        <v>2.1</v>
      </c>
    </row>
    <row r="777" spans="2:70" outlineLevel="2">
      <c r="B777" s="5"/>
      <c r="C777" s="511" t="s">
        <v>267</v>
      </c>
      <c r="D777" s="512" t="s">
        <v>85</v>
      </c>
      <c r="E777" s="512"/>
      <c r="F777" s="512"/>
      <c r="G777" s="512"/>
      <c r="H777" s="512"/>
      <c r="I777" s="512"/>
      <c r="J777" s="512"/>
      <c r="K777" s="512"/>
      <c r="L777" s="512"/>
      <c r="M777" s="512"/>
      <c r="N777" s="512"/>
      <c r="O777" s="512"/>
      <c r="P777" s="513"/>
      <c r="Q777" s="513"/>
      <c r="R777" s="513"/>
      <c r="S777" s="513"/>
      <c r="T777" s="513"/>
      <c r="U777" s="513"/>
      <c r="V777" s="513"/>
      <c r="W777" s="513"/>
      <c r="X777" s="513"/>
      <c r="Y777" s="513"/>
      <c r="Z777" s="523"/>
      <c r="AA777" s="525">
        <f>(AA765-X765)/AA259</f>
        <v>2.9142394822006477</v>
      </c>
      <c r="AB777" s="525">
        <f>+AA777+Z777</f>
        <v>2.9142394822006477</v>
      </c>
      <c r="AC777" s="525">
        <f>(AC765-Z765)/AC259</f>
        <v>8.88739946380697</v>
      </c>
      <c r="AD777" s="525">
        <f>(AD765-AA765)/AD259</f>
        <v>6.0046328468844106</v>
      </c>
      <c r="AE777" s="525">
        <f>+AD777+AC777</f>
        <v>14.892032310691381</v>
      </c>
      <c r="AF777" s="525">
        <f>(AF765-AC765)/AF259</f>
        <v>0</v>
      </c>
      <c r="AG777" s="1026">
        <f>(AG765-AD765)/AG259</f>
        <v>0</v>
      </c>
      <c r="AH777" s="525">
        <f>+AG777+AF777</f>
        <v>0</v>
      </c>
      <c r="AI777" s="525">
        <f>(AI765-AF765)/AI259</f>
        <v>0</v>
      </c>
      <c r="AJ777" s="525">
        <f>(AJ765-AG765)/AJ259</f>
        <v>0</v>
      </c>
      <c r="AK777" s="525">
        <f t="shared" ref="AK777:AK778" si="2602">+AJ777+AI777</f>
        <v>0</v>
      </c>
      <c r="AL777" s="525">
        <f>(AL765-AI765)/AL259</f>
        <v>0</v>
      </c>
      <c r="AM777" s="525">
        <f>(AM765-AJ765)/AM259</f>
        <v>0</v>
      </c>
      <c r="AN777" s="525">
        <f t="shared" ref="AN777:AN778" si="2603">+AM777+AL777</f>
        <v>0</v>
      </c>
      <c r="AO777" s="525">
        <f>(AO765-AL765)/AO259</f>
        <v>0</v>
      </c>
      <c r="AP777" s="525">
        <f>(AP765-AM765)/AP259</f>
        <v>0</v>
      </c>
      <c r="AQ777" s="525">
        <f t="shared" ref="AQ777:AQ778" si="2604">+AP777+AO777</f>
        <v>0</v>
      </c>
      <c r="AR777" s="525">
        <f>(AR765-AO765)/AR259</f>
        <v>0</v>
      </c>
      <c r="AS777" s="525">
        <f>(AS765-AP765)/AS259</f>
        <v>0</v>
      </c>
      <c r="AT777" s="525">
        <f t="shared" ref="AT777:AT778" si="2605">+AS777+AR777</f>
        <v>0</v>
      </c>
      <c r="AU777" s="525">
        <f>(AU765-AR765)/AU259</f>
        <v>0</v>
      </c>
      <c r="AV777" s="525">
        <f>(AV765-AS765)/AV259</f>
        <v>0</v>
      </c>
      <c r="AW777" s="525">
        <f t="shared" ref="AW777:AW778" si="2606">+AV777+AU777</f>
        <v>0</v>
      </c>
      <c r="AX777" s="525">
        <f>(AX765-AU765)/AX259</f>
        <v>0</v>
      </c>
      <c r="AY777" s="525">
        <f>(AY765-AV765)/AY259</f>
        <v>0</v>
      </c>
      <c r="AZ777" s="525">
        <f t="shared" ref="AZ777:AZ778" si="2607">+AY777+AX777</f>
        <v>0</v>
      </c>
      <c r="BA777" s="525">
        <f>(BA765-AX765)/BA259</f>
        <v>0</v>
      </c>
      <c r="BB777" s="525">
        <f>(BB765-AY765)/BB259</f>
        <v>0</v>
      </c>
      <c r="BC777" s="525">
        <f t="shared" ref="BC777:BC778" si="2608">+BB777+BA777</f>
        <v>0</v>
      </c>
      <c r="BD777" s="525">
        <f>(BD765-BA765)/BD259</f>
        <v>0</v>
      </c>
      <c r="BE777" s="525">
        <f>(BE765-BB765)/BE259</f>
        <v>0</v>
      </c>
      <c r="BF777" s="525">
        <f t="shared" ref="BF777:BF778" si="2609">+BE777+BD777</f>
        <v>0</v>
      </c>
      <c r="BG777" s="525">
        <f>(BG765-BD765)/BG259</f>
        <v>0</v>
      </c>
      <c r="BH777" s="525">
        <f>(BH765-BE765)/BH259</f>
        <v>0</v>
      </c>
      <c r="BI777" s="525">
        <f t="shared" ref="BI777:BI778" si="2610">+BH777+BG777</f>
        <v>0</v>
      </c>
      <c r="BJ777" s="525">
        <f>(BJ765-BG765)/BJ259</f>
        <v>0</v>
      </c>
      <c r="BK777" s="525">
        <f>(BK765-BH765)/BK259</f>
        <v>0</v>
      </c>
      <c r="BL777" s="525">
        <f t="shared" ref="BL777:BL778" si="2611">+BK777+BJ777</f>
        <v>0</v>
      </c>
      <c r="BM777" s="525">
        <f>(BM765-BJ765)/BM259</f>
        <v>0</v>
      </c>
      <c r="BN777" s="525">
        <f>(BN765-BK765)/BN259</f>
        <v>0</v>
      </c>
      <c r="BO777" s="525">
        <f t="shared" ref="BO777:BO778" si="2612">+BN777+BM777</f>
        <v>0</v>
      </c>
      <c r="BP777" s="525">
        <f>(BP765-BM765)/BP259</f>
        <v>0</v>
      </c>
      <c r="BQ777" s="525">
        <f>(BQ765-BN765)/BQ259</f>
        <v>0</v>
      </c>
      <c r="BR777" s="526">
        <f t="shared" ref="BR777:BR778" si="2613">+BQ777+BP777</f>
        <v>0</v>
      </c>
    </row>
    <row r="778" spans="2:70" outlineLevel="2">
      <c r="B778" s="5"/>
      <c r="C778" s="516" t="s">
        <v>268</v>
      </c>
      <c r="D778" s="401" t="s">
        <v>85</v>
      </c>
      <c r="E778" s="401"/>
      <c r="F778" s="401"/>
      <c r="G778" s="401"/>
      <c r="H778" s="401"/>
      <c r="I778" s="401"/>
      <c r="J778" s="401"/>
      <c r="K778" s="401"/>
      <c r="L778" s="401"/>
      <c r="M778" s="401"/>
      <c r="N778" s="401"/>
      <c r="O778" s="401"/>
      <c r="P778" s="130"/>
      <c r="Q778" s="130"/>
      <c r="R778" s="130"/>
      <c r="S778" s="130"/>
      <c r="T778" s="130"/>
      <c r="U778" s="130"/>
      <c r="V778" s="130"/>
      <c r="W778" s="130"/>
      <c r="X778" s="130"/>
      <c r="Y778" s="130"/>
      <c r="Z778" s="176"/>
      <c r="AA778" s="493">
        <f>(AA768-X768)/AA259</f>
        <v>-7.472408928719608E-2</v>
      </c>
      <c r="AB778" s="493">
        <f>+AA778+Z778</f>
        <v>-7.472408928719608E-2</v>
      </c>
      <c r="AC778" s="493">
        <f>(AC768-Z768)/AC259</f>
        <v>-0.22788203753351205</v>
      </c>
      <c r="AD778" s="493">
        <f>(AD768-AA768)/AD259</f>
        <v>-0.153964944791908</v>
      </c>
      <c r="AE778" s="493">
        <f>+AD778+AC778</f>
        <v>-0.38184698232542003</v>
      </c>
      <c r="AF778" s="493">
        <f>(AF768-AC768)/AF259</f>
        <v>0</v>
      </c>
      <c r="AG778" s="1023">
        <f>(AG768-AD768)/AG259</f>
        <v>0</v>
      </c>
      <c r="AH778" s="493">
        <f>+AG778+AF778</f>
        <v>0</v>
      </c>
      <c r="AI778" s="493">
        <f>(AI768-AF768)/AI259</f>
        <v>0</v>
      </c>
      <c r="AJ778" s="493">
        <f>(AJ768-AG768)/AJ259</f>
        <v>0</v>
      </c>
      <c r="AK778" s="493">
        <f t="shared" si="2602"/>
        <v>0</v>
      </c>
      <c r="AL778" s="493">
        <f>(AL768-AI768)/AL259</f>
        <v>0</v>
      </c>
      <c r="AM778" s="493">
        <f>(AM768-AJ768)/AM259</f>
        <v>0</v>
      </c>
      <c r="AN778" s="493">
        <f t="shared" si="2603"/>
        <v>0</v>
      </c>
      <c r="AO778" s="493">
        <f>(AO768-AL768)/AO259</f>
        <v>0</v>
      </c>
      <c r="AP778" s="493">
        <f>(AP768-AM768)/AP259</f>
        <v>0</v>
      </c>
      <c r="AQ778" s="493">
        <f t="shared" si="2604"/>
        <v>0</v>
      </c>
      <c r="AR778" s="493">
        <f>(AR768-AO768)/AR259</f>
        <v>0</v>
      </c>
      <c r="AS778" s="493">
        <f>(AS768-AP768)/AS259</f>
        <v>0</v>
      </c>
      <c r="AT778" s="493">
        <f t="shared" si="2605"/>
        <v>0</v>
      </c>
      <c r="AU778" s="493">
        <f>(AU768-AR768)/AU259</f>
        <v>0</v>
      </c>
      <c r="AV778" s="493">
        <f>(AV768-AS768)/AV259</f>
        <v>0</v>
      </c>
      <c r="AW778" s="493">
        <f t="shared" si="2606"/>
        <v>0</v>
      </c>
      <c r="AX778" s="493">
        <f>(AX768-AU768)/AX259</f>
        <v>0</v>
      </c>
      <c r="AY778" s="493">
        <f>(AY768-AV768)/AY259</f>
        <v>0</v>
      </c>
      <c r="AZ778" s="493">
        <f t="shared" si="2607"/>
        <v>0</v>
      </c>
      <c r="BA778" s="493">
        <f>(BA768-AX768)/BA259</f>
        <v>0</v>
      </c>
      <c r="BB778" s="493">
        <f>(BB768-AY768)/BB259</f>
        <v>0</v>
      </c>
      <c r="BC778" s="493">
        <f t="shared" si="2608"/>
        <v>0</v>
      </c>
      <c r="BD778" s="493">
        <f>(BD768-BA768)/BD259</f>
        <v>0</v>
      </c>
      <c r="BE778" s="493">
        <f>(BE768-BB768)/BE259</f>
        <v>0</v>
      </c>
      <c r="BF778" s="493">
        <f t="shared" si="2609"/>
        <v>0</v>
      </c>
      <c r="BG778" s="493">
        <f>(BG768-BD768)/BG259</f>
        <v>0</v>
      </c>
      <c r="BH778" s="493">
        <f>(BH768-BE768)/BH259</f>
        <v>0</v>
      </c>
      <c r="BI778" s="493">
        <f t="shared" si="2610"/>
        <v>0</v>
      </c>
      <c r="BJ778" s="493">
        <f>(BJ768-BG768)/BJ259</f>
        <v>0</v>
      </c>
      <c r="BK778" s="493">
        <f>(BK768-BH768)/BK259</f>
        <v>0</v>
      </c>
      <c r="BL778" s="493">
        <f t="shared" si="2611"/>
        <v>0</v>
      </c>
      <c r="BM778" s="493">
        <f>(BM768-BJ768)/BM259</f>
        <v>0</v>
      </c>
      <c r="BN778" s="493">
        <f>(BN768-BK768)/BN259</f>
        <v>0</v>
      </c>
      <c r="BO778" s="493">
        <f t="shared" si="2612"/>
        <v>0</v>
      </c>
      <c r="BP778" s="493">
        <f>(BP768-BM768)/BP259</f>
        <v>0</v>
      </c>
      <c r="BQ778" s="493">
        <f>(BQ768-BN768)/BQ259</f>
        <v>0</v>
      </c>
      <c r="BR778" s="527">
        <f t="shared" si="2613"/>
        <v>0</v>
      </c>
    </row>
    <row r="779" spans="2:70" outlineLevel="2">
      <c r="B779" s="5"/>
      <c r="C779" s="518" t="s">
        <v>269</v>
      </c>
      <c r="D779" s="519" t="s">
        <v>85</v>
      </c>
      <c r="E779" s="519"/>
      <c r="F779" s="519"/>
      <c r="G779" s="519"/>
      <c r="H779" s="519"/>
      <c r="I779" s="519"/>
      <c r="J779" s="519"/>
      <c r="K779" s="519"/>
      <c r="L779" s="519"/>
      <c r="M779" s="519"/>
      <c r="N779" s="519"/>
      <c r="O779" s="519"/>
      <c r="P779" s="520"/>
      <c r="Q779" s="520"/>
      <c r="R779" s="520"/>
      <c r="S779" s="520"/>
      <c r="T779" s="520"/>
      <c r="U779" s="520"/>
      <c r="V779" s="520"/>
      <c r="W779" s="520"/>
      <c r="X779" s="520"/>
      <c r="Y779" s="520"/>
      <c r="Z779" s="524"/>
      <c r="AA779" s="528">
        <f t="shared" ref="AA779" si="2614">+AA776-X776</f>
        <v>0.24285329018338728</v>
      </c>
      <c r="AB779" s="528">
        <f>+AA779+Z779</f>
        <v>0.24285329018338728</v>
      </c>
      <c r="AC779" s="528">
        <f>+AC776-Z776</f>
        <v>0.92292225201072375</v>
      </c>
      <c r="AD779" s="528">
        <f t="shared" ref="AD779" si="2615">+AD776-AA776</f>
        <v>0.69248374942745361</v>
      </c>
      <c r="AE779" s="528">
        <f>+AD779+AC779</f>
        <v>1.6154060014381773</v>
      </c>
      <c r="AF779" s="528">
        <f>+AF776-AC776</f>
        <v>0.10806943145701797</v>
      </c>
      <c r="AG779" s="1027">
        <f t="shared" ref="AG779:AM779" si="2616">+AG776-AD776</f>
        <v>8.7869711444011234E-2</v>
      </c>
      <c r="AH779" s="528">
        <f>+AG779+AF779</f>
        <v>0.19593914290102921</v>
      </c>
      <c r="AI779" s="528">
        <f t="shared" si="2616"/>
        <v>0.20263277068073005</v>
      </c>
      <c r="AJ779" s="528">
        <f t="shared" si="2616"/>
        <v>-2.1140635352372872E-2</v>
      </c>
      <c r="AK779" s="528">
        <f>+AJ779+AI779</f>
        <v>0.18149213532835717</v>
      </c>
      <c r="AL779" s="528">
        <f t="shared" si="2616"/>
        <v>-0.10362445414847166</v>
      </c>
      <c r="AM779" s="528">
        <f t="shared" si="2616"/>
        <v>-3.2066115702479303E-2</v>
      </c>
      <c r="AN779" s="528">
        <f>+AM779+AL779</f>
        <v>-0.13569056985095096</v>
      </c>
      <c r="AO779" s="528">
        <f t="shared" ref="AO779" si="2617">+AO776-AL776</f>
        <v>0</v>
      </c>
      <c r="AP779" s="528">
        <f t="shared" ref="AP779" si="2618">+AP776-AM776</f>
        <v>0</v>
      </c>
      <c r="AQ779" s="528">
        <f>+AP779+AO779</f>
        <v>0</v>
      </c>
      <c r="AR779" s="528">
        <f t="shared" ref="AR779" si="2619">+AR776-AO776</f>
        <v>0</v>
      </c>
      <c r="AS779" s="528">
        <f t="shared" ref="AS779" si="2620">+AS776-AP776</f>
        <v>0</v>
      </c>
      <c r="AT779" s="528">
        <f>+AS779+AR779</f>
        <v>0</v>
      </c>
      <c r="AU779" s="528">
        <f t="shared" ref="AU779" si="2621">+AU776-AR776</f>
        <v>0</v>
      </c>
      <c r="AV779" s="528">
        <f t="shared" ref="AV779" si="2622">+AV776-AS776</f>
        <v>0</v>
      </c>
      <c r="AW779" s="528">
        <f>+AV779+AU779</f>
        <v>0</v>
      </c>
      <c r="AX779" s="528">
        <f t="shared" ref="AX779" si="2623">+AX776-AU776</f>
        <v>0</v>
      </c>
      <c r="AY779" s="528">
        <f t="shared" ref="AY779" si="2624">+AY776-AV776</f>
        <v>0</v>
      </c>
      <c r="AZ779" s="528">
        <f>+AY779+AX779</f>
        <v>0</v>
      </c>
      <c r="BA779" s="528">
        <f t="shared" ref="BA779" si="2625">+BA776-AX776</f>
        <v>0</v>
      </c>
      <c r="BB779" s="528">
        <f t="shared" ref="BB779" si="2626">+BB776-AY776</f>
        <v>0</v>
      </c>
      <c r="BC779" s="528">
        <f>+BB779+BA779</f>
        <v>0</v>
      </c>
      <c r="BD779" s="528">
        <f t="shared" ref="BD779" si="2627">+BD776-BA776</f>
        <v>0</v>
      </c>
      <c r="BE779" s="528">
        <f t="shared" ref="BE779" si="2628">+BE776-BB776</f>
        <v>0</v>
      </c>
      <c r="BF779" s="528">
        <f>+BE779+BD779</f>
        <v>0</v>
      </c>
      <c r="BG779" s="528">
        <f t="shared" ref="BG779" si="2629">+BG776-BD776</f>
        <v>0</v>
      </c>
      <c r="BH779" s="528">
        <f t="shared" ref="BH779" si="2630">+BH776-BE776</f>
        <v>0</v>
      </c>
      <c r="BI779" s="528">
        <f>+BH779+BG779</f>
        <v>0</v>
      </c>
      <c r="BJ779" s="528">
        <f t="shared" ref="BJ779" si="2631">+BJ776-BG776</f>
        <v>0</v>
      </c>
      <c r="BK779" s="528">
        <f t="shared" ref="BK779" si="2632">+BK776-BH776</f>
        <v>0</v>
      </c>
      <c r="BL779" s="528">
        <f>+BK779+BJ779</f>
        <v>0</v>
      </c>
      <c r="BM779" s="528">
        <f t="shared" ref="BM779" si="2633">+BM776-BJ776</f>
        <v>0</v>
      </c>
      <c r="BN779" s="528">
        <f t="shared" ref="BN779" si="2634">+BN776-BK776</f>
        <v>0</v>
      </c>
      <c r="BO779" s="528">
        <f>+BN779+BM779</f>
        <v>0</v>
      </c>
      <c r="BP779" s="528">
        <f t="shared" ref="BP779" si="2635">+BP776-BM776</f>
        <v>0</v>
      </c>
      <c r="BQ779" s="528">
        <f t="shared" ref="BQ779" si="2636">+BQ776-BN776</f>
        <v>0</v>
      </c>
      <c r="BR779" s="529">
        <f>+BQ779+BP779</f>
        <v>0</v>
      </c>
    </row>
    <row r="780" spans="2:70" outlineLevel="2">
      <c r="B780" s="5"/>
      <c r="C780" s="8" t="s">
        <v>343</v>
      </c>
    </row>
    <row r="781" spans="2:70" outlineLevel="2">
      <c r="B781" s="5"/>
      <c r="C781" s="9" t="s">
        <v>266</v>
      </c>
      <c r="V781" s="498" t="s">
        <v>81</v>
      </c>
      <c r="AI781" s="24"/>
      <c r="AL781" s="24"/>
      <c r="AO781" s="24"/>
      <c r="AR781" s="24"/>
      <c r="AU781" s="24"/>
      <c r="AX781" s="24"/>
      <c r="BA781" s="24"/>
      <c r="BD781" s="24"/>
      <c r="BG781" s="24"/>
      <c r="BJ781" s="24"/>
      <c r="BM781" s="24"/>
      <c r="BP781" s="24"/>
    </row>
    <row r="782" spans="2:70" outlineLevel="2">
      <c r="B782" s="5"/>
      <c r="C782" s="9" t="s">
        <v>262</v>
      </c>
      <c r="V782" s="485">
        <v>42369</v>
      </c>
      <c r="Y782" s="89"/>
    </row>
    <row r="783" spans="2:70" s="30" customFormat="1" outlineLevel="2">
      <c r="C783" s="84" t="s">
        <v>72</v>
      </c>
      <c r="D783" s="31" t="s">
        <v>58</v>
      </c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V783" s="486">
        <v>46.9</v>
      </c>
      <c r="Y783" s="35"/>
      <c r="AC783" s="35"/>
      <c r="AE783" s="168"/>
      <c r="AF783" s="168"/>
      <c r="AG783" s="964"/>
    </row>
    <row r="784" spans="2:70" s="30" customFormat="1" outlineLevel="2">
      <c r="C784" s="84" t="s">
        <v>76</v>
      </c>
      <c r="D784" s="74" t="s">
        <v>77</v>
      </c>
      <c r="E784" s="2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V784" s="488">
        <f>V783/V786</f>
        <v>5.6642512077294676</v>
      </c>
      <c r="Y784" s="39"/>
      <c r="AC784" s="35"/>
      <c r="AE784" s="165"/>
      <c r="AF784" s="168"/>
      <c r="AG784" s="964"/>
    </row>
    <row r="785" spans="2:70" s="30" customFormat="1" outlineLevel="2">
      <c r="C785" s="84" t="s">
        <v>55</v>
      </c>
      <c r="D785" s="31" t="s">
        <v>58</v>
      </c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V785" s="530">
        <v>42</v>
      </c>
      <c r="Y785" s="369"/>
      <c r="AA785" s="500">
        <f>V785*0.5</f>
        <v>21</v>
      </c>
      <c r="AB785" s="348">
        <f>SUM(AA785)</f>
        <v>21</v>
      </c>
      <c r="AC785" s="533">
        <f>AE785*0.5</f>
        <v>21</v>
      </c>
      <c r="AD785" s="501">
        <f>AE785*0.5</f>
        <v>21</v>
      </c>
      <c r="AE785" s="533">
        <f>V785</f>
        <v>42</v>
      </c>
      <c r="AF785" s="533">
        <f>AC785</f>
        <v>21</v>
      </c>
      <c r="AG785" s="1028">
        <f>AD785</f>
        <v>21</v>
      </c>
      <c r="AH785" s="501">
        <f>AF785+AG785</f>
        <v>42</v>
      </c>
      <c r="AI785" s="501">
        <f>AF785</f>
        <v>21</v>
      </c>
      <c r="AJ785" s="501">
        <f>AG785</f>
        <v>21</v>
      </c>
      <c r="AK785" s="501">
        <f>AI785+AJ785</f>
        <v>42</v>
      </c>
      <c r="AL785" s="501">
        <f>AI785</f>
        <v>21</v>
      </c>
      <c r="AM785" s="501">
        <f>AJ785</f>
        <v>21</v>
      </c>
      <c r="AN785" s="501">
        <f>AL785+AM785</f>
        <v>42</v>
      </c>
      <c r="AO785" s="501">
        <f>AL785</f>
        <v>21</v>
      </c>
      <c r="AP785" s="501">
        <f>AM785</f>
        <v>21</v>
      </c>
      <c r="AQ785" s="501">
        <f>AO785+AP785</f>
        <v>42</v>
      </c>
      <c r="AR785" s="501">
        <f>AO785</f>
        <v>21</v>
      </c>
      <c r="AS785" s="501">
        <f>AP785</f>
        <v>21</v>
      </c>
      <c r="AT785" s="501">
        <f>AR785+AS785</f>
        <v>42</v>
      </c>
      <c r="AU785" s="501">
        <f>AR785</f>
        <v>21</v>
      </c>
      <c r="AV785" s="501">
        <f>AS785</f>
        <v>21</v>
      </c>
      <c r="AW785" s="501">
        <f>AU785+AV785</f>
        <v>42</v>
      </c>
      <c r="AX785" s="501">
        <f>AU785</f>
        <v>21</v>
      </c>
      <c r="AY785" s="501">
        <f>AV785</f>
        <v>21</v>
      </c>
      <c r="AZ785" s="501">
        <f>AX785+AY785</f>
        <v>42</v>
      </c>
      <c r="BA785" s="501">
        <f>AX785</f>
        <v>21</v>
      </c>
      <c r="BB785" s="501">
        <f>AY785</f>
        <v>21</v>
      </c>
      <c r="BC785" s="501">
        <f>BA785+BB785</f>
        <v>42</v>
      </c>
      <c r="BD785" s="501">
        <f>BA785</f>
        <v>21</v>
      </c>
      <c r="BE785" s="501">
        <f>BB785</f>
        <v>21</v>
      </c>
      <c r="BF785" s="501">
        <f>BD785+BE785</f>
        <v>42</v>
      </c>
      <c r="BG785" s="501">
        <f>BD785</f>
        <v>21</v>
      </c>
      <c r="BH785" s="501">
        <f>BE785</f>
        <v>21</v>
      </c>
      <c r="BI785" s="501">
        <f>BG785+BH785</f>
        <v>42</v>
      </c>
      <c r="BJ785" s="501">
        <f>BG785</f>
        <v>21</v>
      </c>
      <c r="BK785" s="501">
        <f>BH785</f>
        <v>21</v>
      </c>
      <c r="BL785" s="501">
        <f>BJ785+BK785</f>
        <v>42</v>
      </c>
      <c r="BM785" s="501">
        <f>BJ785</f>
        <v>21</v>
      </c>
      <c r="BN785" s="501">
        <f>BK785</f>
        <v>21</v>
      </c>
      <c r="BO785" s="501">
        <f>BM785+BN785</f>
        <v>42</v>
      </c>
      <c r="BP785" s="501">
        <f>BM785</f>
        <v>21</v>
      </c>
      <c r="BQ785" s="501">
        <f>BN785</f>
        <v>21</v>
      </c>
      <c r="BR785" s="501">
        <f>BP785+BQ785</f>
        <v>42</v>
      </c>
    </row>
    <row r="786" spans="2:70" s="30" customFormat="1" outlineLevel="2">
      <c r="C786" s="84" t="s">
        <v>56</v>
      </c>
      <c r="D786" s="31" t="s">
        <v>58</v>
      </c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V786" s="506">
        <f>V789-V788</f>
        <v>8.2800000000000011</v>
      </c>
      <c r="Y786" s="157"/>
      <c r="AA786" s="500">
        <f>V786*0.5</f>
        <v>4.1400000000000006</v>
      </c>
      <c r="AB786" s="348">
        <f>SUM(AA786)</f>
        <v>4.1400000000000006</v>
      </c>
      <c r="AC786" s="534">
        <f t="shared" ref="AC786" si="2637">AE786*0.5</f>
        <v>4.1400000000000006</v>
      </c>
      <c r="AD786" s="342">
        <f t="shared" ref="AD786" si="2638">AE786*0.5</f>
        <v>4.1400000000000006</v>
      </c>
      <c r="AE786" s="533">
        <f>AE785*AE787</f>
        <v>8.2800000000000011</v>
      </c>
      <c r="AF786" s="533">
        <f>AF787*AF785</f>
        <v>4.1400000000000006</v>
      </c>
      <c r="AG786" s="1028">
        <f>AG787*AG785</f>
        <v>4.1400000000000006</v>
      </c>
      <c r="AH786" s="501">
        <f>AF786+AG786</f>
        <v>8.2800000000000011</v>
      </c>
      <c r="AI786" s="501">
        <f>AI787*AI785</f>
        <v>4.1400000000000006</v>
      </c>
      <c r="AJ786" s="501">
        <f>AJ787*AJ785</f>
        <v>4.1400000000000006</v>
      </c>
      <c r="AK786" s="501">
        <f>AI786+AJ786</f>
        <v>8.2800000000000011</v>
      </c>
      <c r="AL786" s="501">
        <f>AL787*AL785</f>
        <v>4.1400000000000006</v>
      </c>
      <c r="AM786" s="501">
        <f>AM787*AM785</f>
        <v>4.1400000000000006</v>
      </c>
      <c r="AN786" s="501">
        <f>AL786+AM786</f>
        <v>8.2800000000000011</v>
      </c>
      <c r="AO786" s="501">
        <f>AO787*AO785</f>
        <v>4.1400000000000006</v>
      </c>
      <c r="AP786" s="501">
        <f>AP787*AP785</f>
        <v>4.1400000000000006</v>
      </c>
      <c r="AQ786" s="501">
        <f>AO786+AP786</f>
        <v>8.2800000000000011</v>
      </c>
      <c r="AR786" s="501">
        <f>AR787*AR785</f>
        <v>4.1400000000000006</v>
      </c>
      <c r="AS786" s="501">
        <f>AS787*AS785</f>
        <v>4.1400000000000006</v>
      </c>
      <c r="AT786" s="501">
        <f>AR786+AS786</f>
        <v>8.2800000000000011</v>
      </c>
      <c r="AU786" s="501">
        <f>AU787*AU785</f>
        <v>4.1400000000000006</v>
      </c>
      <c r="AV786" s="501">
        <f>AV787*AV785</f>
        <v>4.1400000000000006</v>
      </c>
      <c r="AW786" s="501">
        <f>AU786+AV786</f>
        <v>8.2800000000000011</v>
      </c>
      <c r="AX786" s="501">
        <f>AX787*AX785</f>
        <v>4.1400000000000006</v>
      </c>
      <c r="AY786" s="501">
        <f>AY787*AY785</f>
        <v>4.1400000000000006</v>
      </c>
      <c r="AZ786" s="501">
        <f>AX786+AY786</f>
        <v>8.2800000000000011</v>
      </c>
      <c r="BA786" s="501">
        <f>BA787*BA785</f>
        <v>4.1400000000000006</v>
      </c>
      <c r="BB786" s="501">
        <f>BB787*BB785</f>
        <v>4.1400000000000006</v>
      </c>
      <c r="BC786" s="501">
        <f>BA786+BB786</f>
        <v>8.2800000000000011</v>
      </c>
      <c r="BD786" s="501">
        <f>BD787*BD785</f>
        <v>4.1400000000000006</v>
      </c>
      <c r="BE786" s="501">
        <f>BE787*BE785</f>
        <v>4.1400000000000006</v>
      </c>
      <c r="BF786" s="501">
        <f>BD786+BE786</f>
        <v>8.2800000000000011</v>
      </c>
      <c r="BG786" s="501">
        <f>BG787*BG785</f>
        <v>4.1400000000000006</v>
      </c>
      <c r="BH786" s="501">
        <f>BH787*BH785</f>
        <v>4.1400000000000006</v>
      </c>
      <c r="BI786" s="501">
        <f>BG786+BH786</f>
        <v>8.2800000000000011</v>
      </c>
      <c r="BJ786" s="501">
        <f>BJ787*BJ785</f>
        <v>4.1400000000000006</v>
      </c>
      <c r="BK786" s="501">
        <f>BK787*BK785</f>
        <v>4.1400000000000006</v>
      </c>
      <c r="BL786" s="501">
        <f>BJ786+BK786</f>
        <v>8.2800000000000011</v>
      </c>
      <c r="BM786" s="501">
        <f>BM787*BM785</f>
        <v>4.1400000000000006</v>
      </c>
      <c r="BN786" s="501">
        <f>BN787*BN785</f>
        <v>4.1400000000000006</v>
      </c>
      <c r="BO786" s="501">
        <f>BM786+BN786</f>
        <v>8.2800000000000011</v>
      </c>
      <c r="BP786" s="501">
        <f>BP787*BP785</f>
        <v>4.1400000000000006</v>
      </c>
      <c r="BQ786" s="501">
        <f>BQ787*BQ785</f>
        <v>4.1400000000000006</v>
      </c>
      <c r="BR786" s="501">
        <f>BP786+BQ786</f>
        <v>8.2800000000000011</v>
      </c>
    </row>
    <row r="787" spans="2:70" s="30" customFormat="1" outlineLevel="2">
      <c r="C787" s="84" t="s">
        <v>73</v>
      </c>
      <c r="D787" s="31" t="s">
        <v>66</v>
      </c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V787" s="507">
        <f>V786/V785</f>
        <v>0.19714285714285718</v>
      </c>
      <c r="Y787" s="179"/>
      <c r="AA787" s="359">
        <f>AA786/AA785</f>
        <v>0.19714285714285718</v>
      </c>
      <c r="AB787" s="359">
        <f>AB786/AB785</f>
        <v>0.19714285714285718</v>
      </c>
      <c r="AC787" s="392">
        <f t="shared" ref="AC787:AD787" si="2639">AC786/AC785</f>
        <v>0.19714285714285718</v>
      </c>
      <c r="AD787" s="392">
        <f t="shared" si="2639"/>
        <v>0.19714285714285718</v>
      </c>
      <c r="AE787" s="359">
        <f>AB787</f>
        <v>0.19714285714285718</v>
      </c>
      <c r="AF787" s="393">
        <f>AC787</f>
        <v>0.19714285714285718</v>
      </c>
      <c r="AG787" s="976">
        <f>AD787</f>
        <v>0.19714285714285718</v>
      </c>
      <c r="AH787" s="385">
        <f>AH786/AH785</f>
        <v>0.19714285714285718</v>
      </c>
      <c r="AI787" s="213">
        <f>AE787</f>
        <v>0.19714285714285718</v>
      </c>
      <c r="AJ787" s="213">
        <f>AE787</f>
        <v>0.19714285714285718</v>
      </c>
      <c r="AK787" s="385">
        <f>AK786/AK785</f>
        <v>0.19714285714285718</v>
      </c>
      <c r="AL787" s="213">
        <f>AH787</f>
        <v>0.19714285714285718</v>
      </c>
      <c r="AM787" s="213">
        <f>AH787</f>
        <v>0.19714285714285718</v>
      </c>
      <c r="AN787" s="385">
        <f>AN786/AN785</f>
        <v>0.19714285714285718</v>
      </c>
      <c r="AO787" s="213">
        <f>AK787</f>
        <v>0.19714285714285718</v>
      </c>
      <c r="AP787" s="213">
        <f>AK787</f>
        <v>0.19714285714285718</v>
      </c>
      <c r="AQ787" s="385">
        <f>AQ786/AQ785</f>
        <v>0.19714285714285718</v>
      </c>
      <c r="AR787" s="213">
        <f>AN787</f>
        <v>0.19714285714285718</v>
      </c>
      <c r="AS787" s="213">
        <f>AN787</f>
        <v>0.19714285714285718</v>
      </c>
      <c r="AT787" s="385">
        <f>AT786/AT785</f>
        <v>0.19714285714285718</v>
      </c>
      <c r="AU787" s="213">
        <f>AQ787</f>
        <v>0.19714285714285718</v>
      </c>
      <c r="AV787" s="213">
        <f>AQ787</f>
        <v>0.19714285714285718</v>
      </c>
      <c r="AW787" s="385">
        <f>AW786/AW785</f>
        <v>0.19714285714285718</v>
      </c>
      <c r="AX787" s="213">
        <f>AT787</f>
        <v>0.19714285714285718</v>
      </c>
      <c r="AY787" s="213">
        <f>AT787</f>
        <v>0.19714285714285718</v>
      </c>
      <c r="AZ787" s="385">
        <f>AZ786/AZ785</f>
        <v>0.19714285714285718</v>
      </c>
      <c r="BA787" s="213">
        <f>AW787</f>
        <v>0.19714285714285718</v>
      </c>
      <c r="BB787" s="213">
        <f>AW787</f>
        <v>0.19714285714285718</v>
      </c>
      <c r="BC787" s="385">
        <f>BC786/BC785</f>
        <v>0.19714285714285718</v>
      </c>
      <c r="BD787" s="213">
        <f>AZ787</f>
        <v>0.19714285714285718</v>
      </c>
      <c r="BE787" s="213">
        <f>AZ787</f>
        <v>0.19714285714285718</v>
      </c>
      <c r="BF787" s="385">
        <f>BF786/BF785</f>
        <v>0.19714285714285718</v>
      </c>
      <c r="BG787" s="213">
        <f>BC787</f>
        <v>0.19714285714285718</v>
      </c>
      <c r="BH787" s="213">
        <f>BC787</f>
        <v>0.19714285714285718</v>
      </c>
      <c r="BI787" s="385">
        <f>BI786/BI785</f>
        <v>0.19714285714285718</v>
      </c>
      <c r="BJ787" s="213">
        <f>BF787</f>
        <v>0.19714285714285718</v>
      </c>
      <c r="BK787" s="213">
        <f>BF787</f>
        <v>0.19714285714285718</v>
      </c>
      <c r="BL787" s="385">
        <f>BL786/BL785</f>
        <v>0.19714285714285718</v>
      </c>
      <c r="BM787" s="213">
        <f>BI787</f>
        <v>0.19714285714285718</v>
      </c>
      <c r="BN787" s="213">
        <f>BI787</f>
        <v>0.19714285714285718</v>
      </c>
      <c r="BO787" s="385">
        <f>BO786/BO785</f>
        <v>0.19714285714285718</v>
      </c>
      <c r="BP787" s="213">
        <f>BL787</f>
        <v>0.19714285714285718</v>
      </c>
      <c r="BQ787" s="213">
        <f>BL787</f>
        <v>0.19714285714285718</v>
      </c>
      <c r="BR787" s="385">
        <f>BR786/BR785</f>
        <v>0.19714285714285718</v>
      </c>
    </row>
    <row r="788" spans="2:70" s="30" customFormat="1" outlineLevel="2">
      <c r="C788" s="84" t="s">
        <v>65</v>
      </c>
      <c r="D788" s="31" t="s">
        <v>58</v>
      </c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V788" s="559">
        <v>-1</v>
      </c>
      <c r="Y788" s="367"/>
      <c r="AA788" s="37">
        <f>V788*0.5</f>
        <v>-0.5</v>
      </c>
      <c r="AB788" s="26">
        <f>SUM(AA788)</f>
        <v>-0.5</v>
      </c>
      <c r="AC788" s="167">
        <f t="shared" ref="AC788" si="2640">AE788*0.5</f>
        <v>-0.5</v>
      </c>
      <c r="AD788" s="167">
        <f t="shared" ref="AD788" si="2641">AE788*0.5</f>
        <v>-0.5</v>
      </c>
      <c r="AE788" s="167">
        <f>V788</f>
        <v>-1</v>
      </c>
      <c r="AF788" s="167">
        <f>AC788</f>
        <v>-0.5</v>
      </c>
      <c r="AG788" s="1017">
        <f>AD788</f>
        <v>-0.5</v>
      </c>
      <c r="AH788" s="37">
        <f>AF788+AG788</f>
        <v>-1</v>
      </c>
      <c r="AI788" s="37">
        <f>AF788</f>
        <v>-0.5</v>
      </c>
      <c r="AJ788" s="37">
        <f>AG788</f>
        <v>-0.5</v>
      </c>
      <c r="AK788" s="37">
        <f>AI788+AJ788</f>
        <v>-1</v>
      </c>
      <c r="AL788" s="37">
        <f>AI788</f>
        <v>-0.5</v>
      </c>
      <c r="AM788" s="37">
        <f>AJ788</f>
        <v>-0.5</v>
      </c>
      <c r="AN788" s="37">
        <f>AL788+AM788</f>
        <v>-1</v>
      </c>
      <c r="AO788" s="37">
        <f>AL788</f>
        <v>-0.5</v>
      </c>
      <c r="AP788" s="37">
        <f>AM788</f>
        <v>-0.5</v>
      </c>
      <c r="AQ788" s="37">
        <f>AO788+AP788</f>
        <v>-1</v>
      </c>
      <c r="AR788" s="37">
        <f>AO788</f>
        <v>-0.5</v>
      </c>
      <c r="AS788" s="37">
        <f>AP788</f>
        <v>-0.5</v>
      </c>
      <c r="AT788" s="37">
        <f>AR788+AS788</f>
        <v>-1</v>
      </c>
      <c r="AU788" s="37">
        <f>AR788</f>
        <v>-0.5</v>
      </c>
      <c r="AV788" s="37">
        <f>AS788</f>
        <v>-0.5</v>
      </c>
      <c r="AW788" s="37">
        <f>AU788+AV788</f>
        <v>-1</v>
      </c>
      <c r="AX788" s="37">
        <f>AU788</f>
        <v>-0.5</v>
      </c>
      <c r="AY788" s="37">
        <f>AV788</f>
        <v>-0.5</v>
      </c>
      <c r="AZ788" s="37">
        <f>AX788+AY788</f>
        <v>-1</v>
      </c>
      <c r="BA788" s="37">
        <f>AX788</f>
        <v>-0.5</v>
      </c>
      <c r="BB788" s="37">
        <f>AY788</f>
        <v>-0.5</v>
      </c>
      <c r="BC788" s="37">
        <f>BA788+BB788</f>
        <v>-1</v>
      </c>
      <c r="BD788" s="37">
        <f>BA788</f>
        <v>-0.5</v>
      </c>
      <c r="BE788" s="37">
        <f>BB788</f>
        <v>-0.5</v>
      </c>
      <c r="BF788" s="37">
        <f>BD788+BE788</f>
        <v>-1</v>
      </c>
      <c r="BG788" s="37">
        <f>BD788</f>
        <v>-0.5</v>
      </c>
      <c r="BH788" s="37">
        <f>BE788</f>
        <v>-0.5</v>
      </c>
      <c r="BI788" s="37">
        <f>BG788+BH788</f>
        <v>-1</v>
      </c>
      <c r="BJ788" s="37">
        <f>BG788</f>
        <v>-0.5</v>
      </c>
      <c r="BK788" s="37">
        <f>BH788</f>
        <v>-0.5</v>
      </c>
      <c r="BL788" s="37">
        <f>BJ788+BK788</f>
        <v>-1</v>
      </c>
      <c r="BM788" s="37">
        <f>BJ788</f>
        <v>-0.5</v>
      </c>
      <c r="BN788" s="37">
        <f>BK788</f>
        <v>-0.5</v>
      </c>
      <c r="BO788" s="37">
        <f>BM788+BN788</f>
        <v>-1</v>
      </c>
      <c r="BP788" s="37">
        <f>BM788</f>
        <v>-0.5</v>
      </c>
      <c r="BQ788" s="37">
        <f>BN788</f>
        <v>-0.5</v>
      </c>
      <c r="BR788" s="37">
        <f>BP788+BQ788</f>
        <v>-1</v>
      </c>
    </row>
    <row r="789" spans="2:70" s="30" customFormat="1" outlineLevel="2">
      <c r="C789" s="84" t="s">
        <v>78</v>
      </c>
      <c r="D789" s="31" t="s">
        <v>58</v>
      </c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V789" s="506">
        <f>V794-V792</f>
        <v>7.2800000000000011</v>
      </c>
      <c r="Y789" s="157"/>
      <c r="AA789" s="347">
        <f>AA786+AA788</f>
        <v>3.6400000000000006</v>
      </c>
      <c r="AB789" s="347">
        <f>AB786+AB788</f>
        <v>3.6400000000000006</v>
      </c>
      <c r="AC789" s="171">
        <f>AC786+AC788</f>
        <v>3.6400000000000006</v>
      </c>
      <c r="AD789" s="347">
        <f>AD786+AD788</f>
        <v>3.6400000000000006</v>
      </c>
      <c r="AE789" s="26">
        <f>SUM(AC789:AD789)</f>
        <v>7.2800000000000011</v>
      </c>
      <c r="AF789" s="171">
        <f t="shared" ref="AF789:AG789" si="2642">AF786+AF788</f>
        <v>3.6400000000000006</v>
      </c>
      <c r="AG789" s="937">
        <f t="shared" si="2642"/>
        <v>3.6400000000000006</v>
      </c>
      <c r="AH789" s="26">
        <f t="shared" ref="AH789" si="2643">SUM(AF789:AG789)</f>
        <v>7.2800000000000011</v>
      </c>
      <c r="AI789" s="171">
        <f t="shared" ref="AI789:AJ789" si="2644">AI786+AI788</f>
        <v>3.6400000000000006</v>
      </c>
      <c r="AJ789" s="347">
        <f t="shared" si="2644"/>
        <v>3.6400000000000006</v>
      </c>
      <c r="AK789" s="26">
        <f t="shared" ref="AK789" si="2645">SUM(AI789:AJ789)</f>
        <v>7.2800000000000011</v>
      </c>
      <c r="AL789" s="171">
        <f t="shared" ref="AL789:AM789" si="2646">AL786+AL788</f>
        <v>3.6400000000000006</v>
      </c>
      <c r="AM789" s="347">
        <f t="shared" si="2646"/>
        <v>3.6400000000000006</v>
      </c>
      <c r="AN789" s="26">
        <f t="shared" ref="AN789" si="2647">SUM(AL789:AM789)</f>
        <v>7.2800000000000011</v>
      </c>
      <c r="AO789" s="171">
        <f t="shared" ref="AO789:AP789" si="2648">AO786+AO788</f>
        <v>3.6400000000000006</v>
      </c>
      <c r="AP789" s="347">
        <f t="shared" si="2648"/>
        <v>3.6400000000000006</v>
      </c>
      <c r="AQ789" s="26">
        <f t="shared" ref="AQ789" si="2649">SUM(AO789:AP789)</f>
        <v>7.2800000000000011</v>
      </c>
      <c r="AR789" s="171">
        <f t="shared" ref="AR789:AS789" si="2650">AR786+AR788</f>
        <v>3.6400000000000006</v>
      </c>
      <c r="AS789" s="347">
        <f t="shared" si="2650"/>
        <v>3.6400000000000006</v>
      </c>
      <c r="AT789" s="26">
        <f t="shared" ref="AT789" si="2651">SUM(AR789:AS789)</f>
        <v>7.2800000000000011</v>
      </c>
      <c r="AU789" s="171">
        <f t="shared" ref="AU789:AV789" si="2652">AU786+AU788</f>
        <v>3.6400000000000006</v>
      </c>
      <c r="AV789" s="347">
        <f t="shared" si="2652"/>
        <v>3.6400000000000006</v>
      </c>
      <c r="AW789" s="26">
        <f t="shared" ref="AW789" si="2653">SUM(AU789:AV789)</f>
        <v>7.2800000000000011</v>
      </c>
      <c r="AX789" s="171">
        <f t="shared" ref="AX789:AY789" si="2654">AX786+AX788</f>
        <v>3.6400000000000006</v>
      </c>
      <c r="AY789" s="347">
        <f t="shared" si="2654"/>
        <v>3.6400000000000006</v>
      </c>
      <c r="AZ789" s="26">
        <f t="shared" ref="AZ789" si="2655">SUM(AX789:AY789)</f>
        <v>7.2800000000000011</v>
      </c>
      <c r="BA789" s="171">
        <f t="shared" ref="BA789:BB789" si="2656">BA786+BA788</f>
        <v>3.6400000000000006</v>
      </c>
      <c r="BB789" s="347">
        <f t="shared" si="2656"/>
        <v>3.6400000000000006</v>
      </c>
      <c r="BC789" s="26">
        <f t="shared" ref="BC789" si="2657">SUM(BA789:BB789)</f>
        <v>7.2800000000000011</v>
      </c>
      <c r="BD789" s="171">
        <f t="shared" ref="BD789:BE789" si="2658">BD786+BD788</f>
        <v>3.6400000000000006</v>
      </c>
      <c r="BE789" s="347">
        <f t="shared" si="2658"/>
        <v>3.6400000000000006</v>
      </c>
      <c r="BF789" s="26">
        <f t="shared" ref="BF789" si="2659">SUM(BD789:BE789)</f>
        <v>7.2800000000000011</v>
      </c>
      <c r="BG789" s="171">
        <f t="shared" ref="BG789:BH789" si="2660">BG786+BG788</f>
        <v>3.6400000000000006</v>
      </c>
      <c r="BH789" s="347">
        <f t="shared" si="2660"/>
        <v>3.6400000000000006</v>
      </c>
      <c r="BI789" s="26">
        <f t="shared" ref="BI789" si="2661">SUM(BG789:BH789)</f>
        <v>7.2800000000000011</v>
      </c>
      <c r="BJ789" s="171">
        <f t="shared" ref="BJ789:BK789" si="2662">BJ786+BJ788</f>
        <v>3.6400000000000006</v>
      </c>
      <c r="BK789" s="347">
        <f t="shared" si="2662"/>
        <v>3.6400000000000006</v>
      </c>
      <c r="BL789" s="26">
        <f t="shared" ref="BL789" si="2663">SUM(BJ789:BK789)</f>
        <v>7.2800000000000011</v>
      </c>
      <c r="BM789" s="171">
        <f t="shared" ref="BM789:BN789" si="2664">BM786+BM788</f>
        <v>3.6400000000000006</v>
      </c>
      <c r="BN789" s="347">
        <f t="shared" si="2664"/>
        <v>3.6400000000000006</v>
      </c>
      <c r="BO789" s="26">
        <f t="shared" ref="BO789" si="2665">SUM(BM789:BN789)</f>
        <v>7.2800000000000011</v>
      </c>
      <c r="BP789" s="171">
        <f t="shared" ref="BP789:BQ789" si="2666">BP786+BP788</f>
        <v>3.6400000000000006</v>
      </c>
      <c r="BQ789" s="347">
        <f t="shared" si="2666"/>
        <v>3.6400000000000006</v>
      </c>
      <c r="BR789" s="26">
        <f t="shared" ref="BR789" si="2667">SUM(BP789:BQ789)</f>
        <v>7.2800000000000011</v>
      </c>
    </row>
    <row r="790" spans="2:70" s="30" customFormat="1" outlineLevel="2">
      <c r="C790" s="84" t="s">
        <v>74</v>
      </c>
      <c r="D790" s="31" t="s">
        <v>66</v>
      </c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V790" s="507">
        <f>V789/V785</f>
        <v>0.17333333333333337</v>
      </c>
      <c r="Y790" s="179"/>
      <c r="AA790" s="359">
        <f>AA789/AA785</f>
        <v>0.17333333333333337</v>
      </c>
      <c r="AB790" s="359">
        <f>AB789/AB785</f>
        <v>0.17333333333333337</v>
      </c>
      <c r="AC790" s="359">
        <f t="shared" ref="AC790:AE790" si="2668">AC789/AC785</f>
        <v>0.17333333333333337</v>
      </c>
      <c r="AD790" s="359">
        <f t="shared" si="2668"/>
        <v>0.17333333333333337</v>
      </c>
      <c r="AE790" s="359">
        <f t="shared" si="2668"/>
        <v>0.17333333333333337</v>
      </c>
      <c r="AF790" s="359">
        <f t="shared" ref="AF790" si="2669">AF789/AF785</f>
        <v>0.17333333333333337</v>
      </c>
      <c r="AG790" s="1025">
        <f t="shared" ref="AG790" si="2670">AG789/AG785</f>
        <v>0.17333333333333337</v>
      </c>
      <c r="AH790" s="359">
        <f t="shared" ref="AH790" si="2671">AH789/AH785</f>
        <v>0.17333333333333337</v>
      </c>
      <c r="AI790" s="359">
        <f t="shared" ref="AI790" si="2672">AI789/AI785</f>
        <v>0.17333333333333337</v>
      </c>
      <c r="AJ790" s="359">
        <f t="shared" ref="AJ790" si="2673">AJ789/AJ785</f>
        <v>0.17333333333333337</v>
      </c>
      <c r="AK790" s="359">
        <f t="shared" ref="AK790" si="2674">AK789/AK785</f>
        <v>0.17333333333333337</v>
      </c>
      <c r="AL790" s="359">
        <f t="shared" ref="AL790" si="2675">AL789/AL785</f>
        <v>0.17333333333333337</v>
      </c>
      <c r="AM790" s="359">
        <f t="shared" ref="AM790" si="2676">AM789/AM785</f>
        <v>0.17333333333333337</v>
      </c>
      <c r="AN790" s="359">
        <f t="shared" ref="AN790:AP790" si="2677">AN789/AN785</f>
        <v>0.17333333333333337</v>
      </c>
      <c r="AO790" s="359">
        <f t="shared" si="2677"/>
        <v>0.17333333333333337</v>
      </c>
      <c r="AP790" s="359">
        <f t="shared" si="2677"/>
        <v>0.17333333333333337</v>
      </c>
      <c r="AQ790" s="359">
        <f t="shared" ref="AQ790:BR790" si="2678">AQ789/AQ785</f>
        <v>0.17333333333333337</v>
      </c>
      <c r="AR790" s="359">
        <f t="shared" si="2678"/>
        <v>0.17333333333333337</v>
      </c>
      <c r="AS790" s="359">
        <f t="shared" si="2678"/>
        <v>0.17333333333333337</v>
      </c>
      <c r="AT790" s="359">
        <f t="shared" si="2678"/>
        <v>0.17333333333333337</v>
      </c>
      <c r="AU790" s="359">
        <f t="shared" si="2678"/>
        <v>0.17333333333333337</v>
      </c>
      <c r="AV790" s="359">
        <f t="shared" si="2678"/>
        <v>0.17333333333333337</v>
      </c>
      <c r="AW790" s="359">
        <f t="shared" si="2678"/>
        <v>0.17333333333333337</v>
      </c>
      <c r="AX790" s="359">
        <f t="shared" si="2678"/>
        <v>0.17333333333333337</v>
      </c>
      <c r="AY790" s="359">
        <f t="shared" si="2678"/>
        <v>0.17333333333333337</v>
      </c>
      <c r="AZ790" s="359">
        <f t="shared" si="2678"/>
        <v>0.17333333333333337</v>
      </c>
      <c r="BA790" s="359">
        <f t="shared" si="2678"/>
        <v>0.17333333333333337</v>
      </c>
      <c r="BB790" s="359">
        <f t="shared" si="2678"/>
        <v>0.17333333333333337</v>
      </c>
      <c r="BC790" s="359">
        <f t="shared" si="2678"/>
        <v>0.17333333333333337</v>
      </c>
      <c r="BD790" s="359">
        <f t="shared" si="2678"/>
        <v>0.17333333333333337</v>
      </c>
      <c r="BE790" s="359">
        <f t="shared" si="2678"/>
        <v>0.17333333333333337</v>
      </c>
      <c r="BF790" s="359">
        <f t="shared" si="2678"/>
        <v>0.17333333333333337</v>
      </c>
      <c r="BG790" s="359">
        <f t="shared" si="2678"/>
        <v>0.17333333333333337</v>
      </c>
      <c r="BH790" s="359">
        <f t="shared" si="2678"/>
        <v>0.17333333333333337</v>
      </c>
      <c r="BI790" s="359">
        <f t="shared" si="2678"/>
        <v>0.17333333333333337</v>
      </c>
      <c r="BJ790" s="359">
        <f t="shared" si="2678"/>
        <v>0.17333333333333337</v>
      </c>
      <c r="BK790" s="359">
        <f t="shared" si="2678"/>
        <v>0.17333333333333337</v>
      </c>
      <c r="BL790" s="359">
        <f t="shared" si="2678"/>
        <v>0.17333333333333337</v>
      </c>
      <c r="BM790" s="359">
        <f t="shared" si="2678"/>
        <v>0.17333333333333337</v>
      </c>
      <c r="BN790" s="359">
        <f t="shared" si="2678"/>
        <v>0.17333333333333337</v>
      </c>
      <c r="BO790" s="359">
        <f t="shared" si="2678"/>
        <v>0.17333333333333337</v>
      </c>
      <c r="BP790" s="359">
        <f t="shared" si="2678"/>
        <v>0.17333333333333337</v>
      </c>
      <c r="BQ790" s="359">
        <f t="shared" si="2678"/>
        <v>0.17333333333333337</v>
      </c>
      <c r="BR790" s="359">
        <f t="shared" si="2678"/>
        <v>0.17333333333333337</v>
      </c>
    </row>
    <row r="791" spans="2:70" s="30" customFormat="1" outlineLevel="2">
      <c r="C791" s="84" t="s">
        <v>90</v>
      </c>
      <c r="D791" s="31" t="s">
        <v>58</v>
      </c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V791" s="509"/>
      <c r="Y791" s="179"/>
      <c r="AA791" s="435">
        <v>0</v>
      </c>
      <c r="AB791" s="502">
        <f>AA791</f>
        <v>0</v>
      </c>
      <c r="AC791" s="435">
        <v>0</v>
      </c>
      <c r="AD791" s="435">
        <v>0</v>
      </c>
      <c r="AE791" s="171">
        <f>AC791+AD791</f>
        <v>0</v>
      </c>
      <c r="AF791" s="390">
        <v>0.5</v>
      </c>
      <c r="AG791" s="946">
        <v>0.5</v>
      </c>
      <c r="AH791" s="347">
        <f>AF791+AG791</f>
        <v>1</v>
      </c>
      <c r="AI791" s="435">
        <v>0.5</v>
      </c>
      <c r="AJ791" s="435">
        <f>V792-AI792-AI791</f>
        <v>0.60000000000000009</v>
      </c>
      <c r="AK791" s="347">
        <f>AI791+AJ791</f>
        <v>1.1000000000000001</v>
      </c>
      <c r="AL791" s="435">
        <v>0</v>
      </c>
      <c r="AM791" s="435">
        <v>0</v>
      </c>
      <c r="AN791" s="347">
        <f>AL791+AM791</f>
        <v>0</v>
      </c>
      <c r="AO791" s="435">
        <v>0</v>
      </c>
      <c r="AP791" s="435">
        <v>0</v>
      </c>
      <c r="AQ791" s="347">
        <f>AO791+AP791</f>
        <v>0</v>
      </c>
      <c r="AR791" s="435">
        <v>0</v>
      </c>
      <c r="AS791" s="435">
        <v>0</v>
      </c>
      <c r="AT791" s="347">
        <f>AR791+AS791</f>
        <v>0</v>
      </c>
      <c r="AU791" s="435">
        <v>0</v>
      </c>
      <c r="AV791" s="435">
        <v>0</v>
      </c>
      <c r="AW791" s="347">
        <f>AU791+AV791</f>
        <v>0</v>
      </c>
      <c r="AX791" s="435">
        <v>0</v>
      </c>
      <c r="AY791" s="435">
        <v>0</v>
      </c>
      <c r="AZ791" s="347">
        <f>AX791+AY791</f>
        <v>0</v>
      </c>
      <c r="BA791" s="435">
        <v>0</v>
      </c>
      <c r="BB791" s="435">
        <v>0</v>
      </c>
      <c r="BC791" s="347">
        <f>BA791+BB791</f>
        <v>0</v>
      </c>
      <c r="BD791" s="435">
        <v>0</v>
      </c>
      <c r="BE791" s="435">
        <v>0</v>
      </c>
      <c r="BF791" s="347">
        <f>BD791+BE791</f>
        <v>0</v>
      </c>
      <c r="BG791" s="435">
        <v>0</v>
      </c>
      <c r="BH791" s="435">
        <v>0</v>
      </c>
      <c r="BI791" s="347">
        <f>BG791+BH791</f>
        <v>0</v>
      </c>
      <c r="BJ791" s="435">
        <v>0</v>
      </c>
      <c r="BK791" s="435">
        <v>0</v>
      </c>
      <c r="BL791" s="347">
        <f>BJ791+BK791</f>
        <v>0</v>
      </c>
      <c r="BM791" s="435">
        <v>0</v>
      </c>
      <c r="BN791" s="435">
        <v>0</v>
      </c>
      <c r="BO791" s="347">
        <f>BM791+BN791</f>
        <v>0</v>
      </c>
      <c r="BP791" s="435">
        <v>0</v>
      </c>
      <c r="BQ791" s="435">
        <v>0</v>
      </c>
      <c r="BR791" s="347">
        <f>BP791+BQ791</f>
        <v>0</v>
      </c>
    </row>
    <row r="792" spans="2:70" s="30" customFormat="1" outlineLevel="2">
      <c r="C792" s="84" t="s">
        <v>89</v>
      </c>
      <c r="D792" s="31" t="s">
        <v>58</v>
      </c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V792" s="510">
        <f>V793*V785</f>
        <v>2.1</v>
      </c>
      <c r="Y792" s="176"/>
      <c r="AA792" s="376">
        <f>AA791</f>
        <v>0</v>
      </c>
      <c r="AB792" s="171">
        <f>AA792</f>
        <v>0</v>
      </c>
      <c r="AC792" s="376">
        <f>AC791</f>
        <v>0</v>
      </c>
      <c r="AD792" s="42">
        <f>AA792+AD791</f>
        <v>0</v>
      </c>
      <c r="AE792" s="171">
        <f>AC792+AD792</f>
        <v>0</v>
      </c>
      <c r="AF792" s="376">
        <f>AC792+AF791</f>
        <v>0.5</v>
      </c>
      <c r="AG792" s="1002">
        <f>AD792+AG791</f>
        <v>0.5</v>
      </c>
      <c r="AH792" s="347">
        <f>AF792+AG792</f>
        <v>1</v>
      </c>
      <c r="AI792" s="42">
        <f>AF792+AI791</f>
        <v>1</v>
      </c>
      <c r="AJ792" s="42">
        <f>AG792+AJ791</f>
        <v>1.1000000000000001</v>
      </c>
      <c r="AK792" s="347">
        <f>AI792+AJ792</f>
        <v>2.1</v>
      </c>
      <c r="AL792" s="42">
        <f>AI792+AL791</f>
        <v>1</v>
      </c>
      <c r="AM792" s="42">
        <f>AJ792+AM791</f>
        <v>1.1000000000000001</v>
      </c>
      <c r="AN792" s="347">
        <f>AL792+AM792</f>
        <v>2.1</v>
      </c>
      <c r="AO792" s="42">
        <f>AL792+AO791</f>
        <v>1</v>
      </c>
      <c r="AP792" s="42">
        <f>AM792+AP791</f>
        <v>1.1000000000000001</v>
      </c>
      <c r="AQ792" s="347">
        <f>AO792+AP792</f>
        <v>2.1</v>
      </c>
      <c r="AR792" s="42">
        <f>AO792+AR791</f>
        <v>1</v>
      </c>
      <c r="AS792" s="42">
        <f>AP792+AS791</f>
        <v>1.1000000000000001</v>
      </c>
      <c r="AT792" s="347">
        <f>AR792+AS792</f>
        <v>2.1</v>
      </c>
      <c r="AU792" s="42">
        <f>AR792+AU791</f>
        <v>1</v>
      </c>
      <c r="AV792" s="42">
        <f>AS792+AV791</f>
        <v>1.1000000000000001</v>
      </c>
      <c r="AW792" s="347">
        <f>AU792+AV792</f>
        <v>2.1</v>
      </c>
      <c r="AX792" s="42">
        <f>AU792+AX791</f>
        <v>1</v>
      </c>
      <c r="AY792" s="42">
        <f>AV792+AY791</f>
        <v>1.1000000000000001</v>
      </c>
      <c r="AZ792" s="347">
        <f>AX792+AY792</f>
        <v>2.1</v>
      </c>
      <c r="BA792" s="42">
        <f>AX792+BA791</f>
        <v>1</v>
      </c>
      <c r="BB792" s="42">
        <f>AY792+BB791</f>
        <v>1.1000000000000001</v>
      </c>
      <c r="BC792" s="347">
        <f>BA792+BB792</f>
        <v>2.1</v>
      </c>
      <c r="BD792" s="42">
        <f>BA792+BD791</f>
        <v>1</v>
      </c>
      <c r="BE792" s="42">
        <f>BB792+BE791</f>
        <v>1.1000000000000001</v>
      </c>
      <c r="BF792" s="347">
        <f>BD792+BE792</f>
        <v>2.1</v>
      </c>
      <c r="BG792" s="42">
        <f>BD792+BG791</f>
        <v>1</v>
      </c>
      <c r="BH792" s="42">
        <f>BE792+BH791</f>
        <v>1.1000000000000001</v>
      </c>
      <c r="BI792" s="347">
        <f>BG792+BH792</f>
        <v>2.1</v>
      </c>
      <c r="BJ792" s="42">
        <f>BG792+BJ791</f>
        <v>1</v>
      </c>
      <c r="BK792" s="42">
        <f>BH792+BK791</f>
        <v>1.1000000000000001</v>
      </c>
      <c r="BL792" s="347">
        <f>BJ792+BK792</f>
        <v>2.1</v>
      </c>
      <c r="BM792" s="42">
        <f>BJ792+BM791</f>
        <v>1</v>
      </c>
      <c r="BN792" s="42">
        <f>BK792+BN791</f>
        <v>1.1000000000000001</v>
      </c>
      <c r="BO792" s="347">
        <f>BM792+BN792</f>
        <v>2.1</v>
      </c>
      <c r="BP792" s="42">
        <f>BM792+BP791</f>
        <v>1</v>
      </c>
      <c r="BQ792" s="42">
        <f>BN792+BQ791</f>
        <v>1.1000000000000001</v>
      </c>
      <c r="BR792" s="347">
        <f>BP792+BQ792</f>
        <v>2.1</v>
      </c>
    </row>
    <row r="793" spans="2:70" s="30" customFormat="1" outlineLevel="2">
      <c r="C793" s="84" t="s">
        <v>264</v>
      </c>
      <c r="D793" s="31" t="s">
        <v>66</v>
      </c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V793" s="497">
        <v>0.05</v>
      </c>
      <c r="Y793" s="366"/>
      <c r="AA793" s="41"/>
      <c r="AB793" s="168"/>
      <c r="AC793" s="169"/>
      <c r="AD793" s="88"/>
      <c r="AE793" s="168"/>
      <c r="AF793" s="169"/>
      <c r="AG793" s="1029"/>
      <c r="AI793" s="88"/>
      <c r="AJ793" s="88"/>
      <c r="AL793" s="88"/>
      <c r="AM793" s="88"/>
      <c r="AO793" s="88"/>
      <c r="AP793" s="88"/>
      <c r="AR793" s="88"/>
      <c r="AS793" s="88"/>
      <c r="AU793" s="88"/>
      <c r="AV793" s="88"/>
      <c r="AX793" s="88"/>
      <c r="AY793" s="88"/>
      <c r="BA793" s="88"/>
      <c r="BB793" s="88"/>
      <c r="BD793" s="88"/>
      <c r="BE793" s="88"/>
      <c r="BG793" s="88"/>
      <c r="BH793" s="88"/>
      <c r="BJ793" s="88"/>
      <c r="BK793" s="88"/>
      <c r="BM793" s="88"/>
      <c r="BN793" s="88"/>
      <c r="BP793" s="88"/>
      <c r="BQ793" s="88"/>
    </row>
    <row r="794" spans="2:70" s="30" customFormat="1" outlineLevel="2">
      <c r="C794" s="84" t="s">
        <v>79</v>
      </c>
      <c r="D794" s="31" t="s">
        <v>58</v>
      </c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V794" s="531">
        <f>V795*V783</f>
        <v>9.3800000000000008</v>
      </c>
      <c r="Y794" s="171"/>
      <c r="AA794" s="42">
        <f>AA789+AA792</f>
        <v>3.6400000000000006</v>
      </c>
      <c r="AB794" s="171">
        <f>+AA794+Z794</f>
        <v>3.6400000000000006</v>
      </c>
      <c r="AC794" s="171">
        <f>AC792+AC789</f>
        <v>3.6400000000000006</v>
      </c>
      <c r="AD794" s="347">
        <f>AD792+AD789</f>
        <v>3.6400000000000006</v>
      </c>
      <c r="AE794" s="171">
        <f>AC794+AD794</f>
        <v>7.2800000000000011</v>
      </c>
      <c r="AF794" s="171">
        <f>AF792+AF789</f>
        <v>4.1400000000000006</v>
      </c>
      <c r="AG794" s="937">
        <f>AG792+AG789</f>
        <v>4.1400000000000006</v>
      </c>
      <c r="AH794" s="347">
        <f>AF794+AG794</f>
        <v>8.2800000000000011</v>
      </c>
      <c r="AI794" s="347">
        <f>AI792+AI789</f>
        <v>4.6400000000000006</v>
      </c>
      <c r="AJ794" s="347">
        <f>AJ792+AJ789</f>
        <v>4.74</v>
      </c>
      <c r="AK794" s="347">
        <f>AI794+AJ794</f>
        <v>9.3800000000000008</v>
      </c>
      <c r="AL794" s="347">
        <f>AL792+AL789</f>
        <v>4.6400000000000006</v>
      </c>
      <c r="AM794" s="347">
        <f>AM792+AM789</f>
        <v>4.74</v>
      </c>
      <c r="AN794" s="347">
        <f>AL794+AM794</f>
        <v>9.3800000000000008</v>
      </c>
      <c r="AO794" s="347">
        <f>AO792+AO789</f>
        <v>4.6400000000000006</v>
      </c>
      <c r="AP794" s="347">
        <f>AP792+AP789</f>
        <v>4.74</v>
      </c>
      <c r="AQ794" s="347">
        <f>AO794+AP794</f>
        <v>9.3800000000000008</v>
      </c>
      <c r="AR794" s="347">
        <f>AR792+AR789</f>
        <v>4.6400000000000006</v>
      </c>
      <c r="AS794" s="347">
        <f>AS792+AS789</f>
        <v>4.74</v>
      </c>
      <c r="AT794" s="347">
        <f>AR794+AS794</f>
        <v>9.3800000000000008</v>
      </c>
      <c r="AU794" s="347">
        <f>AU792+AU789</f>
        <v>4.6400000000000006</v>
      </c>
      <c r="AV794" s="347">
        <f>AV792+AV789</f>
        <v>4.74</v>
      </c>
      <c r="AW794" s="347">
        <f>AU794+AV794</f>
        <v>9.3800000000000008</v>
      </c>
      <c r="AX794" s="347">
        <f>AX792+AX789</f>
        <v>4.6400000000000006</v>
      </c>
      <c r="AY794" s="347">
        <f>AY792+AY789</f>
        <v>4.74</v>
      </c>
      <c r="AZ794" s="347">
        <f>AX794+AY794</f>
        <v>9.3800000000000008</v>
      </c>
      <c r="BA794" s="347">
        <f>BA792+BA789</f>
        <v>4.6400000000000006</v>
      </c>
      <c r="BB794" s="347">
        <f>BB792+BB789</f>
        <v>4.74</v>
      </c>
      <c r="BC794" s="347">
        <f>BA794+BB794</f>
        <v>9.3800000000000008</v>
      </c>
      <c r="BD794" s="347">
        <f>BD792+BD789</f>
        <v>4.6400000000000006</v>
      </c>
      <c r="BE794" s="347">
        <f>BE792+BE789</f>
        <v>4.74</v>
      </c>
      <c r="BF794" s="347">
        <f>BD794+BE794</f>
        <v>9.3800000000000008</v>
      </c>
      <c r="BG794" s="347">
        <f>BG792+BG789</f>
        <v>4.6400000000000006</v>
      </c>
      <c r="BH794" s="347">
        <f>BH792+BH789</f>
        <v>4.74</v>
      </c>
      <c r="BI794" s="347">
        <f>BG794+BH794</f>
        <v>9.3800000000000008</v>
      </c>
      <c r="BJ794" s="347">
        <f>BJ792+BJ789</f>
        <v>4.6400000000000006</v>
      </c>
      <c r="BK794" s="347">
        <f>BK792+BK789</f>
        <v>4.74</v>
      </c>
      <c r="BL794" s="347">
        <f>BJ794+BK794</f>
        <v>9.3800000000000008</v>
      </c>
      <c r="BM794" s="347">
        <f>BM792+BM789</f>
        <v>4.6400000000000006</v>
      </c>
      <c r="BN794" s="347">
        <f>BN792+BN789</f>
        <v>4.74</v>
      </c>
      <c r="BO794" s="347">
        <f>BM794+BN794</f>
        <v>9.3800000000000008</v>
      </c>
      <c r="BP794" s="347">
        <f>BP792+BP789</f>
        <v>4.6400000000000006</v>
      </c>
      <c r="BQ794" s="347">
        <f>BQ792+BQ789</f>
        <v>4.74</v>
      </c>
      <c r="BR794" s="347">
        <f>BP794+BQ794</f>
        <v>9.3800000000000008</v>
      </c>
    </row>
    <row r="795" spans="2:70" s="30" customFormat="1" outlineLevel="2">
      <c r="C795" s="84" t="s">
        <v>75</v>
      </c>
      <c r="D795" s="31" t="s">
        <v>66</v>
      </c>
      <c r="V795" s="532">
        <v>0.2</v>
      </c>
      <c r="Y795" s="365"/>
      <c r="AA795" s="162">
        <f>AA794/$V$783*2</f>
        <v>0.15522388059701495</v>
      </c>
      <c r="AB795" s="162">
        <f>AB794/$V$783</f>
        <v>7.7611940298507473E-2</v>
      </c>
      <c r="AC795" s="162">
        <f>AC794/$V$783*2</f>
        <v>0.15522388059701495</v>
      </c>
      <c r="AD795" s="162">
        <f>AD794/$V$783*2</f>
        <v>0.15522388059701495</v>
      </c>
      <c r="AE795" s="162">
        <f>AE794/$V$783</f>
        <v>0.15522388059701495</v>
      </c>
      <c r="AF795" s="162">
        <f>AF794/$V$783*2</f>
        <v>0.17654584221748404</v>
      </c>
      <c r="AG795" s="984">
        <f>AG794/$V$783*2</f>
        <v>0.17654584221748404</v>
      </c>
      <c r="AH795" s="162">
        <f>AH794/$V$783</f>
        <v>0.17654584221748404</v>
      </c>
      <c r="AI795" s="162">
        <f>AI794/$V$783*2</f>
        <v>0.19786780383795313</v>
      </c>
      <c r="AJ795" s="162">
        <f>AJ794/$V$783*2</f>
        <v>0.20213219616204692</v>
      </c>
      <c r="AK795" s="162">
        <f>AK794/$V$783</f>
        <v>0.2</v>
      </c>
      <c r="AL795" s="162">
        <f>AL794/$V$783*2</f>
        <v>0.19786780383795313</v>
      </c>
      <c r="AM795" s="162">
        <f>AM794/$V$783*2</f>
        <v>0.20213219616204692</v>
      </c>
      <c r="AN795" s="162">
        <f>AN794/$V$783</f>
        <v>0.2</v>
      </c>
      <c r="AO795" s="162">
        <f>AO794/$V$783*2</f>
        <v>0.19786780383795313</v>
      </c>
      <c r="AP795" s="162">
        <f>AP794/$V$783*2</f>
        <v>0.20213219616204692</v>
      </c>
      <c r="AQ795" s="162">
        <f>AQ794/$V$783</f>
        <v>0.2</v>
      </c>
      <c r="AR795" s="162">
        <f>AR794/$V$783*2</f>
        <v>0.19786780383795313</v>
      </c>
      <c r="AS795" s="162">
        <f>AS794/$V$783*2</f>
        <v>0.20213219616204692</v>
      </c>
      <c r="AT795" s="162">
        <f>AT794/$V$783</f>
        <v>0.2</v>
      </c>
      <c r="AU795" s="162">
        <f>AU794/$V$783*2</f>
        <v>0.19786780383795313</v>
      </c>
      <c r="AV795" s="162">
        <f>AV794/$V$783*2</f>
        <v>0.20213219616204692</v>
      </c>
      <c r="AW795" s="162">
        <f>AW794/$V$783</f>
        <v>0.2</v>
      </c>
      <c r="AX795" s="162">
        <f>AX794/$V$783*2</f>
        <v>0.19786780383795313</v>
      </c>
      <c r="AY795" s="162">
        <f>AY794/$V$783*2</f>
        <v>0.20213219616204692</v>
      </c>
      <c r="AZ795" s="162">
        <f>AZ794/$V$783</f>
        <v>0.2</v>
      </c>
      <c r="BA795" s="162">
        <f>BA794/$V$783*2</f>
        <v>0.19786780383795313</v>
      </c>
      <c r="BB795" s="162">
        <f>BB794/$V$783*2</f>
        <v>0.20213219616204692</v>
      </c>
      <c r="BC795" s="162">
        <f>BC794/$V$783</f>
        <v>0.2</v>
      </c>
      <c r="BD795" s="162">
        <f>BD794/$V$783*2</f>
        <v>0.19786780383795313</v>
      </c>
      <c r="BE795" s="162">
        <f>BE794/$V$783*2</f>
        <v>0.20213219616204692</v>
      </c>
      <c r="BF795" s="162">
        <f>BF794/$V$783</f>
        <v>0.2</v>
      </c>
      <c r="BG795" s="162">
        <f>BG794/$V$783*2</f>
        <v>0.19786780383795313</v>
      </c>
      <c r="BH795" s="162">
        <f>BH794/$V$783*2</f>
        <v>0.20213219616204692</v>
      </c>
      <c r="BI795" s="162">
        <f>BI794/$V$783</f>
        <v>0.2</v>
      </c>
      <c r="BJ795" s="162">
        <f>BJ794/$V$783*2</f>
        <v>0.19786780383795313</v>
      </c>
      <c r="BK795" s="162">
        <f>BK794/$V$783*2</f>
        <v>0.20213219616204692</v>
      </c>
      <c r="BL795" s="162">
        <f>BL794/$V$783</f>
        <v>0.2</v>
      </c>
      <c r="BM795" s="162">
        <f>BM794/$V$783*2</f>
        <v>0.19786780383795313</v>
      </c>
      <c r="BN795" s="162">
        <f>BN794/$V$783*2</f>
        <v>0.20213219616204692</v>
      </c>
      <c r="BO795" s="162">
        <f>BO794/$V$783</f>
        <v>0.2</v>
      </c>
      <c r="BP795" s="162">
        <f>BP794/$V$783*2</f>
        <v>0.19786780383795313</v>
      </c>
      <c r="BQ795" s="162">
        <f>BQ794/$V$783*2</f>
        <v>0.20213219616204692</v>
      </c>
      <c r="BR795" s="162">
        <f>BR794/$V$783</f>
        <v>0.2</v>
      </c>
    </row>
    <row r="796" spans="2:70" s="30" customFormat="1" outlineLevel="2">
      <c r="C796" s="84" t="s">
        <v>57</v>
      </c>
      <c r="D796" s="7" t="s">
        <v>85</v>
      </c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Y796" s="39"/>
      <c r="AA796" s="347">
        <f t="shared" ref="AA796:AN796" si="2679">AA794/AA$259</f>
        <v>3.2639482200647256</v>
      </c>
      <c r="AB796" s="347">
        <f t="shared" si="2679"/>
        <v>3.2802857520836093</v>
      </c>
      <c r="AC796" s="347">
        <f t="shared" si="2679"/>
        <v>3.3179624664879359</v>
      </c>
      <c r="AD796" s="347">
        <f t="shared" si="2679"/>
        <v>3.3625943942552707</v>
      </c>
      <c r="AE796" s="171">
        <f t="shared" si="2679"/>
        <v>6.6838126009693051</v>
      </c>
      <c r="AF796" s="171">
        <f t="shared" si="2679"/>
        <v>3.5202520161290325</v>
      </c>
      <c r="AG796" s="937">
        <f t="shared" si="2679"/>
        <v>3.4936708860759498</v>
      </c>
      <c r="AH796" s="347">
        <f t="shared" si="2679"/>
        <v>7.0138221659287581</v>
      </c>
      <c r="AI796" s="171">
        <f t="shared" si="2679"/>
        <v>4.0524017467248914</v>
      </c>
      <c r="AJ796" s="171">
        <f t="shared" si="2679"/>
        <v>3.9173553719008267</v>
      </c>
      <c r="AK796" s="171">
        <f t="shared" si="2679"/>
        <v>7.9660297239915083</v>
      </c>
      <c r="AL796" s="171">
        <f t="shared" si="2679"/>
        <v>3.7120000000000006</v>
      </c>
      <c r="AM796" s="347">
        <f t="shared" si="2679"/>
        <v>3.7920000000000003</v>
      </c>
      <c r="AN796" s="347">
        <f t="shared" si="2679"/>
        <v>7.5040000000000004</v>
      </c>
      <c r="AO796" s="171">
        <f t="shared" ref="AO796:BR796" si="2680">AO794/AO$259</f>
        <v>3.7120000000000006</v>
      </c>
      <c r="AP796" s="347">
        <f t="shared" si="2680"/>
        <v>3.7920000000000003</v>
      </c>
      <c r="AQ796" s="347">
        <f t="shared" si="2680"/>
        <v>7.5040000000000004</v>
      </c>
      <c r="AR796" s="171">
        <f t="shared" si="2680"/>
        <v>3.7120000000000006</v>
      </c>
      <c r="AS796" s="347">
        <f t="shared" si="2680"/>
        <v>3.7920000000000003</v>
      </c>
      <c r="AT796" s="347">
        <f t="shared" si="2680"/>
        <v>7.5040000000000004</v>
      </c>
      <c r="AU796" s="171">
        <f t="shared" si="2680"/>
        <v>3.7120000000000006</v>
      </c>
      <c r="AV796" s="347">
        <f t="shared" si="2680"/>
        <v>3.7920000000000003</v>
      </c>
      <c r="AW796" s="347">
        <f t="shared" si="2680"/>
        <v>7.5040000000000004</v>
      </c>
      <c r="AX796" s="171">
        <f t="shared" si="2680"/>
        <v>3.7120000000000006</v>
      </c>
      <c r="AY796" s="347">
        <f t="shared" si="2680"/>
        <v>3.7920000000000003</v>
      </c>
      <c r="AZ796" s="347">
        <f t="shared" si="2680"/>
        <v>7.5040000000000004</v>
      </c>
      <c r="BA796" s="171">
        <f t="shared" si="2680"/>
        <v>3.7120000000000006</v>
      </c>
      <c r="BB796" s="347">
        <f t="shared" si="2680"/>
        <v>3.7920000000000003</v>
      </c>
      <c r="BC796" s="347">
        <f t="shared" si="2680"/>
        <v>7.5040000000000004</v>
      </c>
      <c r="BD796" s="171">
        <f t="shared" si="2680"/>
        <v>3.7120000000000006</v>
      </c>
      <c r="BE796" s="347">
        <f t="shared" si="2680"/>
        <v>3.7920000000000003</v>
      </c>
      <c r="BF796" s="347">
        <f t="shared" si="2680"/>
        <v>7.5040000000000004</v>
      </c>
      <c r="BG796" s="171">
        <f t="shared" si="2680"/>
        <v>3.7120000000000006</v>
      </c>
      <c r="BH796" s="347">
        <f t="shared" si="2680"/>
        <v>3.7920000000000003</v>
      </c>
      <c r="BI796" s="347">
        <f t="shared" si="2680"/>
        <v>7.5040000000000004</v>
      </c>
      <c r="BJ796" s="171">
        <f t="shared" si="2680"/>
        <v>3.7120000000000006</v>
      </c>
      <c r="BK796" s="347">
        <f t="shared" si="2680"/>
        <v>3.7920000000000003</v>
      </c>
      <c r="BL796" s="347">
        <f t="shared" si="2680"/>
        <v>7.5040000000000004</v>
      </c>
      <c r="BM796" s="171">
        <f t="shared" si="2680"/>
        <v>3.7120000000000006</v>
      </c>
      <c r="BN796" s="347">
        <f t="shared" si="2680"/>
        <v>3.7920000000000003</v>
      </c>
      <c r="BO796" s="347">
        <f t="shared" si="2680"/>
        <v>7.5040000000000004</v>
      </c>
      <c r="BP796" s="171">
        <f t="shared" si="2680"/>
        <v>3.7120000000000006</v>
      </c>
      <c r="BQ796" s="347">
        <f t="shared" si="2680"/>
        <v>3.7920000000000003</v>
      </c>
      <c r="BR796" s="347">
        <f t="shared" si="2680"/>
        <v>7.5040000000000004</v>
      </c>
    </row>
    <row r="797" spans="2:70" outlineLevel="2">
      <c r="B797" s="5"/>
      <c r="C797" s="511" t="s">
        <v>267</v>
      </c>
      <c r="D797" s="512" t="s">
        <v>85</v>
      </c>
      <c r="E797" s="512"/>
      <c r="F797" s="512"/>
      <c r="G797" s="512"/>
      <c r="H797" s="512"/>
      <c r="I797" s="512"/>
      <c r="J797" s="512"/>
      <c r="K797" s="512"/>
      <c r="L797" s="512"/>
      <c r="M797" s="512"/>
      <c r="N797" s="512"/>
      <c r="O797" s="512"/>
      <c r="P797" s="513"/>
      <c r="Q797" s="513"/>
      <c r="R797" s="513"/>
      <c r="S797" s="513"/>
      <c r="T797" s="513"/>
      <c r="U797" s="513"/>
      <c r="V797" s="513"/>
      <c r="W797" s="513"/>
      <c r="X797" s="513"/>
      <c r="Y797" s="513"/>
      <c r="Z797" s="523"/>
      <c r="AA797" s="514">
        <f>(AA785-X785)/AA259</f>
        <v>18.830470500373416</v>
      </c>
      <c r="AB797" s="514">
        <f>Z797+AA797</f>
        <v>18.830470500373416</v>
      </c>
      <c r="AC797" s="514">
        <f>(AC785-Z785)/AC259</f>
        <v>19.142091152815013</v>
      </c>
      <c r="AD797" s="514">
        <f>(AD785-AA785)/AD259</f>
        <v>0</v>
      </c>
      <c r="AE797" s="514">
        <f>AC797+AD797</f>
        <v>19.142091152815013</v>
      </c>
      <c r="AF797" s="514">
        <f>(AF785-AC785)/AF259</f>
        <v>0</v>
      </c>
      <c r="AG797" s="1020">
        <f>(AG785-AD785)/AG259</f>
        <v>0</v>
      </c>
      <c r="AH797" s="514">
        <f>AF797+AG797</f>
        <v>0</v>
      </c>
      <c r="AI797" s="514">
        <f>(AI785-AF785)/AI259</f>
        <v>0</v>
      </c>
      <c r="AJ797" s="514">
        <f>(AJ785-AG785)/AJ259</f>
        <v>0</v>
      </c>
      <c r="AK797" s="514">
        <f t="shared" ref="AK797:AK799" si="2681">AI797+AJ797</f>
        <v>0</v>
      </c>
      <c r="AL797" s="514">
        <f>(AL785-AI785)/AL259</f>
        <v>0</v>
      </c>
      <c r="AM797" s="514">
        <f>(AM785-AJ785)/AM259</f>
        <v>0</v>
      </c>
      <c r="AN797" s="514">
        <f t="shared" ref="AN797:AN799" si="2682">AL797+AM797</f>
        <v>0</v>
      </c>
      <c r="AO797" s="514">
        <f>(AO785-AL785)/AO259</f>
        <v>0</v>
      </c>
      <c r="AP797" s="514">
        <f>(AP785-AM785)/AP259</f>
        <v>0</v>
      </c>
      <c r="AQ797" s="514">
        <f t="shared" ref="AQ797:AQ799" si="2683">AO797+AP797</f>
        <v>0</v>
      </c>
      <c r="AR797" s="514">
        <f>(AR785-AO785)/AR259</f>
        <v>0</v>
      </c>
      <c r="AS797" s="514">
        <f>(AS785-AP785)/AS259</f>
        <v>0</v>
      </c>
      <c r="AT797" s="514">
        <f t="shared" ref="AT797:AT799" si="2684">AR797+AS797</f>
        <v>0</v>
      </c>
      <c r="AU797" s="514">
        <f>(AU785-AR785)/AU259</f>
        <v>0</v>
      </c>
      <c r="AV797" s="514">
        <f>(AV785-AS785)/AV259</f>
        <v>0</v>
      </c>
      <c r="AW797" s="514">
        <f t="shared" ref="AW797:AW799" si="2685">AU797+AV797</f>
        <v>0</v>
      </c>
      <c r="AX797" s="514">
        <f>(AX785-AU785)/AX259</f>
        <v>0</v>
      </c>
      <c r="AY797" s="514">
        <f>(AY785-AV785)/AY259</f>
        <v>0</v>
      </c>
      <c r="AZ797" s="514">
        <f t="shared" ref="AZ797:AZ799" si="2686">AX797+AY797</f>
        <v>0</v>
      </c>
      <c r="BA797" s="514">
        <f>(BA785-AX785)/BA259</f>
        <v>0</v>
      </c>
      <c r="BB797" s="514">
        <f>(BB785-AY785)/BB259</f>
        <v>0</v>
      </c>
      <c r="BC797" s="514">
        <f t="shared" ref="BC797:BC799" si="2687">BA797+BB797</f>
        <v>0</v>
      </c>
      <c r="BD797" s="514">
        <f>(BD785-BA785)/BD259</f>
        <v>0</v>
      </c>
      <c r="BE797" s="514">
        <f>(BE785-BB785)/BE259</f>
        <v>0</v>
      </c>
      <c r="BF797" s="514">
        <f t="shared" ref="BF797:BF799" si="2688">BD797+BE797</f>
        <v>0</v>
      </c>
      <c r="BG797" s="514">
        <f>(BG785-BD785)/BG259</f>
        <v>0</v>
      </c>
      <c r="BH797" s="514">
        <f>(BH785-BE785)/BH259</f>
        <v>0</v>
      </c>
      <c r="BI797" s="514">
        <f t="shared" ref="BI797:BI799" si="2689">BG797+BH797</f>
        <v>0</v>
      </c>
      <c r="BJ797" s="514">
        <f>(BJ785-BG785)/BJ259</f>
        <v>0</v>
      </c>
      <c r="BK797" s="514">
        <f>(BK785-BH785)/BK259</f>
        <v>0</v>
      </c>
      <c r="BL797" s="514">
        <f t="shared" ref="BL797:BL799" si="2690">BJ797+BK797</f>
        <v>0</v>
      </c>
      <c r="BM797" s="514">
        <f>(BM785-BJ785)/BM259</f>
        <v>0</v>
      </c>
      <c r="BN797" s="514">
        <f>(BN785-BK785)/BN259</f>
        <v>0</v>
      </c>
      <c r="BO797" s="514">
        <f t="shared" ref="BO797:BO799" si="2691">BM797+BN797</f>
        <v>0</v>
      </c>
      <c r="BP797" s="514">
        <f>(BP785-BM785)/BP259</f>
        <v>0</v>
      </c>
      <c r="BQ797" s="514">
        <f>(BQ785-BN785)/BQ259</f>
        <v>0</v>
      </c>
      <c r="BR797" s="515">
        <f t="shared" ref="BR797:BR799" si="2692">BP797+BQ797</f>
        <v>0</v>
      </c>
    </row>
    <row r="798" spans="2:70" outlineLevel="2">
      <c r="B798" s="5"/>
      <c r="C798" s="516" t="s">
        <v>268</v>
      </c>
      <c r="D798" s="401" t="s">
        <v>85</v>
      </c>
      <c r="E798" s="401"/>
      <c r="F798" s="401"/>
      <c r="G798" s="401"/>
      <c r="H798" s="401"/>
      <c r="I798" s="401"/>
      <c r="J798" s="401"/>
      <c r="K798" s="401"/>
      <c r="L798" s="401"/>
      <c r="M798" s="401"/>
      <c r="N798" s="401"/>
      <c r="O798" s="401"/>
      <c r="P798" s="130"/>
      <c r="Q798" s="130"/>
      <c r="R798" s="130"/>
      <c r="S798" s="130"/>
      <c r="T798" s="130"/>
      <c r="U798" s="130"/>
      <c r="V798" s="130"/>
      <c r="W798" s="130"/>
      <c r="X798" s="130"/>
      <c r="Y798" s="130"/>
      <c r="Z798" s="176"/>
      <c r="AA798" s="171">
        <f>(AA788-X788)/AA259</f>
        <v>-0.44834453572317656</v>
      </c>
      <c r="AB798" s="171">
        <f>Z798+AA798</f>
        <v>-0.44834453572317656</v>
      </c>
      <c r="AC798" s="171">
        <f>(AC788-Z788)/AC259</f>
        <v>-0.4557640750670241</v>
      </c>
      <c r="AD798" s="171">
        <f>(AD788-AA788)/AD259</f>
        <v>0</v>
      </c>
      <c r="AE798" s="171">
        <f>AC798+AD798</f>
        <v>-0.4557640750670241</v>
      </c>
      <c r="AF798" s="171">
        <f>(AF788-AC788)/AF259</f>
        <v>0</v>
      </c>
      <c r="AG798" s="937">
        <f>(AG788-AD788)/AG259</f>
        <v>0</v>
      </c>
      <c r="AH798" s="171">
        <f>AF798+AG798</f>
        <v>0</v>
      </c>
      <c r="AI798" s="171">
        <f>(AI788-AF788)/AI259</f>
        <v>0</v>
      </c>
      <c r="AJ798" s="171">
        <f>(AJ788-AG788)/AJ259</f>
        <v>0</v>
      </c>
      <c r="AK798" s="171">
        <f t="shared" si="2681"/>
        <v>0</v>
      </c>
      <c r="AL798" s="171">
        <f>(AL788-AI788)/AL259</f>
        <v>0</v>
      </c>
      <c r="AM798" s="171">
        <f>(AM788-AJ788)/AM259</f>
        <v>0</v>
      </c>
      <c r="AN798" s="171">
        <f t="shared" si="2682"/>
        <v>0</v>
      </c>
      <c r="AO798" s="171">
        <f>(AO788-AL788)/AO259</f>
        <v>0</v>
      </c>
      <c r="AP798" s="171">
        <f>(AP788-AM788)/AP259</f>
        <v>0</v>
      </c>
      <c r="AQ798" s="171">
        <f t="shared" si="2683"/>
        <v>0</v>
      </c>
      <c r="AR798" s="171">
        <f>(AR788-AO788)/AR259</f>
        <v>0</v>
      </c>
      <c r="AS798" s="171">
        <f>(AS788-AP788)/AS259</f>
        <v>0</v>
      </c>
      <c r="AT798" s="171">
        <f t="shared" si="2684"/>
        <v>0</v>
      </c>
      <c r="AU798" s="171">
        <f>(AU788-AR788)/AU259</f>
        <v>0</v>
      </c>
      <c r="AV798" s="171">
        <f>(AV788-AS788)/AV259</f>
        <v>0</v>
      </c>
      <c r="AW798" s="171">
        <f t="shared" si="2685"/>
        <v>0</v>
      </c>
      <c r="AX798" s="171">
        <f>(AX788-AU788)/AX259</f>
        <v>0</v>
      </c>
      <c r="AY798" s="171">
        <f>(AY788-AV788)/AY259</f>
        <v>0</v>
      </c>
      <c r="AZ798" s="171">
        <f t="shared" si="2686"/>
        <v>0</v>
      </c>
      <c r="BA798" s="171">
        <f>(BA788-AX788)/BA259</f>
        <v>0</v>
      </c>
      <c r="BB798" s="171">
        <f>(BB788-AY788)/BB259</f>
        <v>0</v>
      </c>
      <c r="BC798" s="171">
        <f t="shared" si="2687"/>
        <v>0</v>
      </c>
      <c r="BD798" s="171">
        <f>(BD788-BA788)/BD259</f>
        <v>0</v>
      </c>
      <c r="BE798" s="171">
        <f>(BE788-BB788)/BE259</f>
        <v>0</v>
      </c>
      <c r="BF798" s="171">
        <f t="shared" si="2688"/>
        <v>0</v>
      </c>
      <c r="BG798" s="171">
        <f>(BG788-BD788)/BG259</f>
        <v>0</v>
      </c>
      <c r="BH798" s="171">
        <f>(BH788-BE788)/BH259</f>
        <v>0</v>
      </c>
      <c r="BI798" s="171">
        <f t="shared" si="2689"/>
        <v>0</v>
      </c>
      <c r="BJ798" s="171">
        <f>(BJ788-BG788)/BJ259</f>
        <v>0</v>
      </c>
      <c r="BK798" s="171">
        <f>(BK788-BH788)/BK259</f>
        <v>0</v>
      </c>
      <c r="BL798" s="171">
        <f t="shared" si="2690"/>
        <v>0</v>
      </c>
      <c r="BM798" s="171">
        <f>(BM788-BJ788)/BM259</f>
        <v>0</v>
      </c>
      <c r="BN798" s="171">
        <f>(BN788-BK788)/BN259</f>
        <v>0</v>
      </c>
      <c r="BO798" s="171">
        <f t="shared" si="2691"/>
        <v>0</v>
      </c>
      <c r="BP798" s="171">
        <f>(BP788-BM788)/BP259</f>
        <v>0</v>
      </c>
      <c r="BQ798" s="171">
        <f>(BQ788-BN788)/BQ259</f>
        <v>0</v>
      </c>
      <c r="BR798" s="517">
        <f t="shared" si="2692"/>
        <v>0</v>
      </c>
    </row>
    <row r="799" spans="2:70" outlineLevel="2">
      <c r="B799" s="5"/>
      <c r="C799" s="518" t="s">
        <v>269</v>
      </c>
      <c r="D799" s="519" t="s">
        <v>85</v>
      </c>
      <c r="E799" s="519"/>
      <c r="F799" s="519"/>
      <c r="G799" s="519"/>
      <c r="H799" s="519"/>
      <c r="I799" s="519"/>
      <c r="J799" s="519"/>
      <c r="K799" s="519"/>
      <c r="L799" s="519"/>
      <c r="M799" s="519"/>
      <c r="N799" s="519"/>
      <c r="O799" s="519"/>
      <c r="P799" s="520"/>
      <c r="Q799" s="520"/>
      <c r="R799" s="520"/>
      <c r="S799" s="520"/>
      <c r="T799" s="520"/>
      <c r="U799" s="520"/>
      <c r="V799" s="520"/>
      <c r="W799" s="520"/>
      <c r="X799" s="520"/>
      <c r="Y799" s="520"/>
      <c r="Z799" s="524"/>
      <c r="AA799" s="521">
        <f>+AA796-X796</f>
        <v>3.2639482200647256</v>
      </c>
      <c r="AB799" s="521">
        <f>Z799+AA799</f>
        <v>3.2639482200647256</v>
      </c>
      <c r="AC799" s="521">
        <f>(AC796-Z796)/AC259</f>
        <v>3.0244161892919519</v>
      </c>
      <c r="AD799" s="521">
        <f>(AD794-AA794)/AD259</f>
        <v>0</v>
      </c>
      <c r="AE799" s="521">
        <f>AC799+AD799</f>
        <v>3.0244161892919519</v>
      </c>
      <c r="AF799" s="521">
        <f>(AF796-AC796)/AF259</f>
        <v>0.17200729347002516</v>
      </c>
      <c r="AG799" s="1021">
        <f>(AG794-AD794)/AG259</f>
        <v>0.42194092827004215</v>
      </c>
      <c r="AH799" s="521">
        <f>AF799+AG799</f>
        <v>0.59394822174006734</v>
      </c>
      <c r="AI799" s="521">
        <f>(AI796-AF796)/AI259</f>
        <v>0.46475959004005146</v>
      </c>
      <c r="AJ799" s="521">
        <f>(AJ794-AG794)/AJ259</f>
        <v>0.49586776859504106</v>
      </c>
      <c r="AK799" s="521">
        <f t="shared" si="2681"/>
        <v>0.96062735863509252</v>
      </c>
      <c r="AL799" s="521">
        <f>(AL796-AI796)/AL259</f>
        <v>-0.27232139737991262</v>
      </c>
      <c r="AM799" s="521">
        <f>(AM794-AJ794)/AM259</f>
        <v>0</v>
      </c>
      <c r="AN799" s="521">
        <f t="shared" si="2682"/>
        <v>-0.27232139737991262</v>
      </c>
      <c r="AO799" s="521">
        <f>(AO796-AL796)/AO259</f>
        <v>0</v>
      </c>
      <c r="AP799" s="521">
        <f>(AP794-AM794)/AP259</f>
        <v>0</v>
      </c>
      <c r="AQ799" s="521">
        <f t="shared" si="2683"/>
        <v>0</v>
      </c>
      <c r="AR799" s="521">
        <f>(AR796-AO796)/AR259</f>
        <v>0</v>
      </c>
      <c r="AS799" s="521">
        <f>(AS794-AP794)/AS259</f>
        <v>0</v>
      </c>
      <c r="AT799" s="521">
        <f t="shared" si="2684"/>
        <v>0</v>
      </c>
      <c r="AU799" s="521">
        <f>(AU796-AR796)/AU259</f>
        <v>0</v>
      </c>
      <c r="AV799" s="521">
        <f>(AV794-AS794)/AV259</f>
        <v>0</v>
      </c>
      <c r="AW799" s="521">
        <f t="shared" si="2685"/>
        <v>0</v>
      </c>
      <c r="AX799" s="521">
        <f>(AX796-AU796)/AX259</f>
        <v>0</v>
      </c>
      <c r="AY799" s="521">
        <f>(AY794-AV794)/AY259</f>
        <v>0</v>
      </c>
      <c r="AZ799" s="521">
        <f t="shared" si="2686"/>
        <v>0</v>
      </c>
      <c r="BA799" s="521">
        <f>(BA796-AX796)/BA259</f>
        <v>0</v>
      </c>
      <c r="BB799" s="521">
        <f>(BB794-AY794)/BB259</f>
        <v>0</v>
      </c>
      <c r="BC799" s="521">
        <f t="shared" si="2687"/>
        <v>0</v>
      </c>
      <c r="BD799" s="521">
        <f>(BD796-BA796)/BD259</f>
        <v>0</v>
      </c>
      <c r="BE799" s="521">
        <f>(BE794-BB794)/BE259</f>
        <v>0</v>
      </c>
      <c r="BF799" s="521">
        <f t="shared" si="2688"/>
        <v>0</v>
      </c>
      <c r="BG799" s="521">
        <f>(BG796-BD796)/BG259</f>
        <v>0</v>
      </c>
      <c r="BH799" s="521">
        <f>(BH794-BE794)/BH259</f>
        <v>0</v>
      </c>
      <c r="BI799" s="521">
        <f t="shared" si="2689"/>
        <v>0</v>
      </c>
      <c r="BJ799" s="521">
        <f>(BJ796-BG796)/BJ259</f>
        <v>0</v>
      </c>
      <c r="BK799" s="521">
        <f>(BK794-BH794)/BK259</f>
        <v>0</v>
      </c>
      <c r="BL799" s="521">
        <f t="shared" si="2690"/>
        <v>0</v>
      </c>
      <c r="BM799" s="521">
        <f>(BM796-BJ796)/BM259</f>
        <v>0</v>
      </c>
      <c r="BN799" s="521">
        <f>(BN794-BK794)/BN259</f>
        <v>0</v>
      </c>
      <c r="BO799" s="521">
        <f t="shared" si="2691"/>
        <v>0</v>
      </c>
      <c r="BP799" s="521">
        <f>(BP796-BM796)/BP259</f>
        <v>0</v>
      </c>
      <c r="BQ799" s="521">
        <f>(BQ794-BN794)/BQ259</f>
        <v>0</v>
      </c>
      <c r="BR799" s="522">
        <f t="shared" si="2692"/>
        <v>0</v>
      </c>
    </row>
    <row r="800" spans="2:70" outlineLevel="2">
      <c r="B800" s="5"/>
      <c r="AI800" s="130"/>
      <c r="AJ800" s="130"/>
      <c r="AK800" s="130"/>
      <c r="AL800" s="130"/>
      <c r="AO800" s="130"/>
      <c r="AR800" s="130"/>
      <c r="AU800" s="130"/>
      <c r="AX800" s="130"/>
      <c r="BA800" s="130"/>
      <c r="BD800" s="130"/>
      <c r="BG800" s="130"/>
      <c r="BJ800" s="130"/>
      <c r="BM800" s="130"/>
      <c r="BP800" s="130"/>
    </row>
    <row r="801" spans="2:70" outlineLevel="2">
      <c r="B801" s="5"/>
      <c r="C801" s="8" t="s">
        <v>528</v>
      </c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AF801" s="26"/>
      <c r="AG801" s="933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8"/>
      <c r="BC801" s="18"/>
      <c r="BD801" s="18"/>
      <c r="BE801" s="18"/>
      <c r="BF801" s="18"/>
      <c r="BG801" s="18"/>
      <c r="BH801" s="18"/>
      <c r="BI801" s="18"/>
      <c r="BJ801" s="18"/>
      <c r="BK801" s="18"/>
      <c r="BL801" s="18"/>
      <c r="BM801" s="18"/>
      <c r="BN801" s="18"/>
      <c r="BO801" s="18"/>
      <c r="BP801" s="18"/>
      <c r="BQ801" s="18"/>
      <c r="BR801" s="18"/>
    </row>
    <row r="802" spans="2:70" outlineLevel="2">
      <c r="B802" s="5"/>
      <c r="C802" s="6" t="s">
        <v>266</v>
      </c>
      <c r="D802" s="31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V802" s="716" t="s">
        <v>82</v>
      </c>
      <c r="Z802" s="130"/>
      <c r="AA802" s="130"/>
      <c r="AB802" s="130"/>
      <c r="AC802" s="130"/>
      <c r="AD802" s="130"/>
      <c r="AH802" s="130"/>
      <c r="AI802" s="130"/>
      <c r="AJ802" s="26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8"/>
      <c r="BC802" s="18"/>
      <c r="BD802" s="18"/>
      <c r="BE802" s="18"/>
      <c r="BF802" s="18"/>
      <c r="BG802" s="18"/>
      <c r="BH802" s="18"/>
      <c r="BI802" s="18"/>
      <c r="BJ802" s="18"/>
      <c r="BK802" s="18"/>
      <c r="BL802" s="18"/>
      <c r="BM802" s="18"/>
      <c r="BN802" s="18"/>
      <c r="BO802" s="18"/>
      <c r="BP802" s="18"/>
      <c r="BQ802" s="18"/>
      <c r="BR802" s="18"/>
    </row>
    <row r="803" spans="2:70" outlineLevel="2">
      <c r="B803" s="5"/>
      <c r="C803" s="6" t="s">
        <v>262</v>
      </c>
      <c r="D803" s="74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V803" s="702">
        <v>42248</v>
      </c>
      <c r="Z803" s="357"/>
      <c r="AA803" s="130"/>
      <c r="AB803" s="130"/>
      <c r="AC803" s="130"/>
      <c r="AD803" s="130"/>
      <c r="AH803" s="130"/>
      <c r="AI803" s="130"/>
      <c r="AJ803" s="26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8"/>
      <c r="BC803" s="18"/>
      <c r="BD803" s="18"/>
      <c r="BE803" s="18"/>
      <c r="BF803" s="18"/>
      <c r="BG803" s="18"/>
      <c r="BH803" s="18"/>
      <c r="BI803" s="18"/>
      <c r="BJ803" s="18"/>
      <c r="BK803" s="18"/>
      <c r="BL803" s="18"/>
      <c r="BM803" s="18"/>
      <c r="BN803" s="18"/>
      <c r="BO803" s="18"/>
      <c r="BP803" s="18"/>
      <c r="BQ803" s="18"/>
      <c r="BR803" s="18"/>
    </row>
    <row r="804" spans="2:70" outlineLevel="2">
      <c r="B804" s="5"/>
      <c r="C804" s="30" t="s">
        <v>72</v>
      </c>
      <c r="D804" s="31" t="s">
        <v>530</v>
      </c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V804" s="703">
        <v>98</v>
      </c>
      <c r="Z804" s="358"/>
      <c r="AA804" s="130"/>
      <c r="AB804" s="130"/>
      <c r="AC804" s="130"/>
      <c r="AD804" s="130"/>
      <c r="AH804" s="130"/>
      <c r="AI804" s="130"/>
      <c r="AJ804" s="26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8"/>
      <c r="BC804" s="18"/>
      <c r="BD804" s="18"/>
      <c r="BE804" s="18"/>
      <c r="BF804" s="18"/>
      <c r="BG804" s="18"/>
      <c r="BH804" s="18"/>
      <c r="BI804" s="18"/>
      <c r="BJ804" s="18"/>
      <c r="BK804" s="18"/>
      <c r="BL804" s="18"/>
      <c r="BM804" s="18"/>
      <c r="BN804" s="18"/>
      <c r="BO804" s="18"/>
      <c r="BP804" s="18"/>
      <c r="BQ804" s="18"/>
      <c r="BR804" s="18"/>
    </row>
    <row r="805" spans="2:70" outlineLevel="2">
      <c r="B805" s="5"/>
      <c r="C805" s="30" t="s">
        <v>76</v>
      </c>
      <c r="D805" s="74" t="s">
        <v>77</v>
      </c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V805" s="704"/>
      <c r="Z805" s="27"/>
      <c r="AA805" s="130"/>
      <c r="AB805" s="130"/>
      <c r="AC805" s="130"/>
      <c r="AD805" s="130"/>
      <c r="AH805" s="130"/>
      <c r="AI805" s="130"/>
      <c r="AJ805" s="26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8"/>
      <c r="BC805" s="18"/>
      <c r="BD805" s="18"/>
      <c r="BE805" s="18"/>
      <c r="BF805" s="18"/>
      <c r="BG805" s="18"/>
      <c r="BH805" s="18"/>
      <c r="BI805" s="18"/>
      <c r="BJ805" s="18"/>
      <c r="BK805" s="18"/>
      <c r="BL805" s="18"/>
      <c r="BM805" s="18"/>
      <c r="BN805" s="18"/>
      <c r="BO805" s="18"/>
      <c r="BP805" s="18"/>
      <c r="BQ805" s="18"/>
      <c r="BR805" s="18"/>
    </row>
    <row r="806" spans="2:70" outlineLevel="2">
      <c r="B806" s="5"/>
      <c r="C806" s="30" t="s">
        <v>55</v>
      </c>
      <c r="D806" s="31" t="s">
        <v>530</v>
      </c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V806" s="703">
        <v>200</v>
      </c>
      <c r="Z806" s="364">
        <f>V806*0.5*(4/6)</f>
        <v>66.666666666666657</v>
      </c>
      <c r="AA806" s="175">
        <f>V806*0.5</f>
        <v>100</v>
      </c>
      <c r="AB806" s="167">
        <f>SUM(Z806:AA806)</f>
        <v>166.66666666666666</v>
      </c>
      <c r="AC806" s="149">
        <f t="shared" ref="AC806" si="2693">AE806*0.5</f>
        <v>100</v>
      </c>
      <c r="AD806" s="19">
        <f t="shared" ref="AD806" si="2694">AE806*0.5</f>
        <v>100</v>
      </c>
      <c r="AE806" s="389">
        <f>V806</f>
        <v>200</v>
      </c>
      <c r="AF806" s="533">
        <f>AC806</f>
        <v>100</v>
      </c>
      <c r="AG806" s="1028">
        <f>AD806</f>
        <v>100</v>
      </c>
      <c r="AH806" s="533">
        <f>AF806+AG806</f>
        <v>200</v>
      </c>
      <c r="AI806" s="533">
        <f>AF806</f>
        <v>100</v>
      </c>
      <c r="AJ806" s="533">
        <f>AG806</f>
        <v>100</v>
      </c>
      <c r="AK806" s="533">
        <f>AI806+AJ806</f>
        <v>200</v>
      </c>
      <c r="AL806" s="533">
        <f>AI806</f>
        <v>100</v>
      </c>
      <c r="AM806" s="533">
        <f>AJ806</f>
        <v>100</v>
      </c>
      <c r="AN806" s="501">
        <f>AL806+AM806</f>
        <v>200</v>
      </c>
      <c r="AO806" s="533">
        <f>AL806</f>
        <v>100</v>
      </c>
      <c r="AP806" s="533">
        <f>AM806</f>
        <v>100</v>
      </c>
      <c r="AQ806" s="501">
        <f>AO806+AP806</f>
        <v>200</v>
      </c>
      <c r="AR806" s="533">
        <f>AO806</f>
        <v>100</v>
      </c>
      <c r="AS806" s="533">
        <f>AP806</f>
        <v>100</v>
      </c>
      <c r="AT806" s="501">
        <f>AR806+AS806</f>
        <v>200</v>
      </c>
      <c r="AU806" s="533">
        <f>AR806</f>
        <v>100</v>
      </c>
      <c r="AV806" s="533">
        <f>AS806</f>
        <v>100</v>
      </c>
      <c r="AW806" s="501">
        <f>AU806+AV806</f>
        <v>200</v>
      </c>
      <c r="AX806" s="533">
        <f>AU806</f>
        <v>100</v>
      </c>
      <c r="AY806" s="533">
        <f>AV806</f>
        <v>100</v>
      </c>
      <c r="AZ806" s="501">
        <f>AX806+AY806</f>
        <v>200</v>
      </c>
      <c r="BA806" s="533">
        <f>AX806</f>
        <v>100</v>
      </c>
      <c r="BB806" s="533">
        <f>AY806</f>
        <v>100</v>
      </c>
      <c r="BC806" s="501">
        <f>BA806+BB806</f>
        <v>200</v>
      </c>
      <c r="BD806" s="533">
        <f>BA806</f>
        <v>100</v>
      </c>
      <c r="BE806" s="533">
        <f>BB806</f>
        <v>100</v>
      </c>
      <c r="BF806" s="501">
        <f>BD806+BE806</f>
        <v>200</v>
      </c>
      <c r="BG806" s="533">
        <f>BD806</f>
        <v>100</v>
      </c>
      <c r="BH806" s="533">
        <f>BE806</f>
        <v>100</v>
      </c>
      <c r="BI806" s="501">
        <f>BG806+BH806</f>
        <v>200</v>
      </c>
      <c r="BJ806" s="533">
        <f>BG806</f>
        <v>100</v>
      </c>
      <c r="BK806" s="533">
        <f>BH806</f>
        <v>100</v>
      </c>
      <c r="BL806" s="501">
        <f>BJ806+BK806</f>
        <v>200</v>
      </c>
      <c r="BM806" s="533">
        <f>BJ806</f>
        <v>100</v>
      </c>
      <c r="BN806" s="533">
        <f>BK806</f>
        <v>100</v>
      </c>
      <c r="BO806" s="501">
        <f>BM806+BN806</f>
        <v>200</v>
      </c>
      <c r="BP806" s="533">
        <f>BM806</f>
        <v>100</v>
      </c>
      <c r="BQ806" s="533">
        <f>BN806</f>
        <v>100</v>
      </c>
      <c r="BR806" s="501">
        <f>BP806+BQ806</f>
        <v>200</v>
      </c>
    </row>
    <row r="807" spans="2:70" outlineLevel="2">
      <c r="B807" s="5"/>
      <c r="C807" s="30" t="s">
        <v>56</v>
      </c>
      <c r="D807" s="31" t="s">
        <v>530</v>
      </c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V807" s="705">
        <f>V815-V809</f>
        <v>25.6</v>
      </c>
      <c r="Z807" s="364">
        <f>V807*0.5*(4/6)</f>
        <v>8.5333333333333332</v>
      </c>
      <c r="AA807" s="175">
        <f>V807*0.5</f>
        <v>12.8</v>
      </c>
      <c r="AB807" s="167">
        <f>SUM(Z807:AA807)</f>
        <v>21.333333333333336</v>
      </c>
      <c r="AC807" s="149">
        <f>AE807*0.5</f>
        <v>12.8</v>
      </c>
      <c r="AD807" s="19">
        <f>AE807*0.5</f>
        <v>12.8</v>
      </c>
      <c r="AE807" s="389">
        <f>V807</f>
        <v>25.6</v>
      </c>
      <c r="AF807" s="533">
        <f>AF808*AF806</f>
        <v>12.8</v>
      </c>
      <c r="AG807" s="1028">
        <f>AG808*AG806</f>
        <v>12.8</v>
      </c>
      <c r="AH807" s="533">
        <f>AF807+AG807</f>
        <v>25.6</v>
      </c>
      <c r="AI807" s="533">
        <f>AI808*AI806</f>
        <v>12.8</v>
      </c>
      <c r="AJ807" s="533">
        <f>AJ808*AJ806</f>
        <v>12.8</v>
      </c>
      <c r="AK807" s="533">
        <f>AI807+AJ807</f>
        <v>25.6</v>
      </c>
      <c r="AL807" s="533">
        <f>AL808*AL806</f>
        <v>12.8</v>
      </c>
      <c r="AM807" s="533">
        <f>AM808*AM806</f>
        <v>12.8</v>
      </c>
      <c r="AN807" s="501">
        <f>AL807+AM807</f>
        <v>25.6</v>
      </c>
      <c r="AO807" s="533">
        <f>AO808*AO806</f>
        <v>12.8</v>
      </c>
      <c r="AP807" s="533">
        <f>AP808*AP806</f>
        <v>12.8</v>
      </c>
      <c r="AQ807" s="501">
        <f>AO807+AP807</f>
        <v>25.6</v>
      </c>
      <c r="AR807" s="533">
        <f>AR808*AR806</f>
        <v>12.8</v>
      </c>
      <c r="AS807" s="533">
        <f>AS808*AS806</f>
        <v>12.8</v>
      </c>
      <c r="AT807" s="501">
        <f>AR807+AS807</f>
        <v>25.6</v>
      </c>
      <c r="AU807" s="533">
        <f>AU808*AU806</f>
        <v>12.8</v>
      </c>
      <c r="AV807" s="533">
        <f>AV808*AV806</f>
        <v>12.8</v>
      </c>
      <c r="AW807" s="501">
        <f>AU807+AV807</f>
        <v>25.6</v>
      </c>
      <c r="AX807" s="533">
        <f>AX808*AX806</f>
        <v>12.8</v>
      </c>
      <c r="AY807" s="533">
        <f>AY808*AY806</f>
        <v>12.8</v>
      </c>
      <c r="AZ807" s="501">
        <f>AX807+AY807</f>
        <v>25.6</v>
      </c>
      <c r="BA807" s="533">
        <f>BA808*BA806</f>
        <v>12.8</v>
      </c>
      <c r="BB807" s="533">
        <f>BB808*BB806</f>
        <v>12.8</v>
      </c>
      <c r="BC807" s="501">
        <f>BA807+BB807</f>
        <v>25.6</v>
      </c>
      <c r="BD807" s="533">
        <f>BD808*BD806</f>
        <v>12.8</v>
      </c>
      <c r="BE807" s="533">
        <f>BE808*BE806</f>
        <v>12.8</v>
      </c>
      <c r="BF807" s="501">
        <f>BD807+BE807</f>
        <v>25.6</v>
      </c>
      <c r="BG807" s="533">
        <f>BG808*BG806</f>
        <v>12.8</v>
      </c>
      <c r="BH807" s="533">
        <f>BH808*BH806</f>
        <v>12.8</v>
      </c>
      <c r="BI807" s="501">
        <f>BG807+BH807</f>
        <v>25.6</v>
      </c>
      <c r="BJ807" s="533">
        <f>BJ808*BJ806</f>
        <v>12.8</v>
      </c>
      <c r="BK807" s="533">
        <f>BK808*BK806</f>
        <v>12.8</v>
      </c>
      <c r="BL807" s="501">
        <f>BJ807+BK807</f>
        <v>25.6</v>
      </c>
      <c r="BM807" s="533">
        <f>BM808*BM806</f>
        <v>12.8</v>
      </c>
      <c r="BN807" s="533">
        <f>BN808*BN806</f>
        <v>12.8</v>
      </c>
      <c r="BO807" s="501">
        <f>BM807+BN807</f>
        <v>25.6</v>
      </c>
      <c r="BP807" s="533">
        <f>BP808*BP806</f>
        <v>12.8</v>
      </c>
      <c r="BQ807" s="533">
        <f>BQ808*BQ806</f>
        <v>12.8</v>
      </c>
      <c r="BR807" s="501">
        <f>BP807+BQ807</f>
        <v>25.6</v>
      </c>
    </row>
    <row r="808" spans="2:70" outlineLevel="2">
      <c r="B808" s="5"/>
      <c r="C808" s="30" t="s">
        <v>73</v>
      </c>
      <c r="D808" s="31" t="s">
        <v>66</v>
      </c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V808" s="706">
        <f>V807/V806</f>
        <v>0.128</v>
      </c>
      <c r="Z808" s="133">
        <f t="shared" ref="Z808" si="2695">Z807/Z806</f>
        <v>0.128</v>
      </c>
      <c r="AA808" s="133">
        <f t="shared" ref="AA808" si="2696">AA807/AA806</f>
        <v>0.128</v>
      </c>
      <c r="AB808" s="133">
        <f>AB807/AB806</f>
        <v>0.12800000000000003</v>
      </c>
      <c r="AC808" s="133">
        <f>AC807/AC806</f>
        <v>0.128</v>
      </c>
      <c r="AD808" s="133">
        <f>AD807/AD806</f>
        <v>0.128</v>
      </c>
      <c r="AE808" s="133">
        <f>AB808</f>
        <v>0.12800000000000003</v>
      </c>
      <c r="AF808" s="393">
        <f>AC808</f>
        <v>0.128</v>
      </c>
      <c r="AG808" s="976">
        <f>AD808</f>
        <v>0.128</v>
      </c>
      <c r="AH808" s="359">
        <f>AH807/AH806</f>
        <v>0.128</v>
      </c>
      <c r="AI808" s="393">
        <f>AF808</f>
        <v>0.128</v>
      </c>
      <c r="AJ808" s="393">
        <f>AG808</f>
        <v>0.128</v>
      </c>
      <c r="AK808" s="359">
        <f>AK807/AK806</f>
        <v>0.128</v>
      </c>
      <c r="AL808" s="393">
        <f>AI808</f>
        <v>0.128</v>
      </c>
      <c r="AM808" s="393">
        <f>AJ808</f>
        <v>0.128</v>
      </c>
      <c r="AN808" s="385">
        <f>AN807/AN806</f>
        <v>0.128</v>
      </c>
      <c r="AO808" s="393">
        <f>AL808</f>
        <v>0.128</v>
      </c>
      <c r="AP808" s="393">
        <f>AM808</f>
        <v>0.128</v>
      </c>
      <c r="AQ808" s="385">
        <f>AQ807/AQ806</f>
        <v>0.128</v>
      </c>
      <c r="AR808" s="393">
        <f>AO808</f>
        <v>0.128</v>
      </c>
      <c r="AS808" s="393">
        <f>AP808</f>
        <v>0.128</v>
      </c>
      <c r="AT808" s="385">
        <f>AT807/AT806</f>
        <v>0.128</v>
      </c>
      <c r="AU808" s="393">
        <f>AR808</f>
        <v>0.128</v>
      </c>
      <c r="AV808" s="393">
        <f>AS808</f>
        <v>0.128</v>
      </c>
      <c r="AW808" s="385">
        <f>AW807/AW806</f>
        <v>0.128</v>
      </c>
      <c r="AX808" s="393">
        <f>AU808</f>
        <v>0.128</v>
      </c>
      <c r="AY808" s="393">
        <f>AV808</f>
        <v>0.128</v>
      </c>
      <c r="AZ808" s="385">
        <f>AZ807/AZ806</f>
        <v>0.128</v>
      </c>
      <c r="BA808" s="393">
        <f>AX808</f>
        <v>0.128</v>
      </c>
      <c r="BB808" s="393">
        <f>AY808</f>
        <v>0.128</v>
      </c>
      <c r="BC808" s="385">
        <f>BC807/BC806</f>
        <v>0.128</v>
      </c>
      <c r="BD808" s="393">
        <f>BA808</f>
        <v>0.128</v>
      </c>
      <c r="BE808" s="393">
        <f>BB808</f>
        <v>0.128</v>
      </c>
      <c r="BF808" s="385">
        <f>BF807/BF806</f>
        <v>0.128</v>
      </c>
      <c r="BG808" s="393">
        <f>BD808</f>
        <v>0.128</v>
      </c>
      <c r="BH808" s="393">
        <f>BE808</f>
        <v>0.128</v>
      </c>
      <c r="BI808" s="385">
        <f>BI807/BI806</f>
        <v>0.128</v>
      </c>
      <c r="BJ808" s="393">
        <f>BG808</f>
        <v>0.128</v>
      </c>
      <c r="BK808" s="393">
        <f>BH808</f>
        <v>0.128</v>
      </c>
      <c r="BL808" s="385">
        <f>BL807/BL806</f>
        <v>0.128</v>
      </c>
      <c r="BM808" s="393">
        <f>BJ808</f>
        <v>0.128</v>
      </c>
      <c r="BN808" s="393">
        <f>BK808</f>
        <v>0.128</v>
      </c>
      <c r="BO808" s="385">
        <f>BO807/BO806</f>
        <v>0.128</v>
      </c>
      <c r="BP808" s="393">
        <f>BM808</f>
        <v>0.128</v>
      </c>
      <c r="BQ808" s="393">
        <f>BN808</f>
        <v>0.128</v>
      </c>
      <c r="BR808" s="385">
        <f>BR807/BR806</f>
        <v>0.128</v>
      </c>
    </row>
    <row r="809" spans="2:70" outlineLevel="2">
      <c r="B809" s="5"/>
      <c r="C809" s="30" t="s">
        <v>65</v>
      </c>
      <c r="D809" s="31" t="s">
        <v>530</v>
      </c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V809" s="707">
        <f>V806*-3%</f>
        <v>-6</v>
      </c>
      <c r="Z809" s="364">
        <f>V809*0.5*(4/6)</f>
        <v>-2</v>
      </c>
      <c r="AA809" s="175">
        <f>V809*0.5</f>
        <v>-3</v>
      </c>
      <c r="AB809" s="167">
        <f>SUM(Z809:AA809)</f>
        <v>-5</v>
      </c>
      <c r="AC809" s="167">
        <f>AE809*0.5</f>
        <v>-3.0000000000000004</v>
      </c>
      <c r="AD809" s="167">
        <f>AE809*0.5</f>
        <v>-3.0000000000000004</v>
      </c>
      <c r="AE809" s="360">
        <f>AB809*(AE806/AB806)</f>
        <v>-6.0000000000000009</v>
      </c>
      <c r="AF809" s="167">
        <f>AC809</f>
        <v>-3.0000000000000004</v>
      </c>
      <c r="AG809" s="1017">
        <f>AD809</f>
        <v>-3.0000000000000004</v>
      </c>
      <c r="AH809" s="167">
        <f>AF809+AG809</f>
        <v>-6.0000000000000009</v>
      </c>
      <c r="AI809" s="167">
        <f>AF809</f>
        <v>-3.0000000000000004</v>
      </c>
      <c r="AJ809" s="167">
        <f>AG809</f>
        <v>-3.0000000000000004</v>
      </c>
      <c r="AK809" s="167">
        <f>AI809+AJ809</f>
        <v>-6.0000000000000009</v>
      </c>
      <c r="AL809" s="167">
        <f>AI809</f>
        <v>-3.0000000000000004</v>
      </c>
      <c r="AM809" s="167">
        <f>AJ809</f>
        <v>-3.0000000000000004</v>
      </c>
      <c r="AN809" s="37">
        <f>AL809+AM809</f>
        <v>-6.0000000000000009</v>
      </c>
      <c r="AO809" s="167">
        <f>AL809</f>
        <v>-3.0000000000000004</v>
      </c>
      <c r="AP809" s="167">
        <f>AM809</f>
        <v>-3.0000000000000004</v>
      </c>
      <c r="AQ809" s="37">
        <f>AO809+AP809</f>
        <v>-6.0000000000000009</v>
      </c>
      <c r="AR809" s="167">
        <f>AO809</f>
        <v>-3.0000000000000004</v>
      </c>
      <c r="AS809" s="167">
        <f>AP809</f>
        <v>-3.0000000000000004</v>
      </c>
      <c r="AT809" s="37">
        <f>AR809+AS809</f>
        <v>-6.0000000000000009</v>
      </c>
      <c r="AU809" s="167">
        <f>AR809</f>
        <v>-3.0000000000000004</v>
      </c>
      <c r="AV809" s="167">
        <f>AS809</f>
        <v>-3.0000000000000004</v>
      </c>
      <c r="AW809" s="37">
        <f>AU809+AV809</f>
        <v>-6.0000000000000009</v>
      </c>
      <c r="AX809" s="167">
        <f>AU809</f>
        <v>-3.0000000000000004</v>
      </c>
      <c r="AY809" s="167">
        <f>AV809</f>
        <v>-3.0000000000000004</v>
      </c>
      <c r="AZ809" s="37">
        <f>AX809+AY809</f>
        <v>-6.0000000000000009</v>
      </c>
      <c r="BA809" s="167">
        <f>AX809</f>
        <v>-3.0000000000000004</v>
      </c>
      <c r="BB809" s="167">
        <f>AY809</f>
        <v>-3.0000000000000004</v>
      </c>
      <c r="BC809" s="37">
        <f>BA809+BB809</f>
        <v>-6.0000000000000009</v>
      </c>
      <c r="BD809" s="167">
        <f>BA809</f>
        <v>-3.0000000000000004</v>
      </c>
      <c r="BE809" s="167">
        <f>BB809</f>
        <v>-3.0000000000000004</v>
      </c>
      <c r="BF809" s="37">
        <f>BD809+BE809</f>
        <v>-6.0000000000000009</v>
      </c>
      <c r="BG809" s="167">
        <f>BD809</f>
        <v>-3.0000000000000004</v>
      </c>
      <c r="BH809" s="167">
        <f>BE809</f>
        <v>-3.0000000000000004</v>
      </c>
      <c r="BI809" s="37">
        <f>BG809+BH809</f>
        <v>-6.0000000000000009</v>
      </c>
      <c r="BJ809" s="167">
        <f>BG809</f>
        <v>-3.0000000000000004</v>
      </c>
      <c r="BK809" s="167">
        <f>BH809</f>
        <v>-3.0000000000000004</v>
      </c>
      <c r="BL809" s="37">
        <f>BJ809+BK809</f>
        <v>-6.0000000000000009</v>
      </c>
      <c r="BM809" s="167">
        <f>BJ809</f>
        <v>-3.0000000000000004</v>
      </c>
      <c r="BN809" s="167">
        <f>BK809</f>
        <v>-3.0000000000000004</v>
      </c>
      <c r="BO809" s="37">
        <f>BM809+BN809</f>
        <v>-6.0000000000000009</v>
      </c>
      <c r="BP809" s="167">
        <f>BM809</f>
        <v>-3.0000000000000004</v>
      </c>
      <c r="BQ809" s="167">
        <f>BN809</f>
        <v>-3.0000000000000004</v>
      </c>
      <c r="BR809" s="37">
        <f>BP809+BQ809</f>
        <v>-6.0000000000000009</v>
      </c>
    </row>
    <row r="810" spans="2:70" outlineLevel="2">
      <c r="B810" s="5"/>
      <c r="C810" s="30" t="s">
        <v>78</v>
      </c>
      <c r="D810" s="31" t="s">
        <v>530</v>
      </c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V810" s="708">
        <f>V807+V809</f>
        <v>19.600000000000001</v>
      </c>
      <c r="Z810" s="360">
        <f>Z807+Z809</f>
        <v>6.5333333333333332</v>
      </c>
      <c r="AA810" s="360">
        <f>AA807+AA809</f>
        <v>9.8000000000000007</v>
      </c>
      <c r="AB810" s="167">
        <f>SUM(Z810:AA810)</f>
        <v>16.333333333333336</v>
      </c>
      <c r="AC810" s="167">
        <f>AC807+AC809</f>
        <v>9.8000000000000007</v>
      </c>
      <c r="AD810" s="167">
        <f>AD807+AD809</f>
        <v>9.8000000000000007</v>
      </c>
      <c r="AE810" s="172">
        <f>SUM(AC810:AD810)</f>
        <v>19.600000000000001</v>
      </c>
      <c r="AF810" s="171">
        <f t="shared" ref="AF810:AG810" si="2697">AF807+AF809</f>
        <v>9.8000000000000007</v>
      </c>
      <c r="AG810" s="937">
        <f t="shared" si="2697"/>
        <v>9.8000000000000007</v>
      </c>
      <c r="AH810" s="26">
        <f t="shared" ref="AH810" si="2698">SUM(AF810:AG810)</f>
        <v>19.600000000000001</v>
      </c>
      <c r="AI810" s="171">
        <f t="shared" ref="AI810:AJ810" si="2699">AI807+AI809</f>
        <v>9.8000000000000007</v>
      </c>
      <c r="AJ810" s="171">
        <f t="shared" si="2699"/>
        <v>9.8000000000000007</v>
      </c>
      <c r="AK810" s="26">
        <f t="shared" ref="AK810" si="2700">SUM(AI810:AJ810)</f>
        <v>19.600000000000001</v>
      </c>
      <c r="AL810" s="171">
        <f t="shared" ref="AL810:AM810" si="2701">AL807+AL809</f>
        <v>9.8000000000000007</v>
      </c>
      <c r="AM810" s="171">
        <f t="shared" si="2701"/>
        <v>9.8000000000000007</v>
      </c>
      <c r="AN810" s="26">
        <f t="shared" ref="AN810" si="2702">SUM(AL810:AM810)</f>
        <v>19.600000000000001</v>
      </c>
      <c r="AO810" s="171">
        <f t="shared" ref="AO810:AP810" si="2703">AO807+AO809</f>
        <v>9.8000000000000007</v>
      </c>
      <c r="AP810" s="171">
        <f t="shared" si="2703"/>
        <v>9.8000000000000007</v>
      </c>
      <c r="AQ810" s="26">
        <f t="shared" ref="AQ810" si="2704">SUM(AO810:AP810)</f>
        <v>19.600000000000001</v>
      </c>
      <c r="AR810" s="171">
        <f t="shared" ref="AR810:AS810" si="2705">AR807+AR809</f>
        <v>9.8000000000000007</v>
      </c>
      <c r="AS810" s="171">
        <f t="shared" si="2705"/>
        <v>9.8000000000000007</v>
      </c>
      <c r="AT810" s="26">
        <f t="shared" ref="AT810" si="2706">SUM(AR810:AS810)</f>
        <v>19.600000000000001</v>
      </c>
      <c r="AU810" s="171">
        <f t="shared" ref="AU810:AV810" si="2707">AU807+AU809</f>
        <v>9.8000000000000007</v>
      </c>
      <c r="AV810" s="171">
        <f t="shared" si="2707"/>
        <v>9.8000000000000007</v>
      </c>
      <c r="AW810" s="26">
        <f t="shared" ref="AW810" si="2708">SUM(AU810:AV810)</f>
        <v>19.600000000000001</v>
      </c>
      <c r="AX810" s="171">
        <f t="shared" ref="AX810:AY810" si="2709">AX807+AX809</f>
        <v>9.8000000000000007</v>
      </c>
      <c r="AY810" s="171">
        <f t="shared" si="2709"/>
        <v>9.8000000000000007</v>
      </c>
      <c r="AZ810" s="26">
        <f t="shared" ref="AZ810" si="2710">SUM(AX810:AY810)</f>
        <v>19.600000000000001</v>
      </c>
      <c r="BA810" s="171">
        <f t="shared" ref="BA810:BB810" si="2711">BA807+BA809</f>
        <v>9.8000000000000007</v>
      </c>
      <c r="BB810" s="171">
        <f t="shared" si="2711"/>
        <v>9.8000000000000007</v>
      </c>
      <c r="BC810" s="26">
        <f t="shared" ref="BC810" si="2712">SUM(BA810:BB810)</f>
        <v>19.600000000000001</v>
      </c>
      <c r="BD810" s="171">
        <f t="shared" ref="BD810:BE810" si="2713">BD807+BD809</f>
        <v>9.8000000000000007</v>
      </c>
      <c r="BE810" s="171">
        <f t="shared" si="2713"/>
        <v>9.8000000000000007</v>
      </c>
      <c r="BF810" s="26">
        <f t="shared" ref="BF810" si="2714">SUM(BD810:BE810)</f>
        <v>19.600000000000001</v>
      </c>
      <c r="BG810" s="171">
        <f t="shared" ref="BG810:BH810" si="2715">BG807+BG809</f>
        <v>9.8000000000000007</v>
      </c>
      <c r="BH810" s="171">
        <f t="shared" si="2715"/>
        <v>9.8000000000000007</v>
      </c>
      <c r="BI810" s="26">
        <f t="shared" ref="BI810" si="2716">SUM(BG810:BH810)</f>
        <v>19.600000000000001</v>
      </c>
      <c r="BJ810" s="171">
        <f t="shared" ref="BJ810:BK810" si="2717">BJ807+BJ809</f>
        <v>9.8000000000000007</v>
      </c>
      <c r="BK810" s="171">
        <f t="shared" si="2717"/>
        <v>9.8000000000000007</v>
      </c>
      <c r="BL810" s="26">
        <f t="shared" ref="BL810" si="2718">SUM(BJ810:BK810)</f>
        <v>19.600000000000001</v>
      </c>
      <c r="BM810" s="171">
        <f t="shared" ref="BM810:BN810" si="2719">BM807+BM809</f>
        <v>9.8000000000000007</v>
      </c>
      <c r="BN810" s="171">
        <f t="shared" si="2719"/>
        <v>9.8000000000000007</v>
      </c>
      <c r="BO810" s="26">
        <f t="shared" ref="BO810" si="2720">SUM(BM810:BN810)</f>
        <v>19.600000000000001</v>
      </c>
      <c r="BP810" s="171">
        <f t="shared" ref="BP810:BQ810" si="2721">BP807+BP809</f>
        <v>9.8000000000000007</v>
      </c>
      <c r="BQ810" s="171">
        <f t="shared" si="2721"/>
        <v>9.8000000000000007</v>
      </c>
      <c r="BR810" s="26">
        <f t="shared" ref="BR810" si="2722">SUM(BP810:BQ810)</f>
        <v>19.600000000000001</v>
      </c>
    </row>
    <row r="811" spans="2:70" outlineLevel="2">
      <c r="B811" s="5"/>
      <c r="C811" s="30" t="s">
        <v>74</v>
      </c>
      <c r="D811" s="31" t="s">
        <v>66</v>
      </c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V811" s="706">
        <f>V810/V806</f>
        <v>9.8000000000000004E-2</v>
      </c>
      <c r="Z811" s="133">
        <f t="shared" ref="Z811" si="2723">Z810/Z806</f>
        <v>9.8000000000000018E-2</v>
      </c>
      <c r="AA811" s="133">
        <f t="shared" ref="AA811" si="2724">AA810/AA806</f>
        <v>9.8000000000000004E-2</v>
      </c>
      <c r="AB811" s="162">
        <f t="shared" ref="AB811" si="2725">AB810/AB806</f>
        <v>9.8000000000000018E-2</v>
      </c>
      <c r="AC811" s="162">
        <f t="shared" ref="AC811" si="2726">AC810/AC806</f>
        <v>9.8000000000000004E-2</v>
      </c>
      <c r="AD811" s="133">
        <f t="shared" ref="AD811" si="2727">AD810/AD806</f>
        <v>9.8000000000000004E-2</v>
      </c>
      <c r="AE811" s="162">
        <f t="shared" ref="AE811:AH811" si="2728">AE810/AE806</f>
        <v>9.8000000000000004E-2</v>
      </c>
      <c r="AF811" s="162">
        <f t="shared" si="2728"/>
        <v>9.8000000000000004E-2</v>
      </c>
      <c r="AG811" s="938">
        <f t="shared" si="2728"/>
        <v>9.8000000000000004E-2</v>
      </c>
      <c r="AH811" s="359">
        <f t="shared" si="2728"/>
        <v>9.8000000000000004E-2</v>
      </c>
      <c r="AI811" s="162">
        <f t="shared" ref="AI811:AN811" si="2729">AI810/AI806</f>
        <v>9.8000000000000004E-2</v>
      </c>
      <c r="AJ811" s="133">
        <f t="shared" si="2729"/>
        <v>9.8000000000000004E-2</v>
      </c>
      <c r="AK811" s="359">
        <f t="shared" si="2729"/>
        <v>9.8000000000000004E-2</v>
      </c>
      <c r="AL811" s="162">
        <f t="shared" si="2729"/>
        <v>9.8000000000000004E-2</v>
      </c>
      <c r="AM811" s="133">
        <f t="shared" si="2729"/>
        <v>9.8000000000000004E-2</v>
      </c>
      <c r="AN811" s="359">
        <f t="shared" si="2729"/>
        <v>9.8000000000000004E-2</v>
      </c>
      <c r="AO811" s="162">
        <f t="shared" ref="AO811:BR811" si="2730">AO810/AO806</f>
        <v>9.8000000000000004E-2</v>
      </c>
      <c r="AP811" s="133">
        <f t="shared" si="2730"/>
        <v>9.8000000000000004E-2</v>
      </c>
      <c r="AQ811" s="359">
        <f t="shared" si="2730"/>
        <v>9.8000000000000004E-2</v>
      </c>
      <c r="AR811" s="162">
        <f t="shared" si="2730"/>
        <v>9.8000000000000004E-2</v>
      </c>
      <c r="AS811" s="133">
        <f t="shared" si="2730"/>
        <v>9.8000000000000004E-2</v>
      </c>
      <c r="AT811" s="359">
        <f t="shared" si="2730"/>
        <v>9.8000000000000004E-2</v>
      </c>
      <c r="AU811" s="162">
        <f t="shared" si="2730"/>
        <v>9.8000000000000004E-2</v>
      </c>
      <c r="AV811" s="133">
        <f t="shared" si="2730"/>
        <v>9.8000000000000004E-2</v>
      </c>
      <c r="AW811" s="359">
        <f t="shared" si="2730"/>
        <v>9.8000000000000004E-2</v>
      </c>
      <c r="AX811" s="162">
        <f t="shared" si="2730"/>
        <v>9.8000000000000004E-2</v>
      </c>
      <c r="AY811" s="133">
        <f t="shared" si="2730"/>
        <v>9.8000000000000004E-2</v>
      </c>
      <c r="AZ811" s="359">
        <f t="shared" si="2730"/>
        <v>9.8000000000000004E-2</v>
      </c>
      <c r="BA811" s="162">
        <f t="shared" si="2730"/>
        <v>9.8000000000000004E-2</v>
      </c>
      <c r="BB811" s="133">
        <f t="shared" si="2730"/>
        <v>9.8000000000000004E-2</v>
      </c>
      <c r="BC811" s="359">
        <f t="shared" si="2730"/>
        <v>9.8000000000000004E-2</v>
      </c>
      <c r="BD811" s="162">
        <f t="shared" si="2730"/>
        <v>9.8000000000000004E-2</v>
      </c>
      <c r="BE811" s="133">
        <f t="shared" si="2730"/>
        <v>9.8000000000000004E-2</v>
      </c>
      <c r="BF811" s="359">
        <f t="shared" si="2730"/>
        <v>9.8000000000000004E-2</v>
      </c>
      <c r="BG811" s="162">
        <f t="shared" si="2730"/>
        <v>9.8000000000000004E-2</v>
      </c>
      <c r="BH811" s="133">
        <f t="shared" si="2730"/>
        <v>9.8000000000000004E-2</v>
      </c>
      <c r="BI811" s="359">
        <f t="shared" si="2730"/>
        <v>9.8000000000000004E-2</v>
      </c>
      <c r="BJ811" s="162">
        <f t="shared" si="2730"/>
        <v>9.8000000000000004E-2</v>
      </c>
      <c r="BK811" s="133">
        <f t="shared" si="2730"/>
        <v>9.8000000000000004E-2</v>
      </c>
      <c r="BL811" s="359">
        <f t="shared" si="2730"/>
        <v>9.8000000000000004E-2</v>
      </c>
      <c r="BM811" s="162">
        <f t="shared" si="2730"/>
        <v>9.8000000000000004E-2</v>
      </c>
      <c r="BN811" s="133">
        <f t="shared" si="2730"/>
        <v>9.8000000000000004E-2</v>
      </c>
      <c r="BO811" s="359">
        <f t="shared" si="2730"/>
        <v>9.8000000000000004E-2</v>
      </c>
      <c r="BP811" s="162">
        <f t="shared" si="2730"/>
        <v>9.8000000000000004E-2</v>
      </c>
      <c r="BQ811" s="133">
        <f t="shared" si="2730"/>
        <v>9.8000000000000004E-2</v>
      </c>
      <c r="BR811" s="359">
        <f t="shared" si="2730"/>
        <v>9.8000000000000004E-2</v>
      </c>
    </row>
    <row r="812" spans="2:70" outlineLevel="2">
      <c r="B812" s="5"/>
      <c r="C812" s="30" t="s">
        <v>90</v>
      </c>
      <c r="D812" s="31" t="s">
        <v>530</v>
      </c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V812" s="708">
        <f>V815-V810</f>
        <v>0</v>
      </c>
      <c r="Z812" s="404">
        <v>0</v>
      </c>
      <c r="AA812" s="404">
        <v>0</v>
      </c>
      <c r="AB812" s="172">
        <f>SUM(Z812:AA812)</f>
        <v>0</v>
      </c>
      <c r="AC812" s="404">
        <v>0</v>
      </c>
      <c r="AD812" s="404">
        <v>0</v>
      </c>
      <c r="AE812" s="172">
        <f>SUM(AC812:AD812)</f>
        <v>0</v>
      </c>
      <c r="AF812" s="402">
        <v>0</v>
      </c>
      <c r="AG812" s="1030">
        <v>0</v>
      </c>
      <c r="AH812" s="347">
        <f>AF812+AG812</f>
        <v>0</v>
      </c>
      <c r="AI812" s="404">
        <v>0</v>
      </c>
      <c r="AJ812" s="404">
        <v>0</v>
      </c>
      <c r="AK812" s="347">
        <f>AI812+AJ812</f>
        <v>0</v>
      </c>
      <c r="AL812" s="404">
        <v>0</v>
      </c>
      <c r="AM812" s="404">
        <v>0</v>
      </c>
      <c r="AN812" s="347">
        <f>AL812+AM812</f>
        <v>0</v>
      </c>
      <c r="AO812" s="404">
        <v>0</v>
      </c>
      <c r="AP812" s="404">
        <v>0</v>
      </c>
      <c r="AQ812" s="347">
        <f>AO812+AP812</f>
        <v>0</v>
      </c>
      <c r="AR812" s="404">
        <v>0</v>
      </c>
      <c r="AS812" s="404">
        <v>0</v>
      </c>
      <c r="AT812" s="347">
        <f>AR812+AS812</f>
        <v>0</v>
      </c>
      <c r="AU812" s="404">
        <v>0</v>
      </c>
      <c r="AV812" s="404">
        <v>0</v>
      </c>
      <c r="AW812" s="347">
        <f>AU812+AV812</f>
        <v>0</v>
      </c>
      <c r="AX812" s="404">
        <v>0</v>
      </c>
      <c r="AY812" s="404">
        <v>0</v>
      </c>
      <c r="AZ812" s="347">
        <f>AX812+AY812</f>
        <v>0</v>
      </c>
      <c r="BA812" s="404">
        <v>0</v>
      </c>
      <c r="BB812" s="404">
        <v>0</v>
      </c>
      <c r="BC812" s="347">
        <f>BA812+BB812</f>
        <v>0</v>
      </c>
      <c r="BD812" s="404">
        <v>0</v>
      </c>
      <c r="BE812" s="404">
        <v>0</v>
      </c>
      <c r="BF812" s="347">
        <f>BD812+BE812</f>
        <v>0</v>
      </c>
      <c r="BG812" s="404">
        <v>0</v>
      </c>
      <c r="BH812" s="404">
        <v>0</v>
      </c>
      <c r="BI812" s="347">
        <f>BG812+BH812</f>
        <v>0</v>
      </c>
      <c r="BJ812" s="404">
        <v>0</v>
      </c>
      <c r="BK812" s="404">
        <v>0</v>
      </c>
      <c r="BL812" s="347">
        <f>BJ812+BK812</f>
        <v>0</v>
      </c>
      <c r="BM812" s="404">
        <v>0</v>
      </c>
      <c r="BN812" s="404">
        <v>0</v>
      </c>
      <c r="BO812" s="347">
        <f>BM812+BN812</f>
        <v>0</v>
      </c>
      <c r="BP812" s="404">
        <v>0</v>
      </c>
      <c r="BQ812" s="404">
        <v>0</v>
      </c>
      <c r="BR812" s="347">
        <f>BP812+BQ812</f>
        <v>0</v>
      </c>
    </row>
    <row r="813" spans="2:70" outlineLevel="2">
      <c r="B813" s="5"/>
      <c r="C813" s="30" t="s">
        <v>89</v>
      </c>
      <c r="D813" s="31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V813" s="709"/>
      <c r="Z813" s="156">
        <f>W813+Z812</f>
        <v>0</v>
      </c>
      <c r="AA813" s="156">
        <f>X813+AA812</f>
        <v>0</v>
      </c>
      <c r="AB813" s="157">
        <f>SUM(Z813:AA813)</f>
        <v>0</v>
      </c>
      <c r="AC813" s="156">
        <f>AA813+AC812</f>
        <v>0</v>
      </c>
      <c r="AD813" s="156">
        <f>AA813+AD812</f>
        <v>0</v>
      </c>
      <c r="AE813" s="157">
        <f>SUM(AC813:AD813)</f>
        <v>0</v>
      </c>
      <c r="AF813" s="157">
        <f>AD813+AF812</f>
        <v>0</v>
      </c>
      <c r="AG813" s="1031">
        <f>AD813+AG812</f>
        <v>0</v>
      </c>
      <c r="AH813" s="347">
        <f>AF813+AG813</f>
        <v>0</v>
      </c>
      <c r="AI813" s="156">
        <f>AG813+AI812</f>
        <v>0</v>
      </c>
      <c r="AJ813" s="156">
        <f>AG813+AJ812</f>
        <v>0</v>
      </c>
      <c r="AK813" s="347">
        <f>AI813+AJ813</f>
        <v>0</v>
      </c>
      <c r="AL813" s="156">
        <f>AJ813+AL812</f>
        <v>0</v>
      </c>
      <c r="AM813" s="156">
        <f>AJ813+AM812</f>
        <v>0</v>
      </c>
      <c r="AN813" s="347">
        <f>AL813+AM813</f>
        <v>0</v>
      </c>
      <c r="AO813" s="156">
        <f>AM813+AO812</f>
        <v>0</v>
      </c>
      <c r="AP813" s="156">
        <f>AM813+AP812</f>
        <v>0</v>
      </c>
      <c r="AQ813" s="347">
        <f>AO813+AP813</f>
        <v>0</v>
      </c>
      <c r="AR813" s="156">
        <f>AP813+AR812</f>
        <v>0</v>
      </c>
      <c r="AS813" s="156">
        <f>AP813+AS812</f>
        <v>0</v>
      </c>
      <c r="AT813" s="347">
        <f>AR813+AS813</f>
        <v>0</v>
      </c>
      <c r="AU813" s="156">
        <f>AS813+AU812</f>
        <v>0</v>
      </c>
      <c r="AV813" s="156">
        <f>AS813+AV812</f>
        <v>0</v>
      </c>
      <c r="AW813" s="347">
        <f>AU813+AV813</f>
        <v>0</v>
      </c>
      <c r="AX813" s="156">
        <f>AV813+AX812</f>
        <v>0</v>
      </c>
      <c r="AY813" s="156">
        <f>AV813+AY812</f>
        <v>0</v>
      </c>
      <c r="AZ813" s="347">
        <f>AX813+AY813</f>
        <v>0</v>
      </c>
      <c r="BA813" s="156">
        <f>AY813+BA812</f>
        <v>0</v>
      </c>
      <c r="BB813" s="156">
        <f>AY813+BB812</f>
        <v>0</v>
      </c>
      <c r="BC813" s="347">
        <f>BA813+BB813</f>
        <v>0</v>
      </c>
      <c r="BD813" s="156">
        <f>BB813+BD812</f>
        <v>0</v>
      </c>
      <c r="BE813" s="156">
        <f>BB813+BE812</f>
        <v>0</v>
      </c>
      <c r="BF813" s="347">
        <f>BD813+BE813</f>
        <v>0</v>
      </c>
      <c r="BG813" s="156">
        <f>BE813+BG812</f>
        <v>0</v>
      </c>
      <c r="BH813" s="156">
        <f>BE813+BH812</f>
        <v>0</v>
      </c>
      <c r="BI813" s="347">
        <f>BG813+BH813</f>
        <v>0</v>
      </c>
      <c r="BJ813" s="156">
        <f>BH813+BJ812</f>
        <v>0</v>
      </c>
      <c r="BK813" s="156">
        <f>BH813+BK812</f>
        <v>0</v>
      </c>
      <c r="BL813" s="347">
        <f>BJ813+BK813</f>
        <v>0</v>
      </c>
      <c r="BM813" s="156">
        <f>BK813+BM812</f>
        <v>0</v>
      </c>
      <c r="BN813" s="156">
        <f>BK813+BN812</f>
        <v>0</v>
      </c>
      <c r="BO813" s="347">
        <f>BM813+BN813</f>
        <v>0</v>
      </c>
      <c r="BP813" s="156">
        <f>BN813+BP812</f>
        <v>0</v>
      </c>
      <c r="BQ813" s="156">
        <f>BN813+BQ812</f>
        <v>0</v>
      </c>
      <c r="BR813" s="347">
        <f>BP813+BQ813</f>
        <v>0</v>
      </c>
    </row>
    <row r="814" spans="2:70" outlineLevel="2">
      <c r="B814" s="5"/>
      <c r="C814" s="30" t="s">
        <v>264</v>
      </c>
      <c r="D814" s="31" t="s">
        <v>66</v>
      </c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V814" s="706">
        <f>V812/V806</f>
        <v>0</v>
      </c>
      <c r="Z814" s="343"/>
      <c r="AA814" s="167"/>
      <c r="AB814" s="157"/>
      <c r="AC814" s="157"/>
      <c r="AD814" s="157"/>
      <c r="AE814" s="157"/>
      <c r="AF814" s="157"/>
      <c r="AG814" s="1031"/>
      <c r="AH814" s="30"/>
      <c r="AI814" s="157"/>
      <c r="AJ814" s="157"/>
      <c r="AK814" s="30"/>
      <c r="AL814" s="157"/>
      <c r="AM814" s="157"/>
      <c r="AN814" s="30"/>
      <c r="AO814" s="157"/>
      <c r="AP814" s="157"/>
      <c r="AQ814" s="30"/>
      <c r="AR814" s="157"/>
      <c r="AS814" s="157"/>
      <c r="AT814" s="30"/>
      <c r="AU814" s="157"/>
      <c r="AV814" s="157"/>
      <c r="AW814" s="30"/>
      <c r="AX814" s="157"/>
      <c r="AY814" s="157"/>
      <c r="AZ814" s="30"/>
      <c r="BA814" s="157"/>
      <c r="BB814" s="157"/>
      <c r="BC814" s="30"/>
      <c r="BD814" s="157"/>
      <c r="BE814" s="157"/>
      <c r="BF814" s="30"/>
      <c r="BG814" s="157"/>
      <c r="BH814" s="157"/>
      <c r="BI814" s="30"/>
      <c r="BJ814" s="157"/>
      <c r="BK814" s="157"/>
      <c r="BL814" s="30"/>
      <c r="BM814" s="157"/>
      <c r="BN814" s="157"/>
      <c r="BO814" s="30"/>
      <c r="BP814" s="157"/>
      <c r="BQ814" s="157"/>
      <c r="BR814" s="30"/>
    </row>
    <row r="815" spans="2:70" outlineLevel="2">
      <c r="B815" s="5"/>
      <c r="C815" s="30" t="s">
        <v>79</v>
      </c>
      <c r="D815" s="31" t="s">
        <v>530</v>
      </c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V815" s="709">
        <f>V804*V816</f>
        <v>19.600000000000001</v>
      </c>
      <c r="Z815" s="164">
        <f t="shared" ref="Z815:AA815" si="2731">Z813+Z810</f>
        <v>6.5333333333333332</v>
      </c>
      <c r="AA815" s="164">
        <f t="shared" si="2731"/>
        <v>9.8000000000000007</v>
      </c>
      <c r="AB815" s="164">
        <f>SUM(Z815:AA815)</f>
        <v>16.333333333333336</v>
      </c>
      <c r="AC815" s="164">
        <f t="shared" ref="AC815:AE815" si="2732">AC813+AC810</f>
        <v>9.8000000000000007</v>
      </c>
      <c r="AD815" s="164">
        <f t="shared" si="2732"/>
        <v>9.8000000000000007</v>
      </c>
      <c r="AE815" s="164">
        <f t="shared" si="2732"/>
        <v>19.600000000000001</v>
      </c>
      <c r="AF815" s="164">
        <f t="shared" ref="AF815:AG815" si="2733">AF813+AF810</f>
        <v>9.8000000000000007</v>
      </c>
      <c r="AG815" s="1018">
        <f t="shared" si="2733"/>
        <v>9.8000000000000007</v>
      </c>
      <c r="AH815" s="347">
        <f>AF815+AG815</f>
        <v>19.600000000000001</v>
      </c>
      <c r="AI815" s="164">
        <f t="shared" ref="AI815:AJ815" si="2734">AI813+AI810</f>
        <v>9.8000000000000007</v>
      </c>
      <c r="AJ815" s="164">
        <f t="shared" si="2734"/>
        <v>9.8000000000000007</v>
      </c>
      <c r="AK815" s="347">
        <f>AI815+AJ815</f>
        <v>19.600000000000001</v>
      </c>
      <c r="AL815" s="164">
        <f t="shared" ref="AL815:AM815" si="2735">AL813+AL810</f>
        <v>9.8000000000000007</v>
      </c>
      <c r="AM815" s="164">
        <f t="shared" si="2735"/>
        <v>9.8000000000000007</v>
      </c>
      <c r="AN815" s="347">
        <f>AL815+AM815</f>
        <v>19.600000000000001</v>
      </c>
      <c r="AO815" s="164">
        <f t="shared" ref="AO815:AP815" si="2736">AO813+AO810</f>
        <v>9.8000000000000007</v>
      </c>
      <c r="AP815" s="164">
        <f t="shared" si="2736"/>
        <v>9.8000000000000007</v>
      </c>
      <c r="AQ815" s="347">
        <f>AO815+AP815</f>
        <v>19.600000000000001</v>
      </c>
      <c r="AR815" s="164">
        <f t="shared" ref="AR815:AS815" si="2737">AR813+AR810</f>
        <v>9.8000000000000007</v>
      </c>
      <c r="AS815" s="164">
        <f t="shared" si="2737"/>
        <v>9.8000000000000007</v>
      </c>
      <c r="AT815" s="347">
        <f>AR815+AS815</f>
        <v>19.600000000000001</v>
      </c>
      <c r="AU815" s="164">
        <f t="shared" ref="AU815:AV815" si="2738">AU813+AU810</f>
        <v>9.8000000000000007</v>
      </c>
      <c r="AV815" s="164">
        <f t="shared" si="2738"/>
        <v>9.8000000000000007</v>
      </c>
      <c r="AW815" s="347">
        <f>AU815+AV815</f>
        <v>19.600000000000001</v>
      </c>
      <c r="AX815" s="164">
        <f t="shared" ref="AX815:AY815" si="2739">AX813+AX810</f>
        <v>9.8000000000000007</v>
      </c>
      <c r="AY815" s="164">
        <f t="shared" si="2739"/>
        <v>9.8000000000000007</v>
      </c>
      <c r="AZ815" s="347">
        <f>AX815+AY815</f>
        <v>19.600000000000001</v>
      </c>
      <c r="BA815" s="164">
        <f t="shared" ref="BA815:BB815" si="2740">BA813+BA810</f>
        <v>9.8000000000000007</v>
      </c>
      <c r="BB815" s="164">
        <f t="shared" si="2740"/>
        <v>9.8000000000000007</v>
      </c>
      <c r="BC815" s="347">
        <f>BA815+BB815</f>
        <v>19.600000000000001</v>
      </c>
      <c r="BD815" s="164">
        <f t="shared" ref="BD815:BE815" si="2741">BD813+BD810</f>
        <v>9.8000000000000007</v>
      </c>
      <c r="BE815" s="164">
        <f t="shared" si="2741"/>
        <v>9.8000000000000007</v>
      </c>
      <c r="BF815" s="347">
        <f>BD815+BE815</f>
        <v>19.600000000000001</v>
      </c>
      <c r="BG815" s="164">
        <f t="shared" ref="BG815:BH815" si="2742">BG813+BG810</f>
        <v>9.8000000000000007</v>
      </c>
      <c r="BH815" s="164">
        <f t="shared" si="2742"/>
        <v>9.8000000000000007</v>
      </c>
      <c r="BI815" s="347">
        <f>BG815+BH815</f>
        <v>19.600000000000001</v>
      </c>
      <c r="BJ815" s="164">
        <f t="shared" ref="BJ815:BK815" si="2743">BJ813+BJ810</f>
        <v>9.8000000000000007</v>
      </c>
      <c r="BK815" s="164">
        <f t="shared" si="2743"/>
        <v>9.8000000000000007</v>
      </c>
      <c r="BL815" s="347">
        <f>BJ815+BK815</f>
        <v>19.600000000000001</v>
      </c>
      <c r="BM815" s="164">
        <f t="shared" ref="BM815:BN815" si="2744">BM813+BM810</f>
        <v>9.8000000000000007</v>
      </c>
      <c r="BN815" s="164">
        <f t="shared" si="2744"/>
        <v>9.8000000000000007</v>
      </c>
      <c r="BO815" s="347">
        <f>BM815+BN815</f>
        <v>19.600000000000001</v>
      </c>
      <c r="BP815" s="164">
        <f t="shared" ref="BP815:BQ815" si="2745">BP813+BP810</f>
        <v>9.8000000000000007</v>
      </c>
      <c r="BQ815" s="164">
        <f t="shared" si="2745"/>
        <v>9.8000000000000007</v>
      </c>
      <c r="BR815" s="347">
        <f>BP815+BQ815</f>
        <v>19.600000000000001</v>
      </c>
    </row>
    <row r="816" spans="2:70" outlineLevel="2">
      <c r="B816" s="5"/>
      <c r="C816" s="30" t="s">
        <v>75</v>
      </c>
      <c r="D816" s="31" t="s">
        <v>66</v>
      </c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V816" s="712">
        <v>0.2</v>
      </c>
      <c r="Z816" s="133">
        <f>Z815/$V$804*2</f>
        <v>0.13333333333333333</v>
      </c>
      <c r="AA816" s="133">
        <f>AA815/$V$804*2</f>
        <v>0.2</v>
      </c>
      <c r="AB816" s="133">
        <f>AB815/$V$804</f>
        <v>0.16666666666666669</v>
      </c>
      <c r="AC816" s="133">
        <f>AC815/$V$804*2</f>
        <v>0.2</v>
      </c>
      <c r="AD816" s="133">
        <f>AD815/$V$804*2</f>
        <v>0.2</v>
      </c>
      <c r="AE816" s="133">
        <f>AE815/$V$804</f>
        <v>0.2</v>
      </c>
      <c r="AF816" s="133">
        <f>AF815/$V$804*2</f>
        <v>0.2</v>
      </c>
      <c r="AG816" s="938">
        <f>AG815/$V$804*2</f>
        <v>0.2</v>
      </c>
      <c r="AH816" s="162">
        <f>AH815/$V$804</f>
        <v>0.2</v>
      </c>
      <c r="AI816" s="133">
        <f>AI815/$V$804*2</f>
        <v>0.2</v>
      </c>
      <c r="AJ816" s="133">
        <f>AJ815/$V$804*2</f>
        <v>0.2</v>
      </c>
      <c r="AK816" s="162">
        <f>AK815/$V$804</f>
        <v>0.2</v>
      </c>
      <c r="AL816" s="133">
        <f>AL815/$V$804*2</f>
        <v>0.2</v>
      </c>
      <c r="AM816" s="133">
        <f>AM815/$V$804*2</f>
        <v>0.2</v>
      </c>
      <c r="AN816" s="162">
        <f>AN815/$V$804</f>
        <v>0.2</v>
      </c>
      <c r="AO816" s="133">
        <f>AO815/$V$804*2</f>
        <v>0.2</v>
      </c>
      <c r="AP816" s="133">
        <f>AP815/$V$804*2</f>
        <v>0.2</v>
      </c>
      <c r="AQ816" s="162">
        <f>AQ815/$V$804</f>
        <v>0.2</v>
      </c>
      <c r="AR816" s="133">
        <f>AR815/$V$804*2</f>
        <v>0.2</v>
      </c>
      <c r="AS816" s="133">
        <f>AS815/$V$804*2</f>
        <v>0.2</v>
      </c>
      <c r="AT816" s="162">
        <f>AT815/$V$804</f>
        <v>0.2</v>
      </c>
      <c r="AU816" s="133">
        <f>AU815/$V$804*2</f>
        <v>0.2</v>
      </c>
      <c r="AV816" s="133">
        <f>AV815/$V$804*2</f>
        <v>0.2</v>
      </c>
      <c r="AW816" s="162">
        <f>AW815/$V$804</f>
        <v>0.2</v>
      </c>
      <c r="AX816" s="133">
        <f>AX815/$V$804*2</f>
        <v>0.2</v>
      </c>
      <c r="AY816" s="133">
        <f>AY815/$V$804*2</f>
        <v>0.2</v>
      </c>
      <c r="AZ816" s="162">
        <f>AZ815/$V$804</f>
        <v>0.2</v>
      </c>
      <c r="BA816" s="133">
        <f>BA815/$V$804*2</f>
        <v>0.2</v>
      </c>
      <c r="BB816" s="133">
        <f>BB815/$V$804*2</f>
        <v>0.2</v>
      </c>
      <c r="BC816" s="162">
        <f>BC815/$V$804</f>
        <v>0.2</v>
      </c>
      <c r="BD816" s="133">
        <f>BD815/$V$804*2</f>
        <v>0.2</v>
      </c>
      <c r="BE816" s="133">
        <f>BE815/$V$804*2</f>
        <v>0.2</v>
      </c>
      <c r="BF816" s="162">
        <f>BF815/$V$804</f>
        <v>0.2</v>
      </c>
      <c r="BG816" s="133">
        <f>BG815/$V$804*2</f>
        <v>0.2</v>
      </c>
      <c r="BH816" s="133">
        <f>BH815/$V$804*2</f>
        <v>0.2</v>
      </c>
      <c r="BI816" s="162">
        <f>BI815/$V$804</f>
        <v>0.2</v>
      </c>
      <c r="BJ816" s="133">
        <f>BJ815/$V$804*2</f>
        <v>0.2</v>
      </c>
      <c r="BK816" s="133">
        <f>BK815/$V$804*2</f>
        <v>0.2</v>
      </c>
      <c r="BL816" s="162">
        <f>BL815/$V$804</f>
        <v>0.2</v>
      </c>
      <c r="BM816" s="133">
        <f>BM815/$V$804*2</f>
        <v>0.2</v>
      </c>
      <c r="BN816" s="133">
        <f>BN815/$V$804*2</f>
        <v>0.2</v>
      </c>
      <c r="BO816" s="162">
        <f>BO815/$V$804</f>
        <v>0.2</v>
      </c>
      <c r="BP816" s="133">
        <f>BP815/$V$804*2</f>
        <v>0.2</v>
      </c>
      <c r="BQ816" s="133">
        <f>BQ815/$V$804*2</f>
        <v>0.2</v>
      </c>
      <c r="BR816" s="162">
        <f>BR815/$V$804</f>
        <v>0.2</v>
      </c>
    </row>
    <row r="817" spans="2:70" outlineLevel="2">
      <c r="B817" s="5"/>
      <c r="C817" s="30" t="s">
        <v>57</v>
      </c>
      <c r="D817" s="7" t="s">
        <v>85</v>
      </c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V817" s="713">
        <f>V815/Y265</f>
        <v>62.645042242634176</v>
      </c>
      <c r="Z817" s="157">
        <f t="shared" ref="Z817:BR817" si="2746">Z815*Z265</f>
        <v>1.6121549393939392</v>
      </c>
      <c r="AA817" s="157">
        <f t="shared" si="2746"/>
        <v>2.3815809230769234</v>
      </c>
      <c r="AB817" s="157">
        <f t="shared" si="2746"/>
        <v>3.9998444434731937</v>
      </c>
      <c r="AC817" s="157">
        <f t="shared" si="2746"/>
        <v>2.7343979988345</v>
      </c>
      <c r="AD817" s="157">
        <f t="shared" si="2746"/>
        <v>2.8491042461538467</v>
      </c>
      <c r="AE817" s="172">
        <f t="shared" si="2746"/>
        <v>5.5835022449883471</v>
      </c>
      <c r="AF817" s="157">
        <f t="shared" si="2746"/>
        <v>2.7343979988345</v>
      </c>
      <c r="AG817" s="1031">
        <f t="shared" si="2746"/>
        <v>2.8491042461538467</v>
      </c>
      <c r="AH817" s="157">
        <f t="shared" si="2746"/>
        <v>5.5835022449883471</v>
      </c>
      <c r="AI817" s="157">
        <f t="shared" si="2746"/>
        <v>2.7343979988345</v>
      </c>
      <c r="AJ817" s="157">
        <f t="shared" si="2746"/>
        <v>2.8491042461538467</v>
      </c>
      <c r="AK817" s="157">
        <f t="shared" si="2746"/>
        <v>5.5835022449883471</v>
      </c>
      <c r="AL817" s="157">
        <f t="shared" si="2746"/>
        <v>2.7343979988345</v>
      </c>
      <c r="AM817" s="157">
        <f t="shared" si="2746"/>
        <v>2.8491042461538467</v>
      </c>
      <c r="AN817" s="157">
        <f t="shared" si="2746"/>
        <v>5.5835022449883471</v>
      </c>
      <c r="AO817" s="157">
        <f t="shared" si="2746"/>
        <v>2.7343979988345</v>
      </c>
      <c r="AP817" s="157">
        <f t="shared" si="2746"/>
        <v>2.8491042461538467</v>
      </c>
      <c r="AQ817" s="157">
        <f t="shared" si="2746"/>
        <v>5.5835022449883471</v>
      </c>
      <c r="AR817" s="157">
        <f t="shared" si="2746"/>
        <v>2.7343979988345</v>
      </c>
      <c r="AS817" s="157">
        <f t="shared" si="2746"/>
        <v>2.8491042461538467</v>
      </c>
      <c r="AT817" s="157">
        <f t="shared" si="2746"/>
        <v>5.5835022449883471</v>
      </c>
      <c r="AU817" s="157">
        <f t="shared" si="2746"/>
        <v>2.7343979988345</v>
      </c>
      <c r="AV817" s="157">
        <f t="shared" si="2746"/>
        <v>2.8491042461538467</v>
      </c>
      <c r="AW817" s="157">
        <f t="shared" si="2746"/>
        <v>5.5835022449883471</v>
      </c>
      <c r="AX817" s="157">
        <f t="shared" si="2746"/>
        <v>2.7343979988345</v>
      </c>
      <c r="AY817" s="157">
        <f t="shared" si="2746"/>
        <v>2.8491042461538467</v>
      </c>
      <c r="AZ817" s="157">
        <f t="shared" si="2746"/>
        <v>5.5835022449883471</v>
      </c>
      <c r="BA817" s="157">
        <f t="shared" si="2746"/>
        <v>2.7343979988345</v>
      </c>
      <c r="BB817" s="157">
        <f t="shared" si="2746"/>
        <v>2.8491042461538467</v>
      </c>
      <c r="BC817" s="157">
        <f t="shared" si="2746"/>
        <v>5.5835022449883471</v>
      </c>
      <c r="BD817" s="157">
        <f t="shared" si="2746"/>
        <v>2.7343979988345</v>
      </c>
      <c r="BE817" s="157">
        <f t="shared" si="2746"/>
        <v>2.8491042461538467</v>
      </c>
      <c r="BF817" s="157">
        <f t="shared" si="2746"/>
        <v>5.5835022449883471</v>
      </c>
      <c r="BG817" s="157">
        <f t="shared" si="2746"/>
        <v>2.7343979988345</v>
      </c>
      <c r="BH817" s="157">
        <f t="shared" si="2746"/>
        <v>2.8491042461538467</v>
      </c>
      <c r="BI817" s="157">
        <f t="shared" si="2746"/>
        <v>5.5835022449883471</v>
      </c>
      <c r="BJ817" s="157">
        <f t="shared" si="2746"/>
        <v>2.7343979988345</v>
      </c>
      <c r="BK817" s="157">
        <f t="shared" si="2746"/>
        <v>2.8491042461538467</v>
      </c>
      <c r="BL817" s="157">
        <f t="shared" si="2746"/>
        <v>5.5835022449883471</v>
      </c>
      <c r="BM817" s="157">
        <f t="shared" si="2746"/>
        <v>2.7343979988345</v>
      </c>
      <c r="BN817" s="157">
        <f t="shared" si="2746"/>
        <v>2.8491042461538467</v>
      </c>
      <c r="BO817" s="157">
        <f t="shared" si="2746"/>
        <v>5.5835022449883471</v>
      </c>
      <c r="BP817" s="157">
        <f t="shared" si="2746"/>
        <v>2.7343979988345</v>
      </c>
      <c r="BQ817" s="157">
        <f t="shared" si="2746"/>
        <v>2.8491042461538467</v>
      </c>
      <c r="BR817" s="157">
        <f t="shared" si="2746"/>
        <v>5.5835022449883471</v>
      </c>
    </row>
    <row r="818" spans="2:70" outlineLevel="2">
      <c r="B818" s="5"/>
      <c r="C818" s="511" t="s">
        <v>267</v>
      </c>
      <c r="D818" s="512" t="s">
        <v>85</v>
      </c>
      <c r="E818" s="512"/>
      <c r="F818" s="512"/>
      <c r="G818" s="512"/>
      <c r="H818" s="512"/>
      <c r="I818" s="512"/>
      <c r="J818" s="512"/>
      <c r="K818" s="512"/>
      <c r="L818" s="512"/>
      <c r="M818" s="512"/>
      <c r="N818" s="512"/>
      <c r="O818" s="512"/>
      <c r="P818" s="513"/>
      <c r="Q818" s="513"/>
      <c r="R818" s="513"/>
      <c r="S818" s="513"/>
      <c r="T818" s="513"/>
      <c r="U818" s="513"/>
      <c r="V818" s="513"/>
      <c r="W818" s="513"/>
      <c r="X818" s="513"/>
      <c r="Y818" s="513"/>
      <c r="Z818" s="514">
        <f>(Z806-W806)*Z265</f>
        <v>16.450560606060602</v>
      </c>
      <c r="AA818" s="514">
        <f>(AA806-X806)*AA265</f>
        <v>24.301846153846153</v>
      </c>
      <c r="AB818" s="514">
        <f>Z818+AA818</f>
        <v>40.752406759906755</v>
      </c>
      <c r="AC818" s="514">
        <f>(AC806-Z806)*AC265</f>
        <v>9.3006734654234702</v>
      </c>
      <c r="AD818" s="514">
        <f>(AD806-AA806)*AD265</f>
        <v>0</v>
      </c>
      <c r="AE818" s="514">
        <f t="shared" ref="AE818:AE819" si="2747">AC818+AD818</f>
        <v>9.3006734654234702</v>
      </c>
      <c r="AF818" s="514">
        <f>(AF806-AC806)*AF265</f>
        <v>0</v>
      </c>
      <c r="AG818" s="1020">
        <f>(AG806-AD806)*AG265</f>
        <v>0</v>
      </c>
      <c r="AH818" s="514">
        <f t="shared" ref="AH818:AH819" si="2748">AF818+AG818</f>
        <v>0</v>
      </c>
      <c r="AI818" s="514">
        <f>(AI806-AF806)*AI265</f>
        <v>0</v>
      </c>
      <c r="AJ818" s="514">
        <f>(AJ806-AG806)*AJ265</f>
        <v>0</v>
      </c>
      <c r="AK818" s="514">
        <f t="shared" ref="AK818:AK819" si="2749">AI818+AJ818</f>
        <v>0</v>
      </c>
      <c r="AL818" s="514">
        <f>(AL806-AI806)*AL265</f>
        <v>0</v>
      </c>
      <c r="AM818" s="514">
        <f>(AM806-AJ806)*AM265</f>
        <v>0</v>
      </c>
      <c r="AN818" s="514">
        <f t="shared" ref="AN818:AN819" si="2750">AL818+AM818</f>
        <v>0</v>
      </c>
      <c r="AO818" s="514">
        <f>(AO806-AL806)*AO265</f>
        <v>0</v>
      </c>
      <c r="AP818" s="514">
        <f>(AP806-AM806)*AP265</f>
        <v>0</v>
      </c>
      <c r="AQ818" s="514">
        <f t="shared" ref="AQ818:AQ820" si="2751">AO818+AP818</f>
        <v>0</v>
      </c>
      <c r="AR818" s="514">
        <f>(AR806-AO806)*AR265</f>
        <v>0</v>
      </c>
      <c r="AS818" s="514">
        <f>(AS806-AP806)*AS265</f>
        <v>0</v>
      </c>
      <c r="AT818" s="514">
        <f t="shared" ref="AT818:AT820" si="2752">AR818+AS818</f>
        <v>0</v>
      </c>
      <c r="AU818" s="514">
        <f>(AU806-AR806)*AU265</f>
        <v>0</v>
      </c>
      <c r="AV818" s="514">
        <f>(AV806-AS806)*AV265</f>
        <v>0</v>
      </c>
      <c r="AW818" s="514">
        <f t="shared" ref="AW818:AW820" si="2753">AU818+AV818</f>
        <v>0</v>
      </c>
      <c r="AX818" s="514">
        <f>(AX806-AU806)*AX265</f>
        <v>0</v>
      </c>
      <c r="AY818" s="514">
        <f>(AY806-AV806)*AY265</f>
        <v>0</v>
      </c>
      <c r="AZ818" s="514">
        <f t="shared" ref="AZ818:AZ820" si="2754">AX818+AY818</f>
        <v>0</v>
      </c>
      <c r="BA818" s="514">
        <f>(BA806-AX806)*BA265</f>
        <v>0</v>
      </c>
      <c r="BB818" s="514">
        <f>(BB806-AY806)*BB265</f>
        <v>0</v>
      </c>
      <c r="BC818" s="514">
        <f t="shared" ref="BC818:BC820" si="2755">BA818+BB818</f>
        <v>0</v>
      </c>
      <c r="BD818" s="514">
        <f>(BD806-BA806)*BD265</f>
        <v>0</v>
      </c>
      <c r="BE818" s="514">
        <f>(BE806-BB806)*BE265</f>
        <v>0</v>
      </c>
      <c r="BF818" s="514">
        <f t="shared" ref="BF818:BF820" si="2756">BD818+BE818</f>
        <v>0</v>
      </c>
      <c r="BG818" s="514">
        <f>(BG806-BD806)*BG265</f>
        <v>0</v>
      </c>
      <c r="BH818" s="514">
        <f>(BH806-BE806)*BH265</f>
        <v>0</v>
      </c>
      <c r="BI818" s="514">
        <f t="shared" ref="BI818:BI820" si="2757">BG818+BH818</f>
        <v>0</v>
      </c>
      <c r="BJ818" s="514">
        <f>(BJ806-BG806)*BJ265</f>
        <v>0</v>
      </c>
      <c r="BK818" s="514">
        <f>(BK806-BH806)*BK265</f>
        <v>0</v>
      </c>
      <c r="BL818" s="514">
        <f t="shared" ref="BL818:BL820" si="2758">BJ818+BK818</f>
        <v>0</v>
      </c>
      <c r="BM818" s="514">
        <f>(BM806-BJ806)*BM265</f>
        <v>0</v>
      </c>
      <c r="BN818" s="514">
        <f>(BN806-BK806)*BN265</f>
        <v>0</v>
      </c>
      <c r="BO818" s="514">
        <f t="shared" ref="BO818:BO820" si="2759">BM818+BN818</f>
        <v>0</v>
      </c>
      <c r="BP818" s="514">
        <f>(BP806-BM806)*BP265</f>
        <v>0</v>
      </c>
      <c r="BQ818" s="514">
        <f>(BQ806-BN806)*BQ265</f>
        <v>0</v>
      </c>
      <c r="BR818" s="515">
        <f t="shared" ref="BR818:BR820" si="2760">BP818+BQ818</f>
        <v>0</v>
      </c>
    </row>
    <row r="819" spans="2:70" outlineLevel="2">
      <c r="B819" s="5"/>
      <c r="C819" s="516" t="s">
        <v>268</v>
      </c>
      <c r="D819" s="401" t="s">
        <v>85</v>
      </c>
      <c r="E819" s="401"/>
      <c r="F819" s="401"/>
      <c r="G819" s="401"/>
      <c r="H819" s="401"/>
      <c r="I819" s="401"/>
      <c r="J819" s="401"/>
      <c r="K819" s="401"/>
      <c r="L819" s="401"/>
      <c r="M819" s="401"/>
      <c r="N819" s="401"/>
      <c r="O819" s="401"/>
      <c r="P819" s="130"/>
      <c r="Q819" s="130"/>
      <c r="R819" s="130"/>
      <c r="S819" s="130"/>
      <c r="T819" s="130"/>
      <c r="U819" s="130"/>
      <c r="V819" s="130"/>
      <c r="W819" s="130"/>
      <c r="X819" s="130"/>
      <c r="Y819" s="130"/>
      <c r="Z819" s="171">
        <f>(Z809-W809)*Z265</f>
        <v>-0.49351681818181814</v>
      </c>
      <c r="AA819" s="171">
        <f>(AA809-X809)*AA265</f>
        <v>-0.72905538461538466</v>
      </c>
      <c r="AB819" s="171">
        <f>Z819+AA819</f>
        <v>-1.2225722027972028</v>
      </c>
      <c r="AC819" s="171">
        <f>(AC809-Z809)*AC265</f>
        <v>-0.27902020396270416</v>
      </c>
      <c r="AD819" s="171">
        <f>(AD809-AA809)*AD265</f>
        <v>-1.2910780137295102E-16</v>
      </c>
      <c r="AE819" s="171">
        <f t="shared" si="2747"/>
        <v>-0.27902020396270427</v>
      </c>
      <c r="AF819" s="171">
        <f>(AF809-AC809)*AF265</f>
        <v>0</v>
      </c>
      <c r="AG819" s="937">
        <f>(AG809-AD809)*AG265</f>
        <v>0</v>
      </c>
      <c r="AH819" s="171">
        <f t="shared" si="2748"/>
        <v>0</v>
      </c>
      <c r="AI819" s="171">
        <f>(AI809-AF809)*AI265</f>
        <v>0</v>
      </c>
      <c r="AJ819" s="171">
        <f>(AJ809-AG809)*AJ265</f>
        <v>0</v>
      </c>
      <c r="AK819" s="171">
        <f t="shared" si="2749"/>
        <v>0</v>
      </c>
      <c r="AL819" s="171">
        <f>(AL809-AI809)*AL265</f>
        <v>0</v>
      </c>
      <c r="AM819" s="171">
        <f>(AM809-AJ809)*AM265</f>
        <v>0</v>
      </c>
      <c r="AN819" s="171">
        <f t="shared" si="2750"/>
        <v>0</v>
      </c>
      <c r="AO819" s="171">
        <f>(AO809-AL809)*AO265</f>
        <v>0</v>
      </c>
      <c r="AP819" s="171">
        <f>(AP809-AM809)*AP265</f>
        <v>0</v>
      </c>
      <c r="AQ819" s="171">
        <f t="shared" si="2751"/>
        <v>0</v>
      </c>
      <c r="AR819" s="171">
        <f>(AR809-AO809)*AR265</f>
        <v>0</v>
      </c>
      <c r="AS819" s="171">
        <f>(AS809-AP809)*AS265</f>
        <v>0</v>
      </c>
      <c r="AT819" s="171">
        <f t="shared" si="2752"/>
        <v>0</v>
      </c>
      <c r="AU819" s="171">
        <f>(AU809-AR809)*AU265</f>
        <v>0</v>
      </c>
      <c r="AV819" s="171">
        <f>(AV809-AS809)*AV265</f>
        <v>0</v>
      </c>
      <c r="AW819" s="171">
        <f t="shared" si="2753"/>
        <v>0</v>
      </c>
      <c r="AX819" s="171">
        <f>(AX809-AU809)*AX265</f>
        <v>0</v>
      </c>
      <c r="AY819" s="171">
        <f>(AY809-AV809)*AY265</f>
        <v>0</v>
      </c>
      <c r="AZ819" s="171">
        <f t="shared" si="2754"/>
        <v>0</v>
      </c>
      <c r="BA819" s="171">
        <f>(BA809-AX809)*BA265</f>
        <v>0</v>
      </c>
      <c r="BB819" s="171">
        <f>(BB809-AY809)*BB265</f>
        <v>0</v>
      </c>
      <c r="BC819" s="171">
        <f t="shared" si="2755"/>
        <v>0</v>
      </c>
      <c r="BD819" s="171">
        <f>(BD809-BA809)*BD265</f>
        <v>0</v>
      </c>
      <c r="BE819" s="171">
        <f>(BE809-BB809)*BE265</f>
        <v>0</v>
      </c>
      <c r="BF819" s="171">
        <f t="shared" si="2756"/>
        <v>0</v>
      </c>
      <c r="BG819" s="171">
        <f>(BG809-BD809)*BG265</f>
        <v>0</v>
      </c>
      <c r="BH819" s="171">
        <f>(BH809-BE809)*BH265</f>
        <v>0</v>
      </c>
      <c r="BI819" s="171">
        <f t="shared" si="2757"/>
        <v>0</v>
      </c>
      <c r="BJ819" s="171">
        <f>(BJ809-BG809)*BJ265</f>
        <v>0</v>
      </c>
      <c r="BK819" s="171">
        <f>(BK809-BH809)*BK265</f>
        <v>0</v>
      </c>
      <c r="BL819" s="171">
        <f t="shared" si="2758"/>
        <v>0</v>
      </c>
      <c r="BM819" s="171">
        <f>(BM809-BJ809)*BM265</f>
        <v>0</v>
      </c>
      <c r="BN819" s="171">
        <f>(BN809-BK809)*BN265</f>
        <v>0</v>
      </c>
      <c r="BO819" s="171">
        <f t="shared" si="2759"/>
        <v>0</v>
      </c>
      <c r="BP819" s="171">
        <f>(BP809-BM809)*BP265</f>
        <v>0</v>
      </c>
      <c r="BQ819" s="171">
        <f>(BQ809-BN809)*BQ265</f>
        <v>0</v>
      </c>
      <c r="BR819" s="517">
        <f t="shared" si="2760"/>
        <v>0</v>
      </c>
    </row>
    <row r="820" spans="2:70" outlineLevel="2">
      <c r="B820" s="5"/>
      <c r="C820" s="518" t="s">
        <v>269</v>
      </c>
      <c r="D820" s="519" t="s">
        <v>85</v>
      </c>
      <c r="E820" s="519"/>
      <c r="F820" s="519"/>
      <c r="G820" s="519"/>
      <c r="H820" s="519"/>
      <c r="I820" s="519"/>
      <c r="J820" s="519"/>
      <c r="K820" s="519"/>
      <c r="L820" s="519"/>
      <c r="M820" s="519"/>
      <c r="N820" s="519"/>
      <c r="O820" s="519"/>
      <c r="P820" s="520"/>
      <c r="Q820" s="520"/>
      <c r="R820" s="520"/>
      <c r="S820" s="520"/>
      <c r="T820" s="520"/>
      <c r="U820" s="520"/>
      <c r="V820" s="520"/>
      <c r="W820" s="520"/>
      <c r="X820" s="520"/>
      <c r="Y820" s="520"/>
      <c r="Z820" s="521">
        <f>+Z817-W817</f>
        <v>1.6121549393939392</v>
      </c>
      <c r="AA820" s="521">
        <f>+AA817-X817</f>
        <v>2.3815809230769234</v>
      </c>
      <c r="AB820" s="521">
        <f>Z820+AA820</f>
        <v>3.9937358624708628</v>
      </c>
      <c r="AC820" s="521">
        <f>+AC817-Z817</f>
        <v>1.1222430594405608</v>
      </c>
      <c r="AD820" s="521">
        <f>+AD817-AA817</f>
        <v>0.46752332307692335</v>
      </c>
      <c r="AE820" s="521">
        <f>AC820+AD820</f>
        <v>1.5897663825174841</v>
      </c>
      <c r="AF820" s="521">
        <f>+AF817-AC817</f>
        <v>0</v>
      </c>
      <c r="AG820" s="1021">
        <f>+AG817-AD817</f>
        <v>0</v>
      </c>
      <c r="AH820" s="521">
        <f>AF820+AG820</f>
        <v>0</v>
      </c>
      <c r="AI820" s="521">
        <f>+AI817-AF817</f>
        <v>0</v>
      </c>
      <c r="AJ820" s="521">
        <f>+AJ817-AG817</f>
        <v>0</v>
      </c>
      <c r="AK820" s="521">
        <f t="shared" ref="AK820" si="2761">AI820+AJ820</f>
        <v>0</v>
      </c>
      <c r="AL820" s="521">
        <f>+AL817-AI817</f>
        <v>0</v>
      </c>
      <c r="AM820" s="521">
        <f>+AM817-AJ817</f>
        <v>0</v>
      </c>
      <c r="AN820" s="521">
        <f t="shared" ref="AN820" si="2762">AL820+AM820</f>
        <v>0</v>
      </c>
      <c r="AO820" s="521">
        <f>+AO817-AL817</f>
        <v>0</v>
      </c>
      <c r="AP820" s="521">
        <f>+AP817-AM817</f>
        <v>0</v>
      </c>
      <c r="AQ820" s="521">
        <f t="shared" si="2751"/>
        <v>0</v>
      </c>
      <c r="AR820" s="521">
        <f>+AR817-AO817</f>
        <v>0</v>
      </c>
      <c r="AS820" s="521">
        <f>+AS817-AP817</f>
        <v>0</v>
      </c>
      <c r="AT820" s="521">
        <f t="shared" si="2752"/>
        <v>0</v>
      </c>
      <c r="AU820" s="521">
        <f>+AU817-AR817</f>
        <v>0</v>
      </c>
      <c r="AV820" s="521">
        <f>+AV817-AS817</f>
        <v>0</v>
      </c>
      <c r="AW820" s="521">
        <f t="shared" si="2753"/>
        <v>0</v>
      </c>
      <c r="AX820" s="521">
        <f>+AX817-AU817</f>
        <v>0</v>
      </c>
      <c r="AY820" s="521">
        <f>+AY817-AV817</f>
        <v>0</v>
      </c>
      <c r="AZ820" s="521">
        <f t="shared" si="2754"/>
        <v>0</v>
      </c>
      <c r="BA820" s="521">
        <f>+BA817-AX817</f>
        <v>0</v>
      </c>
      <c r="BB820" s="521">
        <f>+BB817-AY817</f>
        <v>0</v>
      </c>
      <c r="BC820" s="521">
        <f t="shared" si="2755"/>
        <v>0</v>
      </c>
      <c r="BD820" s="521">
        <f>+BD817-BA817</f>
        <v>0</v>
      </c>
      <c r="BE820" s="521">
        <f>+BE817-BB817</f>
        <v>0</v>
      </c>
      <c r="BF820" s="521">
        <f t="shared" si="2756"/>
        <v>0</v>
      </c>
      <c r="BG820" s="521">
        <f>+BG817-BD817</f>
        <v>0</v>
      </c>
      <c r="BH820" s="521">
        <f>+BH817-BE817</f>
        <v>0</v>
      </c>
      <c r="BI820" s="521">
        <f t="shared" si="2757"/>
        <v>0</v>
      </c>
      <c r="BJ820" s="521">
        <f>+BJ817-BG817</f>
        <v>0</v>
      </c>
      <c r="BK820" s="521">
        <f>+BK817-BH817</f>
        <v>0</v>
      </c>
      <c r="BL820" s="521">
        <f t="shared" si="2758"/>
        <v>0</v>
      </c>
      <c r="BM820" s="521">
        <f>+BM817-BJ817</f>
        <v>0</v>
      </c>
      <c r="BN820" s="521">
        <f>+BN817-BK817</f>
        <v>0</v>
      </c>
      <c r="BO820" s="521">
        <f t="shared" si="2759"/>
        <v>0</v>
      </c>
      <c r="BP820" s="521">
        <f>+BP817-BM817</f>
        <v>0</v>
      </c>
      <c r="BQ820" s="521">
        <f>+BQ817-BN817</f>
        <v>0</v>
      </c>
      <c r="BR820" s="522">
        <f t="shared" si="2760"/>
        <v>0</v>
      </c>
    </row>
    <row r="821" spans="2:70" outlineLevel="2">
      <c r="B821" s="5"/>
    </row>
    <row r="822" spans="2:70" outlineLevel="2">
      <c r="B822" s="5"/>
      <c r="C822" s="8" t="s">
        <v>527</v>
      </c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AF822" s="26"/>
      <c r="AG822" s="933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8"/>
      <c r="BC822" s="18"/>
      <c r="BD822" s="18"/>
      <c r="BE822" s="18"/>
      <c r="BF822" s="18"/>
      <c r="BG822" s="18"/>
      <c r="BH822" s="18"/>
      <c r="BI822" s="18"/>
      <c r="BJ822" s="18"/>
      <c r="BK822" s="18"/>
      <c r="BL822" s="18"/>
      <c r="BM822" s="18"/>
      <c r="BN822" s="18"/>
      <c r="BO822" s="18"/>
      <c r="BP822" s="18"/>
      <c r="BQ822" s="18"/>
      <c r="BR822" s="18"/>
    </row>
    <row r="823" spans="2:70" outlineLevel="2">
      <c r="B823" s="5"/>
      <c r="C823" s="9" t="s">
        <v>266</v>
      </c>
      <c r="D823" s="31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V823" s="701" t="s">
        <v>80</v>
      </c>
      <c r="Z823" s="130"/>
      <c r="AA823" s="130"/>
      <c r="AB823" s="130"/>
      <c r="AC823" s="130"/>
      <c r="AD823" s="130"/>
      <c r="AH823" s="130"/>
      <c r="AI823" s="130"/>
      <c r="AJ823" s="26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8"/>
      <c r="BC823" s="18"/>
      <c r="BD823" s="18"/>
      <c r="BE823" s="18"/>
      <c r="BF823" s="18"/>
      <c r="BG823" s="18"/>
      <c r="BH823" s="18"/>
      <c r="BI823" s="18"/>
      <c r="BJ823" s="18"/>
      <c r="BK823" s="18"/>
      <c r="BL823" s="18"/>
      <c r="BM823" s="18"/>
      <c r="BN823" s="18"/>
      <c r="BO823" s="18"/>
      <c r="BP823" s="18"/>
      <c r="BQ823" s="18"/>
      <c r="BR823" s="18"/>
    </row>
    <row r="824" spans="2:70" outlineLevel="2">
      <c r="B824" s="5"/>
      <c r="C824" s="9" t="s">
        <v>262</v>
      </c>
      <c r="D824" s="74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V824" s="702">
        <v>42186</v>
      </c>
      <c r="Z824" s="357"/>
      <c r="AA824" s="130"/>
      <c r="AB824" s="130"/>
      <c r="AC824" s="130"/>
      <c r="AD824" s="130"/>
      <c r="AH824" s="130"/>
      <c r="AI824" s="130"/>
      <c r="AJ824" s="26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8"/>
      <c r="BC824" s="18"/>
      <c r="BD824" s="18"/>
      <c r="BE824" s="18"/>
      <c r="BF824" s="18"/>
      <c r="BG824" s="18"/>
      <c r="BH824" s="18"/>
      <c r="BI824" s="18"/>
      <c r="BJ824" s="18"/>
      <c r="BK824" s="18"/>
      <c r="BL824" s="18"/>
      <c r="BM824" s="18"/>
      <c r="BN824" s="18"/>
      <c r="BO824" s="18"/>
      <c r="BP824" s="18"/>
      <c r="BQ824" s="18"/>
      <c r="BR824" s="18"/>
    </row>
    <row r="825" spans="2:70" outlineLevel="2">
      <c r="B825" s="5"/>
      <c r="C825" s="84" t="s">
        <v>72</v>
      </c>
      <c r="D825" s="31" t="s">
        <v>529</v>
      </c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V825" s="703">
        <v>280</v>
      </c>
      <c r="Z825" s="358"/>
      <c r="AA825" s="130"/>
      <c r="AB825" s="130"/>
      <c r="AC825" s="130"/>
      <c r="AD825" s="130"/>
      <c r="AH825" s="130"/>
      <c r="AI825" s="130"/>
      <c r="AJ825" s="26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8"/>
      <c r="BC825" s="18"/>
      <c r="BD825" s="18"/>
      <c r="BE825" s="18"/>
      <c r="BF825" s="18"/>
      <c r="BG825" s="18"/>
      <c r="BH825" s="18"/>
      <c r="BI825" s="18"/>
      <c r="BJ825" s="18"/>
      <c r="BK825" s="18"/>
      <c r="BL825" s="18"/>
      <c r="BM825" s="18"/>
      <c r="BN825" s="18"/>
      <c r="BO825" s="18"/>
      <c r="BP825" s="18"/>
      <c r="BQ825" s="18"/>
      <c r="BR825" s="18"/>
    </row>
    <row r="826" spans="2:70" outlineLevel="2">
      <c r="B826" s="5"/>
      <c r="C826" s="84" t="s">
        <v>76</v>
      </c>
      <c r="D826" s="74" t="s">
        <v>77</v>
      </c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V826" s="704">
        <v>5</v>
      </c>
      <c r="Z826" s="27"/>
      <c r="AA826" s="130"/>
      <c r="AB826" s="130"/>
      <c r="AC826" s="130"/>
      <c r="AD826" s="130"/>
      <c r="AH826" s="130"/>
      <c r="AI826" s="130"/>
      <c r="AJ826" s="26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8"/>
      <c r="BC826" s="18"/>
      <c r="BD826" s="18"/>
      <c r="BE826" s="18"/>
      <c r="BF826" s="18"/>
      <c r="BG826" s="18"/>
      <c r="BH826" s="18"/>
      <c r="BI826" s="18"/>
      <c r="BJ826" s="18"/>
      <c r="BK826" s="18"/>
      <c r="BL826" s="18"/>
      <c r="BM826" s="18"/>
      <c r="BN826" s="18"/>
      <c r="BO826" s="18"/>
      <c r="BP826" s="18"/>
      <c r="BQ826" s="18"/>
      <c r="BR826" s="18"/>
    </row>
    <row r="827" spans="2:70" outlineLevel="2">
      <c r="B827" s="5"/>
      <c r="C827" s="84" t="s">
        <v>55</v>
      </c>
      <c r="D827" s="31" t="s">
        <v>529</v>
      </c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V827" s="703">
        <v>1100</v>
      </c>
      <c r="Z827" s="364">
        <f>V827*0.5</f>
        <v>550</v>
      </c>
      <c r="AA827" s="175">
        <f>V827*0.5</f>
        <v>550</v>
      </c>
      <c r="AB827" s="167">
        <f>SUM(Z827:AA827)</f>
        <v>1100</v>
      </c>
      <c r="AC827" s="149">
        <f t="shared" ref="AC827" si="2763">AE827*0.5</f>
        <v>550</v>
      </c>
      <c r="AD827" s="19">
        <f t="shared" ref="AD827" si="2764">AE827*0.5</f>
        <v>550</v>
      </c>
      <c r="AE827" s="389">
        <f>V827</f>
        <v>1100</v>
      </c>
      <c r="AF827" s="149">
        <f>AH827*0.5</f>
        <v>550</v>
      </c>
      <c r="AG827" s="943">
        <f>AH827*0.5</f>
        <v>550</v>
      </c>
      <c r="AH827" s="389">
        <f>AE827</f>
        <v>1100</v>
      </c>
      <c r="AI827" s="149">
        <f>AK827*0.5</f>
        <v>550</v>
      </c>
      <c r="AJ827" s="19">
        <f>AK827*0.5</f>
        <v>550</v>
      </c>
      <c r="AK827" s="389">
        <f>AH827</f>
        <v>1100</v>
      </c>
      <c r="AL827" s="149">
        <f>AN827*0.5</f>
        <v>550</v>
      </c>
      <c r="AM827" s="19">
        <f>AN827*0.5</f>
        <v>550</v>
      </c>
      <c r="AN827" s="389">
        <f>AK827</f>
        <v>1100</v>
      </c>
      <c r="AO827" s="149">
        <f>AQ827*0.5</f>
        <v>550</v>
      </c>
      <c r="AP827" s="19">
        <f>AQ827*0.5</f>
        <v>550</v>
      </c>
      <c r="AQ827" s="389">
        <f>AN827</f>
        <v>1100</v>
      </c>
      <c r="AR827" s="149">
        <f>AT827*0.5</f>
        <v>550</v>
      </c>
      <c r="AS827" s="19">
        <f>AT827*0.5</f>
        <v>550</v>
      </c>
      <c r="AT827" s="389">
        <f>AQ827</f>
        <v>1100</v>
      </c>
      <c r="AU827" s="149">
        <f>AW827*0.5</f>
        <v>550</v>
      </c>
      <c r="AV827" s="19">
        <f>AW827*0.5</f>
        <v>550</v>
      </c>
      <c r="AW827" s="389">
        <f>AT827</f>
        <v>1100</v>
      </c>
      <c r="AX827" s="149">
        <f>AZ827*0.5</f>
        <v>550</v>
      </c>
      <c r="AY827" s="19">
        <f>AZ827*0.5</f>
        <v>550</v>
      </c>
      <c r="AZ827" s="389">
        <f>AW827</f>
        <v>1100</v>
      </c>
      <c r="BA827" s="149">
        <f>BC827*0.5</f>
        <v>550</v>
      </c>
      <c r="BB827" s="19">
        <f>BC827*0.5</f>
        <v>550</v>
      </c>
      <c r="BC827" s="389">
        <f>AZ827</f>
        <v>1100</v>
      </c>
      <c r="BD827" s="149">
        <f>BF827*0.5</f>
        <v>550</v>
      </c>
      <c r="BE827" s="19">
        <f>BF827*0.5</f>
        <v>550</v>
      </c>
      <c r="BF827" s="389">
        <f>BC827</f>
        <v>1100</v>
      </c>
      <c r="BG827" s="149">
        <f>BI827*0.5</f>
        <v>550</v>
      </c>
      <c r="BH827" s="19">
        <f>BI827*0.5</f>
        <v>550</v>
      </c>
      <c r="BI827" s="389">
        <f>BF827</f>
        <v>1100</v>
      </c>
      <c r="BJ827" s="149">
        <f>BL827*0.5</f>
        <v>550</v>
      </c>
      <c r="BK827" s="19">
        <f>BL827*0.5</f>
        <v>550</v>
      </c>
      <c r="BL827" s="389">
        <f>BI827</f>
        <v>1100</v>
      </c>
      <c r="BM827" s="149">
        <f>BO827*0.5</f>
        <v>550</v>
      </c>
      <c r="BN827" s="19">
        <f>BO827*0.5</f>
        <v>550</v>
      </c>
      <c r="BO827" s="389">
        <f>BL827</f>
        <v>1100</v>
      </c>
      <c r="BP827" s="149">
        <f>BR827*0.5</f>
        <v>550</v>
      </c>
      <c r="BQ827" s="19">
        <f>BR827*0.5</f>
        <v>550</v>
      </c>
      <c r="BR827" s="389">
        <f>BO827</f>
        <v>1100</v>
      </c>
    </row>
    <row r="828" spans="2:70" outlineLevel="2">
      <c r="B828" s="5"/>
      <c r="C828" s="84" t="s">
        <v>56</v>
      </c>
      <c r="D828" s="31" t="s">
        <v>529</v>
      </c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V828" s="705">
        <f>V825/V826</f>
        <v>56</v>
      </c>
      <c r="Z828" s="364">
        <f>V828*0.5</f>
        <v>28</v>
      </c>
      <c r="AA828" s="175">
        <f>V828*0.5</f>
        <v>28</v>
      </c>
      <c r="AB828" s="167">
        <f>SUM(Z828:AA828)</f>
        <v>56</v>
      </c>
      <c r="AC828" s="149">
        <f>AE828*0.5</f>
        <v>28</v>
      </c>
      <c r="AD828" s="19">
        <f>AE828*0.5</f>
        <v>28</v>
      </c>
      <c r="AE828" s="389">
        <f>V828</f>
        <v>56</v>
      </c>
      <c r="AF828" s="149">
        <f>AH828*0.5</f>
        <v>28</v>
      </c>
      <c r="AG828" s="943">
        <f>AH828*0.5</f>
        <v>28</v>
      </c>
      <c r="AH828" s="167">
        <f>AH827*AH829</f>
        <v>56</v>
      </c>
      <c r="AI828" s="149">
        <f>AK828*0.5</f>
        <v>28</v>
      </c>
      <c r="AJ828" s="19">
        <f>AK828*0.5</f>
        <v>28</v>
      </c>
      <c r="AK828" s="167">
        <f>AK827*AK829</f>
        <v>56</v>
      </c>
      <c r="AL828" s="149">
        <f>AN828*0.5</f>
        <v>28</v>
      </c>
      <c r="AM828" s="19">
        <f>AN828*0.5</f>
        <v>28</v>
      </c>
      <c r="AN828" s="167">
        <f>AN827*AN829</f>
        <v>56</v>
      </c>
      <c r="AO828" s="149">
        <f>AQ828*0.5</f>
        <v>28</v>
      </c>
      <c r="AP828" s="19">
        <f>AQ828*0.5</f>
        <v>28</v>
      </c>
      <c r="AQ828" s="167">
        <f>AQ827*AQ829</f>
        <v>56</v>
      </c>
      <c r="AR828" s="149">
        <f>AT828*0.5</f>
        <v>28</v>
      </c>
      <c r="AS828" s="19">
        <f>AT828*0.5</f>
        <v>28</v>
      </c>
      <c r="AT828" s="167">
        <f>AT827*AT829</f>
        <v>56</v>
      </c>
      <c r="AU828" s="149">
        <f>AW828*0.5</f>
        <v>28</v>
      </c>
      <c r="AV828" s="19">
        <f>AW828*0.5</f>
        <v>28</v>
      </c>
      <c r="AW828" s="167">
        <f>AW827*AW829</f>
        <v>56</v>
      </c>
      <c r="AX828" s="149">
        <f>AZ828*0.5</f>
        <v>28</v>
      </c>
      <c r="AY828" s="19">
        <f>AZ828*0.5</f>
        <v>28</v>
      </c>
      <c r="AZ828" s="167">
        <f>AZ827*AZ829</f>
        <v>56</v>
      </c>
      <c r="BA828" s="149">
        <f>BC828*0.5</f>
        <v>28</v>
      </c>
      <c r="BB828" s="19">
        <f>BC828*0.5</f>
        <v>28</v>
      </c>
      <c r="BC828" s="167">
        <f>BC827*BC829</f>
        <v>56</v>
      </c>
      <c r="BD828" s="149">
        <f>BF828*0.5</f>
        <v>28</v>
      </c>
      <c r="BE828" s="19">
        <f>BF828*0.5</f>
        <v>28</v>
      </c>
      <c r="BF828" s="167">
        <f>BF827*BF829</f>
        <v>56</v>
      </c>
      <c r="BG828" s="149">
        <f>BI828*0.5</f>
        <v>28</v>
      </c>
      <c r="BH828" s="19">
        <f>BI828*0.5</f>
        <v>28</v>
      </c>
      <c r="BI828" s="167">
        <f>BI827*BI829</f>
        <v>56</v>
      </c>
      <c r="BJ828" s="149">
        <f>BL828*0.5</f>
        <v>28</v>
      </c>
      <c r="BK828" s="19">
        <f>BL828*0.5</f>
        <v>28</v>
      </c>
      <c r="BL828" s="167">
        <f>BL827*BL829</f>
        <v>56</v>
      </c>
      <c r="BM828" s="149">
        <f>BO828*0.5</f>
        <v>28</v>
      </c>
      <c r="BN828" s="19">
        <f>BO828*0.5</f>
        <v>28</v>
      </c>
      <c r="BO828" s="167">
        <f>BO827*BO829</f>
        <v>56</v>
      </c>
      <c r="BP828" s="149">
        <f>BR828*0.5</f>
        <v>28</v>
      </c>
      <c r="BQ828" s="19">
        <f>BR828*0.5</f>
        <v>28</v>
      </c>
      <c r="BR828" s="167">
        <f>BR827*BR829</f>
        <v>56</v>
      </c>
    </row>
    <row r="829" spans="2:70" outlineLevel="2">
      <c r="B829" s="5"/>
      <c r="C829" s="84" t="s">
        <v>73</v>
      </c>
      <c r="D829" s="31" t="s">
        <v>66</v>
      </c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V829" s="706">
        <f>V828/V827</f>
        <v>5.0909090909090911E-2</v>
      </c>
      <c r="Z829" s="133">
        <f t="shared" ref="Z829" si="2765">Z828/Z827</f>
        <v>5.0909090909090911E-2</v>
      </c>
      <c r="AA829" s="133">
        <f t="shared" ref="AA829" si="2766">AA828/AA827</f>
        <v>5.0909090909090911E-2</v>
      </c>
      <c r="AB829" s="133">
        <f>AB828/AB827</f>
        <v>5.0909090909090911E-2</v>
      </c>
      <c r="AC829" s="133">
        <f>AC828/AC827</f>
        <v>5.0909090909090911E-2</v>
      </c>
      <c r="AD829" s="133">
        <f>AD828/AD827</f>
        <v>5.0909090909090911E-2</v>
      </c>
      <c r="AE829" s="133">
        <f>AB829</f>
        <v>5.0909090909090911E-2</v>
      </c>
      <c r="AF829" s="133">
        <f>AF828/AF827</f>
        <v>5.0909090909090911E-2</v>
      </c>
      <c r="AG829" s="938">
        <f>AG828/AG827</f>
        <v>5.0909090909090911E-2</v>
      </c>
      <c r="AH829" s="133">
        <f>AE829</f>
        <v>5.0909090909090911E-2</v>
      </c>
      <c r="AI829" s="133">
        <f>AI828/AI827</f>
        <v>5.0909090909090911E-2</v>
      </c>
      <c r="AJ829" s="133">
        <f>AJ828/AJ827</f>
        <v>5.0909090909090911E-2</v>
      </c>
      <c r="AK829" s="133">
        <f>AH829</f>
        <v>5.0909090909090911E-2</v>
      </c>
      <c r="AL829" s="133">
        <f>AL828/AL827</f>
        <v>5.0909090909090911E-2</v>
      </c>
      <c r="AM829" s="133">
        <f>AM828/AM827</f>
        <v>5.0909090909090911E-2</v>
      </c>
      <c r="AN829" s="133">
        <f>AK829</f>
        <v>5.0909090909090911E-2</v>
      </c>
      <c r="AO829" s="133">
        <f>AO828/AO827</f>
        <v>5.0909090909090911E-2</v>
      </c>
      <c r="AP829" s="133">
        <f>AP828/AP827</f>
        <v>5.0909090909090911E-2</v>
      </c>
      <c r="AQ829" s="133">
        <f>AN829</f>
        <v>5.0909090909090911E-2</v>
      </c>
      <c r="AR829" s="133">
        <f>AR828/AR827</f>
        <v>5.0909090909090911E-2</v>
      </c>
      <c r="AS829" s="133">
        <f>AS828/AS827</f>
        <v>5.0909090909090911E-2</v>
      </c>
      <c r="AT829" s="133">
        <f>AQ829</f>
        <v>5.0909090909090911E-2</v>
      </c>
      <c r="AU829" s="133">
        <f>AU828/AU827</f>
        <v>5.0909090909090911E-2</v>
      </c>
      <c r="AV829" s="133">
        <f>AV828/AV827</f>
        <v>5.0909090909090911E-2</v>
      </c>
      <c r="AW829" s="133">
        <f>AT829</f>
        <v>5.0909090909090911E-2</v>
      </c>
      <c r="AX829" s="133">
        <f>AX828/AX827</f>
        <v>5.0909090909090911E-2</v>
      </c>
      <c r="AY829" s="133">
        <f>AY828/AY827</f>
        <v>5.0909090909090911E-2</v>
      </c>
      <c r="AZ829" s="133">
        <f>AW829</f>
        <v>5.0909090909090911E-2</v>
      </c>
      <c r="BA829" s="133">
        <f>BA828/BA827</f>
        <v>5.0909090909090911E-2</v>
      </c>
      <c r="BB829" s="133">
        <f>BB828/BB827</f>
        <v>5.0909090909090911E-2</v>
      </c>
      <c r="BC829" s="133">
        <f>AZ829</f>
        <v>5.0909090909090911E-2</v>
      </c>
      <c r="BD829" s="133">
        <f>BD828/BD827</f>
        <v>5.0909090909090911E-2</v>
      </c>
      <c r="BE829" s="133">
        <f>BE828/BE827</f>
        <v>5.0909090909090911E-2</v>
      </c>
      <c r="BF829" s="133">
        <f>BC829</f>
        <v>5.0909090909090911E-2</v>
      </c>
      <c r="BG829" s="133">
        <f>BG828/BG827</f>
        <v>5.0909090909090911E-2</v>
      </c>
      <c r="BH829" s="133">
        <f>BH828/BH827</f>
        <v>5.0909090909090911E-2</v>
      </c>
      <c r="BI829" s="133">
        <f>BF829</f>
        <v>5.0909090909090911E-2</v>
      </c>
      <c r="BJ829" s="133">
        <f>BJ828/BJ827</f>
        <v>5.0909090909090911E-2</v>
      </c>
      <c r="BK829" s="133">
        <f>BK828/BK827</f>
        <v>5.0909090909090911E-2</v>
      </c>
      <c r="BL829" s="133">
        <f>BI829</f>
        <v>5.0909090909090911E-2</v>
      </c>
      <c r="BM829" s="133">
        <f>BM828/BM827</f>
        <v>5.0909090909090911E-2</v>
      </c>
      <c r="BN829" s="133">
        <f>BN828/BN827</f>
        <v>5.0909090909090911E-2</v>
      </c>
      <c r="BO829" s="133">
        <f>BL829</f>
        <v>5.0909090909090911E-2</v>
      </c>
      <c r="BP829" s="133">
        <f>BP828/BP827</f>
        <v>5.0909090909090911E-2</v>
      </c>
      <c r="BQ829" s="133">
        <f>BQ828/BQ827</f>
        <v>5.0909090909090911E-2</v>
      </c>
      <c r="BR829" s="133">
        <f>BO829</f>
        <v>5.0909090909090911E-2</v>
      </c>
    </row>
    <row r="830" spans="2:70" outlineLevel="2">
      <c r="B830" s="5"/>
      <c r="C830" s="84" t="s">
        <v>65</v>
      </c>
      <c r="D830" s="31" t="s">
        <v>529</v>
      </c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V830" s="707">
        <f>V827*-1%</f>
        <v>-11</v>
      </c>
      <c r="Z830" s="364">
        <f>V830*0.5</f>
        <v>-5.5</v>
      </c>
      <c r="AA830" s="175">
        <f>V830*0.5</f>
        <v>-5.5</v>
      </c>
      <c r="AB830" s="167">
        <f>SUM(Z830:AA830)</f>
        <v>-11</v>
      </c>
      <c r="AC830" s="167">
        <f>AE830*0.5</f>
        <v>-5.5</v>
      </c>
      <c r="AD830" s="167">
        <f>AE830*0.5</f>
        <v>-5.5</v>
      </c>
      <c r="AE830" s="360">
        <f>AB830*(AE827/AB827)</f>
        <v>-11</v>
      </c>
      <c r="AF830" s="167">
        <f>AH830*0.5</f>
        <v>-5.5</v>
      </c>
      <c r="AG830" s="1017">
        <f>AH830*0.5</f>
        <v>-5.5</v>
      </c>
      <c r="AH830" s="360">
        <f>AE830*(AH827/AE827)</f>
        <v>-11</v>
      </c>
      <c r="AI830" s="167">
        <f>AK830*0.5</f>
        <v>-5.5</v>
      </c>
      <c r="AJ830" s="167">
        <f>AK830*0.5</f>
        <v>-5.5</v>
      </c>
      <c r="AK830" s="360">
        <f>AH830*(AK827/AH827)</f>
        <v>-11</v>
      </c>
      <c r="AL830" s="167">
        <f>AN830*0.5</f>
        <v>-5.5</v>
      </c>
      <c r="AM830" s="167">
        <f>AN830*0.5</f>
        <v>-5.5</v>
      </c>
      <c r="AN830" s="360">
        <f>AK830*(AN827/AK827)</f>
        <v>-11</v>
      </c>
      <c r="AO830" s="167">
        <f>AQ830*0.5</f>
        <v>-5.5</v>
      </c>
      <c r="AP830" s="167">
        <f>AQ830*0.5</f>
        <v>-5.5</v>
      </c>
      <c r="AQ830" s="360">
        <f>AN830*(AQ827/AN827)</f>
        <v>-11</v>
      </c>
      <c r="AR830" s="167">
        <f>AT830*0.5</f>
        <v>-5.5</v>
      </c>
      <c r="AS830" s="167">
        <f>AT830*0.5</f>
        <v>-5.5</v>
      </c>
      <c r="AT830" s="360">
        <f>AQ830*(AT827/AQ827)</f>
        <v>-11</v>
      </c>
      <c r="AU830" s="167">
        <f>AW830*0.5</f>
        <v>-5.5</v>
      </c>
      <c r="AV830" s="167">
        <f>AW830*0.5</f>
        <v>-5.5</v>
      </c>
      <c r="AW830" s="360">
        <f>AT830*(AW827/AT827)</f>
        <v>-11</v>
      </c>
      <c r="AX830" s="167">
        <f>AZ830*0.5</f>
        <v>-5.5</v>
      </c>
      <c r="AY830" s="167">
        <f>AZ830*0.5</f>
        <v>-5.5</v>
      </c>
      <c r="AZ830" s="360">
        <f>AW830*(AZ827/AW827)</f>
        <v>-11</v>
      </c>
      <c r="BA830" s="167">
        <f>BC830*0.5</f>
        <v>-5.5</v>
      </c>
      <c r="BB830" s="167">
        <f>BC830*0.5</f>
        <v>-5.5</v>
      </c>
      <c r="BC830" s="360">
        <f>AZ830*(BC827/AZ827)</f>
        <v>-11</v>
      </c>
      <c r="BD830" s="167">
        <f>BF830*0.5</f>
        <v>-5.5</v>
      </c>
      <c r="BE830" s="167">
        <f>BF830*0.5</f>
        <v>-5.5</v>
      </c>
      <c r="BF830" s="360">
        <f>BC830*(BF827/BC827)</f>
        <v>-11</v>
      </c>
      <c r="BG830" s="167">
        <f>BI830*0.5</f>
        <v>-5.5</v>
      </c>
      <c r="BH830" s="167">
        <f>BI830*0.5</f>
        <v>-5.5</v>
      </c>
      <c r="BI830" s="360">
        <f>BF830*(BI827/BF827)</f>
        <v>-11</v>
      </c>
      <c r="BJ830" s="167">
        <f>BL830*0.5</f>
        <v>-5.5</v>
      </c>
      <c r="BK830" s="167">
        <f>BL830*0.5</f>
        <v>-5.5</v>
      </c>
      <c r="BL830" s="360">
        <f>BI830*(BL827/BI827)</f>
        <v>-11</v>
      </c>
      <c r="BM830" s="167">
        <f>BO830*0.5</f>
        <v>-5.5</v>
      </c>
      <c r="BN830" s="167">
        <f>BO830*0.5</f>
        <v>-5.5</v>
      </c>
      <c r="BO830" s="360">
        <f>BL830*(BO827/BL827)</f>
        <v>-11</v>
      </c>
      <c r="BP830" s="167">
        <f>BR830*0.5</f>
        <v>-5.5</v>
      </c>
      <c r="BQ830" s="167">
        <f>BR830*0.5</f>
        <v>-5.5</v>
      </c>
      <c r="BR830" s="360">
        <f>BO830*(BR827/BO827)</f>
        <v>-11</v>
      </c>
    </row>
    <row r="831" spans="2:70" outlineLevel="2">
      <c r="B831" s="5"/>
      <c r="C831" s="84" t="s">
        <v>78</v>
      </c>
      <c r="D831" s="31" t="s">
        <v>529</v>
      </c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V831" s="707">
        <f>V828+V830</f>
        <v>45</v>
      </c>
      <c r="Z831" s="360">
        <f>Z828+Z830</f>
        <v>22.5</v>
      </c>
      <c r="AA831" s="360">
        <f>AA828+AA830</f>
        <v>22.5</v>
      </c>
      <c r="AB831" s="167">
        <f>SUM(Z831:AA831)</f>
        <v>45</v>
      </c>
      <c r="AC831" s="167">
        <f>AC828+AC830</f>
        <v>22.5</v>
      </c>
      <c r="AD831" s="167">
        <f>AD828+AD830</f>
        <v>22.5</v>
      </c>
      <c r="AE831" s="172">
        <f>SUM(AC831:AD831)</f>
        <v>45</v>
      </c>
      <c r="AF831" s="167">
        <f>AF828+AF830</f>
        <v>22.5</v>
      </c>
      <c r="AG831" s="1017">
        <f>AG828+AG830</f>
        <v>22.5</v>
      </c>
      <c r="AH831" s="172">
        <f>SUM(AF831:AG831)</f>
        <v>45</v>
      </c>
      <c r="AI831" s="167">
        <f>AI828+AI830</f>
        <v>22.5</v>
      </c>
      <c r="AJ831" s="167">
        <f>AJ828+AJ830</f>
        <v>22.5</v>
      </c>
      <c r="AK831" s="172">
        <f>SUM(AI831:AJ831)</f>
        <v>45</v>
      </c>
      <c r="AL831" s="167">
        <f>AL828+AL830</f>
        <v>22.5</v>
      </c>
      <c r="AM831" s="167">
        <f>AM828+AM830</f>
        <v>22.5</v>
      </c>
      <c r="AN831" s="172">
        <f>SUM(AL831:AM831)</f>
        <v>45</v>
      </c>
      <c r="AO831" s="167">
        <f>AO828+AO830</f>
        <v>22.5</v>
      </c>
      <c r="AP831" s="167">
        <f>AP828+AP830</f>
        <v>22.5</v>
      </c>
      <c r="AQ831" s="172">
        <f>SUM(AO831:AP831)</f>
        <v>45</v>
      </c>
      <c r="AR831" s="167">
        <f>AR828+AR830</f>
        <v>22.5</v>
      </c>
      <c r="AS831" s="167">
        <f>AS828+AS830</f>
        <v>22.5</v>
      </c>
      <c r="AT831" s="172">
        <f>SUM(AR831:AS831)</f>
        <v>45</v>
      </c>
      <c r="AU831" s="167">
        <f>AU828+AU830</f>
        <v>22.5</v>
      </c>
      <c r="AV831" s="167">
        <f>AV828+AV830</f>
        <v>22.5</v>
      </c>
      <c r="AW831" s="172">
        <f>SUM(AU831:AV831)</f>
        <v>45</v>
      </c>
      <c r="AX831" s="167">
        <f>AX828+AX830</f>
        <v>22.5</v>
      </c>
      <c r="AY831" s="167">
        <f>AY828+AY830</f>
        <v>22.5</v>
      </c>
      <c r="AZ831" s="172">
        <f>SUM(AX831:AY831)</f>
        <v>45</v>
      </c>
      <c r="BA831" s="167">
        <f>BA828+BA830</f>
        <v>22.5</v>
      </c>
      <c r="BB831" s="167">
        <f>BB828+BB830</f>
        <v>22.5</v>
      </c>
      <c r="BC831" s="172">
        <f>SUM(BA831:BB831)</f>
        <v>45</v>
      </c>
      <c r="BD831" s="167">
        <f>BD828+BD830</f>
        <v>22.5</v>
      </c>
      <c r="BE831" s="167">
        <f>BE828+BE830</f>
        <v>22.5</v>
      </c>
      <c r="BF831" s="172">
        <f>SUM(BD831:BE831)</f>
        <v>45</v>
      </c>
      <c r="BG831" s="167">
        <f>BG828+BG830</f>
        <v>22.5</v>
      </c>
      <c r="BH831" s="167">
        <f>BH828+BH830</f>
        <v>22.5</v>
      </c>
      <c r="BI831" s="172">
        <f>SUM(BG831:BH831)</f>
        <v>45</v>
      </c>
      <c r="BJ831" s="167">
        <f>BJ828+BJ830</f>
        <v>22.5</v>
      </c>
      <c r="BK831" s="167">
        <f>BK828+BK830</f>
        <v>22.5</v>
      </c>
      <c r="BL831" s="172">
        <f>SUM(BJ831:BK831)</f>
        <v>45</v>
      </c>
      <c r="BM831" s="167">
        <f>BM828+BM830</f>
        <v>22.5</v>
      </c>
      <c r="BN831" s="167">
        <f>BN828+BN830</f>
        <v>22.5</v>
      </c>
      <c r="BO831" s="172">
        <f>SUM(BM831:BN831)</f>
        <v>45</v>
      </c>
      <c r="BP831" s="167">
        <f>BP828+BP830</f>
        <v>22.5</v>
      </c>
      <c r="BQ831" s="167">
        <f>BQ828+BQ830</f>
        <v>22.5</v>
      </c>
      <c r="BR831" s="172">
        <f>SUM(BP831:BQ831)</f>
        <v>45</v>
      </c>
    </row>
    <row r="832" spans="2:70" outlineLevel="2">
      <c r="B832" s="5"/>
      <c r="C832" s="84" t="s">
        <v>74</v>
      </c>
      <c r="D832" s="31" t="s">
        <v>66</v>
      </c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V832" s="706">
        <f>V831/V827</f>
        <v>4.0909090909090909E-2</v>
      </c>
      <c r="Z832" s="133">
        <f t="shared" ref="Z832" si="2767">Z831/Z827</f>
        <v>4.0909090909090909E-2</v>
      </c>
      <c r="AA832" s="133">
        <f t="shared" ref="AA832:AE832" si="2768">AA831/AA827</f>
        <v>4.0909090909090909E-2</v>
      </c>
      <c r="AB832" s="162">
        <f t="shared" si="2768"/>
        <v>4.0909090909090909E-2</v>
      </c>
      <c r="AC832" s="162">
        <f t="shared" si="2768"/>
        <v>4.0909090909090909E-2</v>
      </c>
      <c r="AD832" s="133">
        <f t="shared" si="2768"/>
        <v>4.0909090909090909E-2</v>
      </c>
      <c r="AE832" s="162">
        <f t="shared" si="2768"/>
        <v>4.0909090909090909E-2</v>
      </c>
      <c r="AF832" s="162">
        <f t="shared" ref="AF832:AK832" si="2769">AF831/AF827</f>
        <v>4.0909090909090909E-2</v>
      </c>
      <c r="AG832" s="938">
        <f t="shared" si="2769"/>
        <v>4.0909090909090909E-2</v>
      </c>
      <c r="AH832" s="133">
        <f t="shared" si="2769"/>
        <v>4.0909090909090909E-2</v>
      </c>
      <c r="AI832" s="162">
        <f t="shared" si="2769"/>
        <v>4.0909090909090909E-2</v>
      </c>
      <c r="AJ832" s="133">
        <f t="shared" si="2769"/>
        <v>4.0909090909090909E-2</v>
      </c>
      <c r="AK832" s="133">
        <f t="shared" si="2769"/>
        <v>4.0909090909090909E-2</v>
      </c>
      <c r="AL832" s="162">
        <f t="shared" ref="AL832:AN832" si="2770">AL831/AL827</f>
        <v>4.0909090909090909E-2</v>
      </c>
      <c r="AM832" s="133">
        <f t="shared" si="2770"/>
        <v>4.0909090909090909E-2</v>
      </c>
      <c r="AN832" s="133">
        <f t="shared" si="2770"/>
        <v>4.0909090909090909E-2</v>
      </c>
      <c r="AO832" s="162">
        <f t="shared" ref="AO832:BR832" si="2771">AO831/AO827</f>
        <v>4.0909090909090909E-2</v>
      </c>
      <c r="AP832" s="133">
        <f t="shared" si="2771"/>
        <v>4.0909090909090909E-2</v>
      </c>
      <c r="AQ832" s="133">
        <f t="shared" si="2771"/>
        <v>4.0909090909090909E-2</v>
      </c>
      <c r="AR832" s="162">
        <f t="shared" si="2771"/>
        <v>4.0909090909090909E-2</v>
      </c>
      <c r="AS832" s="133">
        <f t="shared" si="2771"/>
        <v>4.0909090909090909E-2</v>
      </c>
      <c r="AT832" s="133">
        <f t="shared" si="2771"/>
        <v>4.0909090909090909E-2</v>
      </c>
      <c r="AU832" s="162">
        <f t="shared" si="2771"/>
        <v>4.0909090909090909E-2</v>
      </c>
      <c r="AV832" s="133">
        <f t="shared" si="2771"/>
        <v>4.0909090909090909E-2</v>
      </c>
      <c r="AW832" s="133">
        <f t="shared" si="2771"/>
        <v>4.0909090909090909E-2</v>
      </c>
      <c r="AX832" s="162">
        <f t="shared" si="2771"/>
        <v>4.0909090909090909E-2</v>
      </c>
      <c r="AY832" s="133">
        <f t="shared" si="2771"/>
        <v>4.0909090909090909E-2</v>
      </c>
      <c r="AZ832" s="133">
        <f t="shared" si="2771"/>
        <v>4.0909090909090909E-2</v>
      </c>
      <c r="BA832" s="162">
        <f t="shared" si="2771"/>
        <v>4.0909090909090909E-2</v>
      </c>
      <c r="BB832" s="133">
        <f t="shared" si="2771"/>
        <v>4.0909090909090909E-2</v>
      </c>
      <c r="BC832" s="133">
        <f t="shared" si="2771"/>
        <v>4.0909090909090909E-2</v>
      </c>
      <c r="BD832" s="162">
        <f t="shared" si="2771"/>
        <v>4.0909090909090909E-2</v>
      </c>
      <c r="BE832" s="133">
        <f t="shared" si="2771"/>
        <v>4.0909090909090909E-2</v>
      </c>
      <c r="BF832" s="133">
        <f t="shared" si="2771"/>
        <v>4.0909090909090909E-2</v>
      </c>
      <c r="BG832" s="162">
        <f t="shared" si="2771"/>
        <v>4.0909090909090909E-2</v>
      </c>
      <c r="BH832" s="133">
        <f t="shared" si="2771"/>
        <v>4.0909090909090909E-2</v>
      </c>
      <c r="BI832" s="133">
        <f t="shared" si="2771"/>
        <v>4.0909090909090909E-2</v>
      </c>
      <c r="BJ832" s="162">
        <f t="shared" si="2771"/>
        <v>4.0909090909090909E-2</v>
      </c>
      <c r="BK832" s="133">
        <f t="shared" si="2771"/>
        <v>4.0909090909090909E-2</v>
      </c>
      <c r="BL832" s="133">
        <f t="shared" si="2771"/>
        <v>4.0909090909090909E-2</v>
      </c>
      <c r="BM832" s="162">
        <f t="shared" si="2771"/>
        <v>4.0909090909090909E-2</v>
      </c>
      <c r="BN832" s="133">
        <f t="shared" si="2771"/>
        <v>4.0909090909090909E-2</v>
      </c>
      <c r="BO832" s="133">
        <f t="shared" si="2771"/>
        <v>4.0909090909090909E-2</v>
      </c>
      <c r="BP832" s="162">
        <f t="shared" si="2771"/>
        <v>4.0909090909090909E-2</v>
      </c>
      <c r="BQ832" s="133">
        <f t="shared" si="2771"/>
        <v>4.0909090909090909E-2</v>
      </c>
      <c r="BR832" s="133">
        <f t="shared" si="2771"/>
        <v>4.0909090909090909E-2</v>
      </c>
    </row>
    <row r="833" spans="2:70" outlineLevel="2">
      <c r="B833" s="5"/>
      <c r="C833" s="84" t="s">
        <v>90</v>
      </c>
      <c r="D833" s="31" t="s">
        <v>529</v>
      </c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V833" s="708">
        <f>V836-V831</f>
        <v>11</v>
      </c>
      <c r="Z833" s="404">
        <v>0</v>
      </c>
      <c r="AA833" s="404">
        <v>0</v>
      </c>
      <c r="AB833" s="172">
        <f>SUM(Z833:AA833)</f>
        <v>0</v>
      </c>
      <c r="AC833" s="404">
        <v>3</v>
      </c>
      <c r="AD833" s="404">
        <v>3</v>
      </c>
      <c r="AE833" s="172">
        <f>SUM(AC833:AD833)</f>
        <v>6</v>
      </c>
      <c r="AF833" s="402">
        <v>3</v>
      </c>
      <c r="AG833" s="1030">
        <v>2</v>
      </c>
      <c r="AH833" s="157">
        <f>SUM(AF833:AG833)</f>
        <v>5</v>
      </c>
      <c r="AI833" s="404">
        <v>0</v>
      </c>
      <c r="AJ833" s="404">
        <v>0</v>
      </c>
      <c r="AK833" s="157">
        <f>SUM(AI833:AJ833)</f>
        <v>0</v>
      </c>
      <c r="AL833" s="404">
        <v>0</v>
      </c>
      <c r="AM833" s="404">
        <v>0</v>
      </c>
      <c r="AN833" s="157">
        <f>SUM(AL833:AM833)</f>
        <v>0</v>
      </c>
      <c r="AO833" s="404">
        <v>0</v>
      </c>
      <c r="AP833" s="404">
        <v>0</v>
      </c>
      <c r="AQ833" s="157">
        <f>SUM(AO833:AP833)</f>
        <v>0</v>
      </c>
      <c r="AR833" s="404">
        <v>0</v>
      </c>
      <c r="AS833" s="404">
        <v>0</v>
      </c>
      <c r="AT833" s="157">
        <f>SUM(AR833:AS833)</f>
        <v>0</v>
      </c>
      <c r="AU833" s="404">
        <v>0</v>
      </c>
      <c r="AV833" s="404">
        <v>0</v>
      </c>
      <c r="AW833" s="157">
        <f>SUM(AU833:AV833)</f>
        <v>0</v>
      </c>
      <c r="AX833" s="404">
        <v>0</v>
      </c>
      <c r="AY833" s="404">
        <v>0</v>
      </c>
      <c r="AZ833" s="157">
        <f>SUM(AX833:AY833)</f>
        <v>0</v>
      </c>
      <c r="BA833" s="404">
        <v>0</v>
      </c>
      <c r="BB833" s="404">
        <v>0</v>
      </c>
      <c r="BC833" s="157">
        <f>SUM(BA833:BB833)</f>
        <v>0</v>
      </c>
      <c r="BD833" s="404">
        <v>0</v>
      </c>
      <c r="BE833" s="404">
        <v>0</v>
      </c>
      <c r="BF833" s="157">
        <f>SUM(BD833:BE833)</f>
        <v>0</v>
      </c>
      <c r="BG833" s="404">
        <v>0</v>
      </c>
      <c r="BH833" s="404">
        <v>0</v>
      </c>
      <c r="BI833" s="157">
        <f>SUM(BG833:BH833)</f>
        <v>0</v>
      </c>
      <c r="BJ833" s="404">
        <v>0</v>
      </c>
      <c r="BK833" s="404">
        <v>0</v>
      </c>
      <c r="BL833" s="157">
        <f>SUM(BJ833:BK833)</f>
        <v>0</v>
      </c>
      <c r="BM833" s="404">
        <v>0</v>
      </c>
      <c r="BN833" s="404">
        <v>0</v>
      </c>
      <c r="BO833" s="157">
        <f>SUM(BM833:BN833)</f>
        <v>0</v>
      </c>
      <c r="BP833" s="404">
        <v>0</v>
      </c>
      <c r="BQ833" s="404">
        <v>0</v>
      </c>
      <c r="BR833" s="157">
        <f>SUM(BP833:BQ833)</f>
        <v>0</v>
      </c>
    </row>
    <row r="834" spans="2:70" outlineLevel="2">
      <c r="B834" s="5"/>
      <c r="C834" s="84" t="s">
        <v>89</v>
      </c>
      <c r="D834" s="31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V834" s="709"/>
      <c r="Z834" s="156">
        <f>X834+Z833</f>
        <v>0</v>
      </c>
      <c r="AA834" s="156">
        <f>X834+AA833</f>
        <v>0</v>
      </c>
      <c r="AB834" s="157">
        <f>SUM(Z834:AA834)</f>
        <v>0</v>
      </c>
      <c r="AC834" s="156">
        <f>AA834+AC833</f>
        <v>3</v>
      </c>
      <c r="AD834" s="156">
        <f>AA834+AD833</f>
        <v>3</v>
      </c>
      <c r="AE834" s="157">
        <f>SUM(AC834:AD834)</f>
        <v>6</v>
      </c>
      <c r="AF834" s="157">
        <f>AC834+AF833</f>
        <v>6</v>
      </c>
      <c r="AG834" s="1031">
        <f>AD834+AG833</f>
        <v>5</v>
      </c>
      <c r="AH834" s="157">
        <f>SUM(AF834:AG834)</f>
        <v>11</v>
      </c>
      <c r="AI834" s="157">
        <f>AF834+AI833</f>
        <v>6</v>
      </c>
      <c r="AJ834" s="157">
        <f>AG834+AJ833</f>
        <v>5</v>
      </c>
      <c r="AK834" s="157">
        <f>SUM(AI834:AJ834)</f>
        <v>11</v>
      </c>
      <c r="AL834" s="157">
        <f>AI834+AL833</f>
        <v>6</v>
      </c>
      <c r="AM834" s="157">
        <f>AJ834+AM833</f>
        <v>5</v>
      </c>
      <c r="AN834" s="157">
        <f>SUM(AL834:AM834)</f>
        <v>11</v>
      </c>
      <c r="AO834" s="157">
        <f>AL834+AO833</f>
        <v>6</v>
      </c>
      <c r="AP834" s="157">
        <f>AM834+AP833</f>
        <v>5</v>
      </c>
      <c r="AQ834" s="157">
        <f>SUM(AO834:AP834)</f>
        <v>11</v>
      </c>
      <c r="AR834" s="157">
        <f>AO834+AR833</f>
        <v>6</v>
      </c>
      <c r="AS834" s="157">
        <f>AP834+AS833</f>
        <v>5</v>
      </c>
      <c r="AT834" s="157">
        <f>SUM(AR834:AS834)</f>
        <v>11</v>
      </c>
      <c r="AU834" s="157">
        <f>AR834+AU833</f>
        <v>6</v>
      </c>
      <c r="AV834" s="157">
        <f>AS834+AV833</f>
        <v>5</v>
      </c>
      <c r="AW834" s="157">
        <f>SUM(AU834:AV834)</f>
        <v>11</v>
      </c>
      <c r="AX834" s="157">
        <f>AU834+AX833</f>
        <v>6</v>
      </c>
      <c r="AY834" s="157">
        <f>AV834+AY833</f>
        <v>5</v>
      </c>
      <c r="AZ834" s="157">
        <f>SUM(AX834:AY834)</f>
        <v>11</v>
      </c>
      <c r="BA834" s="157">
        <f>AX834+BA833</f>
        <v>6</v>
      </c>
      <c r="BB834" s="157">
        <f>AY834+BB833</f>
        <v>5</v>
      </c>
      <c r="BC834" s="157">
        <f>SUM(BA834:BB834)</f>
        <v>11</v>
      </c>
      <c r="BD834" s="157">
        <f>BA834+BD833</f>
        <v>6</v>
      </c>
      <c r="BE834" s="157">
        <f>BB834+BE833</f>
        <v>5</v>
      </c>
      <c r="BF834" s="157">
        <f>SUM(BD834:BE834)</f>
        <v>11</v>
      </c>
      <c r="BG834" s="157">
        <f>BD834+BG833</f>
        <v>6</v>
      </c>
      <c r="BH834" s="157">
        <f>BE834+BH833</f>
        <v>5</v>
      </c>
      <c r="BI834" s="157">
        <f>SUM(BG834:BH834)</f>
        <v>11</v>
      </c>
      <c r="BJ834" s="157">
        <f>BG834+BJ833</f>
        <v>6</v>
      </c>
      <c r="BK834" s="157">
        <f>BH834+BK833</f>
        <v>5</v>
      </c>
      <c r="BL834" s="157">
        <f>SUM(BJ834:BK834)</f>
        <v>11</v>
      </c>
      <c r="BM834" s="157">
        <f>BJ834+BM833</f>
        <v>6</v>
      </c>
      <c r="BN834" s="157">
        <f>BK834+BN833</f>
        <v>5</v>
      </c>
      <c r="BO834" s="157">
        <f>SUM(BM834:BN834)</f>
        <v>11</v>
      </c>
      <c r="BP834" s="157">
        <f>BM834+BP833</f>
        <v>6</v>
      </c>
      <c r="BQ834" s="157">
        <f>BN834+BQ833</f>
        <v>5</v>
      </c>
      <c r="BR834" s="157">
        <f>SUM(BP834:BQ834)</f>
        <v>11</v>
      </c>
    </row>
    <row r="835" spans="2:70" outlineLevel="2">
      <c r="B835" s="5"/>
      <c r="C835" s="84" t="s">
        <v>264</v>
      </c>
      <c r="D835" s="31" t="s">
        <v>66</v>
      </c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V835" s="710">
        <f>V833/V827</f>
        <v>0.01</v>
      </c>
      <c r="Z835" s="343"/>
      <c r="AA835" s="167"/>
      <c r="AB835" s="157"/>
      <c r="AC835" s="157"/>
      <c r="AD835" s="157"/>
      <c r="AE835" s="157"/>
      <c r="AF835" s="157"/>
      <c r="AG835" s="1031"/>
      <c r="AH835" s="157"/>
      <c r="AI835" s="157"/>
      <c r="AJ835" s="157"/>
      <c r="AK835" s="157"/>
      <c r="AL835" s="157"/>
      <c r="AM835" s="157"/>
      <c r="AN835" s="157"/>
      <c r="AO835" s="157"/>
      <c r="AP835" s="157"/>
      <c r="AQ835" s="157"/>
      <c r="AR835" s="157"/>
      <c r="AS835" s="157"/>
      <c r="AT835" s="157"/>
      <c r="AU835" s="157"/>
      <c r="AV835" s="157"/>
      <c r="AW835" s="157"/>
      <c r="AX835" s="157"/>
      <c r="AY835" s="157"/>
      <c r="AZ835" s="157"/>
      <c r="BA835" s="157"/>
      <c r="BB835" s="157"/>
      <c r="BC835" s="157"/>
      <c r="BD835" s="157"/>
      <c r="BE835" s="157"/>
      <c r="BF835" s="157"/>
      <c r="BG835" s="157"/>
      <c r="BH835" s="157"/>
      <c r="BI835" s="157"/>
      <c r="BJ835" s="157"/>
      <c r="BK835" s="157"/>
      <c r="BL835" s="157"/>
      <c r="BM835" s="157"/>
      <c r="BN835" s="157"/>
      <c r="BO835" s="157"/>
      <c r="BP835" s="157"/>
      <c r="BQ835" s="157"/>
      <c r="BR835" s="157"/>
    </row>
    <row r="836" spans="2:70" outlineLevel="2">
      <c r="B836" s="5"/>
      <c r="C836" s="84" t="s">
        <v>79</v>
      </c>
      <c r="D836" s="31" t="s">
        <v>529</v>
      </c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V836" s="709">
        <f>V825*V837</f>
        <v>56</v>
      </c>
      <c r="Z836" s="164">
        <f t="shared" ref="Z836:AA836" si="2772">Z834+Z831</f>
        <v>22.5</v>
      </c>
      <c r="AA836" s="164">
        <f t="shared" si="2772"/>
        <v>22.5</v>
      </c>
      <c r="AB836" s="164">
        <f>SUM(Z836:AA836)</f>
        <v>45</v>
      </c>
      <c r="AC836" s="164">
        <f t="shared" ref="AC836:AK836" si="2773">AC834+AC831</f>
        <v>25.5</v>
      </c>
      <c r="AD836" s="164">
        <f t="shared" si="2773"/>
        <v>25.5</v>
      </c>
      <c r="AE836" s="164">
        <f t="shared" si="2773"/>
        <v>51</v>
      </c>
      <c r="AF836" s="164">
        <f t="shared" si="2773"/>
        <v>28.5</v>
      </c>
      <c r="AG836" s="1018">
        <f t="shared" si="2773"/>
        <v>27.5</v>
      </c>
      <c r="AH836" s="164">
        <f t="shared" si="2773"/>
        <v>56</v>
      </c>
      <c r="AI836" s="164">
        <f t="shared" si="2773"/>
        <v>28.5</v>
      </c>
      <c r="AJ836" s="164">
        <f t="shared" si="2773"/>
        <v>27.5</v>
      </c>
      <c r="AK836" s="164">
        <f t="shared" si="2773"/>
        <v>56</v>
      </c>
      <c r="AL836" s="164">
        <f t="shared" ref="AL836:AN836" si="2774">AL834+AL831</f>
        <v>28.5</v>
      </c>
      <c r="AM836" s="164">
        <f t="shared" si="2774"/>
        <v>27.5</v>
      </c>
      <c r="AN836" s="164">
        <f t="shared" si="2774"/>
        <v>56</v>
      </c>
      <c r="AO836" s="164">
        <f t="shared" ref="AO836:BR836" si="2775">AO834+AO831</f>
        <v>28.5</v>
      </c>
      <c r="AP836" s="164">
        <f t="shared" si="2775"/>
        <v>27.5</v>
      </c>
      <c r="AQ836" s="164">
        <f t="shared" si="2775"/>
        <v>56</v>
      </c>
      <c r="AR836" s="164">
        <f t="shared" si="2775"/>
        <v>28.5</v>
      </c>
      <c r="AS836" s="164">
        <f t="shared" si="2775"/>
        <v>27.5</v>
      </c>
      <c r="AT836" s="164">
        <f t="shared" si="2775"/>
        <v>56</v>
      </c>
      <c r="AU836" s="164">
        <f t="shared" si="2775"/>
        <v>28.5</v>
      </c>
      <c r="AV836" s="164">
        <f t="shared" si="2775"/>
        <v>27.5</v>
      </c>
      <c r="AW836" s="164">
        <f t="shared" si="2775"/>
        <v>56</v>
      </c>
      <c r="AX836" s="164">
        <f t="shared" si="2775"/>
        <v>28.5</v>
      </c>
      <c r="AY836" s="164">
        <f t="shared" si="2775"/>
        <v>27.5</v>
      </c>
      <c r="AZ836" s="164">
        <f t="shared" si="2775"/>
        <v>56</v>
      </c>
      <c r="BA836" s="164">
        <f t="shared" si="2775"/>
        <v>28.5</v>
      </c>
      <c r="BB836" s="164">
        <f t="shared" si="2775"/>
        <v>27.5</v>
      </c>
      <c r="BC836" s="164">
        <f t="shared" si="2775"/>
        <v>56</v>
      </c>
      <c r="BD836" s="164">
        <f t="shared" si="2775"/>
        <v>28.5</v>
      </c>
      <c r="BE836" s="164">
        <f t="shared" si="2775"/>
        <v>27.5</v>
      </c>
      <c r="BF836" s="164">
        <f t="shared" si="2775"/>
        <v>56</v>
      </c>
      <c r="BG836" s="164">
        <f t="shared" si="2775"/>
        <v>28.5</v>
      </c>
      <c r="BH836" s="164">
        <f t="shared" si="2775"/>
        <v>27.5</v>
      </c>
      <c r="BI836" s="164">
        <f t="shared" si="2775"/>
        <v>56</v>
      </c>
      <c r="BJ836" s="164">
        <f t="shared" si="2775"/>
        <v>28.5</v>
      </c>
      <c r="BK836" s="164">
        <f t="shared" si="2775"/>
        <v>27.5</v>
      </c>
      <c r="BL836" s="164">
        <f t="shared" si="2775"/>
        <v>56</v>
      </c>
      <c r="BM836" s="164">
        <f t="shared" si="2775"/>
        <v>28.5</v>
      </c>
      <c r="BN836" s="164">
        <f t="shared" si="2775"/>
        <v>27.5</v>
      </c>
      <c r="BO836" s="164">
        <f t="shared" si="2775"/>
        <v>56</v>
      </c>
      <c r="BP836" s="164">
        <f t="shared" si="2775"/>
        <v>28.5</v>
      </c>
      <c r="BQ836" s="164">
        <f t="shared" si="2775"/>
        <v>27.5</v>
      </c>
      <c r="BR836" s="164">
        <f t="shared" si="2775"/>
        <v>56</v>
      </c>
    </row>
    <row r="837" spans="2:70" outlineLevel="2">
      <c r="B837" s="5"/>
      <c r="C837" s="84" t="s">
        <v>75</v>
      </c>
      <c r="D837" s="31" t="s">
        <v>66</v>
      </c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V837" s="711">
        <v>0.2</v>
      </c>
      <c r="Z837" s="133">
        <f>Z836/$V$825*2</f>
        <v>0.16071428571428573</v>
      </c>
      <c r="AA837" s="133">
        <f>AA836/$V$825*2</f>
        <v>0.16071428571428573</v>
      </c>
      <c r="AB837" s="133">
        <f>AB836/$V$825</f>
        <v>0.16071428571428573</v>
      </c>
      <c r="AC837" s="133">
        <f>AC836/$V$825*2</f>
        <v>0.18214285714285713</v>
      </c>
      <c r="AD837" s="133">
        <f>AD836/$V$825*2</f>
        <v>0.18214285714285713</v>
      </c>
      <c r="AE837" s="133">
        <f>AE836/$V$825</f>
        <v>0.18214285714285713</v>
      </c>
      <c r="AF837" s="133">
        <f>AF836/$V$825*2</f>
        <v>0.20357142857142857</v>
      </c>
      <c r="AG837" s="938">
        <f>AG836/$V$825*2</f>
        <v>0.19642857142857142</v>
      </c>
      <c r="AH837" s="133">
        <f>AH836/$V$825</f>
        <v>0.2</v>
      </c>
      <c r="AI837" s="133">
        <f>AI836/$V$825*2</f>
        <v>0.20357142857142857</v>
      </c>
      <c r="AJ837" s="133">
        <f>AJ836/$V$825*2</f>
        <v>0.19642857142857142</v>
      </c>
      <c r="AK837" s="133">
        <f>AK836/$V$825</f>
        <v>0.2</v>
      </c>
      <c r="AL837" s="133">
        <f>AL836/$V$825*2</f>
        <v>0.20357142857142857</v>
      </c>
      <c r="AM837" s="133">
        <f>AM836/$V$825*2</f>
        <v>0.19642857142857142</v>
      </c>
      <c r="AN837" s="133">
        <f>AN836/$V$825</f>
        <v>0.2</v>
      </c>
      <c r="AO837" s="133">
        <f>AO836/$V$825*2</f>
        <v>0.20357142857142857</v>
      </c>
      <c r="AP837" s="133">
        <f>AP836/$V$825*2</f>
        <v>0.19642857142857142</v>
      </c>
      <c r="AQ837" s="133">
        <f>AQ836/$V$825</f>
        <v>0.2</v>
      </c>
      <c r="AR837" s="133">
        <f>AR836/$V$825*2</f>
        <v>0.20357142857142857</v>
      </c>
      <c r="AS837" s="133">
        <f>AS836/$V$825*2</f>
        <v>0.19642857142857142</v>
      </c>
      <c r="AT837" s="133">
        <f>AT836/$V$825</f>
        <v>0.2</v>
      </c>
      <c r="AU837" s="133">
        <f>AU836/$V$825*2</f>
        <v>0.20357142857142857</v>
      </c>
      <c r="AV837" s="133">
        <f>AV836/$V$825*2</f>
        <v>0.19642857142857142</v>
      </c>
      <c r="AW837" s="133">
        <f>AW836/$V$825</f>
        <v>0.2</v>
      </c>
      <c r="AX837" s="133">
        <f>AX836/$V$825*2</f>
        <v>0.20357142857142857</v>
      </c>
      <c r="AY837" s="133">
        <f>AY836/$V$825*2</f>
        <v>0.19642857142857142</v>
      </c>
      <c r="AZ837" s="133">
        <f>AZ836/$V$825</f>
        <v>0.2</v>
      </c>
      <c r="BA837" s="133">
        <f>BA836/$V$825*2</f>
        <v>0.20357142857142857</v>
      </c>
      <c r="BB837" s="133">
        <f>BB836/$V$825*2</f>
        <v>0.19642857142857142</v>
      </c>
      <c r="BC837" s="133">
        <f>BC836/$V$825</f>
        <v>0.2</v>
      </c>
      <c r="BD837" s="133">
        <f>BD836/$V$825*2</f>
        <v>0.20357142857142857</v>
      </c>
      <c r="BE837" s="133">
        <f>BE836/$V$825*2</f>
        <v>0.19642857142857142</v>
      </c>
      <c r="BF837" s="133">
        <f>BF836/$V$825</f>
        <v>0.2</v>
      </c>
      <c r="BG837" s="133">
        <f>BG836/$V$825*2</f>
        <v>0.20357142857142857</v>
      </c>
      <c r="BH837" s="133">
        <f>BH836/$V$825*2</f>
        <v>0.19642857142857142</v>
      </c>
      <c r="BI837" s="133">
        <f>BI836/$V$825</f>
        <v>0.2</v>
      </c>
      <c r="BJ837" s="133">
        <f>BJ836/$V$825*2</f>
        <v>0.20357142857142857</v>
      </c>
      <c r="BK837" s="133">
        <f>BK836/$V$825*2</f>
        <v>0.19642857142857142</v>
      </c>
      <c r="BL837" s="133">
        <f>BL836/$V$825</f>
        <v>0.2</v>
      </c>
      <c r="BM837" s="133">
        <f>BM836/$V$825*2</f>
        <v>0.20357142857142857</v>
      </c>
      <c r="BN837" s="133">
        <f>BN836/$V$825*2</f>
        <v>0.19642857142857142</v>
      </c>
      <c r="BO837" s="133">
        <f>BO836/$V$825</f>
        <v>0.2</v>
      </c>
      <c r="BP837" s="133">
        <f>BP836/$V$825*2</f>
        <v>0.20357142857142857</v>
      </c>
      <c r="BQ837" s="133">
        <f>BQ836/$V$825*2</f>
        <v>0.19642857142857142</v>
      </c>
      <c r="BR837" s="133">
        <f>BR836/$V$825</f>
        <v>0.2</v>
      </c>
    </row>
    <row r="838" spans="2:70" outlineLevel="2">
      <c r="B838" s="5"/>
      <c r="C838" s="84" t="s">
        <v>57</v>
      </c>
      <c r="D838" s="7" t="s">
        <v>85</v>
      </c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Y838" s="157"/>
      <c r="Z838" s="157">
        <f>Z836*Z264</f>
        <v>1.5022329545454547</v>
      </c>
      <c r="AA838" s="157">
        <f>AA836*AA264</f>
        <v>1.3098634615384614</v>
      </c>
      <c r="AB838" s="157">
        <f>AB836*AB263</f>
        <v>6.2972524038461533</v>
      </c>
      <c r="AC838" s="157">
        <f t="shared" ref="AC838:BR838" si="2776">AC836*AC264</f>
        <v>1.6638494405594404</v>
      </c>
      <c r="AD838" s="157">
        <f t="shared" si="2776"/>
        <v>1.7829796153846154</v>
      </c>
      <c r="AE838" s="157">
        <f t="shared" si="2776"/>
        <v>3.4468290559440558</v>
      </c>
      <c r="AF838" s="157">
        <f t="shared" si="2776"/>
        <v>1.8595964335664334</v>
      </c>
      <c r="AG838" s="1031">
        <f t="shared" si="2776"/>
        <v>1.9228211538461539</v>
      </c>
      <c r="AH838" s="157">
        <f t="shared" si="2776"/>
        <v>3.7847534731934731</v>
      </c>
      <c r="AI838" s="157">
        <f t="shared" si="2776"/>
        <v>1.8595964335664334</v>
      </c>
      <c r="AJ838" s="157">
        <f t="shared" si="2776"/>
        <v>1.9228211538461539</v>
      </c>
      <c r="AK838" s="157">
        <f t="shared" si="2776"/>
        <v>3.7847534731934731</v>
      </c>
      <c r="AL838" s="157">
        <f t="shared" si="2776"/>
        <v>1.8595964335664334</v>
      </c>
      <c r="AM838" s="157">
        <f t="shared" si="2776"/>
        <v>1.9228211538461539</v>
      </c>
      <c r="AN838" s="157">
        <f t="shared" si="2776"/>
        <v>3.7847534731934731</v>
      </c>
      <c r="AO838" s="157">
        <f t="shared" si="2776"/>
        <v>1.8595964335664334</v>
      </c>
      <c r="AP838" s="157">
        <f t="shared" si="2776"/>
        <v>1.9228211538461539</v>
      </c>
      <c r="AQ838" s="157">
        <f t="shared" si="2776"/>
        <v>3.7847534731934731</v>
      </c>
      <c r="AR838" s="157">
        <f t="shared" si="2776"/>
        <v>1.8595964335664334</v>
      </c>
      <c r="AS838" s="157">
        <f t="shared" si="2776"/>
        <v>1.9228211538461539</v>
      </c>
      <c r="AT838" s="157">
        <f t="shared" si="2776"/>
        <v>3.7847534731934731</v>
      </c>
      <c r="AU838" s="157">
        <f t="shared" si="2776"/>
        <v>1.8595964335664334</v>
      </c>
      <c r="AV838" s="157">
        <f t="shared" si="2776"/>
        <v>1.9228211538461539</v>
      </c>
      <c r="AW838" s="157">
        <f t="shared" si="2776"/>
        <v>3.7847534731934731</v>
      </c>
      <c r="AX838" s="157">
        <f t="shared" si="2776"/>
        <v>1.8595964335664334</v>
      </c>
      <c r="AY838" s="157">
        <f t="shared" si="2776"/>
        <v>1.9228211538461539</v>
      </c>
      <c r="AZ838" s="157">
        <f t="shared" si="2776"/>
        <v>3.7847534731934731</v>
      </c>
      <c r="BA838" s="157">
        <f t="shared" si="2776"/>
        <v>1.8595964335664334</v>
      </c>
      <c r="BB838" s="157">
        <f t="shared" si="2776"/>
        <v>1.9228211538461539</v>
      </c>
      <c r="BC838" s="157">
        <f t="shared" si="2776"/>
        <v>3.7847534731934731</v>
      </c>
      <c r="BD838" s="157">
        <f t="shared" si="2776"/>
        <v>1.8595964335664334</v>
      </c>
      <c r="BE838" s="157">
        <f t="shared" si="2776"/>
        <v>1.9228211538461539</v>
      </c>
      <c r="BF838" s="157">
        <f t="shared" si="2776"/>
        <v>3.7847534731934731</v>
      </c>
      <c r="BG838" s="157">
        <f t="shared" si="2776"/>
        <v>1.8595964335664334</v>
      </c>
      <c r="BH838" s="157">
        <f t="shared" si="2776"/>
        <v>1.9228211538461539</v>
      </c>
      <c r="BI838" s="157">
        <f t="shared" si="2776"/>
        <v>3.7847534731934731</v>
      </c>
      <c r="BJ838" s="157">
        <f t="shared" si="2776"/>
        <v>1.8595964335664334</v>
      </c>
      <c r="BK838" s="157">
        <f t="shared" si="2776"/>
        <v>1.9228211538461539</v>
      </c>
      <c r="BL838" s="157">
        <f t="shared" si="2776"/>
        <v>3.7847534731934731</v>
      </c>
      <c r="BM838" s="157">
        <f t="shared" si="2776"/>
        <v>1.8595964335664334</v>
      </c>
      <c r="BN838" s="157">
        <f t="shared" si="2776"/>
        <v>1.9228211538461539</v>
      </c>
      <c r="BO838" s="157">
        <f t="shared" si="2776"/>
        <v>3.7847534731934731</v>
      </c>
      <c r="BP838" s="157">
        <f t="shared" si="2776"/>
        <v>1.8595964335664334</v>
      </c>
      <c r="BQ838" s="157">
        <f t="shared" si="2776"/>
        <v>1.9228211538461539</v>
      </c>
      <c r="BR838" s="157">
        <f t="shared" si="2776"/>
        <v>3.7847534731934731</v>
      </c>
    </row>
    <row r="839" spans="2:70" outlineLevel="2">
      <c r="B839" s="5"/>
      <c r="C839" s="511" t="s">
        <v>267</v>
      </c>
      <c r="D839" s="512" t="s">
        <v>85</v>
      </c>
      <c r="E839" s="512"/>
      <c r="F839" s="512"/>
      <c r="G839" s="512"/>
      <c r="H839" s="512"/>
      <c r="I839" s="512"/>
      <c r="J839" s="512"/>
      <c r="K839" s="512"/>
      <c r="L839" s="512"/>
      <c r="M839" s="512"/>
      <c r="N839" s="512"/>
      <c r="O839" s="512"/>
      <c r="P839" s="513"/>
      <c r="Q839" s="513"/>
      <c r="R839" s="513"/>
      <c r="S839" s="513"/>
      <c r="T839" s="513"/>
      <c r="U839" s="513"/>
      <c r="V839" s="513"/>
      <c r="W839" s="513"/>
      <c r="X839" s="513"/>
      <c r="Y839" s="513"/>
      <c r="Z839" s="514">
        <f>(Z827-W827)*Z$264</f>
        <v>36.721250000000005</v>
      </c>
      <c r="AA839" s="514">
        <f>(AA827-X827)*AA$264</f>
        <v>32.018884615384614</v>
      </c>
      <c r="AB839" s="514">
        <f>SUM(Z839:AA839)</f>
        <v>68.740134615384619</v>
      </c>
      <c r="AC839" s="514">
        <f>(AC827-Z827)*AC$264</f>
        <v>0</v>
      </c>
      <c r="AD839" s="514">
        <f>(AD827-AA827)*AD$264</f>
        <v>0</v>
      </c>
      <c r="AE839" s="514">
        <f>SUM(AC839:AD839)</f>
        <v>0</v>
      </c>
      <c r="AF839" s="514">
        <f>(AF827-AC827)*AF$264</f>
        <v>0</v>
      </c>
      <c r="AG839" s="1020">
        <f>(AG827-AD827)*AG$264</f>
        <v>0</v>
      </c>
      <c r="AH839" s="514">
        <f>SUM(AF839:AG839)</f>
        <v>0</v>
      </c>
      <c r="AI839" s="514">
        <f>(AI827-AF827)*AI$264</f>
        <v>0</v>
      </c>
      <c r="AJ839" s="514">
        <f>(AJ827-AG827)*AJ$264</f>
        <v>0</v>
      </c>
      <c r="AK839" s="514">
        <f>SUM(AI839:AJ839)</f>
        <v>0</v>
      </c>
      <c r="AL839" s="514">
        <f>(AL827-AI827)*AL$264</f>
        <v>0</v>
      </c>
      <c r="AM839" s="514">
        <f>(AM827-AJ827)*AM$264</f>
        <v>0</v>
      </c>
      <c r="AN839" s="514">
        <f>SUM(AL839:AM839)</f>
        <v>0</v>
      </c>
      <c r="AO839" s="514">
        <f>(AO827-AL827)*AO$264</f>
        <v>0</v>
      </c>
      <c r="AP839" s="514">
        <f>(AP827-AM827)*AP$264</f>
        <v>0</v>
      </c>
      <c r="AQ839" s="514">
        <f>SUM(AO839:AP839)</f>
        <v>0</v>
      </c>
      <c r="AR839" s="514">
        <f>(AR827-AO827)*AR$264</f>
        <v>0</v>
      </c>
      <c r="AS839" s="514">
        <f>(AS827-AP827)*AS$264</f>
        <v>0</v>
      </c>
      <c r="AT839" s="514">
        <f>SUM(AR839:AS839)</f>
        <v>0</v>
      </c>
      <c r="AU839" s="514">
        <f>(AU827-AR827)*AU$264</f>
        <v>0</v>
      </c>
      <c r="AV839" s="514">
        <f>(AV827-AS827)*AV$264</f>
        <v>0</v>
      </c>
      <c r="AW839" s="514">
        <f>SUM(AU839:AV839)</f>
        <v>0</v>
      </c>
      <c r="AX839" s="514">
        <f>(AX827-AU827)*AX$264</f>
        <v>0</v>
      </c>
      <c r="AY839" s="514">
        <f>(AY827-AV827)*AY$264</f>
        <v>0</v>
      </c>
      <c r="AZ839" s="514">
        <f>SUM(AX839:AY839)</f>
        <v>0</v>
      </c>
      <c r="BA839" s="514">
        <f>(BA827-AX827)*BA$264</f>
        <v>0</v>
      </c>
      <c r="BB839" s="514">
        <f>(BB827-AY827)*BB$264</f>
        <v>0</v>
      </c>
      <c r="BC839" s="514">
        <f>SUM(BA839:BB839)</f>
        <v>0</v>
      </c>
      <c r="BD839" s="514">
        <f>(BD827-BA827)*BD$264</f>
        <v>0</v>
      </c>
      <c r="BE839" s="514">
        <f>(BE827-BB827)*BE$264</f>
        <v>0</v>
      </c>
      <c r="BF839" s="514">
        <f>SUM(BD839:BE839)</f>
        <v>0</v>
      </c>
      <c r="BG839" s="514">
        <f>(BG827-BD827)*BG$264</f>
        <v>0</v>
      </c>
      <c r="BH839" s="514">
        <f>(BH827-BE827)*BH$264</f>
        <v>0</v>
      </c>
      <c r="BI839" s="514">
        <f>SUM(BG839:BH839)</f>
        <v>0</v>
      </c>
      <c r="BJ839" s="514">
        <f>(BJ827-BG827)*BJ$264</f>
        <v>0</v>
      </c>
      <c r="BK839" s="514">
        <f>(BK827-BH827)*BK$264</f>
        <v>0</v>
      </c>
      <c r="BL839" s="514">
        <f>SUM(BJ839:BK839)</f>
        <v>0</v>
      </c>
      <c r="BM839" s="514">
        <f>(BM827-BJ827)*BM$264</f>
        <v>0</v>
      </c>
      <c r="BN839" s="514">
        <f>(BN827-BK827)*BN$264</f>
        <v>0</v>
      </c>
      <c r="BO839" s="514">
        <f>SUM(BM839:BN839)</f>
        <v>0</v>
      </c>
      <c r="BP839" s="514">
        <f>(BP827-BM827)*BP$264</f>
        <v>0</v>
      </c>
      <c r="BQ839" s="514">
        <f>(BQ827-BN827)*BQ$264</f>
        <v>0</v>
      </c>
      <c r="BR839" s="515">
        <f>SUM(BP839:BQ839)</f>
        <v>0</v>
      </c>
    </row>
    <row r="840" spans="2:70" outlineLevel="2">
      <c r="B840" s="5"/>
      <c r="C840" s="516" t="s">
        <v>268</v>
      </c>
      <c r="D840" s="401" t="s">
        <v>85</v>
      </c>
      <c r="E840" s="401"/>
      <c r="F840" s="401"/>
      <c r="G840" s="401"/>
      <c r="H840" s="401"/>
      <c r="I840" s="401"/>
      <c r="J840" s="401"/>
      <c r="K840" s="401"/>
      <c r="L840" s="401"/>
      <c r="M840" s="401"/>
      <c r="N840" s="401"/>
      <c r="O840" s="401"/>
      <c r="P840" s="130"/>
      <c r="Q840" s="130"/>
      <c r="R840" s="130"/>
      <c r="S840" s="130"/>
      <c r="T840" s="130"/>
      <c r="U840" s="130"/>
      <c r="V840" s="130"/>
      <c r="W840" s="130"/>
      <c r="X840" s="130"/>
      <c r="Y840" s="130"/>
      <c r="Z840" s="171">
        <f>(Z830-W830)*Z$264</f>
        <v>-0.36721250000000005</v>
      </c>
      <c r="AA840" s="171">
        <f>(AA830-X830)*AA$264</f>
        <v>-0.32018884615384613</v>
      </c>
      <c r="AB840" s="171">
        <f>SUM(Z840:AA840)</f>
        <v>-0.68740134615384618</v>
      </c>
      <c r="AC840" s="171">
        <f>(AC830-Z830)*AC$264</f>
        <v>0</v>
      </c>
      <c r="AD840" s="171">
        <f>(AD830-AA830)*AD$264</f>
        <v>0</v>
      </c>
      <c r="AE840" s="171">
        <f>SUM(AC840:AD840)</f>
        <v>0</v>
      </c>
      <c r="AF840" s="171">
        <f>(AF830-AC830)*AF$264</f>
        <v>0</v>
      </c>
      <c r="AG840" s="937">
        <f>(AG830-AD830)*AG$264</f>
        <v>0</v>
      </c>
      <c r="AH840" s="171">
        <f>SUM(AF840:AG840)</f>
        <v>0</v>
      </c>
      <c r="AI840" s="171">
        <f>(AI830-AF830)*AI$264</f>
        <v>0</v>
      </c>
      <c r="AJ840" s="171">
        <f>(AJ830-AG830)*AJ$264</f>
        <v>0</v>
      </c>
      <c r="AK840" s="171">
        <f>SUM(AI840:AJ840)</f>
        <v>0</v>
      </c>
      <c r="AL840" s="171">
        <f>(AL830-AI830)*AL$264</f>
        <v>0</v>
      </c>
      <c r="AM840" s="171">
        <f>(AM830-AJ830)*AM$264</f>
        <v>0</v>
      </c>
      <c r="AN840" s="171">
        <f>SUM(AL840:AM840)</f>
        <v>0</v>
      </c>
      <c r="AO840" s="171">
        <f>(AO830-AL830)*AO$264</f>
        <v>0</v>
      </c>
      <c r="AP840" s="171">
        <f>(AP830-AM830)*AP$264</f>
        <v>0</v>
      </c>
      <c r="AQ840" s="171">
        <f>SUM(AO840:AP840)</f>
        <v>0</v>
      </c>
      <c r="AR840" s="171">
        <f>(AR830-AO830)*AR$264</f>
        <v>0</v>
      </c>
      <c r="AS840" s="171">
        <f>(AS830-AP830)*AS$264</f>
        <v>0</v>
      </c>
      <c r="AT840" s="171">
        <f>SUM(AR840:AS840)</f>
        <v>0</v>
      </c>
      <c r="AU840" s="171">
        <f>(AU830-AR830)*AU$264</f>
        <v>0</v>
      </c>
      <c r="AV840" s="171">
        <f>(AV830-AS830)*AV$264</f>
        <v>0</v>
      </c>
      <c r="AW840" s="171">
        <f>SUM(AU840:AV840)</f>
        <v>0</v>
      </c>
      <c r="AX840" s="171">
        <f>(AX830-AU830)*AX$264</f>
        <v>0</v>
      </c>
      <c r="AY840" s="171">
        <f>(AY830-AV830)*AY$264</f>
        <v>0</v>
      </c>
      <c r="AZ840" s="171">
        <f>SUM(AX840:AY840)</f>
        <v>0</v>
      </c>
      <c r="BA840" s="171">
        <f>(BA830-AX830)*BA$264</f>
        <v>0</v>
      </c>
      <c r="BB840" s="171">
        <f>(BB830-AY830)*BB$264</f>
        <v>0</v>
      </c>
      <c r="BC840" s="171">
        <f>SUM(BA840:BB840)</f>
        <v>0</v>
      </c>
      <c r="BD840" s="171">
        <f>(BD830-BA830)*BD$264</f>
        <v>0</v>
      </c>
      <c r="BE840" s="171">
        <f>(BE830-BB830)*BE$264</f>
        <v>0</v>
      </c>
      <c r="BF840" s="171">
        <f>SUM(BD840:BE840)</f>
        <v>0</v>
      </c>
      <c r="BG840" s="171">
        <f>(BG830-BD830)*BG$264</f>
        <v>0</v>
      </c>
      <c r="BH840" s="171">
        <f>(BH830-BE830)*BH$264</f>
        <v>0</v>
      </c>
      <c r="BI840" s="171">
        <f>SUM(BG840:BH840)</f>
        <v>0</v>
      </c>
      <c r="BJ840" s="171">
        <f>(BJ830-BG830)*BJ$264</f>
        <v>0</v>
      </c>
      <c r="BK840" s="171">
        <f>(BK830-BH830)*BK$264</f>
        <v>0</v>
      </c>
      <c r="BL840" s="171">
        <f>SUM(BJ840:BK840)</f>
        <v>0</v>
      </c>
      <c r="BM840" s="171">
        <f>(BM830-BJ830)*BM$264</f>
        <v>0</v>
      </c>
      <c r="BN840" s="171">
        <f>(BN830-BK830)*BN$264</f>
        <v>0</v>
      </c>
      <c r="BO840" s="171">
        <f>SUM(BM840:BN840)</f>
        <v>0</v>
      </c>
      <c r="BP840" s="171">
        <f>(BP830-BM830)*BP$264</f>
        <v>0</v>
      </c>
      <c r="BQ840" s="171">
        <f>(BQ830-BN830)*BQ$264</f>
        <v>0</v>
      </c>
      <c r="BR840" s="517">
        <f>SUM(BP840:BQ840)</f>
        <v>0</v>
      </c>
    </row>
    <row r="841" spans="2:70" outlineLevel="2">
      <c r="B841" s="5"/>
      <c r="C841" s="518" t="s">
        <v>269</v>
      </c>
      <c r="D841" s="519" t="s">
        <v>85</v>
      </c>
      <c r="E841" s="519"/>
      <c r="F841" s="519"/>
      <c r="G841" s="519"/>
      <c r="H841" s="519"/>
      <c r="I841" s="519"/>
      <c r="J841" s="519"/>
      <c r="K841" s="519"/>
      <c r="L841" s="519"/>
      <c r="M841" s="519"/>
      <c r="N841" s="519"/>
      <c r="O841" s="519"/>
      <c r="P841" s="520"/>
      <c r="Q841" s="520"/>
      <c r="R841" s="520"/>
      <c r="S841" s="520"/>
      <c r="T841" s="520"/>
      <c r="U841" s="520"/>
      <c r="V841" s="520"/>
      <c r="W841" s="520"/>
      <c r="X841" s="520"/>
      <c r="Y841" s="520"/>
      <c r="Z841" s="521">
        <f>(Z836-W836)*Z$264</f>
        <v>1.5022329545454547</v>
      </c>
      <c r="AA841" s="521">
        <f>(AA836-X836)*AA$264</f>
        <v>1.3098634615384614</v>
      </c>
      <c r="AB841" s="521">
        <f>SUM(Z841:AA841)</f>
        <v>2.8120964160839161</v>
      </c>
      <c r="AC841" s="521">
        <f>(AC836-Z836)*AC$264</f>
        <v>0.195746993006993</v>
      </c>
      <c r="AD841" s="521">
        <f>(AD836-AA836)*AD$264</f>
        <v>0.20976230769230769</v>
      </c>
      <c r="AE841" s="521">
        <f>SUM(AC841:AD841)</f>
        <v>0.40550930069930069</v>
      </c>
      <c r="AF841" s="521">
        <f>(AF836-AC836)*AF$264</f>
        <v>0.195746993006993</v>
      </c>
      <c r="AG841" s="1021">
        <f>(AG836-AD836)*AG$264</f>
        <v>0.13984153846153846</v>
      </c>
      <c r="AH841" s="521">
        <f>SUM(AF841:AG841)</f>
        <v>0.33558853146853146</v>
      </c>
      <c r="AI841" s="521">
        <f>(AI836-AF836)*AI$264</f>
        <v>0</v>
      </c>
      <c r="AJ841" s="521">
        <f>(AJ836-AG836)*AJ$264</f>
        <v>0</v>
      </c>
      <c r="AK841" s="521">
        <f>SUM(AI841:AJ841)</f>
        <v>0</v>
      </c>
      <c r="AL841" s="521">
        <f>(AL836-AI836)*AL$264</f>
        <v>0</v>
      </c>
      <c r="AM841" s="521">
        <f>(AM836-AJ836)*AM$264</f>
        <v>0</v>
      </c>
      <c r="AN841" s="521">
        <f>SUM(AL841:AM841)</f>
        <v>0</v>
      </c>
      <c r="AO841" s="521">
        <f>(AO836-AL836)*AO$264</f>
        <v>0</v>
      </c>
      <c r="AP841" s="521">
        <f>(AP836-AM836)*AP$264</f>
        <v>0</v>
      </c>
      <c r="AQ841" s="521">
        <f>SUM(AO841:AP841)</f>
        <v>0</v>
      </c>
      <c r="AR841" s="521">
        <f>(AR836-AO836)*AR$264</f>
        <v>0</v>
      </c>
      <c r="AS841" s="521">
        <f>(AS836-AP836)*AS$264</f>
        <v>0</v>
      </c>
      <c r="AT841" s="521">
        <f>SUM(AR841:AS841)</f>
        <v>0</v>
      </c>
      <c r="AU841" s="521">
        <f>(AU836-AR836)*AU$264</f>
        <v>0</v>
      </c>
      <c r="AV841" s="521">
        <f>(AV836-AS836)*AV$264</f>
        <v>0</v>
      </c>
      <c r="AW841" s="521">
        <f>SUM(AU841:AV841)</f>
        <v>0</v>
      </c>
      <c r="AX841" s="521">
        <f>(AX836-AU836)*AX$264</f>
        <v>0</v>
      </c>
      <c r="AY841" s="521">
        <f>(AY836-AV836)*AY$264</f>
        <v>0</v>
      </c>
      <c r="AZ841" s="521">
        <f>SUM(AX841:AY841)</f>
        <v>0</v>
      </c>
      <c r="BA841" s="521">
        <f>(BA836-AX836)*BA$264</f>
        <v>0</v>
      </c>
      <c r="BB841" s="521">
        <f>(BB836-AY836)*BB$264</f>
        <v>0</v>
      </c>
      <c r="BC841" s="521">
        <f>SUM(BA841:BB841)</f>
        <v>0</v>
      </c>
      <c r="BD841" s="521">
        <f>(BD836-BA836)*BD$264</f>
        <v>0</v>
      </c>
      <c r="BE841" s="521">
        <f>(BE836-BB836)*BE$264</f>
        <v>0</v>
      </c>
      <c r="BF841" s="521">
        <f>SUM(BD841:BE841)</f>
        <v>0</v>
      </c>
      <c r="BG841" s="521">
        <f>(BG836-BD836)*BG$264</f>
        <v>0</v>
      </c>
      <c r="BH841" s="521">
        <f>(BH836-BE836)*BH$264</f>
        <v>0</v>
      </c>
      <c r="BI841" s="521">
        <f>SUM(BG841:BH841)</f>
        <v>0</v>
      </c>
      <c r="BJ841" s="521">
        <f>(BJ836-BG836)*BJ$264</f>
        <v>0</v>
      </c>
      <c r="BK841" s="521">
        <f>(BK836-BH836)*BK$264</f>
        <v>0</v>
      </c>
      <c r="BL841" s="521">
        <f>SUM(BJ841:BK841)</f>
        <v>0</v>
      </c>
      <c r="BM841" s="521">
        <f>(BM836-BJ836)*BM$264</f>
        <v>0</v>
      </c>
      <c r="BN841" s="521">
        <f>(BN836-BK836)*BN$264</f>
        <v>0</v>
      </c>
      <c r="BO841" s="521">
        <f>SUM(BM841:BN841)</f>
        <v>0</v>
      </c>
      <c r="BP841" s="521">
        <f>(BP836-BM836)*BP$264</f>
        <v>0</v>
      </c>
      <c r="BQ841" s="521">
        <f>(BQ836-BN836)*BQ$264</f>
        <v>0</v>
      </c>
      <c r="BR841" s="522">
        <f>SUM(BP841:BQ841)</f>
        <v>0</v>
      </c>
    </row>
    <row r="842" spans="2:70" outlineLevel="2">
      <c r="B842" s="5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8"/>
      <c r="BC842" s="18"/>
      <c r="BD842" s="18"/>
      <c r="BE842" s="18"/>
      <c r="BF842" s="18"/>
      <c r="BG842" s="18"/>
      <c r="BH842" s="18"/>
      <c r="BI842" s="18"/>
      <c r="BJ842" s="18"/>
      <c r="BK842" s="18"/>
      <c r="BL842" s="18"/>
      <c r="BM842" s="18"/>
      <c r="BN842" s="18"/>
      <c r="BO842" s="18"/>
      <c r="BP842" s="18"/>
      <c r="BQ842" s="18"/>
      <c r="BR842" s="18"/>
    </row>
    <row r="843" spans="2:70" outlineLevel="2">
      <c r="B843" s="5"/>
      <c r="C843" s="8" t="s">
        <v>523</v>
      </c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AF843" s="26"/>
      <c r="AG843" s="933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8"/>
      <c r="BC843" s="18"/>
      <c r="BD843" s="18"/>
      <c r="BE843" s="18"/>
      <c r="BF843" s="18"/>
      <c r="BG843" s="18"/>
      <c r="BH843" s="18"/>
      <c r="BI843" s="18"/>
      <c r="BJ843" s="18"/>
      <c r="BK843" s="18"/>
      <c r="BL843" s="18"/>
      <c r="BM843" s="18"/>
      <c r="BN843" s="18"/>
      <c r="BO843" s="18"/>
      <c r="BP843" s="18"/>
      <c r="BQ843" s="18"/>
      <c r="BR843" s="18"/>
    </row>
    <row r="844" spans="2:70" outlineLevel="2">
      <c r="B844" s="5"/>
      <c r="C844" s="9" t="s">
        <v>266</v>
      </c>
      <c r="D844" s="31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V844" s="752" t="s">
        <v>517</v>
      </c>
      <c r="Z844" s="130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8"/>
      <c r="BC844" s="18"/>
      <c r="BD844" s="18"/>
      <c r="BE844" s="18"/>
      <c r="BF844" s="18"/>
      <c r="BG844" s="18"/>
      <c r="BH844" s="18"/>
      <c r="BI844" s="18"/>
      <c r="BJ844" s="18"/>
      <c r="BK844" s="18"/>
      <c r="BL844" s="18"/>
      <c r="BM844" s="18"/>
      <c r="BN844" s="18"/>
      <c r="BO844" s="18"/>
      <c r="BP844" s="18"/>
      <c r="BQ844" s="18"/>
      <c r="BR844" s="18"/>
    </row>
    <row r="845" spans="2:70" outlineLevel="2">
      <c r="B845" s="5"/>
      <c r="C845" s="9" t="s">
        <v>262</v>
      </c>
      <c r="D845" s="74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V845" s="753">
        <v>42198</v>
      </c>
      <c r="Z845" s="357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8"/>
      <c r="BC845" s="18"/>
      <c r="BD845" s="18"/>
      <c r="BE845" s="18"/>
      <c r="BF845" s="18"/>
      <c r="BG845" s="18"/>
      <c r="BH845" s="18"/>
      <c r="BI845" s="18"/>
      <c r="BJ845" s="18"/>
      <c r="BK845" s="18"/>
      <c r="BL845" s="18"/>
      <c r="BM845" s="18"/>
      <c r="BN845" s="18"/>
      <c r="BO845" s="18"/>
      <c r="BP845" s="18"/>
      <c r="BQ845" s="18"/>
      <c r="BR845" s="18"/>
    </row>
    <row r="846" spans="2:70" outlineLevel="2">
      <c r="B846" s="5"/>
      <c r="C846" s="84" t="s">
        <v>72</v>
      </c>
      <c r="D846" s="31" t="s">
        <v>58</v>
      </c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V846" s="754">
        <v>26.4</v>
      </c>
      <c r="Z846" s="35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8"/>
      <c r="BC846" s="18"/>
      <c r="BD846" s="18"/>
      <c r="BE846" s="18"/>
      <c r="BF846" s="18"/>
      <c r="BG846" s="18"/>
      <c r="BH846" s="18"/>
      <c r="BI846" s="18"/>
      <c r="BJ846" s="18"/>
      <c r="BK846" s="18"/>
      <c r="BL846" s="18"/>
      <c r="BM846" s="18"/>
      <c r="BN846" s="18"/>
      <c r="BO846" s="18"/>
      <c r="BP846" s="18"/>
      <c r="BQ846" s="18"/>
      <c r="BR846" s="18"/>
    </row>
    <row r="847" spans="2:70" outlineLevel="2">
      <c r="B847" s="5"/>
      <c r="C847" s="84" t="s">
        <v>76</v>
      </c>
      <c r="D847" s="74" t="s">
        <v>77</v>
      </c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V847" s="755"/>
      <c r="Z847" s="27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8"/>
      <c r="BC847" s="18"/>
      <c r="BD847" s="18"/>
      <c r="BE847" s="18"/>
      <c r="BF847" s="18"/>
      <c r="BG847" s="18"/>
      <c r="BH847" s="18"/>
      <c r="BI847" s="18"/>
      <c r="BJ847" s="18"/>
      <c r="BK847" s="18"/>
      <c r="BL847" s="18"/>
      <c r="BM847" s="18"/>
      <c r="BN847" s="18"/>
      <c r="BO847" s="18"/>
      <c r="BP847" s="18"/>
      <c r="BQ847" s="18"/>
      <c r="BR847" s="18"/>
    </row>
    <row r="848" spans="2:70" outlineLevel="2">
      <c r="B848" s="5"/>
      <c r="C848" s="84" t="s">
        <v>55</v>
      </c>
      <c r="D848" s="31" t="s">
        <v>58</v>
      </c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V848" s="754">
        <v>40</v>
      </c>
      <c r="Z848" s="364">
        <f>V848*0.5*(5/6)</f>
        <v>16.666666666666668</v>
      </c>
      <c r="AA848" s="175">
        <f>V848*0.5</f>
        <v>20</v>
      </c>
      <c r="AB848" s="167">
        <f>SUM(Z848:AA848)</f>
        <v>36.666666666666671</v>
      </c>
      <c r="AC848" s="149">
        <f t="shared" ref="AC848" si="2777">AE848*0.5</f>
        <v>20</v>
      </c>
      <c r="AD848" s="19">
        <f t="shared" ref="AD848" si="2778">AE848*0.5</f>
        <v>20</v>
      </c>
      <c r="AE848" s="389">
        <f>V848</f>
        <v>40</v>
      </c>
      <c r="AF848" s="149">
        <f t="shared" ref="AF848:AF849" si="2779">AH848*0.5</f>
        <v>20</v>
      </c>
      <c r="AG848" s="943">
        <f t="shared" ref="AG848:AG849" si="2780">AH848*0.5</f>
        <v>20</v>
      </c>
      <c r="AH848" s="389">
        <f>AE848</f>
        <v>40</v>
      </c>
      <c r="AI848" s="149">
        <f t="shared" ref="AI848:AI849" si="2781">AK848*0.5</f>
        <v>20</v>
      </c>
      <c r="AJ848" s="19">
        <f t="shared" ref="AJ848:AJ849" si="2782">AK848*0.5</f>
        <v>20</v>
      </c>
      <c r="AK848" s="389">
        <f>AH848</f>
        <v>40</v>
      </c>
      <c r="AL848" s="149">
        <f t="shared" ref="AL848:AL849" si="2783">AN848*0.5</f>
        <v>20</v>
      </c>
      <c r="AM848" s="19">
        <f t="shared" ref="AM848:AM849" si="2784">AN848*0.5</f>
        <v>20</v>
      </c>
      <c r="AN848" s="389">
        <f>AK848</f>
        <v>40</v>
      </c>
      <c r="AO848" s="149">
        <f t="shared" ref="AO848:AO849" si="2785">AQ848*0.5</f>
        <v>20</v>
      </c>
      <c r="AP848" s="19">
        <f t="shared" ref="AP848:AP849" si="2786">AQ848*0.5</f>
        <v>20</v>
      </c>
      <c r="AQ848" s="389">
        <f>AN848</f>
        <v>40</v>
      </c>
      <c r="AR848" s="149">
        <f t="shared" ref="AR848:AR849" si="2787">AT848*0.5</f>
        <v>20</v>
      </c>
      <c r="AS848" s="19">
        <f t="shared" ref="AS848:AS849" si="2788">AT848*0.5</f>
        <v>20</v>
      </c>
      <c r="AT848" s="389">
        <f>AQ848</f>
        <v>40</v>
      </c>
      <c r="AU848" s="149">
        <f t="shared" ref="AU848:AU849" si="2789">AW848*0.5</f>
        <v>20</v>
      </c>
      <c r="AV848" s="19">
        <f t="shared" ref="AV848:AV849" si="2790">AW848*0.5</f>
        <v>20</v>
      </c>
      <c r="AW848" s="389">
        <f>AT848</f>
        <v>40</v>
      </c>
      <c r="AX848" s="149">
        <f t="shared" ref="AX848:AX849" si="2791">AZ848*0.5</f>
        <v>20</v>
      </c>
      <c r="AY848" s="19">
        <f t="shared" ref="AY848:AY849" si="2792">AZ848*0.5</f>
        <v>20</v>
      </c>
      <c r="AZ848" s="389">
        <f>AW848</f>
        <v>40</v>
      </c>
      <c r="BA848" s="149">
        <f t="shared" ref="BA848:BA849" si="2793">BC848*0.5</f>
        <v>20</v>
      </c>
      <c r="BB848" s="19">
        <f t="shared" ref="BB848:BB849" si="2794">BC848*0.5</f>
        <v>20</v>
      </c>
      <c r="BC848" s="389">
        <f>AZ848</f>
        <v>40</v>
      </c>
      <c r="BD848" s="149">
        <f t="shared" ref="BD848:BD849" si="2795">BF848*0.5</f>
        <v>20</v>
      </c>
      <c r="BE848" s="19">
        <f t="shared" ref="BE848:BE849" si="2796">BF848*0.5</f>
        <v>20</v>
      </c>
      <c r="BF848" s="389">
        <f>BC848</f>
        <v>40</v>
      </c>
      <c r="BG848" s="149">
        <f t="shared" ref="BG848:BG849" si="2797">BI848*0.5</f>
        <v>20</v>
      </c>
      <c r="BH848" s="19">
        <f t="shared" ref="BH848:BH849" si="2798">BI848*0.5</f>
        <v>20</v>
      </c>
      <c r="BI848" s="389">
        <f>BF848</f>
        <v>40</v>
      </c>
      <c r="BJ848" s="149">
        <f t="shared" ref="BJ848:BJ849" si="2799">BL848*0.5</f>
        <v>20</v>
      </c>
      <c r="BK848" s="19">
        <f t="shared" ref="BK848:BK849" si="2800">BL848*0.5</f>
        <v>20</v>
      </c>
      <c r="BL848" s="389">
        <f>BI848</f>
        <v>40</v>
      </c>
      <c r="BM848" s="149">
        <f t="shared" ref="BM848:BM849" si="2801">BO848*0.5</f>
        <v>20</v>
      </c>
      <c r="BN848" s="19">
        <f t="shared" ref="BN848:BN849" si="2802">BO848*0.5</f>
        <v>20</v>
      </c>
      <c r="BO848" s="389">
        <f>BL848</f>
        <v>40</v>
      </c>
      <c r="BP848" s="149">
        <f t="shared" ref="BP848:BP849" si="2803">BR848*0.5</f>
        <v>20</v>
      </c>
      <c r="BQ848" s="19">
        <f t="shared" ref="BQ848:BQ849" si="2804">BR848*0.5</f>
        <v>20</v>
      </c>
      <c r="BR848" s="389">
        <f>BO848</f>
        <v>40</v>
      </c>
    </row>
    <row r="849" spans="2:70" outlineLevel="2">
      <c r="B849" s="5"/>
      <c r="C849" s="84" t="s">
        <v>56</v>
      </c>
      <c r="D849" s="31" t="s">
        <v>58</v>
      </c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V849" s="756">
        <f>V857-V851</f>
        <v>6.48</v>
      </c>
      <c r="Z849" s="364">
        <f>V849*0.5*(5/6)</f>
        <v>2.7</v>
      </c>
      <c r="AA849" s="175">
        <f>V849*0.5</f>
        <v>3.24</v>
      </c>
      <c r="AB849" s="167">
        <f>SUM(Z849:AA849)</f>
        <v>5.94</v>
      </c>
      <c r="AC849" s="149">
        <f>AE849*0.5</f>
        <v>3.24</v>
      </c>
      <c r="AD849" s="19">
        <f>AE849*0.5</f>
        <v>3.24</v>
      </c>
      <c r="AE849" s="389">
        <f>V849</f>
        <v>6.48</v>
      </c>
      <c r="AF849" s="149">
        <f t="shared" si="2779"/>
        <v>3.2399999999999993</v>
      </c>
      <c r="AG849" s="943">
        <f t="shared" si="2780"/>
        <v>3.2399999999999993</v>
      </c>
      <c r="AH849" s="167">
        <f t="shared" ref="AH849" si="2805">AH848*AH850</f>
        <v>6.4799999999999986</v>
      </c>
      <c r="AI849" s="149">
        <f t="shared" si="2781"/>
        <v>3.2399999999999993</v>
      </c>
      <c r="AJ849" s="19">
        <f t="shared" si="2782"/>
        <v>3.2399999999999993</v>
      </c>
      <c r="AK849" s="167">
        <f t="shared" ref="AK849" si="2806">AK848*AK850</f>
        <v>6.4799999999999986</v>
      </c>
      <c r="AL849" s="149">
        <f t="shared" si="2783"/>
        <v>3.2399999999999993</v>
      </c>
      <c r="AM849" s="19">
        <f t="shared" si="2784"/>
        <v>3.2399999999999993</v>
      </c>
      <c r="AN849" s="167">
        <f t="shared" ref="AN849" si="2807">AN848*AN850</f>
        <v>6.4799999999999986</v>
      </c>
      <c r="AO849" s="149">
        <f t="shared" si="2785"/>
        <v>3.2399999999999993</v>
      </c>
      <c r="AP849" s="19">
        <f t="shared" si="2786"/>
        <v>3.2399999999999993</v>
      </c>
      <c r="AQ849" s="167">
        <f t="shared" ref="AQ849" si="2808">AQ848*AQ850</f>
        <v>6.4799999999999986</v>
      </c>
      <c r="AR849" s="149">
        <f t="shared" si="2787"/>
        <v>3.2399999999999993</v>
      </c>
      <c r="AS849" s="19">
        <f t="shared" si="2788"/>
        <v>3.2399999999999993</v>
      </c>
      <c r="AT849" s="167">
        <f t="shared" ref="AT849" si="2809">AT848*AT850</f>
        <v>6.4799999999999986</v>
      </c>
      <c r="AU849" s="149">
        <f t="shared" si="2789"/>
        <v>3.2399999999999993</v>
      </c>
      <c r="AV849" s="19">
        <f t="shared" si="2790"/>
        <v>3.2399999999999993</v>
      </c>
      <c r="AW849" s="167">
        <f t="shared" ref="AW849" si="2810">AW848*AW850</f>
        <v>6.4799999999999986</v>
      </c>
      <c r="AX849" s="149">
        <f t="shared" si="2791"/>
        <v>3.2399999999999993</v>
      </c>
      <c r="AY849" s="19">
        <f t="shared" si="2792"/>
        <v>3.2399999999999993</v>
      </c>
      <c r="AZ849" s="167">
        <f t="shared" ref="AZ849" si="2811">AZ848*AZ850</f>
        <v>6.4799999999999986</v>
      </c>
      <c r="BA849" s="149">
        <f t="shared" si="2793"/>
        <v>3.2399999999999993</v>
      </c>
      <c r="BB849" s="19">
        <f t="shared" si="2794"/>
        <v>3.2399999999999993</v>
      </c>
      <c r="BC849" s="167">
        <f t="shared" ref="BC849" si="2812">BC848*BC850</f>
        <v>6.4799999999999986</v>
      </c>
      <c r="BD849" s="149">
        <f t="shared" si="2795"/>
        <v>3.2399999999999993</v>
      </c>
      <c r="BE849" s="19">
        <f t="shared" si="2796"/>
        <v>3.2399999999999993</v>
      </c>
      <c r="BF849" s="167">
        <f t="shared" ref="BF849" si="2813">BF848*BF850</f>
        <v>6.4799999999999986</v>
      </c>
      <c r="BG849" s="149">
        <f t="shared" si="2797"/>
        <v>3.2399999999999993</v>
      </c>
      <c r="BH849" s="19">
        <f t="shared" si="2798"/>
        <v>3.2399999999999993</v>
      </c>
      <c r="BI849" s="167">
        <f t="shared" ref="BI849" si="2814">BI848*BI850</f>
        <v>6.4799999999999986</v>
      </c>
      <c r="BJ849" s="149">
        <f t="shared" si="2799"/>
        <v>3.2399999999999993</v>
      </c>
      <c r="BK849" s="19">
        <f t="shared" si="2800"/>
        <v>3.2399999999999993</v>
      </c>
      <c r="BL849" s="167">
        <f t="shared" ref="BL849" si="2815">BL848*BL850</f>
        <v>6.4799999999999986</v>
      </c>
      <c r="BM849" s="149">
        <f t="shared" si="2801"/>
        <v>3.2399999999999993</v>
      </c>
      <c r="BN849" s="19">
        <f t="shared" si="2802"/>
        <v>3.2399999999999993</v>
      </c>
      <c r="BO849" s="167">
        <f t="shared" ref="BO849" si="2816">BO848*BO850</f>
        <v>6.4799999999999986</v>
      </c>
      <c r="BP849" s="149">
        <f t="shared" si="2803"/>
        <v>3.2399999999999993</v>
      </c>
      <c r="BQ849" s="19">
        <f t="shared" si="2804"/>
        <v>3.2399999999999993</v>
      </c>
      <c r="BR849" s="167">
        <f t="shared" ref="BR849" si="2817">BR848*BR850</f>
        <v>6.4799999999999986</v>
      </c>
    </row>
    <row r="850" spans="2:70" outlineLevel="2">
      <c r="B850" s="5"/>
      <c r="C850" s="84" t="s">
        <v>73</v>
      </c>
      <c r="D850" s="31" t="s">
        <v>66</v>
      </c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V850" s="757">
        <f>V849/V848</f>
        <v>0.16200000000000001</v>
      </c>
      <c r="Z850" s="133">
        <f t="shared" ref="Z850:AA850" si="2818">Z849/Z848</f>
        <v>0.16200000000000001</v>
      </c>
      <c r="AA850" s="133">
        <f t="shared" si="2818"/>
        <v>0.16200000000000001</v>
      </c>
      <c r="AB850" s="133">
        <f>AB849/AB848</f>
        <v>0.16199999999999998</v>
      </c>
      <c r="AC850" s="133">
        <f>AC849/AC848</f>
        <v>0.16200000000000001</v>
      </c>
      <c r="AD850" s="133">
        <f>AD849/AD848</f>
        <v>0.16200000000000001</v>
      </c>
      <c r="AE850" s="133">
        <f>AB850</f>
        <v>0.16199999999999998</v>
      </c>
      <c r="AF850" s="133">
        <f t="shared" ref="AF850" si="2819">AF849/AF848</f>
        <v>0.16199999999999998</v>
      </c>
      <c r="AG850" s="938">
        <f t="shared" ref="AG850" si="2820">AG849/AG848</f>
        <v>0.16199999999999998</v>
      </c>
      <c r="AH850" s="133">
        <f t="shared" ref="AH850" si="2821">AE850</f>
        <v>0.16199999999999998</v>
      </c>
      <c r="AI850" s="133">
        <f t="shared" ref="AI850" si="2822">AI849/AI848</f>
        <v>0.16199999999999998</v>
      </c>
      <c r="AJ850" s="133">
        <f t="shared" ref="AJ850" si="2823">AJ849/AJ848</f>
        <v>0.16199999999999998</v>
      </c>
      <c r="AK850" s="133">
        <f t="shared" ref="AK850" si="2824">AH850</f>
        <v>0.16199999999999998</v>
      </c>
      <c r="AL850" s="133">
        <f t="shared" ref="AL850:AM850" si="2825">AL849/AL848</f>
        <v>0.16199999999999998</v>
      </c>
      <c r="AM850" s="133">
        <f t="shared" si="2825"/>
        <v>0.16199999999999998</v>
      </c>
      <c r="AN850" s="133">
        <f t="shared" ref="AN850" si="2826">AK850</f>
        <v>0.16199999999999998</v>
      </c>
      <c r="AO850" s="133">
        <f t="shared" ref="AO850:AP850" si="2827">AO849/AO848</f>
        <v>0.16199999999999998</v>
      </c>
      <c r="AP850" s="133">
        <f t="shared" si="2827"/>
        <v>0.16199999999999998</v>
      </c>
      <c r="AQ850" s="133">
        <f t="shared" ref="AQ850" si="2828">AN850</f>
        <v>0.16199999999999998</v>
      </c>
      <c r="AR850" s="133">
        <f t="shared" ref="AR850:AS850" si="2829">AR849/AR848</f>
        <v>0.16199999999999998</v>
      </c>
      <c r="AS850" s="133">
        <f t="shared" si="2829"/>
        <v>0.16199999999999998</v>
      </c>
      <c r="AT850" s="133">
        <f t="shared" ref="AT850" si="2830">AQ850</f>
        <v>0.16199999999999998</v>
      </c>
      <c r="AU850" s="133">
        <f t="shared" ref="AU850:AV850" si="2831">AU849/AU848</f>
        <v>0.16199999999999998</v>
      </c>
      <c r="AV850" s="133">
        <f t="shared" si="2831"/>
        <v>0.16199999999999998</v>
      </c>
      <c r="AW850" s="133">
        <f t="shared" ref="AW850" si="2832">AT850</f>
        <v>0.16199999999999998</v>
      </c>
      <c r="AX850" s="133">
        <f t="shared" ref="AX850:AY850" si="2833">AX849/AX848</f>
        <v>0.16199999999999998</v>
      </c>
      <c r="AY850" s="133">
        <f t="shared" si="2833"/>
        <v>0.16199999999999998</v>
      </c>
      <c r="AZ850" s="133">
        <f t="shared" ref="AZ850" si="2834">AW850</f>
        <v>0.16199999999999998</v>
      </c>
      <c r="BA850" s="133">
        <f t="shared" ref="BA850:BB850" si="2835">BA849/BA848</f>
        <v>0.16199999999999998</v>
      </c>
      <c r="BB850" s="133">
        <f t="shared" si="2835"/>
        <v>0.16199999999999998</v>
      </c>
      <c r="BC850" s="133">
        <f t="shared" ref="BC850" si="2836">AZ850</f>
        <v>0.16199999999999998</v>
      </c>
      <c r="BD850" s="133">
        <f t="shared" ref="BD850:BE850" si="2837">BD849/BD848</f>
        <v>0.16199999999999998</v>
      </c>
      <c r="BE850" s="133">
        <f t="shared" si="2837"/>
        <v>0.16199999999999998</v>
      </c>
      <c r="BF850" s="133">
        <f t="shared" ref="BF850" si="2838">BC850</f>
        <v>0.16199999999999998</v>
      </c>
      <c r="BG850" s="133">
        <f t="shared" ref="BG850:BH850" si="2839">BG849/BG848</f>
        <v>0.16199999999999998</v>
      </c>
      <c r="BH850" s="133">
        <f t="shared" si="2839"/>
        <v>0.16199999999999998</v>
      </c>
      <c r="BI850" s="133">
        <f t="shared" ref="BI850" si="2840">BF850</f>
        <v>0.16199999999999998</v>
      </c>
      <c r="BJ850" s="133">
        <f t="shared" ref="BJ850:BK850" si="2841">BJ849/BJ848</f>
        <v>0.16199999999999998</v>
      </c>
      <c r="BK850" s="133">
        <f t="shared" si="2841"/>
        <v>0.16199999999999998</v>
      </c>
      <c r="BL850" s="133">
        <f t="shared" ref="BL850" si="2842">BI850</f>
        <v>0.16199999999999998</v>
      </c>
      <c r="BM850" s="133">
        <f t="shared" ref="BM850:BN850" si="2843">BM849/BM848</f>
        <v>0.16199999999999998</v>
      </c>
      <c r="BN850" s="133">
        <f t="shared" si="2843"/>
        <v>0.16199999999999998</v>
      </c>
      <c r="BO850" s="133">
        <f t="shared" ref="BO850" si="2844">BL850</f>
        <v>0.16199999999999998</v>
      </c>
      <c r="BP850" s="133">
        <f t="shared" ref="BP850:BQ850" si="2845">BP849/BP848</f>
        <v>0.16199999999999998</v>
      </c>
      <c r="BQ850" s="133">
        <f t="shared" si="2845"/>
        <v>0.16199999999999998</v>
      </c>
      <c r="BR850" s="133">
        <f t="shared" ref="BR850" si="2846">BO850</f>
        <v>0.16199999999999998</v>
      </c>
    </row>
    <row r="851" spans="2:70" outlineLevel="2">
      <c r="B851" s="5"/>
      <c r="C851" s="84" t="s">
        <v>65</v>
      </c>
      <c r="D851" s="31" t="s">
        <v>58</v>
      </c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V851" s="758">
        <f>V848*-3%</f>
        <v>-1.2</v>
      </c>
      <c r="Z851" s="364">
        <f>V851*0.5*(5/6)</f>
        <v>-0.5</v>
      </c>
      <c r="AA851" s="175">
        <f>V851*0.5</f>
        <v>-0.6</v>
      </c>
      <c r="AB851" s="167">
        <f>SUM(Z851:AA851)</f>
        <v>-1.1000000000000001</v>
      </c>
      <c r="AC851" s="167">
        <f>AE851*0.5</f>
        <v>-0.6</v>
      </c>
      <c r="AD851" s="167">
        <f>AE851*0.5</f>
        <v>-0.6</v>
      </c>
      <c r="AE851" s="360">
        <f>AB851*(AE848/AB848)</f>
        <v>-1.2</v>
      </c>
      <c r="AF851" s="167">
        <f t="shared" ref="AF851" si="2847">AH851*0.5</f>
        <v>-0.6</v>
      </c>
      <c r="AG851" s="1017">
        <f t="shared" ref="AG851" si="2848">AH851*0.5</f>
        <v>-0.6</v>
      </c>
      <c r="AH851" s="360">
        <f t="shared" ref="AH851" si="2849">AE851*(AH848/AE848)</f>
        <v>-1.2</v>
      </c>
      <c r="AI851" s="167">
        <f t="shared" ref="AI851" si="2850">AK851*0.5</f>
        <v>-0.6</v>
      </c>
      <c r="AJ851" s="167">
        <f t="shared" ref="AJ851" si="2851">AK851*0.5</f>
        <v>-0.6</v>
      </c>
      <c r="AK851" s="360">
        <f t="shared" ref="AK851" si="2852">AH851*(AK848/AH848)</f>
        <v>-1.2</v>
      </c>
      <c r="AL851" s="167">
        <f t="shared" ref="AL851" si="2853">AN851*0.5</f>
        <v>-0.6</v>
      </c>
      <c r="AM851" s="167">
        <f t="shared" ref="AM851" si="2854">AN851*0.5</f>
        <v>-0.6</v>
      </c>
      <c r="AN851" s="360">
        <f t="shared" ref="AN851" si="2855">AK851*(AN848/AK848)</f>
        <v>-1.2</v>
      </c>
      <c r="AO851" s="167">
        <f t="shared" ref="AO851" si="2856">AQ851*0.5</f>
        <v>-0.6</v>
      </c>
      <c r="AP851" s="167">
        <f t="shared" ref="AP851" si="2857">AQ851*0.5</f>
        <v>-0.6</v>
      </c>
      <c r="AQ851" s="360">
        <f t="shared" ref="AQ851" si="2858">AN851*(AQ848/AN848)</f>
        <v>-1.2</v>
      </c>
      <c r="AR851" s="167">
        <f t="shared" ref="AR851" si="2859">AT851*0.5</f>
        <v>-0.6</v>
      </c>
      <c r="AS851" s="167">
        <f t="shared" ref="AS851" si="2860">AT851*0.5</f>
        <v>-0.6</v>
      </c>
      <c r="AT851" s="360">
        <f t="shared" ref="AT851" si="2861">AQ851*(AT848/AQ848)</f>
        <v>-1.2</v>
      </c>
      <c r="AU851" s="167">
        <f t="shared" ref="AU851" si="2862">AW851*0.5</f>
        <v>-0.6</v>
      </c>
      <c r="AV851" s="167">
        <f t="shared" ref="AV851" si="2863">AW851*0.5</f>
        <v>-0.6</v>
      </c>
      <c r="AW851" s="360">
        <f t="shared" ref="AW851" si="2864">AT851*(AW848/AT848)</f>
        <v>-1.2</v>
      </c>
      <c r="AX851" s="167">
        <f t="shared" ref="AX851" si="2865">AZ851*0.5</f>
        <v>-0.6</v>
      </c>
      <c r="AY851" s="167">
        <f t="shared" ref="AY851" si="2866">AZ851*0.5</f>
        <v>-0.6</v>
      </c>
      <c r="AZ851" s="360">
        <f t="shared" ref="AZ851" si="2867">AW851*(AZ848/AW848)</f>
        <v>-1.2</v>
      </c>
      <c r="BA851" s="167">
        <f t="shared" ref="BA851" si="2868">BC851*0.5</f>
        <v>-0.6</v>
      </c>
      <c r="BB851" s="167">
        <f t="shared" ref="BB851" si="2869">BC851*0.5</f>
        <v>-0.6</v>
      </c>
      <c r="BC851" s="360">
        <f t="shared" ref="BC851" si="2870">AZ851*(BC848/AZ848)</f>
        <v>-1.2</v>
      </c>
      <c r="BD851" s="167">
        <f t="shared" ref="BD851" si="2871">BF851*0.5</f>
        <v>-0.6</v>
      </c>
      <c r="BE851" s="167">
        <f t="shared" ref="BE851" si="2872">BF851*0.5</f>
        <v>-0.6</v>
      </c>
      <c r="BF851" s="360">
        <f t="shared" ref="BF851" si="2873">BC851*(BF848/BC848)</f>
        <v>-1.2</v>
      </c>
      <c r="BG851" s="167">
        <f t="shared" ref="BG851" si="2874">BI851*0.5</f>
        <v>-0.6</v>
      </c>
      <c r="BH851" s="167">
        <f t="shared" ref="BH851" si="2875">BI851*0.5</f>
        <v>-0.6</v>
      </c>
      <c r="BI851" s="360">
        <f t="shared" ref="BI851" si="2876">BF851*(BI848/BF848)</f>
        <v>-1.2</v>
      </c>
      <c r="BJ851" s="167">
        <f t="shared" ref="BJ851" si="2877">BL851*0.5</f>
        <v>-0.6</v>
      </c>
      <c r="BK851" s="167">
        <f t="shared" ref="BK851" si="2878">BL851*0.5</f>
        <v>-0.6</v>
      </c>
      <c r="BL851" s="360">
        <f t="shared" ref="BL851" si="2879">BI851*(BL848/BI848)</f>
        <v>-1.2</v>
      </c>
      <c r="BM851" s="167">
        <f t="shared" ref="BM851" si="2880">BO851*0.5</f>
        <v>-0.6</v>
      </c>
      <c r="BN851" s="167">
        <f t="shared" ref="BN851" si="2881">BO851*0.5</f>
        <v>-0.6</v>
      </c>
      <c r="BO851" s="360">
        <f t="shared" ref="BO851" si="2882">BL851*(BO848/BL848)</f>
        <v>-1.2</v>
      </c>
      <c r="BP851" s="167">
        <f t="shared" ref="BP851" si="2883">BR851*0.5</f>
        <v>-0.6</v>
      </c>
      <c r="BQ851" s="167">
        <f t="shared" ref="BQ851" si="2884">BR851*0.5</f>
        <v>-0.6</v>
      </c>
      <c r="BR851" s="360">
        <f t="shared" ref="BR851" si="2885">BO851*(BR848/BO848)</f>
        <v>-1.2</v>
      </c>
    </row>
    <row r="852" spans="2:70" outlineLevel="2">
      <c r="B852" s="5"/>
      <c r="C852" s="84" t="s">
        <v>78</v>
      </c>
      <c r="D852" s="31" t="s">
        <v>58</v>
      </c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V852" s="759">
        <f>V849+V851</f>
        <v>5.28</v>
      </c>
      <c r="Z852" s="360">
        <f>Z849+Z851</f>
        <v>2.2000000000000002</v>
      </c>
      <c r="AA852" s="360">
        <f>AA849+AA851</f>
        <v>2.64</v>
      </c>
      <c r="AB852" s="167">
        <f>SUM(Z852:AA852)</f>
        <v>4.84</v>
      </c>
      <c r="AC852" s="167">
        <f>AC849+AC851</f>
        <v>2.64</v>
      </c>
      <c r="AD852" s="167">
        <f>AD849+AD851</f>
        <v>2.64</v>
      </c>
      <c r="AE852" s="172">
        <f>SUM(AC852:AD852)</f>
        <v>5.28</v>
      </c>
      <c r="AF852" s="167">
        <f t="shared" ref="AF852" si="2886">AF849+AF851</f>
        <v>2.6399999999999992</v>
      </c>
      <c r="AG852" s="1017">
        <f t="shared" ref="AG852" si="2887">AG849+AG851</f>
        <v>2.6399999999999992</v>
      </c>
      <c r="AH852" s="172">
        <f t="shared" ref="AH852" si="2888">SUM(AF852:AG852)</f>
        <v>5.2799999999999985</v>
      </c>
      <c r="AI852" s="167">
        <f t="shared" ref="AI852" si="2889">AI849+AI851</f>
        <v>2.6399999999999992</v>
      </c>
      <c r="AJ852" s="167">
        <f t="shared" ref="AJ852" si="2890">AJ849+AJ851</f>
        <v>2.6399999999999992</v>
      </c>
      <c r="AK852" s="172">
        <f t="shared" ref="AK852" si="2891">SUM(AI852:AJ852)</f>
        <v>5.2799999999999985</v>
      </c>
      <c r="AL852" s="167">
        <f t="shared" ref="AL852:AM852" si="2892">AL849+AL851</f>
        <v>2.6399999999999992</v>
      </c>
      <c r="AM852" s="167">
        <f t="shared" si="2892"/>
        <v>2.6399999999999992</v>
      </c>
      <c r="AN852" s="172">
        <f t="shared" ref="AN852" si="2893">SUM(AL852:AM852)</f>
        <v>5.2799999999999985</v>
      </c>
      <c r="AO852" s="167">
        <f t="shared" ref="AO852:AP852" si="2894">AO849+AO851</f>
        <v>2.6399999999999992</v>
      </c>
      <c r="AP852" s="167">
        <f t="shared" si="2894"/>
        <v>2.6399999999999992</v>
      </c>
      <c r="AQ852" s="172">
        <f t="shared" ref="AQ852" si="2895">SUM(AO852:AP852)</f>
        <v>5.2799999999999985</v>
      </c>
      <c r="AR852" s="167">
        <f t="shared" ref="AR852:AS852" si="2896">AR849+AR851</f>
        <v>2.6399999999999992</v>
      </c>
      <c r="AS852" s="167">
        <f t="shared" si="2896"/>
        <v>2.6399999999999992</v>
      </c>
      <c r="AT852" s="172">
        <f t="shared" ref="AT852" si="2897">SUM(AR852:AS852)</f>
        <v>5.2799999999999985</v>
      </c>
      <c r="AU852" s="167">
        <f t="shared" ref="AU852:AV852" si="2898">AU849+AU851</f>
        <v>2.6399999999999992</v>
      </c>
      <c r="AV852" s="167">
        <f t="shared" si="2898"/>
        <v>2.6399999999999992</v>
      </c>
      <c r="AW852" s="172">
        <f t="shared" ref="AW852" si="2899">SUM(AU852:AV852)</f>
        <v>5.2799999999999985</v>
      </c>
      <c r="AX852" s="167">
        <f t="shared" ref="AX852:AY852" si="2900">AX849+AX851</f>
        <v>2.6399999999999992</v>
      </c>
      <c r="AY852" s="167">
        <f t="shared" si="2900"/>
        <v>2.6399999999999992</v>
      </c>
      <c r="AZ852" s="172">
        <f t="shared" ref="AZ852" si="2901">SUM(AX852:AY852)</f>
        <v>5.2799999999999985</v>
      </c>
      <c r="BA852" s="167">
        <f t="shared" ref="BA852:BB852" si="2902">BA849+BA851</f>
        <v>2.6399999999999992</v>
      </c>
      <c r="BB852" s="167">
        <f t="shared" si="2902"/>
        <v>2.6399999999999992</v>
      </c>
      <c r="BC852" s="172">
        <f t="shared" ref="BC852" si="2903">SUM(BA852:BB852)</f>
        <v>5.2799999999999985</v>
      </c>
      <c r="BD852" s="167">
        <f t="shared" ref="BD852:BE852" si="2904">BD849+BD851</f>
        <v>2.6399999999999992</v>
      </c>
      <c r="BE852" s="167">
        <f t="shared" si="2904"/>
        <v>2.6399999999999992</v>
      </c>
      <c r="BF852" s="172">
        <f t="shared" ref="BF852" si="2905">SUM(BD852:BE852)</f>
        <v>5.2799999999999985</v>
      </c>
      <c r="BG852" s="167">
        <f t="shared" ref="BG852:BH852" si="2906">BG849+BG851</f>
        <v>2.6399999999999992</v>
      </c>
      <c r="BH852" s="167">
        <f t="shared" si="2906"/>
        <v>2.6399999999999992</v>
      </c>
      <c r="BI852" s="172">
        <f t="shared" ref="BI852" si="2907">SUM(BG852:BH852)</f>
        <v>5.2799999999999985</v>
      </c>
      <c r="BJ852" s="167">
        <f t="shared" ref="BJ852:BK852" si="2908">BJ849+BJ851</f>
        <v>2.6399999999999992</v>
      </c>
      <c r="BK852" s="167">
        <f t="shared" si="2908"/>
        <v>2.6399999999999992</v>
      </c>
      <c r="BL852" s="172">
        <f t="shared" ref="BL852" si="2909">SUM(BJ852:BK852)</f>
        <v>5.2799999999999985</v>
      </c>
      <c r="BM852" s="167">
        <f t="shared" ref="BM852:BN852" si="2910">BM849+BM851</f>
        <v>2.6399999999999992</v>
      </c>
      <c r="BN852" s="167">
        <f t="shared" si="2910"/>
        <v>2.6399999999999992</v>
      </c>
      <c r="BO852" s="172">
        <f t="shared" ref="BO852" si="2911">SUM(BM852:BN852)</f>
        <v>5.2799999999999985</v>
      </c>
      <c r="BP852" s="167">
        <f t="shared" ref="BP852:BQ852" si="2912">BP849+BP851</f>
        <v>2.6399999999999992</v>
      </c>
      <c r="BQ852" s="167">
        <f t="shared" si="2912"/>
        <v>2.6399999999999992</v>
      </c>
      <c r="BR852" s="172">
        <f t="shared" ref="BR852" si="2913">SUM(BP852:BQ852)</f>
        <v>5.2799999999999985</v>
      </c>
    </row>
    <row r="853" spans="2:70" outlineLevel="2">
      <c r="B853" s="5"/>
      <c r="C853" s="84" t="s">
        <v>74</v>
      </c>
      <c r="D853" s="31" t="s">
        <v>66</v>
      </c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V853" s="757">
        <f>V852/V848</f>
        <v>0.13200000000000001</v>
      </c>
      <c r="Z853" s="133">
        <f t="shared" ref="Z853:AA853" si="2914">Z852/Z848</f>
        <v>0.13200000000000001</v>
      </c>
      <c r="AA853" s="133">
        <f t="shared" si="2914"/>
        <v>0.13200000000000001</v>
      </c>
      <c r="AB853" s="162">
        <f t="shared" ref="AB853:AK853" si="2915">AB852/AB848</f>
        <v>0.13199999999999998</v>
      </c>
      <c r="AC853" s="162">
        <f t="shared" si="2915"/>
        <v>0.13200000000000001</v>
      </c>
      <c r="AD853" s="133">
        <f t="shared" si="2915"/>
        <v>0.13200000000000001</v>
      </c>
      <c r="AE853" s="162">
        <f t="shared" si="2915"/>
        <v>0.13200000000000001</v>
      </c>
      <c r="AF853" s="162">
        <f t="shared" si="2915"/>
        <v>0.13199999999999995</v>
      </c>
      <c r="AG853" s="938">
        <f t="shared" si="2915"/>
        <v>0.13199999999999995</v>
      </c>
      <c r="AH853" s="162">
        <f t="shared" si="2915"/>
        <v>0.13199999999999995</v>
      </c>
      <c r="AI853" s="162">
        <f t="shared" si="2915"/>
        <v>0.13199999999999995</v>
      </c>
      <c r="AJ853" s="133">
        <f t="shared" si="2915"/>
        <v>0.13199999999999995</v>
      </c>
      <c r="AK853" s="133">
        <f t="shared" si="2915"/>
        <v>0.13199999999999995</v>
      </c>
      <c r="AL853" s="162">
        <f t="shared" ref="AL853:AN853" si="2916">AL852/AL848</f>
        <v>0.13199999999999995</v>
      </c>
      <c r="AM853" s="133">
        <f t="shared" si="2916"/>
        <v>0.13199999999999995</v>
      </c>
      <c r="AN853" s="133">
        <f t="shared" si="2916"/>
        <v>0.13199999999999995</v>
      </c>
      <c r="AO853" s="162">
        <f t="shared" ref="AO853:BR853" si="2917">AO852/AO848</f>
        <v>0.13199999999999995</v>
      </c>
      <c r="AP853" s="133">
        <f t="shared" si="2917"/>
        <v>0.13199999999999995</v>
      </c>
      <c r="AQ853" s="133">
        <f t="shared" si="2917"/>
        <v>0.13199999999999995</v>
      </c>
      <c r="AR853" s="162">
        <f t="shared" si="2917"/>
        <v>0.13199999999999995</v>
      </c>
      <c r="AS853" s="133">
        <f t="shared" si="2917"/>
        <v>0.13199999999999995</v>
      </c>
      <c r="AT853" s="133">
        <f t="shared" si="2917"/>
        <v>0.13199999999999995</v>
      </c>
      <c r="AU853" s="162">
        <f t="shared" si="2917"/>
        <v>0.13199999999999995</v>
      </c>
      <c r="AV853" s="133">
        <f t="shared" si="2917"/>
        <v>0.13199999999999995</v>
      </c>
      <c r="AW853" s="133">
        <f t="shared" si="2917"/>
        <v>0.13199999999999995</v>
      </c>
      <c r="AX853" s="162">
        <f t="shared" si="2917"/>
        <v>0.13199999999999995</v>
      </c>
      <c r="AY853" s="133">
        <f t="shared" si="2917"/>
        <v>0.13199999999999995</v>
      </c>
      <c r="AZ853" s="133">
        <f t="shared" si="2917"/>
        <v>0.13199999999999995</v>
      </c>
      <c r="BA853" s="162">
        <f t="shared" si="2917"/>
        <v>0.13199999999999995</v>
      </c>
      <c r="BB853" s="133">
        <f t="shared" si="2917"/>
        <v>0.13199999999999995</v>
      </c>
      <c r="BC853" s="133">
        <f t="shared" si="2917"/>
        <v>0.13199999999999995</v>
      </c>
      <c r="BD853" s="162">
        <f t="shared" si="2917"/>
        <v>0.13199999999999995</v>
      </c>
      <c r="BE853" s="133">
        <f t="shared" si="2917"/>
        <v>0.13199999999999995</v>
      </c>
      <c r="BF853" s="133">
        <f t="shared" si="2917"/>
        <v>0.13199999999999995</v>
      </c>
      <c r="BG853" s="162">
        <f t="shared" si="2917"/>
        <v>0.13199999999999995</v>
      </c>
      <c r="BH853" s="133">
        <f t="shared" si="2917"/>
        <v>0.13199999999999995</v>
      </c>
      <c r="BI853" s="133">
        <f t="shared" si="2917"/>
        <v>0.13199999999999995</v>
      </c>
      <c r="BJ853" s="162">
        <f t="shared" si="2917"/>
        <v>0.13199999999999995</v>
      </c>
      <c r="BK853" s="133">
        <f t="shared" si="2917"/>
        <v>0.13199999999999995</v>
      </c>
      <c r="BL853" s="133">
        <f t="shared" si="2917"/>
        <v>0.13199999999999995</v>
      </c>
      <c r="BM853" s="162">
        <f t="shared" si="2917"/>
        <v>0.13199999999999995</v>
      </c>
      <c r="BN853" s="133">
        <f t="shared" si="2917"/>
        <v>0.13199999999999995</v>
      </c>
      <c r="BO853" s="133">
        <f t="shared" si="2917"/>
        <v>0.13199999999999995</v>
      </c>
      <c r="BP853" s="162">
        <f t="shared" si="2917"/>
        <v>0.13199999999999995</v>
      </c>
      <c r="BQ853" s="133">
        <f t="shared" si="2917"/>
        <v>0.13199999999999995</v>
      </c>
      <c r="BR853" s="133">
        <f t="shared" si="2917"/>
        <v>0.13199999999999995</v>
      </c>
    </row>
    <row r="854" spans="2:70" outlineLevel="2">
      <c r="B854" s="5"/>
      <c r="C854" s="84" t="s">
        <v>90</v>
      </c>
      <c r="D854" s="31" t="s">
        <v>58</v>
      </c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V854" s="759">
        <f>V857-V852</f>
        <v>0</v>
      </c>
      <c r="Z854" s="404">
        <v>0</v>
      </c>
      <c r="AA854" s="404">
        <v>0</v>
      </c>
      <c r="AB854" s="172">
        <f>SUM(Z854:AA854)</f>
        <v>0</v>
      </c>
      <c r="AC854" s="404">
        <v>0</v>
      </c>
      <c r="AD854" s="404">
        <v>0</v>
      </c>
      <c r="AE854" s="172">
        <f>SUM(AC854:AD854)</f>
        <v>0</v>
      </c>
      <c r="AF854" s="402">
        <v>0</v>
      </c>
      <c r="AG854" s="1030">
        <v>0</v>
      </c>
      <c r="AH854" s="336">
        <f t="shared" ref="AH854" si="2918">SUM(AF854:AG854)</f>
        <v>0</v>
      </c>
      <c r="AI854" s="404">
        <v>0</v>
      </c>
      <c r="AJ854" s="404">
        <v>0</v>
      </c>
      <c r="AK854" s="336">
        <f t="shared" ref="AK854" si="2919">SUM(AI854:AJ854)</f>
        <v>0</v>
      </c>
      <c r="AL854" s="404">
        <v>0</v>
      </c>
      <c r="AM854" s="404">
        <v>0</v>
      </c>
      <c r="AN854" s="336">
        <f t="shared" ref="AN854:AN855" si="2920">SUM(AL854:AM854)</f>
        <v>0</v>
      </c>
      <c r="AO854" s="404">
        <v>0</v>
      </c>
      <c r="AP854" s="404">
        <v>0</v>
      </c>
      <c r="AQ854" s="336">
        <f t="shared" ref="AQ854:AQ855" si="2921">SUM(AO854:AP854)</f>
        <v>0</v>
      </c>
      <c r="AR854" s="404">
        <v>0</v>
      </c>
      <c r="AS854" s="404">
        <v>0</v>
      </c>
      <c r="AT854" s="336">
        <f t="shared" ref="AT854:AT855" si="2922">SUM(AR854:AS854)</f>
        <v>0</v>
      </c>
      <c r="AU854" s="404">
        <v>0</v>
      </c>
      <c r="AV854" s="404">
        <v>0</v>
      </c>
      <c r="AW854" s="336">
        <f t="shared" ref="AW854:AW855" si="2923">SUM(AU854:AV854)</f>
        <v>0</v>
      </c>
      <c r="AX854" s="404">
        <v>0</v>
      </c>
      <c r="AY854" s="404">
        <v>0</v>
      </c>
      <c r="AZ854" s="336">
        <f t="shared" ref="AZ854:AZ855" si="2924">SUM(AX854:AY854)</f>
        <v>0</v>
      </c>
      <c r="BA854" s="404">
        <v>0</v>
      </c>
      <c r="BB854" s="404">
        <v>0</v>
      </c>
      <c r="BC854" s="336">
        <f t="shared" ref="BC854:BC855" si="2925">SUM(BA854:BB854)</f>
        <v>0</v>
      </c>
      <c r="BD854" s="404">
        <v>0</v>
      </c>
      <c r="BE854" s="404">
        <v>0</v>
      </c>
      <c r="BF854" s="336">
        <f t="shared" ref="BF854:BF855" si="2926">SUM(BD854:BE854)</f>
        <v>0</v>
      </c>
      <c r="BG854" s="404">
        <v>0</v>
      </c>
      <c r="BH854" s="404">
        <v>0</v>
      </c>
      <c r="BI854" s="336">
        <f t="shared" ref="BI854:BI855" si="2927">SUM(BG854:BH854)</f>
        <v>0</v>
      </c>
      <c r="BJ854" s="404">
        <v>0</v>
      </c>
      <c r="BK854" s="404">
        <v>0</v>
      </c>
      <c r="BL854" s="336">
        <f t="shared" ref="BL854:BL855" si="2928">SUM(BJ854:BK854)</f>
        <v>0</v>
      </c>
      <c r="BM854" s="404">
        <v>0</v>
      </c>
      <c r="BN854" s="404">
        <v>0</v>
      </c>
      <c r="BO854" s="336">
        <f t="shared" ref="BO854:BO855" si="2929">SUM(BM854:BN854)</f>
        <v>0</v>
      </c>
      <c r="BP854" s="404">
        <v>0</v>
      </c>
      <c r="BQ854" s="404">
        <v>0</v>
      </c>
      <c r="BR854" s="336">
        <f t="shared" ref="BR854:BR855" si="2930">SUM(BP854:BQ854)</f>
        <v>0</v>
      </c>
    </row>
    <row r="855" spans="2:70" outlineLevel="2">
      <c r="B855" s="5"/>
      <c r="C855" s="84" t="s">
        <v>89</v>
      </c>
      <c r="D855" s="31" t="s">
        <v>58</v>
      </c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V855" s="760"/>
      <c r="Z855" s="156">
        <f>X855+Z854</f>
        <v>0</v>
      </c>
      <c r="AA855" s="156">
        <f>X855+AA854</f>
        <v>0</v>
      </c>
      <c r="AB855" s="157">
        <f>SUM(Z855:AA855)</f>
        <v>0</v>
      </c>
      <c r="AC855" s="156">
        <f>AA855+AC854</f>
        <v>0</v>
      </c>
      <c r="AD855" s="156">
        <f>AA855+AD854</f>
        <v>0</v>
      </c>
      <c r="AE855" s="157">
        <f>SUM(AC855:AD855)</f>
        <v>0</v>
      </c>
      <c r="AF855" s="157">
        <f t="shared" ref="AF855" si="2931">AC855+AF854</f>
        <v>0</v>
      </c>
      <c r="AG855" s="1031">
        <f t="shared" ref="AG855" si="2932">AD855+AG854</f>
        <v>0</v>
      </c>
      <c r="AH855" s="156">
        <f t="shared" ref="AH855" si="2933">SUM(AF855:AG855)</f>
        <v>0</v>
      </c>
      <c r="AI855" s="156">
        <f t="shared" ref="AI855" si="2934">AF855+AI854</f>
        <v>0</v>
      </c>
      <c r="AJ855" s="156">
        <f t="shared" ref="AJ855" si="2935">AG855+AJ854</f>
        <v>0</v>
      </c>
      <c r="AK855" s="156">
        <f t="shared" ref="AK855" si="2936">SUM(AI855:AJ855)</f>
        <v>0</v>
      </c>
      <c r="AL855" s="156">
        <f t="shared" ref="AL855" si="2937">AI855+AL854</f>
        <v>0</v>
      </c>
      <c r="AM855" s="156">
        <f t="shared" ref="AM855" si="2938">AJ855+AM854</f>
        <v>0</v>
      </c>
      <c r="AN855" s="156">
        <f t="shared" si="2920"/>
        <v>0</v>
      </c>
      <c r="AO855" s="156">
        <f t="shared" ref="AO855" si="2939">AL855+AO854</f>
        <v>0</v>
      </c>
      <c r="AP855" s="156">
        <f t="shared" ref="AP855" si="2940">AM855+AP854</f>
        <v>0</v>
      </c>
      <c r="AQ855" s="156">
        <f t="shared" si="2921"/>
        <v>0</v>
      </c>
      <c r="AR855" s="156">
        <f t="shared" ref="AR855" si="2941">AO855+AR854</f>
        <v>0</v>
      </c>
      <c r="AS855" s="156">
        <f t="shared" ref="AS855" si="2942">AP855+AS854</f>
        <v>0</v>
      </c>
      <c r="AT855" s="156">
        <f t="shared" si="2922"/>
        <v>0</v>
      </c>
      <c r="AU855" s="156">
        <f t="shared" ref="AU855" si="2943">AR855+AU854</f>
        <v>0</v>
      </c>
      <c r="AV855" s="156">
        <f t="shared" ref="AV855" si="2944">AS855+AV854</f>
        <v>0</v>
      </c>
      <c r="AW855" s="156">
        <f t="shared" si="2923"/>
        <v>0</v>
      </c>
      <c r="AX855" s="156">
        <f t="shared" ref="AX855" si="2945">AU855+AX854</f>
        <v>0</v>
      </c>
      <c r="AY855" s="156">
        <f t="shared" ref="AY855" si="2946">AV855+AY854</f>
        <v>0</v>
      </c>
      <c r="AZ855" s="156">
        <f t="shared" si="2924"/>
        <v>0</v>
      </c>
      <c r="BA855" s="156">
        <f t="shared" ref="BA855" si="2947">AX855+BA854</f>
        <v>0</v>
      </c>
      <c r="BB855" s="156">
        <f t="shared" ref="BB855" si="2948">AY855+BB854</f>
        <v>0</v>
      </c>
      <c r="BC855" s="156">
        <f t="shared" si="2925"/>
        <v>0</v>
      </c>
      <c r="BD855" s="156">
        <f t="shared" ref="BD855" si="2949">BA855+BD854</f>
        <v>0</v>
      </c>
      <c r="BE855" s="156">
        <f t="shared" ref="BE855" si="2950">BB855+BE854</f>
        <v>0</v>
      </c>
      <c r="BF855" s="156">
        <f t="shared" si="2926"/>
        <v>0</v>
      </c>
      <c r="BG855" s="156">
        <f t="shared" ref="BG855" si="2951">BD855+BG854</f>
        <v>0</v>
      </c>
      <c r="BH855" s="156">
        <f t="shared" ref="BH855" si="2952">BE855+BH854</f>
        <v>0</v>
      </c>
      <c r="BI855" s="156">
        <f t="shared" si="2927"/>
        <v>0</v>
      </c>
      <c r="BJ855" s="156">
        <f t="shared" ref="BJ855" si="2953">BG855+BJ854</f>
        <v>0</v>
      </c>
      <c r="BK855" s="156">
        <f t="shared" ref="BK855" si="2954">BH855+BK854</f>
        <v>0</v>
      </c>
      <c r="BL855" s="156">
        <f t="shared" si="2928"/>
        <v>0</v>
      </c>
      <c r="BM855" s="156">
        <f t="shared" ref="BM855" si="2955">BJ855+BM854</f>
        <v>0</v>
      </c>
      <c r="BN855" s="156">
        <f t="shared" ref="BN855" si="2956">BK855+BN854</f>
        <v>0</v>
      </c>
      <c r="BO855" s="156">
        <f t="shared" si="2929"/>
        <v>0</v>
      </c>
      <c r="BP855" s="156">
        <f t="shared" ref="BP855" si="2957">BM855+BP854</f>
        <v>0</v>
      </c>
      <c r="BQ855" s="156">
        <f t="shared" ref="BQ855" si="2958">BN855+BQ854</f>
        <v>0</v>
      </c>
      <c r="BR855" s="156">
        <f t="shared" si="2930"/>
        <v>0</v>
      </c>
    </row>
    <row r="856" spans="2:70" outlineLevel="2">
      <c r="B856" s="5"/>
      <c r="C856" s="84" t="s">
        <v>264</v>
      </c>
      <c r="D856" s="31" t="s">
        <v>66</v>
      </c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V856" s="761">
        <f>V854/V848</f>
        <v>0</v>
      </c>
      <c r="Z856" s="17"/>
      <c r="AA856" s="167"/>
      <c r="AB856" s="167"/>
      <c r="AC856" s="156"/>
      <c r="AD856" s="156"/>
      <c r="AE856" s="157"/>
      <c r="AF856" s="157"/>
      <c r="AG856" s="1031"/>
      <c r="AH856" s="156"/>
      <c r="AI856" s="156"/>
      <c r="AJ856" s="156"/>
      <c r="AK856" s="156"/>
      <c r="AL856" s="156"/>
      <c r="AM856" s="156"/>
      <c r="AN856" s="156"/>
      <c r="AO856" s="156"/>
      <c r="AP856" s="156"/>
      <c r="AQ856" s="156"/>
      <c r="AR856" s="156"/>
      <c r="AS856" s="156"/>
      <c r="AT856" s="156"/>
      <c r="AU856" s="156"/>
      <c r="AV856" s="156"/>
      <c r="AW856" s="156"/>
      <c r="AX856" s="156"/>
      <c r="AY856" s="156"/>
      <c r="AZ856" s="156"/>
      <c r="BA856" s="156"/>
      <c r="BB856" s="156"/>
      <c r="BC856" s="156"/>
      <c r="BD856" s="156"/>
      <c r="BE856" s="156"/>
      <c r="BF856" s="156"/>
      <c r="BG856" s="156"/>
      <c r="BH856" s="156"/>
      <c r="BI856" s="156"/>
      <c r="BJ856" s="156"/>
      <c r="BK856" s="156"/>
      <c r="BL856" s="156"/>
      <c r="BM856" s="156"/>
      <c r="BN856" s="156"/>
      <c r="BO856" s="156"/>
      <c r="BP856" s="156"/>
      <c r="BQ856" s="156"/>
      <c r="BR856" s="156"/>
    </row>
    <row r="857" spans="2:70" outlineLevel="2">
      <c r="B857" s="5"/>
      <c r="C857" s="84" t="s">
        <v>79</v>
      </c>
      <c r="D857" s="31" t="s">
        <v>58</v>
      </c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V857" s="760">
        <f>V846*V858</f>
        <v>5.28</v>
      </c>
      <c r="Z857" s="13">
        <f t="shared" ref="Z857:AA857" si="2959">Z855+Z852</f>
        <v>2.2000000000000002</v>
      </c>
      <c r="AA857" s="13">
        <f t="shared" si="2959"/>
        <v>2.64</v>
      </c>
      <c r="AB857" s="167">
        <f>SUM(Z857:AA857)</f>
        <v>4.84</v>
      </c>
      <c r="AC857" s="13">
        <f t="shared" ref="AC857:AK857" si="2960">AC855+AC852</f>
        <v>2.64</v>
      </c>
      <c r="AD857" s="13">
        <f t="shared" si="2960"/>
        <v>2.64</v>
      </c>
      <c r="AE857" s="164">
        <f t="shared" si="2960"/>
        <v>5.28</v>
      </c>
      <c r="AF857" s="164">
        <f t="shared" si="2960"/>
        <v>2.6399999999999992</v>
      </c>
      <c r="AG857" s="1018">
        <f t="shared" si="2960"/>
        <v>2.6399999999999992</v>
      </c>
      <c r="AH857" s="13">
        <f t="shared" si="2960"/>
        <v>5.2799999999999985</v>
      </c>
      <c r="AI857" s="13">
        <f t="shared" si="2960"/>
        <v>2.6399999999999992</v>
      </c>
      <c r="AJ857" s="13">
        <f t="shared" si="2960"/>
        <v>2.6399999999999992</v>
      </c>
      <c r="AK857" s="13">
        <f t="shared" si="2960"/>
        <v>5.2799999999999985</v>
      </c>
      <c r="AL857" s="13">
        <f t="shared" ref="AL857:AN857" si="2961">AL855+AL852</f>
        <v>2.6399999999999992</v>
      </c>
      <c r="AM857" s="13">
        <f t="shared" si="2961"/>
        <v>2.6399999999999992</v>
      </c>
      <c r="AN857" s="13">
        <f t="shared" si="2961"/>
        <v>5.2799999999999985</v>
      </c>
      <c r="AO857" s="13">
        <f t="shared" ref="AO857:BR857" si="2962">AO855+AO852</f>
        <v>2.6399999999999992</v>
      </c>
      <c r="AP857" s="13">
        <f t="shared" si="2962"/>
        <v>2.6399999999999992</v>
      </c>
      <c r="AQ857" s="13">
        <f t="shared" si="2962"/>
        <v>5.2799999999999985</v>
      </c>
      <c r="AR857" s="13">
        <f t="shared" si="2962"/>
        <v>2.6399999999999992</v>
      </c>
      <c r="AS857" s="13">
        <f t="shared" si="2962"/>
        <v>2.6399999999999992</v>
      </c>
      <c r="AT857" s="13">
        <f t="shared" si="2962"/>
        <v>5.2799999999999985</v>
      </c>
      <c r="AU857" s="13">
        <f t="shared" si="2962"/>
        <v>2.6399999999999992</v>
      </c>
      <c r="AV857" s="13">
        <f t="shared" si="2962"/>
        <v>2.6399999999999992</v>
      </c>
      <c r="AW857" s="13">
        <f t="shared" si="2962"/>
        <v>5.2799999999999985</v>
      </c>
      <c r="AX857" s="13">
        <f t="shared" si="2962"/>
        <v>2.6399999999999992</v>
      </c>
      <c r="AY857" s="13">
        <f t="shared" si="2962"/>
        <v>2.6399999999999992</v>
      </c>
      <c r="AZ857" s="13">
        <f t="shared" si="2962"/>
        <v>5.2799999999999985</v>
      </c>
      <c r="BA857" s="13">
        <f t="shared" si="2962"/>
        <v>2.6399999999999992</v>
      </c>
      <c r="BB857" s="13">
        <f t="shared" si="2962"/>
        <v>2.6399999999999992</v>
      </c>
      <c r="BC857" s="13">
        <f t="shared" si="2962"/>
        <v>5.2799999999999985</v>
      </c>
      <c r="BD857" s="13">
        <f t="shared" si="2962"/>
        <v>2.6399999999999992</v>
      </c>
      <c r="BE857" s="13">
        <f t="shared" si="2962"/>
        <v>2.6399999999999992</v>
      </c>
      <c r="BF857" s="13">
        <f t="shared" si="2962"/>
        <v>5.2799999999999985</v>
      </c>
      <c r="BG857" s="13">
        <f t="shared" si="2962"/>
        <v>2.6399999999999992</v>
      </c>
      <c r="BH857" s="13">
        <f t="shared" si="2962"/>
        <v>2.6399999999999992</v>
      </c>
      <c r="BI857" s="13">
        <f t="shared" si="2962"/>
        <v>5.2799999999999985</v>
      </c>
      <c r="BJ857" s="13">
        <f t="shared" si="2962"/>
        <v>2.6399999999999992</v>
      </c>
      <c r="BK857" s="13">
        <f t="shared" si="2962"/>
        <v>2.6399999999999992</v>
      </c>
      <c r="BL857" s="13">
        <f t="shared" si="2962"/>
        <v>5.2799999999999985</v>
      </c>
      <c r="BM857" s="13">
        <f t="shared" si="2962"/>
        <v>2.6399999999999992</v>
      </c>
      <c r="BN857" s="13">
        <f t="shared" si="2962"/>
        <v>2.6399999999999992</v>
      </c>
      <c r="BO857" s="13">
        <f t="shared" si="2962"/>
        <v>5.2799999999999985</v>
      </c>
      <c r="BP857" s="13">
        <f t="shared" si="2962"/>
        <v>2.6399999999999992</v>
      </c>
      <c r="BQ857" s="13">
        <f t="shared" si="2962"/>
        <v>2.6399999999999992</v>
      </c>
      <c r="BR857" s="13">
        <f t="shared" si="2962"/>
        <v>5.2799999999999985</v>
      </c>
    </row>
    <row r="858" spans="2:70" outlineLevel="2">
      <c r="B858" s="5"/>
      <c r="C858" s="84" t="s">
        <v>75</v>
      </c>
      <c r="D858" s="31" t="s">
        <v>66</v>
      </c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V858" s="762">
        <v>0.2</v>
      </c>
      <c r="Z858" s="20">
        <f>Z857/$V$846*2</f>
        <v>0.16666666666666669</v>
      </c>
      <c r="AA858" s="20">
        <f>AA857/$V$846*2</f>
        <v>0.2</v>
      </c>
      <c r="AB858" s="20">
        <f>AB857/$V$846</f>
        <v>0.18333333333333335</v>
      </c>
      <c r="AC858" s="20">
        <f>AC857/$V$846*2</f>
        <v>0.2</v>
      </c>
      <c r="AD858" s="20">
        <f>AD857/$V$846*2</f>
        <v>0.2</v>
      </c>
      <c r="AE858" s="133">
        <f>AE857/$V$846</f>
        <v>0.2</v>
      </c>
      <c r="AF858" s="133">
        <f>AF857/$V$846*2</f>
        <v>0.19999999999999996</v>
      </c>
      <c r="AG858" s="938">
        <f>AG857/$V$846*2</f>
        <v>0.19999999999999996</v>
      </c>
      <c r="AH858" s="20">
        <f>AH857/$V$846</f>
        <v>0.19999999999999996</v>
      </c>
      <c r="AI858" s="20">
        <f>AI857/$V$846*2</f>
        <v>0.19999999999999996</v>
      </c>
      <c r="AJ858" s="20">
        <f>AJ857/$V$846*2</f>
        <v>0.19999999999999996</v>
      </c>
      <c r="AK858" s="20">
        <f>AK857/$V$846</f>
        <v>0.19999999999999996</v>
      </c>
      <c r="AL858" s="20">
        <f>AL857/$V$846*2</f>
        <v>0.19999999999999996</v>
      </c>
      <c r="AM858" s="20">
        <f>AM857/$V$846*2</f>
        <v>0.19999999999999996</v>
      </c>
      <c r="AN858" s="20">
        <f>AN857/$V$846</f>
        <v>0.19999999999999996</v>
      </c>
      <c r="AO858" s="20">
        <f>AO857/$V$846*2</f>
        <v>0.19999999999999996</v>
      </c>
      <c r="AP858" s="20">
        <f>AP857/$V$846*2</f>
        <v>0.19999999999999996</v>
      </c>
      <c r="AQ858" s="20">
        <f>AQ857/$V$846</f>
        <v>0.19999999999999996</v>
      </c>
      <c r="AR858" s="20">
        <f>AR857/$V$846*2</f>
        <v>0.19999999999999996</v>
      </c>
      <c r="AS858" s="20">
        <f>AS857/$V$846*2</f>
        <v>0.19999999999999996</v>
      </c>
      <c r="AT858" s="20">
        <f>AT857/$V$846</f>
        <v>0.19999999999999996</v>
      </c>
      <c r="AU858" s="20">
        <f>AU857/$V$846*2</f>
        <v>0.19999999999999996</v>
      </c>
      <c r="AV858" s="20">
        <f>AV857/$V$846*2</f>
        <v>0.19999999999999996</v>
      </c>
      <c r="AW858" s="20">
        <f>AW857/$V$846</f>
        <v>0.19999999999999996</v>
      </c>
      <c r="AX858" s="20">
        <f>AX857/$V$846*2</f>
        <v>0.19999999999999996</v>
      </c>
      <c r="AY858" s="20">
        <f>AY857/$V$846*2</f>
        <v>0.19999999999999996</v>
      </c>
      <c r="AZ858" s="20">
        <f>AZ857/$V$846</f>
        <v>0.19999999999999996</v>
      </c>
      <c r="BA858" s="20">
        <f>BA857/$V$846*2</f>
        <v>0.19999999999999996</v>
      </c>
      <c r="BB858" s="20">
        <f>BB857/$V$846*2</f>
        <v>0.19999999999999996</v>
      </c>
      <c r="BC858" s="20">
        <f>BC857/$V$846</f>
        <v>0.19999999999999996</v>
      </c>
      <c r="BD858" s="20">
        <f>BD857/$V$846*2</f>
        <v>0.19999999999999996</v>
      </c>
      <c r="BE858" s="20">
        <f>BE857/$V$846*2</f>
        <v>0.19999999999999996</v>
      </c>
      <c r="BF858" s="20">
        <f>BF857/$V$846</f>
        <v>0.19999999999999996</v>
      </c>
      <c r="BG858" s="20">
        <f>BG857/$V$846*2</f>
        <v>0.19999999999999996</v>
      </c>
      <c r="BH858" s="20">
        <f>BH857/$V$846*2</f>
        <v>0.19999999999999996</v>
      </c>
      <c r="BI858" s="20">
        <f>BI857/$V$846</f>
        <v>0.19999999999999996</v>
      </c>
      <c r="BJ858" s="20">
        <f>BJ857/$V$846*2</f>
        <v>0.19999999999999996</v>
      </c>
      <c r="BK858" s="20">
        <f>BK857/$V$846*2</f>
        <v>0.19999999999999996</v>
      </c>
      <c r="BL858" s="20">
        <f>BL857/$V$846</f>
        <v>0.19999999999999996</v>
      </c>
      <c r="BM858" s="20">
        <f>BM857/$V$846*2</f>
        <v>0.19999999999999996</v>
      </c>
      <c r="BN858" s="20">
        <f>BN857/$V$846*2</f>
        <v>0.19999999999999996</v>
      </c>
      <c r="BO858" s="20">
        <f>BO857/$V$846</f>
        <v>0.19999999999999996</v>
      </c>
      <c r="BP858" s="20">
        <f>BP857/$V$846*2</f>
        <v>0.19999999999999996</v>
      </c>
      <c r="BQ858" s="20">
        <f>BQ857/$V$846*2</f>
        <v>0.19999999999999996</v>
      </c>
      <c r="BR858" s="20">
        <f>BR857/$V$846</f>
        <v>0.19999999999999996</v>
      </c>
    </row>
    <row r="859" spans="2:70" outlineLevel="2">
      <c r="B859" s="5"/>
      <c r="C859" s="84" t="s">
        <v>57</v>
      </c>
      <c r="D859" s="7" t="s">
        <v>85</v>
      </c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Y859" s="156"/>
      <c r="Z859" s="156">
        <f t="shared" ref="Z859:BR859" si="2963">Z857/Z259</f>
        <v>1.9937888198757765</v>
      </c>
      <c r="AA859" s="156">
        <f t="shared" si="2963"/>
        <v>2.3672591486183721</v>
      </c>
      <c r="AB859" s="156">
        <f t="shared" si="2963"/>
        <v>4.3616986373858975</v>
      </c>
      <c r="AC859" s="156">
        <f t="shared" si="2963"/>
        <v>2.4064343163538875</v>
      </c>
      <c r="AD859" s="156">
        <f t="shared" si="2963"/>
        <v>2.4388047255038225</v>
      </c>
      <c r="AE859" s="157">
        <f t="shared" si="2963"/>
        <v>4.8476003479557592</v>
      </c>
      <c r="AF859" s="157">
        <f t="shared" si="2963"/>
        <v>2.2447983870967736</v>
      </c>
      <c r="AG859" s="1031">
        <f t="shared" si="2963"/>
        <v>2.2278481012658222</v>
      </c>
      <c r="AH859" s="156">
        <f t="shared" si="2963"/>
        <v>4.4725822507371769</v>
      </c>
      <c r="AI859" s="156">
        <f t="shared" si="2963"/>
        <v>2.3056768558951957</v>
      </c>
      <c r="AJ859" s="156">
        <f t="shared" si="2963"/>
        <v>2.1818181818181812</v>
      </c>
      <c r="AK859" s="156">
        <f t="shared" si="2963"/>
        <v>4.4840764331210181</v>
      </c>
      <c r="AL859" s="156">
        <f t="shared" si="2963"/>
        <v>2.1119999999999992</v>
      </c>
      <c r="AM859" s="156">
        <f t="shared" si="2963"/>
        <v>2.1119999999999992</v>
      </c>
      <c r="AN859" s="156">
        <f t="shared" si="2963"/>
        <v>4.2239999999999984</v>
      </c>
      <c r="AO859" s="156">
        <f t="shared" si="2963"/>
        <v>2.1119999999999992</v>
      </c>
      <c r="AP859" s="156">
        <f t="shared" si="2963"/>
        <v>2.1119999999999992</v>
      </c>
      <c r="AQ859" s="156">
        <f t="shared" si="2963"/>
        <v>4.2239999999999984</v>
      </c>
      <c r="AR859" s="156">
        <f t="shared" si="2963"/>
        <v>2.1119999999999992</v>
      </c>
      <c r="AS859" s="156">
        <f t="shared" si="2963"/>
        <v>2.1119999999999992</v>
      </c>
      <c r="AT859" s="156">
        <f t="shared" si="2963"/>
        <v>4.2239999999999984</v>
      </c>
      <c r="AU859" s="156">
        <f t="shared" si="2963"/>
        <v>2.1119999999999992</v>
      </c>
      <c r="AV859" s="156">
        <f t="shared" si="2963"/>
        <v>2.1119999999999992</v>
      </c>
      <c r="AW859" s="156">
        <f t="shared" si="2963"/>
        <v>4.2239999999999984</v>
      </c>
      <c r="AX859" s="156">
        <f t="shared" si="2963"/>
        <v>2.1119999999999992</v>
      </c>
      <c r="AY859" s="156">
        <f t="shared" si="2963"/>
        <v>2.1119999999999992</v>
      </c>
      <c r="AZ859" s="156">
        <f t="shared" si="2963"/>
        <v>4.2239999999999984</v>
      </c>
      <c r="BA859" s="156">
        <f t="shared" si="2963"/>
        <v>2.1119999999999992</v>
      </c>
      <c r="BB859" s="156">
        <f t="shared" si="2963"/>
        <v>2.1119999999999992</v>
      </c>
      <c r="BC859" s="156">
        <f t="shared" si="2963"/>
        <v>4.2239999999999984</v>
      </c>
      <c r="BD859" s="156">
        <f t="shared" si="2963"/>
        <v>2.1119999999999992</v>
      </c>
      <c r="BE859" s="156">
        <f t="shared" si="2963"/>
        <v>2.1119999999999992</v>
      </c>
      <c r="BF859" s="156">
        <f t="shared" si="2963"/>
        <v>4.2239999999999984</v>
      </c>
      <c r="BG859" s="156">
        <f t="shared" si="2963"/>
        <v>2.1119999999999992</v>
      </c>
      <c r="BH859" s="156">
        <f t="shared" si="2963"/>
        <v>2.1119999999999992</v>
      </c>
      <c r="BI859" s="156">
        <f t="shared" si="2963"/>
        <v>4.2239999999999984</v>
      </c>
      <c r="BJ859" s="156">
        <f t="shared" si="2963"/>
        <v>2.1119999999999992</v>
      </c>
      <c r="BK859" s="156">
        <f t="shared" si="2963"/>
        <v>2.1119999999999992</v>
      </c>
      <c r="BL859" s="156">
        <f t="shared" si="2963"/>
        <v>4.2239999999999984</v>
      </c>
      <c r="BM859" s="156">
        <f t="shared" si="2963"/>
        <v>2.1119999999999992</v>
      </c>
      <c r="BN859" s="156">
        <f t="shared" si="2963"/>
        <v>2.1119999999999992</v>
      </c>
      <c r="BO859" s="156">
        <f t="shared" si="2963"/>
        <v>4.2239999999999984</v>
      </c>
      <c r="BP859" s="156">
        <f t="shared" si="2963"/>
        <v>2.1119999999999992</v>
      </c>
      <c r="BQ859" s="156">
        <f t="shared" si="2963"/>
        <v>2.1119999999999992</v>
      </c>
      <c r="BR859" s="156">
        <f t="shared" si="2963"/>
        <v>4.2239999999999984</v>
      </c>
    </row>
    <row r="860" spans="2:70" outlineLevel="2">
      <c r="B860" s="5"/>
      <c r="C860" s="511" t="s">
        <v>267</v>
      </c>
      <c r="D860" s="512" t="s">
        <v>85</v>
      </c>
      <c r="E860" s="512"/>
      <c r="F860" s="512"/>
      <c r="G860" s="512"/>
      <c r="H860" s="512"/>
      <c r="I860" s="512"/>
      <c r="J860" s="512"/>
      <c r="K860" s="512"/>
      <c r="L860" s="512"/>
      <c r="M860" s="512"/>
      <c r="N860" s="512"/>
      <c r="O860" s="512"/>
      <c r="P860" s="513"/>
      <c r="Q860" s="513"/>
      <c r="R860" s="513"/>
      <c r="S860" s="513"/>
      <c r="T860" s="513"/>
      <c r="U860" s="513"/>
      <c r="V860" s="513"/>
      <c r="W860" s="513"/>
      <c r="X860" s="513"/>
      <c r="Y860" s="513"/>
      <c r="Z860" s="514">
        <f>(Z848-W848)/Z$259</f>
        <v>15.104460756634669</v>
      </c>
      <c r="AA860" s="514">
        <f>(AA848-X848)/AA$259</f>
        <v>17.933781428927063</v>
      </c>
      <c r="AB860" s="514">
        <f>SUM(Z860:AA860)</f>
        <v>33.038242185561728</v>
      </c>
      <c r="AC860" s="514">
        <f>(AC848-Z848)/AC$259</f>
        <v>3.0384271671134928</v>
      </c>
      <c r="AD860" s="514">
        <f>(AD848-AA848)/AD$259</f>
        <v>0</v>
      </c>
      <c r="AE860" s="514">
        <f>SUM(AC860:AD860)</f>
        <v>3.0384271671134928</v>
      </c>
      <c r="AF860" s="514">
        <f>(AF848-AC848)/AF$259</f>
        <v>0</v>
      </c>
      <c r="AG860" s="1020">
        <f>(AG848-AD848)/AG$259</f>
        <v>0</v>
      </c>
      <c r="AH860" s="514">
        <f>SUM(AF860:AG860)</f>
        <v>0</v>
      </c>
      <c r="AI860" s="514">
        <f>(AI848-AF848)/AI$259</f>
        <v>0</v>
      </c>
      <c r="AJ860" s="514">
        <f>(AJ848-AG848)/AJ$259</f>
        <v>0</v>
      </c>
      <c r="AK860" s="514">
        <f>SUM(AI860:AJ860)</f>
        <v>0</v>
      </c>
      <c r="AL860" s="514">
        <f>(AL848-AI848)/AL$259</f>
        <v>0</v>
      </c>
      <c r="AM860" s="514">
        <f>(AM848-AJ848)/AM$259</f>
        <v>0</v>
      </c>
      <c r="AN860" s="514">
        <f>SUM(AL860:AM860)</f>
        <v>0</v>
      </c>
      <c r="AO860" s="514">
        <f>(AO848-AL848)/AO$259</f>
        <v>0</v>
      </c>
      <c r="AP860" s="514">
        <f>(AP848-AM848)/AP$259</f>
        <v>0</v>
      </c>
      <c r="AQ860" s="514">
        <f>SUM(AO860:AP860)</f>
        <v>0</v>
      </c>
      <c r="AR860" s="514">
        <f>(AR848-AO848)/AR$259</f>
        <v>0</v>
      </c>
      <c r="AS860" s="514">
        <f>(AS848-AP848)/AS$259</f>
        <v>0</v>
      </c>
      <c r="AT860" s="514">
        <f>SUM(AR860:AS860)</f>
        <v>0</v>
      </c>
      <c r="AU860" s="514">
        <f>(AU848-AR848)/AU$259</f>
        <v>0</v>
      </c>
      <c r="AV860" s="514">
        <f>(AV848-AS848)/AV$259</f>
        <v>0</v>
      </c>
      <c r="AW860" s="514">
        <f>SUM(AU860:AV860)</f>
        <v>0</v>
      </c>
      <c r="AX860" s="514">
        <f>(AX848-AU848)/AX$259</f>
        <v>0</v>
      </c>
      <c r="AY860" s="514">
        <f>(AY848-AV848)/AY$259</f>
        <v>0</v>
      </c>
      <c r="AZ860" s="514">
        <f>SUM(AX860:AY860)</f>
        <v>0</v>
      </c>
      <c r="BA860" s="514">
        <f>(BA848-AX848)/BA$259</f>
        <v>0</v>
      </c>
      <c r="BB860" s="514">
        <f>(BB848-AY848)/BB$259</f>
        <v>0</v>
      </c>
      <c r="BC860" s="514">
        <f>SUM(BA860:BB860)</f>
        <v>0</v>
      </c>
      <c r="BD860" s="514">
        <f>(BD848-BA848)/BD$259</f>
        <v>0</v>
      </c>
      <c r="BE860" s="514">
        <f>(BE848-BB848)/BE$259</f>
        <v>0</v>
      </c>
      <c r="BF860" s="514">
        <f>SUM(BD860:BE860)</f>
        <v>0</v>
      </c>
      <c r="BG860" s="514">
        <f>(BG848-BD848)/BG$259</f>
        <v>0</v>
      </c>
      <c r="BH860" s="514">
        <f>(BH848-BE848)/BH$259</f>
        <v>0</v>
      </c>
      <c r="BI860" s="514">
        <f>SUM(BG860:BH860)</f>
        <v>0</v>
      </c>
      <c r="BJ860" s="514">
        <f>(BJ848-BG848)/BJ$259</f>
        <v>0</v>
      </c>
      <c r="BK860" s="514">
        <f>(BK848-BH848)/BK$259</f>
        <v>0</v>
      </c>
      <c r="BL860" s="514">
        <f>SUM(BJ860:BK860)</f>
        <v>0</v>
      </c>
      <c r="BM860" s="514">
        <f>(BM848-BJ848)/BM$259</f>
        <v>0</v>
      </c>
      <c r="BN860" s="514">
        <f>(BN848-BK848)/BN$259</f>
        <v>0</v>
      </c>
      <c r="BO860" s="514">
        <f>SUM(BM860:BN860)</f>
        <v>0</v>
      </c>
      <c r="BP860" s="514">
        <f>(BP848-BM848)/BP$259</f>
        <v>0</v>
      </c>
      <c r="BQ860" s="514">
        <f>(BQ848-BN848)/BQ$259</f>
        <v>0</v>
      </c>
      <c r="BR860" s="515">
        <f>SUM(BP860:BQ860)</f>
        <v>0</v>
      </c>
    </row>
    <row r="861" spans="2:70" outlineLevel="2">
      <c r="B861" s="5"/>
      <c r="C861" s="516" t="s">
        <v>268</v>
      </c>
      <c r="D861" s="401" t="s">
        <v>85</v>
      </c>
      <c r="E861" s="401"/>
      <c r="F861" s="401"/>
      <c r="G861" s="401"/>
      <c r="H861" s="401"/>
      <c r="I861" s="401"/>
      <c r="J861" s="401"/>
      <c r="K861" s="401"/>
      <c r="L861" s="401"/>
      <c r="M861" s="401"/>
      <c r="N861" s="401"/>
      <c r="O861" s="401"/>
      <c r="P861" s="130"/>
      <c r="Q861" s="130"/>
      <c r="R861" s="130"/>
      <c r="S861" s="130"/>
      <c r="T861" s="130"/>
      <c r="U861" s="130"/>
      <c r="V861" s="130"/>
      <c r="W861" s="130"/>
      <c r="X861" s="130"/>
      <c r="Y861" s="130"/>
      <c r="Z861" s="171">
        <f>(Z851-W851)/Z$259</f>
        <v>-0.45313382269904007</v>
      </c>
      <c r="AA861" s="171">
        <f>(AA851-X851)/AA$259</f>
        <v>-0.53801344286781183</v>
      </c>
      <c r="AB861" s="171">
        <f>SUM(Z861:AA861)</f>
        <v>-0.99114726556685184</v>
      </c>
      <c r="AC861" s="171">
        <f>(AC851-Z851)/AC$259</f>
        <v>-9.1152815013404803E-2</v>
      </c>
      <c r="AD861" s="171">
        <f>(AD851-AA851)/AD$259</f>
        <v>0</v>
      </c>
      <c r="AE861" s="171">
        <f>SUM(AC861:AD861)</f>
        <v>-9.1152815013404803E-2</v>
      </c>
      <c r="AF861" s="171">
        <f>(AF851-AC851)/AF$259</f>
        <v>0</v>
      </c>
      <c r="AG861" s="937">
        <f>(AG851-AD851)/AG$259</f>
        <v>0</v>
      </c>
      <c r="AH861" s="171">
        <f>SUM(AF861:AG861)</f>
        <v>0</v>
      </c>
      <c r="AI861" s="171">
        <f>(AI851-AF851)/AI$259</f>
        <v>0</v>
      </c>
      <c r="AJ861" s="171">
        <f>(AJ851-AG851)/AJ$259</f>
        <v>0</v>
      </c>
      <c r="AK861" s="171">
        <f>SUM(AI861:AJ861)</f>
        <v>0</v>
      </c>
      <c r="AL861" s="171">
        <f>(AL851-AI851)/AL$259</f>
        <v>0</v>
      </c>
      <c r="AM861" s="171">
        <f>(AM851-AJ851)/AM$259</f>
        <v>0</v>
      </c>
      <c r="AN861" s="171">
        <f>SUM(AL861:AM861)</f>
        <v>0</v>
      </c>
      <c r="AO861" s="171">
        <f>(AO851-AL851)/AO$259</f>
        <v>0</v>
      </c>
      <c r="AP861" s="171">
        <f>(AP851-AM851)/AP$259</f>
        <v>0</v>
      </c>
      <c r="AQ861" s="171">
        <f>SUM(AO861:AP861)</f>
        <v>0</v>
      </c>
      <c r="AR861" s="171">
        <f>(AR851-AO851)/AR$259</f>
        <v>0</v>
      </c>
      <c r="AS861" s="171">
        <f>(AS851-AP851)/AS$259</f>
        <v>0</v>
      </c>
      <c r="AT861" s="171">
        <f>SUM(AR861:AS861)</f>
        <v>0</v>
      </c>
      <c r="AU861" s="171">
        <f>(AU851-AR851)/AU$259</f>
        <v>0</v>
      </c>
      <c r="AV861" s="171">
        <f>(AV851-AS851)/AV$259</f>
        <v>0</v>
      </c>
      <c r="AW861" s="171">
        <f>SUM(AU861:AV861)</f>
        <v>0</v>
      </c>
      <c r="AX861" s="171">
        <f>(AX851-AU851)/AX$259</f>
        <v>0</v>
      </c>
      <c r="AY861" s="171">
        <f>(AY851-AV851)/AY$259</f>
        <v>0</v>
      </c>
      <c r="AZ861" s="171">
        <f>SUM(AX861:AY861)</f>
        <v>0</v>
      </c>
      <c r="BA861" s="171">
        <f>(BA851-AX851)/BA$259</f>
        <v>0</v>
      </c>
      <c r="BB861" s="171">
        <f>(BB851-AY851)/BB$259</f>
        <v>0</v>
      </c>
      <c r="BC861" s="171">
        <f>SUM(BA861:BB861)</f>
        <v>0</v>
      </c>
      <c r="BD861" s="171">
        <f>(BD851-BA851)/BD$259</f>
        <v>0</v>
      </c>
      <c r="BE861" s="171">
        <f>(BE851-BB851)/BE$259</f>
        <v>0</v>
      </c>
      <c r="BF861" s="171">
        <f>SUM(BD861:BE861)</f>
        <v>0</v>
      </c>
      <c r="BG861" s="171">
        <f>(BG851-BD851)/BG$259</f>
        <v>0</v>
      </c>
      <c r="BH861" s="171">
        <f>(BH851-BE851)/BH$259</f>
        <v>0</v>
      </c>
      <c r="BI861" s="171">
        <f>SUM(BG861:BH861)</f>
        <v>0</v>
      </c>
      <c r="BJ861" s="171">
        <f>(BJ851-BG851)/BJ$259</f>
        <v>0</v>
      </c>
      <c r="BK861" s="171">
        <f>(BK851-BH851)/BK$259</f>
        <v>0</v>
      </c>
      <c r="BL861" s="171">
        <f>SUM(BJ861:BK861)</f>
        <v>0</v>
      </c>
      <c r="BM861" s="171">
        <f>(BM851-BJ851)/BM$259</f>
        <v>0</v>
      </c>
      <c r="BN861" s="171">
        <f>(BN851-BK851)/BN$259</f>
        <v>0</v>
      </c>
      <c r="BO861" s="171">
        <f>SUM(BM861:BN861)</f>
        <v>0</v>
      </c>
      <c r="BP861" s="171">
        <f>(BP851-BM851)/BP$259</f>
        <v>0</v>
      </c>
      <c r="BQ861" s="171">
        <f>(BQ851-BN851)/BQ$259</f>
        <v>0</v>
      </c>
      <c r="BR861" s="517">
        <f>SUM(BP861:BQ861)</f>
        <v>0</v>
      </c>
    </row>
    <row r="862" spans="2:70" outlineLevel="2">
      <c r="B862" s="5"/>
      <c r="C862" s="518" t="s">
        <v>269</v>
      </c>
      <c r="D862" s="519" t="s">
        <v>85</v>
      </c>
      <c r="E862" s="519"/>
      <c r="F862" s="519"/>
      <c r="G862" s="519"/>
      <c r="H862" s="519"/>
      <c r="I862" s="519"/>
      <c r="J862" s="519"/>
      <c r="K862" s="519"/>
      <c r="L862" s="519"/>
      <c r="M862" s="519"/>
      <c r="N862" s="519"/>
      <c r="O862" s="519"/>
      <c r="P862" s="520"/>
      <c r="Q862" s="520"/>
      <c r="R862" s="520"/>
      <c r="S862" s="520"/>
      <c r="T862" s="520"/>
      <c r="U862" s="520"/>
      <c r="V862" s="520"/>
      <c r="W862" s="520"/>
      <c r="X862" s="520"/>
      <c r="Y862" s="520"/>
      <c r="Z862" s="521">
        <f>(Z857-W857)/Z$259</f>
        <v>1.9937888198757765</v>
      </c>
      <c r="AA862" s="521">
        <f>(AA857-X857)/AA$259</f>
        <v>2.3672591486183721</v>
      </c>
      <c r="AB862" s="521">
        <f>SUM(Z862:AA862)</f>
        <v>4.3610479684941481</v>
      </c>
      <c r="AC862" s="521">
        <f>(AC857-Z857)/AC$259</f>
        <v>0.40107238605898116</v>
      </c>
      <c r="AD862" s="521">
        <f>(AD857-AA857)/AD$259</f>
        <v>0</v>
      </c>
      <c r="AE862" s="521">
        <f>SUM(AC862:AD862)</f>
        <v>0.40107238605898116</v>
      </c>
      <c r="AF862" s="521">
        <f>(AF857-AC857)/AF$259</f>
        <v>-7.5522025908977376E-16</v>
      </c>
      <c r="AG862" s="1021">
        <f>(AG857-AD857)/AG$259</f>
        <v>-7.4951765375537986E-16</v>
      </c>
      <c r="AH862" s="521">
        <f>SUM(AF862:AG862)</f>
        <v>-1.5047379128451535E-15</v>
      </c>
      <c r="AI862" s="521">
        <f>(AI857-AF857)/AI$259</f>
        <v>0</v>
      </c>
      <c r="AJ862" s="521">
        <f>(AJ857-AG857)/AJ$259</f>
        <v>0</v>
      </c>
      <c r="AK862" s="521">
        <f>SUM(AI862:AJ862)</f>
        <v>0</v>
      </c>
      <c r="AL862" s="521">
        <f>(AL857-AI857)/AL$259</f>
        <v>0</v>
      </c>
      <c r="AM862" s="521">
        <f>(AM857-AJ857)/AM$259</f>
        <v>0</v>
      </c>
      <c r="AN862" s="521">
        <f>SUM(AL862:AM862)</f>
        <v>0</v>
      </c>
      <c r="AO862" s="521">
        <f>(AO857-AL857)/AO$259</f>
        <v>0</v>
      </c>
      <c r="AP862" s="521">
        <f>(AP857-AM857)/AP$259</f>
        <v>0</v>
      </c>
      <c r="AQ862" s="521">
        <f>SUM(AO862:AP862)</f>
        <v>0</v>
      </c>
      <c r="AR862" s="521">
        <f>(AR857-AO857)/AR$259</f>
        <v>0</v>
      </c>
      <c r="AS862" s="521">
        <f>(AS857-AP857)/AS$259</f>
        <v>0</v>
      </c>
      <c r="AT862" s="521">
        <f>SUM(AR862:AS862)</f>
        <v>0</v>
      </c>
      <c r="AU862" s="521">
        <f>(AU857-AR857)/AU$259</f>
        <v>0</v>
      </c>
      <c r="AV862" s="521">
        <f>(AV857-AS857)/AV$259</f>
        <v>0</v>
      </c>
      <c r="AW862" s="521">
        <f>SUM(AU862:AV862)</f>
        <v>0</v>
      </c>
      <c r="AX862" s="521">
        <f>(AX857-AU857)/AX$259</f>
        <v>0</v>
      </c>
      <c r="AY862" s="521">
        <f>(AY857-AV857)/AY$259</f>
        <v>0</v>
      </c>
      <c r="AZ862" s="521">
        <f>SUM(AX862:AY862)</f>
        <v>0</v>
      </c>
      <c r="BA862" s="521">
        <f>(BA857-AX857)/BA$259</f>
        <v>0</v>
      </c>
      <c r="BB862" s="521">
        <f>(BB857-AY857)/BB$259</f>
        <v>0</v>
      </c>
      <c r="BC862" s="521">
        <f>SUM(BA862:BB862)</f>
        <v>0</v>
      </c>
      <c r="BD862" s="521">
        <f>(BD857-BA857)/BD$259</f>
        <v>0</v>
      </c>
      <c r="BE862" s="521">
        <f>(BE857-BB857)/BE$259</f>
        <v>0</v>
      </c>
      <c r="BF862" s="521">
        <f>SUM(BD862:BE862)</f>
        <v>0</v>
      </c>
      <c r="BG862" s="521">
        <f>(BG857-BD857)/BG$259</f>
        <v>0</v>
      </c>
      <c r="BH862" s="521">
        <f>(BH857-BE857)/BH$259</f>
        <v>0</v>
      </c>
      <c r="BI862" s="521">
        <f>SUM(BG862:BH862)</f>
        <v>0</v>
      </c>
      <c r="BJ862" s="521">
        <f>(BJ857-BG857)/BJ$259</f>
        <v>0</v>
      </c>
      <c r="BK862" s="521">
        <f>(BK857-BH857)/BK$259</f>
        <v>0</v>
      </c>
      <c r="BL862" s="521">
        <f>SUM(BJ862:BK862)</f>
        <v>0</v>
      </c>
      <c r="BM862" s="521">
        <f>(BM857-BJ857)/BM$259</f>
        <v>0</v>
      </c>
      <c r="BN862" s="521">
        <f>(BN857-BK857)/BN$259</f>
        <v>0</v>
      </c>
      <c r="BO862" s="521">
        <f>SUM(BM862:BN862)</f>
        <v>0</v>
      </c>
      <c r="BP862" s="521">
        <f>(BP857-BM857)/BP$259</f>
        <v>0</v>
      </c>
      <c r="BQ862" s="521">
        <f>(BQ857-BN857)/BQ$259</f>
        <v>0</v>
      </c>
      <c r="BR862" s="522">
        <f>SUM(BP862:BQ862)</f>
        <v>0</v>
      </c>
    </row>
    <row r="863" spans="2:70" outlineLevel="2">
      <c r="B863" s="5"/>
    </row>
    <row r="864" spans="2:70" outlineLevel="2">
      <c r="B864" s="5"/>
      <c r="C864" s="8" t="s">
        <v>525</v>
      </c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AF864" s="26"/>
      <c r="AG864" s="933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8"/>
      <c r="BC864" s="18"/>
      <c r="BD864" s="18"/>
      <c r="BE864" s="18"/>
      <c r="BF864" s="18"/>
      <c r="BG864" s="18"/>
      <c r="BH864" s="18"/>
      <c r="BI864" s="18"/>
      <c r="BJ864" s="18"/>
      <c r="BK864" s="18"/>
      <c r="BL864" s="18"/>
      <c r="BM864" s="18"/>
      <c r="BN864" s="18"/>
      <c r="BO864" s="18"/>
      <c r="BP864" s="18"/>
      <c r="BQ864" s="18"/>
      <c r="BR864" s="18"/>
    </row>
    <row r="865" spans="2:70" outlineLevel="2">
      <c r="B865" s="5"/>
      <c r="C865" s="9" t="s">
        <v>266</v>
      </c>
      <c r="D865" s="31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V865" s="763" t="s">
        <v>517</v>
      </c>
      <c r="X865" s="130"/>
      <c r="Y865" s="130"/>
      <c r="Z865" s="130"/>
      <c r="AA865" s="130"/>
      <c r="AB865" s="130"/>
      <c r="AC865" s="130"/>
      <c r="AD865" s="130"/>
      <c r="AH865" s="26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8"/>
      <c r="BC865" s="18"/>
      <c r="BD865" s="18"/>
      <c r="BE865" s="18"/>
      <c r="BF865" s="18"/>
      <c r="BG865" s="18"/>
      <c r="BH865" s="18"/>
      <c r="BI865" s="18"/>
      <c r="BJ865" s="18"/>
      <c r="BK865" s="18"/>
      <c r="BL865" s="18"/>
      <c r="BM865" s="18"/>
      <c r="BN865" s="18"/>
      <c r="BO865" s="18"/>
      <c r="BP865" s="18"/>
      <c r="BQ865" s="18"/>
      <c r="BR865" s="18"/>
    </row>
    <row r="866" spans="2:70" outlineLevel="2">
      <c r="B866" s="5"/>
      <c r="C866" s="9" t="s">
        <v>262</v>
      </c>
      <c r="D866" s="74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V866" s="764">
        <v>42156</v>
      </c>
      <c r="X866" s="357"/>
      <c r="Y866" s="130"/>
      <c r="Z866" s="130"/>
      <c r="AA866" s="130"/>
      <c r="AB866" s="130"/>
      <c r="AC866" s="130"/>
      <c r="AD866" s="130"/>
      <c r="AH866" s="26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8"/>
      <c r="BC866" s="18"/>
      <c r="BD866" s="18"/>
      <c r="BE866" s="18"/>
      <c r="BF866" s="18"/>
      <c r="BG866" s="18"/>
      <c r="BH866" s="18"/>
      <c r="BI866" s="18"/>
      <c r="BJ866" s="18"/>
      <c r="BK866" s="18"/>
      <c r="BL866" s="18"/>
      <c r="BM866" s="18"/>
      <c r="BN866" s="18"/>
      <c r="BO866" s="18"/>
      <c r="BP866" s="18"/>
      <c r="BQ866" s="18"/>
      <c r="BR866" s="18"/>
    </row>
    <row r="867" spans="2:70" outlineLevel="2">
      <c r="B867" s="5"/>
      <c r="C867" s="84" t="s">
        <v>72</v>
      </c>
      <c r="D867" s="31" t="s">
        <v>526</v>
      </c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V867" s="765">
        <v>237</v>
      </c>
      <c r="X867" s="358"/>
      <c r="Y867" s="130"/>
      <c r="Z867" s="130"/>
      <c r="AA867" s="130"/>
      <c r="AB867" s="130"/>
      <c r="AC867" s="130"/>
      <c r="AD867" s="130"/>
      <c r="AH867" s="26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8"/>
      <c r="BC867" s="18"/>
      <c r="BD867" s="18"/>
      <c r="BE867" s="18"/>
      <c r="BF867" s="18"/>
      <c r="BG867" s="18"/>
      <c r="BH867" s="18"/>
      <c r="BI867" s="18"/>
      <c r="BJ867" s="18"/>
      <c r="BK867" s="18"/>
      <c r="BL867" s="18"/>
      <c r="BM867" s="18"/>
      <c r="BN867" s="18"/>
      <c r="BO867" s="18"/>
      <c r="BP867" s="18"/>
      <c r="BQ867" s="18"/>
      <c r="BR867" s="18"/>
    </row>
    <row r="868" spans="2:70" outlineLevel="2">
      <c r="B868" s="5"/>
      <c r="C868" s="84" t="s">
        <v>76</v>
      </c>
      <c r="D868" s="74" t="s">
        <v>77</v>
      </c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V868" s="766">
        <v>8</v>
      </c>
      <c r="X868" s="27"/>
      <c r="Y868" s="130"/>
      <c r="Z868" s="130"/>
      <c r="AA868" s="130"/>
      <c r="AB868" s="130"/>
      <c r="AC868" s="130"/>
      <c r="AD868" s="130"/>
      <c r="AH868" s="26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8"/>
      <c r="BC868" s="18"/>
      <c r="BD868" s="18"/>
      <c r="BE868" s="18"/>
      <c r="BF868" s="18"/>
      <c r="BG868" s="18"/>
      <c r="BH868" s="18"/>
      <c r="BI868" s="18"/>
      <c r="BJ868" s="18"/>
      <c r="BK868" s="18"/>
      <c r="BL868" s="18"/>
      <c r="BM868" s="18"/>
      <c r="BN868" s="18"/>
      <c r="BO868" s="18"/>
      <c r="BP868" s="18"/>
      <c r="BQ868" s="18"/>
      <c r="BR868" s="18"/>
    </row>
    <row r="869" spans="2:70" outlineLevel="2">
      <c r="B869" s="5"/>
      <c r="C869" s="84" t="s">
        <v>55</v>
      </c>
      <c r="D869" s="31" t="s">
        <v>526</v>
      </c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V869" s="765">
        <v>237</v>
      </c>
      <c r="X869" s="364">
        <f>V869*0.5*(1/6)</f>
        <v>19.75</v>
      </c>
      <c r="Y869" s="167">
        <f>X869</f>
        <v>19.75</v>
      </c>
      <c r="Z869" s="149">
        <f t="shared" ref="Z869" si="2964">AB869*0.5</f>
        <v>118.5</v>
      </c>
      <c r="AA869" s="19">
        <f t="shared" ref="AA869" si="2965">AB869*0.5</f>
        <v>118.5</v>
      </c>
      <c r="AB869" s="389">
        <f>V869</f>
        <v>237</v>
      </c>
      <c r="AC869" s="149">
        <f t="shared" ref="AC869:AC870" si="2966">AE869*0.5</f>
        <v>118.5</v>
      </c>
      <c r="AD869" s="19">
        <f t="shared" ref="AD869:AD870" si="2967">AE869*0.5</f>
        <v>118.5</v>
      </c>
      <c r="AE869" s="389">
        <f>AB869</f>
        <v>237</v>
      </c>
      <c r="AF869" s="149">
        <f t="shared" ref="AF869:AF870" si="2968">AH869*0.5</f>
        <v>118.5</v>
      </c>
      <c r="AG869" s="943">
        <f t="shared" ref="AG869:AG870" si="2969">AH869*0.5</f>
        <v>118.5</v>
      </c>
      <c r="AH869" s="389">
        <f>AE869</f>
        <v>237</v>
      </c>
      <c r="AI869" s="149">
        <f t="shared" ref="AI869:AI870" si="2970">AK869*0.5</f>
        <v>118.5</v>
      </c>
      <c r="AJ869" s="19">
        <f t="shared" ref="AJ869:AJ870" si="2971">AK869*0.5</f>
        <v>118.5</v>
      </c>
      <c r="AK869" s="389">
        <f>AH869</f>
        <v>237</v>
      </c>
      <c r="AL869" s="149">
        <f t="shared" ref="AL869:AL870" si="2972">AN869*0.5</f>
        <v>118.5</v>
      </c>
      <c r="AM869" s="19">
        <f t="shared" ref="AM869:AM870" si="2973">AN869*0.5</f>
        <v>118.5</v>
      </c>
      <c r="AN869" s="389">
        <f>AK869</f>
        <v>237</v>
      </c>
      <c r="AO869" s="149">
        <f t="shared" ref="AO869:AO870" si="2974">AQ869*0.5</f>
        <v>118.5</v>
      </c>
      <c r="AP869" s="19">
        <f t="shared" ref="AP869:AP870" si="2975">AQ869*0.5</f>
        <v>118.5</v>
      </c>
      <c r="AQ869" s="389">
        <f>AN869</f>
        <v>237</v>
      </c>
      <c r="AR869" s="149">
        <f t="shared" ref="AR869:AR870" si="2976">AT869*0.5</f>
        <v>118.5</v>
      </c>
      <c r="AS869" s="19">
        <f t="shared" ref="AS869:AS870" si="2977">AT869*0.5</f>
        <v>118.5</v>
      </c>
      <c r="AT869" s="389">
        <f>AQ869</f>
        <v>237</v>
      </c>
      <c r="AU869" s="149">
        <f t="shared" ref="AU869:AU870" si="2978">AW869*0.5</f>
        <v>118.5</v>
      </c>
      <c r="AV869" s="19">
        <f t="shared" ref="AV869:AV870" si="2979">AW869*0.5</f>
        <v>118.5</v>
      </c>
      <c r="AW869" s="389">
        <f>AT869</f>
        <v>237</v>
      </c>
      <c r="AX869" s="149">
        <f t="shared" ref="AX869:AX870" si="2980">AZ869*0.5</f>
        <v>118.5</v>
      </c>
      <c r="AY869" s="19">
        <f t="shared" ref="AY869:AY870" si="2981">AZ869*0.5</f>
        <v>118.5</v>
      </c>
      <c r="AZ869" s="389">
        <f>AW869</f>
        <v>237</v>
      </c>
      <c r="BA869" s="149">
        <f t="shared" ref="BA869:BA870" si="2982">BC869*0.5</f>
        <v>118.5</v>
      </c>
      <c r="BB869" s="19">
        <f t="shared" ref="BB869:BB870" si="2983">BC869*0.5</f>
        <v>118.5</v>
      </c>
      <c r="BC869" s="389">
        <f>AZ869</f>
        <v>237</v>
      </c>
      <c r="BD869" s="149">
        <f t="shared" ref="BD869:BD870" si="2984">BF869*0.5</f>
        <v>118.5</v>
      </c>
      <c r="BE869" s="19">
        <f t="shared" ref="BE869:BE870" si="2985">BF869*0.5</f>
        <v>118.5</v>
      </c>
      <c r="BF869" s="389">
        <f>BC869</f>
        <v>237</v>
      </c>
      <c r="BG869" s="149">
        <f t="shared" ref="BG869:BG870" si="2986">BI869*0.5</f>
        <v>118.5</v>
      </c>
      <c r="BH869" s="19">
        <f t="shared" ref="BH869:BH870" si="2987">BI869*0.5</f>
        <v>118.5</v>
      </c>
      <c r="BI869" s="389">
        <f>BF869</f>
        <v>237</v>
      </c>
      <c r="BJ869" s="149">
        <f t="shared" ref="BJ869:BJ870" si="2988">BL869*0.5</f>
        <v>118.5</v>
      </c>
      <c r="BK869" s="19">
        <f t="shared" ref="BK869:BK870" si="2989">BL869*0.5</f>
        <v>118.5</v>
      </c>
      <c r="BL869" s="389">
        <f>BI869</f>
        <v>237</v>
      </c>
      <c r="BM869" s="149">
        <f t="shared" ref="BM869:BM870" si="2990">BO869*0.5</f>
        <v>118.5</v>
      </c>
      <c r="BN869" s="19">
        <f t="shared" ref="BN869:BN870" si="2991">BO869*0.5</f>
        <v>118.5</v>
      </c>
      <c r="BO869" s="389">
        <f>BL869</f>
        <v>237</v>
      </c>
      <c r="BP869" s="149">
        <f t="shared" ref="BP869:BP870" si="2992">BR869*0.5</f>
        <v>118.5</v>
      </c>
      <c r="BQ869" s="19">
        <f t="shared" ref="BQ869:BQ870" si="2993">BR869*0.5</f>
        <v>118.5</v>
      </c>
      <c r="BR869" s="389">
        <f>BO869</f>
        <v>237</v>
      </c>
    </row>
    <row r="870" spans="2:70" outlineLevel="2">
      <c r="B870" s="5"/>
      <c r="C870" s="84" t="s">
        <v>56</v>
      </c>
      <c r="D870" s="31" t="s">
        <v>526</v>
      </c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V870" s="767">
        <f>V867/V868</f>
        <v>29.625</v>
      </c>
      <c r="X870" s="364">
        <f>V870*0.5*(1/6)</f>
        <v>2.46875</v>
      </c>
      <c r="Y870" s="175">
        <f>SUM(X870)</f>
        <v>2.46875</v>
      </c>
      <c r="Z870" s="149">
        <f>AB870*0.5</f>
        <v>14.8125</v>
      </c>
      <c r="AA870" s="19">
        <f>AB870*0.5</f>
        <v>14.8125</v>
      </c>
      <c r="AB870" s="167">
        <f>AB869*AB871</f>
        <v>29.625</v>
      </c>
      <c r="AC870" s="149">
        <f t="shared" si="2966"/>
        <v>14.8125</v>
      </c>
      <c r="AD870" s="19">
        <f t="shared" si="2967"/>
        <v>14.8125</v>
      </c>
      <c r="AE870" s="167">
        <f t="shared" ref="AE870" si="2994">AE869*AE871</f>
        <v>29.625</v>
      </c>
      <c r="AF870" s="149">
        <f t="shared" si="2968"/>
        <v>14.8125</v>
      </c>
      <c r="AG870" s="943">
        <f t="shared" si="2969"/>
        <v>14.8125</v>
      </c>
      <c r="AH870" s="167">
        <f t="shared" ref="AH870" si="2995">AH869*AH871</f>
        <v>29.625</v>
      </c>
      <c r="AI870" s="149">
        <f t="shared" si="2970"/>
        <v>14.8125</v>
      </c>
      <c r="AJ870" s="19">
        <f t="shared" si="2971"/>
        <v>14.8125</v>
      </c>
      <c r="AK870" s="167">
        <f t="shared" ref="AK870" si="2996">AK869*AK871</f>
        <v>29.625</v>
      </c>
      <c r="AL870" s="149">
        <f t="shared" si="2972"/>
        <v>14.8125</v>
      </c>
      <c r="AM870" s="19">
        <f t="shared" si="2973"/>
        <v>14.8125</v>
      </c>
      <c r="AN870" s="167">
        <f t="shared" ref="AN870" si="2997">AN869*AN871</f>
        <v>29.625</v>
      </c>
      <c r="AO870" s="149">
        <f t="shared" si="2974"/>
        <v>14.8125</v>
      </c>
      <c r="AP870" s="19">
        <f t="shared" si="2975"/>
        <v>14.8125</v>
      </c>
      <c r="AQ870" s="167">
        <f t="shared" ref="AQ870" si="2998">AQ869*AQ871</f>
        <v>29.625</v>
      </c>
      <c r="AR870" s="149">
        <f t="shared" si="2976"/>
        <v>14.8125</v>
      </c>
      <c r="AS870" s="19">
        <f t="shared" si="2977"/>
        <v>14.8125</v>
      </c>
      <c r="AT870" s="167">
        <f t="shared" ref="AT870" si="2999">AT869*AT871</f>
        <v>29.625</v>
      </c>
      <c r="AU870" s="149">
        <f t="shared" si="2978"/>
        <v>14.8125</v>
      </c>
      <c r="AV870" s="19">
        <f t="shared" si="2979"/>
        <v>14.8125</v>
      </c>
      <c r="AW870" s="167">
        <f t="shared" ref="AW870" si="3000">AW869*AW871</f>
        <v>29.625</v>
      </c>
      <c r="AX870" s="149">
        <f t="shared" si="2980"/>
        <v>14.8125</v>
      </c>
      <c r="AY870" s="19">
        <f t="shared" si="2981"/>
        <v>14.8125</v>
      </c>
      <c r="AZ870" s="167">
        <f t="shared" ref="AZ870" si="3001">AZ869*AZ871</f>
        <v>29.625</v>
      </c>
      <c r="BA870" s="149">
        <f t="shared" si="2982"/>
        <v>14.8125</v>
      </c>
      <c r="BB870" s="19">
        <f t="shared" si="2983"/>
        <v>14.8125</v>
      </c>
      <c r="BC870" s="167">
        <f t="shared" ref="BC870" si="3002">BC869*BC871</f>
        <v>29.625</v>
      </c>
      <c r="BD870" s="149">
        <f t="shared" si="2984"/>
        <v>14.8125</v>
      </c>
      <c r="BE870" s="19">
        <f t="shared" si="2985"/>
        <v>14.8125</v>
      </c>
      <c r="BF870" s="167">
        <f t="shared" ref="BF870" si="3003">BF869*BF871</f>
        <v>29.625</v>
      </c>
      <c r="BG870" s="149">
        <f t="shared" si="2986"/>
        <v>14.8125</v>
      </c>
      <c r="BH870" s="19">
        <f t="shared" si="2987"/>
        <v>14.8125</v>
      </c>
      <c r="BI870" s="167">
        <f t="shared" ref="BI870" si="3004">BI869*BI871</f>
        <v>29.625</v>
      </c>
      <c r="BJ870" s="149">
        <f t="shared" si="2988"/>
        <v>14.8125</v>
      </c>
      <c r="BK870" s="19">
        <f t="shared" si="2989"/>
        <v>14.8125</v>
      </c>
      <c r="BL870" s="167">
        <f t="shared" ref="BL870" si="3005">BL869*BL871</f>
        <v>29.625</v>
      </c>
      <c r="BM870" s="149">
        <f t="shared" si="2990"/>
        <v>14.8125</v>
      </c>
      <c r="BN870" s="19">
        <f t="shared" si="2991"/>
        <v>14.8125</v>
      </c>
      <c r="BO870" s="167">
        <f t="shared" ref="BO870" si="3006">BO869*BO871</f>
        <v>29.625</v>
      </c>
      <c r="BP870" s="149">
        <f t="shared" si="2992"/>
        <v>14.8125</v>
      </c>
      <c r="BQ870" s="19">
        <f t="shared" si="2993"/>
        <v>14.8125</v>
      </c>
      <c r="BR870" s="167">
        <f t="shared" ref="BR870" si="3007">BR869*BR871</f>
        <v>29.625</v>
      </c>
    </row>
    <row r="871" spans="2:70" outlineLevel="2">
      <c r="B871" s="5"/>
      <c r="C871" s="84" t="s">
        <v>73</v>
      </c>
      <c r="D871" s="31" t="s">
        <v>66</v>
      </c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V871" s="768">
        <f>V870/V869</f>
        <v>0.125</v>
      </c>
      <c r="X871" s="133">
        <f>X870/X869</f>
        <v>0.125</v>
      </c>
      <c r="Y871" s="133">
        <f>Y870/Y869</f>
        <v>0.125</v>
      </c>
      <c r="Z871" s="133">
        <f>Z870/Z869</f>
        <v>0.125</v>
      </c>
      <c r="AA871" s="133">
        <f>AA870/AA869</f>
        <v>0.125</v>
      </c>
      <c r="AB871" s="133">
        <f>Y871</f>
        <v>0.125</v>
      </c>
      <c r="AC871" s="133">
        <f t="shared" ref="AC871" si="3008">AC870/AC869</f>
        <v>0.125</v>
      </c>
      <c r="AD871" s="133">
        <f t="shared" ref="AD871" si="3009">AD870/AD869</f>
        <v>0.125</v>
      </c>
      <c r="AE871" s="133">
        <f t="shared" ref="AE871" si="3010">AB871</f>
        <v>0.125</v>
      </c>
      <c r="AF871" s="133">
        <f t="shared" ref="AF871" si="3011">AF870/AF869</f>
        <v>0.125</v>
      </c>
      <c r="AG871" s="938">
        <f t="shared" ref="AG871" si="3012">AG870/AG869</f>
        <v>0.125</v>
      </c>
      <c r="AH871" s="133">
        <f t="shared" ref="AH871" si="3013">AE871</f>
        <v>0.125</v>
      </c>
      <c r="AI871" s="133">
        <f t="shared" ref="AI871:AJ871" si="3014">AI870/AI869</f>
        <v>0.125</v>
      </c>
      <c r="AJ871" s="133">
        <f t="shared" si="3014"/>
        <v>0.125</v>
      </c>
      <c r="AK871" s="133">
        <f t="shared" ref="AK871" si="3015">AH871</f>
        <v>0.125</v>
      </c>
      <c r="AL871" s="133">
        <f t="shared" ref="AL871:AM871" si="3016">AL870/AL869</f>
        <v>0.125</v>
      </c>
      <c r="AM871" s="133">
        <f t="shared" si="3016"/>
        <v>0.125</v>
      </c>
      <c r="AN871" s="133">
        <f t="shared" ref="AN871" si="3017">AK871</f>
        <v>0.125</v>
      </c>
      <c r="AO871" s="133">
        <f t="shared" ref="AO871:AP871" si="3018">AO870/AO869</f>
        <v>0.125</v>
      </c>
      <c r="AP871" s="133">
        <f t="shared" si="3018"/>
        <v>0.125</v>
      </c>
      <c r="AQ871" s="133">
        <f t="shared" ref="AQ871" si="3019">AN871</f>
        <v>0.125</v>
      </c>
      <c r="AR871" s="133">
        <f t="shared" ref="AR871:AS871" si="3020">AR870/AR869</f>
        <v>0.125</v>
      </c>
      <c r="AS871" s="133">
        <f t="shared" si="3020"/>
        <v>0.125</v>
      </c>
      <c r="AT871" s="133">
        <f t="shared" ref="AT871" si="3021">AQ871</f>
        <v>0.125</v>
      </c>
      <c r="AU871" s="133">
        <f t="shared" ref="AU871:AV871" si="3022">AU870/AU869</f>
        <v>0.125</v>
      </c>
      <c r="AV871" s="133">
        <f t="shared" si="3022"/>
        <v>0.125</v>
      </c>
      <c r="AW871" s="133">
        <f t="shared" ref="AW871" si="3023">AT871</f>
        <v>0.125</v>
      </c>
      <c r="AX871" s="133">
        <f t="shared" ref="AX871:AY871" si="3024">AX870/AX869</f>
        <v>0.125</v>
      </c>
      <c r="AY871" s="133">
        <f t="shared" si="3024"/>
        <v>0.125</v>
      </c>
      <c r="AZ871" s="133">
        <f t="shared" ref="AZ871" si="3025">AW871</f>
        <v>0.125</v>
      </c>
      <c r="BA871" s="133">
        <f t="shared" ref="BA871:BB871" si="3026">BA870/BA869</f>
        <v>0.125</v>
      </c>
      <c r="BB871" s="133">
        <f t="shared" si="3026"/>
        <v>0.125</v>
      </c>
      <c r="BC871" s="133">
        <f t="shared" ref="BC871" si="3027">AZ871</f>
        <v>0.125</v>
      </c>
      <c r="BD871" s="133">
        <f t="shared" ref="BD871:BE871" si="3028">BD870/BD869</f>
        <v>0.125</v>
      </c>
      <c r="BE871" s="133">
        <f t="shared" si="3028"/>
        <v>0.125</v>
      </c>
      <c r="BF871" s="133">
        <f t="shared" ref="BF871" si="3029">BC871</f>
        <v>0.125</v>
      </c>
      <c r="BG871" s="133">
        <f t="shared" ref="BG871:BH871" si="3030">BG870/BG869</f>
        <v>0.125</v>
      </c>
      <c r="BH871" s="133">
        <f t="shared" si="3030"/>
        <v>0.125</v>
      </c>
      <c r="BI871" s="133">
        <f t="shared" ref="BI871" si="3031">BF871</f>
        <v>0.125</v>
      </c>
      <c r="BJ871" s="133">
        <f t="shared" ref="BJ871:BK871" si="3032">BJ870/BJ869</f>
        <v>0.125</v>
      </c>
      <c r="BK871" s="133">
        <f t="shared" si="3032"/>
        <v>0.125</v>
      </c>
      <c r="BL871" s="133">
        <f t="shared" ref="BL871" si="3033">BI871</f>
        <v>0.125</v>
      </c>
      <c r="BM871" s="133">
        <f t="shared" ref="BM871:BN871" si="3034">BM870/BM869</f>
        <v>0.125</v>
      </c>
      <c r="BN871" s="133">
        <f t="shared" si="3034"/>
        <v>0.125</v>
      </c>
      <c r="BO871" s="133">
        <f t="shared" ref="BO871" si="3035">BL871</f>
        <v>0.125</v>
      </c>
      <c r="BP871" s="133">
        <f t="shared" ref="BP871:BQ871" si="3036">BP870/BP869</f>
        <v>0.125</v>
      </c>
      <c r="BQ871" s="133">
        <f t="shared" si="3036"/>
        <v>0.125</v>
      </c>
      <c r="BR871" s="133">
        <f t="shared" ref="BR871" si="3037">BO871</f>
        <v>0.125</v>
      </c>
    </row>
    <row r="872" spans="2:70" outlineLevel="2">
      <c r="B872" s="5"/>
      <c r="C872" s="84" t="s">
        <v>65</v>
      </c>
      <c r="D872" s="31" t="s">
        <v>526</v>
      </c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V872" s="769">
        <f>V869*-3%</f>
        <v>-7.1099999999999994</v>
      </c>
      <c r="X872" s="364">
        <f>V872*0.5*(1/6)</f>
        <v>-0.59249999999999992</v>
      </c>
      <c r="Y872" s="167">
        <f>SUM(V872:X872)</f>
        <v>-7.7024999999999997</v>
      </c>
      <c r="Z872" s="167">
        <f>AB872*0.5</f>
        <v>-3.5549999999999997</v>
      </c>
      <c r="AA872" s="167">
        <f>AB872*0.5</f>
        <v>-3.5549999999999997</v>
      </c>
      <c r="AB872" s="360">
        <f>V872</f>
        <v>-7.1099999999999994</v>
      </c>
      <c r="AC872" s="167">
        <f t="shared" ref="AC872" si="3038">AE872*0.5</f>
        <v>-3.5549999999999997</v>
      </c>
      <c r="AD872" s="167">
        <f t="shared" ref="AD872" si="3039">AE872*0.5</f>
        <v>-3.5549999999999997</v>
      </c>
      <c r="AE872" s="360">
        <f t="shared" ref="AE872" si="3040">AB872*(AE869/AB869)</f>
        <v>-7.1099999999999994</v>
      </c>
      <c r="AF872" s="167">
        <f t="shared" ref="AF872" si="3041">AH872*0.5</f>
        <v>-3.5549999999999997</v>
      </c>
      <c r="AG872" s="1017">
        <f t="shared" ref="AG872" si="3042">AH872*0.5</f>
        <v>-3.5549999999999997</v>
      </c>
      <c r="AH872" s="360">
        <f t="shared" ref="AH872" si="3043">AE872*(AH869/AE869)</f>
        <v>-7.1099999999999994</v>
      </c>
      <c r="AI872" s="167">
        <f t="shared" ref="AI872" si="3044">AK872*0.5</f>
        <v>-3.5549999999999997</v>
      </c>
      <c r="AJ872" s="167">
        <f t="shared" ref="AJ872" si="3045">AK872*0.5</f>
        <v>-3.5549999999999997</v>
      </c>
      <c r="AK872" s="360">
        <f t="shared" ref="AK872" si="3046">AH872*(AK869/AH869)</f>
        <v>-7.1099999999999994</v>
      </c>
      <c r="AL872" s="167">
        <f t="shared" ref="AL872" si="3047">AN872*0.5</f>
        <v>-3.5549999999999997</v>
      </c>
      <c r="AM872" s="167">
        <f t="shared" ref="AM872" si="3048">AN872*0.5</f>
        <v>-3.5549999999999997</v>
      </c>
      <c r="AN872" s="360">
        <f t="shared" ref="AN872" si="3049">AK872*(AN869/AK869)</f>
        <v>-7.1099999999999994</v>
      </c>
      <c r="AO872" s="167">
        <f t="shared" ref="AO872" si="3050">AQ872*0.5</f>
        <v>-3.5549999999999997</v>
      </c>
      <c r="AP872" s="167">
        <f t="shared" ref="AP872" si="3051">AQ872*0.5</f>
        <v>-3.5549999999999997</v>
      </c>
      <c r="AQ872" s="360">
        <f t="shared" ref="AQ872" si="3052">AN872*(AQ869/AN869)</f>
        <v>-7.1099999999999994</v>
      </c>
      <c r="AR872" s="167">
        <f t="shared" ref="AR872" si="3053">AT872*0.5</f>
        <v>-3.5549999999999997</v>
      </c>
      <c r="AS872" s="167">
        <f t="shared" ref="AS872" si="3054">AT872*0.5</f>
        <v>-3.5549999999999997</v>
      </c>
      <c r="AT872" s="360">
        <f t="shared" ref="AT872" si="3055">AQ872*(AT869/AQ869)</f>
        <v>-7.1099999999999994</v>
      </c>
      <c r="AU872" s="167">
        <f t="shared" ref="AU872" si="3056">AW872*0.5</f>
        <v>-3.5549999999999997</v>
      </c>
      <c r="AV872" s="167">
        <f t="shared" ref="AV872" si="3057">AW872*0.5</f>
        <v>-3.5549999999999997</v>
      </c>
      <c r="AW872" s="360">
        <f t="shared" ref="AW872" si="3058">AT872*(AW869/AT869)</f>
        <v>-7.1099999999999994</v>
      </c>
      <c r="AX872" s="167">
        <f t="shared" ref="AX872" si="3059">AZ872*0.5</f>
        <v>-3.5549999999999997</v>
      </c>
      <c r="AY872" s="167">
        <f t="shared" ref="AY872" si="3060">AZ872*0.5</f>
        <v>-3.5549999999999997</v>
      </c>
      <c r="AZ872" s="360">
        <f t="shared" ref="AZ872" si="3061">AW872*(AZ869/AW869)</f>
        <v>-7.1099999999999994</v>
      </c>
      <c r="BA872" s="167">
        <f t="shared" ref="BA872" si="3062">BC872*0.5</f>
        <v>-3.5549999999999997</v>
      </c>
      <c r="BB872" s="167">
        <f t="shared" ref="BB872" si="3063">BC872*0.5</f>
        <v>-3.5549999999999997</v>
      </c>
      <c r="BC872" s="360">
        <f t="shared" ref="BC872" si="3064">AZ872*(BC869/AZ869)</f>
        <v>-7.1099999999999994</v>
      </c>
      <c r="BD872" s="167">
        <f t="shared" ref="BD872" si="3065">BF872*0.5</f>
        <v>-3.5549999999999997</v>
      </c>
      <c r="BE872" s="167">
        <f t="shared" ref="BE872" si="3066">BF872*0.5</f>
        <v>-3.5549999999999997</v>
      </c>
      <c r="BF872" s="360">
        <f t="shared" ref="BF872" si="3067">BC872*(BF869/BC869)</f>
        <v>-7.1099999999999994</v>
      </c>
      <c r="BG872" s="167">
        <f t="shared" ref="BG872" si="3068">BI872*0.5</f>
        <v>-3.5549999999999997</v>
      </c>
      <c r="BH872" s="167">
        <f t="shared" ref="BH872" si="3069">BI872*0.5</f>
        <v>-3.5549999999999997</v>
      </c>
      <c r="BI872" s="360">
        <f t="shared" ref="BI872" si="3070">BF872*(BI869/BF869)</f>
        <v>-7.1099999999999994</v>
      </c>
      <c r="BJ872" s="167">
        <f t="shared" ref="BJ872" si="3071">BL872*0.5</f>
        <v>-3.5549999999999997</v>
      </c>
      <c r="BK872" s="167">
        <f t="shared" ref="BK872" si="3072">BL872*0.5</f>
        <v>-3.5549999999999997</v>
      </c>
      <c r="BL872" s="360">
        <f t="shared" ref="BL872" si="3073">BI872*(BL869/BI869)</f>
        <v>-7.1099999999999994</v>
      </c>
      <c r="BM872" s="167">
        <f t="shared" ref="BM872" si="3074">BO872*0.5</f>
        <v>-3.5549999999999997</v>
      </c>
      <c r="BN872" s="167">
        <f t="shared" ref="BN872" si="3075">BO872*0.5</f>
        <v>-3.5549999999999997</v>
      </c>
      <c r="BO872" s="360">
        <f t="shared" ref="BO872" si="3076">BL872*(BO869/BL869)</f>
        <v>-7.1099999999999994</v>
      </c>
      <c r="BP872" s="167">
        <f t="shared" ref="BP872" si="3077">BR872*0.5</f>
        <v>-3.5549999999999997</v>
      </c>
      <c r="BQ872" s="167">
        <f t="shared" ref="BQ872" si="3078">BR872*0.5</f>
        <v>-3.5549999999999997</v>
      </c>
      <c r="BR872" s="360">
        <f t="shared" ref="BR872" si="3079">BO872*(BR869/BO869)</f>
        <v>-7.1099999999999994</v>
      </c>
    </row>
    <row r="873" spans="2:70" outlineLevel="2">
      <c r="B873" s="5"/>
      <c r="C873" s="84" t="s">
        <v>78</v>
      </c>
      <c r="D873" s="31" t="s">
        <v>526</v>
      </c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V873" s="770">
        <f>V870+V872</f>
        <v>22.515000000000001</v>
      </c>
      <c r="X873" s="167">
        <f>X870+X872</f>
        <v>1.8762500000000002</v>
      </c>
      <c r="Y873" s="167">
        <f>SUM(X873:X873)</f>
        <v>1.8762500000000002</v>
      </c>
      <c r="Z873" s="167">
        <f>Z870+Z872</f>
        <v>11.2575</v>
      </c>
      <c r="AA873" s="167">
        <f>AA870+AA872</f>
        <v>11.2575</v>
      </c>
      <c r="AB873" s="172">
        <f>SUM(Z873:AA873)</f>
        <v>22.515000000000001</v>
      </c>
      <c r="AC873" s="167">
        <f t="shared" ref="AC873" si="3080">AC870+AC872</f>
        <v>11.2575</v>
      </c>
      <c r="AD873" s="167">
        <f t="shared" ref="AD873" si="3081">AD870+AD872</f>
        <v>11.2575</v>
      </c>
      <c r="AE873" s="172">
        <f t="shared" ref="AE873" si="3082">SUM(AC873:AD873)</f>
        <v>22.515000000000001</v>
      </c>
      <c r="AF873" s="167">
        <f t="shared" ref="AF873" si="3083">AF870+AF872</f>
        <v>11.2575</v>
      </c>
      <c r="AG873" s="1017">
        <f t="shared" ref="AG873" si="3084">AG870+AG872</f>
        <v>11.2575</v>
      </c>
      <c r="AH873" s="172">
        <f t="shared" ref="AH873" si="3085">SUM(AF873:AG873)</f>
        <v>22.515000000000001</v>
      </c>
      <c r="AI873" s="167">
        <f t="shared" ref="AI873:AJ873" si="3086">AI870+AI872</f>
        <v>11.2575</v>
      </c>
      <c r="AJ873" s="167">
        <f t="shared" si="3086"/>
        <v>11.2575</v>
      </c>
      <c r="AK873" s="172">
        <f t="shared" ref="AK873" si="3087">SUM(AI873:AJ873)</f>
        <v>22.515000000000001</v>
      </c>
      <c r="AL873" s="167">
        <f t="shared" ref="AL873:AM873" si="3088">AL870+AL872</f>
        <v>11.2575</v>
      </c>
      <c r="AM873" s="167">
        <f t="shared" si="3088"/>
        <v>11.2575</v>
      </c>
      <c r="AN873" s="172">
        <f t="shared" ref="AN873" si="3089">SUM(AL873:AM873)</f>
        <v>22.515000000000001</v>
      </c>
      <c r="AO873" s="167">
        <f t="shared" ref="AO873:AP873" si="3090">AO870+AO872</f>
        <v>11.2575</v>
      </c>
      <c r="AP873" s="167">
        <f t="shared" si="3090"/>
        <v>11.2575</v>
      </c>
      <c r="AQ873" s="172">
        <f t="shared" ref="AQ873" si="3091">SUM(AO873:AP873)</f>
        <v>22.515000000000001</v>
      </c>
      <c r="AR873" s="167">
        <f t="shared" ref="AR873:AS873" si="3092">AR870+AR872</f>
        <v>11.2575</v>
      </c>
      <c r="AS873" s="167">
        <f t="shared" si="3092"/>
        <v>11.2575</v>
      </c>
      <c r="AT873" s="172">
        <f t="shared" ref="AT873" si="3093">SUM(AR873:AS873)</f>
        <v>22.515000000000001</v>
      </c>
      <c r="AU873" s="167">
        <f t="shared" ref="AU873:AV873" si="3094">AU870+AU872</f>
        <v>11.2575</v>
      </c>
      <c r="AV873" s="167">
        <f t="shared" si="3094"/>
        <v>11.2575</v>
      </c>
      <c r="AW873" s="172">
        <f t="shared" ref="AW873" si="3095">SUM(AU873:AV873)</f>
        <v>22.515000000000001</v>
      </c>
      <c r="AX873" s="167">
        <f t="shared" ref="AX873:AY873" si="3096">AX870+AX872</f>
        <v>11.2575</v>
      </c>
      <c r="AY873" s="167">
        <f t="shared" si="3096"/>
        <v>11.2575</v>
      </c>
      <c r="AZ873" s="172">
        <f t="shared" ref="AZ873" si="3097">SUM(AX873:AY873)</f>
        <v>22.515000000000001</v>
      </c>
      <c r="BA873" s="167">
        <f t="shared" ref="BA873:BB873" si="3098">BA870+BA872</f>
        <v>11.2575</v>
      </c>
      <c r="BB873" s="167">
        <f t="shared" si="3098"/>
        <v>11.2575</v>
      </c>
      <c r="BC873" s="172">
        <f t="shared" ref="BC873" si="3099">SUM(BA873:BB873)</f>
        <v>22.515000000000001</v>
      </c>
      <c r="BD873" s="167">
        <f t="shared" ref="BD873:BE873" si="3100">BD870+BD872</f>
        <v>11.2575</v>
      </c>
      <c r="BE873" s="167">
        <f t="shared" si="3100"/>
        <v>11.2575</v>
      </c>
      <c r="BF873" s="172">
        <f t="shared" ref="BF873" si="3101">SUM(BD873:BE873)</f>
        <v>22.515000000000001</v>
      </c>
      <c r="BG873" s="167">
        <f t="shared" ref="BG873:BH873" si="3102">BG870+BG872</f>
        <v>11.2575</v>
      </c>
      <c r="BH873" s="167">
        <f t="shared" si="3102"/>
        <v>11.2575</v>
      </c>
      <c r="BI873" s="172">
        <f t="shared" ref="BI873" si="3103">SUM(BG873:BH873)</f>
        <v>22.515000000000001</v>
      </c>
      <c r="BJ873" s="167">
        <f t="shared" ref="BJ873:BK873" si="3104">BJ870+BJ872</f>
        <v>11.2575</v>
      </c>
      <c r="BK873" s="167">
        <f t="shared" si="3104"/>
        <v>11.2575</v>
      </c>
      <c r="BL873" s="172">
        <f t="shared" ref="BL873" si="3105">SUM(BJ873:BK873)</f>
        <v>22.515000000000001</v>
      </c>
      <c r="BM873" s="167">
        <f t="shared" ref="BM873:BN873" si="3106">BM870+BM872</f>
        <v>11.2575</v>
      </c>
      <c r="BN873" s="167">
        <f t="shared" si="3106"/>
        <v>11.2575</v>
      </c>
      <c r="BO873" s="172">
        <f t="shared" ref="BO873" si="3107">SUM(BM873:BN873)</f>
        <v>22.515000000000001</v>
      </c>
      <c r="BP873" s="167">
        <f t="shared" ref="BP873:BQ873" si="3108">BP870+BP872</f>
        <v>11.2575</v>
      </c>
      <c r="BQ873" s="167">
        <f t="shared" si="3108"/>
        <v>11.2575</v>
      </c>
      <c r="BR873" s="172">
        <f t="shared" ref="BR873" si="3109">SUM(BP873:BQ873)</f>
        <v>22.515000000000001</v>
      </c>
    </row>
    <row r="874" spans="2:70" outlineLevel="2">
      <c r="B874" s="5"/>
      <c r="C874" s="84" t="s">
        <v>74</v>
      </c>
      <c r="D874" s="31" t="s">
        <v>66</v>
      </c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V874" s="768">
        <f t="shared" ref="V874" si="3110">V873/V869</f>
        <v>9.5000000000000001E-2</v>
      </c>
      <c r="X874" s="162">
        <f t="shared" ref="X874:AH874" si="3111">X873/X869</f>
        <v>9.5000000000000015E-2</v>
      </c>
      <c r="Y874" s="162">
        <f t="shared" si="3111"/>
        <v>9.5000000000000015E-2</v>
      </c>
      <c r="Z874" s="162">
        <f t="shared" si="3111"/>
        <v>9.5000000000000001E-2</v>
      </c>
      <c r="AA874" s="133">
        <f t="shared" si="3111"/>
        <v>9.5000000000000001E-2</v>
      </c>
      <c r="AB874" s="162">
        <f t="shared" si="3111"/>
        <v>9.5000000000000001E-2</v>
      </c>
      <c r="AC874" s="162">
        <f t="shared" si="3111"/>
        <v>9.5000000000000001E-2</v>
      </c>
      <c r="AD874" s="133">
        <f t="shared" si="3111"/>
        <v>9.5000000000000001E-2</v>
      </c>
      <c r="AE874" s="162">
        <f t="shared" si="3111"/>
        <v>9.5000000000000001E-2</v>
      </c>
      <c r="AF874" s="162">
        <f t="shared" si="3111"/>
        <v>9.5000000000000001E-2</v>
      </c>
      <c r="AG874" s="938">
        <f t="shared" si="3111"/>
        <v>9.5000000000000001E-2</v>
      </c>
      <c r="AH874" s="133">
        <f t="shared" si="3111"/>
        <v>9.5000000000000001E-2</v>
      </c>
      <c r="AI874" s="162">
        <f t="shared" ref="AI874:AN874" si="3112">AI873/AI869</f>
        <v>9.5000000000000001E-2</v>
      </c>
      <c r="AJ874" s="133">
        <f t="shared" si="3112"/>
        <v>9.5000000000000001E-2</v>
      </c>
      <c r="AK874" s="133">
        <f t="shared" si="3112"/>
        <v>9.5000000000000001E-2</v>
      </c>
      <c r="AL874" s="162">
        <f t="shared" si="3112"/>
        <v>9.5000000000000001E-2</v>
      </c>
      <c r="AM874" s="133">
        <f t="shared" si="3112"/>
        <v>9.5000000000000001E-2</v>
      </c>
      <c r="AN874" s="133">
        <f t="shared" si="3112"/>
        <v>9.5000000000000001E-2</v>
      </c>
      <c r="AO874" s="162">
        <f t="shared" ref="AO874:BR874" si="3113">AO873/AO869</f>
        <v>9.5000000000000001E-2</v>
      </c>
      <c r="AP874" s="133">
        <f t="shared" si="3113"/>
        <v>9.5000000000000001E-2</v>
      </c>
      <c r="AQ874" s="133">
        <f t="shared" si="3113"/>
        <v>9.5000000000000001E-2</v>
      </c>
      <c r="AR874" s="162">
        <f t="shared" si="3113"/>
        <v>9.5000000000000001E-2</v>
      </c>
      <c r="AS874" s="133">
        <f t="shared" si="3113"/>
        <v>9.5000000000000001E-2</v>
      </c>
      <c r="AT874" s="133">
        <f t="shared" si="3113"/>
        <v>9.5000000000000001E-2</v>
      </c>
      <c r="AU874" s="162">
        <f t="shared" si="3113"/>
        <v>9.5000000000000001E-2</v>
      </c>
      <c r="AV874" s="133">
        <f t="shared" si="3113"/>
        <v>9.5000000000000001E-2</v>
      </c>
      <c r="AW874" s="133">
        <f t="shared" si="3113"/>
        <v>9.5000000000000001E-2</v>
      </c>
      <c r="AX874" s="162">
        <f t="shared" si="3113"/>
        <v>9.5000000000000001E-2</v>
      </c>
      <c r="AY874" s="133">
        <f t="shared" si="3113"/>
        <v>9.5000000000000001E-2</v>
      </c>
      <c r="AZ874" s="133">
        <f t="shared" si="3113"/>
        <v>9.5000000000000001E-2</v>
      </c>
      <c r="BA874" s="162">
        <f t="shared" si="3113"/>
        <v>9.5000000000000001E-2</v>
      </c>
      <c r="BB874" s="133">
        <f t="shared" si="3113"/>
        <v>9.5000000000000001E-2</v>
      </c>
      <c r="BC874" s="133">
        <f t="shared" si="3113"/>
        <v>9.5000000000000001E-2</v>
      </c>
      <c r="BD874" s="162">
        <f t="shared" si="3113"/>
        <v>9.5000000000000001E-2</v>
      </c>
      <c r="BE874" s="133">
        <f t="shared" si="3113"/>
        <v>9.5000000000000001E-2</v>
      </c>
      <c r="BF874" s="133">
        <f t="shared" si="3113"/>
        <v>9.5000000000000001E-2</v>
      </c>
      <c r="BG874" s="162">
        <f t="shared" si="3113"/>
        <v>9.5000000000000001E-2</v>
      </c>
      <c r="BH874" s="133">
        <f t="shared" si="3113"/>
        <v>9.5000000000000001E-2</v>
      </c>
      <c r="BI874" s="133">
        <f t="shared" si="3113"/>
        <v>9.5000000000000001E-2</v>
      </c>
      <c r="BJ874" s="162">
        <f t="shared" si="3113"/>
        <v>9.5000000000000001E-2</v>
      </c>
      <c r="BK874" s="133">
        <f t="shared" si="3113"/>
        <v>9.5000000000000001E-2</v>
      </c>
      <c r="BL874" s="133">
        <f t="shared" si="3113"/>
        <v>9.5000000000000001E-2</v>
      </c>
      <c r="BM874" s="162">
        <f t="shared" si="3113"/>
        <v>9.5000000000000001E-2</v>
      </c>
      <c r="BN874" s="133">
        <f t="shared" si="3113"/>
        <v>9.5000000000000001E-2</v>
      </c>
      <c r="BO874" s="133">
        <f t="shared" si="3113"/>
        <v>9.5000000000000001E-2</v>
      </c>
      <c r="BP874" s="162">
        <f t="shared" si="3113"/>
        <v>9.5000000000000001E-2</v>
      </c>
      <c r="BQ874" s="133">
        <f t="shared" si="3113"/>
        <v>9.5000000000000001E-2</v>
      </c>
      <c r="BR874" s="133">
        <f t="shared" si="3113"/>
        <v>9.5000000000000001E-2</v>
      </c>
    </row>
    <row r="875" spans="2:70" outlineLevel="2">
      <c r="B875" s="5"/>
      <c r="C875" s="84" t="s">
        <v>90</v>
      </c>
      <c r="D875" s="31" t="s">
        <v>526</v>
      </c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V875" s="770">
        <f>V878-V873</f>
        <v>24.885000000000005</v>
      </c>
      <c r="X875" s="402">
        <v>0</v>
      </c>
      <c r="Y875" s="167">
        <f>SUM(V875:X875)</f>
        <v>24.885000000000005</v>
      </c>
      <c r="Z875" s="402">
        <v>5</v>
      </c>
      <c r="AA875" s="402">
        <v>5</v>
      </c>
      <c r="AB875" s="157">
        <f>SUM(Z875:AA875)</f>
        <v>10</v>
      </c>
      <c r="AC875" s="402">
        <v>5</v>
      </c>
      <c r="AD875" s="402">
        <v>5</v>
      </c>
      <c r="AE875" s="157">
        <f>SUM(AC875:AD875)</f>
        <v>10</v>
      </c>
      <c r="AF875" s="402">
        <f>V875-AE876</f>
        <v>4.8850000000000051</v>
      </c>
      <c r="AG875" s="1030">
        <v>0</v>
      </c>
      <c r="AH875" s="157">
        <f>SUM(AF875:AG875)</f>
        <v>4.8850000000000051</v>
      </c>
      <c r="AI875" s="402">
        <v>0</v>
      </c>
      <c r="AJ875" s="402">
        <v>0</v>
      </c>
      <c r="AK875" s="157">
        <f>SUM(AI875:AJ875)</f>
        <v>0</v>
      </c>
      <c r="AL875" s="402">
        <v>0</v>
      </c>
      <c r="AM875" s="402">
        <v>0</v>
      </c>
      <c r="AN875" s="157">
        <f>SUM(AL875:AM875)</f>
        <v>0</v>
      </c>
      <c r="AO875" s="402">
        <v>0</v>
      </c>
      <c r="AP875" s="402">
        <v>0</v>
      </c>
      <c r="AQ875" s="157">
        <f>SUM(AO875:AP875)</f>
        <v>0</v>
      </c>
      <c r="AR875" s="402">
        <v>0</v>
      </c>
      <c r="AS875" s="402">
        <v>0</v>
      </c>
      <c r="AT875" s="157">
        <f>SUM(AR875:AS875)</f>
        <v>0</v>
      </c>
      <c r="AU875" s="402">
        <v>0</v>
      </c>
      <c r="AV875" s="402">
        <v>0</v>
      </c>
      <c r="AW875" s="157">
        <f>SUM(AU875:AV875)</f>
        <v>0</v>
      </c>
      <c r="AX875" s="402">
        <v>0</v>
      </c>
      <c r="AY875" s="402">
        <v>0</v>
      </c>
      <c r="AZ875" s="157">
        <f>SUM(AX875:AY875)</f>
        <v>0</v>
      </c>
      <c r="BA875" s="402">
        <v>0</v>
      </c>
      <c r="BB875" s="402">
        <v>0</v>
      </c>
      <c r="BC875" s="157">
        <f>SUM(BA875:BB875)</f>
        <v>0</v>
      </c>
      <c r="BD875" s="402">
        <v>0</v>
      </c>
      <c r="BE875" s="402">
        <v>0</v>
      </c>
      <c r="BF875" s="157">
        <f>SUM(BD875:BE875)</f>
        <v>0</v>
      </c>
      <c r="BG875" s="402">
        <v>0</v>
      </c>
      <c r="BH875" s="402">
        <v>0</v>
      </c>
      <c r="BI875" s="157">
        <f>SUM(BG875:BH875)</f>
        <v>0</v>
      </c>
      <c r="BJ875" s="402">
        <v>0</v>
      </c>
      <c r="BK875" s="402">
        <v>0</v>
      </c>
      <c r="BL875" s="157">
        <f>SUM(BJ875:BK875)</f>
        <v>0</v>
      </c>
      <c r="BM875" s="402">
        <v>0</v>
      </c>
      <c r="BN875" s="402">
        <v>0</v>
      </c>
      <c r="BO875" s="157">
        <f>SUM(BM875:BN875)</f>
        <v>0</v>
      </c>
      <c r="BP875" s="402">
        <v>0</v>
      </c>
      <c r="BQ875" s="402">
        <v>0</v>
      </c>
      <c r="BR875" s="157">
        <f>SUM(BP875:BQ875)</f>
        <v>0</v>
      </c>
    </row>
    <row r="876" spans="2:70" outlineLevel="2">
      <c r="B876" s="5"/>
      <c r="C876" s="84" t="s">
        <v>89</v>
      </c>
      <c r="D876" s="31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V876" s="771"/>
      <c r="X876" s="157">
        <f>U876+X875</f>
        <v>0</v>
      </c>
      <c r="Y876" s="167">
        <f>SUM(X876:X876)</f>
        <v>0</v>
      </c>
      <c r="Z876" s="157">
        <f>V876+Z875</f>
        <v>5</v>
      </c>
      <c r="AA876" s="157">
        <f>X876+AA875</f>
        <v>5</v>
      </c>
      <c r="AB876" s="157">
        <f>SUM(Z876:AA876)</f>
        <v>10</v>
      </c>
      <c r="AC876" s="157">
        <f t="shared" ref="AC876" si="3114">Z876+AC875</f>
        <v>10</v>
      </c>
      <c r="AD876" s="157">
        <f t="shared" ref="AD876" si="3115">AA876+AD875</f>
        <v>10</v>
      </c>
      <c r="AE876" s="157">
        <f t="shared" ref="AE876" si="3116">SUM(AC876:AD876)</f>
        <v>20</v>
      </c>
      <c r="AF876" s="157">
        <f t="shared" ref="AF876" si="3117">AC876+AF875</f>
        <v>14.885000000000005</v>
      </c>
      <c r="AG876" s="1031">
        <f t="shared" ref="AG876" si="3118">AD876+AG875</f>
        <v>10</v>
      </c>
      <c r="AH876" s="157">
        <f t="shared" ref="AH876" si="3119">SUM(AF876:AG876)</f>
        <v>24.885000000000005</v>
      </c>
      <c r="AI876" s="157">
        <f t="shared" ref="AI876" si="3120">AF876+AI875</f>
        <v>14.885000000000005</v>
      </c>
      <c r="AJ876" s="157">
        <f t="shared" ref="AJ876" si="3121">AG876+AJ875</f>
        <v>10</v>
      </c>
      <c r="AK876" s="157">
        <f t="shared" ref="AK876" si="3122">SUM(AI876:AJ876)</f>
        <v>24.885000000000005</v>
      </c>
      <c r="AL876" s="157">
        <f t="shared" ref="AL876" si="3123">AI876+AL875</f>
        <v>14.885000000000005</v>
      </c>
      <c r="AM876" s="157">
        <f t="shared" ref="AM876" si="3124">AJ876+AM875</f>
        <v>10</v>
      </c>
      <c r="AN876" s="157">
        <f t="shared" ref="AN876" si="3125">SUM(AL876:AM876)</f>
        <v>24.885000000000005</v>
      </c>
      <c r="AO876" s="157">
        <f t="shared" ref="AO876" si="3126">AL876+AO875</f>
        <v>14.885000000000005</v>
      </c>
      <c r="AP876" s="157">
        <f t="shared" ref="AP876" si="3127">AM876+AP875</f>
        <v>10</v>
      </c>
      <c r="AQ876" s="157">
        <f t="shared" ref="AQ876" si="3128">SUM(AO876:AP876)</f>
        <v>24.885000000000005</v>
      </c>
      <c r="AR876" s="157">
        <f t="shared" ref="AR876" si="3129">AO876+AR875</f>
        <v>14.885000000000005</v>
      </c>
      <c r="AS876" s="157">
        <f t="shared" ref="AS876" si="3130">AP876+AS875</f>
        <v>10</v>
      </c>
      <c r="AT876" s="157">
        <f t="shared" ref="AT876" si="3131">SUM(AR876:AS876)</f>
        <v>24.885000000000005</v>
      </c>
      <c r="AU876" s="157">
        <f t="shared" ref="AU876" si="3132">AR876+AU875</f>
        <v>14.885000000000005</v>
      </c>
      <c r="AV876" s="157">
        <f t="shared" ref="AV876" si="3133">AS876+AV875</f>
        <v>10</v>
      </c>
      <c r="AW876" s="157">
        <f t="shared" ref="AW876" si="3134">SUM(AU876:AV876)</f>
        <v>24.885000000000005</v>
      </c>
      <c r="AX876" s="157">
        <f t="shared" ref="AX876" si="3135">AU876+AX875</f>
        <v>14.885000000000005</v>
      </c>
      <c r="AY876" s="157">
        <f t="shared" ref="AY876" si="3136">AV876+AY875</f>
        <v>10</v>
      </c>
      <c r="AZ876" s="157">
        <f t="shared" ref="AZ876" si="3137">SUM(AX876:AY876)</f>
        <v>24.885000000000005</v>
      </c>
      <c r="BA876" s="157">
        <f t="shared" ref="BA876" si="3138">AX876+BA875</f>
        <v>14.885000000000005</v>
      </c>
      <c r="BB876" s="157">
        <f t="shared" ref="BB876" si="3139">AY876+BB875</f>
        <v>10</v>
      </c>
      <c r="BC876" s="157">
        <f t="shared" ref="BC876" si="3140">SUM(BA876:BB876)</f>
        <v>24.885000000000005</v>
      </c>
      <c r="BD876" s="157">
        <f t="shared" ref="BD876" si="3141">BA876+BD875</f>
        <v>14.885000000000005</v>
      </c>
      <c r="BE876" s="157">
        <f t="shared" ref="BE876" si="3142">BB876+BE875</f>
        <v>10</v>
      </c>
      <c r="BF876" s="157">
        <f t="shared" ref="BF876" si="3143">SUM(BD876:BE876)</f>
        <v>24.885000000000005</v>
      </c>
      <c r="BG876" s="157">
        <f t="shared" ref="BG876" si="3144">BD876+BG875</f>
        <v>14.885000000000005</v>
      </c>
      <c r="BH876" s="157">
        <f t="shared" ref="BH876" si="3145">BE876+BH875</f>
        <v>10</v>
      </c>
      <c r="BI876" s="157">
        <f t="shared" ref="BI876" si="3146">SUM(BG876:BH876)</f>
        <v>24.885000000000005</v>
      </c>
      <c r="BJ876" s="157">
        <f t="shared" ref="BJ876" si="3147">BG876+BJ875</f>
        <v>14.885000000000005</v>
      </c>
      <c r="BK876" s="157">
        <f t="shared" ref="BK876" si="3148">BH876+BK875</f>
        <v>10</v>
      </c>
      <c r="BL876" s="157">
        <f t="shared" ref="BL876" si="3149">SUM(BJ876:BK876)</f>
        <v>24.885000000000005</v>
      </c>
      <c r="BM876" s="157">
        <f t="shared" ref="BM876" si="3150">BJ876+BM875</f>
        <v>14.885000000000005</v>
      </c>
      <c r="BN876" s="157">
        <f t="shared" ref="BN876" si="3151">BK876+BN875</f>
        <v>10</v>
      </c>
      <c r="BO876" s="157">
        <f t="shared" ref="BO876" si="3152">SUM(BM876:BN876)</f>
        <v>24.885000000000005</v>
      </c>
      <c r="BP876" s="157">
        <f t="shared" ref="BP876" si="3153">BM876+BP875</f>
        <v>14.885000000000005</v>
      </c>
      <c r="BQ876" s="157">
        <f t="shared" ref="BQ876" si="3154">BN876+BQ875</f>
        <v>10</v>
      </c>
      <c r="BR876" s="157">
        <f t="shared" ref="BR876" si="3155">SUM(BP876:BQ876)</f>
        <v>24.885000000000005</v>
      </c>
    </row>
    <row r="877" spans="2:70" outlineLevel="2">
      <c r="B877" s="5"/>
      <c r="C877" s="84" t="s">
        <v>264</v>
      </c>
      <c r="D877" s="31" t="s">
        <v>66</v>
      </c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V877" s="772">
        <f>V875/V869</f>
        <v>0.10500000000000002</v>
      </c>
      <c r="X877" s="343"/>
      <c r="Y877" s="167"/>
      <c r="Z877" s="157"/>
      <c r="AA877" s="157"/>
      <c r="AB877" s="157"/>
      <c r="AC877" s="157"/>
      <c r="AD877" s="157"/>
      <c r="AE877" s="157"/>
      <c r="AF877" s="157"/>
      <c r="AG877" s="1031"/>
      <c r="AH877" s="157"/>
      <c r="AI877" s="157"/>
      <c r="AJ877" s="157"/>
      <c r="AK877" s="157"/>
      <c r="AL877" s="157"/>
      <c r="AM877" s="157"/>
      <c r="AN877" s="157"/>
      <c r="AO877" s="157"/>
      <c r="AP877" s="157"/>
      <c r="AQ877" s="157"/>
      <c r="AR877" s="157"/>
      <c r="AS877" s="157"/>
      <c r="AT877" s="157"/>
      <c r="AU877" s="157"/>
      <c r="AV877" s="157"/>
      <c r="AW877" s="157"/>
      <c r="AX877" s="157"/>
      <c r="AY877" s="157"/>
      <c r="AZ877" s="157"/>
      <c r="BA877" s="157"/>
      <c r="BB877" s="157"/>
      <c r="BC877" s="157"/>
      <c r="BD877" s="157"/>
      <c r="BE877" s="157"/>
      <c r="BF877" s="157"/>
      <c r="BG877" s="157"/>
      <c r="BH877" s="157"/>
      <c r="BI877" s="157"/>
      <c r="BJ877" s="157"/>
      <c r="BK877" s="157"/>
      <c r="BL877" s="157"/>
      <c r="BM877" s="157"/>
      <c r="BN877" s="157"/>
      <c r="BO877" s="157"/>
      <c r="BP877" s="157"/>
      <c r="BQ877" s="157"/>
      <c r="BR877" s="157"/>
    </row>
    <row r="878" spans="2:70" outlineLevel="2">
      <c r="B878" s="5"/>
      <c r="C878" s="84" t="s">
        <v>79</v>
      </c>
      <c r="D878" s="31" t="s">
        <v>526</v>
      </c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V878" s="771">
        <f>V867*V879</f>
        <v>47.400000000000006</v>
      </c>
      <c r="X878" s="164">
        <f t="shared" ref="X878:AH878" si="3156">X876+X873</f>
        <v>1.8762500000000002</v>
      </c>
      <c r="Y878" s="167">
        <f>SUM(V878:X878)</f>
        <v>49.276250000000005</v>
      </c>
      <c r="Z878" s="164">
        <f t="shared" si="3156"/>
        <v>16.2575</v>
      </c>
      <c r="AA878" s="164">
        <f t="shared" si="3156"/>
        <v>16.2575</v>
      </c>
      <c r="AB878" s="164">
        <f t="shared" si="3156"/>
        <v>32.515000000000001</v>
      </c>
      <c r="AC878" s="164">
        <f t="shared" si="3156"/>
        <v>21.2575</v>
      </c>
      <c r="AD878" s="164">
        <f t="shared" si="3156"/>
        <v>21.2575</v>
      </c>
      <c r="AE878" s="164">
        <f t="shared" si="3156"/>
        <v>42.515000000000001</v>
      </c>
      <c r="AF878" s="164">
        <f t="shared" si="3156"/>
        <v>26.142500000000005</v>
      </c>
      <c r="AG878" s="1018">
        <f t="shared" si="3156"/>
        <v>21.2575</v>
      </c>
      <c r="AH878" s="164">
        <f t="shared" si="3156"/>
        <v>47.400000000000006</v>
      </c>
      <c r="AI878" s="164">
        <f t="shared" ref="AI878:AN878" si="3157">AI876+AI873</f>
        <v>26.142500000000005</v>
      </c>
      <c r="AJ878" s="164">
        <f t="shared" si="3157"/>
        <v>21.2575</v>
      </c>
      <c r="AK878" s="164">
        <f t="shared" si="3157"/>
        <v>47.400000000000006</v>
      </c>
      <c r="AL878" s="164">
        <f t="shared" si="3157"/>
        <v>26.142500000000005</v>
      </c>
      <c r="AM878" s="164">
        <f t="shared" si="3157"/>
        <v>21.2575</v>
      </c>
      <c r="AN878" s="164">
        <f t="shared" si="3157"/>
        <v>47.400000000000006</v>
      </c>
      <c r="AO878" s="164">
        <f t="shared" ref="AO878:BR878" si="3158">AO876+AO873</f>
        <v>26.142500000000005</v>
      </c>
      <c r="AP878" s="164">
        <f t="shared" si="3158"/>
        <v>21.2575</v>
      </c>
      <c r="AQ878" s="164">
        <f t="shared" si="3158"/>
        <v>47.400000000000006</v>
      </c>
      <c r="AR878" s="164">
        <f t="shared" si="3158"/>
        <v>26.142500000000005</v>
      </c>
      <c r="AS878" s="164">
        <f t="shared" si="3158"/>
        <v>21.2575</v>
      </c>
      <c r="AT878" s="164">
        <f t="shared" si="3158"/>
        <v>47.400000000000006</v>
      </c>
      <c r="AU878" s="164">
        <f t="shared" si="3158"/>
        <v>26.142500000000005</v>
      </c>
      <c r="AV878" s="164">
        <f t="shared" si="3158"/>
        <v>21.2575</v>
      </c>
      <c r="AW878" s="164">
        <f t="shared" si="3158"/>
        <v>47.400000000000006</v>
      </c>
      <c r="AX878" s="164">
        <f t="shared" si="3158"/>
        <v>26.142500000000005</v>
      </c>
      <c r="AY878" s="164">
        <f t="shared" si="3158"/>
        <v>21.2575</v>
      </c>
      <c r="AZ878" s="164">
        <f t="shared" si="3158"/>
        <v>47.400000000000006</v>
      </c>
      <c r="BA878" s="164">
        <f t="shared" si="3158"/>
        <v>26.142500000000005</v>
      </c>
      <c r="BB878" s="164">
        <f t="shared" si="3158"/>
        <v>21.2575</v>
      </c>
      <c r="BC878" s="164">
        <f t="shared" si="3158"/>
        <v>47.400000000000006</v>
      </c>
      <c r="BD878" s="164">
        <f t="shared" si="3158"/>
        <v>26.142500000000005</v>
      </c>
      <c r="BE878" s="164">
        <f t="shared" si="3158"/>
        <v>21.2575</v>
      </c>
      <c r="BF878" s="164">
        <f t="shared" si="3158"/>
        <v>47.400000000000006</v>
      </c>
      <c r="BG878" s="164">
        <f t="shared" si="3158"/>
        <v>26.142500000000005</v>
      </c>
      <c r="BH878" s="164">
        <f t="shared" si="3158"/>
        <v>21.2575</v>
      </c>
      <c r="BI878" s="164">
        <f t="shared" si="3158"/>
        <v>47.400000000000006</v>
      </c>
      <c r="BJ878" s="164">
        <f t="shared" si="3158"/>
        <v>26.142500000000005</v>
      </c>
      <c r="BK878" s="164">
        <f t="shared" si="3158"/>
        <v>21.2575</v>
      </c>
      <c r="BL878" s="164">
        <f t="shared" si="3158"/>
        <v>47.400000000000006</v>
      </c>
      <c r="BM878" s="164">
        <f t="shared" si="3158"/>
        <v>26.142500000000005</v>
      </c>
      <c r="BN878" s="164">
        <f t="shared" si="3158"/>
        <v>21.2575</v>
      </c>
      <c r="BO878" s="164">
        <f t="shared" si="3158"/>
        <v>47.400000000000006</v>
      </c>
      <c r="BP878" s="164">
        <f t="shared" si="3158"/>
        <v>26.142500000000005</v>
      </c>
      <c r="BQ878" s="164">
        <f t="shared" si="3158"/>
        <v>21.2575</v>
      </c>
      <c r="BR878" s="164">
        <f t="shared" si="3158"/>
        <v>47.400000000000006</v>
      </c>
    </row>
    <row r="879" spans="2:70" outlineLevel="2">
      <c r="B879" s="5"/>
      <c r="C879" s="84" t="s">
        <v>75</v>
      </c>
      <c r="D879" s="31" t="s">
        <v>66</v>
      </c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V879" s="773">
        <v>0.2</v>
      </c>
      <c r="X879" s="133">
        <f>X878/$V$867*2</f>
        <v>1.5833333333333335E-2</v>
      </c>
      <c r="Y879" s="133">
        <f>Y878/$V$867</f>
        <v>0.20791666666666669</v>
      </c>
      <c r="Z879" s="133">
        <f>Z878/$V$867*2</f>
        <v>0.13719409282700423</v>
      </c>
      <c r="AA879" s="133">
        <f>AA878/$V$867*2</f>
        <v>0.13719409282700423</v>
      </c>
      <c r="AB879" s="133">
        <f>AB878/$V$867</f>
        <v>0.13719409282700423</v>
      </c>
      <c r="AC879" s="133">
        <f>AC878/$V$867*2</f>
        <v>0.17938818565400844</v>
      </c>
      <c r="AD879" s="133">
        <f>AD878/$V$867*2</f>
        <v>0.17938818565400844</v>
      </c>
      <c r="AE879" s="133">
        <f>AE878/$V$867</f>
        <v>0.17938818565400844</v>
      </c>
      <c r="AF879" s="133">
        <f>AF878/$V$867*2</f>
        <v>0.22061181434599161</v>
      </c>
      <c r="AG879" s="938">
        <f>AG878/$V$867*2</f>
        <v>0.17938818565400844</v>
      </c>
      <c r="AH879" s="133">
        <f>AH878/$V$867</f>
        <v>0.2</v>
      </c>
      <c r="AI879" s="133">
        <f>AI878/$V$867*2</f>
        <v>0.22061181434599161</v>
      </c>
      <c r="AJ879" s="133">
        <f>AJ878/$V$867*2</f>
        <v>0.17938818565400844</v>
      </c>
      <c r="AK879" s="133">
        <f>AK878/$V$867</f>
        <v>0.2</v>
      </c>
      <c r="AL879" s="133">
        <f>AL878/$V$867*2</f>
        <v>0.22061181434599161</v>
      </c>
      <c r="AM879" s="133">
        <f>AM878/$V$867*2</f>
        <v>0.17938818565400844</v>
      </c>
      <c r="AN879" s="133">
        <f>AN878/$V$867</f>
        <v>0.2</v>
      </c>
      <c r="AO879" s="133">
        <f>AO878/$V$867*2</f>
        <v>0.22061181434599161</v>
      </c>
      <c r="AP879" s="133">
        <f>AP878/$V$867*2</f>
        <v>0.17938818565400844</v>
      </c>
      <c r="AQ879" s="133">
        <f>AQ878/$V$867</f>
        <v>0.2</v>
      </c>
      <c r="AR879" s="133">
        <f>AR878/$V$867*2</f>
        <v>0.22061181434599161</v>
      </c>
      <c r="AS879" s="133">
        <f>AS878/$V$867*2</f>
        <v>0.17938818565400844</v>
      </c>
      <c r="AT879" s="133">
        <f>AT878/$V$867</f>
        <v>0.2</v>
      </c>
      <c r="AU879" s="133">
        <f>AU878/$V$867*2</f>
        <v>0.22061181434599161</v>
      </c>
      <c r="AV879" s="133">
        <f>AV878/$V$867*2</f>
        <v>0.17938818565400844</v>
      </c>
      <c r="AW879" s="133">
        <f>AW878/$V$867</f>
        <v>0.2</v>
      </c>
      <c r="AX879" s="133">
        <f>AX878/$V$867*2</f>
        <v>0.22061181434599161</v>
      </c>
      <c r="AY879" s="133">
        <f>AY878/$V$867*2</f>
        <v>0.17938818565400844</v>
      </c>
      <c r="AZ879" s="133">
        <f>AZ878/$V$867</f>
        <v>0.2</v>
      </c>
      <c r="BA879" s="133">
        <f>BA878/$V$867*2</f>
        <v>0.22061181434599161</v>
      </c>
      <c r="BB879" s="133">
        <f>BB878/$V$867*2</f>
        <v>0.17938818565400844</v>
      </c>
      <c r="BC879" s="133">
        <f>BC878/$V$867</f>
        <v>0.2</v>
      </c>
      <c r="BD879" s="133">
        <f>BD878/$V$867*2</f>
        <v>0.22061181434599161</v>
      </c>
      <c r="BE879" s="133">
        <f>BE878/$V$867*2</f>
        <v>0.17938818565400844</v>
      </c>
      <c r="BF879" s="133">
        <f>BF878/$V$867</f>
        <v>0.2</v>
      </c>
      <c r="BG879" s="133">
        <f>BG878/$V$867*2</f>
        <v>0.22061181434599161</v>
      </c>
      <c r="BH879" s="133">
        <f>BH878/$V$867*2</f>
        <v>0.17938818565400844</v>
      </c>
      <c r="BI879" s="133">
        <f>BI878/$V$867</f>
        <v>0.2</v>
      </c>
      <c r="BJ879" s="133">
        <f>BJ878/$V$867*2</f>
        <v>0.22061181434599161</v>
      </c>
      <c r="BK879" s="133">
        <f>BK878/$V$867*2</f>
        <v>0.17938818565400844</v>
      </c>
      <c r="BL879" s="133">
        <f>BL878/$V$867</f>
        <v>0.2</v>
      </c>
      <c r="BM879" s="133">
        <f>BM878/$V$867*2</f>
        <v>0.22061181434599161</v>
      </c>
      <c r="BN879" s="133">
        <f>BN878/$V$867*2</f>
        <v>0.17938818565400844</v>
      </c>
      <c r="BO879" s="133">
        <f>BO878/$V$867</f>
        <v>0.2</v>
      </c>
      <c r="BP879" s="133">
        <f>BP878/$V$867*2</f>
        <v>0.22061181434599161</v>
      </c>
      <c r="BQ879" s="133">
        <f>BQ878/$V$867*2</f>
        <v>0.17938818565400844</v>
      </c>
      <c r="BR879" s="133">
        <f>BR878/$V$867</f>
        <v>0.2</v>
      </c>
    </row>
    <row r="880" spans="2:70" outlineLevel="2">
      <c r="B880" s="5"/>
      <c r="C880" s="84" t="s">
        <v>57</v>
      </c>
      <c r="D880" s="7" t="s">
        <v>85</v>
      </c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V880" s="774">
        <f>V878*W263</f>
        <v>5.9894604090909089</v>
      </c>
      <c r="X880" s="157">
        <f t="shared" ref="X880:BR880" si="3159">X878*X263</f>
        <v>0.27033013157151442</v>
      </c>
      <c r="Y880" s="157">
        <f t="shared" si="3159"/>
        <v>6.663133073059214</v>
      </c>
      <c r="Z880" s="157">
        <f t="shared" si="3159"/>
        <v>2.3213677812500002</v>
      </c>
      <c r="AA880" s="157">
        <f t="shared" si="3159"/>
        <v>2.228746927884615</v>
      </c>
      <c r="AB880" s="157">
        <f t="shared" si="3159"/>
        <v>4.5501147091346148</v>
      </c>
      <c r="AC880" s="157">
        <f t="shared" si="3159"/>
        <v>2.8712122961858975</v>
      </c>
      <c r="AD880" s="157">
        <f t="shared" si="3159"/>
        <v>2.8561004682692315</v>
      </c>
      <c r="AE880" s="157">
        <f t="shared" si="3159"/>
        <v>5.727312764455128</v>
      </c>
      <c r="AF880" s="157">
        <f t="shared" si="3159"/>
        <v>3.5310204611567606</v>
      </c>
      <c r="AG880" s="1031">
        <f t="shared" si="3159"/>
        <v>2.8561004682692315</v>
      </c>
      <c r="AH880" s="157">
        <f t="shared" si="3159"/>
        <v>6.3853845709790216</v>
      </c>
      <c r="AI880" s="157">
        <f t="shared" si="3159"/>
        <v>3.5310204611567606</v>
      </c>
      <c r="AJ880" s="157">
        <f t="shared" si="3159"/>
        <v>2.8561004682692315</v>
      </c>
      <c r="AK880" s="157">
        <f t="shared" si="3159"/>
        <v>6.3853845709790216</v>
      </c>
      <c r="AL880" s="157">
        <f t="shared" si="3159"/>
        <v>3.5310204611567606</v>
      </c>
      <c r="AM880" s="157">
        <f t="shared" si="3159"/>
        <v>2.8561004682692315</v>
      </c>
      <c r="AN880" s="157">
        <f t="shared" si="3159"/>
        <v>6.3853845709790216</v>
      </c>
      <c r="AO880" s="157">
        <f t="shared" si="3159"/>
        <v>3.5310204611567606</v>
      </c>
      <c r="AP880" s="157">
        <f t="shared" si="3159"/>
        <v>2.8561004682692315</v>
      </c>
      <c r="AQ880" s="157">
        <f t="shared" si="3159"/>
        <v>6.3853845709790216</v>
      </c>
      <c r="AR880" s="157">
        <f t="shared" si="3159"/>
        <v>3.5310204611567606</v>
      </c>
      <c r="AS880" s="157">
        <f t="shared" si="3159"/>
        <v>2.8561004682692315</v>
      </c>
      <c r="AT880" s="157">
        <f t="shared" si="3159"/>
        <v>6.3853845709790216</v>
      </c>
      <c r="AU880" s="157">
        <f t="shared" si="3159"/>
        <v>3.5310204611567606</v>
      </c>
      <c r="AV880" s="157">
        <f t="shared" si="3159"/>
        <v>2.8561004682692315</v>
      </c>
      <c r="AW880" s="157">
        <f t="shared" si="3159"/>
        <v>6.3853845709790216</v>
      </c>
      <c r="AX880" s="157">
        <f t="shared" si="3159"/>
        <v>3.5310204611567606</v>
      </c>
      <c r="AY880" s="157">
        <f t="shared" si="3159"/>
        <v>2.8561004682692315</v>
      </c>
      <c r="AZ880" s="157">
        <f t="shared" si="3159"/>
        <v>6.3853845709790216</v>
      </c>
      <c r="BA880" s="157">
        <f t="shared" si="3159"/>
        <v>3.5310204611567606</v>
      </c>
      <c r="BB880" s="157">
        <f t="shared" si="3159"/>
        <v>2.8561004682692315</v>
      </c>
      <c r="BC880" s="157">
        <f t="shared" si="3159"/>
        <v>6.3853845709790216</v>
      </c>
      <c r="BD880" s="157">
        <f t="shared" si="3159"/>
        <v>3.5310204611567606</v>
      </c>
      <c r="BE880" s="157">
        <f t="shared" si="3159"/>
        <v>2.8561004682692315</v>
      </c>
      <c r="BF880" s="157">
        <f t="shared" si="3159"/>
        <v>6.3853845709790216</v>
      </c>
      <c r="BG880" s="157">
        <f t="shared" si="3159"/>
        <v>3.5310204611567606</v>
      </c>
      <c r="BH880" s="157">
        <f t="shared" si="3159"/>
        <v>2.8561004682692315</v>
      </c>
      <c r="BI880" s="157">
        <f t="shared" si="3159"/>
        <v>6.3853845709790216</v>
      </c>
      <c r="BJ880" s="157">
        <f t="shared" si="3159"/>
        <v>3.5310204611567606</v>
      </c>
      <c r="BK880" s="157">
        <f t="shared" si="3159"/>
        <v>2.8561004682692315</v>
      </c>
      <c r="BL880" s="157">
        <f t="shared" si="3159"/>
        <v>6.3853845709790216</v>
      </c>
      <c r="BM880" s="157">
        <f t="shared" si="3159"/>
        <v>3.5310204611567606</v>
      </c>
      <c r="BN880" s="157">
        <f t="shared" si="3159"/>
        <v>2.8561004682692315</v>
      </c>
      <c r="BO880" s="157">
        <f t="shared" si="3159"/>
        <v>6.3853845709790216</v>
      </c>
      <c r="BP880" s="157">
        <f t="shared" si="3159"/>
        <v>3.5310204611567606</v>
      </c>
      <c r="BQ880" s="157">
        <f t="shared" si="3159"/>
        <v>2.8561004682692315</v>
      </c>
      <c r="BR880" s="157">
        <f t="shared" si="3159"/>
        <v>6.3853845709790216</v>
      </c>
    </row>
    <row r="881" spans="2:70" outlineLevel="2">
      <c r="B881" s="5"/>
      <c r="C881" s="511" t="s">
        <v>267</v>
      </c>
      <c r="D881" s="512" t="s">
        <v>85</v>
      </c>
      <c r="E881" s="512"/>
      <c r="F881" s="512"/>
      <c r="G881" s="512"/>
      <c r="H881" s="512"/>
      <c r="I881" s="512"/>
      <c r="J881" s="512"/>
      <c r="K881" s="512"/>
      <c r="L881" s="512"/>
      <c r="M881" s="512"/>
      <c r="N881" s="512"/>
      <c r="O881" s="512"/>
      <c r="P881" s="513"/>
      <c r="Q881" s="513"/>
      <c r="R881" s="513"/>
      <c r="S881" s="513"/>
      <c r="T881" s="513"/>
      <c r="U881" s="513"/>
      <c r="V881" s="513"/>
      <c r="W881" s="513"/>
      <c r="X881" s="513"/>
      <c r="Y881" s="513"/>
      <c r="Z881" s="514">
        <f>(Z869-W$869)*Z$263</f>
        <v>16.92031875</v>
      </c>
      <c r="AA881" s="514">
        <f>(AA869-X$869)*AA$263</f>
        <v>13.537675480769227</v>
      </c>
      <c r="AB881" s="514">
        <f t="shared" ref="AB881:AB883" si="3160">SUM(Z881:AA881)</f>
        <v>30.457994230769227</v>
      </c>
      <c r="AC881" s="514">
        <f>(AC869-Z$869)*AC$263</f>
        <v>0</v>
      </c>
      <c r="AD881" s="514">
        <f>(AD869-AA$869)*AD$263</f>
        <v>0</v>
      </c>
      <c r="AE881" s="514">
        <f t="shared" ref="AE881:AE883" si="3161">SUM(AC881:AD881)</f>
        <v>0</v>
      </c>
      <c r="AF881" s="514">
        <f>(AF869-AC$869)*AF$263</f>
        <v>0</v>
      </c>
      <c r="AG881" s="1020">
        <f>(AG869-AD$869)*AG$263</f>
        <v>0</v>
      </c>
      <c r="AH881" s="514">
        <f t="shared" ref="AH881:AH883" si="3162">SUM(AF881:AG881)</f>
        <v>0</v>
      </c>
      <c r="AI881" s="514">
        <f>(AI869-AF$869)*AI$263</f>
        <v>0</v>
      </c>
      <c r="AJ881" s="514">
        <f>(AJ869-AG$869)*AJ$263</f>
        <v>0</v>
      </c>
      <c r="AK881" s="514">
        <f t="shared" ref="AK881:AK883" si="3163">SUM(AI881:AJ881)</f>
        <v>0</v>
      </c>
      <c r="AL881" s="514">
        <f>(AL869-AI$869)*AL$263</f>
        <v>0</v>
      </c>
      <c r="AM881" s="514">
        <f>(AM869-AJ$869)*AM$263</f>
        <v>0</v>
      </c>
      <c r="AN881" s="514">
        <f t="shared" ref="AN881:AN883" si="3164">SUM(AL881:AM881)</f>
        <v>0</v>
      </c>
      <c r="AO881" s="514">
        <f>(AO869-AL$869)*AO$263</f>
        <v>0</v>
      </c>
      <c r="AP881" s="514">
        <f>(AP869-AM$869)*AP$263</f>
        <v>0</v>
      </c>
      <c r="AQ881" s="514">
        <f t="shared" ref="AQ881:AQ883" si="3165">SUM(AO881:AP881)</f>
        <v>0</v>
      </c>
      <c r="AR881" s="514">
        <f>(AR869-AO$869)*AR$263</f>
        <v>0</v>
      </c>
      <c r="AS881" s="514">
        <f>(AS869-AP$869)*AS$263</f>
        <v>0</v>
      </c>
      <c r="AT881" s="514">
        <f t="shared" ref="AT881:AT883" si="3166">SUM(AR881:AS881)</f>
        <v>0</v>
      </c>
      <c r="AU881" s="514">
        <f>(AU869-AR$869)*AU$263</f>
        <v>0</v>
      </c>
      <c r="AV881" s="514">
        <f>(AV869-AS$869)*AV$263</f>
        <v>0</v>
      </c>
      <c r="AW881" s="514">
        <f t="shared" ref="AW881:AW883" si="3167">SUM(AU881:AV881)</f>
        <v>0</v>
      </c>
      <c r="AX881" s="514">
        <f>(AX869-AU$869)*AX$263</f>
        <v>0</v>
      </c>
      <c r="AY881" s="514">
        <f>(AY869-AV$869)*AY$263</f>
        <v>0</v>
      </c>
      <c r="AZ881" s="514">
        <f t="shared" ref="AZ881:AZ883" si="3168">SUM(AX881:AY881)</f>
        <v>0</v>
      </c>
      <c r="BA881" s="514">
        <f>(BA869-AX$869)*BA$263</f>
        <v>0</v>
      </c>
      <c r="BB881" s="514">
        <f>(BB869-AY$869)*BB$263</f>
        <v>0</v>
      </c>
      <c r="BC881" s="514">
        <f t="shared" ref="BC881:BC883" si="3169">SUM(BA881:BB881)</f>
        <v>0</v>
      </c>
      <c r="BD881" s="514">
        <f>(BD869-BA$869)*BD$263</f>
        <v>0</v>
      </c>
      <c r="BE881" s="514">
        <f>(BE869-BB$869)*BE$263</f>
        <v>0</v>
      </c>
      <c r="BF881" s="514">
        <f t="shared" ref="BF881:BF883" si="3170">SUM(BD881:BE881)</f>
        <v>0</v>
      </c>
      <c r="BG881" s="514">
        <f>(BG869-BD$869)*BG$263</f>
        <v>0</v>
      </c>
      <c r="BH881" s="514">
        <f>(BH869-BE$869)*BH$263</f>
        <v>0</v>
      </c>
      <c r="BI881" s="514">
        <f t="shared" ref="BI881:BI883" si="3171">SUM(BG881:BH881)</f>
        <v>0</v>
      </c>
      <c r="BJ881" s="514">
        <f>(BJ869-BG$869)*BJ$263</f>
        <v>0</v>
      </c>
      <c r="BK881" s="514">
        <f>(BK869-BH$869)*BK$263</f>
        <v>0</v>
      </c>
      <c r="BL881" s="514">
        <f t="shared" ref="BL881:BL883" si="3172">SUM(BJ881:BK881)</f>
        <v>0</v>
      </c>
      <c r="BM881" s="514">
        <f>(BM869-BJ$869)*BM$263</f>
        <v>0</v>
      </c>
      <c r="BN881" s="514">
        <f>(BN869-BK$869)*BN$263</f>
        <v>0</v>
      </c>
      <c r="BO881" s="514">
        <f t="shared" ref="BO881:BO883" si="3173">SUM(BM881:BN881)</f>
        <v>0</v>
      </c>
      <c r="BP881" s="514">
        <f>(BP869-BM$869)*BP$263</f>
        <v>0</v>
      </c>
      <c r="BQ881" s="514">
        <f>(BQ869-BN$869)*BQ$263</f>
        <v>0</v>
      </c>
      <c r="BR881" s="515">
        <f t="shared" ref="BR881:BR883" si="3174">SUM(BP881:BQ881)</f>
        <v>0</v>
      </c>
    </row>
    <row r="882" spans="2:70" outlineLevel="2">
      <c r="B882" s="5"/>
      <c r="C882" s="516" t="s">
        <v>268</v>
      </c>
      <c r="D882" s="401" t="s">
        <v>85</v>
      </c>
      <c r="E882" s="401"/>
      <c r="F882" s="401"/>
      <c r="G882" s="401"/>
      <c r="H882" s="401"/>
      <c r="I882" s="401"/>
      <c r="J882" s="401"/>
      <c r="K882" s="401"/>
      <c r="L882" s="401"/>
      <c r="M882" s="401"/>
      <c r="N882" s="401"/>
      <c r="O882" s="401"/>
      <c r="P882" s="130"/>
      <c r="Q882" s="130"/>
      <c r="R882" s="130"/>
      <c r="S882" s="130"/>
      <c r="T882" s="130"/>
      <c r="U882" s="130"/>
      <c r="V882" s="130"/>
      <c r="W882" s="130"/>
      <c r="X882" s="130"/>
      <c r="Y882" s="130"/>
      <c r="Z882" s="171">
        <f>(Z872-W$872)*Z$263</f>
        <v>-0.5076095625</v>
      </c>
      <c r="AA882" s="171">
        <f>(AA872-X$872)*AA$263</f>
        <v>-0.40613026442307681</v>
      </c>
      <c r="AB882" s="171">
        <f t="shared" si="3160"/>
        <v>-0.91373982692307676</v>
      </c>
      <c r="AC882" s="171">
        <f>(AC872-Z$872)*AC$263</f>
        <v>0</v>
      </c>
      <c r="AD882" s="171">
        <f>(AD872-AA$872)*AD$263</f>
        <v>0</v>
      </c>
      <c r="AE882" s="171">
        <f t="shared" si="3161"/>
        <v>0</v>
      </c>
      <c r="AF882" s="171">
        <f>(AF872-AC$872)*AF$263</f>
        <v>0</v>
      </c>
      <c r="AG882" s="937">
        <f>(AG872-AD$872)*AG$263</f>
        <v>0</v>
      </c>
      <c r="AH882" s="171">
        <f t="shared" si="3162"/>
        <v>0</v>
      </c>
      <c r="AI882" s="171">
        <f>(AI872-AF$872)*AI$263</f>
        <v>0</v>
      </c>
      <c r="AJ882" s="171">
        <f>(AJ872-AG$872)*AJ$263</f>
        <v>0</v>
      </c>
      <c r="AK882" s="171">
        <f t="shared" si="3163"/>
        <v>0</v>
      </c>
      <c r="AL882" s="171">
        <f>(AL872-AI$872)*AL$263</f>
        <v>0</v>
      </c>
      <c r="AM882" s="171">
        <f>(AM872-AJ$872)*AM$263</f>
        <v>0</v>
      </c>
      <c r="AN882" s="171">
        <f t="shared" si="3164"/>
        <v>0</v>
      </c>
      <c r="AO882" s="171">
        <f>(AO872-AL$872)*AO$263</f>
        <v>0</v>
      </c>
      <c r="AP882" s="171">
        <f>(AP872-AM$872)*AP$263</f>
        <v>0</v>
      </c>
      <c r="AQ882" s="171">
        <f t="shared" si="3165"/>
        <v>0</v>
      </c>
      <c r="AR882" s="171">
        <f>(AR872-AO$872)*AR$263</f>
        <v>0</v>
      </c>
      <c r="AS882" s="171">
        <f>(AS872-AP$872)*AS$263</f>
        <v>0</v>
      </c>
      <c r="AT882" s="171">
        <f t="shared" si="3166"/>
        <v>0</v>
      </c>
      <c r="AU882" s="171">
        <f>(AU872-AR$872)*AU$263</f>
        <v>0</v>
      </c>
      <c r="AV882" s="171">
        <f>(AV872-AS$872)*AV$263</f>
        <v>0</v>
      </c>
      <c r="AW882" s="171">
        <f t="shared" si="3167"/>
        <v>0</v>
      </c>
      <c r="AX882" s="171">
        <f>(AX872-AU$872)*AX$263</f>
        <v>0</v>
      </c>
      <c r="AY882" s="171">
        <f>(AY872-AV$872)*AY$263</f>
        <v>0</v>
      </c>
      <c r="AZ882" s="171">
        <f t="shared" si="3168"/>
        <v>0</v>
      </c>
      <c r="BA882" s="171">
        <f>(BA872-AX$872)*BA$263</f>
        <v>0</v>
      </c>
      <c r="BB882" s="171">
        <f>(BB872-AY$872)*BB$263</f>
        <v>0</v>
      </c>
      <c r="BC882" s="171">
        <f t="shared" si="3169"/>
        <v>0</v>
      </c>
      <c r="BD882" s="171">
        <f>(BD872-BA$872)*BD$263</f>
        <v>0</v>
      </c>
      <c r="BE882" s="171">
        <f>(BE872-BB$872)*BE$263</f>
        <v>0</v>
      </c>
      <c r="BF882" s="171">
        <f t="shared" si="3170"/>
        <v>0</v>
      </c>
      <c r="BG882" s="171">
        <f>(BG872-BD$872)*BG$263</f>
        <v>0</v>
      </c>
      <c r="BH882" s="171">
        <f>(BH872-BE$872)*BH$263</f>
        <v>0</v>
      </c>
      <c r="BI882" s="171">
        <f t="shared" si="3171"/>
        <v>0</v>
      </c>
      <c r="BJ882" s="171">
        <f>(BJ872-BG$872)*BJ$263</f>
        <v>0</v>
      </c>
      <c r="BK882" s="171">
        <f>(BK872-BH$872)*BK$263</f>
        <v>0</v>
      </c>
      <c r="BL882" s="171">
        <f t="shared" si="3172"/>
        <v>0</v>
      </c>
      <c r="BM882" s="171">
        <f>(BM872-BJ$872)*BM$263</f>
        <v>0</v>
      </c>
      <c r="BN882" s="171">
        <f>(BN872-BK$872)*BN$263</f>
        <v>0</v>
      </c>
      <c r="BO882" s="171">
        <f t="shared" si="3173"/>
        <v>0</v>
      </c>
      <c r="BP882" s="171">
        <f>(BP872-BM$872)*BP$263</f>
        <v>0</v>
      </c>
      <c r="BQ882" s="171">
        <f>(BQ872-BN$872)*BQ$263</f>
        <v>0</v>
      </c>
      <c r="BR882" s="517">
        <f t="shared" si="3174"/>
        <v>0</v>
      </c>
    </row>
    <row r="883" spans="2:70" outlineLevel="2">
      <c r="B883" s="5"/>
      <c r="C883" s="518" t="s">
        <v>269</v>
      </c>
      <c r="D883" s="519" t="s">
        <v>85</v>
      </c>
      <c r="E883" s="519"/>
      <c r="F883" s="519"/>
      <c r="G883" s="519"/>
      <c r="H883" s="519"/>
      <c r="I883" s="519"/>
      <c r="J883" s="519"/>
      <c r="K883" s="519"/>
      <c r="L883" s="519"/>
      <c r="M883" s="519"/>
      <c r="N883" s="519"/>
      <c r="O883" s="519"/>
      <c r="P883" s="520"/>
      <c r="Q883" s="520"/>
      <c r="R883" s="520"/>
      <c r="S883" s="520"/>
      <c r="T883" s="520"/>
      <c r="U883" s="520"/>
      <c r="V883" s="520"/>
      <c r="W883" s="520"/>
      <c r="X883" s="520"/>
      <c r="Y883" s="520"/>
      <c r="Z883" s="521">
        <f>(Z878-W$878)*Z$263</f>
        <v>2.3213677812500002</v>
      </c>
      <c r="AA883" s="521">
        <f>(AA878-X$878)*AA$263</f>
        <v>1.9715310937499995</v>
      </c>
      <c r="AB883" s="521">
        <f t="shared" si="3160"/>
        <v>4.2928988749999997</v>
      </c>
      <c r="AC883" s="521">
        <f>(AC878-Z$878)*AC$263</f>
        <v>0.67534100815850817</v>
      </c>
      <c r="AD883" s="521">
        <f>(AD878-AA$878)*AD$263</f>
        <v>0.67178653846153857</v>
      </c>
      <c r="AE883" s="521">
        <f t="shared" si="3161"/>
        <v>1.3471275466200467</v>
      </c>
      <c r="AF883" s="521">
        <f>(AF878-AC$878)*AF$263</f>
        <v>0.65980816497086314</v>
      </c>
      <c r="AG883" s="1021">
        <f>(AG878-AD$878)*AG$263</f>
        <v>0</v>
      </c>
      <c r="AH883" s="521">
        <f t="shared" si="3162"/>
        <v>0.65980816497086314</v>
      </c>
      <c r="AI883" s="521">
        <f>(AI878-AF$878)*AI$263</f>
        <v>0</v>
      </c>
      <c r="AJ883" s="521">
        <f>(AJ878-AG$878)*AJ$263</f>
        <v>0</v>
      </c>
      <c r="AK883" s="521">
        <f t="shared" si="3163"/>
        <v>0</v>
      </c>
      <c r="AL883" s="521">
        <f>(AL878-AI$878)*AL$263</f>
        <v>0</v>
      </c>
      <c r="AM883" s="521">
        <f>(AM878-AJ$878)*AM$263</f>
        <v>0</v>
      </c>
      <c r="AN883" s="521">
        <f t="shared" si="3164"/>
        <v>0</v>
      </c>
      <c r="AO883" s="521">
        <f>(AO878-AL$878)*AO$263</f>
        <v>0</v>
      </c>
      <c r="AP883" s="521">
        <f>(AP878-AM$878)*AP$263</f>
        <v>0</v>
      </c>
      <c r="AQ883" s="521">
        <f t="shared" si="3165"/>
        <v>0</v>
      </c>
      <c r="AR883" s="521">
        <f>(AR878-AO$878)*AR$263</f>
        <v>0</v>
      </c>
      <c r="AS883" s="521">
        <f>(AS878-AP$878)*AS$263</f>
        <v>0</v>
      </c>
      <c r="AT883" s="521">
        <f t="shared" si="3166"/>
        <v>0</v>
      </c>
      <c r="AU883" s="521">
        <f>(AU878-AR$878)*AU$263</f>
        <v>0</v>
      </c>
      <c r="AV883" s="521">
        <f>(AV878-AS$878)*AV$263</f>
        <v>0</v>
      </c>
      <c r="AW883" s="521">
        <f t="shared" si="3167"/>
        <v>0</v>
      </c>
      <c r="AX883" s="521">
        <f>(AX878-AU$878)*AX$263</f>
        <v>0</v>
      </c>
      <c r="AY883" s="521">
        <f>(AY878-AV$878)*AY$263</f>
        <v>0</v>
      </c>
      <c r="AZ883" s="521">
        <f t="shared" si="3168"/>
        <v>0</v>
      </c>
      <c r="BA883" s="521">
        <f>(BA878-AX$878)*BA$263</f>
        <v>0</v>
      </c>
      <c r="BB883" s="521">
        <f>(BB878-AY$878)*BB$263</f>
        <v>0</v>
      </c>
      <c r="BC883" s="521">
        <f t="shared" si="3169"/>
        <v>0</v>
      </c>
      <c r="BD883" s="521">
        <f>(BD878-BA$878)*BD$263</f>
        <v>0</v>
      </c>
      <c r="BE883" s="521">
        <f>(BE878-BB$878)*BE$263</f>
        <v>0</v>
      </c>
      <c r="BF883" s="521">
        <f t="shared" si="3170"/>
        <v>0</v>
      </c>
      <c r="BG883" s="521">
        <f>(BG878-BD$878)*BG$263</f>
        <v>0</v>
      </c>
      <c r="BH883" s="521">
        <f>(BH878-BE$878)*BH$263</f>
        <v>0</v>
      </c>
      <c r="BI883" s="521">
        <f t="shared" si="3171"/>
        <v>0</v>
      </c>
      <c r="BJ883" s="521">
        <f>(BJ878-BG$878)*BJ$263</f>
        <v>0</v>
      </c>
      <c r="BK883" s="521">
        <f>(BK878-BH$878)*BK$263</f>
        <v>0</v>
      </c>
      <c r="BL883" s="521">
        <f t="shared" si="3172"/>
        <v>0</v>
      </c>
      <c r="BM883" s="521">
        <f>(BM878-BJ$878)*BM$263</f>
        <v>0</v>
      </c>
      <c r="BN883" s="521">
        <f>(BN878-BK$878)*BN$263</f>
        <v>0</v>
      </c>
      <c r="BO883" s="521">
        <f t="shared" si="3173"/>
        <v>0</v>
      </c>
      <c r="BP883" s="521">
        <f>(BP878-BM$878)*BP$263</f>
        <v>0</v>
      </c>
      <c r="BQ883" s="521">
        <f>(BQ878-BN$878)*BQ$263</f>
        <v>0</v>
      </c>
      <c r="BR883" s="522">
        <f t="shared" si="3174"/>
        <v>0</v>
      </c>
    </row>
    <row r="884" spans="2:70" outlineLevel="2">
      <c r="B884" s="5"/>
      <c r="C884" s="9"/>
      <c r="AI884" s="18"/>
      <c r="AJ884" s="18"/>
      <c r="AK884" s="18"/>
      <c r="AL884" s="18"/>
      <c r="AO884" s="18"/>
      <c r="AR884" s="18"/>
      <c r="AU884" s="18"/>
      <c r="AX884" s="18"/>
      <c r="BA884" s="18"/>
      <c r="BD884" s="18"/>
      <c r="BG884" s="18"/>
      <c r="BJ884" s="18"/>
      <c r="BM884" s="18"/>
      <c r="BP884" s="18"/>
    </row>
    <row r="885" spans="2:70" outlineLevel="2">
      <c r="B885" s="5"/>
      <c r="C885" s="8" t="s">
        <v>518</v>
      </c>
      <c r="AF885" s="26"/>
      <c r="AG885" s="933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8"/>
      <c r="BC885" s="18"/>
      <c r="BD885" s="18"/>
      <c r="BE885" s="18"/>
      <c r="BF885" s="18"/>
      <c r="BG885" s="18"/>
      <c r="BH885" s="18"/>
      <c r="BI885" s="18"/>
      <c r="BJ885" s="18"/>
      <c r="BK885" s="18"/>
      <c r="BL885" s="18"/>
      <c r="BM885" s="18"/>
      <c r="BN885" s="18"/>
      <c r="BO885" s="18"/>
      <c r="BP885" s="18"/>
      <c r="BQ885" s="18"/>
      <c r="BR885" s="18"/>
    </row>
    <row r="886" spans="2:70" outlineLevel="2">
      <c r="B886" s="5"/>
      <c r="C886" s="9" t="s">
        <v>266</v>
      </c>
      <c r="D886" s="31"/>
      <c r="S886" s="763" t="s">
        <v>517</v>
      </c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8"/>
      <c r="BC886" s="18"/>
      <c r="BD886" s="18"/>
      <c r="BE886" s="18"/>
      <c r="BF886" s="18"/>
      <c r="BG886" s="18"/>
      <c r="BH886" s="18"/>
      <c r="BI886" s="18"/>
      <c r="BJ886" s="18"/>
      <c r="BK886" s="18"/>
      <c r="BL886" s="18"/>
      <c r="BM886" s="18"/>
      <c r="BN886" s="18"/>
      <c r="BO886" s="18"/>
      <c r="BP886" s="18"/>
      <c r="BQ886" s="18"/>
      <c r="BR886" s="18"/>
    </row>
    <row r="887" spans="2:70" outlineLevel="2">
      <c r="B887" s="5"/>
      <c r="C887" s="9" t="s">
        <v>262</v>
      </c>
      <c r="D887" s="74"/>
      <c r="S887" s="764">
        <v>41971</v>
      </c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8"/>
      <c r="BC887" s="18"/>
      <c r="BD887" s="18"/>
      <c r="BE887" s="18"/>
      <c r="BF887" s="18"/>
      <c r="BG887" s="18"/>
      <c r="BH887" s="18"/>
      <c r="BI887" s="18"/>
      <c r="BJ887" s="18"/>
      <c r="BK887" s="18"/>
      <c r="BL887" s="18"/>
      <c r="BM887" s="18"/>
      <c r="BN887" s="18"/>
      <c r="BO887" s="18"/>
      <c r="BP887" s="18"/>
      <c r="BQ887" s="18"/>
      <c r="BR887" s="18"/>
    </row>
    <row r="888" spans="2:70" outlineLevel="2">
      <c r="B888" s="5"/>
      <c r="C888" s="84" t="s">
        <v>72</v>
      </c>
      <c r="D888" s="31" t="s">
        <v>102</v>
      </c>
      <c r="S888" s="765">
        <v>27</v>
      </c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8"/>
      <c r="BC888" s="18"/>
      <c r="BD888" s="18"/>
      <c r="BE888" s="18"/>
      <c r="BF888" s="18"/>
      <c r="BG888" s="18"/>
      <c r="BH888" s="18"/>
      <c r="BI888" s="18"/>
      <c r="BJ888" s="18"/>
      <c r="BK888" s="18"/>
      <c r="BL888" s="18"/>
      <c r="BM888" s="18"/>
      <c r="BN888" s="18"/>
      <c r="BO888" s="18"/>
      <c r="BP888" s="18"/>
      <c r="BQ888" s="18"/>
      <c r="BR888" s="18"/>
    </row>
    <row r="889" spans="2:70" outlineLevel="2">
      <c r="B889" s="5"/>
      <c r="C889" s="84" t="s">
        <v>76</v>
      </c>
      <c r="D889" s="74" t="s">
        <v>77</v>
      </c>
      <c r="S889" s="766">
        <v>7</v>
      </c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8"/>
      <c r="BC889" s="18"/>
      <c r="BD889" s="18"/>
      <c r="BE889" s="18"/>
      <c r="BF889" s="18"/>
      <c r="BG889" s="18"/>
      <c r="BH889" s="18"/>
      <c r="BI889" s="18"/>
      <c r="BJ889" s="18"/>
      <c r="BK889" s="18"/>
      <c r="BL889" s="18"/>
      <c r="BM889" s="18"/>
      <c r="BN889" s="18"/>
      <c r="BO889" s="18"/>
      <c r="BP889" s="18"/>
      <c r="BQ889" s="18"/>
      <c r="BR889" s="18"/>
    </row>
    <row r="890" spans="2:70" outlineLevel="2">
      <c r="B890" s="5"/>
      <c r="C890" s="84" t="s">
        <v>55</v>
      </c>
      <c r="D890" s="31" t="s">
        <v>102</v>
      </c>
      <c r="S890" s="765">
        <v>30</v>
      </c>
      <c r="W890" s="364">
        <f>S890*0.5*(1/6)</f>
        <v>2.5</v>
      </c>
      <c r="X890" s="364">
        <f>S890*0.5</f>
        <v>15</v>
      </c>
      <c r="Y890" s="167">
        <f>SUM(W890:X890)</f>
        <v>17.5</v>
      </c>
      <c r="Z890" s="149">
        <f>AB890*0.5</f>
        <v>15</v>
      </c>
      <c r="AA890" s="19">
        <f>AB890*0.5</f>
        <v>15</v>
      </c>
      <c r="AB890" s="389">
        <f>S890</f>
        <v>30</v>
      </c>
      <c r="AC890" s="149">
        <f t="shared" ref="AC890:AC891" si="3175">AE890*0.5</f>
        <v>15</v>
      </c>
      <c r="AD890" s="19">
        <f>AE890*0.5</f>
        <v>15</v>
      </c>
      <c r="AE890" s="389">
        <f>AB890</f>
        <v>30</v>
      </c>
      <c r="AF890" s="149">
        <f t="shared" ref="AF890:AF891" si="3176">AH890*0.5</f>
        <v>15</v>
      </c>
      <c r="AG890" s="943">
        <f>AH890*0.5</f>
        <v>15</v>
      </c>
      <c r="AH890" s="389">
        <f>AE890</f>
        <v>30</v>
      </c>
      <c r="AI890" s="149">
        <f t="shared" ref="AI890:AI891" si="3177">AK890*0.5</f>
        <v>15</v>
      </c>
      <c r="AJ890" s="19">
        <f>AK890*0.5</f>
        <v>15</v>
      </c>
      <c r="AK890" s="389">
        <f>AH890</f>
        <v>30</v>
      </c>
      <c r="AL890" s="149">
        <f t="shared" ref="AL890:AL891" si="3178">AN890*0.5</f>
        <v>15</v>
      </c>
      <c r="AM890" s="19">
        <f>AN890*0.5</f>
        <v>15</v>
      </c>
      <c r="AN890" s="389">
        <f>AK890</f>
        <v>30</v>
      </c>
      <c r="AO890" s="149">
        <f t="shared" ref="AO890:AO891" si="3179">AQ890*0.5</f>
        <v>15</v>
      </c>
      <c r="AP890" s="19">
        <f>AQ890*0.5</f>
        <v>15</v>
      </c>
      <c r="AQ890" s="389">
        <f>AN890</f>
        <v>30</v>
      </c>
      <c r="AR890" s="149">
        <f t="shared" ref="AR890:AR891" si="3180">AT890*0.5</f>
        <v>15</v>
      </c>
      <c r="AS890" s="19">
        <f>AT890*0.5</f>
        <v>15</v>
      </c>
      <c r="AT890" s="389">
        <f>AQ890</f>
        <v>30</v>
      </c>
      <c r="AU890" s="149">
        <f t="shared" ref="AU890:AU891" si="3181">AW890*0.5</f>
        <v>15</v>
      </c>
      <c r="AV890" s="19">
        <f>AW890*0.5</f>
        <v>15</v>
      </c>
      <c r="AW890" s="389">
        <f>AT890</f>
        <v>30</v>
      </c>
      <c r="AX890" s="149">
        <f t="shared" ref="AX890:AX891" si="3182">AZ890*0.5</f>
        <v>15</v>
      </c>
      <c r="AY890" s="19">
        <f>AZ890*0.5</f>
        <v>15</v>
      </c>
      <c r="AZ890" s="389">
        <f>AW890</f>
        <v>30</v>
      </c>
      <c r="BA890" s="149">
        <f t="shared" ref="BA890:BA891" si="3183">BC890*0.5</f>
        <v>15</v>
      </c>
      <c r="BB890" s="19">
        <f>BC890*0.5</f>
        <v>15</v>
      </c>
      <c r="BC890" s="389">
        <f>AZ890</f>
        <v>30</v>
      </c>
      <c r="BD890" s="149">
        <f t="shared" ref="BD890:BD891" si="3184">BF890*0.5</f>
        <v>15</v>
      </c>
      <c r="BE890" s="19">
        <f>BF890*0.5</f>
        <v>15</v>
      </c>
      <c r="BF890" s="389">
        <f>BC890</f>
        <v>30</v>
      </c>
      <c r="BG890" s="149">
        <f t="shared" ref="BG890:BG891" si="3185">BI890*0.5</f>
        <v>15</v>
      </c>
      <c r="BH890" s="19">
        <f>BI890*0.5</f>
        <v>15</v>
      </c>
      <c r="BI890" s="389">
        <f>BF890</f>
        <v>30</v>
      </c>
      <c r="BJ890" s="149">
        <f t="shared" ref="BJ890:BJ891" si="3186">BL890*0.5</f>
        <v>15</v>
      </c>
      <c r="BK890" s="19">
        <f>BL890*0.5</f>
        <v>15</v>
      </c>
      <c r="BL890" s="389">
        <f>BI890</f>
        <v>30</v>
      </c>
      <c r="BM890" s="149">
        <f t="shared" ref="BM890:BM891" si="3187">BO890*0.5</f>
        <v>15</v>
      </c>
      <c r="BN890" s="19">
        <f>BO890*0.5</f>
        <v>15</v>
      </c>
      <c r="BO890" s="389">
        <f>BL890</f>
        <v>30</v>
      </c>
      <c r="BP890" s="149">
        <f t="shared" ref="BP890:BP891" si="3188">BR890*0.5</f>
        <v>15</v>
      </c>
      <c r="BQ890" s="19">
        <f>BR890*0.5</f>
        <v>15</v>
      </c>
      <c r="BR890" s="389">
        <f>BO890</f>
        <v>30</v>
      </c>
    </row>
    <row r="891" spans="2:70" outlineLevel="2">
      <c r="B891" s="5"/>
      <c r="C891" s="84" t="s">
        <v>56</v>
      </c>
      <c r="D891" s="31" t="s">
        <v>102</v>
      </c>
      <c r="S891" s="767">
        <f>S888/S889</f>
        <v>3.8571428571428572</v>
      </c>
      <c r="W891" s="364">
        <f>S891*0.5*(1/6)</f>
        <v>0.3214285714285714</v>
      </c>
      <c r="X891" s="364">
        <f>S891*0.5</f>
        <v>1.9285714285714286</v>
      </c>
      <c r="Y891" s="167">
        <f>SUM(W891:X891)</f>
        <v>2.25</v>
      </c>
      <c r="Z891" s="149">
        <f>AB891*0.5</f>
        <v>1.9285714285714284</v>
      </c>
      <c r="AA891" s="19">
        <f>AB891*0.5</f>
        <v>1.9285714285714284</v>
      </c>
      <c r="AB891" s="167">
        <f>AB890*AB892</f>
        <v>3.8571428571428568</v>
      </c>
      <c r="AC891" s="149">
        <f t="shared" si="3175"/>
        <v>1.9285714285714284</v>
      </c>
      <c r="AD891" s="19">
        <f>AE891*0.5</f>
        <v>1.9285714285714284</v>
      </c>
      <c r="AE891" s="167">
        <f t="shared" ref="AE891" si="3189">AE890*AE892</f>
        <v>3.8571428571428568</v>
      </c>
      <c r="AF891" s="149">
        <f t="shared" si="3176"/>
        <v>1.9285714285714284</v>
      </c>
      <c r="AG891" s="943">
        <f>AH891*0.5</f>
        <v>1.9285714285714284</v>
      </c>
      <c r="AH891" s="167">
        <f t="shared" ref="AH891" si="3190">AH890*AH892</f>
        <v>3.8571428571428568</v>
      </c>
      <c r="AI891" s="149">
        <f t="shared" si="3177"/>
        <v>1.9285714285714284</v>
      </c>
      <c r="AJ891" s="19">
        <f>AK891*0.5</f>
        <v>1.9285714285714284</v>
      </c>
      <c r="AK891" s="167">
        <f t="shared" ref="AK891" si="3191">AK890*AK892</f>
        <v>3.8571428571428568</v>
      </c>
      <c r="AL891" s="149">
        <f t="shared" si="3178"/>
        <v>1.9285714285714284</v>
      </c>
      <c r="AM891" s="19">
        <f>AN891*0.5</f>
        <v>1.9285714285714284</v>
      </c>
      <c r="AN891" s="167">
        <f t="shared" ref="AN891" si="3192">AN890*AN892</f>
        <v>3.8571428571428568</v>
      </c>
      <c r="AO891" s="149">
        <f t="shared" si="3179"/>
        <v>1.9285714285714284</v>
      </c>
      <c r="AP891" s="19">
        <f>AQ891*0.5</f>
        <v>1.9285714285714284</v>
      </c>
      <c r="AQ891" s="167">
        <f t="shared" ref="AQ891" si="3193">AQ890*AQ892</f>
        <v>3.8571428571428568</v>
      </c>
      <c r="AR891" s="149">
        <f t="shared" si="3180"/>
        <v>1.9285714285714284</v>
      </c>
      <c r="AS891" s="19">
        <f>AT891*0.5</f>
        <v>1.9285714285714284</v>
      </c>
      <c r="AT891" s="167">
        <f t="shared" ref="AT891" si="3194">AT890*AT892</f>
        <v>3.8571428571428568</v>
      </c>
      <c r="AU891" s="149">
        <f t="shared" si="3181"/>
        <v>1.9285714285714284</v>
      </c>
      <c r="AV891" s="19">
        <f>AW891*0.5</f>
        <v>1.9285714285714284</v>
      </c>
      <c r="AW891" s="167">
        <f t="shared" ref="AW891" si="3195">AW890*AW892</f>
        <v>3.8571428571428568</v>
      </c>
      <c r="AX891" s="149">
        <f t="shared" si="3182"/>
        <v>1.9285714285714284</v>
      </c>
      <c r="AY891" s="19">
        <f>AZ891*0.5</f>
        <v>1.9285714285714284</v>
      </c>
      <c r="AZ891" s="167">
        <f t="shared" ref="AZ891" si="3196">AZ890*AZ892</f>
        <v>3.8571428571428568</v>
      </c>
      <c r="BA891" s="149">
        <f t="shared" si="3183"/>
        <v>1.9285714285714284</v>
      </c>
      <c r="BB891" s="19">
        <f>BC891*0.5</f>
        <v>1.9285714285714284</v>
      </c>
      <c r="BC891" s="167">
        <f t="shared" ref="BC891" si="3197">BC890*BC892</f>
        <v>3.8571428571428568</v>
      </c>
      <c r="BD891" s="149">
        <f t="shared" si="3184"/>
        <v>1.9285714285714284</v>
      </c>
      <c r="BE891" s="19">
        <f>BF891*0.5</f>
        <v>1.9285714285714284</v>
      </c>
      <c r="BF891" s="167">
        <f t="shared" ref="BF891" si="3198">BF890*BF892</f>
        <v>3.8571428571428568</v>
      </c>
      <c r="BG891" s="149">
        <f t="shared" si="3185"/>
        <v>1.9285714285714284</v>
      </c>
      <c r="BH891" s="19">
        <f>BI891*0.5</f>
        <v>1.9285714285714284</v>
      </c>
      <c r="BI891" s="167">
        <f t="shared" ref="BI891" si="3199">BI890*BI892</f>
        <v>3.8571428571428568</v>
      </c>
      <c r="BJ891" s="149">
        <f t="shared" si="3186"/>
        <v>1.9285714285714284</v>
      </c>
      <c r="BK891" s="19">
        <f>BL891*0.5</f>
        <v>1.9285714285714284</v>
      </c>
      <c r="BL891" s="167">
        <f t="shared" ref="BL891" si="3200">BL890*BL892</f>
        <v>3.8571428571428568</v>
      </c>
      <c r="BM891" s="149">
        <f t="shared" si="3187"/>
        <v>1.9285714285714284</v>
      </c>
      <c r="BN891" s="19">
        <f>BO891*0.5</f>
        <v>1.9285714285714284</v>
      </c>
      <c r="BO891" s="167">
        <f t="shared" ref="BO891" si="3201">BO890*BO892</f>
        <v>3.8571428571428568</v>
      </c>
      <c r="BP891" s="149">
        <f t="shared" si="3188"/>
        <v>1.9285714285714284</v>
      </c>
      <c r="BQ891" s="19">
        <f>BR891*0.5</f>
        <v>1.9285714285714284</v>
      </c>
      <c r="BR891" s="167">
        <f t="shared" ref="BR891" si="3202">BR890*BR892</f>
        <v>3.8571428571428568</v>
      </c>
    </row>
    <row r="892" spans="2:70" outlineLevel="2">
      <c r="B892" s="5"/>
      <c r="C892" s="84" t="s">
        <v>73</v>
      </c>
      <c r="D892" s="31" t="s">
        <v>66</v>
      </c>
      <c r="S892" s="768">
        <f>S891/S890</f>
        <v>0.12857142857142859</v>
      </c>
      <c r="W892" s="133">
        <f t="shared" ref="W892:AA892" si="3203">W891/W890</f>
        <v>0.12857142857142856</v>
      </c>
      <c r="X892" s="133">
        <f t="shared" si="3203"/>
        <v>0.12857142857142859</v>
      </c>
      <c r="Y892" s="133">
        <f t="shared" si="3203"/>
        <v>0.12857142857142856</v>
      </c>
      <c r="Z892" s="133">
        <f t="shared" si="3203"/>
        <v>0.12857142857142856</v>
      </c>
      <c r="AA892" s="133">
        <f t="shared" si="3203"/>
        <v>0.12857142857142856</v>
      </c>
      <c r="AB892" s="133">
        <f>Y892</f>
        <v>0.12857142857142856</v>
      </c>
      <c r="AC892" s="133">
        <f t="shared" ref="AC892" si="3204">AC891/AC890</f>
        <v>0.12857142857142856</v>
      </c>
      <c r="AD892" s="133">
        <f t="shared" ref="AD892" si="3205">AD891/AD890</f>
        <v>0.12857142857142856</v>
      </c>
      <c r="AE892" s="133">
        <f t="shared" ref="AE892" si="3206">AB892</f>
        <v>0.12857142857142856</v>
      </c>
      <c r="AF892" s="133">
        <f t="shared" ref="AF892:AG892" si="3207">AF891/AF890</f>
        <v>0.12857142857142856</v>
      </c>
      <c r="AG892" s="938">
        <f t="shared" si="3207"/>
        <v>0.12857142857142856</v>
      </c>
      <c r="AH892" s="133">
        <f t="shared" ref="AH892" si="3208">AE892</f>
        <v>0.12857142857142856</v>
      </c>
      <c r="AI892" s="133">
        <f t="shared" ref="AI892:AJ892" si="3209">AI891/AI890</f>
        <v>0.12857142857142856</v>
      </c>
      <c r="AJ892" s="133">
        <f t="shared" si="3209"/>
        <v>0.12857142857142856</v>
      </c>
      <c r="AK892" s="133">
        <f t="shared" ref="AK892" si="3210">AH892</f>
        <v>0.12857142857142856</v>
      </c>
      <c r="AL892" s="133">
        <f t="shared" ref="AL892:AM892" si="3211">AL891/AL890</f>
        <v>0.12857142857142856</v>
      </c>
      <c r="AM892" s="133">
        <f t="shared" si="3211"/>
        <v>0.12857142857142856</v>
      </c>
      <c r="AN892" s="133">
        <f t="shared" ref="AN892" si="3212">AK892</f>
        <v>0.12857142857142856</v>
      </c>
      <c r="AO892" s="133">
        <f t="shared" ref="AO892:AP892" si="3213">AO891/AO890</f>
        <v>0.12857142857142856</v>
      </c>
      <c r="AP892" s="133">
        <f t="shared" si="3213"/>
        <v>0.12857142857142856</v>
      </c>
      <c r="AQ892" s="133">
        <f t="shared" ref="AQ892" si="3214">AN892</f>
        <v>0.12857142857142856</v>
      </c>
      <c r="AR892" s="133">
        <f t="shared" ref="AR892:AS892" si="3215">AR891/AR890</f>
        <v>0.12857142857142856</v>
      </c>
      <c r="AS892" s="133">
        <f t="shared" si="3215"/>
        <v>0.12857142857142856</v>
      </c>
      <c r="AT892" s="133">
        <f t="shared" ref="AT892" si="3216">AQ892</f>
        <v>0.12857142857142856</v>
      </c>
      <c r="AU892" s="133">
        <f t="shared" ref="AU892:AV892" si="3217">AU891/AU890</f>
        <v>0.12857142857142856</v>
      </c>
      <c r="AV892" s="133">
        <f t="shared" si="3217"/>
        <v>0.12857142857142856</v>
      </c>
      <c r="AW892" s="133">
        <f t="shared" ref="AW892" si="3218">AT892</f>
        <v>0.12857142857142856</v>
      </c>
      <c r="AX892" s="133">
        <f t="shared" ref="AX892:AY892" si="3219">AX891/AX890</f>
        <v>0.12857142857142856</v>
      </c>
      <c r="AY892" s="133">
        <f t="shared" si="3219"/>
        <v>0.12857142857142856</v>
      </c>
      <c r="AZ892" s="133">
        <f t="shared" ref="AZ892" si="3220">AW892</f>
        <v>0.12857142857142856</v>
      </c>
      <c r="BA892" s="133">
        <f t="shared" ref="BA892:BB892" si="3221">BA891/BA890</f>
        <v>0.12857142857142856</v>
      </c>
      <c r="BB892" s="133">
        <f t="shared" si="3221"/>
        <v>0.12857142857142856</v>
      </c>
      <c r="BC892" s="133">
        <f t="shared" ref="BC892" si="3222">AZ892</f>
        <v>0.12857142857142856</v>
      </c>
      <c r="BD892" s="133">
        <f t="shared" ref="BD892:BE892" si="3223">BD891/BD890</f>
        <v>0.12857142857142856</v>
      </c>
      <c r="BE892" s="133">
        <f t="shared" si="3223"/>
        <v>0.12857142857142856</v>
      </c>
      <c r="BF892" s="133">
        <f t="shared" ref="BF892" si="3224">BC892</f>
        <v>0.12857142857142856</v>
      </c>
      <c r="BG892" s="133">
        <f t="shared" ref="BG892:BH892" si="3225">BG891/BG890</f>
        <v>0.12857142857142856</v>
      </c>
      <c r="BH892" s="133">
        <f t="shared" si="3225"/>
        <v>0.12857142857142856</v>
      </c>
      <c r="BI892" s="133">
        <f t="shared" ref="BI892" si="3226">BF892</f>
        <v>0.12857142857142856</v>
      </c>
      <c r="BJ892" s="133">
        <f t="shared" ref="BJ892:BK892" si="3227">BJ891/BJ890</f>
        <v>0.12857142857142856</v>
      </c>
      <c r="BK892" s="133">
        <f t="shared" si="3227"/>
        <v>0.12857142857142856</v>
      </c>
      <c r="BL892" s="133">
        <f t="shared" ref="BL892" si="3228">BI892</f>
        <v>0.12857142857142856</v>
      </c>
      <c r="BM892" s="133">
        <f t="shared" ref="BM892:BN892" si="3229">BM891/BM890</f>
        <v>0.12857142857142856</v>
      </c>
      <c r="BN892" s="133">
        <f t="shared" si="3229"/>
        <v>0.12857142857142856</v>
      </c>
      <c r="BO892" s="133">
        <f t="shared" ref="BO892" si="3230">BL892</f>
        <v>0.12857142857142856</v>
      </c>
      <c r="BP892" s="133">
        <f t="shared" ref="BP892:BQ892" si="3231">BP891/BP890</f>
        <v>0.12857142857142856</v>
      </c>
      <c r="BQ892" s="133">
        <f t="shared" si="3231"/>
        <v>0.12857142857142856</v>
      </c>
      <c r="BR892" s="133">
        <f t="shared" ref="BR892" si="3232">BO892</f>
        <v>0.12857142857142856</v>
      </c>
    </row>
    <row r="893" spans="2:70" outlineLevel="2">
      <c r="B893" s="5"/>
      <c r="C893" s="84" t="s">
        <v>65</v>
      </c>
      <c r="D893" s="31" t="s">
        <v>102</v>
      </c>
      <c r="S893" s="769">
        <f>S890*-3%</f>
        <v>-0.89999999999999991</v>
      </c>
      <c r="W893" s="364">
        <f>S893*0.5*(1/6)</f>
        <v>-7.4999999999999983E-2</v>
      </c>
      <c r="X893" s="364">
        <f>S893*0.5</f>
        <v>-0.44999999999999996</v>
      </c>
      <c r="Y893" s="175">
        <f>SUM(W893:X893)</f>
        <v>-0.52499999999999991</v>
      </c>
      <c r="Z893" s="370">
        <f>AB893*0.5</f>
        <v>-0.4499999999999999</v>
      </c>
      <c r="AA893" s="370">
        <f>AB893*0.5</f>
        <v>-0.4499999999999999</v>
      </c>
      <c r="AB893" s="360">
        <f>Y893*(AB890/Y890)</f>
        <v>-0.8999999999999998</v>
      </c>
      <c r="AC893" s="370">
        <f t="shared" ref="AC893" si="3233">AE893*0.5</f>
        <v>-0.4499999999999999</v>
      </c>
      <c r="AD893" s="370">
        <f>AE893*0.5</f>
        <v>-0.4499999999999999</v>
      </c>
      <c r="AE893" s="360">
        <f t="shared" ref="AE893" si="3234">AB893*(AE890/AB890)</f>
        <v>-0.8999999999999998</v>
      </c>
      <c r="AF893" s="370">
        <f t="shared" ref="AF893" si="3235">AH893*0.5</f>
        <v>-0.4499999999999999</v>
      </c>
      <c r="AG893" s="1032">
        <f>AH893*0.5</f>
        <v>-0.4499999999999999</v>
      </c>
      <c r="AH893" s="360">
        <f t="shared" ref="AH893" si="3236">AE893*(AH890/AE890)</f>
        <v>-0.8999999999999998</v>
      </c>
      <c r="AI893" s="370">
        <f t="shared" ref="AI893" si="3237">AK893*0.5</f>
        <v>-0.4499999999999999</v>
      </c>
      <c r="AJ893" s="370">
        <f>AK893*0.5</f>
        <v>-0.4499999999999999</v>
      </c>
      <c r="AK893" s="360">
        <f t="shared" ref="AK893" si="3238">AH893*(AK890/AH890)</f>
        <v>-0.8999999999999998</v>
      </c>
      <c r="AL893" s="370">
        <f t="shared" ref="AL893" si="3239">AN893*0.5</f>
        <v>-0.4499999999999999</v>
      </c>
      <c r="AM893" s="370">
        <f>AN893*0.5</f>
        <v>-0.4499999999999999</v>
      </c>
      <c r="AN893" s="360">
        <f t="shared" ref="AN893" si="3240">AK893*(AN890/AK890)</f>
        <v>-0.8999999999999998</v>
      </c>
      <c r="AO893" s="370">
        <f t="shared" ref="AO893" si="3241">AQ893*0.5</f>
        <v>-0.4499999999999999</v>
      </c>
      <c r="AP893" s="370">
        <f>AQ893*0.5</f>
        <v>-0.4499999999999999</v>
      </c>
      <c r="AQ893" s="360">
        <f t="shared" ref="AQ893" si="3242">AN893*(AQ890/AN890)</f>
        <v>-0.8999999999999998</v>
      </c>
      <c r="AR893" s="370">
        <f t="shared" ref="AR893" si="3243">AT893*0.5</f>
        <v>-0.4499999999999999</v>
      </c>
      <c r="AS893" s="370">
        <f>AT893*0.5</f>
        <v>-0.4499999999999999</v>
      </c>
      <c r="AT893" s="360">
        <f t="shared" ref="AT893" si="3244">AQ893*(AT890/AQ890)</f>
        <v>-0.8999999999999998</v>
      </c>
      <c r="AU893" s="370">
        <f t="shared" ref="AU893" si="3245">AW893*0.5</f>
        <v>-0.4499999999999999</v>
      </c>
      <c r="AV893" s="370">
        <f>AW893*0.5</f>
        <v>-0.4499999999999999</v>
      </c>
      <c r="AW893" s="360">
        <f t="shared" ref="AW893" si="3246">AT893*(AW890/AT890)</f>
        <v>-0.8999999999999998</v>
      </c>
      <c r="AX893" s="370">
        <f t="shared" ref="AX893" si="3247">AZ893*0.5</f>
        <v>-0.4499999999999999</v>
      </c>
      <c r="AY893" s="370">
        <f>AZ893*0.5</f>
        <v>-0.4499999999999999</v>
      </c>
      <c r="AZ893" s="360">
        <f t="shared" ref="AZ893" si="3248">AW893*(AZ890/AW890)</f>
        <v>-0.8999999999999998</v>
      </c>
      <c r="BA893" s="370">
        <f t="shared" ref="BA893" si="3249">BC893*0.5</f>
        <v>-0.4499999999999999</v>
      </c>
      <c r="BB893" s="370">
        <f>BC893*0.5</f>
        <v>-0.4499999999999999</v>
      </c>
      <c r="BC893" s="360">
        <f t="shared" ref="BC893" si="3250">AZ893*(BC890/AZ890)</f>
        <v>-0.8999999999999998</v>
      </c>
      <c r="BD893" s="370">
        <f t="shared" ref="BD893" si="3251">BF893*0.5</f>
        <v>-0.4499999999999999</v>
      </c>
      <c r="BE893" s="370">
        <f>BF893*0.5</f>
        <v>-0.4499999999999999</v>
      </c>
      <c r="BF893" s="360">
        <f t="shared" ref="BF893" si="3252">BC893*(BF890/BC890)</f>
        <v>-0.8999999999999998</v>
      </c>
      <c r="BG893" s="370">
        <f t="shared" ref="BG893" si="3253">BI893*0.5</f>
        <v>-0.4499999999999999</v>
      </c>
      <c r="BH893" s="370">
        <f>BI893*0.5</f>
        <v>-0.4499999999999999</v>
      </c>
      <c r="BI893" s="360">
        <f t="shared" ref="BI893" si="3254">BF893*(BI890/BF890)</f>
        <v>-0.8999999999999998</v>
      </c>
      <c r="BJ893" s="370">
        <f t="shared" ref="BJ893" si="3255">BL893*0.5</f>
        <v>-0.4499999999999999</v>
      </c>
      <c r="BK893" s="370">
        <f>BL893*0.5</f>
        <v>-0.4499999999999999</v>
      </c>
      <c r="BL893" s="360">
        <f t="shared" ref="BL893" si="3256">BI893*(BL890/BI890)</f>
        <v>-0.8999999999999998</v>
      </c>
      <c r="BM893" s="370">
        <f t="shared" ref="BM893" si="3257">BO893*0.5</f>
        <v>-0.4499999999999999</v>
      </c>
      <c r="BN893" s="370">
        <f>BO893*0.5</f>
        <v>-0.4499999999999999</v>
      </c>
      <c r="BO893" s="360">
        <f t="shared" ref="BO893" si="3258">BL893*(BO890/BL890)</f>
        <v>-0.8999999999999998</v>
      </c>
      <c r="BP893" s="370">
        <f t="shared" ref="BP893" si="3259">BR893*0.5</f>
        <v>-0.4499999999999999</v>
      </c>
      <c r="BQ893" s="370">
        <f>BR893*0.5</f>
        <v>-0.4499999999999999</v>
      </c>
      <c r="BR893" s="360">
        <f t="shared" ref="BR893" si="3260">BO893*(BR890/BO890)</f>
        <v>-0.8999999999999998</v>
      </c>
    </row>
    <row r="894" spans="2:70" outlineLevel="2">
      <c r="B894" s="5"/>
      <c r="C894" s="84" t="s">
        <v>78</v>
      </c>
      <c r="D894" s="31" t="s">
        <v>102</v>
      </c>
      <c r="S894" s="770">
        <f>S891+S893</f>
        <v>2.9571428571428573</v>
      </c>
      <c r="W894" s="360">
        <f>W891+W893</f>
        <v>0.24642857142857141</v>
      </c>
      <c r="X894" s="360">
        <f>X891+X893</f>
        <v>1.4785714285714286</v>
      </c>
      <c r="Y894" s="167">
        <f>SUM(W894:X894)</f>
        <v>1.7250000000000001</v>
      </c>
      <c r="Z894" s="167">
        <f>Z891+Z893</f>
        <v>1.4785714285714284</v>
      </c>
      <c r="AA894" s="167">
        <f>AA891+AA893</f>
        <v>1.4785714285714284</v>
      </c>
      <c r="AB894" s="172">
        <f>SUM(Z894:AA894)</f>
        <v>2.9571428571428569</v>
      </c>
      <c r="AC894" s="167">
        <f t="shared" ref="AC894" si="3261">AC891+AC893</f>
        <v>1.4785714285714284</v>
      </c>
      <c r="AD894" s="167">
        <f t="shared" ref="AD894" si="3262">AD891+AD893</f>
        <v>1.4785714285714284</v>
      </c>
      <c r="AE894" s="172">
        <f t="shared" ref="AE894" si="3263">SUM(AC894:AD894)</f>
        <v>2.9571428571428569</v>
      </c>
      <c r="AF894" s="167">
        <f t="shared" ref="AF894:AG894" si="3264">AF891+AF893</f>
        <v>1.4785714285714284</v>
      </c>
      <c r="AG894" s="1017">
        <f t="shared" si="3264"/>
        <v>1.4785714285714284</v>
      </c>
      <c r="AH894" s="172">
        <f t="shared" ref="AH894" si="3265">SUM(AF894:AG894)</f>
        <v>2.9571428571428569</v>
      </c>
      <c r="AI894" s="167">
        <f t="shared" ref="AI894:AJ894" si="3266">AI891+AI893</f>
        <v>1.4785714285714284</v>
      </c>
      <c r="AJ894" s="167">
        <f t="shared" si="3266"/>
        <v>1.4785714285714284</v>
      </c>
      <c r="AK894" s="172">
        <f t="shared" ref="AK894" si="3267">SUM(AI894:AJ894)</f>
        <v>2.9571428571428569</v>
      </c>
      <c r="AL894" s="167">
        <f t="shared" ref="AL894:AM894" si="3268">AL891+AL893</f>
        <v>1.4785714285714284</v>
      </c>
      <c r="AM894" s="167">
        <f t="shared" si="3268"/>
        <v>1.4785714285714284</v>
      </c>
      <c r="AN894" s="172">
        <f t="shared" ref="AN894" si="3269">SUM(AL894:AM894)</f>
        <v>2.9571428571428569</v>
      </c>
      <c r="AO894" s="167">
        <f t="shared" ref="AO894:AP894" si="3270">AO891+AO893</f>
        <v>1.4785714285714284</v>
      </c>
      <c r="AP894" s="167">
        <f t="shared" si="3270"/>
        <v>1.4785714285714284</v>
      </c>
      <c r="AQ894" s="172">
        <f t="shared" ref="AQ894" si="3271">SUM(AO894:AP894)</f>
        <v>2.9571428571428569</v>
      </c>
      <c r="AR894" s="167">
        <f t="shared" ref="AR894:AS894" si="3272">AR891+AR893</f>
        <v>1.4785714285714284</v>
      </c>
      <c r="AS894" s="167">
        <f t="shared" si="3272"/>
        <v>1.4785714285714284</v>
      </c>
      <c r="AT894" s="172">
        <f t="shared" ref="AT894" si="3273">SUM(AR894:AS894)</f>
        <v>2.9571428571428569</v>
      </c>
      <c r="AU894" s="167">
        <f t="shared" ref="AU894:AV894" si="3274">AU891+AU893</f>
        <v>1.4785714285714284</v>
      </c>
      <c r="AV894" s="167">
        <f t="shared" si="3274"/>
        <v>1.4785714285714284</v>
      </c>
      <c r="AW894" s="172">
        <f t="shared" ref="AW894" si="3275">SUM(AU894:AV894)</f>
        <v>2.9571428571428569</v>
      </c>
      <c r="AX894" s="167">
        <f t="shared" ref="AX894:AY894" si="3276">AX891+AX893</f>
        <v>1.4785714285714284</v>
      </c>
      <c r="AY894" s="167">
        <f t="shared" si="3276"/>
        <v>1.4785714285714284</v>
      </c>
      <c r="AZ894" s="172">
        <f t="shared" ref="AZ894" si="3277">SUM(AX894:AY894)</f>
        <v>2.9571428571428569</v>
      </c>
      <c r="BA894" s="167">
        <f t="shared" ref="BA894:BB894" si="3278">BA891+BA893</f>
        <v>1.4785714285714284</v>
      </c>
      <c r="BB894" s="167">
        <f t="shared" si="3278"/>
        <v>1.4785714285714284</v>
      </c>
      <c r="BC894" s="172">
        <f t="shared" ref="BC894" si="3279">SUM(BA894:BB894)</f>
        <v>2.9571428571428569</v>
      </c>
      <c r="BD894" s="167">
        <f t="shared" ref="BD894:BE894" si="3280">BD891+BD893</f>
        <v>1.4785714285714284</v>
      </c>
      <c r="BE894" s="167">
        <f t="shared" si="3280"/>
        <v>1.4785714285714284</v>
      </c>
      <c r="BF894" s="172">
        <f t="shared" ref="BF894" si="3281">SUM(BD894:BE894)</f>
        <v>2.9571428571428569</v>
      </c>
      <c r="BG894" s="167">
        <f t="shared" ref="BG894:BH894" si="3282">BG891+BG893</f>
        <v>1.4785714285714284</v>
      </c>
      <c r="BH894" s="167">
        <f t="shared" si="3282"/>
        <v>1.4785714285714284</v>
      </c>
      <c r="BI894" s="172">
        <f t="shared" ref="BI894" si="3283">SUM(BG894:BH894)</f>
        <v>2.9571428571428569</v>
      </c>
      <c r="BJ894" s="167">
        <f t="shared" ref="BJ894:BK894" si="3284">BJ891+BJ893</f>
        <v>1.4785714285714284</v>
      </c>
      <c r="BK894" s="167">
        <f t="shared" si="3284"/>
        <v>1.4785714285714284</v>
      </c>
      <c r="BL894" s="172">
        <f t="shared" ref="BL894" si="3285">SUM(BJ894:BK894)</f>
        <v>2.9571428571428569</v>
      </c>
      <c r="BM894" s="167">
        <f t="shared" ref="BM894:BN894" si="3286">BM891+BM893</f>
        <v>1.4785714285714284</v>
      </c>
      <c r="BN894" s="167">
        <f t="shared" si="3286"/>
        <v>1.4785714285714284</v>
      </c>
      <c r="BO894" s="172">
        <f t="shared" ref="BO894" si="3287">SUM(BM894:BN894)</f>
        <v>2.9571428571428569</v>
      </c>
      <c r="BP894" s="167">
        <f t="shared" ref="BP894:BQ894" si="3288">BP891+BP893</f>
        <v>1.4785714285714284</v>
      </c>
      <c r="BQ894" s="167">
        <f t="shared" si="3288"/>
        <v>1.4785714285714284</v>
      </c>
      <c r="BR894" s="172">
        <f t="shared" ref="BR894" si="3289">SUM(BP894:BQ894)</f>
        <v>2.9571428571428569</v>
      </c>
    </row>
    <row r="895" spans="2:70" outlineLevel="2">
      <c r="B895" s="5"/>
      <c r="C895" s="84" t="s">
        <v>74</v>
      </c>
      <c r="D895" s="31" t="s">
        <v>66</v>
      </c>
      <c r="S895" s="768">
        <f>S894/S890</f>
        <v>9.8571428571428574E-2</v>
      </c>
      <c r="W895" s="133">
        <f>W894/W890</f>
        <v>9.857142857142856E-2</v>
      </c>
      <c r="X895" s="133">
        <f>X894/X890</f>
        <v>9.8571428571428574E-2</v>
      </c>
      <c r="Y895" s="162">
        <f t="shared" ref="Y895:AE895" si="3290">Y894/Y890</f>
        <v>9.8571428571428574E-2</v>
      </c>
      <c r="Z895" s="162">
        <f t="shared" si="3290"/>
        <v>9.857142857142856E-2</v>
      </c>
      <c r="AA895" s="133">
        <f t="shared" si="3290"/>
        <v>9.857142857142856E-2</v>
      </c>
      <c r="AB895" s="162">
        <f t="shared" si="3290"/>
        <v>9.857142857142856E-2</v>
      </c>
      <c r="AC895" s="162">
        <f t="shared" si="3290"/>
        <v>9.857142857142856E-2</v>
      </c>
      <c r="AD895" s="133">
        <f t="shared" si="3290"/>
        <v>9.857142857142856E-2</v>
      </c>
      <c r="AE895" s="162">
        <f t="shared" si="3290"/>
        <v>9.857142857142856E-2</v>
      </c>
      <c r="AF895" s="162">
        <f t="shared" ref="AF895:AN895" si="3291">AF894/AF890</f>
        <v>9.857142857142856E-2</v>
      </c>
      <c r="AG895" s="938">
        <f t="shared" si="3291"/>
        <v>9.857142857142856E-2</v>
      </c>
      <c r="AH895" s="162">
        <f t="shared" si="3291"/>
        <v>9.857142857142856E-2</v>
      </c>
      <c r="AI895" s="162">
        <f t="shared" si="3291"/>
        <v>9.857142857142856E-2</v>
      </c>
      <c r="AJ895" s="133">
        <f t="shared" si="3291"/>
        <v>9.857142857142856E-2</v>
      </c>
      <c r="AK895" s="162">
        <f t="shared" si="3291"/>
        <v>9.857142857142856E-2</v>
      </c>
      <c r="AL895" s="162">
        <f t="shared" si="3291"/>
        <v>9.857142857142856E-2</v>
      </c>
      <c r="AM895" s="133">
        <f t="shared" si="3291"/>
        <v>9.857142857142856E-2</v>
      </c>
      <c r="AN895" s="162">
        <f t="shared" si="3291"/>
        <v>9.857142857142856E-2</v>
      </c>
      <c r="AO895" s="162">
        <f t="shared" ref="AO895:BR895" si="3292">AO894/AO890</f>
        <v>9.857142857142856E-2</v>
      </c>
      <c r="AP895" s="133">
        <f t="shared" si="3292"/>
        <v>9.857142857142856E-2</v>
      </c>
      <c r="AQ895" s="162">
        <f t="shared" si="3292"/>
        <v>9.857142857142856E-2</v>
      </c>
      <c r="AR895" s="162">
        <f t="shared" si="3292"/>
        <v>9.857142857142856E-2</v>
      </c>
      <c r="AS895" s="133">
        <f t="shared" si="3292"/>
        <v>9.857142857142856E-2</v>
      </c>
      <c r="AT895" s="162">
        <f t="shared" si="3292"/>
        <v>9.857142857142856E-2</v>
      </c>
      <c r="AU895" s="162">
        <f t="shared" si="3292"/>
        <v>9.857142857142856E-2</v>
      </c>
      <c r="AV895" s="133">
        <f t="shared" si="3292"/>
        <v>9.857142857142856E-2</v>
      </c>
      <c r="AW895" s="162">
        <f t="shared" si="3292"/>
        <v>9.857142857142856E-2</v>
      </c>
      <c r="AX895" s="162">
        <f t="shared" si="3292"/>
        <v>9.857142857142856E-2</v>
      </c>
      <c r="AY895" s="133">
        <f t="shared" si="3292"/>
        <v>9.857142857142856E-2</v>
      </c>
      <c r="AZ895" s="162">
        <f t="shared" si="3292"/>
        <v>9.857142857142856E-2</v>
      </c>
      <c r="BA895" s="162">
        <f t="shared" si="3292"/>
        <v>9.857142857142856E-2</v>
      </c>
      <c r="BB895" s="133">
        <f t="shared" si="3292"/>
        <v>9.857142857142856E-2</v>
      </c>
      <c r="BC895" s="162">
        <f t="shared" si="3292"/>
        <v>9.857142857142856E-2</v>
      </c>
      <c r="BD895" s="162">
        <f t="shared" si="3292"/>
        <v>9.857142857142856E-2</v>
      </c>
      <c r="BE895" s="133">
        <f t="shared" si="3292"/>
        <v>9.857142857142856E-2</v>
      </c>
      <c r="BF895" s="162">
        <f t="shared" si="3292"/>
        <v>9.857142857142856E-2</v>
      </c>
      <c r="BG895" s="162">
        <f t="shared" si="3292"/>
        <v>9.857142857142856E-2</v>
      </c>
      <c r="BH895" s="133">
        <f t="shared" si="3292"/>
        <v>9.857142857142856E-2</v>
      </c>
      <c r="BI895" s="162">
        <f t="shared" si="3292"/>
        <v>9.857142857142856E-2</v>
      </c>
      <c r="BJ895" s="162">
        <f t="shared" si="3292"/>
        <v>9.857142857142856E-2</v>
      </c>
      <c r="BK895" s="133">
        <f t="shared" si="3292"/>
        <v>9.857142857142856E-2</v>
      </c>
      <c r="BL895" s="162">
        <f t="shared" si="3292"/>
        <v>9.857142857142856E-2</v>
      </c>
      <c r="BM895" s="162">
        <f t="shared" si="3292"/>
        <v>9.857142857142856E-2</v>
      </c>
      <c r="BN895" s="133">
        <f t="shared" si="3292"/>
        <v>9.857142857142856E-2</v>
      </c>
      <c r="BO895" s="162">
        <f t="shared" si="3292"/>
        <v>9.857142857142856E-2</v>
      </c>
      <c r="BP895" s="162">
        <f t="shared" si="3292"/>
        <v>9.857142857142856E-2</v>
      </c>
      <c r="BQ895" s="133">
        <f t="shared" si="3292"/>
        <v>9.857142857142856E-2</v>
      </c>
      <c r="BR895" s="162">
        <f t="shared" si="3292"/>
        <v>9.857142857142856E-2</v>
      </c>
    </row>
    <row r="896" spans="2:70" outlineLevel="2">
      <c r="B896" s="5"/>
      <c r="C896" s="84" t="s">
        <v>90</v>
      </c>
      <c r="D896" s="31" t="s">
        <v>102</v>
      </c>
      <c r="S896" s="770">
        <f>S899-S894</f>
        <v>2.4428571428571431</v>
      </c>
      <c r="W896" s="404">
        <v>0</v>
      </c>
      <c r="X896" s="404">
        <v>0.4</v>
      </c>
      <c r="Y896" s="156">
        <f>SUM(W896:X896)</f>
        <v>0.4</v>
      </c>
      <c r="Z896" s="404">
        <v>1</v>
      </c>
      <c r="AA896" s="404">
        <v>1</v>
      </c>
      <c r="AB896" s="156">
        <f>SUM(Z896:AA896)</f>
        <v>2</v>
      </c>
      <c r="AC896" s="404">
        <v>1</v>
      </c>
      <c r="AD896" s="404">
        <v>1</v>
      </c>
      <c r="AE896" s="157">
        <f>SUM(AC896:AD896)</f>
        <v>2</v>
      </c>
      <c r="AF896" s="402">
        <v>0</v>
      </c>
      <c r="AG896" s="1030">
        <v>0</v>
      </c>
      <c r="AH896" s="156">
        <f>SUM(AF896:AG896)</f>
        <v>0</v>
      </c>
      <c r="AI896" s="404">
        <v>0</v>
      </c>
      <c r="AJ896" s="404">
        <v>0</v>
      </c>
      <c r="AK896" s="156">
        <f>SUM(AI896:AJ896)</f>
        <v>0</v>
      </c>
      <c r="AL896" s="404">
        <v>0</v>
      </c>
      <c r="AM896" s="404">
        <v>0</v>
      </c>
      <c r="AN896" s="156">
        <f>SUM(AL896:AM896)</f>
        <v>0</v>
      </c>
      <c r="AO896" s="404">
        <v>0</v>
      </c>
      <c r="AP896" s="404">
        <v>0</v>
      </c>
      <c r="AQ896" s="156">
        <f>SUM(AO896:AP896)</f>
        <v>0</v>
      </c>
      <c r="AR896" s="404">
        <v>0</v>
      </c>
      <c r="AS896" s="404">
        <v>0</v>
      </c>
      <c r="AT896" s="156">
        <f>SUM(AR896:AS896)</f>
        <v>0</v>
      </c>
      <c r="AU896" s="404">
        <v>0</v>
      </c>
      <c r="AV896" s="404">
        <v>0</v>
      </c>
      <c r="AW896" s="156">
        <f>SUM(AU896:AV896)</f>
        <v>0</v>
      </c>
      <c r="AX896" s="404">
        <v>0</v>
      </c>
      <c r="AY896" s="404">
        <v>0</v>
      </c>
      <c r="AZ896" s="156">
        <f>SUM(AX896:AY896)</f>
        <v>0</v>
      </c>
      <c r="BA896" s="404">
        <v>0</v>
      </c>
      <c r="BB896" s="404">
        <v>0</v>
      </c>
      <c r="BC896" s="156">
        <f>SUM(BA896:BB896)</f>
        <v>0</v>
      </c>
      <c r="BD896" s="404">
        <v>0</v>
      </c>
      <c r="BE896" s="404">
        <v>0</v>
      </c>
      <c r="BF896" s="156">
        <f>SUM(BD896:BE896)</f>
        <v>0</v>
      </c>
      <c r="BG896" s="404">
        <v>0</v>
      </c>
      <c r="BH896" s="404">
        <v>0</v>
      </c>
      <c r="BI896" s="156">
        <f>SUM(BG896:BH896)</f>
        <v>0</v>
      </c>
      <c r="BJ896" s="404">
        <v>0</v>
      </c>
      <c r="BK896" s="404">
        <v>0</v>
      </c>
      <c r="BL896" s="156">
        <f>SUM(BJ896:BK896)</f>
        <v>0</v>
      </c>
      <c r="BM896" s="404">
        <v>0</v>
      </c>
      <c r="BN896" s="404">
        <v>0</v>
      </c>
      <c r="BO896" s="156">
        <f>SUM(BM896:BN896)</f>
        <v>0</v>
      </c>
      <c r="BP896" s="404">
        <v>0</v>
      </c>
      <c r="BQ896" s="404">
        <v>0</v>
      </c>
      <c r="BR896" s="156">
        <f>SUM(BP896:BQ896)</f>
        <v>0</v>
      </c>
    </row>
    <row r="897" spans="2:70" outlineLevel="2">
      <c r="B897" s="5"/>
      <c r="C897" s="84" t="s">
        <v>89</v>
      </c>
      <c r="D897" s="31"/>
      <c r="S897" s="771"/>
      <c r="W897" s="156">
        <f>T897+W896</f>
        <v>0</v>
      </c>
      <c r="X897" s="156">
        <f>T897+X896</f>
        <v>0.4</v>
      </c>
      <c r="Y897" s="156">
        <f>P897+Y896</f>
        <v>0.4</v>
      </c>
      <c r="Z897" s="156">
        <f>W897+Z896</f>
        <v>1</v>
      </c>
      <c r="AA897" s="156">
        <f>W897+AA896</f>
        <v>1</v>
      </c>
      <c r="AB897" s="156">
        <f>SUM(Z897:AA897)</f>
        <v>2</v>
      </c>
      <c r="AC897" s="156">
        <f t="shared" ref="AC897" si="3293">Z897+AC896</f>
        <v>2</v>
      </c>
      <c r="AD897" s="156">
        <f t="shared" ref="AD897" si="3294">AA897+AD896</f>
        <v>2</v>
      </c>
      <c r="AE897" s="157">
        <f t="shared" ref="AE897" si="3295">SUM(AC897:AD897)</f>
        <v>4</v>
      </c>
      <c r="AF897" s="157">
        <f t="shared" ref="AF897" si="3296">AC897+AF896</f>
        <v>2</v>
      </c>
      <c r="AG897" s="1031">
        <f t="shared" ref="AG897" si="3297">AD897+AG896</f>
        <v>2</v>
      </c>
      <c r="AH897" s="157">
        <f t="shared" ref="AH897" si="3298">SUM(AF897:AG897)</f>
        <v>4</v>
      </c>
      <c r="AI897" s="156">
        <f t="shared" ref="AI897" si="3299">AF897+AI896</f>
        <v>2</v>
      </c>
      <c r="AJ897" s="156">
        <f t="shared" ref="AJ897" si="3300">AG897+AJ896</f>
        <v>2</v>
      </c>
      <c r="AK897" s="157">
        <f t="shared" ref="AK897" si="3301">SUM(AI897:AJ897)</f>
        <v>4</v>
      </c>
      <c r="AL897" s="156">
        <f t="shared" ref="AL897" si="3302">AI897+AL896</f>
        <v>2</v>
      </c>
      <c r="AM897" s="156">
        <f t="shared" ref="AM897" si="3303">AJ897+AM896</f>
        <v>2</v>
      </c>
      <c r="AN897" s="157">
        <f t="shared" ref="AN897" si="3304">SUM(AL897:AM897)</f>
        <v>4</v>
      </c>
      <c r="AO897" s="156">
        <f t="shared" ref="AO897" si="3305">AL897+AO896</f>
        <v>2</v>
      </c>
      <c r="AP897" s="156">
        <f t="shared" ref="AP897" si="3306">AM897+AP896</f>
        <v>2</v>
      </c>
      <c r="AQ897" s="157">
        <f t="shared" ref="AQ897" si="3307">SUM(AO897:AP897)</f>
        <v>4</v>
      </c>
      <c r="AR897" s="156">
        <f t="shared" ref="AR897" si="3308">AO897+AR896</f>
        <v>2</v>
      </c>
      <c r="AS897" s="156">
        <f t="shared" ref="AS897" si="3309">AP897+AS896</f>
        <v>2</v>
      </c>
      <c r="AT897" s="157">
        <f t="shared" ref="AT897" si="3310">SUM(AR897:AS897)</f>
        <v>4</v>
      </c>
      <c r="AU897" s="156">
        <f t="shared" ref="AU897" si="3311">AR897+AU896</f>
        <v>2</v>
      </c>
      <c r="AV897" s="156">
        <f t="shared" ref="AV897" si="3312">AS897+AV896</f>
        <v>2</v>
      </c>
      <c r="AW897" s="157">
        <f t="shared" ref="AW897" si="3313">SUM(AU897:AV897)</f>
        <v>4</v>
      </c>
      <c r="AX897" s="156">
        <f t="shared" ref="AX897" si="3314">AU897+AX896</f>
        <v>2</v>
      </c>
      <c r="AY897" s="156">
        <f t="shared" ref="AY897" si="3315">AV897+AY896</f>
        <v>2</v>
      </c>
      <c r="AZ897" s="157">
        <f t="shared" ref="AZ897" si="3316">SUM(AX897:AY897)</f>
        <v>4</v>
      </c>
      <c r="BA897" s="156">
        <f t="shared" ref="BA897" si="3317">AX897+BA896</f>
        <v>2</v>
      </c>
      <c r="BB897" s="156">
        <f t="shared" ref="BB897" si="3318">AY897+BB896</f>
        <v>2</v>
      </c>
      <c r="BC897" s="157">
        <f t="shared" ref="BC897" si="3319">SUM(BA897:BB897)</f>
        <v>4</v>
      </c>
      <c r="BD897" s="156">
        <f t="shared" ref="BD897" si="3320">BA897+BD896</f>
        <v>2</v>
      </c>
      <c r="BE897" s="156">
        <f t="shared" ref="BE897" si="3321">BB897+BE896</f>
        <v>2</v>
      </c>
      <c r="BF897" s="157">
        <f t="shared" ref="BF897" si="3322">SUM(BD897:BE897)</f>
        <v>4</v>
      </c>
      <c r="BG897" s="156">
        <f t="shared" ref="BG897" si="3323">BD897+BG896</f>
        <v>2</v>
      </c>
      <c r="BH897" s="156">
        <f t="shared" ref="BH897" si="3324">BE897+BH896</f>
        <v>2</v>
      </c>
      <c r="BI897" s="157">
        <f t="shared" ref="BI897" si="3325">SUM(BG897:BH897)</f>
        <v>4</v>
      </c>
      <c r="BJ897" s="156">
        <f t="shared" ref="BJ897" si="3326">BG897+BJ896</f>
        <v>2</v>
      </c>
      <c r="BK897" s="156">
        <f t="shared" ref="BK897" si="3327">BH897+BK896</f>
        <v>2</v>
      </c>
      <c r="BL897" s="157">
        <f t="shared" ref="BL897" si="3328">SUM(BJ897:BK897)</f>
        <v>4</v>
      </c>
      <c r="BM897" s="156">
        <f t="shared" ref="BM897" si="3329">BJ897+BM896</f>
        <v>2</v>
      </c>
      <c r="BN897" s="156">
        <f t="shared" ref="BN897" si="3330">BK897+BN896</f>
        <v>2</v>
      </c>
      <c r="BO897" s="157">
        <f t="shared" ref="BO897" si="3331">SUM(BM897:BN897)</f>
        <v>4</v>
      </c>
      <c r="BP897" s="156">
        <f t="shared" ref="BP897" si="3332">BM897+BP896</f>
        <v>2</v>
      </c>
      <c r="BQ897" s="156">
        <f t="shared" ref="BQ897" si="3333">BN897+BQ896</f>
        <v>2</v>
      </c>
      <c r="BR897" s="157">
        <f t="shared" ref="BR897" si="3334">SUM(BP897:BQ897)</f>
        <v>4</v>
      </c>
    </row>
    <row r="898" spans="2:70" outlineLevel="2">
      <c r="B898" s="5"/>
      <c r="C898" s="84" t="s">
        <v>264</v>
      </c>
      <c r="D898" s="31" t="s">
        <v>66</v>
      </c>
      <c r="S898" s="768">
        <f>S896/S890</f>
        <v>8.1428571428571433E-2</v>
      </c>
      <c r="Y898" s="156"/>
      <c r="Z898" s="156"/>
      <c r="AA898" s="156"/>
      <c r="AB898" s="156"/>
      <c r="AC898" s="156"/>
      <c r="AD898" s="156"/>
      <c r="AE898" s="157"/>
      <c r="AF898" s="157"/>
      <c r="AG898" s="1031"/>
      <c r="AH898" s="157"/>
      <c r="AI898" s="156"/>
      <c r="AJ898" s="156"/>
      <c r="AK898" s="157"/>
      <c r="AL898" s="156"/>
      <c r="AM898" s="156"/>
      <c r="AN898" s="157"/>
      <c r="AO898" s="156"/>
      <c r="AP898" s="156"/>
      <c r="AQ898" s="157"/>
      <c r="AR898" s="156"/>
      <c r="AS898" s="156"/>
      <c r="AT898" s="157"/>
      <c r="AU898" s="156"/>
      <c r="AV898" s="156"/>
      <c r="AW898" s="157"/>
      <c r="AX898" s="156"/>
      <c r="AY898" s="156"/>
      <c r="AZ898" s="157"/>
      <c r="BA898" s="156"/>
      <c r="BB898" s="156"/>
      <c r="BC898" s="157"/>
      <c r="BD898" s="156"/>
      <c r="BE898" s="156"/>
      <c r="BF898" s="157"/>
      <c r="BG898" s="156"/>
      <c r="BH898" s="156"/>
      <c r="BI898" s="157"/>
      <c r="BJ898" s="156"/>
      <c r="BK898" s="156"/>
      <c r="BL898" s="157"/>
      <c r="BM898" s="156"/>
      <c r="BN898" s="156"/>
      <c r="BO898" s="157"/>
      <c r="BP898" s="156"/>
      <c r="BQ898" s="156"/>
      <c r="BR898" s="157"/>
    </row>
    <row r="899" spans="2:70" outlineLevel="2">
      <c r="B899" s="5"/>
      <c r="C899" s="84" t="s">
        <v>79</v>
      </c>
      <c r="D899" s="31" t="s">
        <v>102</v>
      </c>
      <c r="S899" s="771">
        <f>S888*S900</f>
        <v>5.4</v>
      </c>
      <c r="W899" s="34">
        <f t="shared" ref="W899:X899" si="3335">W897+W894</f>
        <v>0.24642857142857141</v>
      </c>
      <c r="X899" s="34">
        <f t="shared" si="3335"/>
        <v>1.8785714285714286</v>
      </c>
      <c r="Y899" s="167">
        <f>SUM(W899:X899)</f>
        <v>2.125</v>
      </c>
      <c r="Z899" s="13">
        <f t="shared" ref="Z899:AE899" si="3336">Z897+Z894</f>
        <v>2.4785714285714286</v>
      </c>
      <c r="AA899" s="13">
        <f t="shared" si="3336"/>
        <v>2.4785714285714286</v>
      </c>
      <c r="AB899" s="13">
        <f t="shared" si="3336"/>
        <v>4.9571428571428573</v>
      </c>
      <c r="AC899" s="13">
        <f t="shared" si="3336"/>
        <v>3.4785714285714286</v>
      </c>
      <c r="AD899" s="13">
        <f t="shared" si="3336"/>
        <v>3.4785714285714286</v>
      </c>
      <c r="AE899" s="164">
        <f t="shared" si="3336"/>
        <v>6.9571428571428573</v>
      </c>
      <c r="AF899" s="164">
        <f t="shared" ref="AF899:AN899" si="3337">AF897+AF894</f>
        <v>3.4785714285714286</v>
      </c>
      <c r="AG899" s="1018">
        <f t="shared" si="3337"/>
        <v>3.4785714285714286</v>
      </c>
      <c r="AH899" s="164">
        <f t="shared" si="3337"/>
        <v>6.9571428571428573</v>
      </c>
      <c r="AI899" s="13">
        <f t="shared" si="3337"/>
        <v>3.4785714285714286</v>
      </c>
      <c r="AJ899" s="13">
        <f t="shared" si="3337"/>
        <v>3.4785714285714286</v>
      </c>
      <c r="AK899" s="164">
        <f t="shared" si="3337"/>
        <v>6.9571428571428573</v>
      </c>
      <c r="AL899" s="13">
        <f t="shared" si="3337"/>
        <v>3.4785714285714286</v>
      </c>
      <c r="AM899" s="13">
        <f t="shared" si="3337"/>
        <v>3.4785714285714286</v>
      </c>
      <c r="AN899" s="164">
        <f t="shared" si="3337"/>
        <v>6.9571428571428573</v>
      </c>
      <c r="AO899" s="13">
        <f t="shared" ref="AO899:BR899" si="3338">AO897+AO894</f>
        <v>3.4785714285714286</v>
      </c>
      <c r="AP899" s="13">
        <f t="shared" si="3338"/>
        <v>3.4785714285714286</v>
      </c>
      <c r="AQ899" s="164">
        <f t="shared" si="3338"/>
        <v>6.9571428571428573</v>
      </c>
      <c r="AR899" s="13">
        <f t="shared" si="3338"/>
        <v>3.4785714285714286</v>
      </c>
      <c r="AS899" s="13">
        <f t="shared" si="3338"/>
        <v>3.4785714285714286</v>
      </c>
      <c r="AT899" s="164">
        <f t="shared" si="3338"/>
        <v>6.9571428571428573</v>
      </c>
      <c r="AU899" s="13">
        <f t="shared" si="3338"/>
        <v>3.4785714285714286</v>
      </c>
      <c r="AV899" s="13">
        <f t="shared" si="3338"/>
        <v>3.4785714285714286</v>
      </c>
      <c r="AW899" s="164">
        <f t="shared" si="3338"/>
        <v>6.9571428571428573</v>
      </c>
      <c r="AX899" s="13">
        <f t="shared" si="3338"/>
        <v>3.4785714285714286</v>
      </c>
      <c r="AY899" s="13">
        <f t="shared" si="3338"/>
        <v>3.4785714285714286</v>
      </c>
      <c r="AZ899" s="164">
        <f t="shared" si="3338"/>
        <v>6.9571428571428573</v>
      </c>
      <c r="BA899" s="13">
        <f t="shared" si="3338"/>
        <v>3.4785714285714286</v>
      </c>
      <c r="BB899" s="13">
        <f t="shared" si="3338"/>
        <v>3.4785714285714286</v>
      </c>
      <c r="BC899" s="164">
        <f t="shared" si="3338"/>
        <v>6.9571428571428573</v>
      </c>
      <c r="BD899" s="13">
        <f t="shared" si="3338"/>
        <v>3.4785714285714286</v>
      </c>
      <c r="BE899" s="13">
        <f t="shared" si="3338"/>
        <v>3.4785714285714286</v>
      </c>
      <c r="BF899" s="164">
        <f t="shared" si="3338"/>
        <v>6.9571428571428573</v>
      </c>
      <c r="BG899" s="13">
        <f t="shared" si="3338"/>
        <v>3.4785714285714286</v>
      </c>
      <c r="BH899" s="13">
        <f t="shared" si="3338"/>
        <v>3.4785714285714286</v>
      </c>
      <c r="BI899" s="164">
        <f t="shared" si="3338"/>
        <v>6.9571428571428573</v>
      </c>
      <c r="BJ899" s="13">
        <f t="shared" si="3338"/>
        <v>3.4785714285714286</v>
      </c>
      <c r="BK899" s="13">
        <f t="shared" si="3338"/>
        <v>3.4785714285714286</v>
      </c>
      <c r="BL899" s="164">
        <f t="shared" si="3338"/>
        <v>6.9571428571428573</v>
      </c>
      <c r="BM899" s="13">
        <f t="shared" si="3338"/>
        <v>3.4785714285714286</v>
      </c>
      <c r="BN899" s="13">
        <f t="shared" si="3338"/>
        <v>3.4785714285714286</v>
      </c>
      <c r="BO899" s="164">
        <f t="shared" si="3338"/>
        <v>6.9571428571428573</v>
      </c>
      <c r="BP899" s="13">
        <f t="shared" si="3338"/>
        <v>3.4785714285714286</v>
      </c>
      <c r="BQ899" s="13">
        <f t="shared" si="3338"/>
        <v>3.4785714285714286</v>
      </c>
      <c r="BR899" s="164">
        <f t="shared" si="3338"/>
        <v>6.9571428571428573</v>
      </c>
    </row>
    <row r="900" spans="2:70" outlineLevel="2">
      <c r="B900" s="5"/>
      <c r="C900" s="84" t="s">
        <v>75</v>
      </c>
      <c r="D900" s="31" t="s">
        <v>66</v>
      </c>
      <c r="S900" s="773">
        <v>0.2</v>
      </c>
      <c r="W900" s="20">
        <f>W899/$S888*2</f>
        <v>1.8253968253968252E-2</v>
      </c>
      <c r="X900" s="20">
        <f>X899/$S888*2</f>
        <v>0.13915343915343914</v>
      </c>
      <c r="Y900" s="20">
        <f>Y899/$S888</f>
        <v>7.8703703703703706E-2</v>
      </c>
      <c r="Z900" s="20">
        <f>Z899/$S888*2</f>
        <v>0.18359788359788359</v>
      </c>
      <c r="AA900" s="20">
        <f>AA899/$S888*2</f>
        <v>0.18359788359788359</v>
      </c>
      <c r="AB900" s="20">
        <f>AB899/$S888</f>
        <v>0.18359788359788359</v>
      </c>
      <c r="AC900" s="20">
        <f>AC899/$S888*2</f>
        <v>0.25767195767195766</v>
      </c>
      <c r="AD900" s="20">
        <f>AD899/$S888*2</f>
        <v>0.25767195767195766</v>
      </c>
      <c r="AE900" s="133">
        <f>AE899/$S888</f>
        <v>0.25767195767195766</v>
      </c>
      <c r="AF900" s="133">
        <f>AF899/$S888*2</f>
        <v>0.25767195767195766</v>
      </c>
      <c r="AG900" s="938">
        <f>AG899/$S888*2</f>
        <v>0.25767195767195766</v>
      </c>
      <c r="AH900" s="133">
        <f>AH899/$S888</f>
        <v>0.25767195767195766</v>
      </c>
      <c r="AI900" s="20">
        <f>AI899/$S888*2</f>
        <v>0.25767195767195766</v>
      </c>
      <c r="AJ900" s="20">
        <f>AJ899/$S888*2</f>
        <v>0.25767195767195766</v>
      </c>
      <c r="AK900" s="133">
        <f>AK899/$S888</f>
        <v>0.25767195767195766</v>
      </c>
      <c r="AL900" s="20">
        <f>AL899/$S888*2</f>
        <v>0.25767195767195766</v>
      </c>
      <c r="AM900" s="20">
        <f>AM899/$S888*2</f>
        <v>0.25767195767195766</v>
      </c>
      <c r="AN900" s="133">
        <f>AN899/$S888</f>
        <v>0.25767195767195766</v>
      </c>
      <c r="AO900" s="20">
        <f>AO899/$S888*2</f>
        <v>0.25767195767195766</v>
      </c>
      <c r="AP900" s="20">
        <f>AP899/$S888*2</f>
        <v>0.25767195767195766</v>
      </c>
      <c r="AQ900" s="133">
        <f>AQ899/$S888</f>
        <v>0.25767195767195766</v>
      </c>
      <c r="AR900" s="20">
        <f>AR899/$S888*2</f>
        <v>0.25767195767195766</v>
      </c>
      <c r="AS900" s="20">
        <f>AS899/$S888*2</f>
        <v>0.25767195767195766</v>
      </c>
      <c r="AT900" s="133">
        <f>AT899/$S888</f>
        <v>0.25767195767195766</v>
      </c>
      <c r="AU900" s="20">
        <f>AU899/$S888*2</f>
        <v>0.25767195767195766</v>
      </c>
      <c r="AV900" s="20">
        <f>AV899/$S888*2</f>
        <v>0.25767195767195766</v>
      </c>
      <c r="AW900" s="133">
        <f>AW899/$S888</f>
        <v>0.25767195767195766</v>
      </c>
      <c r="AX900" s="20">
        <f>AX899/$S888*2</f>
        <v>0.25767195767195766</v>
      </c>
      <c r="AY900" s="20">
        <f>AY899/$S888*2</f>
        <v>0.25767195767195766</v>
      </c>
      <c r="AZ900" s="133">
        <f>AZ899/$S888</f>
        <v>0.25767195767195766</v>
      </c>
      <c r="BA900" s="20">
        <f>BA899/$S888*2</f>
        <v>0.25767195767195766</v>
      </c>
      <c r="BB900" s="20">
        <f>BB899/$S888*2</f>
        <v>0.25767195767195766</v>
      </c>
      <c r="BC900" s="133">
        <f>BC899/$S888</f>
        <v>0.25767195767195766</v>
      </c>
      <c r="BD900" s="20">
        <f>BD899/$S888*2</f>
        <v>0.25767195767195766</v>
      </c>
      <c r="BE900" s="20">
        <f>BE899/$S888*2</f>
        <v>0.25767195767195766</v>
      </c>
      <c r="BF900" s="133">
        <f>BF899/$S888</f>
        <v>0.25767195767195766</v>
      </c>
      <c r="BG900" s="20">
        <f>BG899/$S888*2</f>
        <v>0.25767195767195766</v>
      </c>
      <c r="BH900" s="20">
        <f>BH899/$S888*2</f>
        <v>0.25767195767195766</v>
      </c>
      <c r="BI900" s="133">
        <f>BI899/$S888</f>
        <v>0.25767195767195766</v>
      </c>
      <c r="BJ900" s="20">
        <f>BJ899/$S888*2</f>
        <v>0.25767195767195766</v>
      </c>
      <c r="BK900" s="20">
        <f>BK899/$S888*2</f>
        <v>0.25767195767195766</v>
      </c>
      <c r="BL900" s="133">
        <f>BL899/$S888</f>
        <v>0.25767195767195766</v>
      </c>
      <c r="BM900" s="20">
        <f>BM899/$S888*2</f>
        <v>0.25767195767195766</v>
      </c>
      <c r="BN900" s="20">
        <f>BN899/$S888*2</f>
        <v>0.25767195767195766</v>
      </c>
      <c r="BO900" s="133">
        <f>BO899/$S888</f>
        <v>0.25767195767195766</v>
      </c>
      <c r="BP900" s="20">
        <f>BP899/$S888*2</f>
        <v>0.25767195767195766</v>
      </c>
      <c r="BQ900" s="20">
        <f>BQ899/$S888*2</f>
        <v>0.25767195767195766</v>
      </c>
      <c r="BR900" s="133">
        <f>BR899/$S888</f>
        <v>0.25767195767195766</v>
      </c>
    </row>
    <row r="901" spans="2:70" outlineLevel="2">
      <c r="B901" s="5"/>
      <c r="C901" s="84" t="s">
        <v>57</v>
      </c>
      <c r="D901" s="7" t="s">
        <v>85</v>
      </c>
      <c r="S901" s="774">
        <f>S899*W$262</f>
        <v>3.733542843419563</v>
      </c>
      <c r="W901" s="156">
        <f t="shared" ref="W901:AF901" si="3339">W899*W$262</f>
        <v>0.17037993134652765</v>
      </c>
      <c r="X901" s="156">
        <f t="shared" si="3339"/>
        <v>1.3158276158052868</v>
      </c>
      <c r="Y901" s="156">
        <f t="shared" si="3339"/>
        <v>1.478764778851003</v>
      </c>
      <c r="Z901" s="156">
        <f t="shared" si="3339"/>
        <v>1.6233229934729263</v>
      </c>
      <c r="AA901" s="156">
        <f t="shared" si="3339"/>
        <v>1.6300092869498237</v>
      </c>
      <c r="AB901" s="156">
        <f t="shared" si="3339"/>
        <v>3.2533185386599648</v>
      </c>
      <c r="AC901" s="156">
        <f t="shared" si="3339"/>
        <v>2.3898884959230293</v>
      </c>
      <c r="AD901" s="156">
        <f t="shared" si="3339"/>
        <v>2.4225168559566952</v>
      </c>
      <c r="AE901" s="157">
        <f t="shared" si="3339"/>
        <v>4.8121841298918309</v>
      </c>
      <c r="AF901" s="157">
        <f t="shared" si="3339"/>
        <v>2.3898884959230293</v>
      </c>
      <c r="AG901" s="1031">
        <f t="shared" ref="AG901:AN901" si="3340">AG899*AG$262</f>
        <v>2.4225168559566952</v>
      </c>
      <c r="AH901" s="157">
        <f>AH899*AH$262</f>
        <v>4.8124053518797245</v>
      </c>
      <c r="AI901" s="156">
        <f t="shared" si="3340"/>
        <v>2.3898884959230293</v>
      </c>
      <c r="AJ901" s="156">
        <f t="shared" si="3340"/>
        <v>2.4225168559566952</v>
      </c>
      <c r="AK901" s="157">
        <f t="shared" si="3340"/>
        <v>4.8124053518797245</v>
      </c>
      <c r="AL901" s="156">
        <f t="shared" si="3340"/>
        <v>2.3898884959230293</v>
      </c>
      <c r="AM901" s="156">
        <f t="shared" si="3340"/>
        <v>2.4225168559566952</v>
      </c>
      <c r="AN901" s="157">
        <f t="shared" si="3340"/>
        <v>4.8124053518797245</v>
      </c>
      <c r="AO901" s="156">
        <f t="shared" ref="AO901:BR901" si="3341">AO899*AO$262</f>
        <v>2.3898884959230293</v>
      </c>
      <c r="AP901" s="156">
        <f t="shared" si="3341"/>
        <v>2.4225168559566952</v>
      </c>
      <c r="AQ901" s="157">
        <f t="shared" si="3341"/>
        <v>4.8124053518797245</v>
      </c>
      <c r="AR901" s="156">
        <f t="shared" si="3341"/>
        <v>2.3898884959230293</v>
      </c>
      <c r="AS901" s="156">
        <f t="shared" si="3341"/>
        <v>2.4225168559566952</v>
      </c>
      <c r="AT901" s="157">
        <f t="shared" si="3341"/>
        <v>4.8124053518797245</v>
      </c>
      <c r="AU901" s="156">
        <f t="shared" si="3341"/>
        <v>2.3898884959230293</v>
      </c>
      <c r="AV901" s="156">
        <f t="shared" si="3341"/>
        <v>2.4225168559566952</v>
      </c>
      <c r="AW901" s="157">
        <f t="shared" si="3341"/>
        <v>4.8124053518797245</v>
      </c>
      <c r="AX901" s="156">
        <f t="shared" si="3341"/>
        <v>2.3898884959230293</v>
      </c>
      <c r="AY901" s="156">
        <f t="shared" si="3341"/>
        <v>2.4225168559566952</v>
      </c>
      <c r="AZ901" s="157">
        <f t="shared" si="3341"/>
        <v>4.8124053518797245</v>
      </c>
      <c r="BA901" s="156">
        <f t="shared" si="3341"/>
        <v>2.3898884959230293</v>
      </c>
      <c r="BB901" s="156">
        <f t="shared" si="3341"/>
        <v>2.4225168559566952</v>
      </c>
      <c r="BC901" s="157">
        <f t="shared" si="3341"/>
        <v>4.8124053518797245</v>
      </c>
      <c r="BD901" s="156">
        <f t="shared" si="3341"/>
        <v>2.3898884959230293</v>
      </c>
      <c r="BE901" s="156">
        <f t="shared" si="3341"/>
        <v>2.4225168559566952</v>
      </c>
      <c r="BF901" s="157">
        <f t="shared" si="3341"/>
        <v>4.8124053518797245</v>
      </c>
      <c r="BG901" s="156">
        <f t="shared" si="3341"/>
        <v>2.3898884959230293</v>
      </c>
      <c r="BH901" s="156">
        <f t="shared" si="3341"/>
        <v>2.4225168559566952</v>
      </c>
      <c r="BI901" s="157">
        <f t="shared" si="3341"/>
        <v>4.8124053518797245</v>
      </c>
      <c r="BJ901" s="156">
        <f t="shared" si="3341"/>
        <v>2.3898884959230293</v>
      </c>
      <c r="BK901" s="156">
        <f t="shared" si="3341"/>
        <v>2.4225168559566952</v>
      </c>
      <c r="BL901" s="157">
        <f t="shared" si="3341"/>
        <v>4.8124053518797245</v>
      </c>
      <c r="BM901" s="156">
        <f t="shared" si="3341"/>
        <v>2.3898884959230293</v>
      </c>
      <c r="BN901" s="156">
        <f t="shared" si="3341"/>
        <v>2.4225168559566952</v>
      </c>
      <c r="BO901" s="157">
        <f t="shared" si="3341"/>
        <v>4.8124053518797245</v>
      </c>
      <c r="BP901" s="156">
        <f t="shared" si="3341"/>
        <v>2.3898884959230293</v>
      </c>
      <c r="BQ901" s="156">
        <f t="shared" si="3341"/>
        <v>2.4225168559566952</v>
      </c>
      <c r="BR901" s="157">
        <f t="shared" si="3341"/>
        <v>4.8124053518797245</v>
      </c>
    </row>
    <row r="902" spans="2:70" outlineLevel="2">
      <c r="B902" s="5"/>
      <c r="C902" s="511" t="s">
        <v>267</v>
      </c>
      <c r="D902" s="512" t="s">
        <v>85</v>
      </c>
      <c r="E902" s="512"/>
      <c r="F902" s="512"/>
      <c r="G902" s="512"/>
      <c r="H902" s="512"/>
      <c r="I902" s="512"/>
      <c r="J902" s="512"/>
      <c r="K902" s="512"/>
      <c r="L902" s="512"/>
      <c r="M902" s="512"/>
      <c r="N902" s="512"/>
      <c r="O902" s="512"/>
      <c r="P902" s="513"/>
      <c r="Q902" s="513"/>
      <c r="R902" s="513"/>
      <c r="S902" s="513"/>
      <c r="T902" s="513"/>
      <c r="U902" s="513"/>
      <c r="V902" s="513"/>
      <c r="W902" s="748">
        <f>(W890-T890)*W$262</f>
        <v>1.7284920571386864</v>
      </c>
      <c r="X902" s="748">
        <f>(X890-U890)*X$262</f>
        <v>10.506608339129668</v>
      </c>
      <c r="Y902" s="748">
        <f>SUM(W902:X902)</f>
        <v>12.235100396268354</v>
      </c>
      <c r="Z902" s="748">
        <f>(Z890-W890)*Z$262</f>
        <v>8.1867874310594271</v>
      </c>
      <c r="AA902" s="748">
        <f>(AA890-X890)*AA$262</f>
        <v>0</v>
      </c>
      <c r="AB902" s="748">
        <f>SUM(Z902:AA902)</f>
        <v>8.1867874310594271</v>
      </c>
      <c r="AC902" s="748">
        <f>(AC890-Z890)*AC$262</f>
        <v>0</v>
      </c>
      <c r="AD902" s="748">
        <f>(AD890-AA890)*AD$262</f>
        <v>0</v>
      </c>
      <c r="AE902" s="748">
        <f>SUM(AC902:AD902)</f>
        <v>0</v>
      </c>
      <c r="AF902" s="748">
        <f>(AF890-AC890)*AF$262</f>
        <v>0</v>
      </c>
      <c r="AG902" s="1033">
        <f>(AG890-AD890)*AG$262</f>
        <v>0</v>
      </c>
      <c r="AH902" s="748">
        <f>SUM(AF902:AG902)</f>
        <v>0</v>
      </c>
      <c r="AI902" s="748">
        <f>(AI890-AF890)*AI$262</f>
        <v>0</v>
      </c>
      <c r="AJ902" s="748">
        <f>(AJ890-AG890)*AJ$262</f>
        <v>0</v>
      </c>
      <c r="AK902" s="748">
        <f t="shared" ref="AK902:AK904" si="3342">SUM(AI902:AJ902)</f>
        <v>0</v>
      </c>
      <c r="AL902" s="748">
        <f>(AL890-AI890)*AL$262</f>
        <v>0</v>
      </c>
      <c r="AM902" s="748">
        <f>(AM890-AJ890)*AM$262</f>
        <v>0</v>
      </c>
      <c r="AN902" s="748">
        <f t="shared" ref="AN902:AN904" si="3343">SUM(AL902:AM902)</f>
        <v>0</v>
      </c>
      <c r="AO902" s="748">
        <f>(AO890-AL890)*AO$262</f>
        <v>0</v>
      </c>
      <c r="AP902" s="748">
        <f>(AP890-AM890)*AP$262</f>
        <v>0</v>
      </c>
      <c r="AQ902" s="748">
        <f t="shared" ref="AQ902:AQ904" si="3344">SUM(AO902:AP902)</f>
        <v>0</v>
      </c>
      <c r="AR902" s="748">
        <f>(AR890-AO890)*AR$262</f>
        <v>0</v>
      </c>
      <c r="AS902" s="748">
        <f>(AS890-AP890)*AS$262</f>
        <v>0</v>
      </c>
      <c r="AT902" s="748">
        <f t="shared" ref="AT902:AT904" si="3345">SUM(AR902:AS902)</f>
        <v>0</v>
      </c>
      <c r="AU902" s="748">
        <f>(AU890-AR890)*AU$262</f>
        <v>0</v>
      </c>
      <c r="AV902" s="748">
        <f>(AV890-AS890)*AV$262</f>
        <v>0</v>
      </c>
      <c r="AW902" s="748">
        <f t="shared" ref="AW902:AW904" si="3346">SUM(AU902:AV902)</f>
        <v>0</v>
      </c>
      <c r="AX902" s="748">
        <f>(AX890-AU890)*AX$262</f>
        <v>0</v>
      </c>
      <c r="AY902" s="748">
        <f>(AY890-AV890)*AY$262</f>
        <v>0</v>
      </c>
      <c r="AZ902" s="748">
        <f t="shared" ref="AZ902:AZ904" si="3347">SUM(AX902:AY902)</f>
        <v>0</v>
      </c>
      <c r="BA902" s="748">
        <f>(BA890-AX890)*BA$262</f>
        <v>0</v>
      </c>
      <c r="BB902" s="748">
        <f>(BB890-AY890)*BB$262</f>
        <v>0</v>
      </c>
      <c r="BC902" s="748">
        <f t="shared" ref="BC902:BC904" si="3348">SUM(BA902:BB902)</f>
        <v>0</v>
      </c>
      <c r="BD902" s="748">
        <f>(BD890-BA890)*BD$262</f>
        <v>0</v>
      </c>
      <c r="BE902" s="748">
        <f>(BE890-BB890)*BE$262</f>
        <v>0</v>
      </c>
      <c r="BF902" s="748">
        <f t="shared" ref="BF902:BF904" si="3349">SUM(BD902:BE902)</f>
        <v>0</v>
      </c>
      <c r="BG902" s="748">
        <f>(BG890-BD890)*BG$262</f>
        <v>0</v>
      </c>
      <c r="BH902" s="748">
        <f>(BH890-BE890)*BH$262</f>
        <v>0</v>
      </c>
      <c r="BI902" s="748">
        <f t="shared" ref="BI902:BI904" si="3350">SUM(BG902:BH902)</f>
        <v>0</v>
      </c>
      <c r="BJ902" s="748">
        <f>(BJ890-BG890)*BJ$262</f>
        <v>0</v>
      </c>
      <c r="BK902" s="748">
        <f>(BK890-BH890)*BK$262</f>
        <v>0</v>
      </c>
      <c r="BL902" s="748">
        <f t="shared" ref="BL902:BL904" si="3351">SUM(BJ902:BK902)</f>
        <v>0</v>
      </c>
      <c r="BM902" s="748">
        <f>(BM890-BJ890)*BM$262</f>
        <v>0</v>
      </c>
      <c r="BN902" s="748">
        <f>(BN890-BK890)*BN$262</f>
        <v>0</v>
      </c>
      <c r="BO902" s="748">
        <f t="shared" ref="BO902:BO904" si="3352">SUM(BM902:BN902)</f>
        <v>0</v>
      </c>
      <c r="BP902" s="748">
        <f>(BP890-BM890)*BP$262</f>
        <v>0</v>
      </c>
      <c r="BQ902" s="748">
        <f>(BQ890-BN890)*BQ$262</f>
        <v>0</v>
      </c>
      <c r="BR902" s="787">
        <f t="shared" ref="BR902:BR904" si="3353">SUM(BP902:BQ902)</f>
        <v>0</v>
      </c>
    </row>
    <row r="903" spans="2:70" outlineLevel="2">
      <c r="B903" s="5"/>
      <c r="C903" s="516" t="s">
        <v>268</v>
      </c>
      <c r="D903" s="401" t="s">
        <v>85</v>
      </c>
      <c r="E903" s="401"/>
      <c r="F903" s="401"/>
      <c r="G903" s="401"/>
      <c r="H903" s="401"/>
      <c r="I903" s="401"/>
      <c r="J903" s="401"/>
      <c r="K903" s="401"/>
      <c r="L903" s="401"/>
      <c r="M903" s="401"/>
      <c r="N903" s="401"/>
      <c r="O903" s="401"/>
      <c r="P903" s="130"/>
      <c r="Q903" s="130"/>
      <c r="R903" s="130"/>
      <c r="S903" s="130"/>
      <c r="T903" s="130"/>
      <c r="U903" s="130"/>
      <c r="V903" s="130"/>
      <c r="W903" s="360">
        <f>(W893-T893)*W$262</f>
        <v>-5.1854761714160577E-2</v>
      </c>
      <c r="X903" s="360">
        <f>(X893-U893)*X$262</f>
        <v>-0.31519825017389003</v>
      </c>
      <c r="Y903" s="360">
        <f>SUM(W903:X903)</f>
        <v>-0.36705301188805062</v>
      </c>
      <c r="Z903" s="360">
        <f>(Z893-W893)*Z$262</f>
        <v>-0.24560362293178273</v>
      </c>
      <c r="AA903" s="360">
        <f>(AA893-X893)*AA$262</f>
        <v>3.6506388717785864E-17</v>
      </c>
      <c r="AB903" s="360">
        <f>SUM(Z903:AA903)</f>
        <v>-0.2456036229317827</v>
      </c>
      <c r="AC903" s="360">
        <f>(AC893-Z893)*AC$262</f>
        <v>0</v>
      </c>
      <c r="AD903" s="360">
        <f>(AD893-AA893)*AD$262</f>
        <v>0</v>
      </c>
      <c r="AE903" s="360">
        <f>SUM(AC903:AD903)</f>
        <v>0</v>
      </c>
      <c r="AF903" s="360">
        <f>(AF893-AC893)*AF$262</f>
        <v>0</v>
      </c>
      <c r="AG903" s="942">
        <f>(AG893-AD893)*AG$262</f>
        <v>0</v>
      </c>
      <c r="AH903" s="360">
        <f>SUM(AF903:AG903)</f>
        <v>0</v>
      </c>
      <c r="AI903" s="360">
        <f>(AI893-AF893)*AI$262</f>
        <v>0</v>
      </c>
      <c r="AJ903" s="360">
        <f>(AJ893-AG893)*AJ$262</f>
        <v>0</v>
      </c>
      <c r="AK903" s="360">
        <f t="shared" si="3342"/>
        <v>0</v>
      </c>
      <c r="AL903" s="360">
        <f>(AL893-AI893)*AL$262</f>
        <v>0</v>
      </c>
      <c r="AM903" s="360">
        <f>(AM893-AJ893)*AM$262</f>
        <v>0</v>
      </c>
      <c r="AN903" s="360">
        <f t="shared" si="3343"/>
        <v>0</v>
      </c>
      <c r="AO903" s="360">
        <f>(AO893-AL893)*AO$262</f>
        <v>0</v>
      </c>
      <c r="AP903" s="360">
        <f>(AP893-AM893)*AP$262</f>
        <v>0</v>
      </c>
      <c r="AQ903" s="360">
        <f t="shared" si="3344"/>
        <v>0</v>
      </c>
      <c r="AR903" s="360">
        <f>(AR893-AO893)*AR$262</f>
        <v>0</v>
      </c>
      <c r="AS903" s="360">
        <f>(AS893-AP893)*AS$262</f>
        <v>0</v>
      </c>
      <c r="AT903" s="360">
        <f t="shared" si="3345"/>
        <v>0</v>
      </c>
      <c r="AU903" s="360">
        <f>(AU893-AR893)*AU$262</f>
        <v>0</v>
      </c>
      <c r="AV903" s="360">
        <f>(AV893-AS893)*AV$262</f>
        <v>0</v>
      </c>
      <c r="AW903" s="360">
        <f t="shared" si="3346"/>
        <v>0</v>
      </c>
      <c r="AX903" s="360">
        <f>(AX893-AU893)*AX$262</f>
        <v>0</v>
      </c>
      <c r="AY903" s="360">
        <f>(AY893-AV893)*AY$262</f>
        <v>0</v>
      </c>
      <c r="AZ903" s="360">
        <f t="shared" si="3347"/>
        <v>0</v>
      </c>
      <c r="BA903" s="360">
        <f>(BA893-AX893)*BA$262</f>
        <v>0</v>
      </c>
      <c r="BB903" s="360">
        <f>(BB893-AY893)*BB$262</f>
        <v>0</v>
      </c>
      <c r="BC903" s="360">
        <f t="shared" si="3348"/>
        <v>0</v>
      </c>
      <c r="BD903" s="360">
        <f>(BD893-BA893)*BD$262</f>
        <v>0</v>
      </c>
      <c r="BE903" s="360">
        <f>(BE893-BB893)*BE$262</f>
        <v>0</v>
      </c>
      <c r="BF903" s="360">
        <f t="shared" si="3349"/>
        <v>0</v>
      </c>
      <c r="BG903" s="360">
        <f>(BG893-BD893)*BG$262</f>
        <v>0</v>
      </c>
      <c r="BH903" s="360">
        <f>(BH893-BE893)*BH$262</f>
        <v>0</v>
      </c>
      <c r="BI903" s="360">
        <f t="shared" si="3350"/>
        <v>0</v>
      </c>
      <c r="BJ903" s="360">
        <f>(BJ893-BG893)*BJ$262</f>
        <v>0</v>
      </c>
      <c r="BK903" s="360">
        <f>(BK893-BH893)*BK$262</f>
        <v>0</v>
      </c>
      <c r="BL903" s="360">
        <f t="shared" si="3351"/>
        <v>0</v>
      </c>
      <c r="BM903" s="360">
        <f>(BM893-BJ893)*BM$262</f>
        <v>0</v>
      </c>
      <c r="BN903" s="360">
        <f>(BN893-BK893)*BN$262</f>
        <v>0</v>
      </c>
      <c r="BO903" s="360">
        <f t="shared" si="3352"/>
        <v>0</v>
      </c>
      <c r="BP903" s="360">
        <f>(BP893-BM893)*BP$262</f>
        <v>0</v>
      </c>
      <c r="BQ903" s="360">
        <f>(BQ893-BN893)*BQ$262</f>
        <v>0</v>
      </c>
      <c r="BR903" s="788">
        <f t="shared" si="3353"/>
        <v>0</v>
      </c>
    </row>
    <row r="904" spans="2:70" outlineLevel="2">
      <c r="B904" s="5"/>
      <c r="C904" s="518" t="s">
        <v>269</v>
      </c>
      <c r="D904" s="519" t="s">
        <v>85</v>
      </c>
      <c r="E904" s="519"/>
      <c r="F904" s="519"/>
      <c r="G904" s="519"/>
      <c r="H904" s="519"/>
      <c r="I904" s="519"/>
      <c r="J904" s="519"/>
      <c r="K904" s="519"/>
      <c r="L904" s="519"/>
      <c r="M904" s="519"/>
      <c r="N904" s="519"/>
      <c r="O904" s="519"/>
      <c r="P904" s="520"/>
      <c r="Q904" s="520"/>
      <c r="R904" s="520"/>
      <c r="S904" s="520"/>
      <c r="T904" s="520"/>
      <c r="U904" s="520"/>
      <c r="V904" s="520"/>
      <c r="W904" s="749">
        <f>(W899-T899)*W$262</f>
        <v>0.17037993134652765</v>
      </c>
      <c r="X904" s="749">
        <f>(X899-U899)*X$262</f>
        <v>1.3158276158052868</v>
      </c>
      <c r="Y904" s="749">
        <f>SUM(W904:X904)</f>
        <v>1.4862075471518146</v>
      </c>
      <c r="Z904" s="749">
        <f>(Z899-W899)*Z$262</f>
        <v>1.4619263269748977</v>
      </c>
      <c r="AA904" s="749">
        <f>(AA899-X899)*AA$262</f>
        <v>0.39458438070255103</v>
      </c>
      <c r="AB904" s="749">
        <f>SUM(Z904:AA904)</f>
        <v>1.8565107076774487</v>
      </c>
      <c r="AC904" s="749">
        <f>(AC899-Z899)*AC$262</f>
        <v>0.68703160047068601</v>
      </c>
      <c r="AD904" s="749">
        <f>(AD899-AA899)*AD$262</f>
        <v>0.69641141649679117</v>
      </c>
      <c r="AE904" s="749">
        <f>SUM(AC904:AD904)</f>
        <v>1.3834430169674772</v>
      </c>
      <c r="AF904" s="749">
        <f>(AF899-AC899)*AF$262</f>
        <v>0</v>
      </c>
      <c r="AG904" s="1034">
        <f>(AG899-AD899)*AG$262</f>
        <v>0</v>
      </c>
      <c r="AH904" s="749">
        <f>SUM(AF904:AG904)</f>
        <v>0</v>
      </c>
      <c r="AI904" s="749">
        <f>(AI899-AF899)*AI$262</f>
        <v>0</v>
      </c>
      <c r="AJ904" s="749">
        <f>(AJ899-AG899)*AJ$262</f>
        <v>0</v>
      </c>
      <c r="AK904" s="749">
        <f t="shared" si="3342"/>
        <v>0</v>
      </c>
      <c r="AL904" s="749">
        <f>(AL899-AI899)*AL$262</f>
        <v>0</v>
      </c>
      <c r="AM904" s="749">
        <f>(AM899-AJ899)*AM$262</f>
        <v>0</v>
      </c>
      <c r="AN904" s="749">
        <f t="shared" si="3343"/>
        <v>0</v>
      </c>
      <c r="AO904" s="749">
        <f>(AO899-AL899)*AO$262</f>
        <v>0</v>
      </c>
      <c r="AP904" s="749">
        <f>(AP899-AM899)*AP$262</f>
        <v>0</v>
      </c>
      <c r="AQ904" s="749">
        <f t="shared" si="3344"/>
        <v>0</v>
      </c>
      <c r="AR904" s="749">
        <f>(AR899-AO899)*AR$262</f>
        <v>0</v>
      </c>
      <c r="AS904" s="749">
        <f>(AS899-AP899)*AS$262</f>
        <v>0</v>
      </c>
      <c r="AT904" s="749">
        <f t="shared" si="3345"/>
        <v>0</v>
      </c>
      <c r="AU904" s="749">
        <f>(AU899-AR899)*AU$262</f>
        <v>0</v>
      </c>
      <c r="AV904" s="749">
        <f>(AV899-AS899)*AV$262</f>
        <v>0</v>
      </c>
      <c r="AW904" s="749">
        <f t="shared" si="3346"/>
        <v>0</v>
      </c>
      <c r="AX904" s="749">
        <f>(AX899-AU899)*AX$262</f>
        <v>0</v>
      </c>
      <c r="AY904" s="749">
        <f>(AY899-AV899)*AY$262</f>
        <v>0</v>
      </c>
      <c r="AZ904" s="749">
        <f t="shared" si="3347"/>
        <v>0</v>
      </c>
      <c r="BA904" s="749">
        <f>(BA899-AX899)*BA$262</f>
        <v>0</v>
      </c>
      <c r="BB904" s="749">
        <f>(BB899-AY899)*BB$262</f>
        <v>0</v>
      </c>
      <c r="BC904" s="749">
        <f t="shared" si="3348"/>
        <v>0</v>
      </c>
      <c r="BD904" s="749">
        <f>(BD899-BA899)*BD$262</f>
        <v>0</v>
      </c>
      <c r="BE904" s="749">
        <f>(BE899-BB899)*BE$262</f>
        <v>0</v>
      </c>
      <c r="BF904" s="749">
        <f t="shared" si="3349"/>
        <v>0</v>
      </c>
      <c r="BG904" s="749">
        <f>(BG899-BD899)*BG$262</f>
        <v>0</v>
      </c>
      <c r="BH904" s="749">
        <f>(BH899-BE899)*BH$262</f>
        <v>0</v>
      </c>
      <c r="BI904" s="749">
        <f t="shared" si="3350"/>
        <v>0</v>
      </c>
      <c r="BJ904" s="749">
        <f>(BJ899-BG899)*BJ$262</f>
        <v>0</v>
      </c>
      <c r="BK904" s="749">
        <f>(BK899-BH899)*BK$262</f>
        <v>0</v>
      </c>
      <c r="BL904" s="749">
        <f t="shared" si="3351"/>
        <v>0</v>
      </c>
      <c r="BM904" s="749">
        <f>(BM899-BJ899)*BM$262</f>
        <v>0</v>
      </c>
      <c r="BN904" s="749">
        <f>(BN899-BK899)*BN$262</f>
        <v>0</v>
      </c>
      <c r="BO904" s="749">
        <f t="shared" si="3352"/>
        <v>0</v>
      </c>
      <c r="BP904" s="749">
        <f>(BP899-BM899)*BP$262</f>
        <v>0</v>
      </c>
      <c r="BQ904" s="749">
        <f>(BQ899-BN899)*BQ$262</f>
        <v>0</v>
      </c>
      <c r="BR904" s="789">
        <f t="shared" si="3353"/>
        <v>0</v>
      </c>
    </row>
    <row r="905" spans="2:70" outlineLevel="2">
      <c r="B905" s="5"/>
      <c r="C905" s="9"/>
    </row>
    <row r="906" spans="2:70" outlineLevel="2">
      <c r="B906" s="5"/>
      <c r="C906" s="8" t="s">
        <v>516</v>
      </c>
      <c r="AF906" s="26"/>
      <c r="AG906" s="933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8"/>
      <c r="BC906" s="18"/>
      <c r="BD906" s="18"/>
      <c r="BE906" s="18"/>
      <c r="BF906" s="18"/>
      <c r="BG906" s="18"/>
      <c r="BH906" s="18"/>
      <c r="BI906" s="18"/>
      <c r="BJ906" s="18"/>
      <c r="BK906" s="18"/>
      <c r="BL906" s="18"/>
      <c r="BM906" s="18"/>
      <c r="BN906" s="18"/>
      <c r="BO906" s="18"/>
      <c r="BP906" s="18"/>
      <c r="BQ906" s="18"/>
      <c r="BR906" s="18"/>
    </row>
    <row r="907" spans="2:70" outlineLevel="2">
      <c r="B907" s="5"/>
      <c r="C907" s="9" t="s">
        <v>266</v>
      </c>
      <c r="D907" s="31"/>
      <c r="Q907" s="763" t="s">
        <v>517</v>
      </c>
      <c r="U907" s="130"/>
      <c r="AF907" s="26"/>
      <c r="AG907" s="933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8"/>
      <c r="BC907" s="18"/>
      <c r="BD907" s="18"/>
      <c r="BE907" s="18"/>
      <c r="BF907" s="18"/>
      <c r="BG907" s="18"/>
      <c r="BH907" s="18"/>
      <c r="BI907" s="18"/>
      <c r="BJ907" s="18"/>
      <c r="BK907" s="18"/>
      <c r="BL907" s="18"/>
      <c r="BM907" s="18"/>
      <c r="BN907" s="18"/>
      <c r="BO907" s="18"/>
      <c r="BP907" s="18"/>
      <c r="BQ907" s="18"/>
      <c r="BR907" s="18"/>
    </row>
    <row r="908" spans="2:70" outlineLevel="2">
      <c r="B908" s="5"/>
      <c r="C908" s="9" t="s">
        <v>262</v>
      </c>
      <c r="D908" s="74"/>
      <c r="Q908" s="764">
        <v>41729</v>
      </c>
      <c r="U908" s="357"/>
      <c r="AF908" s="26"/>
      <c r="AG908" s="933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8"/>
      <c r="BC908" s="18"/>
      <c r="BD908" s="18"/>
      <c r="BE908" s="18"/>
      <c r="BF908" s="18"/>
      <c r="BG908" s="18"/>
      <c r="BH908" s="18"/>
      <c r="BI908" s="18"/>
      <c r="BJ908" s="18"/>
      <c r="BK908" s="18"/>
      <c r="BL908" s="18"/>
      <c r="BM908" s="18"/>
      <c r="BN908" s="18"/>
      <c r="BO908" s="18"/>
      <c r="BP908" s="18"/>
      <c r="BQ908" s="18"/>
      <c r="BR908" s="18"/>
    </row>
    <row r="909" spans="2:70" outlineLevel="2">
      <c r="B909" s="5"/>
      <c r="C909" s="84" t="s">
        <v>72</v>
      </c>
      <c r="D909" s="31" t="s">
        <v>102</v>
      </c>
      <c r="Q909" s="765">
        <v>50</v>
      </c>
      <c r="U909" s="358"/>
      <c r="AF909" s="26"/>
      <c r="AG909" s="933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8"/>
      <c r="BC909" s="18"/>
      <c r="BD909" s="18"/>
      <c r="BE909" s="18"/>
      <c r="BF909" s="18"/>
      <c r="BG909" s="18"/>
      <c r="BH909" s="18"/>
      <c r="BI909" s="18"/>
      <c r="BJ909" s="18"/>
      <c r="BK909" s="18"/>
      <c r="BL909" s="18"/>
      <c r="BM909" s="18"/>
      <c r="BN909" s="18"/>
      <c r="BO909" s="18"/>
      <c r="BP909" s="18"/>
      <c r="BQ909" s="18"/>
      <c r="BR909" s="18"/>
    </row>
    <row r="910" spans="2:70" outlineLevel="2">
      <c r="B910" s="5"/>
      <c r="C910" s="84" t="s">
        <v>76</v>
      </c>
      <c r="D910" s="74" t="s">
        <v>77</v>
      </c>
      <c r="Q910" s="766">
        <v>6.6</v>
      </c>
      <c r="U910" s="27"/>
      <c r="AF910" s="26"/>
      <c r="AG910" s="933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8"/>
      <c r="BC910" s="18"/>
      <c r="BD910" s="18"/>
      <c r="BE910" s="18"/>
      <c r="BF910" s="18"/>
      <c r="BG910" s="18"/>
      <c r="BH910" s="18"/>
      <c r="BI910" s="18"/>
      <c r="BJ910" s="18"/>
      <c r="BK910" s="18"/>
      <c r="BL910" s="18"/>
      <c r="BM910" s="18"/>
      <c r="BN910" s="18"/>
      <c r="BO910" s="18"/>
      <c r="BP910" s="18"/>
      <c r="BQ910" s="18"/>
      <c r="BR910" s="18"/>
    </row>
    <row r="911" spans="2:70" outlineLevel="2">
      <c r="B911" s="5"/>
      <c r="C911" s="84" t="s">
        <v>55</v>
      </c>
      <c r="D911" s="31" t="s">
        <v>102</v>
      </c>
      <c r="Q911" s="765">
        <v>55</v>
      </c>
      <c r="U911" s="364">
        <f>Q911*0.5*(3/6)</f>
        <v>13.75</v>
      </c>
      <c r="V911" s="167">
        <f>SUM(U911:U911)</f>
        <v>13.75</v>
      </c>
      <c r="W911" s="149">
        <f>Y911*0.5</f>
        <v>27.5</v>
      </c>
      <c r="X911" s="19">
        <f>Y911*0.5</f>
        <v>27.5</v>
      </c>
      <c r="Y911" s="389">
        <f>Q911</f>
        <v>55</v>
      </c>
      <c r="Z911" s="149">
        <f t="shared" ref="Z911:Z912" si="3354">AB911*0.5</f>
        <v>27.5</v>
      </c>
      <c r="AA911" s="19">
        <f>AB911*0.5</f>
        <v>27.5</v>
      </c>
      <c r="AB911" s="389">
        <f>Y911</f>
        <v>55</v>
      </c>
      <c r="AC911" s="149">
        <f t="shared" ref="AC911:AC912" si="3355">AE911*0.5</f>
        <v>27.5</v>
      </c>
      <c r="AD911" s="19">
        <f>AE911*0.5</f>
        <v>27.5</v>
      </c>
      <c r="AE911" s="389">
        <f>AB911</f>
        <v>55</v>
      </c>
      <c r="AF911" s="149">
        <f t="shared" ref="AF911:AF912" si="3356">AH911*0.5</f>
        <v>27.5</v>
      </c>
      <c r="AG911" s="943">
        <f>AH911*0.5</f>
        <v>27.5</v>
      </c>
      <c r="AH911" s="389">
        <f>AE911</f>
        <v>55</v>
      </c>
      <c r="AI911" s="149">
        <f t="shared" ref="AI911:AI912" si="3357">AK911*0.5</f>
        <v>27.5</v>
      </c>
      <c r="AJ911" s="19">
        <f>AK911*0.5</f>
        <v>27.5</v>
      </c>
      <c r="AK911" s="389">
        <f>AH911</f>
        <v>55</v>
      </c>
      <c r="AL911" s="149">
        <f t="shared" ref="AL911:AL912" si="3358">AN911*0.5</f>
        <v>27.5</v>
      </c>
      <c r="AM911" s="19">
        <f>AN911*0.5</f>
        <v>27.5</v>
      </c>
      <c r="AN911" s="389">
        <f>AK911</f>
        <v>55</v>
      </c>
      <c r="AO911" s="149">
        <f t="shared" ref="AO911:AO912" si="3359">AQ911*0.5</f>
        <v>27.5</v>
      </c>
      <c r="AP911" s="19">
        <f>AQ911*0.5</f>
        <v>27.5</v>
      </c>
      <c r="AQ911" s="389">
        <f>AN911</f>
        <v>55</v>
      </c>
      <c r="AR911" s="149">
        <f t="shared" ref="AR911:AR912" si="3360">AT911*0.5</f>
        <v>27.5</v>
      </c>
      <c r="AS911" s="19">
        <f>AT911*0.5</f>
        <v>27.5</v>
      </c>
      <c r="AT911" s="389">
        <f>AQ911</f>
        <v>55</v>
      </c>
      <c r="AU911" s="149">
        <f t="shared" ref="AU911:AU912" si="3361">AW911*0.5</f>
        <v>27.5</v>
      </c>
      <c r="AV911" s="19">
        <f>AW911*0.5</f>
        <v>27.5</v>
      </c>
      <c r="AW911" s="389">
        <f>AT911</f>
        <v>55</v>
      </c>
      <c r="AX911" s="149">
        <f t="shared" ref="AX911:AX912" si="3362">AZ911*0.5</f>
        <v>27.5</v>
      </c>
      <c r="AY911" s="19">
        <f>AZ911*0.5</f>
        <v>27.5</v>
      </c>
      <c r="AZ911" s="389">
        <f>AW911</f>
        <v>55</v>
      </c>
      <c r="BA911" s="149">
        <f t="shared" ref="BA911:BA912" si="3363">BC911*0.5</f>
        <v>27.5</v>
      </c>
      <c r="BB911" s="19">
        <f>BC911*0.5</f>
        <v>27.5</v>
      </c>
      <c r="BC911" s="389">
        <f>AZ911</f>
        <v>55</v>
      </c>
      <c r="BD911" s="149">
        <f t="shared" ref="BD911:BD912" si="3364">BF911*0.5</f>
        <v>27.5</v>
      </c>
      <c r="BE911" s="19">
        <f>BF911*0.5</f>
        <v>27.5</v>
      </c>
      <c r="BF911" s="389">
        <f>BC911</f>
        <v>55</v>
      </c>
      <c r="BG911" s="149">
        <f t="shared" ref="BG911:BG912" si="3365">BI911*0.5</f>
        <v>27.5</v>
      </c>
      <c r="BH911" s="19">
        <f>BI911*0.5</f>
        <v>27.5</v>
      </c>
      <c r="BI911" s="389">
        <f>BF911</f>
        <v>55</v>
      </c>
      <c r="BJ911" s="149">
        <f t="shared" ref="BJ911:BJ912" si="3366">BL911*0.5</f>
        <v>27.5</v>
      </c>
      <c r="BK911" s="19">
        <f>BL911*0.5</f>
        <v>27.5</v>
      </c>
      <c r="BL911" s="389">
        <f>BI911</f>
        <v>55</v>
      </c>
      <c r="BM911" s="149">
        <f t="shared" ref="BM911:BM912" si="3367">BO911*0.5</f>
        <v>27.5</v>
      </c>
      <c r="BN911" s="19">
        <f>BO911*0.5</f>
        <v>27.5</v>
      </c>
      <c r="BO911" s="389">
        <f>BL911</f>
        <v>55</v>
      </c>
      <c r="BP911" s="149">
        <f t="shared" ref="BP911:BP912" si="3368">BR911*0.5</f>
        <v>27.5</v>
      </c>
      <c r="BQ911" s="19">
        <f>BR911*0.5</f>
        <v>27.5</v>
      </c>
      <c r="BR911" s="389">
        <f>BO911</f>
        <v>55</v>
      </c>
    </row>
    <row r="912" spans="2:70" outlineLevel="2">
      <c r="B912" s="5"/>
      <c r="C912" s="84" t="s">
        <v>56</v>
      </c>
      <c r="D912" s="31" t="s">
        <v>102</v>
      </c>
      <c r="Q912" s="767">
        <f>Q909/Q910</f>
        <v>7.5757575757575761</v>
      </c>
      <c r="U912" s="364">
        <f>Q912*0.5*(3/6)</f>
        <v>1.893939393939394</v>
      </c>
      <c r="V912" s="167">
        <f>SUM(U912:U912)</f>
        <v>1.893939393939394</v>
      </c>
      <c r="W912" s="149">
        <f>Y912*0.5</f>
        <v>3.7878787878787881</v>
      </c>
      <c r="X912" s="19">
        <f>Y912*0.5</f>
        <v>3.7878787878787881</v>
      </c>
      <c r="Y912" s="167">
        <f>Q912</f>
        <v>7.5757575757575761</v>
      </c>
      <c r="Z912" s="149">
        <f t="shared" si="3354"/>
        <v>3.7878787878787881</v>
      </c>
      <c r="AA912" s="19">
        <f>AB912*0.5</f>
        <v>3.7878787878787881</v>
      </c>
      <c r="AB912" s="167">
        <f t="shared" ref="AB912" si="3369">AB911*AB913</f>
        <v>7.5757575757575761</v>
      </c>
      <c r="AC912" s="149">
        <f t="shared" si="3355"/>
        <v>3.7878787878787881</v>
      </c>
      <c r="AD912" s="19">
        <f>AE912*0.5</f>
        <v>3.7878787878787881</v>
      </c>
      <c r="AE912" s="167">
        <f t="shared" ref="AE912" si="3370">AE911*AE913</f>
        <v>7.5757575757575761</v>
      </c>
      <c r="AF912" s="149">
        <f t="shared" si="3356"/>
        <v>3.7878787878787881</v>
      </c>
      <c r="AG912" s="943">
        <f>AH912*0.5</f>
        <v>3.7878787878787881</v>
      </c>
      <c r="AH912" s="167">
        <f t="shared" ref="AH912" si="3371">AH911*AH913</f>
        <v>7.5757575757575761</v>
      </c>
      <c r="AI912" s="149">
        <f t="shared" si="3357"/>
        <v>3.7878787878787881</v>
      </c>
      <c r="AJ912" s="19">
        <f>AK912*0.5</f>
        <v>3.7878787878787881</v>
      </c>
      <c r="AK912" s="167">
        <f t="shared" ref="AK912" si="3372">AK911*AK913</f>
        <v>7.5757575757575761</v>
      </c>
      <c r="AL912" s="149">
        <f t="shared" si="3358"/>
        <v>3.7878787878787881</v>
      </c>
      <c r="AM912" s="19">
        <f>AN912*0.5</f>
        <v>3.7878787878787881</v>
      </c>
      <c r="AN912" s="167">
        <f t="shared" ref="AN912" si="3373">AN911*AN913</f>
        <v>7.5757575757575761</v>
      </c>
      <c r="AO912" s="149">
        <f t="shared" si="3359"/>
        <v>3.7878787878787881</v>
      </c>
      <c r="AP912" s="19">
        <f>AQ912*0.5</f>
        <v>3.7878787878787881</v>
      </c>
      <c r="AQ912" s="167">
        <f t="shared" ref="AQ912" si="3374">AQ911*AQ913</f>
        <v>7.5757575757575761</v>
      </c>
      <c r="AR912" s="149">
        <f t="shared" si="3360"/>
        <v>3.7878787878787881</v>
      </c>
      <c r="AS912" s="19">
        <f>AT912*0.5</f>
        <v>3.7878787878787881</v>
      </c>
      <c r="AT912" s="167">
        <f t="shared" ref="AT912" si="3375">AT911*AT913</f>
        <v>7.5757575757575761</v>
      </c>
      <c r="AU912" s="149">
        <f t="shared" si="3361"/>
        <v>3.7878787878787881</v>
      </c>
      <c r="AV912" s="19">
        <f>AW912*0.5</f>
        <v>3.7878787878787881</v>
      </c>
      <c r="AW912" s="167">
        <f t="shared" ref="AW912" si="3376">AW911*AW913</f>
        <v>7.5757575757575761</v>
      </c>
      <c r="AX912" s="149">
        <f t="shared" si="3362"/>
        <v>3.7878787878787881</v>
      </c>
      <c r="AY912" s="19">
        <f>AZ912*0.5</f>
        <v>3.7878787878787881</v>
      </c>
      <c r="AZ912" s="167">
        <f t="shared" ref="AZ912" si="3377">AZ911*AZ913</f>
        <v>7.5757575757575761</v>
      </c>
      <c r="BA912" s="149">
        <f t="shared" si="3363"/>
        <v>3.7878787878787881</v>
      </c>
      <c r="BB912" s="19">
        <f>BC912*0.5</f>
        <v>3.7878787878787881</v>
      </c>
      <c r="BC912" s="167">
        <f t="shared" ref="BC912" si="3378">BC911*BC913</f>
        <v>7.5757575757575761</v>
      </c>
      <c r="BD912" s="149">
        <f t="shared" si="3364"/>
        <v>3.7878787878787881</v>
      </c>
      <c r="BE912" s="19">
        <f>BF912*0.5</f>
        <v>3.7878787878787881</v>
      </c>
      <c r="BF912" s="167">
        <f t="shared" ref="BF912" si="3379">BF911*BF913</f>
        <v>7.5757575757575761</v>
      </c>
      <c r="BG912" s="149">
        <f t="shared" si="3365"/>
        <v>3.7878787878787881</v>
      </c>
      <c r="BH912" s="19">
        <f>BI912*0.5</f>
        <v>3.7878787878787881</v>
      </c>
      <c r="BI912" s="167">
        <f t="shared" ref="BI912" si="3380">BI911*BI913</f>
        <v>7.5757575757575761</v>
      </c>
      <c r="BJ912" s="149">
        <f t="shared" si="3366"/>
        <v>3.7878787878787881</v>
      </c>
      <c r="BK912" s="19">
        <f>BL912*0.5</f>
        <v>3.7878787878787881</v>
      </c>
      <c r="BL912" s="167">
        <f t="shared" ref="BL912" si="3381">BL911*BL913</f>
        <v>7.5757575757575761</v>
      </c>
      <c r="BM912" s="149">
        <f t="shared" si="3367"/>
        <v>3.7878787878787881</v>
      </c>
      <c r="BN912" s="19">
        <f>BO912*0.5</f>
        <v>3.7878787878787881</v>
      </c>
      <c r="BO912" s="167">
        <f t="shared" ref="BO912" si="3382">BO911*BO913</f>
        <v>7.5757575757575761</v>
      </c>
      <c r="BP912" s="149">
        <f t="shared" si="3368"/>
        <v>3.7878787878787881</v>
      </c>
      <c r="BQ912" s="19">
        <f>BR912*0.5</f>
        <v>3.7878787878787881</v>
      </c>
      <c r="BR912" s="167">
        <f t="shared" ref="BR912" si="3383">BR911*BR913</f>
        <v>7.5757575757575761</v>
      </c>
    </row>
    <row r="913" spans="2:70" outlineLevel="2">
      <c r="B913" s="5"/>
      <c r="C913" s="84" t="s">
        <v>73</v>
      </c>
      <c r="D913" s="31" t="s">
        <v>66</v>
      </c>
      <c r="Q913" s="768">
        <f>Q912/Q911</f>
        <v>0.13774104683195593</v>
      </c>
      <c r="U913" s="133">
        <f>U912/U911</f>
        <v>0.13774104683195593</v>
      </c>
      <c r="V913" s="133">
        <f>V912/V911</f>
        <v>0.13774104683195593</v>
      </c>
      <c r="W913" s="133">
        <f>W912/W911</f>
        <v>0.13774104683195593</v>
      </c>
      <c r="X913" s="133">
        <f>X912/X911</f>
        <v>0.13774104683195593</v>
      </c>
      <c r="Y913" s="133">
        <f>V913</f>
        <v>0.13774104683195593</v>
      </c>
      <c r="Z913" s="133">
        <f t="shared" ref="Z913" si="3384">Z912/Z911</f>
        <v>0.13774104683195593</v>
      </c>
      <c r="AA913" s="133">
        <f t="shared" ref="AA913" si="3385">AA912/AA911</f>
        <v>0.13774104683195593</v>
      </c>
      <c r="AB913" s="133">
        <f t="shared" ref="AB913" si="3386">Y913</f>
        <v>0.13774104683195593</v>
      </c>
      <c r="AC913" s="133">
        <f t="shared" ref="AC913" si="3387">AC912/AC911</f>
        <v>0.13774104683195593</v>
      </c>
      <c r="AD913" s="133">
        <f t="shared" ref="AD913" si="3388">AD912/AD911</f>
        <v>0.13774104683195593</v>
      </c>
      <c r="AE913" s="133">
        <f t="shared" ref="AE913" si="3389">AB913</f>
        <v>0.13774104683195593</v>
      </c>
      <c r="AF913" s="133">
        <f t="shared" ref="AF913:AG913" si="3390">AF912/AF911</f>
        <v>0.13774104683195593</v>
      </c>
      <c r="AG913" s="938">
        <f t="shared" si="3390"/>
        <v>0.13774104683195593</v>
      </c>
      <c r="AH913" s="133">
        <f t="shared" ref="AH913" si="3391">AE913</f>
        <v>0.13774104683195593</v>
      </c>
      <c r="AI913" s="133">
        <f t="shared" ref="AI913:AJ913" si="3392">AI912/AI911</f>
        <v>0.13774104683195593</v>
      </c>
      <c r="AJ913" s="133">
        <f t="shared" si="3392"/>
        <v>0.13774104683195593</v>
      </c>
      <c r="AK913" s="133">
        <f t="shared" ref="AK913" si="3393">AH913</f>
        <v>0.13774104683195593</v>
      </c>
      <c r="AL913" s="133">
        <f t="shared" ref="AL913:AM913" si="3394">AL912/AL911</f>
        <v>0.13774104683195593</v>
      </c>
      <c r="AM913" s="133">
        <f t="shared" si="3394"/>
        <v>0.13774104683195593</v>
      </c>
      <c r="AN913" s="133">
        <f t="shared" ref="AN913" si="3395">AK913</f>
        <v>0.13774104683195593</v>
      </c>
      <c r="AO913" s="133">
        <f t="shared" ref="AO913:AP913" si="3396">AO912/AO911</f>
        <v>0.13774104683195593</v>
      </c>
      <c r="AP913" s="133">
        <f t="shared" si="3396"/>
        <v>0.13774104683195593</v>
      </c>
      <c r="AQ913" s="133">
        <f t="shared" ref="AQ913" si="3397">AN913</f>
        <v>0.13774104683195593</v>
      </c>
      <c r="AR913" s="133">
        <f t="shared" ref="AR913:AS913" si="3398">AR912/AR911</f>
        <v>0.13774104683195593</v>
      </c>
      <c r="AS913" s="133">
        <f t="shared" si="3398"/>
        <v>0.13774104683195593</v>
      </c>
      <c r="AT913" s="133">
        <f t="shared" ref="AT913" si="3399">AQ913</f>
        <v>0.13774104683195593</v>
      </c>
      <c r="AU913" s="133">
        <f t="shared" ref="AU913:AV913" si="3400">AU912/AU911</f>
        <v>0.13774104683195593</v>
      </c>
      <c r="AV913" s="133">
        <f t="shared" si="3400"/>
        <v>0.13774104683195593</v>
      </c>
      <c r="AW913" s="133">
        <f t="shared" ref="AW913" si="3401">AT913</f>
        <v>0.13774104683195593</v>
      </c>
      <c r="AX913" s="133">
        <f t="shared" ref="AX913:AY913" si="3402">AX912/AX911</f>
        <v>0.13774104683195593</v>
      </c>
      <c r="AY913" s="133">
        <f t="shared" si="3402"/>
        <v>0.13774104683195593</v>
      </c>
      <c r="AZ913" s="133">
        <f t="shared" ref="AZ913" si="3403">AW913</f>
        <v>0.13774104683195593</v>
      </c>
      <c r="BA913" s="133">
        <f t="shared" ref="BA913:BB913" si="3404">BA912/BA911</f>
        <v>0.13774104683195593</v>
      </c>
      <c r="BB913" s="133">
        <f t="shared" si="3404"/>
        <v>0.13774104683195593</v>
      </c>
      <c r="BC913" s="133">
        <f t="shared" ref="BC913" si="3405">AZ913</f>
        <v>0.13774104683195593</v>
      </c>
      <c r="BD913" s="133">
        <f t="shared" ref="BD913:BE913" si="3406">BD912/BD911</f>
        <v>0.13774104683195593</v>
      </c>
      <c r="BE913" s="133">
        <f t="shared" si="3406"/>
        <v>0.13774104683195593</v>
      </c>
      <c r="BF913" s="133">
        <f t="shared" ref="BF913" si="3407">BC913</f>
        <v>0.13774104683195593</v>
      </c>
      <c r="BG913" s="133">
        <f t="shared" ref="BG913:BH913" si="3408">BG912/BG911</f>
        <v>0.13774104683195593</v>
      </c>
      <c r="BH913" s="133">
        <f t="shared" si="3408"/>
        <v>0.13774104683195593</v>
      </c>
      <c r="BI913" s="133">
        <f t="shared" ref="BI913" si="3409">BF913</f>
        <v>0.13774104683195593</v>
      </c>
      <c r="BJ913" s="133">
        <f t="shared" ref="BJ913:BK913" si="3410">BJ912/BJ911</f>
        <v>0.13774104683195593</v>
      </c>
      <c r="BK913" s="133">
        <f t="shared" si="3410"/>
        <v>0.13774104683195593</v>
      </c>
      <c r="BL913" s="133">
        <f t="shared" ref="BL913" si="3411">BI913</f>
        <v>0.13774104683195593</v>
      </c>
      <c r="BM913" s="133">
        <f t="shared" ref="BM913:BN913" si="3412">BM912/BM911</f>
        <v>0.13774104683195593</v>
      </c>
      <c r="BN913" s="133">
        <f t="shared" si="3412"/>
        <v>0.13774104683195593</v>
      </c>
      <c r="BO913" s="133">
        <f t="shared" ref="BO913" si="3413">BL913</f>
        <v>0.13774104683195593</v>
      </c>
      <c r="BP913" s="133">
        <f t="shared" ref="BP913:BQ913" si="3414">BP912/BP911</f>
        <v>0.13774104683195593</v>
      </c>
      <c r="BQ913" s="133">
        <f t="shared" si="3414"/>
        <v>0.13774104683195593</v>
      </c>
      <c r="BR913" s="133">
        <f t="shared" ref="BR913" si="3415">BO913</f>
        <v>0.13774104683195593</v>
      </c>
    </row>
    <row r="914" spans="2:70" outlineLevel="2">
      <c r="B914" s="5"/>
      <c r="C914" s="84" t="s">
        <v>65</v>
      </c>
      <c r="D914" s="31" t="s">
        <v>102</v>
      </c>
      <c r="Q914" s="769">
        <f>Q911*-3%</f>
        <v>-1.65</v>
      </c>
      <c r="U914" s="402">
        <f>U911*-3%</f>
        <v>-0.41249999999999998</v>
      </c>
      <c r="V914" s="370">
        <f>SUM(U914:U914)</f>
        <v>-0.41249999999999998</v>
      </c>
      <c r="W914" s="370">
        <f>Y914*0.5</f>
        <v>-0.82499999999999996</v>
      </c>
      <c r="X914" s="370">
        <f>Y914*0.5</f>
        <v>-0.82499999999999996</v>
      </c>
      <c r="Y914" s="360">
        <f>V914*(Y911/V911)</f>
        <v>-1.65</v>
      </c>
      <c r="Z914" s="370">
        <f t="shared" ref="Z914" si="3416">AB914*0.5</f>
        <v>-0.82499999999999996</v>
      </c>
      <c r="AA914" s="370">
        <f>AB914*0.5</f>
        <v>-0.82499999999999996</v>
      </c>
      <c r="AB914" s="360">
        <f t="shared" ref="AB914" si="3417">Y914*(AB911/Y911)</f>
        <v>-1.65</v>
      </c>
      <c r="AC914" s="370">
        <f t="shared" ref="AC914" si="3418">AE914*0.5</f>
        <v>-0.82499999999999996</v>
      </c>
      <c r="AD914" s="370">
        <f>AE914*0.5</f>
        <v>-0.82499999999999996</v>
      </c>
      <c r="AE914" s="360">
        <f t="shared" ref="AE914" si="3419">AB914*(AE911/AB911)</f>
        <v>-1.65</v>
      </c>
      <c r="AF914" s="370">
        <f t="shared" ref="AF914" si="3420">AH914*0.5</f>
        <v>-0.82499999999999996</v>
      </c>
      <c r="AG914" s="1032">
        <f>AH914*0.5</f>
        <v>-0.82499999999999996</v>
      </c>
      <c r="AH914" s="360">
        <f t="shared" ref="AH914" si="3421">AE914*(AH911/AE911)</f>
        <v>-1.65</v>
      </c>
      <c r="AI914" s="370">
        <f t="shared" ref="AI914" si="3422">AK914*0.5</f>
        <v>-0.82499999999999996</v>
      </c>
      <c r="AJ914" s="370">
        <f>AK914*0.5</f>
        <v>-0.82499999999999996</v>
      </c>
      <c r="AK914" s="360">
        <f t="shared" ref="AK914" si="3423">AH914*(AK911/AH911)</f>
        <v>-1.65</v>
      </c>
      <c r="AL914" s="370">
        <f t="shared" ref="AL914" si="3424">AN914*0.5</f>
        <v>-0.82499999999999996</v>
      </c>
      <c r="AM914" s="370">
        <f>AN914*0.5</f>
        <v>-0.82499999999999996</v>
      </c>
      <c r="AN914" s="360">
        <f t="shared" ref="AN914" si="3425">AK914*(AN911/AK911)</f>
        <v>-1.65</v>
      </c>
      <c r="AO914" s="370">
        <f t="shared" ref="AO914" si="3426">AQ914*0.5</f>
        <v>-0.82499999999999996</v>
      </c>
      <c r="AP914" s="370">
        <f>AQ914*0.5</f>
        <v>-0.82499999999999996</v>
      </c>
      <c r="AQ914" s="360">
        <f t="shared" ref="AQ914" si="3427">AN914*(AQ911/AN911)</f>
        <v>-1.65</v>
      </c>
      <c r="AR914" s="370">
        <f t="shared" ref="AR914" si="3428">AT914*0.5</f>
        <v>-0.82499999999999996</v>
      </c>
      <c r="AS914" s="370">
        <f>AT914*0.5</f>
        <v>-0.82499999999999996</v>
      </c>
      <c r="AT914" s="360">
        <f t="shared" ref="AT914" si="3429">AQ914*(AT911/AQ911)</f>
        <v>-1.65</v>
      </c>
      <c r="AU914" s="370">
        <f t="shared" ref="AU914" si="3430">AW914*0.5</f>
        <v>-0.82499999999999996</v>
      </c>
      <c r="AV914" s="370">
        <f>AW914*0.5</f>
        <v>-0.82499999999999996</v>
      </c>
      <c r="AW914" s="360">
        <f t="shared" ref="AW914" si="3431">AT914*(AW911/AT911)</f>
        <v>-1.65</v>
      </c>
      <c r="AX914" s="370">
        <f t="shared" ref="AX914" si="3432">AZ914*0.5</f>
        <v>-0.82499999999999996</v>
      </c>
      <c r="AY914" s="370">
        <f>AZ914*0.5</f>
        <v>-0.82499999999999996</v>
      </c>
      <c r="AZ914" s="360">
        <f t="shared" ref="AZ914" si="3433">AW914*(AZ911/AW911)</f>
        <v>-1.65</v>
      </c>
      <c r="BA914" s="370">
        <f t="shared" ref="BA914" si="3434">BC914*0.5</f>
        <v>-0.82499999999999996</v>
      </c>
      <c r="BB914" s="370">
        <f>BC914*0.5</f>
        <v>-0.82499999999999996</v>
      </c>
      <c r="BC914" s="360">
        <f t="shared" ref="BC914" si="3435">AZ914*(BC911/AZ911)</f>
        <v>-1.65</v>
      </c>
      <c r="BD914" s="370">
        <f t="shared" ref="BD914" si="3436">BF914*0.5</f>
        <v>-0.82499999999999996</v>
      </c>
      <c r="BE914" s="370">
        <f>BF914*0.5</f>
        <v>-0.82499999999999996</v>
      </c>
      <c r="BF914" s="360">
        <f t="shared" ref="BF914" si="3437">BC914*(BF911/BC911)</f>
        <v>-1.65</v>
      </c>
      <c r="BG914" s="370">
        <f t="shared" ref="BG914" si="3438">BI914*0.5</f>
        <v>-0.82499999999999996</v>
      </c>
      <c r="BH914" s="370">
        <f>BI914*0.5</f>
        <v>-0.82499999999999996</v>
      </c>
      <c r="BI914" s="360">
        <f t="shared" ref="BI914" si="3439">BF914*(BI911/BF911)</f>
        <v>-1.65</v>
      </c>
      <c r="BJ914" s="370">
        <f t="shared" ref="BJ914" si="3440">BL914*0.5</f>
        <v>-0.82499999999999996</v>
      </c>
      <c r="BK914" s="370">
        <f>BL914*0.5</f>
        <v>-0.82499999999999996</v>
      </c>
      <c r="BL914" s="360">
        <f t="shared" ref="BL914" si="3441">BI914*(BL911/BI911)</f>
        <v>-1.65</v>
      </c>
      <c r="BM914" s="370">
        <f t="shared" ref="BM914" si="3442">BO914*0.5</f>
        <v>-0.82499999999999996</v>
      </c>
      <c r="BN914" s="370">
        <f>BO914*0.5</f>
        <v>-0.82499999999999996</v>
      </c>
      <c r="BO914" s="360">
        <f t="shared" ref="BO914" si="3443">BL914*(BO911/BL911)</f>
        <v>-1.65</v>
      </c>
      <c r="BP914" s="370">
        <f t="shared" ref="BP914" si="3444">BR914*0.5</f>
        <v>-0.82499999999999996</v>
      </c>
      <c r="BQ914" s="370">
        <f>BR914*0.5</f>
        <v>-0.82499999999999996</v>
      </c>
      <c r="BR914" s="360">
        <f t="shared" ref="BR914" si="3445">BO914*(BR911/BO911)</f>
        <v>-1.65</v>
      </c>
    </row>
    <row r="915" spans="2:70" outlineLevel="2">
      <c r="B915" s="5"/>
      <c r="C915" s="84" t="s">
        <v>78</v>
      </c>
      <c r="D915" s="31" t="s">
        <v>102</v>
      </c>
      <c r="Q915" s="770">
        <f>Q912+Q914</f>
        <v>5.9257575757575758</v>
      </c>
      <c r="U915" s="360">
        <f>U912+U914</f>
        <v>1.4814393939393939</v>
      </c>
      <c r="V915" s="167">
        <f>SUM(U915:U915)</f>
        <v>1.4814393939393939</v>
      </c>
      <c r="W915" s="167">
        <f>W912+W914</f>
        <v>2.9628787878787879</v>
      </c>
      <c r="X915" s="167">
        <f>X912+X914</f>
        <v>2.9628787878787879</v>
      </c>
      <c r="Y915" s="172">
        <f>SUM(W915:X915)</f>
        <v>5.9257575757575758</v>
      </c>
      <c r="Z915" s="167">
        <f t="shared" ref="Z915" si="3446">Z912+Z914</f>
        <v>2.9628787878787879</v>
      </c>
      <c r="AA915" s="167">
        <f t="shared" ref="AA915" si="3447">AA912+AA914</f>
        <v>2.9628787878787879</v>
      </c>
      <c r="AB915" s="172">
        <f t="shared" ref="AB915" si="3448">SUM(Z915:AA915)</f>
        <v>5.9257575757575758</v>
      </c>
      <c r="AC915" s="167">
        <f t="shared" ref="AC915" si="3449">AC912+AC914</f>
        <v>2.9628787878787879</v>
      </c>
      <c r="AD915" s="167">
        <f t="shared" ref="AD915" si="3450">AD912+AD914</f>
        <v>2.9628787878787879</v>
      </c>
      <c r="AE915" s="172">
        <f t="shared" ref="AE915" si="3451">SUM(AC915:AD915)</f>
        <v>5.9257575757575758</v>
      </c>
      <c r="AF915" s="167">
        <f t="shared" ref="AF915:AG915" si="3452">AF912+AF914</f>
        <v>2.9628787878787879</v>
      </c>
      <c r="AG915" s="1017">
        <f t="shared" si="3452"/>
        <v>2.9628787878787879</v>
      </c>
      <c r="AH915" s="172">
        <f t="shared" ref="AH915" si="3453">SUM(AF915:AG915)</f>
        <v>5.9257575757575758</v>
      </c>
      <c r="AI915" s="167">
        <f t="shared" ref="AI915:AJ915" si="3454">AI912+AI914</f>
        <v>2.9628787878787879</v>
      </c>
      <c r="AJ915" s="167">
        <f t="shared" si="3454"/>
        <v>2.9628787878787879</v>
      </c>
      <c r="AK915" s="172">
        <f t="shared" ref="AK915" si="3455">SUM(AI915:AJ915)</f>
        <v>5.9257575757575758</v>
      </c>
      <c r="AL915" s="167">
        <f t="shared" ref="AL915:AM915" si="3456">AL912+AL914</f>
        <v>2.9628787878787879</v>
      </c>
      <c r="AM915" s="167">
        <f t="shared" si="3456"/>
        <v>2.9628787878787879</v>
      </c>
      <c r="AN915" s="172">
        <f t="shared" ref="AN915" si="3457">SUM(AL915:AM915)</f>
        <v>5.9257575757575758</v>
      </c>
      <c r="AO915" s="167">
        <f t="shared" ref="AO915:AP915" si="3458">AO912+AO914</f>
        <v>2.9628787878787879</v>
      </c>
      <c r="AP915" s="167">
        <f t="shared" si="3458"/>
        <v>2.9628787878787879</v>
      </c>
      <c r="AQ915" s="172">
        <f t="shared" ref="AQ915" si="3459">SUM(AO915:AP915)</f>
        <v>5.9257575757575758</v>
      </c>
      <c r="AR915" s="167">
        <f t="shared" ref="AR915:AS915" si="3460">AR912+AR914</f>
        <v>2.9628787878787879</v>
      </c>
      <c r="AS915" s="167">
        <f t="shared" si="3460"/>
        <v>2.9628787878787879</v>
      </c>
      <c r="AT915" s="172">
        <f t="shared" ref="AT915" si="3461">SUM(AR915:AS915)</f>
        <v>5.9257575757575758</v>
      </c>
      <c r="AU915" s="167">
        <f t="shared" ref="AU915:AV915" si="3462">AU912+AU914</f>
        <v>2.9628787878787879</v>
      </c>
      <c r="AV915" s="167">
        <f t="shared" si="3462"/>
        <v>2.9628787878787879</v>
      </c>
      <c r="AW915" s="172">
        <f t="shared" ref="AW915" si="3463">SUM(AU915:AV915)</f>
        <v>5.9257575757575758</v>
      </c>
      <c r="AX915" s="167">
        <f t="shared" ref="AX915:AY915" si="3464">AX912+AX914</f>
        <v>2.9628787878787879</v>
      </c>
      <c r="AY915" s="167">
        <f t="shared" si="3464"/>
        <v>2.9628787878787879</v>
      </c>
      <c r="AZ915" s="172">
        <f t="shared" ref="AZ915" si="3465">SUM(AX915:AY915)</f>
        <v>5.9257575757575758</v>
      </c>
      <c r="BA915" s="167">
        <f t="shared" ref="BA915:BB915" si="3466">BA912+BA914</f>
        <v>2.9628787878787879</v>
      </c>
      <c r="BB915" s="167">
        <f t="shared" si="3466"/>
        <v>2.9628787878787879</v>
      </c>
      <c r="BC915" s="172">
        <f t="shared" ref="BC915" si="3467">SUM(BA915:BB915)</f>
        <v>5.9257575757575758</v>
      </c>
      <c r="BD915" s="167">
        <f t="shared" ref="BD915:BE915" si="3468">BD912+BD914</f>
        <v>2.9628787878787879</v>
      </c>
      <c r="BE915" s="167">
        <f t="shared" si="3468"/>
        <v>2.9628787878787879</v>
      </c>
      <c r="BF915" s="172">
        <f t="shared" ref="BF915" si="3469">SUM(BD915:BE915)</f>
        <v>5.9257575757575758</v>
      </c>
      <c r="BG915" s="167">
        <f t="shared" ref="BG915:BH915" si="3470">BG912+BG914</f>
        <v>2.9628787878787879</v>
      </c>
      <c r="BH915" s="167">
        <f t="shared" si="3470"/>
        <v>2.9628787878787879</v>
      </c>
      <c r="BI915" s="172">
        <f t="shared" ref="BI915" si="3471">SUM(BG915:BH915)</f>
        <v>5.9257575757575758</v>
      </c>
      <c r="BJ915" s="167">
        <f t="shared" ref="BJ915:BK915" si="3472">BJ912+BJ914</f>
        <v>2.9628787878787879</v>
      </c>
      <c r="BK915" s="167">
        <f t="shared" si="3472"/>
        <v>2.9628787878787879</v>
      </c>
      <c r="BL915" s="172">
        <f t="shared" ref="BL915" si="3473">SUM(BJ915:BK915)</f>
        <v>5.9257575757575758</v>
      </c>
      <c r="BM915" s="167">
        <f t="shared" ref="BM915:BN915" si="3474">BM912+BM914</f>
        <v>2.9628787878787879</v>
      </c>
      <c r="BN915" s="167">
        <f t="shared" si="3474"/>
        <v>2.9628787878787879</v>
      </c>
      <c r="BO915" s="172">
        <f t="shared" ref="BO915" si="3475">SUM(BM915:BN915)</f>
        <v>5.9257575757575758</v>
      </c>
      <c r="BP915" s="167">
        <f t="shared" ref="BP915:BQ915" si="3476">BP912+BP914</f>
        <v>2.9628787878787879</v>
      </c>
      <c r="BQ915" s="167">
        <f t="shared" si="3476"/>
        <v>2.9628787878787879</v>
      </c>
      <c r="BR915" s="172">
        <f t="shared" ref="BR915" si="3477">SUM(BP915:BQ915)</f>
        <v>5.9257575757575758</v>
      </c>
    </row>
    <row r="916" spans="2:70" outlineLevel="2">
      <c r="B916" s="5"/>
      <c r="C916" s="84" t="s">
        <v>74</v>
      </c>
      <c r="D916" s="31" t="s">
        <v>66</v>
      </c>
      <c r="Q916" s="768">
        <f t="shared" ref="Q916" si="3478">Q915/Q911</f>
        <v>0.10774104683195593</v>
      </c>
      <c r="U916" s="162">
        <f t="shared" ref="U916:AE916" si="3479">U915/U911</f>
        <v>0.10774104683195593</v>
      </c>
      <c r="V916" s="162">
        <f t="shared" si="3479"/>
        <v>0.10774104683195593</v>
      </c>
      <c r="W916" s="162">
        <f t="shared" si="3479"/>
        <v>0.10774104683195593</v>
      </c>
      <c r="X916" s="133">
        <f t="shared" si="3479"/>
        <v>0.10774104683195593</v>
      </c>
      <c r="Y916" s="162">
        <f t="shared" si="3479"/>
        <v>0.10774104683195593</v>
      </c>
      <c r="Z916" s="162">
        <f t="shared" si="3479"/>
        <v>0.10774104683195593</v>
      </c>
      <c r="AA916" s="133">
        <f t="shared" si="3479"/>
        <v>0.10774104683195593</v>
      </c>
      <c r="AB916" s="162">
        <f t="shared" si="3479"/>
        <v>0.10774104683195593</v>
      </c>
      <c r="AC916" s="162">
        <f t="shared" si="3479"/>
        <v>0.10774104683195593</v>
      </c>
      <c r="AD916" s="133">
        <f t="shared" si="3479"/>
        <v>0.10774104683195593</v>
      </c>
      <c r="AE916" s="133">
        <f t="shared" si="3479"/>
        <v>0.10774104683195593</v>
      </c>
      <c r="AF916" s="162">
        <f t="shared" ref="AF916:AH916" si="3480">AF915/AF911</f>
        <v>0.10774104683195593</v>
      </c>
      <c r="AG916" s="938">
        <f t="shared" si="3480"/>
        <v>0.10774104683195593</v>
      </c>
      <c r="AH916" s="133">
        <f t="shared" si="3480"/>
        <v>0.10774104683195593</v>
      </c>
      <c r="AI916" s="162">
        <f t="shared" ref="AI916:AN916" si="3481">AI915/AI911</f>
        <v>0.10774104683195593</v>
      </c>
      <c r="AJ916" s="133">
        <f t="shared" si="3481"/>
        <v>0.10774104683195593</v>
      </c>
      <c r="AK916" s="133">
        <f t="shared" si="3481"/>
        <v>0.10774104683195593</v>
      </c>
      <c r="AL916" s="162">
        <f t="shared" si="3481"/>
        <v>0.10774104683195593</v>
      </c>
      <c r="AM916" s="133">
        <f t="shared" si="3481"/>
        <v>0.10774104683195593</v>
      </c>
      <c r="AN916" s="133">
        <f t="shared" si="3481"/>
        <v>0.10774104683195593</v>
      </c>
      <c r="AO916" s="162">
        <f t="shared" ref="AO916:BR916" si="3482">AO915/AO911</f>
        <v>0.10774104683195593</v>
      </c>
      <c r="AP916" s="133">
        <f t="shared" si="3482"/>
        <v>0.10774104683195593</v>
      </c>
      <c r="AQ916" s="133">
        <f t="shared" si="3482"/>
        <v>0.10774104683195593</v>
      </c>
      <c r="AR916" s="162">
        <f t="shared" si="3482"/>
        <v>0.10774104683195593</v>
      </c>
      <c r="AS916" s="133">
        <f t="shared" si="3482"/>
        <v>0.10774104683195593</v>
      </c>
      <c r="AT916" s="133">
        <f t="shared" si="3482"/>
        <v>0.10774104683195593</v>
      </c>
      <c r="AU916" s="162">
        <f t="shared" si="3482"/>
        <v>0.10774104683195593</v>
      </c>
      <c r="AV916" s="133">
        <f t="shared" si="3482"/>
        <v>0.10774104683195593</v>
      </c>
      <c r="AW916" s="133">
        <f t="shared" si="3482"/>
        <v>0.10774104683195593</v>
      </c>
      <c r="AX916" s="162">
        <f t="shared" si="3482"/>
        <v>0.10774104683195593</v>
      </c>
      <c r="AY916" s="133">
        <f t="shared" si="3482"/>
        <v>0.10774104683195593</v>
      </c>
      <c r="AZ916" s="133">
        <f t="shared" si="3482"/>
        <v>0.10774104683195593</v>
      </c>
      <c r="BA916" s="162">
        <f t="shared" si="3482"/>
        <v>0.10774104683195593</v>
      </c>
      <c r="BB916" s="133">
        <f t="shared" si="3482"/>
        <v>0.10774104683195593</v>
      </c>
      <c r="BC916" s="133">
        <f t="shared" si="3482"/>
        <v>0.10774104683195593</v>
      </c>
      <c r="BD916" s="162">
        <f t="shared" si="3482"/>
        <v>0.10774104683195593</v>
      </c>
      <c r="BE916" s="133">
        <f t="shared" si="3482"/>
        <v>0.10774104683195593</v>
      </c>
      <c r="BF916" s="133">
        <f t="shared" si="3482"/>
        <v>0.10774104683195593</v>
      </c>
      <c r="BG916" s="162">
        <f t="shared" si="3482"/>
        <v>0.10774104683195593</v>
      </c>
      <c r="BH916" s="133">
        <f t="shared" si="3482"/>
        <v>0.10774104683195593</v>
      </c>
      <c r="BI916" s="133">
        <f t="shared" si="3482"/>
        <v>0.10774104683195593</v>
      </c>
      <c r="BJ916" s="162">
        <f t="shared" si="3482"/>
        <v>0.10774104683195593</v>
      </c>
      <c r="BK916" s="133">
        <f t="shared" si="3482"/>
        <v>0.10774104683195593</v>
      </c>
      <c r="BL916" s="133">
        <f t="shared" si="3482"/>
        <v>0.10774104683195593</v>
      </c>
      <c r="BM916" s="162">
        <f t="shared" si="3482"/>
        <v>0.10774104683195593</v>
      </c>
      <c r="BN916" s="133">
        <f t="shared" si="3482"/>
        <v>0.10774104683195593</v>
      </c>
      <c r="BO916" s="133">
        <f t="shared" si="3482"/>
        <v>0.10774104683195593</v>
      </c>
      <c r="BP916" s="162">
        <f t="shared" si="3482"/>
        <v>0.10774104683195593</v>
      </c>
      <c r="BQ916" s="133">
        <f t="shared" si="3482"/>
        <v>0.10774104683195593</v>
      </c>
      <c r="BR916" s="133">
        <f t="shared" si="3482"/>
        <v>0.10774104683195593</v>
      </c>
    </row>
    <row r="917" spans="2:70" outlineLevel="2">
      <c r="B917" s="5"/>
      <c r="C917" s="84" t="s">
        <v>90</v>
      </c>
      <c r="D917" s="31" t="s">
        <v>102</v>
      </c>
      <c r="Q917" s="770">
        <f>Q920-Q915</f>
        <v>4.0742424242424242</v>
      </c>
      <c r="U917" s="404">
        <v>0</v>
      </c>
      <c r="V917" s="167">
        <f>SUM(U917:U917)</f>
        <v>0</v>
      </c>
      <c r="W917" s="404">
        <v>1</v>
      </c>
      <c r="X917" s="404">
        <v>1</v>
      </c>
      <c r="Y917" s="156">
        <f>SUM(W917:X917)</f>
        <v>2</v>
      </c>
      <c r="Z917" s="404">
        <v>1</v>
      </c>
      <c r="AA917" s="404">
        <v>1</v>
      </c>
      <c r="AB917" s="156">
        <f>SUM(Z917:AA917)</f>
        <v>2</v>
      </c>
      <c r="AC917" s="404">
        <f>Q917-AB918</f>
        <v>7.4242424242424221E-2</v>
      </c>
      <c r="AD917" s="404">
        <v>0</v>
      </c>
      <c r="AE917" s="157">
        <f>SUM(AC917:AD917)</f>
        <v>7.4242424242424221E-2</v>
      </c>
      <c r="AF917" s="402">
        <v>0</v>
      </c>
      <c r="AG917" s="1030">
        <v>0</v>
      </c>
      <c r="AH917" s="156">
        <f>SUM(AF917:AG917)</f>
        <v>0</v>
      </c>
      <c r="AI917" s="404">
        <v>0</v>
      </c>
      <c r="AJ917" s="404">
        <v>0</v>
      </c>
      <c r="AK917" s="156">
        <f>SUM(AI917:AJ917)</f>
        <v>0</v>
      </c>
      <c r="AL917" s="404">
        <v>0</v>
      </c>
      <c r="AM917" s="404">
        <v>0</v>
      </c>
      <c r="AN917" s="156">
        <f>SUM(AL917:AM917)</f>
        <v>0</v>
      </c>
      <c r="AO917" s="404">
        <v>0</v>
      </c>
      <c r="AP917" s="404">
        <v>0</v>
      </c>
      <c r="AQ917" s="156">
        <f>SUM(AO917:AP917)</f>
        <v>0</v>
      </c>
      <c r="AR917" s="404">
        <v>0</v>
      </c>
      <c r="AS917" s="404">
        <v>0</v>
      </c>
      <c r="AT917" s="156">
        <f>SUM(AR917:AS917)</f>
        <v>0</v>
      </c>
      <c r="AU917" s="404">
        <v>0</v>
      </c>
      <c r="AV917" s="404">
        <v>0</v>
      </c>
      <c r="AW917" s="156">
        <f>SUM(AU917:AV917)</f>
        <v>0</v>
      </c>
      <c r="AX917" s="404">
        <v>0</v>
      </c>
      <c r="AY917" s="404">
        <v>0</v>
      </c>
      <c r="AZ917" s="156">
        <f>SUM(AX917:AY917)</f>
        <v>0</v>
      </c>
      <c r="BA917" s="404">
        <v>0</v>
      </c>
      <c r="BB917" s="404">
        <v>0</v>
      </c>
      <c r="BC917" s="156">
        <f>SUM(BA917:BB917)</f>
        <v>0</v>
      </c>
      <c r="BD917" s="404">
        <v>0</v>
      </c>
      <c r="BE917" s="404">
        <v>0</v>
      </c>
      <c r="BF917" s="156">
        <f>SUM(BD917:BE917)</f>
        <v>0</v>
      </c>
      <c r="BG917" s="404">
        <v>0</v>
      </c>
      <c r="BH917" s="404">
        <v>0</v>
      </c>
      <c r="BI917" s="156">
        <f>SUM(BG917:BH917)</f>
        <v>0</v>
      </c>
      <c r="BJ917" s="404">
        <v>0</v>
      </c>
      <c r="BK917" s="404">
        <v>0</v>
      </c>
      <c r="BL917" s="156">
        <f>SUM(BJ917:BK917)</f>
        <v>0</v>
      </c>
      <c r="BM917" s="404">
        <v>0</v>
      </c>
      <c r="BN917" s="404">
        <v>0</v>
      </c>
      <c r="BO917" s="156">
        <f>SUM(BM917:BN917)</f>
        <v>0</v>
      </c>
      <c r="BP917" s="404">
        <v>0</v>
      </c>
      <c r="BQ917" s="404">
        <v>0</v>
      </c>
      <c r="BR917" s="156">
        <f>SUM(BP917:BQ917)</f>
        <v>0</v>
      </c>
    </row>
    <row r="918" spans="2:70" outlineLevel="2">
      <c r="B918" s="5"/>
      <c r="C918" s="84" t="s">
        <v>89</v>
      </c>
      <c r="D918" s="31"/>
      <c r="Q918" s="771"/>
      <c r="U918" s="24">
        <f>U917</f>
        <v>0</v>
      </c>
      <c r="V918" s="156">
        <f>U918</f>
        <v>0</v>
      </c>
      <c r="W918" s="156">
        <f>U918+W917</f>
        <v>1</v>
      </c>
      <c r="X918" s="156">
        <f>U918+X917</f>
        <v>1</v>
      </c>
      <c r="Y918" s="156">
        <f>SUM(W918:X918)</f>
        <v>2</v>
      </c>
      <c r="Z918" s="156">
        <f t="shared" ref="Z918" si="3483">W918+Z917</f>
        <v>2</v>
      </c>
      <c r="AA918" s="156">
        <f t="shared" ref="AA918" si="3484">X918+AA917</f>
        <v>2</v>
      </c>
      <c r="AB918" s="156">
        <f t="shared" ref="AB918" si="3485">SUM(Z918:AA918)</f>
        <v>4</v>
      </c>
      <c r="AC918" s="156">
        <f t="shared" ref="AC918" si="3486">Z918+AC917</f>
        <v>2.0742424242424242</v>
      </c>
      <c r="AD918" s="156">
        <f t="shared" ref="AD918" si="3487">AA918+AD917</f>
        <v>2</v>
      </c>
      <c r="AE918" s="157">
        <f t="shared" ref="AE918" si="3488">SUM(AC918:AD918)</f>
        <v>4.0742424242424242</v>
      </c>
      <c r="AF918" s="157">
        <f t="shared" ref="AF918" si="3489">AC918+AF917</f>
        <v>2.0742424242424242</v>
      </c>
      <c r="AG918" s="1031">
        <f t="shared" ref="AG918" si="3490">AD918+AG917</f>
        <v>2</v>
      </c>
      <c r="AH918" s="157">
        <f t="shared" ref="AH918" si="3491">SUM(AF918:AG918)</f>
        <v>4.0742424242424242</v>
      </c>
      <c r="AI918" s="156">
        <f t="shared" ref="AI918" si="3492">AF918+AI917</f>
        <v>2.0742424242424242</v>
      </c>
      <c r="AJ918" s="156">
        <f t="shared" ref="AJ918" si="3493">AG918+AJ917</f>
        <v>2</v>
      </c>
      <c r="AK918" s="157">
        <f t="shared" ref="AK918" si="3494">SUM(AI918:AJ918)</f>
        <v>4.0742424242424242</v>
      </c>
      <c r="AL918" s="156">
        <f t="shared" ref="AL918" si="3495">AI918+AL917</f>
        <v>2.0742424242424242</v>
      </c>
      <c r="AM918" s="156">
        <f t="shared" ref="AM918" si="3496">AJ918+AM917</f>
        <v>2</v>
      </c>
      <c r="AN918" s="157">
        <f t="shared" ref="AN918" si="3497">SUM(AL918:AM918)</f>
        <v>4.0742424242424242</v>
      </c>
      <c r="AO918" s="156">
        <f t="shared" ref="AO918" si="3498">AL918+AO917</f>
        <v>2.0742424242424242</v>
      </c>
      <c r="AP918" s="156">
        <f t="shared" ref="AP918" si="3499">AM918+AP917</f>
        <v>2</v>
      </c>
      <c r="AQ918" s="157">
        <f t="shared" ref="AQ918" si="3500">SUM(AO918:AP918)</f>
        <v>4.0742424242424242</v>
      </c>
      <c r="AR918" s="156">
        <f t="shared" ref="AR918" si="3501">AO918+AR917</f>
        <v>2.0742424242424242</v>
      </c>
      <c r="AS918" s="156">
        <f t="shared" ref="AS918" si="3502">AP918+AS917</f>
        <v>2</v>
      </c>
      <c r="AT918" s="157">
        <f t="shared" ref="AT918" si="3503">SUM(AR918:AS918)</f>
        <v>4.0742424242424242</v>
      </c>
      <c r="AU918" s="156">
        <f t="shared" ref="AU918" si="3504">AR918+AU917</f>
        <v>2.0742424242424242</v>
      </c>
      <c r="AV918" s="156">
        <f t="shared" ref="AV918" si="3505">AS918+AV917</f>
        <v>2</v>
      </c>
      <c r="AW918" s="157">
        <f t="shared" ref="AW918" si="3506">SUM(AU918:AV918)</f>
        <v>4.0742424242424242</v>
      </c>
      <c r="AX918" s="156">
        <f t="shared" ref="AX918" si="3507">AU918+AX917</f>
        <v>2.0742424242424242</v>
      </c>
      <c r="AY918" s="156">
        <f t="shared" ref="AY918" si="3508">AV918+AY917</f>
        <v>2</v>
      </c>
      <c r="AZ918" s="157">
        <f t="shared" ref="AZ918" si="3509">SUM(AX918:AY918)</f>
        <v>4.0742424242424242</v>
      </c>
      <c r="BA918" s="156">
        <f t="shared" ref="BA918" si="3510">AX918+BA917</f>
        <v>2.0742424242424242</v>
      </c>
      <c r="BB918" s="156">
        <f t="shared" ref="BB918" si="3511">AY918+BB917</f>
        <v>2</v>
      </c>
      <c r="BC918" s="157">
        <f t="shared" ref="BC918" si="3512">SUM(BA918:BB918)</f>
        <v>4.0742424242424242</v>
      </c>
      <c r="BD918" s="156">
        <f t="shared" ref="BD918" si="3513">BA918+BD917</f>
        <v>2.0742424242424242</v>
      </c>
      <c r="BE918" s="156">
        <f t="shared" ref="BE918" si="3514">BB918+BE917</f>
        <v>2</v>
      </c>
      <c r="BF918" s="157">
        <f t="shared" ref="BF918" si="3515">SUM(BD918:BE918)</f>
        <v>4.0742424242424242</v>
      </c>
      <c r="BG918" s="156">
        <f t="shared" ref="BG918" si="3516">BD918+BG917</f>
        <v>2.0742424242424242</v>
      </c>
      <c r="BH918" s="156">
        <f t="shared" ref="BH918" si="3517">BE918+BH917</f>
        <v>2</v>
      </c>
      <c r="BI918" s="157">
        <f t="shared" ref="BI918" si="3518">SUM(BG918:BH918)</f>
        <v>4.0742424242424242</v>
      </c>
      <c r="BJ918" s="156">
        <f t="shared" ref="BJ918" si="3519">BG918+BJ917</f>
        <v>2.0742424242424242</v>
      </c>
      <c r="BK918" s="156">
        <f t="shared" ref="BK918" si="3520">BH918+BK917</f>
        <v>2</v>
      </c>
      <c r="BL918" s="157">
        <f t="shared" ref="BL918" si="3521">SUM(BJ918:BK918)</f>
        <v>4.0742424242424242</v>
      </c>
      <c r="BM918" s="156">
        <f t="shared" ref="BM918" si="3522">BJ918+BM917</f>
        <v>2.0742424242424242</v>
      </c>
      <c r="BN918" s="156">
        <f t="shared" ref="BN918" si="3523">BK918+BN917</f>
        <v>2</v>
      </c>
      <c r="BO918" s="157">
        <f t="shared" ref="BO918" si="3524">SUM(BM918:BN918)</f>
        <v>4.0742424242424242</v>
      </c>
      <c r="BP918" s="156">
        <f t="shared" ref="BP918" si="3525">BM918+BP917</f>
        <v>2.0742424242424242</v>
      </c>
      <c r="BQ918" s="156">
        <f t="shared" ref="BQ918" si="3526">BN918+BQ917</f>
        <v>2</v>
      </c>
      <c r="BR918" s="157">
        <f t="shared" ref="BR918" si="3527">SUM(BP918:BQ918)</f>
        <v>4.0742424242424242</v>
      </c>
    </row>
    <row r="919" spans="2:70" outlineLevel="2">
      <c r="B919" s="5"/>
      <c r="C919" s="84" t="s">
        <v>264</v>
      </c>
      <c r="D919" s="31" t="s">
        <v>66</v>
      </c>
      <c r="Q919" s="768">
        <f>Q917/Q911</f>
        <v>7.4077134986225895E-2</v>
      </c>
      <c r="U919" s="133"/>
      <c r="V919" s="156"/>
      <c r="W919" s="156"/>
      <c r="X919" s="156"/>
      <c r="Y919" s="156"/>
      <c r="Z919" s="156"/>
      <c r="AA919" s="156"/>
      <c r="AB919" s="156"/>
      <c r="AC919" s="156"/>
      <c r="AD919" s="156"/>
      <c r="AE919" s="157"/>
      <c r="AF919" s="157"/>
      <c r="AG919" s="1031"/>
      <c r="AH919" s="157"/>
      <c r="AI919" s="156"/>
      <c r="AJ919" s="156"/>
      <c r="AK919" s="157"/>
      <c r="AL919" s="156"/>
      <c r="AM919" s="156"/>
      <c r="AN919" s="157"/>
      <c r="AO919" s="156"/>
      <c r="AP919" s="156"/>
      <c r="AQ919" s="157"/>
      <c r="AR919" s="156"/>
      <c r="AS919" s="156"/>
      <c r="AT919" s="157"/>
      <c r="AU919" s="156"/>
      <c r="AV919" s="156"/>
      <c r="AW919" s="157"/>
      <c r="AX919" s="156"/>
      <c r="AY919" s="156"/>
      <c r="AZ919" s="157"/>
      <c r="BA919" s="156"/>
      <c r="BB919" s="156"/>
      <c r="BC919" s="157"/>
      <c r="BD919" s="156"/>
      <c r="BE919" s="156"/>
      <c r="BF919" s="157"/>
      <c r="BG919" s="156"/>
      <c r="BH919" s="156"/>
      <c r="BI919" s="157"/>
      <c r="BJ919" s="156"/>
      <c r="BK919" s="156"/>
      <c r="BL919" s="157"/>
      <c r="BM919" s="156"/>
      <c r="BN919" s="156"/>
      <c r="BO919" s="157"/>
      <c r="BP919" s="156"/>
      <c r="BQ919" s="156"/>
      <c r="BR919" s="157"/>
    </row>
    <row r="920" spans="2:70" outlineLevel="2">
      <c r="B920" s="5"/>
      <c r="C920" s="84" t="s">
        <v>79</v>
      </c>
      <c r="D920" s="31" t="s">
        <v>102</v>
      </c>
      <c r="Q920" s="771">
        <f>Q909*Q921</f>
        <v>10</v>
      </c>
      <c r="U920" s="13">
        <f t="shared" ref="U920:AE920" si="3528">U918+U915</f>
        <v>1.4814393939393939</v>
      </c>
      <c r="V920" s="167">
        <f>SUM(U920:U920)</f>
        <v>1.4814393939393939</v>
      </c>
      <c r="W920" s="13">
        <f t="shared" si="3528"/>
        <v>3.9628787878787879</v>
      </c>
      <c r="X920" s="13">
        <f t="shared" si="3528"/>
        <v>3.9628787878787879</v>
      </c>
      <c r="Y920" s="13">
        <f t="shared" si="3528"/>
        <v>7.9257575757575758</v>
      </c>
      <c r="Z920" s="13">
        <f t="shared" si="3528"/>
        <v>4.9628787878787879</v>
      </c>
      <c r="AA920" s="13">
        <f t="shared" si="3528"/>
        <v>4.9628787878787879</v>
      </c>
      <c r="AB920" s="13">
        <f t="shared" si="3528"/>
        <v>9.9257575757575758</v>
      </c>
      <c r="AC920" s="13">
        <f t="shared" si="3528"/>
        <v>5.0371212121212121</v>
      </c>
      <c r="AD920" s="13">
        <f t="shared" si="3528"/>
        <v>4.9628787878787879</v>
      </c>
      <c r="AE920" s="164">
        <f t="shared" si="3528"/>
        <v>10</v>
      </c>
      <c r="AF920" s="164">
        <f t="shared" ref="AF920:AH920" si="3529">AF918+AF915</f>
        <v>5.0371212121212121</v>
      </c>
      <c r="AG920" s="1018">
        <f t="shared" si="3529"/>
        <v>4.9628787878787879</v>
      </c>
      <c r="AH920" s="164">
        <f t="shared" si="3529"/>
        <v>10</v>
      </c>
      <c r="AI920" s="13">
        <f t="shared" ref="AI920:AN920" si="3530">AI918+AI915</f>
        <v>5.0371212121212121</v>
      </c>
      <c r="AJ920" s="13">
        <f t="shared" si="3530"/>
        <v>4.9628787878787879</v>
      </c>
      <c r="AK920" s="164">
        <f t="shared" si="3530"/>
        <v>10</v>
      </c>
      <c r="AL920" s="13">
        <f t="shared" si="3530"/>
        <v>5.0371212121212121</v>
      </c>
      <c r="AM920" s="13">
        <f t="shared" si="3530"/>
        <v>4.9628787878787879</v>
      </c>
      <c r="AN920" s="164">
        <f t="shared" si="3530"/>
        <v>10</v>
      </c>
      <c r="AO920" s="13">
        <f t="shared" ref="AO920:BR920" si="3531">AO918+AO915</f>
        <v>5.0371212121212121</v>
      </c>
      <c r="AP920" s="13">
        <f t="shared" si="3531"/>
        <v>4.9628787878787879</v>
      </c>
      <c r="AQ920" s="164">
        <f t="shared" si="3531"/>
        <v>10</v>
      </c>
      <c r="AR920" s="13">
        <f t="shared" si="3531"/>
        <v>5.0371212121212121</v>
      </c>
      <c r="AS920" s="13">
        <f t="shared" si="3531"/>
        <v>4.9628787878787879</v>
      </c>
      <c r="AT920" s="164">
        <f t="shared" si="3531"/>
        <v>10</v>
      </c>
      <c r="AU920" s="13">
        <f t="shared" si="3531"/>
        <v>5.0371212121212121</v>
      </c>
      <c r="AV920" s="13">
        <f t="shared" si="3531"/>
        <v>4.9628787878787879</v>
      </c>
      <c r="AW920" s="164">
        <f t="shared" si="3531"/>
        <v>10</v>
      </c>
      <c r="AX920" s="13">
        <f t="shared" si="3531"/>
        <v>5.0371212121212121</v>
      </c>
      <c r="AY920" s="13">
        <f t="shared" si="3531"/>
        <v>4.9628787878787879</v>
      </c>
      <c r="AZ920" s="164">
        <f t="shared" si="3531"/>
        <v>10</v>
      </c>
      <c r="BA920" s="13">
        <f t="shared" si="3531"/>
        <v>5.0371212121212121</v>
      </c>
      <c r="BB920" s="13">
        <f t="shared" si="3531"/>
        <v>4.9628787878787879</v>
      </c>
      <c r="BC920" s="164">
        <f t="shared" si="3531"/>
        <v>10</v>
      </c>
      <c r="BD920" s="13">
        <f t="shared" si="3531"/>
        <v>5.0371212121212121</v>
      </c>
      <c r="BE920" s="13">
        <f t="shared" si="3531"/>
        <v>4.9628787878787879</v>
      </c>
      <c r="BF920" s="164">
        <f t="shared" si="3531"/>
        <v>10</v>
      </c>
      <c r="BG920" s="13">
        <f t="shared" si="3531"/>
        <v>5.0371212121212121</v>
      </c>
      <c r="BH920" s="13">
        <f t="shared" si="3531"/>
        <v>4.9628787878787879</v>
      </c>
      <c r="BI920" s="164">
        <f t="shared" si="3531"/>
        <v>10</v>
      </c>
      <c r="BJ920" s="13">
        <f t="shared" si="3531"/>
        <v>5.0371212121212121</v>
      </c>
      <c r="BK920" s="13">
        <f t="shared" si="3531"/>
        <v>4.9628787878787879</v>
      </c>
      <c r="BL920" s="164">
        <f t="shared" si="3531"/>
        <v>10</v>
      </c>
      <c r="BM920" s="13">
        <f t="shared" si="3531"/>
        <v>5.0371212121212121</v>
      </c>
      <c r="BN920" s="13">
        <f t="shared" si="3531"/>
        <v>4.9628787878787879</v>
      </c>
      <c r="BO920" s="164">
        <f t="shared" si="3531"/>
        <v>10</v>
      </c>
      <c r="BP920" s="13">
        <f t="shared" si="3531"/>
        <v>5.0371212121212121</v>
      </c>
      <c r="BQ920" s="13">
        <f t="shared" si="3531"/>
        <v>4.9628787878787879</v>
      </c>
      <c r="BR920" s="164">
        <f t="shared" si="3531"/>
        <v>10</v>
      </c>
    </row>
    <row r="921" spans="2:70" outlineLevel="2">
      <c r="B921" s="5"/>
      <c r="C921" s="84" t="s">
        <v>75</v>
      </c>
      <c r="D921" s="31" t="s">
        <v>66</v>
      </c>
      <c r="Q921" s="773">
        <v>0.2</v>
      </c>
      <c r="U921" s="20">
        <f>U920/$Q$909*2</f>
        <v>5.9257575757575759E-2</v>
      </c>
      <c r="V921" s="20">
        <f>V920/$Q$909</f>
        <v>2.9628787878787879E-2</v>
      </c>
      <c r="W921" s="20">
        <f>W920/$Q$909*2</f>
        <v>0.15851515151515153</v>
      </c>
      <c r="X921" s="20">
        <f>X920/$Q$909*2</f>
        <v>0.15851515151515153</v>
      </c>
      <c r="Y921" s="20">
        <f>Y920/$Q$909</f>
        <v>0.15851515151515153</v>
      </c>
      <c r="Z921" s="20">
        <f>Z920/$Q$909*2</f>
        <v>0.19851515151515151</v>
      </c>
      <c r="AA921" s="20">
        <f>AA920/$Q$909*2</f>
        <v>0.19851515151515151</v>
      </c>
      <c r="AB921" s="20">
        <f>AB920/$Q$909</f>
        <v>0.19851515151515151</v>
      </c>
      <c r="AC921" s="20">
        <f>AC920/$Q$909*2</f>
        <v>0.20148484848484849</v>
      </c>
      <c r="AD921" s="20">
        <f>AD920/$Q$909*2</f>
        <v>0.19851515151515151</v>
      </c>
      <c r="AE921" s="133">
        <f>AE920/$Q$909</f>
        <v>0.2</v>
      </c>
      <c r="AF921" s="133">
        <f>AF920/$Q$909*2</f>
        <v>0.20148484848484849</v>
      </c>
      <c r="AG921" s="938">
        <f>AG920/$Q$909*2</f>
        <v>0.19851515151515151</v>
      </c>
      <c r="AH921" s="133">
        <f>AH920/$Q$909</f>
        <v>0.2</v>
      </c>
      <c r="AI921" s="20">
        <f>AI920/$Q$909*2</f>
        <v>0.20148484848484849</v>
      </c>
      <c r="AJ921" s="20">
        <f>AJ920/$Q$909*2</f>
        <v>0.19851515151515151</v>
      </c>
      <c r="AK921" s="133">
        <f>AK920/$Q$909</f>
        <v>0.2</v>
      </c>
      <c r="AL921" s="20">
        <f>AL920/$Q$909*2</f>
        <v>0.20148484848484849</v>
      </c>
      <c r="AM921" s="20">
        <f>AM920/$Q$909*2</f>
        <v>0.19851515151515151</v>
      </c>
      <c r="AN921" s="133">
        <f>AN920/$Q$909</f>
        <v>0.2</v>
      </c>
      <c r="AO921" s="20">
        <f>AO920/$Q$909*2</f>
        <v>0.20148484848484849</v>
      </c>
      <c r="AP921" s="20">
        <f>AP920/$Q$909*2</f>
        <v>0.19851515151515151</v>
      </c>
      <c r="AQ921" s="133">
        <f>AQ920/$Q$909</f>
        <v>0.2</v>
      </c>
      <c r="AR921" s="20">
        <f>AR920/$Q$909*2</f>
        <v>0.20148484848484849</v>
      </c>
      <c r="AS921" s="20">
        <f>AS920/$Q$909*2</f>
        <v>0.19851515151515151</v>
      </c>
      <c r="AT921" s="133">
        <f>AT920/$Q$909</f>
        <v>0.2</v>
      </c>
      <c r="AU921" s="20">
        <f>AU920/$Q$909*2</f>
        <v>0.20148484848484849</v>
      </c>
      <c r="AV921" s="20">
        <f>AV920/$Q$909*2</f>
        <v>0.19851515151515151</v>
      </c>
      <c r="AW921" s="133">
        <f>AW920/$Q$909</f>
        <v>0.2</v>
      </c>
      <c r="AX921" s="20">
        <f>AX920/$Q$909*2</f>
        <v>0.20148484848484849</v>
      </c>
      <c r="AY921" s="20">
        <f>AY920/$Q$909*2</f>
        <v>0.19851515151515151</v>
      </c>
      <c r="AZ921" s="133">
        <f>AZ920/$Q$909</f>
        <v>0.2</v>
      </c>
      <c r="BA921" s="20">
        <f>BA920/$Q$909*2</f>
        <v>0.20148484848484849</v>
      </c>
      <c r="BB921" s="20">
        <f>BB920/$Q$909*2</f>
        <v>0.19851515151515151</v>
      </c>
      <c r="BC921" s="133">
        <f>BC920/$Q$909</f>
        <v>0.2</v>
      </c>
      <c r="BD921" s="20">
        <f>BD920/$Q$909*2</f>
        <v>0.20148484848484849</v>
      </c>
      <c r="BE921" s="20">
        <f>BE920/$Q$909*2</f>
        <v>0.19851515151515151</v>
      </c>
      <c r="BF921" s="133">
        <f>BF920/$Q$909</f>
        <v>0.2</v>
      </c>
      <c r="BG921" s="20">
        <f>BG920/$Q$909*2</f>
        <v>0.20148484848484849</v>
      </c>
      <c r="BH921" s="20">
        <f>BH920/$Q$909*2</f>
        <v>0.19851515151515151</v>
      </c>
      <c r="BI921" s="133">
        <f>BI920/$Q$909</f>
        <v>0.2</v>
      </c>
      <c r="BJ921" s="20">
        <f>BJ920/$Q$909*2</f>
        <v>0.20148484848484849</v>
      </c>
      <c r="BK921" s="20">
        <f>BK920/$Q$909*2</f>
        <v>0.19851515151515151</v>
      </c>
      <c r="BL921" s="133">
        <f>BL920/$Q$909</f>
        <v>0.2</v>
      </c>
      <c r="BM921" s="20">
        <f>BM920/$Q$909*2</f>
        <v>0.20148484848484849</v>
      </c>
      <c r="BN921" s="20">
        <f>BN920/$Q$909*2</f>
        <v>0.19851515151515151</v>
      </c>
      <c r="BO921" s="133">
        <f>BO920/$Q$909</f>
        <v>0.2</v>
      </c>
      <c r="BP921" s="20">
        <f>BP920/$Q$909*2</f>
        <v>0.20148484848484849</v>
      </c>
      <c r="BQ921" s="20">
        <f>BQ920/$Q$909*2</f>
        <v>0.19851515151515151</v>
      </c>
      <c r="BR921" s="133">
        <f>BR920/$Q$909</f>
        <v>0.2</v>
      </c>
    </row>
    <row r="922" spans="2:70" outlineLevel="2">
      <c r="B922" s="5"/>
      <c r="C922" s="84" t="s">
        <v>57</v>
      </c>
      <c r="D922" s="7" t="s">
        <v>85</v>
      </c>
      <c r="Q922" s="774">
        <f>Q920*P262</f>
        <v>7.708371898085332</v>
      </c>
      <c r="U922" s="156">
        <f t="shared" ref="U922:AI922" si="3532">U920*R$262</f>
        <v>1.1455437578448884</v>
      </c>
      <c r="V922" s="156">
        <f t="shared" si="3532"/>
        <v>1.175757704085707</v>
      </c>
      <c r="W922" s="156">
        <f t="shared" si="3532"/>
        <v>2.7189282101177783</v>
      </c>
      <c r="X922" s="156">
        <f t="shared" si="3532"/>
        <v>2.6445547290643505</v>
      </c>
      <c r="Y922" s="156">
        <f t="shared" si="3532"/>
        <v>5.3624516289781585</v>
      </c>
      <c r="Z922" s="156">
        <f t="shared" si="3532"/>
        <v>3.4313186261562225</v>
      </c>
      <c r="AA922" s="156">
        <f t="shared" si="3532"/>
        <v>3.4762015772544674</v>
      </c>
      <c r="AB922" s="156">
        <f t="shared" si="3532"/>
        <v>6.9072285677382679</v>
      </c>
      <c r="AC922" s="156">
        <f t="shared" si="3532"/>
        <v>3.299027250249341</v>
      </c>
      <c r="AD922" s="156">
        <f t="shared" si="3532"/>
        <v>3.263790755028297</v>
      </c>
      <c r="AE922" s="157">
        <f t="shared" si="3532"/>
        <v>6.5628904238097272</v>
      </c>
      <c r="AF922" s="157">
        <f t="shared" si="3532"/>
        <v>3.4606614481284783</v>
      </c>
      <c r="AG922" s="1031">
        <f t="shared" si="3532"/>
        <v>3.4562054465685446</v>
      </c>
      <c r="AH922" s="157">
        <f t="shared" si="3532"/>
        <v>6.9168971066207021</v>
      </c>
      <c r="AI922" s="156">
        <f t="shared" si="3532"/>
        <v>3.4606614481284783</v>
      </c>
      <c r="AJ922" s="156">
        <f t="shared" ref="AJ922" si="3533">AJ920*AG$262</f>
        <v>3.4562054465685446</v>
      </c>
      <c r="AK922" s="157">
        <f>AK920*AH$262</f>
        <v>6.9172150848373857</v>
      </c>
      <c r="AL922" s="156">
        <f t="shared" ref="AL922" si="3534">AL920*AI$262</f>
        <v>3.4606614481284783</v>
      </c>
      <c r="AM922" s="156">
        <f t="shared" ref="AM922" si="3535">AM920*AJ$262</f>
        <v>3.4562054465685446</v>
      </c>
      <c r="AN922" s="157">
        <f t="shared" ref="AN922" si="3536">AN920*AK$262</f>
        <v>6.9172150848373857</v>
      </c>
      <c r="AO922" s="156">
        <f t="shared" ref="AO922" si="3537">AO920*AL$262</f>
        <v>3.4606614481284783</v>
      </c>
      <c r="AP922" s="156">
        <f t="shared" ref="AP922" si="3538">AP920*AM$262</f>
        <v>3.4562054465685446</v>
      </c>
      <c r="AQ922" s="157">
        <f t="shared" ref="AQ922" si="3539">AQ920*AN$262</f>
        <v>6.9172150848373857</v>
      </c>
      <c r="AR922" s="156">
        <f t="shared" ref="AR922" si="3540">AR920*AO$262</f>
        <v>3.4606614481284783</v>
      </c>
      <c r="AS922" s="156">
        <f t="shared" ref="AS922" si="3541">AS920*AP$262</f>
        <v>3.4562054465685446</v>
      </c>
      <c r="AT922" s="157">
        <f t="shared" ref="AT922" si="3542">AT920*AQ$262</f>
        <v>6.9172150848373857</v>
      </c>
      <c r="AU922" s="156">
        <f t="shared" ref="AU922" si="3543">AU920*AR$262</f>
        <v>3.4606614481284783</v>
      </c>
      <c r="AV922" s="156">
        <f t="shared" ref="AV922" si="3544">AV920*AS$262</f>
        <v>3.4562054465685446</v>
      </c>
      <c r="AW922" s="157">
        <f t="shared" ref="AW922" si="3545">AW920*AT$262</f>
        <v>6.9172150848373857</v>
      </c>
      <c r="AX922" s="156">
        <f t="shared" ref="AX922" si="3546">AX920*AU$262</f>
        <v>3.4606614481284783</v>
      </c>
      <c r="AY922" s="156">
        <f t="shared" ref="AY922" si="3547">AY920*AV$262</f>
        <v>3.4562054465685446</v>
      </c>
      <c r="AZ922" s="157">
        <f t="shared" ref="AZ922" si="3548">AZ920*AW$262</f>
        <v>6.9172150848373857</v>
      </c>
      <c r="BA922" s="156">
        <f t="shared" ref="BA922" si="3549">BA920*AX$262</f>
        <v>3.4606614481284783</v>
      </c>
      <c r="BB922" s="156">
        <f t="shared" ref="BB922" si="3550">BB920*AY$262</f>
        <v>3.4562054465685446</v>
      </c>
      <c r="BC922" s="157">
        <f t="shared" ref="BC922" si="3551">BC920*AZ$262</f>
        <v>6.9172150848373857</v>
      </c>
      <c r="BD922" s="156">
        <f t="shared" ref="BD922" si="3552">BD920*BA$262</f>
        <v>3.4606614481284783</v>
      </c>
      <c r="BE922" s="156">
        <f t="shared" ref="BE922" si="3553">BE920*BB$262</f>
        <v>3.4562054465685446</v>
      </c>
      <c r="BF922" s="157">
        <f t="shared" ref="BF922" si="3554">BF920*BC$262</f>
        <v>6.9172150848373857</v>
      </c>
      <c r="BG922" s="156">
        <f t="shared" ref="BG922" si="3555">BG920*BD$262</f>
        <v>3.4606614481284783</v>
      </c>
      <c r="BH922" s="156">
        <f t="shared" ref="BH922" si="3556">BH920*BE$262</f>
        <v>3.4562054465685446</v>
      </c>
      <c r="BI922" s="157">
        <f t="shared" ref="BI922" si="3557">BI920*BF$262</f>
        <v>6.9172150848373857</v>
      </c>
      <c r="BJ922" s="156">
        <f t="shared" ref="BJ922" si="3558">BJ920*BG$262</f>
        <v>3.4606614481284783</v>
      </c>
      <c r="BK922" s="156">
        <f t="shared" ref="BK922" si="3559">BK920*BH$262</f>
        <v>3.4562054465685446</v>
      </c>
      <c r="BL922" s="157">
        <f t="shared" ref="BL922" si="3560">BL920*BI$262</f>
        <v>6.9172150848373857</v>
      </c>
      <c r="BM922" s="156">
        <f t="shared" ref="BM922" si="3561">BM920*BJ$262</f>
        <v>3.4606614481284783</v>
      </c>
      <c r="BN922" s="156">
        <f t="shared" ref="BN922" si="3562">BN920*BK$262</f>
        <v>3.4562054465685446</v>
      </c>
      <c r="BO922" s="157">
        <f t="shared" ref="BO922" si="3563">BO920*BL$262</f>
        <v>6.9172150848373857</v>
      </c>
      <c r="BP922" s="156">
        <f t="shared" ref="BP922" si="3564">BP920*BM$262</f>
        <v>3.4606614481284783</v>
      </c>
      <c r="BQ922" s="156">
        <f t="shared" ref="BQ922" si="3565">BQ920*BN$262</f>
        <v>3.4562054465685446</v>
      </c>
      <c r="BR922" s="157">
        <f t="shared" ref="BR922" si="3566">BR920*BO$262</f>
        <v>6.9172150848373857</v>
      </c>
    </row>
    <row r="923" spans="2:70" outlineLevel="2">
      <c r="B923" s="5"/>
      <c r="C923" s="511" t="s">
        <v>267</v>
      </c>
      <c r="D923" s="512" t="s">
        <v>85</v>
      </c>
      <c r="E923" s="512"/>
      <c r="F923" s="512"/>
      <c r="G923" s="512"/>
      <c r="H923" s="512"/>
      <c r="I923" s="512"/>
      <c r="J923" s="512"/>
      <c r="K923" s="512"/>
      <c r="L923" s="512"/>
      <c r="M923" s="512"/>
      <c r="N923" s="512"/>
      <c r="O923" s="512"/>
      <c r="P923" s="513"/>
      <c r="Q923" s="513"/>
      <c r="R923" s="513"/>
      <c r="S923" s="513"/>
      <c r="T923" s="513"/>
      <c r="U923" s="748">
        <f>(U911-R911)*U$262</f>
        <v>9.1758111895465433</v>
      </c>
      <c r="V923" s="748">
        <f>SUM(T923:U923)</f>
        <v>9.1758111895465433</v>
      </c>
      <c r="W923" s="748">
        <f>(W911-T911)*W$262</f>
        <v>19.01341262852555</v>
      </c>
      <c r="X923" s="748">
        <f>(X911-U911)*X$262</f>
        <v>9.6310576442021958</v>
      </c>
      <c r="Y923" s="748">
        <f>SUM(W923:X923)</f>
        <v>28.644470272727744</v>
      </c>
      <c r="Z923" s="748">
        <f>(Z911-W911)*Z$262</f>
        <v>0</v>
      </c>
      <c r="AA923" s="748">
        <f>(AA911-X911)*AA$262</f>
        <v>0</v>
      </c>
      <c r="AB923" s="748">
        <f>SUM(Z923:AA923)</f>
        <v>0</v>
      </c>
      <c r="AC923" s="748">
        <f>(AC911-Z911)*AC$262</f>
        <v>0</v>
      </c>
      <c r="AD923" s="748">
        <f>(AD911-AA911)*AD$262</f>
        <v>0</v>
      </c>
      <c r="AE923" s="748">
        <f>SUM(AC923:AD923)</f>
        <v>0</v>
      </c>
      <c r="AF923" s="748">
        <f>(AF911-AC911)*AF$262</f>
        <v>0</v>
      </c>
      <c r="AG923" s="1033">
        <f t="shared" ref="AG923" si="3567">(AG911-AD911)*AG$262</f>
        <v>0</v>
      </c>
      <c r="AH923" s="748">
        <f>SUM(AF923:AG923)</f>
        <v>0</v>
      </c>
      <c r="AI923" s="748">
        <f t="shared" ref="AI923" si="3568">(AI911-AF911)*AI$262</f>
        <v>0</v>
      </c>
      <c r="AJ923" s="748">
        <f t="shared" ref="AJ923" si="3569">(AJ911-AG911)*AJ$262</f>
        <v>0</v>
      </c>
      <c r="AK923" s="748">
        <f>SUM(AI923:AJ923)</f>
        <v>0</v>
      </c>
      <c r="AL923" s="748">
        <f t="shared" ref="AL923" si="3570">(AL911-AI911)*AL$262</f>
        <v>0</v>
      </c>
      <c r="AM923" s="748">
        <f t="shared" ref="AM923" si="3571">(AM911-AJ911)*AM$262</f>
        <v>0</v>
      </c>
      <c r="AN923" s="748">
        <f>SUM(AL923:AM923)</f>
        <v>0</v>
      </c>
      <c r="AO923" s="748">
        <f t="shared" ref="AO923" si="3572">(AO911-AL911)*AO$262</f>
        <v>0</v>
      </c>
      <c r="AP923" s="748">
        <f t="shared" ref="AP923" si="3573">(AP911-AM911)*AP$262</f>
        <v>0</v>
      </c>
      <c r="AQ923" s="748">
        <f>SUM(AO923:AP923)</f>
        <v>0</v>
      </c>
      <c r="AR923" s="748">
        <f t="shared" ref="AR923" si="3574">(AR911-AO911)*AR$262</f>
        <v>0</v>
      </c>
      <c r="AS923" s="748">
        <f t="shared" ref="AS923" si="3575">(AS911-AP911)*AS$262</f>
        <v>0</v>
      </c>
      <c r="AT923" s="748">
        <f>SUM(AR923:AS923)</f>
        <v>0</v>
      </c>
      <c r="AU923" s="748">
        <f t="shared" ref="AU923" si="3576">(AU911-AR911)*AU$262</f>
        <v>0</v>
      </c>
      <c r="AV923" s="748">
        <f t="shared" ref="AV923" si="3577">(AV911-AS911)*AV$262</f>
        <v>0</v>
      </c>
      <c r="AW923" s="748">
        <f>SUM(AU923:AV923)</f>
        <v>0</v>
      </c>
      <c r="AX923" s="748">
        <f t="shared" ref="AX923" si="3578">(AX911-AU911)*AX$262</f>
        <v>0</v>
      </c>
      <c r="AY923" s="748">
        <f t="shared" ref="AY923" si="3579">(AY911-AV911)*AY$262</f>
        <v>0</v>
      </c>
      <c r="AZ923" s="748">
        <f>SUM(AX923:AY923)</f>
        <v>0</v>
      </c>
      <c r="BA923" s="748">
        <f t="shared" ref="BA923" si="3580">(BA911-AX911)*BA$262</f>
        <v>0</v>
      </c>
      <c r="BB923" s="748">
        <f t="shared" ref="BB923" si="3581">(BB911-AY911)*BB$262</f>
        <v>0</v>
      </c>
      <c r="BC923" s="748">
        <f>SUM(BA923:BB923)</f>
        <v>0</v>
      </c>
      <c r="BD923" s="748">
        <f t="shared" ref="BD923" si="3582">(BD911-BA911)*BD$262</f>
        <v>0</v>
      </c>
      <c r="BE923" s="748">
        <f t="shared" ref="BE923" si="3583">(BE911-BB911)*BE$262</f>
        <v>0</v>
      </c>
      <c r="BF923" s="748">
        <f>SUM(BD923:BE923)</f>
        <v>0</v>
      </c>
      <c r="BG923" s="748">
        <f t="shared" ref="BG923" si="3584">(BG911-BD911)*BG$262</f>
        <v>0</v>
      </c>
      <c r="BH923" s="748">
        <f t="shared" ref="BH923" si="3585">(BH911-BE911)*BH$262</f>
        <v>0</v>
      </c>
      <c r="BI923" s="748">
        <f>SUM(BG923:BH923)</f>
        <v>0</v>
      </c>
      <c r="BJ923" s="748">
        <f t="shared" ref="BJ923" si="3586">(BJ911-BG911)*BJ$262</f>
        <v>0</v>
      </c>
      <c r="BK923" s="748">
        <f t="shared" ref="BK923" si="3587">(BK911-BH911)*BK$262</f>
        <v>0</v>
      </c>
      <c r="BL923" s="748">
        <f>SUM(BJ923:BK923)</f>
        <v>0</v>
      </c>
      <c r="BM923" s="748">
        <f t="shared" ref="BM923" si="3588">(BM911-BJ911)*BM$262</f>
        <v>0</v>
      </c>
      <c r="BN923" s="748">
        <f t="shared" ref="BN923" si="3589">(BN911-BK911)*BN$262</f>
        <v>0</v>
      </c>
      <c r="BO923" s="748">
        <f>SUM(BM923:BN923)</f>
        <v>0</v>
      </c>
      <c r="BP923" s="748">
        <f t="shared" ref="BP923" si="3590">(BP911-BM911)*BP$262</f>
        <v>0</v>
      </c>
      <c r="BQ923" s="748">
        <f t="shared" ref="BQ923" si="3591">(BQ911-BN911)*BQ$262</f>
        <v>0</v>
      </c>
      <c r="BR923" s="787">
        <f>SUM(BP923:BQ923)</f>
        <v>0</v>
      </c>
    </row>
    <row r="924" spans="2:70" outlineLevel="2">
      <c r="B924" s="5"/>
      <c r="C924" s="516" t="s">
        <v>268</v>
      </c>
      <c r="D924" s="401" t="s">
        <v>85</v>
      </c>
      <c r="E924" s="401"/>
      <c r="F924" s="401"/>
      <c r="G924" s="401"/>
      <c r="H924" s="401"/>
      <c r="I924" s="401"/>
      <c r="J924" s="401"/>
      <c r="K924" s="401"/>
      <c r="L924" s="401"/>
      <c r="M924" s="401"/>
      <c r="N924" s="401"/>
      <c r="O924" s="401"/>
      <c r="P924" s="130"/>
      <c r="Q924" s="130"/>
      <c r="R924" s="130"/>
      <c r="S924" s="130"/>
      <c r="T924" s="130"/>
      <c r="U924" s="360">
        <f>(U914-R914)*U$262</f>
        <v>-0.27527433568639625</v>
      </c>
      <c r="V924" s="360">
        <f>SUM(T924:U924)</f>
        <v>-0.27527433568639625</v>
      </c>
      <c r="W924" s="360">
        <f>(W914-T914)*W$262</f>
        <v>-0.5704023788557665</v>
      </c>
      <c r="X924" s="360">
        <f>(X914-U914)*X$262</f>
        <v>-0.28893172932606587</v>
      </c>
      <c r="Y924" s="360">
        <f>SUM(W924:X924)</f>
        <v>-0.85933410818183242</v>
      </c>
      <c r="Z924" s="360">
        <f>(Z914-W914)*Z$262</f>
        <v>0</v>
      </c>
      <c r="AA924" s="360">
        <f>(AA914-X914)*AA$262</f>
        <v>0</v>
      </c>
      <c r="AB924" s="360">
        <f>SUM(Z924:AA924)</f>
        <v>0</v>
      </c>
      <c r="AC924" s="360">
        <f>(AC914-Z914)*AC$262</f>
        <v>0</v>
      </c>
      <c r="AD924" s="360">
        <f>(AD914-AA914)*AD$262</f>
        <v>0</v>
      </c>
      <c r="AE924" s="360">
        <f>SUM(AC924:AD924)</f>
        <v>0</v>
      </c>
      <c r="AF924" s="360">
        <f>(AF914-AC914)*AF$262</f>
        <v>0</v>
      </c>
      <c r="AG924" s="942">
        <f t="shared" ref="AG924" si="3592">(AG914-AD914)*AG$262</f>
        <v>0</v>
      </c>
      <c r="AH924" s="360">
        <f>SUM(AF924:AG924)</f>
        <v>0</v>
      </c>
      <c r="AI924" s="360">
        <f t="shared" ref="AI924" si="3593">(AI914-AF914)*AI$262</f>
        <v>0</v>
      </c>
      <c r="AJ924" s="360">
        <f t="shared" ref="AJ924" si="3594">(AJ914-AG914)*AJ$262</f>
        <v>0</v>
      </c>
      <c r="AK924" s="360">
        <f t="shared" ref="AK924:AK925" si="3595">SUM(AI924:AJ924)</f>
        <v>0</v>
      </c>
      <c r="AL924" s="360">
        <f t="shared" ref="AL924" si="3596">(AL914-AI914)*AL$262</f>
        <v>0</v>
      </c>
      <c r="AM924" s="360">
        <f t="shared" ref="AM924" si="3597">(AM914-AJ914)*AM$262</f>
        <v>0</v>
      </c>
      <c r="AN924" s="360">
        <f t="shared" ref="AN924:AN925" si="3598">SUM(AL924:AM924)</f>
        <v>0</v>
      </c>
      <c r="AO924" s="360">
        <f t="shared" ref="AO924" si="3599">(AO914-AL914)*AO$262</f>
        <v>0</v>
      </c>
      <c r="AP924" s="360">
        <f t="shared" ref="AP924" si="3600">(AP914-AM914)*AP$262</f>
        <v>0</v>
      </c>
      <c r="AQ924" s="360">
        <f t="shared" ref="AQ924:AQ925" si="3601">SUM(AO924:AP924)</f>
        <v>0</v>
      </c>
      <c r="AR924" s="360">
        <f t="shared" ref="AR924" si="3602">(AR914-AO914)*AR$262</f>
        <v>0</v>
      </c>
      <c r="AS924" s="360">
        <f t="shared" ref="AS924" si="3603">(AS914-AP914)*AS$262</f>
        <v>0</v>
      </c>
      <c r="AT924" s="360">
        <f t="shared" ref="AT924:AT925" si="3604">SUM(AR924:AS924)</f>
        <v>0</v>
      </c>
      <c r="AU924" s="360">
        <f t="shared" ref="AU924" si="3605">(AU914-AR914)*AU$262</f>
        <v>0</v>
      </c>
      <c r="AV924" s="360">
        <f t="shared" ref="AV924" si="3606">(AV914-AS914)*AV$262</f>
        <v>0</v>
      </c>
      <c r="AW924" s="360">
        <f t="shared" ref="AW924:AW925" si="3607">SUM(AU924:AV924)</f>
        <v>0</v>
      </c>
      <c r="AX924" s="360">
        <f t="shared" ref="AX924" si="3608">(AX914-AU914)*AX$262</f>
        <v>0</v>
      </c>
      <c r="AY924" s="360">
        <f t="shared" ref="AY924" si="3609">(AY914-AV914)*AY$262</f>
        <v>0</v>
      </c>
      <c r="AZ924" s="360">
        <f t="shared" ref="AZ924:AZ925" si="3610">SUM(AX924:AY924)</f>
        <v>0</v>
      </c>
      <c r="BA924" s="360">
        <f t="shared" ref="BA924" si="3611">(BA914-AX914)*BA$262</f>
        <v>0</v>
      </c>
      <c r="BB924" s="360">
        <f t="shared" ref="BB924" si="3612">(BB914-AY914)*BB$262</f>
        <v>0</v>
      </c>
      <c r="BC924" s="360">
        <f t="shared" ref="BC924:BC925" si="3613">SUM(BA924:BB924)</f>
        <v>0</v>
      </c>
      <c r="BD924" s="360">
        <f t="shared" ref="BD924" si="3614">(BD914-BA914)*BD$262</f>
        <v>0</v>
      </c>
      <c r="BE924" s="360">
        <f t="shared" ref="BE924" si="3615">(BE914-BB914)*BE$262</f>
        <v>0</v>
      </c>
      <c r="BF924" s="360">
        <f t="shared" ref="BF924:BF925" si="3616">SUM(BD924:BE924)</f>
        <v>0</v>
      </c>
      <c r="BG924" s="360">
        <f t="shared" ref="BG924" si="3617">(BG914-BD914)*BG$262</f>
        <v>0</v>
      </c>
      <c r="BH924" s="360">
        <f t="shared" ref="BH924" si="3618">(BH914-BE914)*BH$262</f>
        <v>0</v>
      </c>
      <c r="BI924" s="360">
        <f t="shared" ref="BI924:BI925" si="3619">SUM(BG924:BH924)</f>
        <v>0</v>
      </c>
      <c r="BJ924" s="360">
        <f t="shared" ref="BJ924" si="3620">(BJ914-BG914)*BJ$262</f>
        <v>0</v>
      </c>
      <c r="BK924" s="360">
        <f t="shared" ref="BK924" si="3621">(BK914-BH914)*BK$262</f>
        <v>0</v>
      </c>
      <c r="BL924" s="360">
        <f t="shared" ref="BL924:BL925" si="3622">SUM(BJ924:BK924)</f>
        <v>0</v>
      </c>
      <c r="BM924" s="360">
        <f t="shared" ref="BM924" si="3623">(BM914-BJ914)*BM$262</f>
        <v>0</v>
      </c>
      <c r="BN924" s="360">
        <f t="shared" ref="BN924" si="3624">(BN914-BK914)*BN$262</f>
        <v>0</v>
      </c>
      <c r="BO924" s="360">
        <f t="shared" ref="BO924:BO925" si="3625">SUM(BM924:BN924)</f>
        <v>0</v>
      </c>
      <c r="BP924" s="360">
        <f t="shared" ref="BP924" si="3626">(BP914-BM914)*BP$262</f>
        <v>0</v>
      </c>
      <c r="BQ924" s="360">
        <f t="shared" ref="BQ924" si="3627">(BQ914-BN914)*BQ$262</f>
        <v>0</v>
      </c>
      <c r="BR924" s="788">
        <f t="shared" ref="BR924:BR925" si="3628">SUM(BP924:BQ924)</f>
        <v>0</v>
      </c>
    </row>
    <row r="925" spans="2:70" outlineLevel="2">
      <c r="B925" s="5"/>
      <c r="C925" s="518" t="s">
        <v>269</v>
      </c>
      <c r="D925" s="519" t="s">
        <v>85</v>
      </c>
      <c r="E925" s="519"/>
      <c r="F925" s="519"/>
      <c r="G925" s="519"/>
      <c r="H925" s="519"/>
      <c r="I925" s="519"/>
      <c r="J925" s="519"/>
      <c r="K925" s="519"/>
      <c r="L925" s="519"/>
      <c r="M925" s="519"/>
      <c r="N925" s="519"/>
      <c r="O925" s="519"/>
      <c r="P925" s="520"/>
      <c r="Q925" s="520"/>
      <c r="R925" s="520"/>
      <c r="S925" s="520"/>
      <c r="T925" s="520"/>
      <c r="U925" s="749">
        <f>(U920-R920)*U$262</f>
        <v>0.98861150309411927</v>
      </c>
      <c r="V925" s="749">
        <f>SUM(T925:U925)</f>
        <v>0.98861150309411927</v>
      </c>
      <c r="W925" s="749">
        <f>(W920-T920)*W$262</f>
        <v>2.739921803300748</v>
      </c>
      <c r="X925" s="749">
        <f>(X920-U920)*X$262</f>
        <v>1.7381007886272337</v>
      </c>
      <c r="Y925" s="749">
        <f>SUM(W925:X925)</f>
        <v>4.4780225919279815</v>
      </c>
      <c r="Z925" s="749">
        <f>(Z920-W920)*Z$262</f>
        <v>0.65494299448475413</v>
      </c>
      <c r="AA925" s="749">
        <f>(AA920-X920)*AA$262</f>
        <v>0.65764063450425159</v>
      </c>
      <c r="AB925" s="749">
        <f>SUM(Z925:AA925)</f>
        <v>1.3125836289890058</v>
      </c>
      <c r="AC925" s="749">
        <f>(AC920-Z920)*AC$262</f>
        <v>5.100689155009637E-2</v>
      </c>
      <c r="AD925" s="749">
        <f>(AD920-AA920)*AD$262</f>
        <v>0</v>
      </c>
      <c r="AE925" s="749">
        <f>SUM(AC925:AD925)</f>
        <v>5.100689155009637E-2</v>
      </c>
      <c r="AF925" s="749">
        <f>(AF920-AC920)*AF$262</f>
        <v>0</v>
      </c>
      <c r="AG925" s="1034">
        <f t="shared" ref="AG925" si="3629">(AG920-AD920)*AG$262</f>
        <v>0</v>
      </c>
      <c r="AH925" s="749">
        <f>SUM(AF925:AG925)</f>
        <v>0</v>
      </c>
      <c r="AI925" s="749">
        <f t="shared" ref="AI925" si="3630">(AI920-AF920)*AI$262</f>
        <v>0</v>
      </c>
      <c r="AJ925" s="749">
        <f t="shared" ref="AJ925" si="3631">(AJ920-AG920)*AJ$262</f>
        <v>0</v>
      </c>
      <c r="AK925" s="749">
        <f t="shared" si="3595"/>
        <v>0</v>
      </c>
      <c r="AL925" s="749">
        <f t="shared" ref="AL925" si="3632">(AL920-AI920)*AL$262</f>
        <v>0</v>
      </c>
      <c r="AM925" s="749">
        <f t="shared" ref="AM925" si="3633">(AM920-AJ920)*AM$262</f>
        <v>0</v>
      </c>
      <c r="AN925" s="749">
        <f t="shared" si="3598"/>
        <v>0</v>
      </c>
      <c r="AO925" s="749">
        <f t="shared" ref="AO925" si="3634">(AO920-AL920)*AO$262</f>
        <v>0</v>
      </c>
      <c r="AP925" s="749">
        <f t="shared" ref="AP925" si="3635">(AP920-AM920)*AP$262</f>
        <v>0</v>
      </c>
      <c r="AQ925" s="749">
        <f t="shared" si="3601"/>
        <v>0</v>
      </c>
      <c r="AR925" s="749">
        <f t="shared" ref="AR925" si="3636">(AR920-AO920)*AR$262</f>
        <v>0</v>
      </c>
      <c r="AS925" s="749">
        <f t="shared" ref="AS925" si="3637">(AS920-AP920)*AS$262</f>
        <v>0</v>
      </c>
      <c r="AT925" s="749">
        <f t="shared" si="3604"/>
        <v>0</v>
      </c>
      <c r="AU925" s="749">
        <f t="shared" ref="AU925" si="3638">(AU920-AR920)*AU$262</f>
        <v>0</v>
      </c>
      <c r="AV925" s="749">
        <f t="shared" ref="AV925" si="3639">(AV920-AS920)*AV$262</f>
        <v>0</v>
      </c>
      <c r="AW925" s="749">
        <f t="shared" si="3607"/>
        <v>0</v>
      </c>
      <c r="AX925" s="749">
        <f t="shared" ref="AX925" si="3640">(AX920-AU920)*AX$262</f>
        <v>0</v>
      </c>
      <c r="AY925" s="749">
        <f t="shared" ref="AY925" si="3641">(AY920-AV920)*AY$262</f>
        <v>0</v>
      </c>
      <c r="AZ925" s="749">
        <f t="shared" si="3610"/>
        <v>0</v>
      </c>
      <c r="BA925" s="749">
        <f t="shared" ref="BA925" si="3642">(BA920-AX920)*BA$262</f>
        <v>0</v>
      </c>
      <c r="BB925" s="749">
        <f t="shared" ref="BB925" si="3643">(BB920-AY920)*BB$262</f>
        <v>0</v>
      </c>
      <c r="BC925" s="749">
        <f t="shared" si="3613"/>
        <v>0</v>
      </c>
      <c r="BD925" s="749">
        <f t="shared" ref="BD925" si="3644">(BD920-BA920)*BD$262</f>
        <v>0</v>
      </c>
      <c r="BE925" s="749">
        <f t="shared" ref="BE925" si="3645">(BE920-BB920)*BE$262</f>
        <v>0</v>
      </c>
      <c r="BF925" s="749">
        <f t="shared" si="3616"/>
        <v>0</v>
      </c>
      <c r="BG925" s="749">
        <f t="shared" ref="BG925" si="3646">(BG920-BD920)*BG$262</f>
        <v>0</v>
      </c>
      <c r="BH925" s="749">
        <f t="shared" ref="BH925" si="3647">(BH920-BE920)*BH$262</f>
        <v>0</v>
      </c>
      <c r="BI925" s="749">
        <f t="shared" si="3619"/>
        <v>0</v>
      </c>
      <c r="BJ925" s="749">
        <f t="shared" ref="BJ925" si="3648">(BJ920-BG920)*BJ$262</f>
        <v>0</v>
      </c>
      <c r="BK925" s="749">
        <f t="shared" ref="BK925" si="3649">(BK920-BH920)*BK$262</f>
        <v>0</v>
      </c>
      <c r="BL925" s="749">
        <f t="shared" si="3622"/>
        <v>0</v>
      </c>
      <c r="BM925" s="749">
        <f t="shared" ref="BM925" si="3650">(BM920-BJ920)*BM$262</f>
        <v>0</v>
      </c>
      <c r="BN925" s="749">
        <f t="shared" ref="BN925" si="3651">(BN920-BK920)*BN$262</f>
        <v>0</v>
      </c>
      <c r="BO925" s="749">
        <f t="shared" si="3625"/>
        <v>0</v>
      </c>
      <c r="BP925" s="749">
        <f t="shared" ref="BP925" si="3652">(BP920-BM920)*BP$262</f>
        <v>0</v>
      </c>
      <c r="BQ925" s="749">
        <f t="shared" ref="BQ925" si="3653">(BQ920-BN920)*BQ$262</f>
        <v>0</v>
      </c>
      <c r="BR925" s="789">
        <f t="shared" si="3628"/>
        <v>0</v>
      </c>
    </row>
    <row r="926" spans="2:70" outlineLevel="2">
      <c r="B926" s="5"/>
      <c r="C926" s="9"/>
    </row>
    <row r="927" spans="2:70" outlineLevel="2">
      <c r="B927" s="5"/>
      <c r="C927" s="8" t="s">
        <v>524</v>
      </c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AF927" s="26"/>
      <c r="AG927" s="933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8"/>
      <c r="BC927" s="18"/>
      <c r="BD927" s="18"/>
      <c r="BE927" s="18"/>
      <c r="BF927" s="18"/>
      <c r="BG927" s="18"/>
      <c r="BH927" s="18"/>
      <c r="BI927" s="18"/>
      <c r="BJ927" s="18"/>
      <c r="BK927" s="18"/>
      <c r="BL927" s="18"/>
      <c r="BM927" s="18"/>
      <c r="BN927" s="18"/>
      <c r="BO927" s="18"/>
      <c r="BP927" s="18"/>
      <c r="BQ927" s="18"/>
      <c r="BR927" s="18"/>
    </row>
    <row r="928" spans="2:70" outlineLevel="2">
      <c r="B928" s="5"/>
      <c r="C928" s="9" t="s">
        <v>266</v>
      </c>
      <c r="D928" s="31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63" t="s">
        <v>517</v>
      </c>
      <c r="T928" s="130"/>
      <c r="U928" s="130"/>
      <c r="V928" s="130"/>
      <c r="W928" s="130"/>
      <c r="X928" s="130"/>
      <c r="Y928" s="130"/>
      <c r="Z928" s="130"/>
      <c r="AA928" s="130"/>
      <c r="AB928" s="130"/>
      <c r="AC928" s="130"/>
      <c r="AD928" s="130"/>
      <c r="AE928" s="26"/>
      <c r="AF928" s="26"/>
      <c r="AG928" s="933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8"/>
      <c r="BC928" s="18"/>
      <c r="BD928" s="18"/>
      <c r="BE928" s="18"/>
      <c r="BF928" s="18"/>
      <c r="BG928" s="18"/>
      <c r="BH928" s="18"/>
      <c r="BI928" s="18"/>
      <c r="BJ928" s="18"/>
      <c r="BK928" s="18"/>
      <c r="BL928" s="18"/>
      <c r="BM928" s="18"/>
      <c r="BN928" s="18"/>
      <c r="BO928" s="18"/>
      <c r="BP928" s="18"/>
      <c r="BQ928" s="18"/>
      <c r="BR928" s="18"/>
    </row>
    <row r="929" spans="2:70" outlineLevel="2">
      <c r="B929" s="5"/>
      <c r="C929" s="9" t="s">
        <v>262</v>
      </c>
      <c r="D929" s="74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64">
        <v>41568</v>
      </c>
      <c r="T929" s="357"/>
      <c r="U929" s="130"/>
      <c r="V929" s="130"/>
      <c r="W929" s="130"/>
      <c r="X929" s="130"/>
      <c r="Y929" s="130"/>
      <c r="Z929" s="130"/>
      <c r="AA929" s="130"/>
      <c r="AB929" s="130"/>
      <c r="AC929" s="130"/>
      <c r="AD929" s="130"/>
      <c r="AE929" s="26"/>
      <c r="AF929" s="26"/>
      <c r="AG929" s="933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8"/>
      <c r="BC929" s="18"/>
      <c r="BD929" s="18"/>
      <c r="BE929" s="18"/>
      <c r="BF929" s="18"/>
      <c r="BG929" s="18"/>
      <c r="BH929" s="18"/>
      <c r="BI929" s="18"/>
      <c r="BJ929" s="18"/>
      <c r="BK929" s="18"/>
      <c r="BL929" s="18"/>
      <c r="BM929" s="18"/>
      <c r="BN929" s="18"/>
      <c r="BO929" s="18"/>
      <c r="BP929" s="18"/>
      <c r="BQ929" s="18"/>
      <c r="BR929" s="18"/>
    </row>
    <row r="930" spans="2:70" outlineLevel="2">
      <c r="B930" s="5"/>
      <c r="C930" s="84" t="s">
        <v>72</v>
      </c>
      <c r="D930" s="31" t="s">
        <v>526</v>
      </c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65">
        <v>350</v>
      </c>
      <c r="T930" s="358"/>
      <c r="U930" s="130"/>
      <c r="V930" s="130"/>
      <c r="W930" s="130"/>
      <c r="X930" s="130"/>
      <c r="Y930" s="130"/>
      <c r="Z930" s="130"/>
      <c r="AA930" s="130"/>
      <c r="AB930" s="130"/>
      <c r="AC930" s="130"/>
      <c r="AD930" s="130"/>
      <c r="AE930" s="26"/>
      <c r="AF930" s="26"/>
      <c r="AG930" s="933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8"/>
      <c r="BC930" s="18"/>
      <c r="BD930" s="18"/>
      <c r="BE930" s="18"/>
      <c r="BF930" s="18"/>
      <c r="BG930" s="18"/>
      <c r="BH930" s="18"/>
      <c r="BI930" s="18"/>
      <c r="BJ930" s="18"/>
      <c r="BK930" s="18"/>
      <c r="BL930" s="18"/>
      <c r="BM930" s="18"/>
      <c r="BN930" s="18"/>
      <c r="BO930" s="18"/>
      <c r="BP930" s="18"/>
      <c r="BQ930" s="18"/>
      <c r="BR930" s="18"/>
    </row>
    <row r="931" spans="2:70" outlineLevel="2">
      <c r="B931" s="5"/>
      <c r="C931" s="84" t="s">
        <v>76</v>
      </c>
      <c r="D931" s="74" t="s">
        <v>77</v>
      </c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66">
        <v>8</v>
      </c>
      <c r="T931" s="27"/>
      <c r="U931" s="130"/>
      <c r="V931" s="130"/>
      <c r="W931" s="130"/>
      <c r="X931" s="130"/>
      <c r="Y931" s="130"/>
      <c r="Z931" s="130"/>
      <c r="AA931" s="130"/>
      <c r="AB931" s="130"/>
      <c r="AC931" s="130"/>
      <c r="AD931" s="130"/>
      <c r="AE931" s="26"/>
      <c r="AF931" s="26"/>
      <c r="AG931" s="933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8"/>
      <c r="BC931" s="18"/>
      <c r="BD931" s="18"/>
      <c r="BE931" s="18"/>
      <c r="BF931" s="18"/>
      <c r="BG931" s="18"/>
      <c r="BH931" s="18"/>
      <c r="BI931" s="18"/>
      <c r="BJ931" s="18"/>
      <c r="BK931" s="18"/>
      <c r="BL931" s="18"/>
      <c r="BM931" s="18"/>
      <c r="BN931" s="18"/>
      <c r="BO931" s="18"/>
      <c r="BP931" s="18"/>
      <c r="BQ931" s="18"/>
      <c r="BR931" s="18"/>
    </row>
    <row r="932" spans="2:70" outlineLevel="2">
      <c r="B932" s="5"/>
      <c r="C932" s="84" t="s">
        <v>55</v>
      </c>
      <c r="D932" s="31" t="s">
        <v>526</v>
      </c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65">
        <v>440</v>
      </c>
      <c r="T932" s="364">
        <f>P932*0.5*(2/6)</f>
        <v>73.333333333333329</v>
      </c>
      <c r="U932" s="167">
        <f>P932*0.5</f>
        <v>220</v>
      </c>
      <c r="V932" s="167">
        <f>SUM(T932:U932)</f>
        <v>293.33333333333331</v>
      </c>
      <c r="W932" s="149">
        <f t="shared" ref="W932" si="3654">Y932*0.5</f>
        <v>220</v>
      </c>
      <c r="X932" s="19">
        <f t="shared" ref="X932" si="3655">Y932*0.5</f>
        <v>220</v>
      </c>
      <c r="Y932" s="389">
        <f>P932</f>
        <v>440</v>
      </c>
      <c r="Z932" s="149">
        <f t="shared" ref="Z932:Z933" si="3656">AB932*0.5</f>
        <v>220</v>
      </c>
      <c r="AA932" s="19">
        <f t="shared" ref="AA932:AA933" si="3657">AB932*0.5</f>
        <v>220</v>
      </c>
      <c r="AB932" s="389">
        <f>Y932</f>
        <v>440</v>
      </c>
      <c r="AC932" s="149">
        <f t="shared" ref="AC932:AC933" si="3658">AE932*0.5</f>
        <v>220</v>
      </c>
      <c r="AD932" s="19">
        <f t="shared" ref="AD932:AD933" si="3659">AE932*0.5</f>
        <v>220</v>
      </c>
      <c r="AE932" s="389">
        <f>AB932</f>
        <v>440</v>
      </c>
      <c r="AF932" s="149">
        <f t="shared" ref="AF932:AF933" si="3660">AH932*0.5</f>
        <v>220</v>
      </c>
      <c r="AG932" s="943">
        <f t="shared" ref="AG932:AG933" si="3661">AH932*0.5</f>
        <v>220</v>
      </c>
      <c r="AH932" s="389">
        <f>AE932</f>
        <v>440</v>
      </c>
      <c r="AI932" s="149">
        <f t="shared" ref="AI932:AI933" si="3662">AK932*0.5</f>
        <v>220</v>
      </c>
      <c r="AJ932" s="19">
        <f t="shared" ref="AJ932:AJ933" si="3663">AK932*0.5</f>
        <v>220</v>
      </c>
      <c r="AK932" s="389">
        <f>AH932</f>
        <v>440</v>
      </c>
      <c r="AL932" s="149">
        <f t="shared" ref="AL932:AL933" si="3664">AN932*0.5</f>
        <v>220</v>
      </c>
      <c r="AM932" s="19">
        <f t="shared" ref="AM932:AM933" si="3665">AN932*0.5</f>
        <v>220</v>
      </c>
      <c r="AN932" s="389">
        <f>AK932</f>
        <v>440</v>
      </c>
      <c r="AO932" s="149">
        <f t="shared" ref="AO932:AO933" si="3666">AQ932*0.5</f>
        <v>220</v>
      </c>
      <c r="AP932" s="19">
        <f t="shared" ref="AP932:AP933" si="3667">AQ932*0.5</f>
        <v>220</v>
      </c>
      <c r="AQ932" s="389">
        <f>AN932</f>
        <v>440</v>
      </c>
      <c r="AR932" s="149">
        <f t="shared" ref="AR932:AR933" si="3668">AT932*0.5</f>
        <v>220</v>
      </c>
      <c r="AS932" s="19">
        <f t="shared" ref="AS932:AS933" si="3669">AT932*0.5</f>
        <v>220</v>
      </c>
      <c r="AT932" s="389">
        <f>AQ932</f>
        <v>440</v>
      </c>
      <c r="AU932" s="149">
        <f t="shared" ref="AU932:AU933" si="3670">AW932*0.5</f>
        <v>220</v>
      </c>
      <c r="AV932" s="19">
        <f t="shared" ref="AV932:AV933" si="3671">AW932*0.5</f>
        <v>220</v>
      </c>
      <c r="AW932" s="389">
        <f>AT932</f>
        <v>440</v>
      </c>
      <c r="AX932" s="149">
        <f t="shared" ref="AX932:AX933" si="3672">AZ932*0.5</f>
        <v>220</v>
      </c>
      <c r="AY932" s="19">
        <f t="shared" ref="AY932:AY933" si="3673">AZ932*0.5</f>
        <v>220</v>
      </c>
      <c r="AZ932" s="389">
        <f>AW932</f>
        <v>440</v>
      </c>
      <c r="BA932" s="149">
        <f t="shared" ref="BA932:BA933" si="3674">BC932*0.5</f>
        <v>220</v>
      </c>
      <c r="BB932" s="19">
        <f t="shared" ref="BB932:BB933" si="3675">BC932*0.5</f>
        <v>220</v>
      </c>
      <c r="BC932" s="389">
        <f>AZ932</f>
        <v>440</v>
      </c>
      <c r="BD932" s="149">
        <f t="shared" ref="BD932:BD933" si="3676">BF932*0.5</f>
        <v>220</v>
      </c>
      <c r="BE932" s="19">
        <f t="shared" ref="BE932:BE933" si="3677">BF932*0.5</f>
        <v>220</v>
      </c>
      <c r="BF932" s="389">
        <f>BC932</f>
        <v>440</v>
      </c>
      <c r="BG932" s="149">
        <f t="shared" ref="BG932:BG933" si="3678">BI932*0.5</f>
        <v>220</v>
      </c>
      <c r="BH932" s="19">
        <f t="shared" ref="BH932:BH933" si="3679">BI932*0.5</f>
        <v>220</v>
      </c>
      <c r="BI932" s="389">
        <f>BF932</f>
        <v>440</v>
      </c>
      <c r="BJ932" s="149">
        <f t="shared" ref="BJ932:BJ933" si="3680">BL932*0.5</f>
        <v>220</v>
      </c>
      <c r="BK932" s="19">
        <f t="shared" ref="BK932:BK933" si="3681">BL932*0.5</f>
        <v>220</v>
      </c>
      <c r="BL932" s="389">
        <f>BI932</f>
        <v>440</v>
      </c>
      <c r="BM932" s="149">
        <f t="shared" ref="BM932:BM933" si="3682">BO932*0.5</f>
        <v>220</v>
      </c>
      <c r="BN932" s="19">
        <f t="shared" ref="BN932:BN933" si="3683">BO932*0.5</f>
        <v>220</v>
      </c>
      <c r="BO932" s="389">
        <f>BL932</f>
        <v>440</v>
      </c>
      <c r="BP932" s="149">
        <f t="shared" ref="BP932:BP933" si="3684">BR932*0.5</f>
        <v>220</v>
      </c>
      <c r="BQ932" s="19">
        <f t="shared" ref="BQ932:BQ933" si="3685">BR932*0.5</f>
        <v>220</v>
      </c>
      <c r="BR932" s="389">
        <f>BO932</f>
        <v>440</v>
      </c>
    </row>
    <row r="933" spans="2:70" outlineLevel="2">
      <c r="B933" s="5"/>
      <c r="C933" s="84" t="s">
        <v>56</v>
      </c>
      <c r="D933" s="31" t="s">
        <v>526</v>
      </c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67">
        <f>P930/P931</f>
        <v>43.75</v>
      </c>
      <c r="T933" s="364">
        <f>P933*0.5*(2/6)</f>
        <v>7.2916666666666661</v>
      </c>
      <c r="U933" s="167">
        <f>P933*0.5</f>
        <v>21.875</v>
      </c>
      <c r="V933" s="167">
        <f>SUM(T933:U933)</f>
        <v>29.166666666666664</v>
      </c>
      <c r="W933" s="149">
        <f>Y933*0.5</f>
        <v>21.875</v>
      </c>
      <c r="X933" s="19">
        <f>Y933*0.5</f>
        <v>21.875</v>
      </c>
      <c r="Y933" s="19">
        <f>P933</f>
        <v>43.75</v>
      </c>
      <c r="Z933" s="149">
        <f t="shared" si="3656"/>
        <v>21.875</v>
      </c>
      <c r="AA933" s="19">
        <f t="shared" si="3657"/>
        <v>21.875</v>
      </c>
      <c r="AB933" s="167">
        <f t="shared" ref="AB933" si="3686">AB932*AB934</f>
        <v>43.75</v>
      </c>
      <c r="AC933" s="149">
        <f t="shared" si="3658"/>
        <v>21.875</v>
      </c>
      <c r="AD933" s="19">
        <f t="shared" si="3659"/>
        <v>21.875</v>
      </c>
      <c r="AE933" s="167">
        <f t="shared" ref="AE933" si="3687">AE932*AE934</f>
        <v>43.75</v>
      </c>
      <c r="AF933" s="149">
        <f t="shared" si="3660"/>
        <v>21.875</v>
      </c>
      <c r="AG933" s="943">
        <f t="shared" si="3661"/>
        <v>21.875</v>
      </c>
      <c r="AH933" s="167">
        <f t="shared" ref="AH933" si="3688">AH932*AH934</f>
        <v>43.75</v>
      </c>
      <c r="AI933" s="149">
        <f t="shared" si="3662"/>
        <v>21.875</v>
      </c>
      <c r="AJ933" s="19">
        <f t="shared" si="3663"/>
        <v>21.875</v>
      </c>
      <c r="AK933" s="167">
        <f t="shared" ref="AK933" si="3689">AK932*AK934</f>
        <v>43.75</v>
      </c>
      <c r="AL933" s="149">
        <f t="shared" si="3664"/>
        <v>21.875</v>
      </c>
      <c r="AM933" s="19">
        <f t="shared" si="3665"/>
        <v>21.875</v>
      </c>
      <c r="AN933" s="167">
        <f t="shared" ref="AN933" si="3690">AN932*AN934</f>
        <v>43.75</v>
      </c>
      <c r="AO933" s="149">
        <f t="shared" si="3666"/>
        <v>21.875</v>
      </c>
      <c r="AP933" s="19">
        <f t="shared" si="3667"/>
        <v>21.875</v>
      </c>
      <c r="AQ933" s="167">
        <f t="shared" ref="AQ933" si="3691">AQ932*AQ934</f>
        <v>43.75</v>
      </c>
      <c r="AR933" s="149">
        <f t="shared" si="3668"/>
        <v>21.875</v>
      </c>
      <c r="AS933" s="19">
        <f t="shared" si="3669"/>
        <v>21.875</v>
      </c>
      <c r="AT933" s="167">
        <f t="shared" ref="AT933" si="3692">AT932*AT934</f>
        <v>43.75</v>
      </c>
      <c r="AU933" s="149">
        <f t="shared" si="3670"/>
        <v>21.875</v>
      </c>
      <c r="AV933" s="19">
        <f t="shared" si="3671"/>
        <v>21.875</v>
      </c>
      <c r="AW933" s="167">
        <f t="shared" ref="AW933" si="3693">AW932*AW934</f>
        <v>43.75</v>
      </c>
      <c r="AX933" s="149">
        <f t="shared" si="3672"/>
        <v>21.875</v>
      </c>
      <c r="AY933" s="19">
        <f t="shared" si="3673"/>
        <v>21.875</v>
      </c>
      <c r="AZ933" s="167">
        <f t="shared" ref="AZ933" si="3694">AZ932*AZ934</f>
        <v>43.75</v>
      </c>
      <c r="BA933" s="149">
        <f t="shared" si="3674"/>
        <v>21.875</v>
      </c>
      <c r="BB933" s="19">
        <f t="shared" si="3675"/>
        <v>21.875</v>
      </c>
      <c r="BC933" s="167">
        <f t="shared" ref="BC933" si="3695">BC932*BC934</f>
        <v>43.75</v>
      </c>
      <c r="BD933" s="149">
        <f t="shared" si="3676"/>
        <v>21.875</v>
      </c>
      <c r="BE933" s="19">
        <f t="shared" si="3677"/>
        <v>21.875</v>
      </c>
      <c r="BF933" s="167">
        <f t="shared" ref="BF933" si="3696">BF932*BF934</f>
        <v>43.75</v>
      </c>
      <c r="BG933" s="149">
        <f t="shared" si="3678"/>
        <v>21.875</v>
      </c>
      <c r="BH933" s="19">
        <f t="shared" si="3679"/>
        <v>21.875</v>
      </c>
      <c r="BI933" s="167">
        <f t="shared" ref="BI933" si="3697">BI932*BI934</f>
        <v>43.75</v>
      </c>
      <c r="BJ933" s="149">
        <f t="shared" si="3680"/>
        <v>21.875</v>
      </c>
      <c r="BK933" s="19">
        <f t="shared" si="3681"/>
        <v>21.875</v>
      </c>
      <c r="BL933" s="167">
        <f t="shared" ref="BL933" si="3698">BL932*BL934</f>
        <v>43.75</v>
      </c>
      <c r="BM933" s="149">
        <f t="shared" si="3682"/>
        <v>21.875</v>
      </c>
      <c r="BN933" s="19">
        <f t="shared" si="3683"/>
        <v>21.875</v>
      </c>
      <c r="BO933" s="167">
        <f t="shared" ref="BO933" si="3699">BO932*BO934</f>
        <v>43.75</v>
      </c>
      <c r="BP933" s="149">
        <f t="shared" si="3684"/>
        <v>21.875</v>
      </c>
      <c r="BQ933" s="19">
        <f t="shared" si="3685"/>
        <v>21.875</v>
      </c>
      <c r="BR933" s="167">
        <f t="shared" ref="BR933" si="3700">BR932*BR934</f>
        <v>43.75</v>
      </c>
    </row>
    <row r="934" spans="2:70" outlineLevel="2">
      <c r="B934" s="5"/>
      <c r="C934" s="84" t="s">
        <v>73</v>
      </c>
      <c r="D934" s="31" t="s">
        <v>66</v>
      </c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68">
        <f>P933/P932</f>
        <v>9.9431818181818177E-2</v>
      </c>
      <c r="T934" s="133">
        <f t="shared" ref="T934:X934" si="3701">T933/T932</f>
        <v>9.9431818181818177E-2</v>
      </c>
      <c r="U934" s="133">
        <f t="shared" si="3701"/>
        <v>9.9431818181818177E-2</v>
      </c>
      <c r="V934" s="133">
        <f t="shared" si="3701"/>
        <v>9.9431818181818177E-2</v>
      </c>
      <c r="W934" s="133">
        <f t="shared" si="3701"/>
        <v>9.9431818181818177E-2</v>
      </c>
      <c r="X934" s="133">
        <f t="shared" si="3701"/>
        <v>9.9431818181818177E-2</v>
      </c>
      <c r="Y934" s="133">
        <f>V934</f>
        <v>9.9431818181818177E-2</v>
      </c>
      <c r="Z934" s="133">
        <f t="shared" ref="Z934" si="3702">Z933/Z932</f>
        <v>9.9431818181818177E-2</v>
      </c>
      <c r="AA934" s="133">
        <f t="shared" ref="AA934" si="3703">AA933/AA932</f>
        <v>9.9431818181818177E-2</v>
      </c>
      <c r="AB934" s="133">
        <f t="shared" ref="AB934" si="3704">Y934</f>
        <v>9.9431818181818177E-2</v>
      </c>
      <c r="AC934" s="133">
        <f t="shared" ref="AC934" si="3705">AC933/AC932</f>
        <v>9.9431818181818177E-2</v>
      </c>
      <c r="AD934" s="133">
        <f t="shared" ref="AD934" si="3706">AD933/AD932</f>
        <v>9.9431818181818177E-2</v>
      </c>
      <c r="AE934" s="133">
        <f t="shared" ref="AE934" si="3707">AB934</f>
        <v>9.9431818181818177E-2</v>
      </c>
      <c r="AF934" s="133">
        <f t="shared" ref="AF934:AG934" si="3708">AF933/AF932</f>
        <v>9.9431818181818177E-2</v>
      </c>
      <c r="AG934" s="938">
        <f t="shared" si="3708"/>
        <v>9.9431818181818177E-2</v>
      </c>
      <c r="AH934" s="133">
        <f t="shared" ref="AH934" si="3709">AE934</f>
        <v>9.9431818181818177E-2</v>
      </c>
      <c r="AI934" s="133">
        <f t="shared" ref="AI934:AJ934" si="3710">AI933/AI932</f>
        <v>9.9431818181818177E-2</v>
      </c>
      <c r="AJ934" s="133">
        <f t="shared" si="3710"/>
        <v>9.9431818181818177E-2</v>
      </c>
      <c r="AK934" s="133">
        <f t="shared" ref="AK934" si="3711">AH934</f>
        <v>9.9431818181818177E-2</v>
      </c>
      <c r="AL934" s="133">
        <f t="shared" ref="AL934:AM934" si="3712">AL933/AL932</f>
        <v>9.9431818181818177E-2</v>
      </c>
      <c r="AM934" s="133">
        <f t="shared" si="3712"/>
        <v>9.9431818181818177E-2</v>
      </c>
      <c r="AN934" s="133">
        <f t="shared" ref="AN934" si="3713">AK934</f>
        <v>9.9431818181818177E-2</v>
      </c>
      <c r="AO934" s="133">
        <f t="shared" ref="AO934:AP934" si="3714">AO933/AO932</f>
        <v>9.9431818181818177E-2</v>
      </c>
      <c r="AP934" s="133">
        <f t="shared" si="3714"/>
        <v>9.9431818181818177E-2</v>
      </c>
      <c r="AQ934" s="133">
        <f t="shared" ref="AQ934" si="3715">AN934</f>
        <v>9.9431818181818177E-2</v>
      </c>
      <c r="AR934" s="133">
        <f t="shared" ref="AR934:AS934" si="3716">AR933/AR932</f>
        <v>9.9431818181818177E-2</v>
      </c>
      <c r="AS934" s="133">
        <f t="shared" si="3716"/>
        <v>9.9431818181818177E-2</v>
      </c>
      <c r="AT934" s="133">
        <f t="shared" ref="AT934" si="3717">AQ934</f>
        <v>9.9431818181818177E-2</v>
      </c>
      <c r="AU934" s="133">
        <f t="shared" ref="AU934:AV934" si="3718">AU933/AU932</f>
        <v>9.9431818181818177E-2</v>
      </c>
      <c r="AV934" s="133">
        <f t="shared" si="3718"/>
        <v>9.9431818181818177E-2</v>
      </c>
      <c r="AW934" s="133">
        <f t="shared" ref="AW934" si="3719">AT934</f>
        <v>9.9431818181818177E-2</v>
      </c>
      <c r="AX934" s="133">
        <f t="shared" ref="AX934:AY934" si="3720">AX933/AX932</f>
        <v>9.9431818181818177E-2</v>
      </c>
      <c r="AY934" s="133">
        <f t="shared" si="3720"/>
        <v>9.9431818181818177E-2</v>
      </c>
      <c r="AZ934" s="133">
        <f t="shared" ref="AZ934" si="3721">AW934</f>
        <v>9.9431818181818177E-2</v>
      </c>
      <c r="BA934" s="133">
        <f t="shared" ref="BA934:BB934" si="3722">BA933/BA932</f>
        <v>9.9431818181818177E-2</v>
      </c>
      <c r="BB934" s="133">
        <f t="shared" si="3722"/>
        <v>9.9431818181818177E-2</v>
      </c>
      <c r="BC934" s="133">
        <f t="shared" ref="BC934" si="3723">AZ934</f>
        <v>9.9431818181818177E-2</v>
      </c>
      <c r="BD934" s="133">
        <f t="shared" ref="BD934:BE934" si="3724">BD933/BD932</f>
        <v>9.9431818181818177E-2</v>
      </c>
      <c r="BE934" s="133">
        <f t="shared" si="3724"/>
        <v>9.9431818181818177E-2</v>
      </c>
      <c r="BF934" s="133">
        <f t="shared" ref="BF934" si="3725">BC934</f>
        <v>9.9431818181818177E-2</v>
      </c>
      <c r="BG934" s="133">
        <f t="shared" ref="BG934:BH934" si="3726">BG933/BG932</f>
        <v>9.9431818181818177E-2</v>
      </c>
      <c r="BH934" s="133">
        <f t="shared" si="3726"/>
        <v>9.9431818181818177E-2</v>
      </c>
      <c r="BI934" s="133">
        <f t="shared" ref="BI934" si="3727">BF934</f>
        <v>9.9431818181818177E-2</v>
      </c>
      <c r="BJ934" s="133">
        <f t="shared" ref="BJ934:BK934" si="3728">BJ933/BJ932</f>
        <v>9.9431818181818177E-2</v>
      </c>
      <c r="BK934" s="133">
        <f t="shared" si="3728"/>
        <v>9.9431818181818177E-2</v>
      </c>
      <c r="BL934" s="133">
        <f t="shared" ref="BL934" si="3729">BI934</f>
        <v>9.9431818181818177E-2</v>
      </c>
      <c r="BM934" s="133">
        <f t="shared" ref="BM934:BN934" si="3730">BM933/BM932</f>
        <v>9.9431818181818177E-2</v>
      </c>
      <c r="BN934" s="133">
        <f t="shared" si="3730"/>
        <v>9.9431818181818177E-2</v>
      </c>
      <c r="BO934" s="133">
        <f t="shared" ref="BO934" si="3731">BL934</f>
        <v>9.9431818181818177E-2</v>
      </c>
      <c r="BP934" s="133">
        <f t="shared" ref="BP934:BQ934" si="3732">BP933/BP932</f>
        <v>9.9431818181818177E-2</v>
      </c>
      <c r="BQ934" s="133">
        <f t="shared" si="3732"/>
        <v>9.9431818181818177E-2</v>
      </c>
      <c r="BR934" s="133">
        <f t="shared" ref="BR934" si="3733">BO934</f>
        <v>9.9431818181818177E-2</v>
      </c>
    </row>
    <row r="935" spans="2:70" outlineLevel="2">
      <c r="B935" s="5"/>
      <c r="C935" s="84" t="s">
        <v>65</v>
      </c>
      <c r="D935" s="31" t="s">
        <v>526</v>
      </c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69">
        <f>P932*-3%</f>
        <v>-13.2</v>
      </c>
      <c r="T935" s="364">
        <f>P935*0.5*(2/6)</f>
        <v>-2.1999999999999997</v>
      </c>
      <c r="U935" s="402">
        <f>U932*-3%</f>
        <v>-6.6</v>
      </c>
      <c r="V935" s="167">
        <f>SUM(T935:U935)</f>
        <v>-8.7999999999999989</v>
      </c>
      <c r="W935" s="167">
        <f>Y935*0.5</f>
        <v>-6.6</v>
      </c>
      <c r="X935" s="167">
        <f>Y935*0.5</f>
        <v>-6.6</v>
      </c>
      <c r="Y935" s="360">
        <f>P935*(Y932/P932)</f>
        <v>-13.2</v>
      </c>
      <c r="Z935" s="167">
        <f t="shared" ref="Z935" si="3734">AB935*0.5</f>
        <v>-6.6</v>
      </c>
      <c r="AA935" s="167">
        <f t="shared" ref="AA935" si="3735">AB935*0.5</f>
        <v>-6.6</v>
      </c>
      <c r="AB935" s="360">
        <f>Y935*(AB932/Y932)</f>
        <v>-13.2</v>
      </c>
      <c r="AC935" s="167">
        <f t="shared" ref="AC935" si="3736">AE935*0.5</f>
        <v>-6.6</v>
      </c>
      <c r="AD935" s="167">
        <f t="shared" ref="AD935" si="3737">AE935*0.5</f>
        <v>-6.6</v>
      </c>
      <c r="AE935" s="360">
        <f>AB935*(AE932/AB932)</f>
        <v>-13.2</v>
      </c>
      <c r="AF935" s="167">
        <f t="shared" ref="AF935" si="3738">AH935*0.5</f>
        <v>-6.6</v>
      </c>
      <c r="AG935" s="1017">
        <f t="shared" ref="AG935" si="3739">AH935*0.5</f>
        <v>-6.6</v>
      </c>
      <c r="AH935" s="360">
        <f>AE935*(AH932/AE932)</f>
        <v>-13.2</v>
      </c>
      <c r="AI935" s="167">
        <f t="shared" ref="AI935" si="3740">AK935*0.5</f>
        <v>-6.6</v>
      </c>
      <c r="AJ935" s="167">
        <f t="shared" ref="AJ935" si="3741">AK935*0.5</f>
        <v>-6.6</v>
      </c>
      <c r="AK935" s="360">
        <f>AH935*(AK932/AH932)</f>
        <v>-13.2</v>
      </c>
      <c r="AL935" s="167">
        <f t="shared" ref="AL935" si="3742">AN935*0.5</f>
        <v>-6.6</v>
      </c>
      <c r="AM935" s="167">
        <f t="shared" ref="AM935" si="3743">AN935*0.5</f>
        <v>-6.6</v>
      </c>
      <c r="AN935" s="360">
        <f>AK935*(AN932/AK932)</f>
        <v>-13.2</v>
      </c>
      <c r="AO935" s="167">
        <f t="shared" ref="AO935" si="3744">AQ935*0.5</f>
        <v>-6.6</v>
      </c>
      <c r="AP935" s="167">
        <f t="shared" ref="AP935" si="3745">AQ935*0.5</f>
        <v>-6.6</v>
      </c>
      <c r="AQ935" s="360">
        <f>AN935*(AQ932/AN932)</f>
        <v>-13.2</v>
      </c>
      <c r="AR935" s="167">
        <f t="shared" ref="AR935" si="3746">AT935*0.5</f>
        <v>-6.6</v>
      </c>
      <c r="AS935" s="167">
        <f t="shared" ref="AS935" si="3747">AT935*0.5</f>
        <v>-6.6</v>
      </c>
      <c r="AT935" s="360">
        <f>AQ935*(AT932/AQ932)</f>
        <v>-13.2</v>
      </c>
      <c r="AU935" s="167">
        <f t="shared" ref="AU935" si="3748">AW935*0.5</f>
        <v>-6.6</v>
      </c>
      <c r="AV935" s="167">
        <f t="shared" ref="AV935" si="3749">AW935*0.5</f>
        <v>-6.6</v>
      </c>
      <c r="AW935" s="360">
        <f>AT935*(AW932/AT932)</f>
        <v>-13.2</v>
      </c>
      <c r="AX935" s="167">
        <f t="shared" ref="AX935" si="3750">AZ935*0.5</f>
        <v>-6.6</v>
      </c>
      <c r="AY935" s="167">
        <f t="shared" ref="AY935" si="3751">AZ935*0.5</f>
        <v>-6.6</v>
      </c>
      <c r="AZ935" s="360">
        <f>AW935*(AZ932/AW932)</f>
        <v>-13.2</v>
      </c>
      <c r="BA935" s="167">
        <f t="shared" ref="BA935" si="3752">BC935*0.5</f>
        <v>-6.6</v>
      </c>
      <c r="BB935" s="167">
        <f t="shared" ref="BB935" si="3753">BC935*0.5</f>
        <v>-6.6</v>
      </c>
      <c r="BC935" s="360">
        <f>AZ935*(BC932/AZ932)</f>
        <v>-13.2</v>
      </c>
      <c r="BD935" s="167">
        <f t="shared" ref="BD935" si="3754">BF935*0.5</f>
        <v>-6.6</v>
      </c>
      <c r="BE935" s="167">
        <f t="shared" ref="BE935" si="3755">BF935*0.5</f>
        <v>-6.6</v>
      </c>
      <c r="BF935" s="360">
        <f>BC935*(BF932/BC932)</f>
        <v>-13.2</v>
      </c>
      <c r="BG935" s="167">
        <f t="shared" ref="BG935" si="3756">BI935*0.5</f>
        <v>-6.6</v>
      </c>
      <c r="BH935" s="167">
        <f t="shared" ref="BH935" si="3757">BI935*0.5</f>
        <v>-6.6</v>
      </c>
      <c r="BI935" s="360">
        <f>BF935*(BI932/BF932)</f>
        <v>-13.2</v>
      </c>
      <c r="BJ935" s="167">
        <f t="shared" ref="BJ935" si="3758">BL935*0.5</f>
        <v>-6.6</v>
      </c>
      <c r="BK935" s="167">
        <f t="shared" ref="BK935" si="3759">BL935*0.5</f>
        <v>-6.6</v>
      </c>
      <c r="BL935" s="360">
        <f>BI935*(BL932/BI932)</f>
        <v>-13.2</v>
      </c>
      <c r="BM935" s="167">
        <f t="shared" ref="BM935" si="3760">BO935*0.5</f>
        <v>-6.6</v>
      </c>
      <c r="BN935" s="167">
        <f t="shared" ref="BN935" si="3761">BO935*0.5</f>
        <v>-6.6</v>
      </c>
      <c r="BO935" s="360">
        <f>BL935*(BO932/BL932)</f>
        <v>-13.2</v>
      </c>
      <c r="BP935" s="167">
        <f t="shared" ref="BP935" si="3762">BR935*0.5</f>
        <v>-6.6</v>
      </c>
      <c r="BQ935" s="167">
        <f t="shared" ref="BQ935" si="3763">BR935*0.5</f>
        <v>-6.6</v>
      </c>
      <c r="BR935" s="360">
        <f>BO935*(BR932/BO932)</f>
        <v>-13.2</v>
      </c>
    </row>
    <row r="936" spans="2:70" outlineLevel="2">
      <c r="B936" s="5"/>
      <c r="C936" s="84" t="s">
        <v>78</v>
      </c>
      <c r="D936" s="31" t="s">
        <v>526</v>
      </c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70">
        <f>P933+P935</f>
        <v>30.55</v>
      </c>
      <c r="T936" s="360">
        <f>T933+T935</f>
        <v>5.0916666666666668</v>
      </c>
      <c r="U936" s="360">
        <f>U933+U935</f>
        <v>15.275</v>
      </c>
      <c r="V936" s="167">
        <f>SUM(T936:U936)</f>
        <v>20.366666666666667</v>
      </c>
      <c r="W936" s="167">
        <f>W933+W935</f>
        <v>15.275</v>
      </c>
      <c r="X936" s="167">
        <f>X933+X935</f>
        <v>15.275</v>
      </c>
      <c r="Y936" s="172">
        <f>SUM(W936:X936)</f>
        <v>30.55</v>
      </c>
      <c r="Z936" s="167">
        <f t="shared" ref="Z936" si="3764">Z933+Z935</f>
        <v>15.275</v>
      </c>
      <c r="AA936" s="167">
        <f t="shared" ref="AA936" si="3765">AA933+AA935</f>
        <v>15.275</v>
      </c>
      <c r="AB936" s="172">
        <f t="shared" ref="AB936" si="3766">SUM(Z936:AA936)</f>
        <v>30.55</v>
      </c>
      <c r="AC936" s="167">
        <f t="shared" ref="AC936" si="3767">AC933+AC935</f>
        <v>15.275</v>
      </c>
      <c r="AD936" s="167">
        <f t="shared" ref="AD936" si="3768">AD933+AD935</f>
        <v>15.275</v>
      </c>
      <c r="AE936" s="172">
        <f t="shared" ref="AE936" si="3769">SUM(AC936:AD936)</f>
        <v>30.55</v>
      </c>
      <c r="AF936" s="167">
        <f t="shared" ref="AF936:AG936" si="3770">AF933+AF935</f>
        <v>15.275</v>
      </c>
      <c r="AG936" s="1017">
        <f t="shared" si="3770"/>
        <v>15.275</v>
      </c>
      <c r="AH936" s="172">
        <f t="shared" ref="AH936" si="3771">SUM(AF936:AG936)</f>
        <v>30.55</v>
      </c>
      <c r="AI936" s="167">
        <f t="shared" ref="AI936:AJ936" si="3772">AI933+AI935</f>
        <v>15.275</v>
      </c>
      <c r="AJ936" s="167">
        <f t="shared" si="3772"/>
        <v>15.275</v>
      </c>
      <c r="AK936" s="172">
        <f t="shared" ref="AK936" si="3773">SUM(AI936:AJ936)</f>
        <v>30.55</v>
      </c>
      <c r="AL936" s="167">
        <f t="shared" ref="AL936:AM936" si="3774">AL933+AL935</f>
        <v>15.275</v>
      </c>
      <c r="AM936" s="167">
        <f t="shared" si="3774"/>
        <v>15.275</v>
      </c>
      <c r="AN936" s="172">
        <f t="shared" ref="AN936" si="3775">SUM(AL936:AM936)</f>
        <v>30.55</v>
      </c>
      <c r="AO936" s="167">
        <f t="shared" ref="AO936:AP936" si="3776">AO933+AO935</f>
        <v>15.275</v>
      </c>
      <c r="AP936" s="167">
        <f t="shared" si="3776"/>
        <v>15.275</v>
      </c>
      <c r="AQ936" s="172">
        <f t="shared" ref="AQ936" si="3777">SUM(AO936:AP936)</f>
        <v>30.55</v>
      </c>
      <c r="AR936" s="167">
        <f t="shared" ref="AR936:AS936" si="3778">AR933+AR935</f>
        <v>15.275</v>
      </c>
      <c r="AS936" s="167">
        <f t="shared" si="3778"/>
        <v>15.275</v>
      </c>
      <c r="AT936" s="172">
        <f t="shared" ref="AT936" si="3779">SUM(AR936:AS936)</f>
        <v>30.55</v>
      </c>
      <c r="AU936" s="167">
        <f t="shared" ref="AU936:AV936" si="3780">AU933+AU935</f>
        <v>15.275</v>
      </c>
      <c r="AV936" s="167">
        <f t="shared" si="3780"/>
        <v>15.275</v>
      </c>
      <c r="AW936" s="172">
        <f t="shared" ref="AW936" si="3781">SUM(AU936:AV936)</f>
        <v>30.55</v>
      </c>
      <c r="AX936" s="167">
        <f t="shared" ref="AX936:AY936" si="3782">AX933+AX935</f>
        <v>15.275</v>
      </c>
      <c r="AY936" s="167">
        <f t="shared" si="3782"/>
        <v>15.275</v>
      </c>
      <c r="AZ936" s="172">
        <f t="shared" ref="AZ936" si="3783">SUM(AX936:AY936)</f>
        <v>30.55</v>
      </c>
      <c r="BA936" s="167">
        <f t="shared" ref="BA936:BB936" si="3784">BA933+BA935</f>
        <v>15.275</v>
      </c>
      <c r="BB936" s="167">
        <f t="shared" si="3784"/>
        <v>15.275</v>
      </c>
      <c r="BC936" s="172">
        <f t="shared" ref="BC936" si="3785">SUM(BA936:BB936)</f>
        <v>30.55</v>
      </c>
      <c r="BD936" s="167">
        <f t="shared" ref="BD936:BE936" si="3786">BD933+BD935</f>
        <v>15.275</v>
      </c>
      <c r="BE936" s="167">
        <f t="shared" si="3786"/>
        <v>15.275</v>
      </c>
      <c r="BF936" s="172">
        <f t="shared" ref="BF936" si="3787">SUM(BD936:BE936)</f>
        <v>30.55</v>
      </c>
      <c r="BG936" s="167">
        <f t="shared" ref="BG936:BH936" si="3788">BG933+BG935</f>
        <v>15.275</v>
      </c>
      <c r="BH936" s="167">
        <f t="shared" si="3788"/>
        <v>15.275</v>
      </c>
      <c r="BI936" s="172">
        <f t="shared" ref="BI936" si="3789">SUM(BG936:BH936)</f>
        <v>30.55</v>
      </c>
      <c r="BJ936" s="167">
        <f t="shared" ref="BJ936:BK936" si="3790">BJ933+BJ935</f>
        <v>15.275</v>
      </c>
      <c r="BK936" s="167">
        <f t="shared" si="3790"/>
        <v>15.275</v>
      </c>
      <c r="BL936" s="172">
        <f t="shared" ref="BL936" si="3791">SUM(BJ936:BK936)</f>
        <v>30.55</v>
      </c>
      <c r="BM936" s="167">
        <f t="shared" ref="BM936:BN936" si="3792">BM933+BM935</f>
        <v>15.275</v>
      </c>
      <c r="BN936" s="167">
        <f t="shared" si="3792"/>
        <v>15.275</v>
      </c>
      <c r="BO936" s="172">
        <f t="shared" ref="BO936" si="3793">SUM(BM936:BN936)</f>
        <v>30.55</v>
      </c>
      <c r="BP936" s="167">
        <f t="shared" ref="BP936:BQ936" si="3794">BP933+BP935</f>
        <v>15.275</v>
      </c>
      <c r="BQ936" s="167">
        <f t="shared" si="3794"/>
        <v>15.275</v>
      </c>
      <c r="BR936" s="172">
        <f t="shared" ref="BR936" si="3795">SUM(BP936:BQ936)</f>
        <v>30.55</v>
      </c>
    </row>
    <row r="937" spans="2:70" outlineLevel="2">
      <c r="B937" s="5"/>
      <c r="C937" s="84" t="s">
        <v>74</v>
      </c>
      <c r="D937" s="31" t="s">
        <v>66</v>
      </c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68">
        <f>P936/P932</f>
        <v>6.9431818181818178E-2</v>
      </c>
      <c r="T937" s="133">
        <f>T936/T932</f>
        <v>6.9431818181818192E-2</v>
      </c>
      <c r="U937" s="133">
        <f>U936/U932</f>
        <v>6.9431818181818178E-2</v>
      </c>
      <c r="V937" s="162">
        <f t="shared" ref="V937:AE937" si="3796">V936/V932</f>
        <v>6.9431818181818192E-2</v>
      </c>
      <c r="W937" s="162">
        <f t="shared" si="3796"/>
        <v>6.9431818181818178E-2</v>
      </c>
      <c r="X937" s="133">
        <f t="shared" si="3796"/>
        <v>6.9431818181818178E-2</v>
      </c>
      <c r="Y937" s="162">
        <f t="shared" si="3796"/>
        <v>6.9431818181818178E-2</v>
      </c>
      <c r="Z937" s="162">
        <f t="shared" si="3796"/>
        <v>6.9431818181818178E-2</v>
      </c>
      <c r="AA937" s="133">
        <f t="shared" si="3796"/>
        <v>6.9431818181818178E-2</v>
      </c>
      <c r="AB937" s="162">
        <f t="shared" si="3796"/>
        <v>6.9431818181818178E-2</v>
      </c>
      <c r="AC937" s="162">
        <f t="shared" si="3796"/>
        <v>6.9431818181818178E-2</v>
      </c>
      <c r="AD937" s="133">
        <f t="shared" si="3796"/>
        <v>6.9431818181818178E-2</v>
      </c>
      <c r="AE937" s="133">
        <f t="shared" si="3796"/>
        <v>6.9431818181818178E-2</v>
      </c>
      <c r="AF937" s="162">
        <f t="shared" ref="AF937:AH937" si="3797">AF936/AF932</f>
        <v>6.9431818181818178E-2</v>
      </c>
      <c r="AG937" s="938">
        <f t="shared" si="3797"/>
        <v>6.9431818181818178E-2</v>
      </c>
      <c r="AH937" s="133">
        <f t="shared" si="3797"/>
        <v>6.9431818181818178E-2</v>
      </c>
      <c r="AI937" s="162">
        <f t="shared" ref="AI937:AN937" si="3798">AI936/AI932</f>
        <v>6.9431818181818178E-2</v>
      </c>
      <c r="AJ937" s="133">
        <f t="shared" si="3798"/>
        <v>6.9431818181818178E-2</v>
      </c>
      <c r="AK937" s="133">
        <f t="shared" si="3798"/>
        <v>6.9431818181818178E-2</v>
      </c>
      <c r="AL937" s="162">
        <f t="shared" si="3798"/>
        <v>6.9431818181818178E-2</v>
      </c>
      <c r="AM937" s="133">
        <f t="shared" si="3798"/>
        <v>6.9431818181818178E-2</v>
      </c>
      <c r="AN937" s="133">
        <f t="shared" si="3798"/>
        <v>6.9431818181818178E-2</v>
      </c>
      <c r="AO937" s="162">
        <f t="shared" ref="AO937:BR937" si="3799">AO936/AO932</f>
        <v>6.9431818181818178E-2</v>
      </c>
      <c r="AP937" s="133">
        <f t="shared" si="3799"/>
        <v>6.9431818181818178E-2</v>
      </c>
      <c r="AQ937" s="133">
        <f t="shared" si="3799"/>
        <v>6.9431818181818178E-2</v>
      </c>
      <c r="AR937" s="162">
        <f t="shared" si="3799"/>
        <v>6.9431818181818178E-2</v>
      </c>
      <c r="AS937" s="133">
        <f t="shared" si="3799"/>
        <v>6.9431818181818178E-2</v>
      </c>
      <c r="AT937" s="133">
        <f t="shared" si="3799"/>
        <v>6.9431818181818178E-2</v>
      </c>
      <c r="AU937" s="162">
        <f t="shared" si="3799"/>
        <v>6.9431818181818178E-2</v>
      </c>
      <c r="AV937" s="133">
        <f t="shared" si="3799"/>
        <v>6.9431818181818178E-2</v>
      </c>
      <c r="AW937" s="133">
        <f t="shared" si="3799"/>
        <v>6.9431818181818178E-2</v>
      </c>
      <c r="AX937" s="162">
        <f t="shared" si="3799"/>
        <v>6.9431818181818178E-2</v>
      </c>
      <c r="AY937" s="133">
        <f t="shared" si="3799"/>
        <v>6.9431818181818178E-2</v>
      </c>
      <c r="AZ937" s="133">
        <f t="shared" si="3799"/>
        <v>6.9431818181818178E-2</v>
      </c>
      <c r="BA937" s="162">
        <f t="shared" si="3799"/>
        <v>6.9431818181818178E-2</v>
      </c>
      <c r="BB937" s="133">
        <f t="shared" si="3799"/>
        <v>6.9431818181818178E-2</v>
      </c>
      <c r="BC937" s="133">
        <f t="shared" si="3799"/>
        <v>6.9431818181818178E-2</v>
      </c>
      <c r="BD937" s="162">
        <f t="shared" si="3799"/>
        <v>6.9431818181818178E-2</v>
      </c>
      <c r="BE937" s="133">
        <f t="shared" si="3799"/>
        <v>6.9431818181818178E-2</v>
      </c>
      <c r="BF937" s="133">
        <f t="shared" si="3799"/>
        <v>6.9431818181818178E-2</v>
      </c>
      <c r="BG937" s="162">
        <f t="shared" si="3799"/>
        <v>6.9431818181818178E-2</v>
      </c>
      <c r="BH937" s="133">
        <f t="shared" si="3799"/>
        <v>6.9431818181818178E-2</v>
      </c>
      <c r="BI937" s="133">
        <f t="shared" si="3799"/>
        <v>6.9431818181818178E-2</v>
      </c>
      <c r="BJ937" s="162">
        <f t="shared" si="3799"/>
        <v>6.9431818181818178E-2</v>
      </c>
      <c r="BK937" s="133">
        <f t="shared" si="3799"/>
        <v>6.9431818181818178E-2</v>
      </c>
      <c r="BL937" s="133">
        <f t="shared" si="3799"/>
        <v>6.9431818181818178E-2</v>
      </c>
      <c r="BM937" s="162">
        <f t="shared" si="3799"/>
        <v>6.9431818181818178E-2</v>
      </c>
      <c r="BN937" s="133">
        <f t="shared" si="3799"/>
        <v>6.9431818181818178E-2</v>
      </c>
      <c r="BO937" s="133">
        <f t="shared" si="3799"/>
        <v>6.9431818181818178E-2</v>
      </c>
      <c r="BP937" s="162">
        <f t="shared" si="3799"/>
        <v>6.9431818181818178E-2</v>
      </c>
      <c r="BQ937" s="133">
        <f t="shared" si="3799"/>
        <v>6.9431818181818178E-2</v>
      </c>
      <c r="BR937" s="133">
        <f t="shared" si="3799"/>
        <v>6.9431818181818178E-2</v>
      </c>
    </row>
    <row r="938" spans="2:70" outlineLevel="2">
      <c r="B938" s="5"/>
      <c r="C938" s="84" t="s">
        <v>90</v>
      </c>
      <c r="D938" s="31" t="s">
        <v>526</v>
      </c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65">
        <v>22</v>
      </c>
      <c r="T938" s="402">
        <v>0</v>
      </c>
      <c r="U938" s="402">
        <v>0</v>
      </c>
      <c r="V938" s="167">
        <f>U938</f>
        <v>0</v>
      </c>
      <c r="W938" s="402">
        <v>5</v>
      </c>
      <c r="X938" s="402">
        <v>5</v>
      </c>
      <c r="Y938" s="157">
        <f>SUM(W938:X938)</f>
        <v>10</v>
      </c>
      <c r="Z938" s="402">
        <v>5</v>
      </c>
      <c r="AA938" s="402">
        <v>5</v>
      </c>
      <c r="AB938" s="157">
        <f>SUM(Z938:AA938)</f>
        <v>10</v>
      </c>
      <c r="AC938" s="402">
        <v>2</v>
      </c>
      <c r="AD938" s="402">
        <v>0</v>
      </c>
      <c r="AE938" s="157">
        <f>SUM(AC938:AD938)</f>
        <v>2</v>
      </c>
      <c r="AF938" s="402">
        <v>0</v>
      </c>
      <c r="AG938" s="1030">
        <v>0</v>
      </c>
      <c r="AH938" s="157">
        <f>SUM(AF938:AG938)</f>
        <v>0</v>
      </c>
      <c r="AI938" s="402">
        <v>0</v>
      </c>
      <c r="AJ938" s="402">
        <v>0</v>
      </c>
      <c r="AK938" s="157">
        <f>SUM(AI938:AJ938)</f>
        <v>0</v>
      </c>
      <c r="AL938" s="402">
        <v>0</v>
      </c>
      <c r="AM938" s="402">
        <v>0</v>
      </c>
      <c r="AN938" s="157">
        <f>SUM(AL938:AM938)</f>
        <v>0</v>
      </c>
      <c r="AO938" s="402">
        <v>0</v>
      </c>
      <c r="AP938" s="402">
        <v>0</v>
      </c>
      <c r="AQ938" s="157">
        <f>SUM(AO938:AP938)</f>
        <v>0</v>
      </c>
      <c r="AR938" s="402">
        <v>0</v>
      </c>
      <c r="AS938" s="402">
        <v>0</v>
      </c>
      <c r="AT938" s="157">
        <f>SUM(AR938:AS938)</f>
        <v>0</v>
      </c>
      <c r="AU938" s="402">
        <v>0</v>
      </c>
      <c r="AV938" s="402">
        <v>0</v>
      </c>
      <c r="AW938" s="157">
        <f>SUM(AU938:AV938)</f>
        <v>0</v>
      </c>
      <c r="AX938" s="402">
        <v>0</v>
      </c>
      <c r="AY938" s="402">
        <v>0</v>
      </c>
      <c r="AZ938" s="157">
        <f>SUM(AX938:AY938)</f>
        <v>0</v>
      </c>
      <c r="BA938" s="402">
        <v>0</v>
      </c>
      <c r="BB938" s="402">
        <v>0</v>
      </c>
      <c r="BC938" s="157">
        <f>SUM(BA938:BB938)</f>
        <v>0</v>
      </c>
      <c r="BD938" s="402">
        <v>0</v>
      </c>
      <c r="BE938" s="402">
        <v>0</v>
      </c>
      <c r="BF938" s="157">
        <f>SUM(BD938:BE938)</f>
        <v>0</v>
      </c>
      <c r="BG938" s="402">
        <v>0</v>
      </c>
      <c r="BH938" s="402">
        <v>0</v>
      </c>
      <c r="BI938" s="157">
        <f>SUM(BG938:BH938)</f>
        <v>0</v>
      </c>
      <c r="BJ938" s="402">
        <v>0</v>
      </c>
      <c r="BK938" s="402">
        <v>0</v>
      </c>
      <c r="BL938" s="157">
        <f>SUM(BJ938:BK938)</f>
        <v>0</v>
      </c>
      <c r="BM938" s="402">
        <v>0</v>
      </c>
      <c r="BN938" s="402">
        <v>0</v>
      </c>
      <c r="BO938" s="157">
        <f>SUM(BM938:BN938)</f>
        <v>0</v>
      </c>
      <c r="BP938" s="402">
        <v>0</v>
      </c>
      <c r="BQ938" s="402">
        <v>0</v>
      </c>
      <c r="BR938" s="157">
        <f>SUM(BP938:BQ938)</f>
        <v>0</v>
      </c>
    </row>
    <row r="939" spans="2:70" outlineLevel="2">
      <c r="B939" s="5"/>
      <c r="C939" s="84" t="s">
        <v>89</v>
      </c>
      <c r="D939" s="31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71"/>
      <c r="T939" s="157">
        <f>R939+T938</f>
        <v>0</v>
      </c>
      <c r="U939" s="157">
        <f>R939+U938</f>
        <v>0</v>
      </c>
      <c r="V939" s="167">
        <f>SUM(T939:U939)</f>
        <v>0</v>
      </c>
      <c r="W939" s="157">
        <f>U939+W938</f>
        <v>5</v>
      </c>
      <c r="X939" s="157">
        <f>U939+X938</f>
        <v>5</v>
      </c>
      <c r="Y939" s="157">
        <f>SUM(W939:X939)</f>
        <v>10</v>
      </c>
      <c r="Z939" s="157">
        <f t="shared" ref="Z939" si="3800">W939+Z938</f>
        <v>10</v>
      </c>
      <c r="AA939" s="157">
        <f t="shared" ref="AA939" si="3801">X939+AA938</f>
        <v>10</v>
      </c>
      <c r="AB939" s="157">
        <f t="shared" ref="AB939" si="3802">SUM(Z939:AA939)</f>
        <v>20</v>
      </c>
      <c r="AC939" s="157">
        <f t="shared" ref="AC939" si="3803">Z939+AC938</f>
        <v>12</v>
      </c>
      <c r="AD939" s="157">
        <f t="shared" ref="AD939" si="3804">AA939+AD938</f>
        <v>10</v>
      </c>
      <c r="AE939" s="157">
        <f t="shared" ref="AE939" si="3805">SUM(AC939:AD939)</f>
        <v>22</v>
      </c>
      <c r="AF939" s="157">
        <f t="shared" ref="AF939" si="3806">AC939+AF938</f>
        <v>12</v>
      </c>
      <c r="AG939" s="1031">
        <f t="shared" ref="AG939" si="3807">AD939+AG938</f>
        <v>10</v>
      </c>
      <c r="AH939" s="157">
        <f t="shared" ref="AH939" si="3808">SUM(AF939:AG939)</f>
        <v>22</v>
      </c>
      <c r="AI939" s="157">
        <f t="shared" ref="AI939" si="3809">AF939+AI938</f>
        <v>12</v>
      </c>
      <c r="AJ939" s="157">
        <f t="shared" ref="AJ939" si="3810">AG939+AJ938</f>
        <v>10</v>
      </c>
      <c r="AK939" s="157">
        <f t="shared" ref="AK939" si="3811">SUM(AI939:AJ939)</f>
        <v>22</v>
      </c>
      <c r="AL939" s="157">
        <f t="shared" ref="AL939" si="3812">AI939+AL938</f>
        <v>12</v>
      </c>
      <c r="AM939" s="157">
        <f t="shared" ref="AM939" si="3813">AJ939+AM938</f>
        <v>10</v>
      </c>
      <c r="AN939" s="157">
        <f t="shared" ref="AN939" si="3814">SUM(AL939:AM939)</f>
        <v>22</v>
      </c>
      <c r="AO939" s="157">
        <f t="shared" ref="AO939" si="3815">AL939+AO938</f>
        <v>12</v>
      </c>
      <c r="AP939" s="157">
        <f t="shared" ref="AP939" si="3816">AM939+AP938</f>
        <v>10</v>
      </c>
      <c r="AQ939" s="157">
        <f t="shared" ref="AQ939" si="3817">SUM(AO939:AP939)</f>
        <v>22</v>
      </c>
      <c r="AR939" s="157">
        <f t="shared" ref="AR939" si="3818">AO939+AR938</f>
        <v>12</v>
      </c>
      <c r="AS939" s="157">
        <f t="shared" ref="AS939" si="3819">AP939+AS938</f>
        <v>10</v>
      </c>
      <c r="AT939" s="157">
        <f t="shared" ref="AT939" si="3820">SUM(AR939:AS939)</f>
        <v>22</v>
      </c>
      <c r="AU939" s="157">
        <f t="shared" ref="AU939" si="3821">AR939+AU938</f>
        <v>12</v>
      </c>
      <c r="AV939" s="157">
        <f t="shared" ref="AV939" si="3822">AS939+AV938</f>
        <v>10</v>
      </c>
      <c r="AW939" s="157">
        <f t="shared" ref="AW939" si="3823">SUM(AU939:AV939)</f>
        <v>22</v>
      </c>
      <c r="AX939" s="157">
        <f t="shared" ref="AX939" si="3824">AU939+AX938</f>
        <v>12</v>
      </c>
      <c r="AY939" s="157">
        <f t="shared" ref="AY939" si="3825">AV939+AY938</f>
        <v>10</v>
      </c>
      <c r="AZ939" s="157">
        <f t="shared" ref="AZ939" si="3826">SUM(AX939:AY939)</f>
        <v>22</v>
      </c>
      <c r="BA939" s="157">
        <f t="shared" ref="BA939" si="3827">AX939+BA938</f>
        <v>12</v>
      </c>
      <c r="BB939" s="157">
        <f t="shared" ref="BB939" si="3828">AY939+BB938</f>
        <v>10</v>
      </c>
      <c r="BC939" s="157">
        <f t="shared" ref="BC939" si="3829">SUM(BA939:BB939)</f>
        <v>22</v>
      </c>
      <c r="BD939" s="157">
        <f t="shared" ref="BD939" si="3830">BA939+BD938</f>
        <v>12</v>
      </c>
      <c r="BE939" s="157">
        <f t="shared" ref="BE939" si="3831">BB939+BE938</f>
        <v>10</v>
      </c>
      <c r="BF939" s="157">
        <f t="shared" ref="BF939" si="3832">SUM(BD939:BE939)</f>
        <v>22</v>
      </c>
      <c r="BG939" s="157">
        <f t="shared" ref="BG939" si="3833">BD939+BG938</f>
        <v>12</v>
      </c>
      <c r="BH939" s="157">
        <f t="shared" ref="BH939" si="3834">BE939+BH938</f>
        <v>10</v>
      </c>
      <c r="BI939" s="157">
        <f t="shared" ref="BI939" si="3835">SUM(BG939:BH939)</f>
        <v>22</v>
      </c>
      <c r="BJ939" s="157">
        <f t="shared" ref="BJ939" si="3836">BG939+BJ938</f>
        <v>12</v>
      </c>
      <c r="BK939" s="157">
        <f t="shared" ref="BK939" si="3837">BH939+BK938</f>
        <v>10</v>
      </c>
      <c r="BL939" s="157">
        <f t="shared" ref="BL939" si="3838">SUM(BJ939:BK939)</f>
        <v>22</v>
      </c>
      <c r="BM939" s="157">
        <f t="shared" ref="BM939" si="3839">BJ939+BM938</f>
        <v>12</v>
      </c>
      <c r="BN939" s="157">
        <f t="shared" ref="BN939" si="3840">BK939+BN938</f>
        <v>10</v>
      </c>
      <c r="BO939" s="157">
        <f t="shared" ref="BO939" si="3841">SUM(BM939:BN939)</f>
        <v>22</v>
      </c>
      <c r="BP939" s="157">
        <f t="shared" ref="BP939" si="3842">BM939+BP938</f>
        <v>12</v>
      </c>
      <c r="BQ939" s="157">
        <f t="shared" ref="BQ939" si="3843">BN939+BQ938</f>
        <v>10</v>
      </c>
      <c r="BR939" s="157">
        <f t="shared" ref="BR939" si="3844">SUM(BP939:BQ939)</f>
        <v>22</v>
      </c>
    </row>
    <row r="940" spans="2:70" outlineLevel="2">
      <c r="B940" s="5"/>
      <c r="C940" s="84" t="s">
        <v>264</v>
      </c>
      <c r="D940" s="31" t="s">
        <v>66</v>
      </c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68">
        <f>P938/P932</f>
        <v>0.05</v>
      </c>
      <c r="T940" s="133"/>
      <c r="U940" s="167"/>
      <c r="V940" s="167"/>
      <c r="W940" s="157"/>
      <c r="X940" s="157"/>
      <c r="Y940" s="157"/>
      <c r="Z940" s="157"/>
      <c r="AA940" s="157"/>
      <c r="AB940" s="157"/>
      <c r="AC940" s="157"/>
      <c r="AD940" s="157"/>
      <c r="AE940" s="157"/>
      <c r="AF940" s="157"/>
      <c r="AG940" s="1031"/>
      <c r="AH940" s="157"/>
      <c r="AI940" s="157"/>
      <c r="AJ940" s="157"/>
      <c r="AK940" s="157"/>
      <c r="AL940" s="157"/>
      <c r="AM940" s="157"/>
      <c r="AN940" s="157"/>
      <c r="AO940" s="157"/>
      <c r="AP940" s="157"/>
      <c r="AQ940" s="157"/>
      <c r="AR940" s="157"/>
      <c r="AS940" s="157"/>
      <c r="AT940" s="157"/>
      <c r="AU940" s="157"/>
      <c r="AV940" s="157"/>
      <c r="AW940" s="157"/>
      <c r="AX940" s="157"/>
      <c r="AY940" s="157"/>
      <c r="AZ940" s="157"/>
      <c r="BA940" s="157"/>
      <c r="BB940" s="157"/>
      <c r="BC940" s="157"/>
      <c r="BD940" s="157"/>
      <c r="BE940" s="157"/>
      <c r="BF940" s="157"/>
      <c r="BG940" s="157"/>
      <c r="BH940" s="157"/>
      <c r="BI940" s="157"/>
      <c r="BJ940" s="157"/>
      <c r="BK940" s="157"/>
      <c r="BL940" s="157"/>
      <c r="BM940" s="157"/>
      <c r="BN940" s="157"/>
      <c r="BO940" s="157"/>
      <c r="BP940" s="157"/>
      <c r="BQ940" s="157"/>
      <c r="BR940" s="157"/>
    </row>
    <row r="941" spans="2:70" outlineLevel="2">
      <c r="B941" s="5"/>
      <c r="C941" s="84" t="s">
        <v>79</v>
      </c>
      <c r="D941" s="31" t="s">
        <v>526</v>
      </c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70">
        <f>P936+P938</f>
        <v>52.55</v>
      </c>
      <c r="T941" s="164">
        <f t="shared" ref="T941:U941" si="3845">T939+T936</f>
        <v>5.0916666666666668</v>
      </c>
      <c r="U941" s="164">
        <f t="shared" si="3845"/>
        <v>15.275</v>
      </c>
      <c r="V941" s="167">
        <f>SUM(T941:U941)</f>
        <v>20.366666666666667</v>
      </c>
      <c r="W941" s="164">
        <f t="shared" ref="W941:AE941" si="3846">W939+W936</f>
        <v>20.274999999999999</v>
      </c>
      <c r="X941" s="164">
        <f t="shared" si="3846"/>
        <v>20.274999999999999</v>
      </c>
      <c r="Y941" s="164">
        <f t="shared" si="3846"/>
        <v>40.549999999999997</v>
      </c>
      <c r="Z941" s="164">
        <f t="shared" si="3846"/>
        <v>25.274999999999999</v>
      </c>
      <c r="AA941" s="164">
        <f t="shared" si="3846"/>
        <v>25.274999999999999</v>
      </c>
      <c r="AB941" s="164">
        <f t="shared" si="3846"/>
        <v>50.55</v>
      </c>
      <c r="AC941" s="164">
        <f t="shared" si="3846"/>
        <v>27.274999999999999</v>
      </c>
      <c r="AD941" s="164">
        <f t="shared" si="3846"/>
        <v>25.274999999999999</v>
      </c>
      <c r="AE941" s="164">
        <f t="shared" si="3846"/>
        <v>52.55</v>
      </c>
      <c r="AF941" s="164">
        <f t="shared" ref="AF941:AH941" si="3847">AF939+AF936</f>
        <v>27.274999999999999</v>
      </c>
      <c r="AG941" s="1018">
        <f t="shared" si="3847"/>
        <v>25.274999999999999</v>
      </c>
      <c r="AH941" s="164">
        <f t="shared" si="3847"/>
        <v>52.55</v>
      </c>
      <c r="AI941" s="164">
        <f t="shared" ref="AI941:AN941" si="3848">AI939+AI936</f>
        <v>27.274999999999999</v>
      </c>
      <c r="AJ941" s="164">
        <f t="shared" si="3848"/>
        <v>25.274999999999999</v>
      </c>
      <c r="AK941" s="164">
        <f t="shared" si="3848"/>
        <v>52.55</v>
      </c>
      <c r="AL941" s="164">
        <f t="shared" si="3848"/>
        <v>27.274999999999999</v>
      </c>
      <c r="AM941" s="164">
        <f t="shared" si="3848"/>
        <v>25.274999999999999</v>
      </c>
      <c r="AN941" s="164">
        <f t="shared" si="3848"/>
        <v>52.55</v>
      </c>
      <c r="AO941" s="164">
        <f t="shared" ref="AO941:BR941" si="3849">AO939+AO936</f>
        <v>27.274999999999999</v>
      </c>
      <c r="AP941" s="164">
        <f t="shared" si="3849"/>
        <v>25.274999999999999</v>
      </c>
      <c r="AQ941" s="164">
        <f t="shared" si="3849"/>
        <v>52.55</v>
      </c>
      <c r="AR941" s="164">
        <f t="shared" si="3849"/>
        <v>27.274999999999999</v>
      </c>
      <c r="AS941" s="164">
        <f t="shared" si="3849"/>
        <v>25.274999999999999</v>
      </c>
      <c r="AT941" s="164">
        <f t="shared" si="3849"/>
        <v>52.55</v>
      </c>
      <c r="AU941" s="164">
        <f t="shared" si="3849"/>
        <v>27.274999999999999</v>
      </c>
      <c r="AV941" s="164">
        <f t="shared" si="3849"/>
        <v>25.274999999999999</v>
      </c>
      <c r="AW941" s="164">
        <f t="shared" si="3849"/>
        <v>52.55</v>
      </c>
      <c r="AX941" s="164">
        <f t="shared" si="3849"/>
        <v>27.274999999999999</v>
      </c>
      <c r="AY941" s="164">
        <f t="shared" si="3849"/>
        <v>25.274999999999999</v>
      </c>
      <c r="AZ941" s="164">
        <f t="shared" si="3849"/>
        <v>52.55</v>
      </c>
      <c r="BA941" s="164">
        <f t="shared" si="3849"/>
        <v>27.274999999999999</v>
      </c>
      <c r="BB941" s="164">
        <f t="shared" si="3849"/>
        <v>25.274999999999999</v>
      </c>
      <c r="BC941" s="164">
        <f t="shared" si="3849"/>
        <v>52.55</v>
      </c>
      <c r="BD941" s="164">
        <f t="shared" si="3849"/>
        <v>27.274999999999999</v>
      </c>
      <c r="BE941" s="164">
        <f t="shared" si="3849"/>
        <v>25.274999999999999</v>
      </c>
      <c r="BF941" s="164">
        <f t="shared" si="3849"/>
        <v>52.55</v>
      </c>
      <c r="BG941" s="164">
        <f t="shared" si="3849"/>
        <v>27.274999999999999</v>
      </c>
      <c r="BH941" s="164">
        <f t="shared" si="3849"/>
        <v>25.274999999999999</v>
      </c>
      <c r="BI941" s="164">
        <f t="shared" si="3849"/>
        <v>52.55</v>
      </c>
      <c r="BJ941" s="164">
        <f t="shared" si="3849"/>
        <v>27.274999999999999</v>
      </c>
      <c r="BK941" s="164">
        <f t="shared" si="3849"/>
        <v>25.274999999999999</v>
      </c>
      <c r="BL941" s="164">
        <f t="shared" si="3849"/>
        <v>52.55</v>
      </c>
      <c r="BM941" s="164">
        <f t="shared" si="3849"/>
        <v>27.274999999999999</v>
      </c>
      <c r="BN941" s="164">
        <f t="shared" si="3849"/>
        <v>25.274999999999999</v>
      </c>
      <c r="BO941" s="164">
        <f t="shared" si="3849"/>
        <v>52.55</v>
      </c>
      <c r="BP941" s="164">
        <f t="shared" si="3849"/>
        <v>27.274999999999999</v>
      </c>
      <c r="BQ941" s="164">
        <f t="shared" si="3849"/>
        <v>25.274999999999999</v>
      </c>
      <c r="BR941" s="164">
        <f t="shared" si="3849"/>
        <v>52.55</v>
      </c>
    </row>
    <row r="942" spans="2:70" outlineLevel="2">
      <c r="B942" s="5"/>
      <c r="C942" s="84" t="s">
        <v>75</v>
      </c>
      <c r="D942" s="31" t="s">
        <v>66</v>
      </c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75">
        <f>P941/P930</f>
        <v>0.15014285714285713</v>
      </c>
      <c r="T942" s="133">
        <f>T941/$P$930*2</f>
        <v>2.9095238095238098E-2</v>
      </c>
      <c r="U942" s="133">
        <f>U941/$P$930*2</f>
        <v>8.7285714285714286E-2</v>
      </c>
      <c r="V942" s="133">
        <f>V941/$P$930</f>
        <v>5.8190476190476195E-2</v>
      </c>
      <c r="W942" s="133">
        <f>W941/$P$930*2</f>
        <v>0.11585714285714285</v>
      </c>
      <c r="X942" s="133">
        <f>X941/$P$930*2</f>
        <v>0.11585714285714285</v>
      </c>
      <c r="Y942" s="133">
        <f>Y941/$P$930</f>
        <v>0.11585714285714285</v>
      </c>
      <c r="Z942" s="133">
        <f>Z941/$P$930*2</f>
        <v>0.14442857142857143</v>
      </c>
      <c r="AA942" s="133">
        <f>AA941/$P$930*2</f>
        <v>0.14442857142857143</v>
      </c>
      <c r="AB942" s="133">
        <f>AB941/$P$930</f>
        <v>0.14442857142857143</v>
      </c>
      <c r="AC942" s="133">
        <f>AC941/$P$930*2</f>
        <v>0.15585714285714286</v>
      </c>
      <c r="AD942" s="133">
        <f>AD941/$P$930*2</f>
        <v>0.14442857142857143</v>
      </c>
      <c r="AE942" s="133">
        <f>AE941/$P$930</f>
        <v>0.15014285714285713</v>
      </c>
      <c r="AF942" s="133">
        <f>AF941/$P$930*2</f>
        <v>0.15585714285714286</v>
      </c>
      <c r="AG942" s="938">
        <f>AG941/$P$930*2</f>
        <v>0.14442857142857143</v>
      </c>
      <c r="AH942" s="133">
        <f>AH941/$P$930</f>
        <v>0.15014285714285713</v>
      </c>
      <c r="AI942" s="133">
        <f>AI941/$P$930*2</f>
        <v>0.15585714285714286</v>
      </c>
      <c r="AJ942" s="133">
        <f>AJ941/$P$930*2</f>
        <v>0.14442857142857143</v>
      </c>
      <c r="AK942" s="133">
        <f>AK941/$P$930</f>
        <v>0.15014285714285713</v>
      </c>
      <c r="AL942" s="133">
        <f>AL941/$P$930*2</f>
        <v>0.15585714285714286</v>
      </c>
      <c r="AM942" s="133">
        <f>AM941/$P$930*2</f>
        <v>0.14442857142857143</v>
      </c>
      <c r="AN942" s="133">
        <f>AN941/$P$930</f>
        <v>0.15014285714285713</v>
      </c>
      <c r="AO942" s="133">
        <f>AO941/$P$930*2</f>
        <v>0.15585714285714286</v>
      </c>
      <c r="AP942" s="133">
        <f>AP941/$P$930*2</f>
        <v>0.14442857142857143</v>
      </c>
      <c r="AQ942" s="133">
        <f>AQ941/$P$930</f>
        <v>0.15014285714285713</v>
      </c>
      <c r="AR942" s="133">
        <f>AR941/$P$930*2</f>
        <v>0.15585714285714286</v>
      </c>
      <c r="AS942" s="133">
        <f>AS941/$P$930*2</f>
        <v>0.14442857142857143</v>
      </c>
      <c r="AT942" s="133">
        <f>AT941/$P$930</f>
        <v>0.15014285714285713</v>
      </c>
      <c r="AU942" s="133">
        <f>AU941/$P$930*2</f>
        <v>0.15585714285714286</v>
      </c>
      <c r="AV942" s="133">
        <f>AV941/$P$930*2</f>
        <v>0.14442857142857143</v>
      </c>
      <c r="AW942" s="133">
        <f>AW941/$P$930</f>
        <v>0.15014285714285713</v>
      </c>
      <c r="AX942" s="133">
        <f>AX941/$P$930*2</f>
        <v>0.15585714285714286</v>
      </c>
      <c r="AY942" s="133">
        <f>AY941/$P$930*2</f>
        <v>0.14442857142857143</v>
      </c>
      <c r="AZ942" s="133">
        <f>AZ941/$P$930</f>
        <v>0.15014285714285713</v>
      </c>
      <c r="BA942" s="133">
        <f>BA941/$P$930*2</f>
        <v>0.15585714285714286</v>
      </c>
      <c r="BB942" s="133">
        <f>BB941/$P$930*2</f>
        <v>0.14442857142857143</v>
      </c>
      <c r="BC942" s="133">
        <f>BC941/$P$930</f>
        <v>0.15014285714285713</v>
      </c>
      <c r="BD942" s="133">
        <f>BD941/$P$930*2</f>
        <v>0.15585714285714286</v>
      </c>
      <c r="BE942" s="133">
        <f>BE941/$P$930*2</f>
        <v>0.14442857142857143</v>
      </c>
      <c r="BF942" s="133">
        <f>BF941/$P$930</f>
        <v>0.15014285714285713</v>
      </c>
      <c r="BG942" s="133">
        <f>BG941/$P$930*2</f>
        <v>0.15585714285714286</v>
      </c>
      <c r="BH942" s="133">
        <f>BH941/$P$930*2</f>
        <v>0.14442857142857143</v>
      </c>
      <c r="BI942" s="133">
        <f>BI941/$P$930</f>
        <v>0.15014285714285713</v>
      </c>
      <c r="BJ942" s="133">
        <f>BJ941/$P$930*2</f>
        <v>0.15585714285714286</v>
      </c>
      <c r="BK942" s="133">
        <f>BK941/$P$930*2</f>
        <v>0.14442857142857143</v>
      </c>
      <c r="BL942" s="133">
        <f>BL941/$P$930</f>
        <v>0.15014285714285713</v>
      </c>
      <c r="BM942" s="133">
        <f>BM941/$P$930*2</f>
        <v>0.15585714285714286</v>
      </c>
      <c r="BN942" s="133">
        <f>BN941/$P$930*2</f>
        <v>0.14442857142857143</v>
      </c>
      <c r="BO942" s="133">
        <f>BO941/$P$930</f>
        <v>0.15014285714285713</v>
      </c>
      <c r="BP942" s="133">
        <f>BP941/$P$930*2</f>
        <v>0.15585714285714286</v>
      </c>
      <c r="BQ942" s="133">
        <f>BQ941/$P$930*2</f>
        <v>0.14442857142857143</v>
      </c>
      <c r="BR942" s="133">
        <f>BR941/$P$930</f>
        <v>0.15014285714285713</v>
      </c>
    </row>
    <row r="943" spans="2:70" outlineLevel="2">
      <c r="B943" s="5"/>
      <c r="C943" s="84" t="s">
        <v>57</v>
      </c>
      <c r="D943" s="7" t="s">
        <v>85</v>
      </c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74">
        <f>P941*S263</f>
        <v>6.5088717028727778</v>
      </c>
      <c r="T943" s="157">
        <f t="shared" ref="T943:AY943" si="3850">T941*T263</f>
        <v>0.62062710732323223</v>
      </c>
      <c r="U943" s="157">
        <f t="shared" si="3850"/>
        <v>1.8073211093750003</v>
      </c>
      <c r="V943" s="157">
        <f t="shared" si="3850"/>
        <v>2.4461349542297981</v>
      </c>
      <c r="W943" s="157">
        <f t="shared" si="3850"/>
        <v>2.5619474640151512</v>
      </c>
      <c r="X943" s="157">
        <f t="shared" si="3850"/>
        <v>2.9212223411658651</v>
      </c>
      <c r="Y943" s="157">
        <f t="shared" si="3850"/>
        <v>5.4831698051810163</v>
      </c>
      <c r="Z943" s="157">
        <f t="shared" si="3850"/>
        <v>3.6089540625000001</v>
      </c>
      <c r="AA943" s="157">
        <f t="shared" si="3850"/>
        <v>3.4649594711538452</v>
      </c>
      <c r="AB943" s="157">
        <f t="shared" si="3850"/>
        <v>7.0739135336538457</v>
      </c>
      <c r="AC943" s="157">
        <f t="shared" si="3850"/>
        <v>3.683985199504662</v>
      </c>
      <c r="AD943" s="157">
        <f t="shared" si="3850"/>
        <v>3.3958809519230773</v>
      </c>
      <c r="AE943" s="157">
        <f t="shared" si="3850"/>
        <v>7.0791552574883445</v>
      </c>
      <c r="AF943" s="157">
        <f t="shared" si="3850"/>
        <v>3.683985199504662</v>
      </c>
      <c r="AG943" s="1031">
        <f t="shared" si="3850"/>
        <v>3.3958809519230773</v>
      </c>
      <c r="AH943" s="157">
        <f t="shared" si="3850"/>
        <v>7.0791552574883445</v>
      </c>
      <c r="AI943" s="157">
        <f t="shared" si="3850"/>
        <v>3.683985199504662</v>
      </c>
      <c r="AJ943" s="157">
        <f t="shared" si="3850"/>
        <v>3.3958809519230773</v>
      </c>
      <c r="AK943" s="157">
        <f t="shared" si="3850"/>
        <v>7.0791552574883445</v>
      </c>
      <c r="AL943" s="157">
        <f t="shared" si="3850"/>
        <v>3.683985199504662</v>
      </c>
      <c r="AM943" s="157">
        <f t="shared" si="3850"/>
        <v>3.3958809519230773</v>
      </c>
      <c r="AN943" s="157">
        <f t="shared" si="3850"/>
        <v>7.0791552574883445</v>
      </c>
      <c r="AO943" s="157">
        <f t="shared" si="3850"/>
        <v>3.683985199504662</v>
      </c>
      <c r="AP943" s="157">
        <f t="shared" si="3850"/>
        <v>3.3958809519230773</v>
      </c>
      <c r="AQ943" s="157">
        <f t="shared" si="3850"/>
        <v>7.0791552574883445</v>
      </c>
      <c r="AR943" s="157">
        <f t="shared" si="3850"/>
        <v>3.683985199504662</v>
      </c>
      <c r="AS943" s="157">
        <f t="shared" si="3850"/>
        <v>3.3958809519230773</v>
      </c>
      <c r="AT943" s="157">
        <f t="shared" si="3850"/>
        <v>7.0791552574883445</v>
      </c>
      <c r="AU943" s="157">
        <f t="shared" si="3850"/>
        <v>3.683985199504662</v>
      </c>
      <c r="AV943" s="157">
        <f t="shared" si="3850"/>
        <v>3.3958809519230773</v>
      </c>
      <c r="AW943" s="157">
        <f t="shared" si="3850"/>
        <v>7.0791552574883445</v>
      </c>
      <c r="AX943" s="157">
        <f t="shared" si="3850"/>
        <v>3.683985199504662</v>
      </c>
      <c r="AY943" s="157">
        <f t="shared" si="3850"/>
        <v>3.3958809519230773</v>
      </c>
      <c r="AZ943" s="157">
        <f t="shared" ref="AZ943:BR943" si="3851">AZ941*AZ263</f>
        <v>7.0791552574883445</v>
      </c>
      <c r="BA943" s="157">
        <f t="shared" si="3851"/>
        <v>3.683985199504662</v>
      </c>
      <c r="BB943" s="157">
        <f t="shared" si="3851"/>
        <v>3.3958809519230773</v>
      </c>
      <c r="BC943" s="157">
        <f t="shared" si="3851"/>
        <v>7.0791552574883445</v>
      </c>
      <c r="BD943" s="157">
        <f t="shared" si="3851"/>
        <v>3.683985199504662</v>
      </c>
      <c r="BE943" s="157">
        <f t="shared" si="3851"/>
        <v>3.3958809519230773</v>
      </c>
      <c r="BF943" s="157">
        <f t="shared" si="3851"/>
        <v>7.0791552574883445</v>
      </c>
      <c r="BG943" s="157">
        <f t="shared" si="3851"/>
        <v>3.683985199504662</v>
      </c>
      <c r="BH943" s="157">
        <f t="shared" si="3851"/>
        <v>3.3958809519230773</v>
      </c>
      <c r="BI943" s="157">
        <f t="shared" si="3851"/>
        <v>7.0791552574883445</v>
      </c>
      <c r="BJ943" s="157">
        <f t="shared" si="3851"/>
        <v>3.683985199504662</v>
      </c>
      <c r="BK943" s="157">
        <f t="shared" si="3851"/>
        <v>3.3958809519230773</v>
      </c>
      <c r="BL943" s="157">
        <f t="shared" si="3851"/>
        <v>7.0791552574883445</v>
      </c>
      <c r="BM943" s="157">
        <f t="shared" si="3851"/>
        <v>3.683985199504662</v>
      </c>
      <c r="BN943" s="157">
        <f t="shared" si="3851"/>
        <v>3.3958809519230773</v>
      </c>
      <c r="BO943" s="157">
        <f t="shared" si="3851"/>
        <v>7.0791552574883445</v>
      </c>
      <c r="BP943" s="157">
        <f t="shared" si="3851"/>
        <v>3.683985199504662</v>
      </c>
      <c r="BQ943" s="157">
        <f t="shared" si="3851"/>
        <v>3.3958809519230773</v>
      </c>
      <c r="BR943" s="157">
        <f t="shared" si="3851"/>
        <v>7.0791552574883445</v>
      </c>
    </row>
    <row r="944" spans="2:70" outlineLevel="2">
      <c r="B944" s="5"/>
      <c r="C944" s="511" t="s">
        <v>267</v>
      </c>
      <c r="D944" s="512" t="s">
        <v>85</v>
      </c>
      <c r="E944" s="512"/>
      <c r="F944" s="512"/>
      <c r="G944" s="512"/>
      <c r="H944" s="512"/>
      <c r="I944" s="512"/>
      <c r="J944" s="512"/>
      <c r="K944" s="512"/>
      <c r="L944" s="512"/>
      <c r="M944" s="512"/>
      <c r="N944" s="512"/>
      <c r="O944" s="512"/>
      <c r="P944" s="513"/>
      <c r="Q944" s="513"/>
      <c r="R944" s="513"/>
      <c r="S944" s="513"/>
      <c r="T944" s="748">
        <f>(T932-Q932)*T$263</f>
        <v>8.9386555555555542</v>
      </c>
      <c r="U944" s="748">
        <f>(U932-R932)*U$263</f>
        <v>26.030156730769235</v>
      </c>
      <c r="V944" s="748">
        <f>SUM(T944:U944)</f>
        <v>34.968812286324791</v>
      </c>
      <c r="W944" s="748">
        <f>(W932-T932)*W$263</f>
        <v>18.532788888888891</v>
      </c>
      <c r="X944" s="748">
        <f>(X932-U932)*X$263</f>
        <v>0</v>
      </c>
      <c r="Y944" s="748">
        <f>SUM(W944:X944)</f>
        <v>18.532788888888891</v>
      </c>
      <c r="Z944" s="748">
        <f>(Z932-W932)*Z$263</f>
        <v>0</v>
      </c>
      <c r="AA944" s="748">
        <f>(AA932-X932)*AA$263</f>
        <v>0</v>
      </c>
      <c r="AB944" s="748">
        <f>SUM(Z944:AA944)</f>
        <v>0</v>
      </c>
      <c r="AC944" s="748">
        <f>(AC932-Z932)*AC$263</f>
        <v>0</v>
      </c>
      <c r="AD944" s="748">
        <f>(AD932-AA932)*AD$263</f>
        <v>0</v>
      </c>
      <c r="AE944" s="748">
        <f>SUM(AC944:AD944)</f>
        <v>0</v>
      </c>
      <c r="AF944" s="748">
        <f>(AF932-AC932)*AF$263</f>
        <v>0</v>
      </c>
      <c r="AG944" s="1033">
        <f>(AG932-AD932)*AG$263</f>
        <v>0</v>
      </c>
      <c r="AH944" s="748">
        <f>SUM(AF944:AG944)</f>
        <v>0</v>
      </c>
      <c r="AI944" s="748">
        <f>(AI932-AF932)*AI$263</f>
        <v>0</v>
      </c>
      <c r="AJ944" s="748">
        <f>(AJ932-AG932)*AJ$263</f>
        <v>0</v>
      </c>
      <c r="AK944" s="748">
        <f>SUM(AI944:AJ944)</f>
        <v>0</v>
      </c>
      <c r="AL944" s="748">
        <f>(AL932-AI932)*AL$263</f>
        <v>0</v>
      </c>
      <c r="AM944" s="748">
        <f>(AM932-AJ932)*AM$263</f>
        <v>0</v>
      </c>
      <c r="AN944" s="748">
        <f>SUM(AL944:AM944)</f>
        <v>0</v>
      </c>
      <c r="AO944" s="748">
        <f>(AO932-AL932)*AO$263</f>
        <v>0</v>
      </c>
      <c r="AP944" s="748">
        <f>(AP932-AM932)*AP$263</f>
        <v>0</v>
      </c>
      <c r="AQ944" s="748">
        <f>SUM(AO944:AP944)</f>
        <v>0</v>
      </c>
      <c r="AR944" s="748">
        <f>(AR932-AO932)*AR$263</f>
        <v>0</v>
      </c>
      <c r="AS944" s="748">
        <f>(AS932-AP932)*AS$263</f>
        <v>0</v>
      </c>
      <c r="AT944" s="748">
        <f>SUM(AR944:AS944)</f>
        <v>0</v>
      </c>
      <c r="AU944" s="748">
        <f>(AU932-AR932)*AU$263</f>
        <v>0</v>
      </c>
      <c r="AV944" s="748">
        <f>(AV932-AS932)*AV$263</f>
        <v>0</v>
      </c>
      <c r="AW944" s="748">
        <f>SUM(AU944:AV944)</f>
        <v>0</v>
      </c>
      <c r="AX944" s="748">
        <f>(AX932-AU932)*AX$263</f>
        <v>0</v>
      </c>
      <c r="AY944" s="748">
        <f>(AY932-AV932)*AY$263</f>
        <v>0</v>
      </c>
      <c r="AZ944" s="748">
        <f>SUM(AX944:AY944)</f>
        <v>0</v>
      </c>
      <c r="BA944" s="748">
        <f>(BA932-AX932)*BA$263</f>
        <v>0</v>
      </c>
      <c r="BB944" s="748">
        <f>(BB932-AY932)*BB$263</f>
        <v>0</v>
      </c>
      <c r="BC944" s="748">
        <f>SUM(BA944:BB944)</f>
        <v>0</v>
      </c>
      <c r="BD944" s="748">
        <f>(BD932-BA932)*BD$263</f>
        <v>0</v>
      </c>
      <c r="BE944" s="748">
        <f>(BE932-BB932)*BE$263</f>
        <v>0</v>
      </c>
      <c r="BF944" s="748">
        <f>SUM(BD944:BE944)</f>
        <v>0</v>
      </c>
      <c r="BG944" s="748">
        <f>(BG932-BD932)*BG$263</f>
        <v>0</v>
      </c>
      <c r="BH944" s="748">
        <f>(BH932-BE932)*BH$263</f>
        <v>0</v>
      </c>
      <c r="BI944" s="748">
        <f>SUM(BG944:BH944)</f>
        <v>0</v>
      </c>
      <c r="BJ944" s="748">
        <f>(BJ932-BG932)*BJ$263</f>
        <v>0</v>
      </c>
      <c r="BK944" s="748">
        <f>(BK932-BH932)*BK$263</f>
        <v>0</v>
      </c>
      <c r="BL944" s="748">
        <f>SUM(BJ944:BK944)</f>
        <v>0</v>
      </c>
      <c r="BM944" s="748">
        <f>(BM932-BJ932)*BM$263</f>
        <v>0</v>
      </c>
      <c r="BN944" s="748">
        <f>(BN932-BK932)*BN$263</f>
        <v>0</v>
      </c>
      <c r="BO944" s="748">
        <f>SUM(BM944:BN944)</f>
        <v>0</v>
      </c>
      <c r="BP944" s="748">
        <f>(BP932-BM932)*BP$263</f>
        <v>0</v>
      </c>
      <c r="BQ944" s="748">
        <f>(BQ932-BN932)*BQ$263</f>
        <v>0</v>
      </c>
      <c r="BR944" s="787">
        <f>SUM(BP944:BQ944)</f>
        <v>0</v>
      </c>
    </row>
    <row r="945" spans="2:70" outlineLevel="2">
      <c r="B945" s="5"/>
      <c r="C945" s="516" t="s">
        <v>268</v>
      </c>
      <c r="D945" s="401" t="s">
        <v>85</v>
      </c>
      <c r="E945" s="401"/>
      <c r="F945" s="401"/>
      <c r="G945" s="401"/>
      <c r="H945" s="401"/>
      <c r="I945" s="401"/>
      <c r="J945" s="401"/>
      <c r="K945" s="401"/>
      <c r="L945" s="401"/>
      <c r="M945" s="401"/>
      <c r="N945" s="401"/>
      <c r="O945" s="401"/>
      <c r="P945" s="130"/>
      <c r="Q945" s="130"/>
      <c r="R945" s="130"/>
      <c r="S945" s="130"/>
      <c r="T945" s="360">
        <f>(T935-Q935)*T$263</f>
        <v>-0.26815966666666657</v>
      </c>
      <c r="U945" s="360">
        <f>(U935-R935)*U$263</f>
        <v>-0.78090470192307693</v>
      </c>
      <c r="V945" s="360">
        <f t="shared" ref="V945:V946" si="3852">SUM(T945:U945)</f>
        <v>-1.0490643685897436</v>
      </c>
      <c r="W945" s="360">
        <f>(W935-T935)*W$263</f>
        <v>-0.55598366666666665</v>
      </c>
      <c r="X945" s="360">
        <f>(X935-U935)*X$263</f>
        <v>0</v>
      </c>
      <c r="Y945" s="360">
        <f t="shared" ref="Y945:Y946" si="3853">SUM(W945:X945)</f>
        <v>-0.55598366666666665</v>
      </c>
      <c r="Z945" s="360">
        <f>(Z935-W935)*Z$263</f>
        <v>0</v>
      </c>
      <c r="AA945" s="360">
        <f>(AA935-X935)*AA$263</f>
        <v>0</v>
      </c>
      <c r="AB945" s="360">
        <f t="shared" ref="AB945:AB946" si="3854">SUM(Z945:AA945)</f>
        <v>0</v>
      </c>
      <c r="AC945" s="360">
        <f>(AC935-Z935)*AC$263</f>
        <v>0</v>
      </c>
      <c r="AD945" s="360">
        <f>(AD935-AA935)*AD$263</f>
        <v>0</v>
      </c>
      <c r="AE945" s="360">
        <f t="shared" ref="AE945:AE946" si="3855">SUM(AC945:AD945)</f>
        <v>0</v>
      </c>
      <c r="AF945" s="360">
        <f>(AF935-AC935)*AF$263</f>
        <v>0</v>
      </c>
      <c r="AG945" s="942">
        <f>(AG935-AD935)*AG$263</f>
        <v>0</v>
      </c>
      <c r="AH945" s="360">
        <f t="shared" ref="AH945:AH946" si="3856">SUM(AF945:AG945)</f>
        <v>0</v>
      </c>
      <c r="AI945" s="360">
        <f>(AI935-AF935)*AI$263</f>
        <v>0</v>
      </c>
      <c r="AJ945" s="360">
        <f>(AJ935-AG935)*AJ$263</f>
        <v>0</v>
      </c>
      <c r="AK945" s="360">
        <f t="shared" ref="AK945:AK946" si="3857">SUM(AI945:AJ945)</f>
        <v>0</v>
      </c>
      <c r="AL945" s="360">
        <f>(AL935-AI935)*AL$263</f>
        <v>0</v>
      </c>
      <c r="AM945" s="360">
        <f>(AM935-AJ935)*AM$263</f>
        <v>0</v>
      </c>
      <c r="AN945" s="360">
        <f t="shared" ref="AN945:AN946" si="3858">SUM(AL945:AM945)</f>
        <v>0</v>
      </c>
      <c r="AO945" s="360">
        <f>(AO935-AL935)*AO$263</f>
        <v>0</v>
      </c>
      <c r="AP945" s="360">
        <f>(AP935-AM935)*AP$263</f>
        <v>0</v>
      </c>
      <c r="AQ945" s="360">
        <f t="shared" ref="AQ945:AQ946" si="3859">SUM(AO945:AP945)</f>
        <v>0</v>
      </c>
      <c r="AR945" s="360">
        <f>(AR935-AO935)*AR$263</f>
        <v>0</v>
      </c>
      <c r="AS945" s="360">
        <f>(AS935-AP935)*AS$263</f>
        <v>0</v>
      </c>
      <c r="AT945" s="360">
        <f t="shared" ref="AT945:AT946" si="3860">SUM(AR945:AS945)</f>
        <v>0</v>
      </c>
      <c r="AU945" s="360">
        <f>(AU935-AR935)*AU$263</f>
        <v>0</v>
      </c>
      <c r="AV945" s="360">
        <f>(AV935-AS935)*AV$263</f>
        <v>0</v>
      </c>
      <c r="AW945" s="360">
        <f t="shared" ref="AW945:AW946" si="3861">SUM(AU945:AV945)</f>
        <v>0</v>
      </c>
      <c r="AX945" s="360">
        <f>(AX935-AU935)*AX$263</f>
        <v>0</v>
      </c>
      <c r="AY945" s="360">
        <f>(AY935-AV935)*AY$263</f>
        <v>0</v>
      </c>
      <c r="AZ945" s="360">
        <f t="shared" ref="AZ945:AZ946" si="3862">SUM(AX945:AY945)</f>
        <v>0</v>
      </c>
      <c r="BA945" s="360">
        <f>(BA935-AX935)*BA$263</f>
        <v>0</v>
      </c>
      <c r="BB945" s="360">
        <f>(BB935-AY935)*BB$263</f>
        <v>0</v>
      </c>
      <c r="BC945" s="360">
        <f t="shared" ref="BC945:BC946" si="3863">SUM(BA945:BB945)</f>
        <v>0</v>
      </c>
      <c r="BD945" s="360">
        <f>(BD935-BA935)*BD$263</f>
        <v>0</v>
      </c>
      <c r="BE945" s="360">
        <f>(BE935-BB935)*BE$263</f>
        <v>0</v>
      </c>
      <c r="BF945" s="360">
        <f t="shared" ref="BF945:BF946" si="3864">SUM(BD945:BE945)</f>
        <v>0</v>
      </c>
      <c r="BG945" s="360">
        <f>(BG935-BD935)*BG$263</f>
        <v>0</v>
      </c>
      <c r="BH945" s="360">
        <f>(BH935-BE935)*BH$263</f>
        <v>0</v>
      </c>
      <c r="BI945" s="360">
        <f t="shared" ref="BI945:BI946" si="3865">SUM(BG945:BH945)</f>
        <v>0</v>
      </c>
      <c r="BJ945" s="360">
        <f>(BJ935-BG935)*BJ$263</f>
        <v>0</v>
      </c>
      <c r="BK945" s="360">
        <f>(BK935-BH935)*BK$263</f>
        <v>0</v>
      </c>
      <c r="BL945" s="360">
        <f t="shared" ref="BL945:BL946" si="3866">SUM(BJ945:BK945)</f>
        <v>0</v>
      </c>
      <c r="BM945" s="360">
        <f>(BM935-BJ935)*BM$263</f>
        <v>0</v>
      </c>
      <c r="BN945" s="360">
        <f>(BN935-BK935)*BN$263</f>
        <v>0</v>
      </c>
      <c r="BO945" s="360">
        <f t="shared" ref="BO945:BO946" si="3867">SUM(BM945:BN945)</f>
        <v>0</v>
      </c>
      <c r="BP945" s="360">
        <f>(BP935-BM935)*BP$263</f>
        <v>0</v>
      </c>
      <c r="BQ945" s="360">
        <f>(BQ935-BN935)*BQ$263</f>
        <v>0</v>
      </c>
      <c r="BR945" s="788">
        <f t="shared" ref="BR945:BR946" si="3868">SUM(BP945:BQ945)</f>
        <v>0</v>
      </c>
    </row>
    <row r="946" spans="2:70" outlineLevel="2">
      <c r="B946" s="5"/>
      <c r="C946" s="518" t="s">
        <v>269</v>
      </c>
      <c r="D946" s="519" t="s">
        <v>85</v>
      </c>
      <c r="E946" s="519"/>
      <c r="F946" s="519"/>
      <c r="G946" s="519"/>
      <c r="H946" s="519"/>
      <c r="I946" s="519"/>
      <c r="J946" s="519"/>
      <c r="K946" s="519"/>
      <c r="L946" s="519"/>
      <c r="M946" s="519"/>
      <c r="N946" s="519"/>
      <c r="O946" s="519"/>
      <c r="P946" s="520"/>
      <c r="Q946" s="520"/>
      <c r="R946" s="520"/>
      <c r="S946" s="520"/>
      <c r="T946" s="749">
        <f>(T941-Q941)*T$263</f>
        <v>0.62062710732323223</v>
      </c>
      <c r="U946" s="749">
        <f>(U941-R941)*U$263</f>
        <v>1.8073211093750003</v>
      </c>
      <c r="V946" s="749">
        <f t="shared" si="3852"/>
        <v>2.4279482166982325</v>
      </c>
      <c r="W946" s="749">
        <f>(W941-T941)*W$263</f>
        <v>1.9185648497474743</v>
      </c>
      <c r="X946" s="749">
        <f>(X941-U941)*X$263</f>
        <v>0.72040008413461509</v>
      </c>
      <c r="Y946" s="749">
        <f t="shared" si="3853"/>
        <v>2.6389649338820895</v>
      </c>
      <c r="Z946" s="749">
        <f>(Z941-W941)*Z$263</f>
        <v>0.71393750000000011</v>
      </c>
      <c r="AA946" s="749">
        <f>(AA941-X941)*AA$263</f>
        <v>0.68545192307692293</v>
      </c>
      <c r="AB946" s="749">
        <f t="shared" si="3854"/>
        <v>1.399389423076923</v>
      </c>
      <c r="AC946" s="749">
        <f>(AC941-Z941)*AC$263</f>
        <v>0.27013640326340327</v>
      </c>
      <c r="AD946" s="749">
        <f>(AD941-AA941)*AD$263</f>
        <v>0</v>
      </c>
      <c r="AE946" s="749">
        <f t="shared" si="3855"/>
        <v>0.27013640326340327</v>
      </c>
      <c r="AF946" s="749">
        <f>(AF941-AC941)*AF$263</f>
        <v>0</v>
      </c>
      <c r="AG946" s="1034">
        <f>(AG941-AD941)*AG$263</f>
        <v>0</v>
      </c>
      <c r="AH946" s="749">
        <f t="shared" si="3856"/>
        <v>0</v>
      </c>
      <c r="AI946" s="749">
        <f>(AI941-AF941)*AI$263</f>
        <v>0</v>
      </c>
      <c r="AJ946" s="749">
        <f>(AJ941-AG941)*AJ$263</f>
        <v>0</v>
      </c>
      <c r="AK946" s="749">
        <f t="shared" si="3857"/>
        <v>0</v>
      </c>
      <c r="AL946" s="749">
        <f>(AL941-AI941)*AL$263</f>
        <v>0</v>
      </c>
      <c r="AM946" s="749">
        <f>(AM941-AJ941)*AM$263</f>
        <v>0</v>
      </c>
      <c r="AN946" s="749">
        <f t="shared" si="3858"/>
        <v>0</v>
      </c>
      <c r="AO946" s="749">
        <f>(AO941-AL941)*AO$263</f>
        <v>0</v>
      </c>
      <c r="AP946" s="749">
        <f>(AP941-AM941)*AP$263</f>
        <v>0</v>
      </c>
      <c r="AQ946" s="749">
        <f t="shared" si="3859"/>
        <v>0</v>
      </c>
      <c r="AR946" s="749">
        <f>(AR941-AO941)*AR$263</f>
        <v>0</v>
      </c>
      <c r="AS946" s="749">
        <f>(AS941-AP941)*AS$263</f>
        <v>0</v>
      </c>
      <c r="AT946" s="749">
        <f t="shared" si="3860"/>
        <v>0</v>
      </c>
      <c r="AU946" s="749">
        <f>(AU941-AR941)*AU$263</f>
        <v>0</v>
      </c>
      <c r="AV946" s="749">
        <f>(AV941-AS941)*AV$263</f>
        <v>0</v>
      </c>
      <c r="AW946" s="749">
        <f t="shared" si="3861"/>
        <v>0</v>
      </c>
      <c r="AX946" s="749">
        <f>(AX941-AU941)*AX$263</f>
        <v>0</v>
      </c>
      <c r="AY946" s="749">
        <f>(AY941-AV941)*AY$263</f>
        <v>0</v>
      </c>
      <c r="AZ946" s="749">
        <f t="shared" si="3862"/>
        <v>0</v>
      </c>
      <c r="BA946" s="749">
        <f>(BA941-AX941)*BA$263</f>
        <v>0</v>
      </c>
      <c r="BB946" s="749">
        <f>(BB941-AY941)*BB$263</f>
        <v>0</v>
      </c>
      <c r="BC946" s="749">
        <f t="shared" si="3863"/>
        <v>0</v>
      </c>
      <c r="BD946" s="749">
        <f>(BD941-BA941)*BD$263</f>
        <v>0</v>
      </c>
      <c r="BE946" s="749">
        <f>(BE941-BB941)*BE$263</f>
        <v>0</v>
      </c>
      <c r="BF946" s="749">
        <f t="shared" si="3864"/>
        <v>0</v>
      </c>
      <c r="BG946" s="749">
        <f>(BG941-BD941)*BG$263</f>
        <v>0</v>
      </c>
      <c r="BH946" s="749">
        <f>(BH941-BE941)*BH$263</f>
        <v>0</v>
      </c>
      <c r="BI946" s="749">
        <f t="shared" si="3865"/>
        <v>0</v>
      </c>
      <c r="BJ946" s="749">
        <f>(BJ941-BG941)*BJ$263</f>
        <v>0</v>
      </c>
      <c r="BK946" s="749">
        <f>(BK941-BH941)*BK$263</f>
        <v>0</v>
      </c>
      <c r="BL946" s="749">
        <f t="shared" si="3866"/>
        <v>0</v>
      </c>
      <c r="BM946" s="749">
        <f>(BM941-BJ941)*BM$263</f>
        <v>0</v>
      </c>
      <c r="BN946" s="749">
        <f>(BN941-BK941)*BN$263</f>
        <v>0</v>
      </c>
      <c r="BO946" s="749">
        <f t="shared" si="3867"/>
        <v>0</v>
      </c>
      <c r="BP946" s="749">
        <f>(BP941-BM941)*BP$263</f>
        <v>0</v>
      </c>
      <c r="BQ946" s="749">
        <f>(BQ941-BN941)*BQ$263</f>
        <v>0</v>
      </c>
      <c r="BR946" s="789">
        <f t="shared" si="3868"/>
        <v>0</v>
      </c>
    </row>
    <row r="947" spans="2:70" outlineLevel="2">
      <c r="B947" s="5"/>
      <c r="C947" s="9"/>
    </row>
    <row r="948" spans="2:70" outlineLevel="2">
      <c r="B948" s="5"/>
      <c r="C948" s="8" t="s">
        <v>522</v>
      </c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AF948" s="26"/>
      <c r="AG948" s="933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8"/>
      <c r="BC948" s="18"/>
      <c r="BD948" s="18"/>
      <c r="BE948" s="18"/>
      <c r="BF948" s="18"/>
      <c r="BG948" s="18"/>
      <c r="BH948" s="18"/>
      <c r="BI948" s="18"/>
      <c r="BJ948" s="18"/>
      <c r="BK948" s="18"/>
      <c r="BL948" s="18"/>
      <c r="BM948" s="18"/>
      <c r="BN948" s="18"/>
      <c r="BO948" s="18"/>
      <c r="BP948" s="18"/>
      <c r="BQ948" s="18"/>
      <c r="BR948" s="18"/>
    </row>
    <row r="949" spans="2:70" outlineLevel="2">
      <c r="B949" s="5"/>
      <c r="C949" s="9" t="s">
        <v>266</v>
      </c>
      <c r="D949" s="31"/>
      <c r="E949" s="7"/>
      <c r="F949" s="7"/>
      <c r="G949" s="7"/>
      <c r="H949" s="7"/>
      <c r="I949" s="7"/>
      <c r="J949" s="7"/>
      <c r="K949" s="7"/>
      <c r="L949" s="7"/>
      <c r="M949" s="7"/>
      <c r="N949" s="790" t="s">
        <v>82</v>
      </c>
      <c r="O949" s="7"/>
      <c r="R949" s="130"/>
      <c r="AF949" s="26"/>
      <c r="AG949" s="933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8"/>
      <c r="BC949" s="18"/>
      <c r="BD949" s="18"/>
      <c r="BE949" s="18"/>
      <c r="BF949" s="18"/>
      <c r="BG949" s="18"/>
      <c r="BH949" s="18"/>
      <c r="BI949" s="18"/>
      <c r="BJ949" s="18"/>
      <c r="BK949" s="18"/>
      <c r="BL949" s="18"/>
      <c r="BM949" s="18"/>
      <c r="BN949" s="18"/>
      <c r="BO949" s="18"/>
      <c r="BP949" s="18"/>
      <c r="BQ949" s="18"/>
      <c r="BR949" s="18"/>
    </row>
    <row r="950" spans="2:70" outlineLevel="2">
      <c r="B950" s="5"/>
      <c r="C950" s="9" t="s">
        <v>262</v>
      </c>
      <c r="D950" s="74"/>
      <c r="E950" s="7"/>
      <c r="F950" s="7"/>
      <c r="G950" s="7"/>
      <c r="H950" s="7"/>
      <c r="I950" s="7"/>
      <c r="J950" s="7"/>
      <c r="K950" s="7"/>
      <c r="L950" s="7"/>
      <c r="M950" s="7"/>
      <c r="N950" s="764">
        <v>41320</v>
      </c>
      <c r="O950" s="7"/>
      <c r="R950" s="357"/>
      <c r="AF950" s="26"/>
      <c r="AG950" s="933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8"/>
      <c r="BC950" s="18"/>
      <c r="BD950" s="18"/>
      <c r="BE950" s="18"/>
      <c r="BF950" s="18"/>
      <c r="BG950" s="18"/>
      <c r="BH950" s="18"/>
      <c r="BI950" s="18"/>
      <c r="BJ950" s="18"/>
      <c r="BK950" s="18"/>
      <c r="BL950" s="18"/>
      <c r="BM950" s="18"/>
      <c r="BN950" s="18"/>
      <c r="BO950" s="18"/>
      <c r="BP950" s="18"/>
      <c r="BQ950" s="18"/>
      <c r="BR950" s="18"/>
    </row>
    <row r="951" spans="2:70" outlineLevel="2">
      <c r="B951" s="5"/>
      <c r="C951" s="84" t="s">
        <v>72</v>
      </c>
      <c r="D951" s="31" t="s">
        <v>58</v>
      </c>
      <c r="E951" s="7"/>
      <c r="F951" s="7"/>
      <c r="G951" s="7"/>
      <c r="H951" s="7"/>
      <c r="I951" s="7"/>
      <c r="J951" s="7"/>
      <c r="K951" s="7"/>
      <c r="L951" s="7"/>
      <c r="M951" s="7"/>
      <c r="N951" s="765">
        <v>115</v>
      </c>
      <c r="O951" s="7"/>
      <c r="R951" s="358"/>
      <c r="AF951" s="26"/>
      <c r="AG951" s="933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8"/>
      <c r="BC951" s="18"/>
      <c r="BD951" s="18"/>
      <c r="BE951" s="18"/>
      <c r="BF951" s="18"/>
      <c r="BG951" s="18"/>
      <c r="BH951" s="18"/>
      <c r="BI951" s="18"/>
      <c r="BJ951" s="18"/>
      <c r="BK951" s="18"/>
      <c r="BL951" s="18"/>
      <c r="BM951" s="18"/>
      <c r="BN951" s="18"/>
      <c r="BO951" s="18"/>
      <c r="BP951" s="18"/>
      <c r="BQ951" s="18"/>
      <c r="BR951" s="18"/>
    </row>
    <row r="952" spans="2:70" outlineLevel="2">
      <c r="B952" s="5"/>
      <c r="C952" s="84" t="s">
        <v>76</v>
      </c>
      <c r="D952" s="74" t="s">
        <v>77</v>
      </c>
      <c r="E952" s="7"/>
      <c r="F952" s="7"/>
      <c r="G952" s="7"/>
      <c r="H952" s="7"/>
      <c r="I952" s="7"/>
      <c r="J952" s="7"/>
      <c r="K952" s="7"/>
      <c r="L952" s="7"/>
      <c r="M952" s="7"/>
      <c r="N952" s="766">
        <v>5.2</v>
      </c>
      <c r="O952" s="7"/>
      <c r="R952" s="27"/>
      <c r="AF952" s="26"/>
      <c r="AG952" s="933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8"/>
      <c r="BC952" s="18"/>
      <c r="BD952" s="18"/>
      <c r="BE952" s="18"/>
      <c r="BF952" s="18"/>
      <c r="BG952" s="18"/>
      <c r="BH952" s="18"/>
      <c r="BI952" s="18"/>
      <c r="BJ952" s="18"/>
      <c r="BK952" s="18"/>
      <c r="BL952" s="18"/>
      <c r="BM952" s="18"/>
      <c r="BN952" s="18"/>
      <c r="BO952" s="18"/>
      <c r="BP952" s="18"/>
      <c r="BQ952" s="18"/>
      <c r="BR952" s="18"/>
    </row>
    <row r="953" spans="2:70" outlineLevel="2">
      <c r="B953" s="5"/>
      <c r="C953" s="84" t="s">
        <v>55</v>
      </c>
      <c r="D953" s="31" t="s">
        <v>58</v>
      </c>
      <c r="E953" s="7"/>
      <c r="F953" s="7"/>
      <c r="G953" s="7"/>
      <c r="H953" s="7"/>
      <c r="I953" s="7"/>
      <c r="J953" s="7"/>
      <c r="K953" s="7"/>
      <c r="L953" s="7"/>
      <c r="M953" s="7"/>
      <c r="N953" s="765">
        <v>126</v>
      </c>
      <c r="O953" s="7"/>
      <c r="R953" s="364">
        <f>N953*0.5*(4/6)</f>
        <v>42</v>
      </c>
      <c r="S953" s="167">
        <f>SUM(R953:R953)</f>
        <v>42</v>
      </c>
      <c r="T953" s="149">
        <f>V953*0.5</f>
        <v>63</v>
      </c>
      <c r="U953" s="19">
        <f>V953*0.5</f>
        <v>63</v>
      </c>
      <c r="V953" s="389">
        <f>N953</f>
        <v>126</v>
      </c>
      <c r="W953" s="149">
        <f t="shared" ref="W953:W954" si="3869">Y953*0.5</f>
        <v>63</v>
      </c>
      <c r="X953" s="19">
        <f t="shared" ref="X953:X954" si="3870">Y953*0.5</f>
        <v>63</v>
      </c>
      <c r="Y953" s="389">
        <f>V953</f>
        <v>126</v>
      </c>
      <c r="Z953" s="149">
        <f t="shared" ref="Z953:Z954" si="3871">AB953*0.5</f>
        <v>63</v>
      </c>
      <c r="AA953" s="19">
        <f t="shared" ref="AA953:AA954" si="3872">AB953*0.5</f>
        <v>63</v>
      </c>
      <c r="AB953" s="389">
        <f>Y953</f>
        <v>126</v>
      </c>
      <c r="AC953" s="149">
        <f t="shared" ref="AC953:AC954" si="3873">AE953*0.5</f>
        <v>63</v>
      </c>
      <c r="AD953" s="19">
        <f t="shared" ref="AD953:AD954" si="3874">AE953*0.5</f>
        <v>63</v>
      </c>
      <c r="AE953" s="389">
        <f>AB953</f>
        <v>126</v>
      </c>
      <c r="AF953" s="149">
        <f t="shared" ref="AF953:AF954" si="3875">AH953*0.5</f>
        <v>63</v>
      </c>
      <c r="AG953" s="943">
        <f t="shared" ref="AG953:AG954" si="3876">AH953*0.5</f>
        <v>63</v>
      </c>
      <c r="AH953" s="389">
        <f>AE953</f>
        <v>126</v>
      </c>
      <c r="AI953" s="149">
        <f t="shared" ref="AI953:AI954" si="3877">AK953*0.5</f>
        <v>63</v>
      </c>
      <c r="AJ953" s="19">
        <f t="shared" ref="AJ953:AJ954" si="3878">AK953*0.5</f>
        <v>63</v>
      </c>
      <c r="AK953" s="389">
        <f>AH953</f>
        <v>126</v>
      </c>
      <c r="AL953" s="149">
        <f t="shared" ref="AL953:AL954" si="3879">AN953*0.5</f>
        <v>63</v>
      </c>
      <c r="AM953" s="19">
        <f t="shared" ref="AM953:AM954" si="3880">AN953*0.5</f>
        <v>63</v>
      </c>
      <c r="AN953" s="389">
        <f>AK953</f>
        <v>126</v>
      </c>
      <c r="AO953" s="149">
        <f t="shared" ref="AO953:AO954" si="3881">AQ953*0.5</f>
        <v>63</v>
      </c>
      <c r="AP953" s="19">
        <f t="shared" ref="AP953:AP954" si="3882">AQ953*0.5</f>
        <v>63</v>
      </c>
      <c r="AQ953" s="389">
        <f>AN953</f>
        <v>126</v>
      </c>
      <c r="AR953" s="149">
        <f t="shared" ref="AR953:AR954" si="3883">AT953*0.5</f>
        <v>63</v>
      </c>
      <c r="AS953" s="19">
        <f t="shared" ref="AS953:AS954" si="3884">AT953*0.5</f>
        <v>63</v>
      </c>
      <c r="AT953" s="389">
        <f>AQ953</f>
        <v>126</v>
      </c>
      <c r="AU953" s="149">
        <f t="shared" ref="AU953:AU954" si="3885">AW953*0.5</f>
        <v>63</v>
      </c>
      <c r="AV953" s="19">
        <f t="shared" ref="AV953:AV954" si="3886">AW953*0.5</f>
        <v>63</v>
      </c>
      <c r="AW953" s="389">
        <f>AT953</f>
        <v>126</v>
      </c>
      <c r="AX953" s="149">
        <f t="shared" ref="AX953:AX954" si="3887">AZ953*0.5</f>
        <v>63</v>
      </c>
      <c r="AY953" s="19">
        <f t="shared" ref="AY953:AY954" si="3888">AZ953*0.5</f>
        <v>63</v>
      </c>
      <c r="AZ953" s="389">
        <f>AW953</f>
        <v>126</v>
      </c>
      <c r="BA953" s="149">
        <f t="shared" ref="BA953:BA954" si="3889">BC953*0.5</f>
        <v>63</v>
      </c>
      <c r="BB953" s="19">
        <f t="shared" ref="BB953:BB954" si="3890">BC953*0.5</f>
        <v>63</v>
      </c>
      <c r="BC953" s="389">
        <f>AZ953</f>
        <v>126</v>
      </c>
      <c r="BD953" s="149">
        <f t="shared" ref="BD953:BD954" si="3891">BF953*0.5</f>
        <v>63</v>
      </c>
      <c r="BE953" s="19">
        <f t="shared" ref="BE953:BE954" si="3892">BF953*0.5</f>
        <v>63</v>
      </c>
      <c r="BF953" s="389">
        <f>BC953</f>
        <v>126</v>
      </c>
      <c r="BG953" s="149">
        <f t="shared" ref="BG953:BG954" si="3893">BI953*0.5</f>
        <v>63</v>
      </c>
      <c r="BH953" s="19">
        <f t="shared" ref="BH953:BH954" si="3894">BI953*0.5</f>
        <v>63</v>
      </c>
      <c r="BI953" s="389">
        <f>BF953</f>
        <v>126</v>
      </c>
      <c r="BJ953" s="149">
        <f t="shared" ref="BJ953:BJ954" si="3895">BL953*0.5</f>
        <v>63</v>
      </c>
      <c r="BK953" s="19">
        <f t="shared" ref="BK953:BK954" si="3896">BL953*0.5</f>
        <v>63</v>
      </c>
      <c r="BL953" s="389">
        <f>BI953</f>
        <v>126</v>
      </c>
      <c r="BM953" s="149">
        <f t="shared" ref="BM953:BM954" si="3897">BO953*0.5</f>
        <v>63</v>
      </c>
      <c r="BN953" s="19">
        <f t="shared" ref="BN953:BN954" si="3898">BO953*0.5</f>
        <v>63</v>
      </c>
      <c r="BO953" s="389">
        <f>BL953</f>
        <v>126</v>
      </c>
      <c r="BP953" s="149">
        <f t="shared" ref="BP953:BP954" si="3899">BR953*0.5</f>
        <v>63</v>
      </c>
      <c r="BQ953" s="19">
        <f t="shared" ref="BQ953:BQ954" si="3900">BR953*0.5</f>
        <v>63</v>
      </c>
      <c r="BR953" s="389">
        <f>BO953</f>
        <v>126</v>
      </c>
    </row>
    <row r="954" spans="2:70" outlineLevel="2">
      <c r="B954" s="5"/>
      <c r="C954" s="84" t="s">
        <v>56</v>
      </c>
      <c r="D954" s="31" t="s">
        <v>58</v>
      </c>
      <c r="E954" s="7"/>
      <c r="F954" s="7"/>
      <c r="G954" s="7"/>
      <c r="H954" s="7"/>
      <c r="I954" s="7"/>
      <c r="J954" s="7"/>
      <c r="K954" s="7"/>
      <c r="L954" s="7"/>
      <c r="M954" s="7"/>
      <c r="N954" s="767">
        <f>N951/N952</f>
        <v>22.115384615384613</v>
      </c>
      <c r="O954" s="7"/>
      <c r="R954" s="364">
        <f>N954*0.5*(4/6)</f>
        <v>7.3717948717948705</v>
      </c>
      <c r="S954" s="167">
        <f>SUM(R954:R954)</f>
        <v>7.3717948717948705</v>
      </c>
      <c r="T954" s="149">
        <f>V954*0.5</f>
        <v>11.057692307692305</v>
      </c>
      <c r="U954" s="19">
        <f>V954*0.5</f>
        <v>11.057692307692305</v>
      </c>
      <c r="V954" s="167">
        <f>V953*V955</f>
        <v>22.11538461538461</v>
      </c>
      <c r="W954" s="149">
        <f t="shared" si="3869"/>
        <v>11.057692307692305</v>
      </c>
      <c r="X954" s="19">
        <f t="shared" si="3870"/>
        <v>11.057692307692305</v>
      </c>
      <c r="Y954" s="167">
        <f t="shared" ref="Y954" si="3901">Y953*Y955</f>
        <v>22.11538461538461</v>
      </c>
      <c r="Z954" s="149">
        <f t="shared" si="3871"/>
        <v>11.057692307692305</v>
      </c>
      <c r="AA954" s="19">
        <f t="shared" si="3872"/>
        <v>11.057692307692305</v>
      </c>
      <c r="AB954" s="167">
        <f t="shared" ref="AB954" si="3902">AB953*AB955</f>
        <v>22.11538461538461</v>
      </c>
      <c r="AC954" s="149">
        <f t="shared" si="3873"/>
        <v>11.057692307692305</v>
      </c>
      <c r="AD954" s="19">
        <f t="shared" si="3874"/>
        <v>11.057692307692305</v>
      </c>
      <c r="AE954" s="167">
        <f t="shared" ref="AE954" si="3903">AE953*AE955</f>
        <v>22.11538461538461</v>
      </c>
      <c r="AF954" s="149">
        <f t="shared" si="3875"/>
        <v>11.057692307692305</v>
      </c>
      <c r="AG954" s="943">
        <f t="shared" si="3876"/>
        <v>11.057692307692305</v>
      </c>
      <c r="AH954" s="167">
        <f t="shared" ref="AH954" si="3904">AH953*AH955</f>
        <v>22.11538461538461</v>
      </c>
      <c r="AI954" s="149">
        <f t="shared" si="3877"/>
        <v>11.057692307692305</v>
      </c>
      <c r="AJ954" s="19">
        <f t="shared" si="3878"/>
        <v>11.057692307692305</v>
      </c>
      <c r="AK954" s="167">
        <f t="shared" ref="AK954" si="3905">AK953*AK955</f>
        <v>22.11538461538461</v>
      </c>
      <c r="AL954" s="149">
        <f t="shared" si="3879"/>
        <v>11.057692307692305</v>
      </c>
      <c r="AM954" s="19">
        <f t="shared" si="3880"/>
        <v>11.057692307692305</v>
      </c>
      <c r="AN954" s="167">
        <f t="shared" ref="AN954" si="3906">AN953*AN955</f>
        <v>22.11538461538461</v>
      </c>
      <c r="AO954" s="149">
        <f t="shared" si="3881"/>
        <v>11.057692307692305</v>
      </c>
      <c r="AP954" s="19">
        <f t="shared" si="3882"/>
        <v>11.057692307692305</v>
      </c>
      <c r="AQ954" s="167">
        <f t="shared" ref="AQ954" si="3907">AQ953*AQ955</f>
        <v>22.11538461538461</v>
      </c>
      <c r="AR954" s="149">
        <f t="shared" si="3883"/>
        <v>11.057692307692305</v>
      </c>
      <c r="AS954" s="19">
        <f t="shared" si="3884"/>
        <v>11.057692307692305</v>
      </c>
      <c r="AT954" s="167">
        <f t="shared" ref="AT954" si="3908">AT953*AT955</f>
        <v>22.11538461538461</v>
      </c>
      <c r="AU954" s="149">
        <f t="shared" si="3885"/>
        <v>11.057692307692305</v>
      </c>
      <c r="AV954" s="19">
        <f t="shared" si="3886"/>
        <v>11.057692307692305</v>
      </c>
      <c r="AW954" s="167">
        <f t="shared" ref="AW954" si="3909">AW953*AW955</f>
        <v>22.11538461538461</v>
      </c>
      <c r="AX954" s="149">
        <f t="shared" si="3887"/>
        <v>11.057692307692305</v>
      </c>
      <c r="AY954" s="19">
        <f t="shared" si="3888"/>
        <v>11.057692307692305</v>
      </c>
      <c r="AZ954" s="167">
        <f t="shared" ref="AZ954" si="3910">AZ953*AZ955</f>
        <v>22.11538461538461</v>
      </c>
      <c r="BA954" s="149">
        <f t="shared" si="3889"/>
        <v>11.057692307692305</v>
      </c>
      <c r="BB954" s="19">
        <f t="shared" si="3890"/>
        <v>11.057692307692305</v>
      </c>
      <c r="BC954" s="167">
        <f t="shared" ref="BC954" si="3911">BC953*BC955</f>
        <v>22.11538461538461</v>
      </c>
      <c r="BD954" s="149">
        <f t="shared" si="3891"/>
        <v>11.057692307692305</v>
      </c>
      <c r="BE954" s="19">
        <f t="shared" si="3892"/>
        <v>11.057692307692305</v>
      </c>
      <c r="BF954" s="167">
        <f t="shared" ref="BF954" si="3912">BF953*BF955</f>
        <v>22.11538461538461</v>
      </c>
      <c r="BG954" s="149">
        <f t="shared" si="3893"/>
        <v>11.057692307692305</v>
      </c>
      <c r="BH954" s="19">
        <f t="shared" si="3894"/>
        <v>11.057692307692305</v>
      </c>
      <c r="BI954" s="167">
        <f t="shared" ref="BI954" si="3913">BI953*BI955</f>
        <v>22.11538461538461</v>
      </c>
      <c r="BJ954" s="149">
        <f t="shared" si="3895"/>
        <v>11.057692307692305</v>
      </c>
      <c r="BK954" s="19">
        <f t="shared" si="3896"/>
        <v>11.057692307692305</v>
      </c>
      <c r="BL954" s="167">
        <f t="shared" ref="BL954" si="3914">BL953*BL955</f>
        <v>22.11538461538461</v>
      </c>
      <c r="BM954" s="149">
        <f t="shared" si="3897"/>
        <v>11.057692307692305</v>
      </c>
      <c r="BN954" s="19">
        <f t="shared" si="3898"/>
        <v>11.057692307692305</v>
      </c>
      <c r="BO954" s="167">
        <f t="shared" ref="BO954" si="3915">BO953*BO955</f>
        <v>22.11538461538461</v>
      </c>
      <c r="BP954" s="149">
        <f t="shared" si="3899"/>
        <v>11.057692307692305</v>
      </c>
      <c r="BQ954" s="19">
        <f t="shared" si="3900"/>
        <v>11.057692307692305</v>
      </c>
      <c r="BR954" s="167">
        <f t="shared" ref="BR954" si="3916">BR953*BR955</f>
        <v>22.11538461538461</v>
      </c>
    </row>
    <row r="955" spans="2:70" outlineLevel="2">
      <c r="B955" s="5"/>
      <c r="C955" s="84" t="s">
        <v>73</v>
      </c>
      <c r="D955" s="31" t="s">
        <v>66</v>
      </c>
      <c r="E955" s="7"/>
      <c r="F955" s="7"/>
      <c r="G955" s="7"/>
      <c r="H955" s="7"/>
      <c r="I955" s="7"/>
      <c r="J955" s="7"/>
      <c r="K955" s="7"/>
      <c r="L955" s="7"/>
      <c r="M955" s="7"/>
      <c r="N955" s="768">
        <f>N954/N953</f>
        <v>0.17551892551892551</v>
      </c>
      <c r="O955" s="7"/>
      <c r="R955" s="133">
        <f>R954/R953</f>
        <v>0.17551892551892548</v>
      </c>
      <c r="S955" s="133">
        <f>S954/S953</f>
        <v>0.17551892551892548</v>
      </c>
      <c r="T955" s="133">
        <f>T954/T953</f>
        <v>0.17551892551892548</v>
      </c>
      <c r="U955" s="133">
        <f>U954/U953</f>
        <v>0.17551892551892548</v>
      </c>
      <c r="V955" s="133">
        <f>S955</f>
        <v>0.17551892551892548</v>
      </c>
      <c r="W955" s="133">
        <f t="shared" ref="W955" si="3917">W954/W953</f>
        <v>0.17551892551892548</v>
      </c>
      <c r="X955" s="133">
        <f t="shared" ref="X955" si="3918">X954/X953</f>
        <v>0.17551892551892548</v>
      </c>
      <c r="Y955" s="133">
        <f t="shared" ref="Y955" si="3919">V955</f>
        <v>0.17551892551892548</v>
      </c>
      <c r="Z955" s="133">
        <f t="shared" ref="Z955" si="3920">Z954/Z953</f>
        <v>0.17551892551892548</v>
      </c>
      <c r="AA955" s="133">
        <f t="shared" ref="AA955" si="3921">AA954/AA953</f>
        <v>0.17551892551892548</v>
      </c>
      <c r="AB955" s="133">
        <f t="shared" ref="AB955" si="3922">Y955</f>
        <v>0.17551892551892548</v>
      </c>
      <c r="AC955" s="133">
        <f t="shared" ref="AC955:AD955" si="3923">AC954/AC953</f>
        <v>0.17551892551892548</v>
      </c>
      <c r="AD955" s="133">
        <f t="shared" si="3923"/>
        <v>0.17551892551892548</v>
      </c>
      <c r="AE955" s="133">
        <f t="shared" ref="AE955" si="3924">AB955</f>
        <v>0.17551892551892548</v>
      </c>
      <c r="AF955" s="133">
        <f t="shared" ref="AF955:AG955" si="3925">AF954/AF953</f>
        <v>0.17551892551892548</v>
      </c>
      <c r="AG955" s="938">
        <f t="shared" si="3925"/>
        <v>0.17551892551892548</v>
      </c>
      <c r="AH955" s="133">
        <f t="shared" ref="AH955" si="3926">AE955</f>
        <v>0.17551892551892548</v>
      </c>
      <c r="AI955" s="133">
        <f t="shared" ref="AI955:AJ955" si="3927">AI954/AI953</f>
        <v>0.17551892551892548</v>
      </c>
      <c r="AJ955" s="133">
        <f t="shared" si="3927"/>
        <v>0.17551892551892548</v>
      </c>
      <c r="AK955" s="133">
        <f t="shared" ref="AK955" si="3928">AH955</f>
        <v>0.17551892551892548</v>
      </c>
      <c r="AL955" s="133">
        <f t="shared" ref="AL955:AM955" si="3929">AL954/AL953</f>
        <v>0.17551892551892548</v>
      </c>
      <c r="AM955" s="133">
        <f t="shared" si="3929"/>
        <v>0.17551892551892548</v>
      </c>
      <c r="AN955" s="133">
        <f t="shared" ref="AN955" si="3930">AK955</f>
        <v>0.17551892551892548</v>
      </c>
      <c r="AO955" s="133">
        <f t="shared" ref="AO955:AP955" si="3931">AO954/AO953</f>
        <v>0.17551892551892548</v>
      </c>
      <c r="AP955" s="133">
        <f t="shared" si="3931"/>
        <v>0.17551892551892548</v>
      </c>
      <c r="AQ955" s="133">
        <f t="shared" ref="AQ955" si="3932">AN955</f>
        <v>0.17551892551892548</v>
      </c>
      <c r="AR955" s="133">
        <f t="shared" ref="AR955:AS955" si="3933">AR954/AR953</f>
        <v>0.17551892551892548</v>
      </c>
      <c r="AS955" s="133">
        <f t="shared" si="3933"/>
        <v>0.17551892551892548</v>
      </c>
      <c r="AT955" s="133">
        <f t="shared" ref="AT955" si="3934">AQ955</f>
        <v>0.17551892551892548</v>
      </c>
      <c r="AU955" s="133">
        <f t="shared" ref="AU955:AV955" si="3935">AU954/AU953</f>
        <v>0.17551892551892548</v>
      </c>
      <c r="AV955" s="133">
        <f t="shared" si="3935"/>
        <v>0.17551892551892548</v>
      </c>
      <c r="AW955" s="133">
        <f t="shared" ref="AW955" si="3936">AT955</f>
        <v>0.17551892551892548</v>
      </c>
      <c r="AX955" s="133">
        <f t="shared" ref="AX955:AY955" si="3937">AX954/AX953</f>
        <v>0.17551892551892548</v>
      </c>
      <c r="AY955" s="133">
        <f t="shared" si="3937"/>
        <v>0.17551892551892548</v>
      </c>
      <c r="AZ955" s="133">
        <f t="shared" ref="AZ955" si="3938">AW955</f>
        <v>0.17551892551892548</v>
      </c>
      <c r="BA955" s="133">
        <f t="shared" ref="BA955:BB955" si="3939">BA954/BA953</f>
        <v>0.17551892551892548</v>
      </c>
      <c r="BB955" s="133">
        <f t="shared" si="3939"/>
        <v>0.17551892551892548</v>
      </c>
      <c r="BC955" s="133">
        <f t="shared" ref="BC955" si="3940">AZ955</f>
        <v>0.17551892551892548</v>
      </c>
      <c r="BD955" s="133">
        <f t="shared" ref="BD955:BE955" si="3941">BD954/BD953</f>
        <v>0.17551892551892548</v>
      </c>
      <c r="BE955" s="133">
        <f t="shared" si="3941"/>
        <v>0.17551892551892548</v>
      </c>
      <c r="BF955" s="133">
        <f t="shared" ref="BF955" si="3942">BC955</f>
        <v>0.17551892551892548</v>
      </c>
      <c r="BG955" s="133">
        <f t="shared" ref="BG955:BH955" si="3943">BG954/BG953</f>
        <v>0.17551892551892548</v>
      </c>
      <c r="BH955" s="133">
        <f t="shared" si="3943"/>
        <v>0.17551892551892548</v>
      </c>
      <c r="BI955" s="133">
        <f t="shared" ref="BI955" si="3944">BF955</f>
        <v>0.17551892551892548</v>
      </c>
      <c r="BJ955" s="133">
        <f t="shared" ref="BJ955:BK955" si="3945">BJ954/BJ953</f>
        <v>0.17551892551892548</v>
      </c>
      <c r="BK955" s="133">
        <f t="shared" si="3945"/>
        <v>0.17551892551892548</v>
      </c>
      <c r="BL955" s="133">
        <f t="shared" ref="BL955" si="3946">BI955</f>
        <v>0.17551892551892548</v>
      </c>
      <c r="BM955" s="133">
        <f t="shared" ref="BM955:BN955" si="3947">BM954/BM953</f>
        <v>0.17551892551892548</v>
      </c>
      <c r="BN955" s="133">
        <f t="shared" si="3947"/>
        <v>0.17551892551892548</v>
      </c>
      <c r="BO955" s="133">
        <f t="shared" ref="BO955" si="3948">BL955</f>
        <v>0.17551892551892548</v>
      </c>
      <c r="BP955" s="133">
        <f t="shared" ref="BP955:BQ955" si="3949">BP954/BP953</f>
        <v>0.17551892551892548</v>
      </c>
      <c r="BQ955" s="133">
        <f t="shared" si="3949"/>
        <v>0.17551892551892548</v>
      </c>
      <c r="BR955" s="133">
        <f t="shared" ref="BR955" si="3950">BO955</f>
        <v>0.17551892551892548</v>
      </c>
    </row>
    <row r="956" spans="2:70" outlineLevel="2">
      <c r="B956" s="5"/>
      <c r="C956" s="84" t="s">
        <v>65</v>
      </c>
      <c r="D956" s="31" t="s">
        <v>58</v>
      </c>
      <c r="E956" s="7"/>
      <c r="F956" s="7"/>
      <c r="G956" s="7"/>
      <c r="H956" s="7"/>
      <c r="I956" s="7"/>
      <c r="J956" s="7"/>
      <c r="K956" s="7"/>
      <c r="L956" s="7"/>
      <c r="M956" s="7"/>
      <c r="N956" s="769">
        <f>N953*-2.5%</f>
        <v>-3.1500000000000004</v>
      </c>
      <c r="O956" s="7"/>
      <c r="R956" s="364">
        <f>N956*0.5*(4/6)</f>
        <v>-1.05</v>
      </c>
      <c r="S956" s="175">
        <f>SUM(R956:R956)</f>
        <v>-1.05</v>
      </c>
      <c r="T956" s="175">
        <f>V956*0.5</f>
        <v>-1.5750000000000002</v>
      </c>
      <c r="U956" s="175">
        <f>V956*0.5</f>
        <v>-1.5750000000000002</v>
      </c>
      <c r="V956" s="157">
        <f>S956*(V953/S953)</f>
        <v>-3.1500000000000004</v>
      </c>
      <c r="W956" s="175">
        <f t="shared" ref="W956" si="3951">Y956*0.5</f>
        <v>-1.5750000000000002</v>
      </c>
      <c r="X956" s="175">
        <f t="shared" ref="X956" si="3952">Y956*0.5</f>
        <v>-1.5750000000000002</v>
      </c>
      <c r="Y956" s="157">
        <f t="shared" ref="Y956" si="3953">V956*(Y953/V953)</f>
        <v>-3.1500000000000004</v>
      </c>
      <c r="Z956" s="175">
        <f t="shared" ref="Z956" si="3954">AB956*0.5</f>
        <v>-1.5750000000000002</v>
      </c>
      <c r="AA956" s="175">
        <f t="shared" ref="AA956" si="3955">AB956*0.5</f>
        <v>-1.5750000000000002</v>
      </c>
      <c r="AB956" s="157">
        <f t="shared" ref="AB956" si="3956">Y956*(AB953/Y953)</f>
        <v>-3.1500000000000004</v>
      </c>
      <c r="AC956" s="175">
        <f t="shared" ref="AC956" si="3957">AE956*0.5</f>
        <v>-1.5750000000000002</v>
      </c>
      <c r="AD956" s="175">
        <f t="shared" ref="AD956" si="3958">AE956*0.5</f>
        <v>-1.5750000000000002</v>
      </c>
      <c r="AE956" s="157">
        <f t="shared" ref="AE956" si="3959">AB956*(AE953/AB953)</f>
        <v>-3.1500000000000004</v>
      </c>
      <c r="AF956" s="175">
        <f t="shared" ref="AF956" si="3960">AH956*0.5</f>
        <v>-1.5750000000000002</v>
      </c>
      <c r="AG956" s="1035">
        <f t="shared" ref="AG956" si="3961">AH956*0.5</f>
        <v>-1.5750000000000002</v>
      </c>
      <c r="AH956" s="157">
        <f t="shared" ref="AH956" si="3962">AE956*(AH953/AE953)</f>
        <v>-3.1500000000000004</v>
      </c>
      <c r="AI956" s="175">
        <f t="shared" ref="AI956" si="3963">AK956*0.5</f>
        <v>-1.5750000000000002</v>
      </c>
      <c r="AJ956" s="175">
        <f t="shared" ref="AJ956" si="3964">AK956*0.5</f>
        <v>-1.5750000000000002</v>
      </c>
      <c r="AK956" s="157">
        <f t="shared" ref="AK956" si="3965">AH956*(AK953/AH953)</f>
        <v>-3.1500000000000004</v>
      </c>
      <c r="AL956" s="175">
        <f t="shared" ref="AL956" si="3966">AN956*0.5</f>
        <v>-1.5750000000000002</v>
      </c>
      <c r="AM956" s="175">
        <f t="shared" ref="AM956" si="3967">AN956*0.5</f>
        <v>-1.5750000000000002</v>
      </c>
      <c r="AN956" s="157">
        <f t="shared" ref="AN956" si="3968">AK956*(AN953/AK953)</f>
        <v>-3.1500000000000004</v>
      </c>
      <c r="AO956" s="175">
        <f t="shared" ref="AO956" si="3969">AQ956*0.5</f>
        <v>-1.5750000000000002</v>
      </c>
      <c r="AP956" s="175">
        <f t="shared" ref="AP956" si="3970">AQ956*0.5</f>
        <v>-1.5750000000000002</v>
      </c>
      <c r="AQ956" s="157">
        <f t="shared" ref="AQ956" si="3971">AN956*(AQ953/AN953)</f>
        <v>-3.1500000000000004</v>
      </c>
      <c r="AR956" s="175">
        <f t="shared" ref="AR956" si="3972">AT956*0.5</f>
        <v>-1.5750000000000002</v>
      </c>
      <c r="AS956" s="175">
        <f t="shared" ref="AS956" si="3973">AT956*0.5</f>
        <v>-1.5750000000000002</v>
      </c>
      <c r="AT956" s="157">
        <f t="shared" ref="AT956" si="3974">AQ956*(AT953/AQ953)</f>
        <v>-3.1500000000000004</v>
      </c>
      <c r="AU956" s="175">
        <f t="shared" ref="AU956" si="3975">AW956*0.5</f>
        <v>-1.5750000000000002</v>
      </c>
      <c r="AV956" s="175">
        <f t="shared" ref="AV956" si="3976">AW956*0.5</f>
        <v>-1.5750000000000002</v>
      </c>
      <c r="AW956" s="157">
        <f t="shared" ref="AW956" si="3977">AT956*(AW953/AT953)</f>
        <v>-3.1500000000000004</v>
      </c>
      <c r="AX956" s="175">
        <f t="shared" ref="AX956" si="3978">AZ956*0.5</f>
        <v>-1.5750000000000002</v>
      </c>
      <c r="AY956" s="175">
        <f t="shared" ref="AY956" si="3979">AZ956*0.5</f>
        <v>-1.5750000000000002</v>
      </c>
      <c r="AZ956" s="157">
        <f t="shared" ref="AZ956" si="3980">AW956*(AZ953/AW953)</f>
        <v>-3.1500000000000004</v>
      </c>
      <c r="BA956" s="175">
        <f t="shared" ref="BA956" si="3981">BC956*0.5</f>
        <v>-1.5750000000000002</v>
      </c>
      <c r="BB956" s="175">
        <f t="shared" ref="BB956" si="3982">BC956*0.5</f>
        <v>-1.5750000000000002</v>
      </c>
      <c r="BC956" s="157">
        <f t="shared" ref="BC956" si="3983">AZ956*(BC953/AZ953)</f>
        <v>-3.1500000000000004</v>
      </c>
      <c r="BD956" s="175">
        <f t="shared" ref="BD956" si="3984">BF956*0.5</f>
        <v>-1.5750000000000002</v>
      </c>
      <c r="BE956" s="175">
        <f t="shared" ref="BE956" si="3985">BF956*0.5</f>
        <v>-1.5750000000000002</v>
      </c>
      <c r="BF956" s="157">
        <f t="shared" ref="BF956" si="3986">BC956*(BF953/BC953)</f>
        <v>-3.1500000000000004</v>
      </c>
      <c r="BG956" s="175">
        <f t="shared" ref="BG956" si="3987">BI956*0.5</f>
        <v>-1.5750000000000002</v>
      </c>
      <c r="BH956" s="175">
        <f t="shared" ref="BH956" si="3988">BI956*0.5</f>
        <v>-1.5750000000000002</v>
      </c>
      <c r="BI956" s="157">
        <f t="shared" ref="BI956" si="3989">BF956*(BI953/BF953)</f>
        <v>-3.1500000000000004</v>
      </c>
      <c r="BJ956" s="175">
        <f t="shared" ref="BJ956" si="3990">BL956*0.5</f>
        <v>-1.5750000000000002</v>
      </c>
      <c r="BK956" s="175">
        <f t="shared" ref="BK956" si="3991">BL956*0.5</f>
        <v>-1.5750000000000002</v>
      </c>
      <c r="BL956" s="157">
        <f t="shared" ref="BL956" si="3992">BI956*(BL953/BI953)</f>
        <v>-3.1500000000000004</v>
      </c>
      <c r="BM956" s="175">
        <f t="shared" ref="BM956" si="3993">BO956*0.5</f>
        <v>-1.5750000000000002</v>
      </c>
      <c r="BN956" s="175">
        <f t="shared" ref="BN956" si="3994">BO956*0.5</f>
        <v>-1.5750000000000002</v>
      </c>
      <c r="BO956" s="157">
        <f t="shared" ref="BO956" si="3995">BL956*(BO953/BL953)</f>
        <v>-3.1500000000000004</v>
      </c>
      <c r="BP956" s="175">
        <f t="shared" ref="BP956" si="3996">BR956*0.5</f>
        <v>-1.5750000000000002</v>
      </c>
      <c r="BQ956" s="175">
        <f t="shared" ref="BQ956" si="3997">BR956*0.5</f>
        <v>-1.5750000000000002</v>
      </c>
      <c r="BR956" s="157">
        <f t="shared" ref="BR956" si="3998">BO956*(BR953/BO953)</f>
        <v>-3.1500000000000004</v>
      </c>
    </row>
    <row r="957" spans="2:70" outlineLevel="2">
      <c r="B957" s="5"/>
      <c r="C957" s="84" t="s">
        <v>78</v>
      </c>
      <c r="D957" s="31" t="s">
        <v>58</v>
      </c>
      <c r="E957" s="7"/>
      <c r="F957" s="7"/>
      <c r="G957" s="7"/>
      <c r="H957" s="7"/>
      <c r="I957" s="7"/>
      <c r="J957" s="7"/>
      <c r="K957" s="7"/>
      <c r="L957" s="7"/>
      <c r="M957" s="7"/>
      <c r="N957" s="770">
        <f>N954+N956</f>
        <v>18.965384615384615</v>
      </c>
      <c r="O957" s="7"/>
      <c r="R957" s="167">
        <f>R954+R956</f>
        <v>6.3217948717948707</v>
      </c>
      <c r="S957" s="167">
        <f>SUM(R957:R957)</f>
        <v>6.3217948717948707</v>
      </c>
      <c r="T957" s="167">
        <f>T954+T956</f>
        <v>9.4826923076923038</v>
      </c>
      <c r="U957" s="167">
        <f>U954+U956</f>
        <v>9.4826923076923038</v>
      </c>
      <c r="V957" s="172">
        <f>SUM(T957:U957)</f>
        <v>18.965384615384608</v>
      </c>
      <c r="W957" s="167">
        <f t="shared" ref="W957" si="3999">W954+W956</f>
        <v>9.4826923076923038</v>
      </c>
      <c r="X957" s="167">
        <f t="shared" ref="X957" si="4000">X954+X956</f>
        <v>9.4826923076923038</v>
      </c>
      <c r="Y957" s="172">
        <f t="shared" ref="Y957" si="4001">SUM(W957:X957)</f>
        <v>18.965384615384608</v>
      </c>
      <c r="Z957" s="167">
        <f t="shared" ref="Z957" si="4002">Z954+Z956</f>
        <v>9.4826923076923038</v>
      </c>
      <c r="AA957" s="167">
        <f t="shared" ref="AA957" si="4003">AA954+AA956</f>
        <v>9.4826923076923038</v>
      </c>
      <c r="AB957" s="172">
        <f t="shared" ref="AB957" si="4004">SUM(Z957:AA957)</f>
        <v>18.965384615384608</v>
      </c>
      <c r="AC957" s="167">
        <f t="shared" ref="AC957:AD957" si="4005">AC954+AC956</f>
        <v>9.4826923076923038</v>
      </c>
      <c r="AD957" s="167">
        <f t="shared" si="4005"/>
        <v>9.4826923076923038</v>
      </c>
      <c r="AE957" s="172">
        <f t="shared" ref="AE957" si="4006">SUM(AC957:AD957)</f>
        <v>18.965384615384608</v>
      </c>
      <c r="AF957" s="167">
        <f t="shared" ref="AF957:AG957" si="4007">AF954+AF956</f>
        <v>9.4826923076923038</v>
      </c>
      <c r="AG957" s="1017">
        <f t="shared" si="4007"/>
        <v>9.4826923076923038</v>
      </c>
      <c r="AH957" s="172">
        <f t="shared" ref="AH957" si="4008">SUM(AF957:AG957)</f>
        <v>18.965384615384608</v>
      </c>
      <c r="AI957" s="167">
        <f t="shared" ref="AI957:AJ957" si="4009">AI954+AI956</f>
        <v>9.4826923076923038</v>
      </c>
      <c r="AJ957" s="167">
        <f t="shared" si="4009"/>
        <v>9.4826923076923038</v>
      </c>
      <c r="AK957" s="172">
        <f t="shared" ref="AK957" si="4010">SUM(AI957:AJ957)</f>
        <v>18.965384615384608</v>
      </c>
      <c r="AL957" s="167">
        <f t="shared" ref="AL957:AM957" si="4011">AL954+AL956</f>
        <v>9.4826923076923038</v>
      </c>
      <c r="AM957" s="167">
        <f t="shared" si="4011"/>
        <v>9.4826923076923038</v>
      </c>
      <c r="AN957" s="172">
        <f t="shared" ref="AN957" si="4012">SUM(AL957:AM957)</f>
        <v>18.965384615384608</v>
      </c>
      <c r="AO957" s="167">
        <f t="shared" ref="AO957:AP957" si="4013">AO954+AO956</f>
        <v>9.4826923076923038</v>
      </c>
      <c r="AP957" s="167">
        <f t="shared" si="4013"/>
        <v>9.4826923076923038</v>
      </c>
      <c r="AQ957" s="172">
        <f t="shared" ref="AQ957" si="4014">SUM(AO957:AP957)</f>
        <v>18.965384615384608</v>
      </c>
      <c r="AR957" s="167">
        <f t="shared" ref="AR957:AS957" si="4015">AR954+AR956</f>
        <v>9.4826923076923038</v>
      </c>
      <c r="AS957" s="167">
        <f t="shared" si="4015"/>
        <v>9.4826923076923038</v>
      </c>
      <c r="AT957" s="172">
        <f t="shared" ref="AT957" si="4016">SUM(AR957:AS957)</f>
        <v>18.965384615384608</v>
      </c>
      <c r="AU957" s="167">
        <f t="shared" ref="AU957:AV957" si="4017">AU954+AU956</f>
        <v>9.4826923076923038</v>
      </c>
      <c r="AV957" s="167">
        <f t="shared" si="4017"/>
        <v>9.4826923076923038</v>
      </c>
      <c r="AW957" s="172">
        <f t="shared" ref="AW957" si="4018">SUM(AU957:AV957)</f>
        <v>18.965384615384608</v>
      </c>
      <c r="AX957" s="167">
        <f t="shared" ref="AX957:AY957" si="4019">AX954+AX956</f>
        <v>9.4826923076923038</v>
      </c>
      <c r="AY957" s="167">
        <f t="shared" si="4019"/>
        <v>9.4826923076923038</v>
      </c>
      <c r="AZ957" s="172">
        <f t="shared" ref="AZ957" si="4020">SUM(AX957:AY957)</f>
        <v>18.965384615384608</v>
      </c>
      <c r="BA957" s="167">
        <f t="shared" ref="BA957:BB957" si="4021">BA954+BA956</f>
        <v>9.4826923076923038</v>
      </c>
      <c r="BB957" s="167">
        <f t="shared" si="4021"/>
        <v>9.4826923076923038</v>
      </c>
      <c r="BC957" s="172">
        <f t="shared" ref="BC957" si="4022">SUM(BA957:BB957)</f>
        <v>18.965384615384608</v>
      </c>
      <c r="BD957" s="167">
        <f t="shared" ref="BD957:BE957" si="4023">BD954+BD956</f>
        <v>9.4826923076923038</v>
      </c>
      <c r="BE957" s="167">
        <f t="shared" si="4023"/>
        <v>9.4826923076923038</v>
      </c>
      <c r="BF957" s="172">
        <f t="shared" ref="BF957" si="4024">SUM(BD957:BE957)</f>
        <v>18.965384615384608</v>
      </c>
      <c r="BG957" s="167">
        <f t="shared" ref="BG957:BH957" si="4025">BG954+BG956</f>
        <v>9.4826923076923038</v>
      </c>
      <c r="BH957" s="167">
        <f t="shared" si="4025"/>
        <v>9.4826923076923038</v>
      </c>
      <c r="BI957" s="172">
        <f t="shared" ref="BI957" si="4026">SUM(BG957:BH957)</f>
        <v>18.965384615384608</v>
      </c>
      <c r="BJ957" s="167">
        <f t="shared" ref="BJ957:BK957" si="4027">BJ954+BJ956</f>
        <v>9.4826923076923038</v>
      </c>
      <c r="BK957" s="167">
        <f t="shared" si="4027"/>
        <v>9.4826923076923038</v>
      </c>
      <c r="BL957" s="172">
        <f t="shared" ref="BL957" si="4028">SUM(BJ957:BK957)</f>
        <v>18.965384615384608</v>
      </c>
      <c r="BM957" s="167">
        <f t="shared" ref="BM957:BN957" si="4029">BM954+BM956</f>
        <v>9.4826923076923038</v>
      </c>
      <c r="BN957" s="167">
        <f t="shared" si="4029"/>
        <v>9.4826923076923038</v>
      </c>
      <c r="BO957" s="172">
        <f t="shared" ref="BO957" si="4030">SUM(BM957:BN957)</f>
        <v>18.965384615384608</v>
      </c>
      <c r="BP957" s="167">
        <f t="shared" ref="BP957:BQ957" si="4031">BP954+BP956</f>
        <v>9.4826923076923038</v>
      </c>
      <c r="BQ957" s="167">
        <f t="shared" si="4031"/>
        <v>9.4826923076923038</v>
      </c>
      <c r="BR957" s="172">
        <f t="shared" ref="BR957" si="4032">SUM(BP957:BQ957)</f>
        <v>18.965384615384608</v>
      </c>
    </row>
    <row r="958" spans="2:70" outlineLevel="2">
      <c r="B958" s="5"/>
      <c r="C958" s="84" t="s">
        <v>74</v>
      </c>
      <c r="D958" s="31" t="s">
        <v>66</v>
      </c>
      <c r="E958" s="7"/>
      <c r="F958" s="7"/>
      <c r="G958" s="7"/>
      <c r="H958" s="7"/>
      <c r="I958" s="7"/>
      <c r="J958" s="7"/>
      <c r="K958" s="7"/>
      <c r="L958" s="7"/>
      <c r="M958" s="7"/>
      <c r="N958" s="768">
        <f t="shared" ref="N958" si="4033">N957/N953</f>
        <v>0.15051892551892551</v>
      </c>
      <c r="O958" s="7"/>
      <c r="R958" s="162">
        <f t="shared" ref="R958:AB958" si="4034">R957/R953</f>
        <v>0.15051892551892548</v>
      </c>
      <c r="S958" s="162">
        <f t="shared" si="4034"/>
        <v>0.15051892551892548</v>
      </c>
      <c r="T958" s="162">
        <f t="shared" si="4034"/>
        <v>0.15051892551892546</v>
      </c>
      <c r="U958" s="133">
        <f t="shared" si="4034"/>
        <v>0.15051892551892546</v>
      </c>
      <c r="V958" s="162">
        <f t="shared" si="4034"/>
        <v>0.15051892551892546</v>
      </c>
      <c r="W958" s="162">
        <f t="shared" si="4034"/>
        <v>0.15051892551892546</v>
      </c>
      <c r="X958" s="133">
        <f t="shared" si="4034"/>
        <v>0.15051892551892546</v>
      </c>
      <c r="Y958" s="162">
        <f t="shared" si="4034"/>
        <v>0.15051892551892546</v>
      </c>
      <c r="Z958" s="162">
        <f t="shared" si="4034"/>
        <v>0.15051892551892546</v>
      </c>
      <c r="AA958" s="133">
        <f t="shared" si="4034"/>
        <v>0.15051892551892546</v>
      </c>
      <c r="AB958" s="133">
        <f t="shared" si="4034"/>
        <v>0.15051892551892546</v>
      </c>
      <c r="AC958" s="162">
        <f t="shared" ref="AC958:AE958" si="4035">AC957/AC953</f>
        <v>0.15051892551892546</v>
      </c>
      <c r="AD958" s="133">
        <f t="shared" si="4035"/>
        <v>0.15051892551892546</v>
      </c>
      <c r="AE958" s="133">
        <f t="shared" si="4035"/>
        <v>0.15051892551892546</v>
      </c>
      <c r="AF958" s="162">
        <f t="shared" ref="AF958:AN958" si="4036">AF957/AF953</f>
        <v>0.15051892551892546</v>
      </c>
      <c r="AG958" s="938">
        <f t="shared" si="4036"/>
        <v>0.15051892551892546</v>
      </c>
      <c r="AH958" s="133">
        <f t="shared" si="4036"/>
        <v>0.15051892551892546</v>
      </c>
      <c r="AI958" s="162">
        <f t="shared" si="4036"/>
        <v>0.15051892551892546</v>
      </c>
      <c r="AJ958" s="133">
        <f t="shared" si="4036"/>
        <v>0.15051892551892546</v>
      </c>
      <c r="AK958" s="133">
        <f t="shared" si="4036"/>
        <v>0.15051892551892546</v>
      </c>
      <c r="AL958" s="162">
        <f t="shared" si="4036"/>
        <v>0.15051892551892546</v>
      </c>
      <c r="AM958" s="133">
        <f t="shared" si="4036"/>
        <v>0.15051892551892546</v>
      </c>
      <c r="AN958" s="133">
        <f t="shared" si="4036"/>
        <v>0.15051892551892546</v>
      </c>
      <c r="AO958" s="162">
        <f t="shared" ref="AO958:BR958" si="4037">AO957/AO953</f>
        <v>0.15051892551892546</v>
      </c>
      <c r="AP958" s="133">
        <f t="shared" si="4037"/>
        <v>0.15051892551892546</v>
      </c>
      <c r="AQ958" s="133">
        <f t="shared" si="4037"/>
        <v>0.15051892551892546</v>
      </c>
      <c r="AR958" s="162">
        <f t="shared" si="4037"/>
        <v>0.15051892551892546</v>
      </c>
      <c r="AS958" s="133">
        <f t="shared" si="4037"/>
        <v>0.15051892551892546</v>
      </c>
      <c r="AT958" s="133">
        <f t="shared" si="4037"/>
        <v>0.15051892551892546</v>
      </c>
      <c r="AU958" s="162">
        <f t="shared" si="4037"/>
        <v>0.15051892551892546</v>
      </c>
      <c r="AV958" s="133">
        <f t="shared" si="4037"/>
        <v>0.15051892551892546</v>
      </c>
      <c r="AW958" s="133">
        <f t="shared" si="4037"/>
        <v>0.15051892551892546</v>
      </c>
      <c r="AX958" s="162">
        <f t="shared" si="4037"/>
        <v>0.15051892551892546</v>
      </c>
      <c r="AY958" s="133">
        <f t="shared" si="4037"/>
        <v>0.15051892551892546</v>
      </c>
      <c r="AZ958" s="133">
        <f t="shared" si="4037"/>
        <v>0.15051892551892546</v>
      </c>
      <c r="BA958" s="162">
        <f t="shared" si="4037"/>
        <v>0.15051892551892546</v>
      </c>
      <c r="BB958" s="133">
        <f t="shared" si="4037"/>
        <v>0.15051892551892546</v>
      </c>
      <c r="BC958" s="133">
        <f t="shared" si="4037"/>
        <v>0.15051892551892546</v>
      </c>
      <c r="BD958" s="162">
        <f t="shared" si="4037"/>
        <v>0.15051892551892546</v>
      </c>
      <c r="BE958" s="133">
        <f t="shared" si="4037"/>
        <v>0.15051892551892546</v>
      </c>
      <c r="BF958" s="133">
        <f t="shared" si="4037"/>
        <v>0.15051892551892546</v>
      </c>
      <c r="BG958" s="162">
        <f t="shared" si="4037"/>
        <v>0.15051892551892546</v>
      </c>
      <c r="BH958" s="133">
        <f t="shared" si="4037"/>
        <v>0.15051892551892546</v>
      </c>
      <c r="BI958" s="133">
        <f t="shared" si="4037"/>
        <v>0.15051892551892546</v>
      </c>
      <c r="BJ958" s="162">
        <f t="shared" si="4037"/>
        <v>0.15051892551892546</v>
      </c>
      <c r="BK958" s="133">
        <f t="shared" si="4037"/>
        <v>0.15051892551892546</v>
      </c>
      <c r="BL958" s="133">
        <f t="shared" si="4037"/>
        <v>0.15051892551892546</v>
      </c>
      <c r="BM958" s="162">
        <f t="shared" si="4037"/>
        <v>0.15051892551892546</v>
      </c>
      <c r="BN958" s="133">
        <f t="shared" si="4037"/>
        <v>0.15051892551892546</v>
      </c>
      <c r="BO958" s="133">
        <f t="shared" si="4037"/>
        <v>0.15051892551892546</v>
      </c>
      <c r="BP958" s="162">
        <f t="shared" si="4037"/>
        <v>0.15051892551892546</v>
      </c>
      <c r="BQ958" s="133">
        <f t="shared" si="4037"/>
        <v>0.15051892551892546</v>
      </c>
      <c r="BR958" s="133">
        <f t="shared" si="4037"/>
        <v>0.15051892551892546</v>
      </c>
    </row>
    <row r="959" spans="2:70" outlineLevel="2">
      <c r="B959" s="5"/>
      <c r="C959" s="84" t="s">
        <v>90</v>
      </c>
      <c r="D959" s="31" t="s">
        <v>58</v>
      </c>
      <c r="E959" s="7"/>
      <c r="F959" s="7"/>
      <c r="G959" s="7"/>
      <c r="H959" s="7"/>
      <c r="I959" s="7"/>
      <c r="J959" s="7"/>
      <c r="K959" s="7"/>
      <c r="L959" s="7"/>
      <c r="M959" s="7"/>
      <c r="N959" s="765">
        <v>13</v>
      </c>
      <c r="O959" s="7"/>
      <c r="R959" s="336">
        <v>0</v>
      </c>
      <c r="S959" s="167">
        <f>SUM(R959:R959)</f>
        <v>0</v>
      </c>
      <c r="T959" s="404">
        <v>0</v>
      </c>
      <c r="U959" s="404">
        <v>5</v>
      </c>
      <c r="V959" s="336">
        <f>T959+U959</f>
        <v>5</v>
      </c>
      <c r="W959" s="404">
        <v>3</v>
      </c>
      <c r="X959" s="404">
        <v>3</v>
      </c>
      <c r="Y959" s="336">
        <f>W959+X959</f>
        <v>6</v>
      </c>
      <c r="Z959" s="404">
        <v>2</v>
      </c>
      <c r="AA959" s="404">
        <v>0</v>
      </c>
      <c r="AB959" s="336">
        <f>Z959+AA959</f>
        <v>2</v>
      </c>
      <c r="AC959" s="404">
        <v>0</v>
      </c>
      <c r="AD959" s="404">
        <v>0</v>
      </c>
      <c r="AE959" s="364">
        <f>AC959+AD959</f>
        <v>0</v>
      </c>
      <c r="AF959" s="402">
        <v>0</v>
      </c>
      <c r="AG959" s="1030">
        <v>0</v>
      </c>
      <c r="AH959" s="336">
        <f>AF959+AG959</f>
        <v>0</v>
      </c>
      <c r="AI959" s="404">
        <v>0</v>
      </c>
      <c r="AJ959" s="404">
        <v>0</v>
      </c>
      <c r="AK959" s="336">
        <f>AI959+AJ959</f>
        <v>0</v>
      </c>
      <c r="AL959" s="404">
        <v>0</v>
      </c>
      <c r="AM959" s="404">
        <v>0</v>
      </c>
      <c r="AN959" s="336">
        <f>AL959+AM959</f>
        <v>0</v>
      </c>
      <c r="AO959" s="404">
        <v>0</v>
      </c>
      <c r="AP959" s="404">
        <v>0</v>
      </c>
      <c r="AQ959" s="336">
        <f>AO959+AP959</f>
        <v>0</v>
      </c>
      <c r="AR959" s="404">
        <v>0</v>
      </c>
      <c r="AS959" s="404">
        <v>0</v>
      </c>
      <c r="AT959" s="336">
        <f>AR959+AS959</f>
        <v>0</v>
      </c>
      <c r="AU959" s="404">
        <v>0</v>
      </c>
      <c r="AV959" s="404">
        <v>0</v>
      </c>
      <c r="AW959" s="336">
        <f>AU959+AV959</f>
        <v>0</v>
      </c>
      <c r="AX959" s="404">
        <v>0</v>
      </c>
      <c r="AY959" s="404">
        <v>0</v>
      </c>
      <c r="AZ959" s="336">
        <f>AX959+AY959</f>
        <v>0</v>
      </c>
      <c r="BA959" s="404">
        <v>0</v>
      </c>
      <c r="BB959" s="404">
        <v>0</v>
      </c>
      <c r="BC959" s="336">
        <f>BA959+BB959</f>
        <v>0</v>
      </c>
      <c r="BD959" s="404">
        <v>0</v>
      </c>
      <c r="BE959" s="404">
        <v>0</v>
      </c>
      <c r="BF959" s="336">
        <f>BD959+BE959</f>
        <v>0</v>
      </c>
      <c r="BG959" s="404">
        <v>0</v>
      </c>
      <c r="BH959" s="404">
        <v>0</v>
      </c>
      <c r="BI959" s="336">
        <f>BG959+BH959</f>
        <v>0</v>
      </c>
      <c r="BJ959" s="404">
        <v>0</v>
      </c>
      <c r="BK959" s="404">
        <v>0</v>
      </c>
      <c r="BL959" s="336">
        <f>BJ959+BK959</f>
        <v>0</v>
      </c>
      <c r="BM959" s="404">
        <v>0</v>
      </c>
      <c r="BN959" s="404">
        <v>0</v>
      </c>
      <c r="BO959" s="336">
        <f>BM959+BN959</f>
        <v>0</v>
      </c>
      <c r="BP959" s="404">
        <v>0</v>
      </c>
      <c r="BQ959" s="404">
        <v>0</v>
      </c>
      <c r="BR959" s="336">
        <f>BP959+BQ959</f>
        <v>0</v>
      </c>
    </row>
    <row r="960" spans="2:70" outlineLevel="2">
      <c r="B960" s="5"/>
      <c r="C960" s="84" t="s">
        <v>89</v>
      </c>
      <c r="D960" s="31"/>
      <c r="E960" s="7"/>
      <c r="F960" s="7"/>
      <c r="G960" s="7"/>
      <c r="H960" s="7"/>
      <c r="I960" s="7"/>
      <c r="J960" s="7"/>
      <c r="K960" s="7"/>
      <c r="L960" s="7"/>
      <c r="M960" s="7"/>
      <c r="N960" s="771"/>
      <c r="O960" s="7"/>
      <c r="R960" s="156">
        <f>O960+R959</f>
        <v>0</v>
      </c>
      <c r="S960" s="156">
        <f>SUM(Q960:R960)</f>
        <v>0</v>
      </c>
      <c r="T960" s="156">
        <f>N960+T959</f>
        <v>0</v>
      </c>
      <c r="U960" s="156">
        <f>R960+U959</f>
        <v>5</v>
      </c>
      <c r="V960" s="156">
        <f>SUM(T960:U960)</f>
        <v>5</v>
      </c>
      <c r="W960" s="156">
        <f t="shared" ref="W960" si="4038">T960+W959</f>
        <v>3</v>
      </c>
      <c r="X960" s="156">
        <f t="shared" ref="X960" si="4039">U960+X959</f>
        <v>8</v>
      </c>
      <c r="Y960" s="156">
        <f t="shared" ref="Y960" si="4040">SUM(W960:X960)</f>
        <v>11</v>
      </c>
      <c r="Z960" s="156">
        <f t="shared" ref="Z960" si="4041">W960+Z959</f>
        <v>5</v>
      </c>
      <c r="AA960" s="156">
        <f t="shared" ref="AA960" si="4042">X960+AA959</f>
        <v>8</v>
      </c>
      <c r="AB960" s="156">
        <f t="shared" ref="AB960" si="4043">SUM(Z960:AA960)</f>
        <v>13</v>
      </c>
      <c r="AC960" s="156">
        <f t="shared" ref="AC960" si="4044">Z960+AC959</f>
        <v>5</v>
      </c>
      <c r="AD960" s="156">
        <f t="shared" ref="AD960" si="4045">AA960+AD959</f>
        <v>8</v>
      </c>
      <c r="AE960" s="157">
        <f t="shared" ref="AE960" si="4046">SUM(AC960:AD960)</f>
        <v>13</v>
      </c>
      <c r="AF960" s="157">
        <f t="shared" ref="AF960" si="4047">AC960+AF959</f>
        <v>5</v>
      </c>
      <c r="AG960" s="1031">
        <f t="shared" ref="AG960" si="4048">AD960+AG959</f>
        <v>8</v>
      </c>
      <c r="AH960" s="156">
        <f t="shared" ref="AH960" si="4049">SUM(AF960:AG960)</f>
        <v>13</v>
      </c>
      <c r="AI960" s="156">
        <f t="shared" ref="AI960" si="4050">AF960+AI959</f>
        <v>5</v>
      </c>
      <c r="AJ960" s="156">
        <f t="shared" ref="AJ960" si="4051">AG960+AJ959</f>
        <v>8</v>
      </c>
      <c r="AK960" s="156">
        <f t="shared" ref="AK960" si="4052">SUM(AI960:AJ960)</f>
        <v>13</v>
      </c>
      <c r="AL960" s="156">
        <f t="shared" ref="AL960" si="4053">AI960+AL959</f>
        <v>5</v>
      </c>
      <c r="AM960" s="156">
        <f t="shared" ref="AM960" si="4054">AJ960+AM959</f>
        <v>8</v>
      </c>
      <c r="AN960" s="156">
        <f t="shared" ref="AN960" si="4055">SUM(AL960:AM960)</f>
        <v>13</v>
      </c>
      <c r="AO960" s="156">
        <f t="shared" ref="AO960" si="4056">AL960+AO959</f>
        <v>5</v>
      </c>
      <c r="AP960" s="156">
        <f t="shared" ref="AP960" si="4057">AM960+AP959</f>
        <v>8</v>
      </c>
      <c r="AQ960" s="156">
        <f t="shared" ref="AQ960" si="4058">SUM(AO960:AP960)</f>
        <v>13</v>
      </c>
      <c r="AR960" s="156">
        <f t="shared" ref="AR960" si="4059">AO960+AR959</f>
        <v>5</v>
      </c>
      <c r="AS960" s="156">
        <f t="shared" ref="AS960" si="4060">AP960+AS959</f>
        <v>8</v>
      </c>
      <c r="AT960" s="156">
        <f t="shared" ref="AT960" si="4061">SUM(AR960:AS960)</f>
        <v>13</v>
      </c>
      <c r="AU960" s="156">
        <f t="shared" ref="AU960" si="4062">AR960+AU959</f>
        <v>5</v>
      </c>
      <c r="AV960" s="156">
        <f t="shared" ref="AV960" si="4063">AS960+AV959</f>
        <v>8</v>
      </c>
      <c r="AW960" s="156">
        <f t="shared" ref="AW960" si="4064">SUM(AU960:AV960)</f>
        <v>13</v>
      </c>
      <c r="AX960" s="156">
        <f t="shared" ref="AX960" si="4065">AU960+AX959</f>
        <v>5</v>
      </c>
      <c r="AY960" s="156">
        <f t="shared" ref="AY960" si="4066">AV960+AY959</f>
        <v>8</v>
      </c>
      <c r="AZ960" s="156">
        <f t="shared" ref="AZ960" si="4067">SUM(AX960:AY960)</f>
        <v>13</v>
      </c>
      <c r="BA960" s="156">
        <f t="shared" ref="BA960" si="4068">AX960+BA959</f>
        <v>5</v>
      </c>
      <c r="BB960" s="156">
        <f t="shared" ref="BB960" si="4069">AY960+BB959</f>
        <v>8</v>
      </c>
      <c r="BC960" s="156">
        <f t="shared" ref="BC960" si="4070">SUM(BA960:BB960)</f>
        <v>13</v>
      </c>
      <c r="BD960" s="156">
        <f t="shared" ref="BD960" si="4071">BA960+BD959</f>
        <v>5</v>
      </c>
      <c r="BE960" s="156">
        <f t="shared" ref="BE960" si="4072">BB960+BE959</f>
        <v>8</v>
      </c>
      <c r="BF960" s="156">
        <f t="shared" ref="BF960" si="4073">SUM(BD960:BE960)</f>
        <v>13</v>
      </c>
      <c r="BG960" s="156">
        <f t="shared" ref="BG960" si="4074">BD960+BG959</f>
        <v>5</v>
      </c>
      <c r="BH960" s="156">
        <f t="shared" ref="BH960" si="4075">BE960+BH959</f>
        <v>8</v>
      </c>
      <c r="BI960" s="156">
        <f t="shared" ref="BI960" si="4076">SUM(BG960:BH960)</f>
        <v>13</v>
      </c>
      <c r="BJ960" s="156">
        <f t="shared" ref="BJ960" si="4077">BG960+BJ959</f>
        <v>5</v>
      </c>
      <c r="BK960" s="156">
        <f t="shared" ref="BK960" si="4078">BH960+BK959</f>
        <v>8</v>
      </c>
      <c r="BL960" s="156">
        <f t="shared" ref="BL960" si="4079">SUM(BJ960:BK960)</f>
        <v>13</v>
      </c>
      <c r="BM960" s="156">
        <f t="shared" ref="BM960" si="4080">BJ960+BM959</f>
        <v>5</v>
      </c>
      <c r="BN960" s="156">
        <f t="shared" ref="BN960" si="4081">BK960+BN959</f>
        <v>8</v>
      </c>
      <c r="BO960" s="156">
        <f t="shared" ref="BO960" si="4082">SUM(BM960:BN960)</f>
        <v>13</v>
      </c>
      <c r="BP960" s="156">
        <f t="shared" ref="BP960" si="4083">BM960+BP959</f>
        <v>5</v>
      </c>
      <c r="BQ960" s="156">
        <f t="shared" ref="BQ960" si="4084">BN960+BQ959</f>
        <v>8</v>
      </c>
      <c r="BR960" s="156">
        <f t="shared" ref="BR960" si="4085">SUM(BP960:BQ960)</f>
        <v>13</v>
      </c>
    </row>
    <row r="961" spans="2:70" outlineLevel="2">
      <c r="B961" s="5"/>
      <c r="C961" s="84" t="s">
        <v>264</v>
      </c>
      <c r="D961" s="31" t="s">
        <v>66</v>
      </c>
      <c r="E961" s="7"/>
      <c r="F961" s="7"/>
      <c r="G961" s="7"/>
      <c r="H961" s="7"/>
      <c r="I961" s="7"/>
      <c r="J961" s="7"/>
      <c r="K961" s="7"/>
      <c r="L961" s="7"/>
      <c r="M961" s="7"/>
      <c r="N961" s="772">
        <f>N959/N953</f>
        <v>0.10317460317460317</v>
      </c>
      <c r="O961" s="7"/>
      <c r="R961" s="17"/>
      <c r="S961" s="156"/>
      <c r="T961" s="156"/>
      <c r="U961" s="156"/>
      <c r="V961" s="156"/>
      <c r="W961" s="156"/>
      <c r="X961" s="156"/>
      <c r="Y961" s="156"/>
      <c r="Z961" s="156"/>
      <c r="AA961" s="156"/>
      <c r="AB961" s="156"/>
      <c r="AC961" s="156"/>
      <c r="AD961" s="156"/>
      <c r="AE961" s="157"/>
      <c r="AF961" s="157"/>
      <c r="AG961" s="1031"/>
      <c r="AH961" s="156"/>
      <c r="AI961" s="156"/>
      <c r="AJ961" s="156"/>
      <c r="AK961" s="156"/>
      <c r="AL961" s="156"/>
      <c r="AM961" s="156"/>
      <c r="AN961" s="156"/>
      <c r="AO961" s="156"/>
      <c r="AP961" s="156"/>
      <c r="AQ961" s="156"/>
      <c r="AR961" s="156"/>
      <c r="AS961" s="156"/>
      <c r="AT961" s="156"/>
      <c r="AU961" s="156"/>
      <c r="AV961" s="156"/>
      <c r="AW961" s="156"/>
      <c r="AX961" s="156"/>
      <c r="AY961" s="156"/>
      <c r="AZ961" s="156"/>
      <c r="BA961" s="156"/>
      <c r="BB961" s="156"/>
      <c r="BC961" s="156"/>
      <c r="BD961" s="156"/>
      <c r="BE961" s="156"/>
      <c r="BF961" s="156"/>
      <c r="BG961" s="156"/>
      <c r="BH961" s="156"/>
      <c r="BI961" s="156"/>
      <c r="BJ961" s="156"/>
      <c r="BK961" s="156"/>
      <c r="BL961" s="156"/>
      <c r="BM961" s="156"/>
      <c r="BN961" s="156"/>
      <c r="BO961" s="156"/>
      <c r="BP961" s="156"/>
      <c r="BQ961" s="156"/>
      <c r="BR961" s="156"/>
    </row>
    <row r="962" spans="2:70" outlineLevel="2">
      <c r="B962" s="5"/>
      <c r="C962" s="84" t="s">
        <v>79</v>
      </c>
      <c r="D962" s="31" t="s">
        <v>58</v>
      </c>
      <c r="E962" s="7"/>
      <c r="F962" s="7"/>
      <c r="G962" s="7"/>
      <c r="H962" s="7"/>
      <c r="I962" s="7"/>
      <c r="J962" s="7"/>
      <c r="K962" s="7"/>
      <c r="L962" s="7"/>
      <c r="M962" s="7"/>
      <c r="N962" s="770">
        <f>N957+N959</f>
        <v>31.965384615384615</v>
      </c>
      <c r="O962" s="7"/>
      <c r="R962" s="13">
        <f t="shared" ref="R962" si="4086">R960+R957</f>
        <v>6.3217948717948707</v>
      </c>
      <c r="S962" s="167">
        <f>SUM(R962:R962)</f>
        <v>6.3217948717948707</v>
      </c>
      <c r="T962" s="13">
        <f t="shared" ref="T962:AB962" si="4087">T960+T957</f>
        <v>9.4826923076923038</v>
      </c>
      <c r="U962" s="13">
        <f t="shared" si="4087"/>
        <v>14.482692307692304</v>
      </c>
      <c r="V962" s="13">
        <f t="shared" si="4087"/>
        <v>23.965384615384608</v>
      </c>
      <c r="W962" s="13">
        <f t="shared" si="4087"/>
        <v>12.482692307692304</v>
      </c>
      <c r="X962" s="13">
        <f t="shared" si="4087"/>
        <v>17.482692307692304</v>
      </c>
      <c r="Y962" s="13">
        <f t="shared" si="4087"/>
        <v>29.965384615384608</v>
      </c>
      <c r="Z962" s="13">
        <f t="shared" si="4087"/>
        <v>14.482692307692304</v>
      </c>
      <c r="AA962" s="13">
        <f t="shared" si="4087"/>
        <v>17.482692307692304</v>
      </c>
      <c r="AB962" s="13">
        <f t="shared" si="4087"/>
        <v>31.965384615384608</v>
      </c>
      <c r="AC962" s="13">
        <f t="shared" ref="AC962:AE962" si="4088">AC960+AC957</f>
        <v>14.482692307692304</v>
      </c>
      <c r="AD962" s="13">
        <f t="shared" si="4088"/>
        <v>17.482692307692304</v>
      </c>
      <c r="AE962" s="164">
        <f t="shared" si="4088"/>
        <v>31.965384615384608</v>
      </c>
      <c r="AF962" s="164">
        <f t="shared" ref="AF962:AN962" si="4089">AF960+AF957</f>
        <v>14.482692307692304</v>
      </c>
      <c r="AG962" s="1018">
        <f t="shared" si="4089"/>
        <v>17.482692307692304</v>
      </c>
      <c r="AH962" s="13">
        <f t="shared" si="4089"/>
        <v>31.965384615384608</v>
      </c>
      <c r="AI962" s="13">
        <f t="shared" si="4089"/>
        <v>14.482692307692304</v>
      </c>
      <c r="AJ962" s="13">
        <f t="shared" si="4089"/>
        <v>17.482692307692304</v>
      </c>
      <c r="AK962" s="13">
        <f t="shared" si="4089"/>
        <v>31.965384615384608</v>
      </c>
      <c r="AL962" s="13">
        <f t="shared" si="4089"/>
        <v>14.482692307692304</v>
      </c>
      <c r="AM962" s="13">
        <f t="shared" si="4089"/>
        <v>17.482692307692304</v>
      </c>
      <c r="AN962" s="13">
        <f t="shared" si="4089"/>
        <v>31.965384615384608</v>
      </c>
      <c r="AO962" s="13">
        <f t="shared" ref="AO962:BR962" si="4090">AO960+AO957</f>
        <v>14.482692307692304</v>
      </c>
      <c r="AP962" s="13">
        <f t="shared" si="4090"/>
        <v>17.482692307692304</v>
      </c>
      <c r="AQ962" s="13">
        <f t="shared" si="4090"/>
        <v>31.965384615384608</v>
      </c>
      <c r="AR962" s="13">
        <f t="shared" si="4090"/>
        <v>14.482692307692304</v>
      </c>
      <c r="AS962" s="13">
        <f t="shared" si="4090"/>
        <v>17.482692307692304</v>
      </c>
      <c r="AT962" s="13">
        <f t="shared" si="4090"/>
        <v>31.965384615384608</v>
      </c>
      <c r="AU962" s="13">
        <f t="shared" si="4090"/>
        <v>14.482692307692304</v>
      </c>
      <c r="AV962" s="13">
        <f t="shared" si="4090"/>
        <v>17.482692307692304</v>
      </c>
      <c r="AW962" s="13">
        <f t="shared" si="4090"/>
        <v>31.965384615384608</v>
      </c>
      <c r="AX962" s="13">
        <f t="shared" si="4090"/>
        <v>14.482692307692304</v>
      </c>
      <c r="AY962" s="13">
        <f t="shared" si="4090"/>
        <v>17.482692307692304</v>
      </c>
      <c r="AZ962" s="13">
        <f t="shared" si="4090"/>
        <v>31.965384615384608</v>
      </c>
      <c r="BA962" s="13">
        <f t="shared" si="4090"/>
        <v>14.482692307692304</v>
      </c>
      <c r="BB962" s="13">
        <f t="shared" si="4090"/>
        <v>17.482692307692304</v>
      </c>
      <c r="BC962" s="13">
        <f t="shared" si="4090"/>
        <v>31.965384615384608</v>
      </c>
      <c r="BD962" s="13">
        <f t="shared" si="4090"/>
        <v>14.482692307692304</v>
      </c>
      <c r="BE962" s="13">
        <f t="shared" si="4090"/>
        <v>17.482692307692304</v>
      </c>
      <c r="BF962" s="13">
        <f t="shared" si="4090"/>
        <v>31.965384615384608</v>
      </c>
      <c r="BG962" s="13">
        <f t="shared" si="4090"/>
        <v>14.482692307692304</v>
      </c>
      <c r="BH962" s="13">
        <f t="shared" si="4090"/>
        <v>17.482692307692304</v>
      </c>
      <c r="BI962" s="13">
        <f t="shared" si="4090"/>
        <v>31.965384615384608</v>
      </c>
      <c r="BJ962" s="13">
        <f t="shared" si="4090"/>
        <v>14.482692307692304</v>
      </c>
      <c r="BK962" s="13">
        <f t="shared" si="4090"/>
        <v>17.482692307692304</v>
      </c>
      <c r="BL962" s="13">
        <f t="shared" si="4090"/>
        <v>31.965384615384608</v>
      </c>
      <c r="BM962" s="13">
        <f t="shared" si="4090"/>
        <v>14.482692307692304</v>
      </c>
      <c r="BN962" s="13">
        <f t="shared" si="4090"/>
        <v>17.482692307692304</v>
      </c>
      <c r="BO962" s="13">
        <f t="shared" si="4090"/>
        <v>31.965384615384608</v>
      </c>
      <c r="BP962" s="13">
        <f t="shared" si="4090"/>
        <v>14.482692307692304</v>
      </c>
      <c r="BQ962" s="13">
        <f t="shared" si="4090"/>
        <v>17.482692307692304</v>
      </c>
      <c r="BR962" s="13">
        <f t="shared" si="4090"/>
        <v>31.965384615384608</v>
      </c>
    </row>
    <row r="963" spans="2:70" outlineLevel="2">
      <c r="B963" s="5"/>
      <c r="C963" s="84" t="s">
        <v>75</v>
      </c>
      <c r="D963" s="31" t="s">
        <v>66</v>
      </c>
      <c r="E963" s="7"/>
      <c r="F963" s="7"/>
      <c r="G963" s="7"/>
      <c r="H963" s="7"/>
      <c r="I963" s="7"/>
      <c r="J963" s="7"/>
      <c r="K963" s="7"/>
      <c r="L963" s="7"/>
      <c r="M963" s="7"/>
      <c r="N963" s="775">
        <f>N962/N951</f>
        <v>0.27795986622073576</v>
      </c>
      <c r="O963" s="7"/>
      <c r="R963" s="353">
        <f>R962/$N$951*2</f>
        <v>0.10994425863991079</v>
      </c>
      <c r="S963" s="353">
        <f>S962/$N$951</f>
        <v>5.4972129319955397E-2</v>
      </c>
      <c r="T963" s="353">
        <f>T962/$N$951*2</f>
        <v>0.16491638795986616</v>
      </c>
      <c r="U963" s="353">
        <f>U962/$N$951*2</f>
        <v>0.25187290969899656</v>
      </c>
      <c r="V963" s="353">
        <f>V962/$N$951</f>
        <v>0.20839464882943137</v>
      </c>
      <c r="W963" s="353">
        <f>W962/$N$951*2</f>
        <v>0.21709030100334442</v>
      </c>
      <c r="X963" s="353">
        <f>X962/$N$951*2</f>
        <v>0.30404682274247485</v>
      </c>
      <c r="Y963" s="353">
        <f>Y962/$N$951</f>
        <v>0.26056856187290961</v>
      </c>
      <c r="Z963" s="353">
        <f>Z962/$N$951*2</f>
        <v>0.25187290969899656</v>
      </c>
      <c r="AA963" s="353">
        <f>AA962/$N$951*2</f>
        <v>0.30404682274247485</v>
      </c>
      <c r="AB963" s="353">
        <f>AB962/$N$951</f>
        <v>0.27795986622073571</v>
      </c>
      <c r="AC963" s="353">
        <f>AC962/$N$951*2</f>
        <v>0.25187290969899656</v>
      </c>
      <c r="AD963" s="353">
        <f>AD962/$N$951*2</f>
        <v>0.30404682274247485</v>
      </c>
      <c r="AE963" s="392">
        <f>AE962/$N$951</f>
        <v>0.27795986622073571</v>
      </c>
      <c r="AF963" s="392">
        <f>AF962/$N$951*2</f>
        <v>0.25187290969899656</v>
      </c>
      <c r="AG963" s="1036">
        <f>AG962/$N$951*2</f>
        <v>0.30404682274247485</v>
      </c>
      <c r="AH963" s="353">
        <f>AH962/$N$951</f>
        <v>0.27795986622073571</v>
      </c>
      <c r="AI963" s="353">
        <f>AI962/$N$951*2</f>
        <v>0.25187290969899656</v>
      </c>
      <c r="AJ963" s="353">
        <f>AJ962/$N$951*2</f>
        <v>0.30404682274247485</v>
      </c>
      <c r="AK963" s="353">
        <f>AK962/$N$951</f>
        <v>0.27795986622073571</v>
      </c>
      <c r="AL963" s="353">
        <f>AL962/$N$951*2</f>
        <v>0.25187290969899656</v>
      </c>
      <c r="AM963" s="353">
        <f>AM962/$N$951*2</f>
        <v>0.30404682274247485</v>
      </c>
      <c r="AN963" s="353">
        <f>AN962/$N$951</f>
        <v>0.27795986622073571</v>
      </c>
      <c r="AO963" s="353">
        <f>AO962/$N$951*2</f>
        <v>0.25187290969899656</v>
      </c>
      <c r="AP963" s="353">
        <f>AP962/$N$951*2</f>
        <v>0.30404682274247485</v>
      </c>
      <c r="AQ963" s="353">
        <f>AQ962/$N$951</f>
        <v>0.27795986622073571</v>
      </c>
      <c r="AR963" s="353">
        <f>AR962/$N$951*2</f>
        <v>0.25187290969899656</v>
      </c>
      <c r="AS963" s="353">
        <f>AS962/$N$951*2</f>
        <v>0.30404682274247485</v>
      </c>
      <c r="AT963" s="353">
        <f>AT962/$N$951</f>
        <v>0.27795986622073571</v>
      </c>
      <c r="AU963" s="353">
        <f>AU962/$N$951*2</f>
        <v>0.25187290969899656</v>
      </c>
      <c r="AV963" s="353">
        <f>AV962/$N$951*2</f>
        <v>0.30404682274247485</v>
      </c>
      <c r="AW963" s="353">
        <f>AW962/$N$951</f>
        <v>0.27795986622073571</v>
      </c>
      <c r="AX963" s="353">
        <f>AX962/$N$951*2</f>
        <v>0.25187290969899656</v>
      </c>
      <c r="AY963" s="353">
        <f>AY962/$N$951*2</f>
        <v>0.30404682274247485</v>
      </c>
      <c r="AZ963" s="353">
        <f>AZ962/$N$951</f>
        <v>0.27795986622073571</v>
      </c>
      <c r="BA963" s="353">
        <f>BA962/$N$951*2</f>
        <v>0.25187290969899656</v>
      </c>
      <c r="BB963" s="353">
        <f>BB962/$N$951*2</f>
        <v>0.30404682274247485</v>
      </c>
      <c r="BC963" s="353">
        <f>BC962/$N$951</f>
        <v>0.27795986622073571</v>
      </c>
      <c r="BD963" s="353">
        <f>BD962/$N$951*2</f>
        <v>0.25187290969899656</v>
      </c>
      <c r="BE963" s="353">
        <f>BE962/$N$951*2</f>
        <v>0.30404682274247485</v>
      </c>
      <c r="BF963" s="353">
        <f>BF962/$N$951</f>
        <v>0.27795986622073571</v>
      </c>
      <c r="BG963" s="353">
        <f>BG962/$N$951*2</f>
        <v>0.25187290969899656</v>
      </c>
      <c r="BH963" s="353">
        <f>BH962/$N$951*2</f>
        <v>0.30404682274247485</v>
      </c>
      <c r="BI963" s="353">
        <f>BI962/$N$951</f>
        <v>0.27795986622073571</v>
      </c>
      <c r="BJ963" s="353">
        <f>BJ962/$N$951*2</f>
        <v>0.25187290969899656</v>
      </c>
      <c r="BK963" s="353">
        <f>BK962/$N$951*2</f>
        <v>0.30404682274247485</v>
      </c>
      <c r="BL963" s="353">
        <f>BL962/$N$951</f>
        <v>0.27795986622073571</v>
      </c>
      <c r="BM963" s="353">
        <f>BM962/$N$951*2</f>
        <v>0.25187290969899656</v>
      </c>
      <c r="BN963" s="353">
        <f>BN962/$N$951*2</f>
        <v>0.30404682274247485</v>
      </c>
      <c r="BO963" s="353">
        <f>BO962/$N$951</f>
        <v>0.27795986622073571</v>
      </c>
      <c r="BP963" s="353">
        <f>BP962/$N$951*2</f>
        <v>0.25187290969899656</v>
      </c>
      <c r="BQ963" s="353">
        <f>BQ962/$N$951*2</f>
        <v>0.30404682274247485</v>
      </c>
      <c r="BR963" s="353">
        <f>BR962/$N$951</f>
        <v>0.27795986622073571</v>
      </c>
    </row>
    <row r="964" spans="2:70" outlineLevel="2">
      <c r="B964" s="5"/>
      <c r="C964" s="84" t="s">
        <v>57</v>
      </c>
      <c r="D964" s="7" t="s">
        <v>85</v>
      </c>
      <c r="E964" s="7"/>
      <c r="F964" s="7"/>
      <c r="G964" s="7"/>
      <c r="H964" s="7"/>
      <c r="I964" s="7"/>
      <c r="J964" s="7"/>
      <c r="K964" s="7"/>
      <c r="L964" s="7"/>
      <c r="M964" s="7"/>
      <c r="N964" s="774">
        <f>N962/Q259</f>
        <v>25.08367879871107</v>
      </c>
      <c r="O964" s="7"/>
      <c r="R964" s="156">
        <f t="shared" ref="R964:AW964" si="4091">R962/R259</f>
        <v>4.814316391526587</v>
      </c>
      <c r="S964" s="156">
        <f t="shared" si="4091"/>
        <v>4.8864605196999999</v>
      </c>
      <c r="T964" s="156">
        <f t="shared" si="4091"/>
        <v>7.0606953806502739</v>
      </c>
      <c r="U964" s="156">
        <f t="shared" si="4091"/>
        <v>10.573765000530994</v>
      </c>
      <c r="V964" s="156">
        <f t="shared" si="4091"/>
        <v>17.66085114739381</v>
      </c>
      <c r="W964" s="156">
        <f t="shared" si="4091"/>
        <v>9.4076569106637145</v>
      </c>
      <c r="X964" s="156">
        <f t="shared" si="4091"/>
        <v>15.990550794592265</v>
      </c>
      <c r="Y964" s="156">
        <f t="shared" si="4091"/>
        <v>24.931727409383672</v>
      </c>
      <c r="Z964" s="156">
        <f t="shared" si="4091"/>
        <v>13.125195456717192</v>
      </c>
      <c r="AA964" s="156">
        <f t="shared" si="4091"/>
        <v>15.676539131766912</v>
      </c>
      <c r="AB964" s="156">
        <f t="shared" si="4091"/>
        <v>28.806482338933716</v>
      </c>
      <c r="AC964" s="156">
        <f t="shared" si="4091"/>
        <v>13.201381728191375</v>
      </c>
      <c r="AD964" s="156">
        <f t="shared" si="4091"/>
        <v>16.150330535806557</v>
      </c>
      <c r="AE964" s="157">
        <f t="shared" si="4091"/>
        <v>29.34761545152994</v>
      </c>
      <c r="AF964" s="157">
        <f t="shared" si="4091"/>
        <v>12.314668308002478</v>
      </c>
      <c r="AG964" s="1031">
        <f t="shared" si="4091"/>
        <v>14.753326841934433</v>
      </c>
      <c r="AH964" s="156">
        <f t="shared" si="4091"/>
        <v>27.07723709635539</v>
      </c>
      <c r="AI964" s="156">
        <f t="shared" si="4091"/>
        <v>12.648639570036947</v>
      </c>
      <c r="AJ964" s="156">
        <f t="shared" si="4091"/>
        <v>14.448506039415127</v>
      </c>
      <c r="AK964" s="156">
        <f t="shared" si="4091"/>
        <v>27.146823452555932</v>
      </c>
      <c r="AL964" s="156">
        <f t="shared" si="4091"/>
        <v>11.586153846153843</v>
      </c>
      <c r="AM964" s="156">
        <f t="shared" si="4091"/>
        <v>13.986153846153844</v>
      </c>
      <c r="AN964" s="156">
        <f t="shared" si="4091"/>
        <v>25.572307692307685</v>
      </c>
      <c r="AO964" s="156">
        <f t="shared" si="4091"/>
        <v>11.586153846153843</v>
      </c>
      <c r="AP964" s="156">
        <f t="shared" si="4091"/>
        <v>13.986153846153844</v>
      </c>
      <c r="AQ964" s="156">
        <f t="shared" si="4091"/>
        <v>25.572307692307685</v>
      </c>
      <c r="AR964" s="156">
        <f t="shared" si="4091"/>
        <v>11.586153846153843</v>
      </c>
      <c r="AS964" s="156">
        <f t="shared" si="4091"/>
        <v>13.986153846153844</v>
      </c>
      <c r="AT964" s="156">
        <f t="shared" si="4091"/>
        <v>25.572307692307685</v>
      </c>
      <c r="AU964" s="156">
        <f t="shared" si="4091"/>
        <v>11.586153846153843</v>
      </c>
      <c r="AV964" s="156">
        <f t="shared" si="4091"/>
        <v>13.986153846153844</v>
      </c>
      <c r="AW964" s="156">
        <f t="shared" si="4091"/>
        <v>25.572307692307685</v>
      </c>
      <c r="AX964" s="156">
        <f t="shared" ref="AX964:BR964" si="4092">AX962/AX259</f>
        <v>11.586153846153843</v>
      </c>
      <c r="AY964" s="156">
        <f t="shared" si="4092"/>
        <v>13.986153846153844</v>
      </c>
      <c r="AZ964" s="156">
        <f t="shared" si="4092"/>
        <v>25.572307692307685</v>
      </c>
      <c r="BA964" s="156">
        <f t="shared" si="4092"/>
        <v>11.586153846153843</v>
      </c>
      <c r="BB964" s="156">
        <f t="shared" si="4092"/>
        <v>13.986153846153844</v>
      </c>
      <c r="BC964" s="156">
        <f t="shared" si="4092"/>
        <v>25.572307692307685</v>
      </c>
      <c r="BD964" s="156">
        <f t="shared" si="4092"/>
        <v>11.586153846153843</v>
      </c>
      <c r="BE964" s="156">
        <f t="shared" si="4092"/>
        <v>13.986153846153844</v>
      </c>
      <c r="BF964" s="156">
        <f t="shared" si="4092"/>
        <v>25.572307692307685</v>
      </c>
      <c r="BG964" s="156">
        <f t="shared" si="4092"/>
        <v>11.586153846153843</v>
      </c>
      <c r="BH964" s="156">
        <f t="shared" si="4092"/>
        <v>13.986153846153844</v>
      </c>
      <c r="BI964" s="156">
        <f t="shared" si="4092"/>
        <v>25.572307692307685</v>
      </c>
      <c r="BJ964" s="156">
        <f t="shared" si="4092"/>
        <v>11.586153846153843</v>
      </c>
      <c r="BK964" s="156">
        <f t="shared" si="4092"/>
        <v>13.986153846153844</v>
      </c>
      <c r="BL964" s="156">
        <f t="shared" si="4092"/>
        <v>25.572307692307685</v>
      </c>
      <c r="BM964" s="156">
        <f t="shared" si="4092"/>
        <v>11.586153846153843</v>
      </c>
      <c r="BN964" s="156">
        <f t="shared" si="4092"/>
        <v>13.986153846153844</v>
      </c>
      <c r="BO964" s="156">
        <f t="shared" si="4092"/>
        <v>25.572307692307685</v>
      </c>
      <c r="BP964" s="156">
        <f t="shared" si="4092"/>
        <v>11.586153846153843</v>
      </c>
      <c r="BQ964" s="156">
        <f t="shared" si="4092"/>
        <v>13.986153846153844</v>
      </c>
      <c r="BR964" s="156">
        <f t="shared" si="4092"/>
        <v>25.572307692307685</v>
      </c>
    </row>
    <row r="965" spans="2:70" outlineLevel="2">
      <c r="B965" s="5"/>
      <c r="C965" s="511" t="s">
        <v>267</v>
      </c>
      <c r="D965" s="512" t="s">
        <v>85</v>
      </c>
      <c r="E965" s="512"/>
      <c r="F965" s="512"/>
      <c r="G965" s="512"/>
      <c r="H965" s="512"/>
      <c r="I965" s="512"/>
      <c r="J965" s="512"/>
      <c r="K965" s="512"/>
      <c r="L965" s="512"/>
      <c r="M965" s="512"/>
      <c r="N965" s="512"/>
      <c r="O965" s="512"/>
      <c r="P965" s="513"/>
      <c r="Q965" s="513"/>
      <c r="R965" s="748">
        <f>(R953-O953)/R$259</f>
        <v>31.984791114664574</v>
      </c>
      <c r="S965" s="748">
        <f>SUM(Q965:R965)</f>
        <v>31.984791114664574</v>
      </c>
      <c r="T965" s="748">
        <f>(T953-Q953)/T$259</f>
        <v>46.909020618556696</v>
      </c>
      <c r="U965" s="748">
        <f>(U953-R953)/U$259</f>
        <v>15.332029452370001</v>
      </c>
      <c r="V965" s="748">
        <f>SUM(T965:U965)</f>
        <v>62.241050070926697</v>
      </c>
      <c r="W965" s="748">
        <f t="shared" ref="W965:X965" si="4093">(W953-T953)/W$259</f>
        <v>0</v>
      </c>
      <c r="X965" s="748">
        <f t="shared" si="4093"/>
        <v>0</v>
      </c>
      <c r="Y965" s="748">
        <f>SUM(W965:X965)</f>
        <v>0</v>
      </c>
      <c r="Z965" s="748">
        <f t="shared" ref="Z965" si="4094">(Z953-W953)/Z$259</f>
        <v>0</v>
      </c>
      <c r="AA965" s="748">
        <f t="shared" ref="AA965" si="4095">(AA953-X953)/AA$259</f>
        <v>0</v>
      </c>
      <c r="AB965" s="748">
        <f t="shared" ref="AB965:AB967" si="4096">SUM(Z965:AA965)</f>
        <v>0</v>
      </c>
      <c r="AC965" s="748">
        <f t="shared" ref="AC965" si="4097">(AC953-Z953)/AC$259</f>
        <v>0</v>
      </c>
      <c r="AD965" s="748">
        <f t="shared" ref="AD965" si="4098">(AD953-AA953)/AD$259</f>
        <v>0</v>
      </c>
      <c r="AE965" s="748">
        <f t="shared" ref="AE965:AE967" si="4099">SUM(AC965:AD965)</f>
        <v>0</v>
      </c>
      <c r="AF965" s="748">
        <f t="shared" ref="AF965" si="4100">(AF953-AC953)/AF$259</f>
        <v>0</v>
      </c>
      <c r="AG965" s="1033">
        <f t="shared" ref="AG965" si="4101">(AG953-AD953)/AG$259</f>
        <v>0</v>
      </c>
      <c r="AH965" s="748">
        <f t="shared" ref="AH965:AH967" si="4102">SUM(AF965:AG965)</f>
        <v>0</v>
      </c>
      <c r="AI965" s="748">
        <f t="shared" ref="AI965" si="4103">(AI953-AF953)/AI$259</f>
        <v>0</v>
      </c>
      <c r="AJ965" s="748">
        <f t="shared" ref="AJ965" si="4104">(AJ953-AG953)/AJ$259</f>
        <v>0</v>
      </c>
      <c r="AK965" s="748">
        <f t="shared" ref="AK965:AK967" si="4105">SUM(AI965:AJ965)</f>
        <v>0</v>
      </c>
      <c r="AL965" s="748">
        <f t="shared" ref="AL965" si="4106">(AL953-AI953)/AL$259</f>
        <v>0</v>
      </c>
      <c r="AM965" s="748">
        <f t="shared" ref="AM965" si="4107">(AM953-AJ953)/AM$259</f>
        <v>0</v>
      </c>
      <c r="AN965" s="748">
        <f t="shared" ref="AN965:AN967" si="4108">SUM(AL965:AM965)</f>
        <v>0</v>
      </c>
      <c r="AO965" s="748">
        <f t="shared" ref="AO965" si="4109">(AO953-AL953)/AO$259</f>
        <v>0</v>
      </c>
      <c r="AP965" s="748">
        <f t="shared" ref="AP965" si="4110">(AP953-AM953)/AP$259</f>
        <v>0</v>
      </c>
      <c r="AQ965" s="748">
        <f t="shared" ref="AQ965:AQ967" si="4111">SUM(AO965:AP965)</f>
        <v>0</v>
      </c>
      <c r="AR965" s="748">
        <f t="shared" ref="AR965" si="4112">(AR953-AO953)/AR$259</f>
        <v>0</v>
      </c>
      <c r="AS965" s="748">
        <f t="shared" ref="AS965" si="4113">(AS953-AP953)/AS$259</f>
        <v>0</v>
      </c>
      <c r="AT965" s="748">
        <f t="shared" ref="AT965:AT967" si="4114">SUM(AR965:AS965)</f>
        <v>0</v>
      </c>
      <c r="AU965" s="748">
        <f t="shared" ref="AU965" si="4115">(AU953-AR953)/AU$259</f>
        <v>0</v>
      </c>
      <c r="AV965" s="748">
        <f t="shared" ref="AV965" si="4116">(AV953-AS953)/AV$259</f>
        <v>0</v>
      </c>
      <c r="AW965" s="748">
        <f t="shared" ref="AW965:AW967" si="4117">SUM(AU965:AV965)</f>
        <v>0</v>
      </c>
      <c r="AX965" s="748">
        <f t="shared" ref="AX965" si="4118">(AX953-AU953)/AX$259</f>
        <v>0</v>
      </c>
      <c r="AY965" s="748">
        <f t="shared" ref="AY965" si="4119">(AY953-AV953)/AY$259</f>
        <v>0</v>
      </c>
      <c r="AZ965" s="748">
        <f t="shared" ref="AZ965:AZ967" si="4120">SUM(AX965:AY965)</f>
        <v>0</v>
      </c>
      <c r="BA965" s="748">
        <f t="shared" ref="BA965" si="4121">(BA953-AX953)/BA$259</f>
        <v>0</v>
      </c>
      <c r="BB965" s="748">
        <f t="shared" ref="BB965" si="4122">(BB953-AY953)/BB$259</f>
        <v>0</v>
      </c>
      <c r="BC965" s="748">
        <f t="shared" ref="BC965:BC967" si="4123">SUM(BA965:BB965)</f>
        <v>0</v>
      </c>
      <c r="BD965" s="748">
        <f t="shared" ref="BD965" si="4124">(BD953-BA953)/BD$259</f>
        <v>0</v>
      </c>
      <c r="BE965" s="748">
        <f t="shared" ref="BE965" si="4125">(BE953-BB953)/BE$259</f>
        <v>0</v>
      </c>
      <c r="BF965" s="748">
        <f t="shared" ref="BF965:BF967" si="4126">SUM(BD965:BE965)</f>
        <v>0</v>
      </c>
      <c r="BG965" s="748">
        <f t="shared" ref="BG965" si="4127">(BG953-BD953)/BG$259</f>
        <v>0</v>
      </c>
      <c r="BH965" s="748">
        <f t="shared" ref="BH965" si="4128">(BH953-BE953)/BH$259</f>
        <v>0</v>
      </c>
      <c r="BI965" s="748">
        <f t="shared" ref="BI965:BI967" si="4129">SUM(BG965:BH965)</f>
        <v>0</v>
      </c>
      <c r="BJ965" s="748">
        <f t="shared" ref="BJ965" si="4130">(BJ953-BG953)/BJ$259</f>
        <v>0</v>
      </c>
      <c r="BK965" s="748">
        <f t="shared" ref="BK965" si="4131">(BK953-BH953)/BK$259</f>
        <v>0</v>
      </c>
      <c r="BL965" s="748">
        <f t="shared" ref="BL965:BL967" si="4132">SUM(BJ965:BK965)</f>
        <v>0</v>
      </c>
      <c r="BM965" s="748">
        <f t="shared" ref="BM965" si="4133">(BM953-BJ953)/BM$259</f>
        <v>0</v>
      </c>
      <c r="BN965" s="748">
        <f t="shared" ref="BN965" si="4134">(BN953-BK953)/BN$259</f>
        <v>0</v>
      </c>
      <c r="BO965" s="748">
        <f t="shared" ref="BO965:BO967" si="4135">SUM(BM965:BN965)</f>
        <v>0</v>
      </c>
      <c r="BP965" s="748">
        <f t="shared" ref="BP965" si="4136">(BP953-BM953)/BP$259</f>
        <v>0</v>
      </c>
      <c r="BQ965" s="748">
        <f t="shared" ref="BQ965" si="4137">(BQ953-BN953)/BQ$259</f>
        <v>0</v>
      </c>
      <c r="BR965" s="787">
        <f t="shared" ref="BR965:BR967" si="4138">SUM(BP965:BQ965)</f>
        <v>0</v>
      </c>
    </row>
    <row r="966" spans="2:70" outlineLevel="2">
      <c r="B966" s="5"/>
      <c r="C966" s="516" t="s">
        <v>268</v>
      </c>
      <c r="D966" s="401" t="s">
        <v>85</v>
      </c>
      <c r="E966" s="401"/>
      <c r="F966" s="401"/>
      <c r="G966" s="401"/>
      <c r="H966" s="401"/>
      <c r="I966" s="401"/>
      <c r="J966" s="401"/>
      <c r="K966" s="401"/>
      <c r="L966" s="401"/>
      <c r="M966" s="401"/>
      <c r="N966" s="401"/>
      <c r="O966" s="401"/>
      <c r="P966" s="130"/>
      <c r="Q966" s="130"/>
      <c r="R966" s="360">
        <f>(R956-O956)*R$259</f>
        <v>-1.3787803034855768</v>
      </c>
      <c r="S966" s="360">
        <f>SUM(Q966:R966)</f>
        <v>-1.3787803034855768</v>
      </c>
      <c r="T966" s="360">
        <f>(T956-Q956)*T$259</f>
        <v>-2.1152647975077885</v>
      </c>
      <c r="U966" s="360">
        <f>(U956-R956)/U$259</f>
        <v>-0.3833007363092501</v>
      </c>
      <c r="V966" s="360">
        <f t="shared" ref="V966:V967" si="4139">SUM(T966:U966)</f>
        <v>-2.4985655338170387</v>
      </c>
      <c r="W966" s="360">
        <f t="shared" ref="W966:X966" si="4140">(W956-T956)/W$259</f>
        <v>0</v>
      </c>
      <c r="X966" s="360">
        <f t="shared" si="4140"/>
        <v>0</v>
      </c>
      <c r="Y966" s="360">
        <f t="shared" ref="Y966:Y967" si="4141">SUM(W966:X966)</f>
        <v>0</v>
      </c>
      <c r="Z966" s="360">
        <f t="shared" ref="Z966" si="4142">(Z956-W956)/Z$259</f>
        <v>0</v>
      </c>
      <c r="AA966" s="360">
        <f t="shared" ref="AA966" si="4143">(AA956-X956)/AA$259</f>
        <v>0</v>
      </c>
      <c r="AB966" s="360">
        <f t="shared" si="4096"/>
        <v>0</v>
      </c>
      <c r="AC966" s="360">
        <f t="shared" ref="AC966" si="4144">(AC956-Z956)/AC$259</f>
        <v>0</v>
      </c>
      <c r="AD966" s="360">
        <f t="shared" ref="AD966" si="4145">(AD956-AA956)/AD$259</f>
        <v>0</v>
      </c>
      <c r="AE966" s="360">
        <f t="shared" si="4099"/>
        <v>0</v>
      </c>
      <c r="AF966" s="360">
        <f t="shared" ref="AF966" si="4146">(AF956-AC956)/AF$259</f>
        <v>0</v>
      </c>
      <c r="AG966" s="942">
        <f t="shared" ref="AG966" si="4147">(AG956-AD956)/AG$259</f>
        <v>0</v>
      </c>
      <c r="AH966" s="360">
        <f t="shared" si="4102"/>
        <v>0</v>
      </c>
      <c r="AI966" s="360">
        <f t="shared" ref="AI966" si="4148">(AI956-AF956)/AI$259</f>
        <v>0</v>
      </c>
      <c r="AJ966" s="360">
        <f t="shared" ref="AJ966" si="4149">(AJ956-AG956)/AJ$259</f>
        <v>0</v>
      </c>
      <c r="AK966" s="360">
        <f t="shared" si="4105"/>
        <v>0</v>
      </c>
      <c r="AL966" s="360">
        <f t="shared" ref="AL966" si="4150">(AL956-AI956)/AL$259</f>
        <v>0</v>
      </c>
      <c r="AM966" s="360">
        <f t="shared" ref="AM966" si="4151">(AM956-AJ956)/AM$259</f>
        <v>0</v>
      </c>
      <c r="AN966" s="360">
        <f t="shared" si="4108"/>
        <v>0</v>
      </c>
      <c r="AO966" s="360">
        <f t="shared" ref="AO966" si="4152">(AO956-AL956)/AO$259</f>
        <v>0</v>
      </c>
      <c r="AP966" s="360">
        <f t="shared" ref="AP966" si="4153">(AP956-AM956)/AP$259</f>
        <v>0</v>
      </c>
      <c r="AQ966" s="360">
        <f t="shared" si="4111"/>
        <v>0</v>
      </c>
      <c r="AR966" s="360">
        <f t="shared" ref="AR966" si="4154">(AR956-AO956)/AR$259</f>
        <v>0</v>
      </c>
      <c r="AS966" s="360">
        <f t="shared" ref="AS966" si="4155">(AS956-AP956)/AS$259</f>
        <v>0</v>
      </c>
      <c r="AT966" s="360">
        <f t="shared" si="4114"/>
        <v>0</v>
      </c>
      <c r="AU966" s="360">
        <f t="shared" ref="AU966" si="4156">(AU956-AR956)/AU$259</f>
        <v>0</v>
      </c>
      <c r="AV966" s="360">
        <f t="shared" ref="AV966" si="4157">(AV956-AS956)/AV$259</f>
        <v>0</v>
      </c>
      <c r="AW966" s="360">
        <f t="shared" si="4117"/>
        <v>0</v>
      </c>
      <c r="AX966" s="360">
        <f t="shared" ref="AX966" si="4158">(AX956-AU956)/AX$259</f>
        <v>0</v>
      </c>
      <c r="AY966" s="360">
        <f t="shared" ref="AY966" si="4159">(AY956-AV956)/AY$259</f>
        <v>0</v>
      </c>
      <c r="AZ966" s="360">
        <f t="shared" si="4120"/>
        <v>0</v>
      </c>
      <c r="BA966" s="360">
        <f t="shared" ref="BA966" si="4160">(BA956-AX956)/BA$259</f>
        <v>0</v>
      </c>
      <c r="BB966" s="360">
        <f t="shared" ref="BB966" si="4161">(BB956-AY956)/BB$259</f>
        <v>0</v>
      </c>
      <c r="BC966" s="360">
        <f t="shared" si="4123"/>
        <v>0</v>
      </c>
      <c r="BD966" s="360">
        <f t="shared" ref="BD966" si="4162">(BD956-BA956)/BD$259</f>
        <v>0</v>
      </c>
      <c r="BE966" s="360">
        <f t="shared" ref="BE966" si="4163">(BE956-BB956)/BE$259</f>
        <v>0</v>
      </c>
      <c r="BF966" s="360">
        <f t="shared" si="4126"/>
        <v>0</v>
      </c>
      <c r="BG966" s="360">
        <f t="shared" ref="BG966" si="4164">(BG956-BD956)/BG$259</f>
        <v>0</v>
      </c>
      <c r="BH966" s="360">
        <f t="shared" ref="BH966" si="4165">(BH956-BE956)/BH$259</f>
        <v>0</v>
      </c>
      <c r="BI966" s="360">
        <f t="shared" si="4129"/>
        <v>0</v>
      </c>
      <c r="BJ966" s="360">
        <f t="shared" ref="BJ966" si="4166">(BJ956-BG956)/BJ$259</f>
        <v>0</v>
      </c>
      <c r="BK966" s="360">
        <f t="shared" ref="BK966" si="4167">(BK956-BH956)/BK$259</f>
        <v>0</v>
      </c>
      <c r="BL966" s="360">
        <f t="shared" si="4132"/>
        <v>0</v>
      </c>
      <c r="BM966" s="360">
        <f t="shared" ref="BM966" si="4168">(BM956-BJ956)/BM$259</f>
        <v>0</v>
      </c>
      <c r="BN966" s="360">
        <f t="shared" ref="BN966" si="4169">(BN956-BK956)/BN$259</f>
        <v>0</v>
      </c>
      <c r="BO966" s="360">
        <f t="shared" si="4135"/>
        <v>0</v>
      </c>
      <c r="BP966" s="360">
        <f t="shared" ref="BP966" si="4170">(BP956-BM956)/BP$259</f>
        <v>0</v>
      </c>
      <c r="BQ966" s="360">
        <f t="shared" ref="BQ966" si="4171">(BQ956-BN956)/BQ$259</f>
        <v>0</v>
      </c>
      <c r="BR966" s="788">
        <f t="shared" si="4138"/>
        <v>0</v>
      </c>
    </row>
    <row r="967" spans="2:70" outlineLevel="2">
      <c r="B967" s="5"/>
      <c r="C967" s="518" t="s">
        <v>269</v>
      </c>
      <c r="D967" s="519" t="s">
        <v>85</v>
      </c>
      <c r="E967" s="519"/>
      <c r="F967" s="519"/>
      <c r="G967" s="519"/>
      <c r="H967" s="519"/>
      <c r="I967" s="519"/>
      <c r="J967" s="519"/>
      <c r="K967" s="519"/>
      <c r="L967" s="519"/>
      <c r="M967" s="519"/>
      <c r="N967" s="519"/>
      <c r="O967" s="519"/>
      <c r="P967" s="520"/>
      <c r="Q967" s="520"/>
      <c r="R967" s="749">
        <f>(R962-O962)*R$263</f>
        <v>0.77806907469643727</v>
      </c>
      <c r="S967" s="749">
        <f t="shared" ref="S967" si="4172">SUM(Q967:R967)</f>
        <v>0.77806907469643727</v>
      </c>
      <c r="T967" s="749">
        <f>(T962-Q962)*T$263</f>
        <v>1.1558525492424236</v>
      </c>
      <c r="U967" s="749">
        <f>(U962-R962)/U$259</f>
        <v>5.9582438021404878</v>
      </c>
      <c r="V967" s="749">
        <f t="shared" si="4139"/>
        <v>7.1140963513829112</v>
      </c>
      <c r="W967" s="749">
        <f t="shared" ref="W967:X967" si="4173">(W962-T962)/W$259</f>
        <v>2.2609682299546141</v>
      </c>
      <c r="X967" s="749">
        <f t="shared" si="4173"/>
        <v>2.7439510768412645</v>
      </c>
      <c r="Y967" s="749">
        <f t="shared" si="4141"/>
        <v>5.0049193067958786</v>
      </c>
      <c r="Z967" s="749">
        <f t="shared" ref="Z967" si="4174">(Z962-W962)/Z$259</f>
        <v>1.8125352907961603</v>
      </c>
      <c r="AA967" s="749">
        <f t="shared" ref="AA967" si="4175">(AA962-X962)/AA$259</f>
        <v>0</v>
      </c>
      <c r="AB967" s="749">
        <f t="shared" si="4096"/>
        <v>1.8125352907961603</v>
      </c>
      <c r="AC967" s="749">
        <f t="shared" ref="AC967" si="4176">(AC962-Z962)/AC$259</f>
        <v>0</v>
      </c>
      <c r="AD967" s="749">
        <f t="shared" ref="AD967" si="4177">(AD962-AA962)/AD$259</f>
        <v>0</v>
      </c>
      <c r="AE967" s="749">
        <f t="shared" si="4099"/>
        <v>0</v>
      </c>
      <c r="AF967" s="749">
        <f t="shared" ref="AF967" si="4178">(AF962-AC962)/AF$259</f>
        <v>0</v>
      </c>
      <c r="AG967" s="1034">
        <f t="shared" ref="AG967" si="4179">(AG962-AD962)/AG$259</f>
        <v>0</v>
      </c>
      <c r="AH967" s="749">
        <f t="shared" si="4102"/>
        <v>0</v>
      </c>
      <c r="AI967" s="749">
        <f t="shared" ref="AI967" si="4180">(AI962-AF962)/AI$259</f>
        <v>0</v>
      </c>
      <c r="AJ967" s="749">
        <f t="shared" ref="AJ967" si="4181">(AJ962-AG962)/AJ$259</f>
        <v>0</v>
      </c>
      <c r="AK967" s="749">
        <f t="shared" si="4105"/>
        <v>0</v>
      </c>
      <c r="AL967" s="749">
        <f t="shared" ref="AL967" si="4182">(AL962-AI962)/AL$259</f>
        <v>0</v>
      </c>
      <c r="AM967" s="749">
        <f t="shared" ref="AM967" si="4183">(AM962-AJ962)/AM$259</f>
        <v>0</v>
      </c>
      <c r="AN967" s="749">
        <f t="shared" si="4108"/>
        <v>0</v>
      </c>
      <c r="AO967" s="749">
        <f t="shared" ref="AO967" si="4184">(AO962-AL962)/AO$259</f>
        <v>0</v>
      </c>
      <c r="AP967" s="749">
        <f t="shared" ref="AP967" si="4185">(AP962-AM962)/AP$259</f>
        <v>0</v>
      </c>
      <c r="AQ967" s="749">
        <f t="shared" si="4111"/>
        <v>0</v>
      </c>
      <c r="AR967" s="749">
        <f t="shared" ref="AR967" si="4186">(AR962-AO962)/AR$259</f>
        <v>0</v>
      </c>
      <c r="AS967" s="749">
        <f t="shared" ref="AS967" si="4187">(AS962-AP962)/AS$259</f>
        <v>0</v>
      </c>
      <c r="AT967" s="749">
        <f t="shared" si="4114"/>
        <v>0</v>
      </c>
      <c r="AU967" s="749">
        <f t="shared" ref="AU967" si="4188">(AU962-AR962)/AU$259</f>
        <v>0</v>
      </c>
      <c r="AV967" s="749">
        <f t="shared" ref="AV967" si="4189">(AV962-AS962)/AV$259</f>
        <v>0</v>
      </c>
      <c r="AW967" s="749">
        <f t="shared" si="4117"/>
        <v>0</v>
      </c>
      <c r="AX967" s="749">
        <f t="shared" ref="AX967" si="4190">(AX962-AU962)/AX$259</f>
        <v>0</v>
      </c>
      <c r="AY967" s="749">
        <f t="shared" ref="AY967" si="4191">(AY962-AV962)/AY$259</f>
        <v>0</v>
      </c>
      <c r="AZ967" s="749">
        <f t="shared" si="4120"/>
        <v>0</v>
      </c>
      <c r="BA967" s="749">
        <f t="shared" ref="BA967" si="4192">(BA962-AX962)/BA$259</f>
        <v>0</v>
      </c>
      <c r="BB967" s="749">
        <f t="shared" ref="BB967" si="4193">(BB962-AY962)/BB$259</f>
        <v>0</v>
      </c>
      <c r="BC967" s="749">
        <f t="shared" si="4123"/>
        <v>0</v>
      </c>
      <c r="BD967" s="749">
        <f t="shared" ref="BD967" si="4194">(BD962-BA962)/BD$259</f>
        <v>0</v>
      </c>
      <c r="BE967" s="749">
        <f t="shared" ref="BE967" si="4195">(BE962-BB962)/BE$259</f>
        <v>0</v>
      </c>
      <c r="BF967" s="749">
        <f t="shared" si="4126"/>
        <v>0</v>
      </c>
      <c r="BG967" s="749">
        <f t="shared" ref="BG967" si="4196">(BG962-BD962)/BG$259</f>
        <v>0</v>
      </c>
      <c r="BH967" s="749">
        <f t="shared" ref="BH967" si="4197">(BH962-BE962)/BH$259</f>
        <v>0</v>
      </c>
      <c r="BI967" s="749">
        <f t="shared" si="4129"/>
        <v>0</v>
      </c>
      <c r="BJ967" s="749">
        <f t="shared" ref="BJ967" si="4198">(BJ962-BG962)/BJ$259</f>
        <v>0</v>
      </c>
      <c r="BK967" s="749">
        <f t="shared" ref="BK967" si="4199">(BK962-BH962)/BK$259</f>
        <v>0</v>
      </c>
      <c r="BL967" s="749">
        <f t="shared" si="4132"/>
        <v>0</v>
      </c>
      <c r="BM967" s="749">
        <f t="shared" ref="BM967" si="4200">(BM962-BJ962)/BM$259</f>
        <v>0</v>
      </c>
      <c r="BN967" s="749">
        <f t="shared" ref="BN967" si="4201">(BN962-BK962)/BN$259</f>
        <v>0</v>
      </c>
      <c r="BO967" s="749">
        <f t="shared" si="4135"/>
        <v>0</v>
      </c>
      <c r="BP967" s="749">
        <f t="shared" ref="BP967" si="4202">(BP962-BM962)/BP$259</f>
        <v>0</v>
      </c>
      <c r="BQ967" s="749">
        <f t="shared" ref="BQ967" si="4203">(BQ962-BN962)/BQ$259</f>
        <v>0</v>
      </c>
      <c r="BR967" s="789">
        <f t="shared" si="4138"/>
        <v>0</v>
      </c>
    </row>
    <row r="968" spans="2:70" outlineLevel="2">
      <c r="B968" s="5"/>
      <c r="C968" s="9"/>
    </row>
    <row r="969" spans="2:70" outlineLevel="2">
      <c r="B969" s="5"/>
      <c r="C969" s="8" t="s">
        <v>515</v>
      </c>
      <c r="AF969" s="26"/>
      <c r="AG969" s="933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8"/>
      <c r="BC969" s="18"/>
      <c r="BD969" s="18"/>
      <c r="BE969" s="18"/>
      <c r="BF969" s="18"/>
      <c r="BG969" s="18"/>
      <c r="BH969" s="18"/>
      <c r="BI969" s="18"/>
      <c r="BJ969" s="18"/>
      <c r="BK969" s="18"/>
      <c r="BL969" s="18"/>
      <c r="BM969" s="18"/>
      <c r="BN969" s="18"/>
      <c r="BO969" s="18"/>
      <c r="BP969" s="18"/>
      <c r="BQ969" s="18"/>
      <c r="BR969" s="18"/>
    </row>
    <row r="970" spans="2:70" outlineLevel="2">
      <c r="B970" s="5"/>
      <c r="C970" s="9" t="s">
        <v>266</v>
      </c>
      <c r="D970" s="31"/>
      <c r="M970" s="763" t="s">
        <v>517</v>
      </c>
      <c r="Q970" s="130"/>
      <c r="AF970" s="26"/>
      <c r="AG970" s="933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8"/>
      <c r="BC970" s="18"/>
      <c r="BD970" s="18"/>
      <c r="BE970" s="18"/>
      <c r="BF970" s="18"/>
      <c r="BG970" s="18"/>
      <c r="BH970" s="18"/>
      <c r="BI970" s="18"/>
      <c r="BJ970" s="18"/>
      <c r="BK970" s="18"/>
      <c r="BL970" s="18"/>
      <c r="BM970" s="18"/>
      <c r="BN970" s="18"/>
      <c r="BO970" s="18"/>
      <c r="BP970" s="18"/>
      <c r="BQ970" s="18"/>
      <c r="BR970" s="18"/>
    </row>
    <row r="971" spans="2:70" outlineLevel="2">
      <c r="B971" s="5"/>
      <c r="C971" s="9" t="s">
        <v>262</v>
      </c>
      <c r="D971" s="74"/>
      <c r="M971" s="764">
        <v>41228</v>
      </c>
      <c r="Q971" s="357"/>
      <c r="AF971" s="26"/>
      <c r="AG971" s="933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8"/>
      <c r="BC971" s="18"/>
      <c r="BD971" s="18"/>
      <c r="BE971" s="18"/>
      <c r="BF971" s="18"/>
      <c r="BG971" s="18"/>
      <c r="BH971" s="18"/>
      <c r="BI971" s="18"/>
      <c r="BJ971" s="18"/>
      <c r="BK971" s="18"/>
      <c r="BL971" s="18"/>
      <c r="BM971" s="18"/>
      <c r="BN971" s="18"/>
      <c r="BO971" s="18"/>
      <c r="BP971" s="18"/>
      <c r="BQ971" s="18"/>
      <c r="BR971" s="18"/>
    </row>
    <row r="972" spans="2:70" outlineLevel="2">
      <c r="B972" s="5"/>
      <c r="C972" s="84" t="s">
        <v>72</v>
      </c>
      <c r="D972" s="31" t="s">
        <v>102</v>
      </c>
      <c r="M972" s="765">
        <v>20</v>
      </c>
      <c r="Q972" s="358"/>
      <c r="AF972" s="26"/>
      <c r="AG972" s="933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8"/>
      <c r="BC972" s="18"/>
      <c r="BD972" s="18"/>
      <c r="BE972" s="18"/>
      <c r="BF972" s="18"/>
      <c r="BG972" s="18"/>
      <c r="BH972" s="18"/>
      <c r="BI972" s="18"/>
      <c r="BJ972" s="18"/>
      <c r="BK972" s="18"/>
      <c r="BL972" s="18"/>
      <c r="BM972" s="18"/>
      <c r="BN972" s="18"/>
      <c r="BO972" s="18"/>
      <c r="BP972" s="18"/>
      <c r="BQ972" s="18"/>
      <c r="BR972" s="18"/>
    </row>
    <row r="973" spans="2:70" outlineLevel="2">
      <c r="B973" s="5"/>
      <c r="C973" s="84" t="s">
        <v>76</v>
      </c>
      <c r="D973" s="74" t="s">
        <v>77</v>
      </c>
      <c r="M973" s="766"/>
      <c r="Q973" s="27"/>
      <c r="AF973" s="26"/>
      <c r="AG973" s="933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8"/>
      <c r="BC973" s="18"/>
      <c r="BD973" s="18"/>
      <c r="BE973" s="18"/>
      <c r="BF973" s="18"/>
      <c r="BG973" s="18"/>
      <c r="BH973" s="18"/>
      <c r="BI973" s="18"/>
      <c r="BJ973" s="18"/>
      <c r="BK973" s="18"/>
      <c r="BL973" s="18"/>
      <c r="BM973" s="18"/>
      <c r="BN973" s="18"/>
      <c r="BO973" s="18"/>
      <c r="BP973" s="18"/>
      <c r="BQ973" s="18"/>
      <c r="BR973" s="18"/>
    </row>
    <row r="974" spans="2:70" outlineLevel="2">
      <c r="B974" s="5"/>
      <c r="C974" s="84" t="s">
        <v>55</v>
      </c>
      <c r="D974" s="31" t="s">
        <v>102</v>
      </c>
      <c r="M974" s="765">
        <v>20</v>
      </c>
      <c r="Q974" s="364">
        <f>M974*0.5*(1/6)</f>
        <v>1.6666666666666665</v>
      </c>
      <c r="R974" s="6">
        <f>M974*0.5</f>
        <v>10</v>
      </c>
      <c r="S974" s="167">
        <f>SUM(Q974:R974)</f>
        <v>11.666666666666666</v>
      </c>
      <c r="T974" s="149">
        <f>V974*0.5</f>
        <v>10</v>
      </c>
      <c r="U974" s="19">
        <f>V974*0.5</f>
        <v>10</v>
      </c>
      <c r="V974" s="389">
        <f>M974</f>
        <v>20</v>
      </c>
      <c r="W974" s="149">
        <f>Y974*0.5</f>
        <v>10</v>
      </c>
      <c r="X974" s="19">
        <f>Y974*0.5</f>
        <v>10</v>
      </c>
      <c r="Y974" s="389">
        <f>V974</f>
        <v>20</v>
      </c>
      <c r="Z974" s="149">
        <f>AB974*0.5</f>
        <v>10</v>
      </c>
      <c r="AA974" s="19">
        <f>AB974*0.5</f>
        <v>10</v>
      </c>
      <c r="AB974" s="389">
        <f>Y974</f>
        <v>20</v>
      </c>
      <c r="AC974" s="149">
        <f>AE974*0.5</f>
        <v>10</v>
      </c>
      <c r="AD974" s="19">
        <f>AE974*0.5</f>
        <v>10</v>
      </c>
      <c r="AE974" s="389">
        <f>AB974</f>
        <v>20</v>
      </c>
      <c r="AF974" s="149">
        <f>AH974*0.5</f>
        <v>10</v>
      </c>
      <c r="AG974" s="943">
        <f>AH974*0.5</f>
        <v>10</v>
      </c>
      <c r="AH974" s="389">
        <f>AE974</f>
        <v>20</v>
      </c>
      <c r="AI974" s="149">
        <f>AK974*0.5</f>
        <v>10</v>
      </c>
      <c r="AJ974" s="19">
        <f>AK974*0.5</f>
        <v>10</v>
      </c>
      <c r="AK974" s="389">
        <f>AH974</f>
        <v>20</v>
      </c>
      <c r="AL974" s="149">
        <f>AN974*0.5</f>
        <v>10</v>
      </c>
      <c r="AM974" s="19">
        <f>AN974*0.5</f>
        <v>10</v>
      </c>
      <c r="AN974" s="389">
        <f>AK974</f>
        <v>20</v>
      </c>
      <c r="AO974" s="149">
        <f>AQ974*0.5</f>
        <v>10</v>
      </c>
      <c r="AP974" s="19">
        <f>AQ974*0.5</f>
        <v>10</v>
      </c>
      <c r="AQ974" s="389">
        <f>AN974</f>
        <v>20</v>
      </c>
      <c r="AR974" s="149">
        <f>AT974*0.5</f>
        <v>10</v>
      </c>
      <c r="AS974" s="19">
        <f>AT974*0.5</f>
        <v>10</v>
      </c>
      <c r="AT974" s="389">
        <f>AQ974</f>
        <v>20</v>
      </c>
      <c r="AU974" s="149">
        <f>AW974*0.5</f>
        <v>10</v>
      </c>
      <c r="AV974" s="19">
        <f>AW974*0.5</f>
        <v>10</v>
      </c>
      <c r="AW974" s="389">
        <f>AT974</f>
        <v>20</v>
      </c>
      <c r="AX974" s="149">
        <f>AZ974*0.5</f>
        <v>10</v>
      </c>
      <c r="AY974" s="19">
        <f>AZ974*0.5</f>
        <v>10</v>
      </c>
      <c r="AZ974" s="389">
        <f>AW974</f>
        <v>20</v>
      </c>
      <c r="BA974" s="149">
        <f>BC974*0.5</f>
        <v>10</v>
      </c>
      <c r="BB974" s="19">
        <f>BC974*0.5</f>
        <v>10</v>
      </c>
      <c r="BC974" s="389">
        <f>AZ974</f>
        <v>20</v>
      </c>
      <c r="BD974" s="149">
        <f>BF974*0.5</f>
        <v>10</v>
      </c>
      <c r="BE974" s="19">
        <f>BF974*0.5</f>
        <v>10</v>
      </c>
      <c r="BF974" s="389">
        <f>BC974</f>
        <v>20</v>
      </c>
      <c r="BG974" s="149">
        <f>BI974*0.5</f>
        <v>10</v>
      </c>
      <c r="BH974" s="19">
        <f>BI974*0.5</f>
        <v>10</v>
      </c>
      <c r="BI974" s="389">
        <f>BF974</f>
        <v>20</v>
      </c>
      <c r="BJ974" s="149">
        <f>BL974*0.5</f>
        <v>10</v>
      </c>
      <c r="BK974" s="19">
        <f>BL974*0.5</f>
        <v>10</v>
      </c>
      <c r="BL974" s="389">
        <f>BI974</f>
        <v>20</v>
      </c>
      <c r="BM974" s="149">
        <f>BO974*0.5</f>
        <v>10</v>
      </c>
      <c r="BN974" s="19">
        <f>BO974*0.5</f>
        <v>10</v>
      </c>
      <c r="BO974" s="389">
        <f>BL974</f>
        <v>20</v>
      </c>
      <c r="BP974" s="149">
        <f>BR974*0.5</f>
        <v>10</v>
      </c>
      <c r="BQ974" s="19">
        <f>BR974*0.5</f>
        <v>10</v>
      </c>
      <c r="BR974" s="389">
        <f>BO974</f>
        <v>20</v>
      </c>
    </row>
    <row r="975" spans="2:70" outlineLevel="2">
      <c r="B975" s="5"/>
      <c r="C975" s="84" t="s">
        <v>56</v>
      </c>
      <c r="D975" s="31" t="s">
        <v>102</v>
      </c>
      <c r="M975" s="767">
        <f>M978-M977</f>
        <v>3.6</v>
      </c>
      <c r="Q975" s="364">
        <f>M975*0.5*(1/6)</f>
        <v>0.3</v>
      </c>
      <c r="R975" s="6">
        <f>M975*0.5</f>
        <v>1.8</v>
      </c>
      <c r="S975" s="175">
        <f>SUM(Q975:R975)</f>
        <v>2.1</v>
      </c>
      <c r="T975" s="391">
        <f>V975*0.5</f>
        <v>1.8000000000000003</v>
      </c>
      <c r="U975" s="338">
        <f>V975*0.5</f>
        <v>1.8000000000000003</v>
      </c>
      <c r="V975" s="175">
        <f>V974*V976</f>
        <v>3.6000000000000005</v>
      </c>
      <c r="W975" s="391">
        <f>Y975*0.5</f>
        <v>1.8000000000000003</v>
      </c>
      <c r="X975" s="338">
        <f>Y975*0.5</f>
        <v>1.8000000000000003</v>
      </c>
      <c r="Y975" s="175">
        <f>Y974*Y976</f>
        <v>3.6000000000000005</v>
      </c>
      <c r="Z975" s="391">
        <f>AB975*0.5</f>
        <v>1.8000000000000003</v>
      </c>
      <c r="AA975" s="338">
        <f>AB975*0.5</f>
        <v>1.8000000000000003</v>
      </c>
      <c r="AB975" s="175">
        <f>AB974*AB976</f>
        <v>3.6000000000000005</v>
      </c>
      <c r="AC975" s="391">
        <f>AE975*0.5</f>
        <v>1.8000000000000003</v>
      </c>
      <c r="AD975" s="338">
        <f>AE975*0.5</f>
        <v>1.8000000000000003</v>
      </c>
      <c r="AE975" s="175">
        <f>AE974*AE976</f>
        <v>3.6000000000000005</v>
      </c>
      <c r="AF975" s="391">
        <f>AH975*0.5</f>
        <v>1.8000000000000003</v>
      </c>
      <c r="AG975" s="952">
        <f>AH975*0.5</f>
        <v>1.8000000000000003</v>
      </c>
      <c r="AH975" s="175">
        <f>AH974*AH976</f>
        <v>3.6000000000000005</v>
      </c>
      <c r="AI975" s="391">
        <f>AK975*0.5</f>
        <v>1.8000000000000003</v>
      </c>
      <c r="AJ975" s="338">
        <f>AK975*0.5</f>
        <v>1.8000000000000003</v>
      </c>
      <c r="AK975" s="175">
        <f>AK974*AK976</f>
        <v>3.6000000000000005</v>
      </c>
      <c r="AL975" s="391">
        <f>AN975*0.5</f>
        <v>1.8000000000000003</v>
      </c>
      <c r="AM975" s="338">
        <f>AN975*0.5</f>
        <v>1.8000000000000003</v>
      </c>
      <c r="AN975" s="175">
        <f>AN974*AN976</f>
        <v>3.6000000000000005</v>
      </c>
      <c r="AO975" s="391">
        <f>AQ975*0.5</f>
        <v>1.8000000000000003</v>
      </c>
      <c r="AP975" s="338">
        <f>AQ975*0.5</f>
        <v>1.8000000000000003</v>
      </c>
      <c r="AQ975" s="175">
        <f>AQ974*AQ976</f>
        <v>3.6000000000000005</v>
      </c>
      <c r="AR975" s="391">
        <f>AT975*0.5</f>
        <v>1.8000000000000003</v>
      </c>
      <c r="AS975" s="338">
        <f>AT975*0.5</f>
        <v>1.8000000000000003</v>
      </c>
      <c r="AT975" s="175">
        <f>AT974*AT976</f>
        <v>3.6000000000000005</v>
      </c>
      <c r="AU975" s="391">
        <f>AW975*0.5</f>
        <v>1.8000000000000003</v>
      </c>
      <c r="AV975" s="338">
        <f>AW975*0.5</f>
        <v>1.8000000000000003</v>
      </c>
      <c r="AW975" s="175">
        <f>AW974*AW976</f>
        <v>3.6000000000000005</v>
      </c>
      <c r="AX975" s="391">
        <f>AZ975*0.5</f>
        <v>1.8000000000000003</v>
      </c>
      <c r="AY975" s="338">
        <f>AZ975*0.5</f>
        <v>1.8000000000000003</v>
      </c>
      <c r="AZ975" s="175">
        <f>AZ974*AZ976</f>
        <v>3.6000000000000005</v>
      </c>
      <c r="BA975" s="391">
        <f>BC975*0.5</f>
        <v>1.8000000000000003</v>
      </c>
      <c r="BB975" s="338">
        <f>BC975*0.5</f>
        <v>1.8000000000000003</v>
      </c>
      <c r="BC975" s="175">
        <f>BC974*BC976</f>
        <v>3.6000000000000005</v>
      </c>
      <c r="BD975" s="391">
        <f>BF975*0.5</f>
        <v>1.8000000000000003</v>
      </c>
      <c r="BE975" s="338">
        <f>BF975*0.5</f>
        <v>1.8000000000000003</v>
      </c>
      <c r="BF975" s="175">
        <f>BF974*BF976</f>
        <v>3.6000000000000005</v>
      </c>
      <c r="BG975" s="391">
        <f>BI975*0.5</f>
        <v>1.8000000000000003</v>
      </c>
      <c r="BH975" s="338">
        <f>BI975*0.5</f>
        <v>1.8000000000000003</v>
      </c>
      <c r="BI975" s="175">
        <f>BI974*BI976</f>
        <v>3.6000000000000005</v>
      </c>
      <c r="BJ975" s="391">
        <f>BL975*0.5</f>
        <v>1.8000000000000003</v>
      </c>
      <c r="BK975" s="338">
        <f>BL975*0.5</f>
        <v>1.8000000000000003</v>
      </c>
      <c r="BL975" s="175">
        <f>BL974*BL976</f>
        <v>3.6000000000000005</v>
      </c>
      <c r="BM975" s="391">
        <f>BO975*0.5</f>
        <v>1.8000000000000003</v>
      </c>
      <c r="BN975" s="338">
        <f>BO975*0.5</f>
        <v>1.8000000000000003</v>
      </c>
      <c r="BO975" s="175">
        <f>BO974*BO976</f>
        <v>3.6000000000000005</v>
      </c>
      <c r="BP975" s="391">
        <f>BR975*0.5</f>
        <v>1.8000000000000003</v>
      </c>
      <c r="BQ975" s="338">
        <f>BR975*0.5</f>
        <v>1.8000000000000003</v>
      </c>
      <c r="BR975" s="175">
        <f>BR974*BR976</f>
        <v>3.6000000000000005</v>
      </c>
    </row>
    <row r="976" spans="2:70" outlineLevel="2">
      <c r="B976" s="5"/>
      <c r="C976" s="84" t="s">
        <v>73</v>
      </c>
      <c r="D976" s="31" t="s">
        <v>66</v>
      </c>
      <c r="M976" s="768">
        <f>M975/M974</f>
        <v>0.18</v>
      </c>
      <c r="Q976" s="133">
        <f t="shared" ref="Q976:U976" si="4204">Q975/Q974</f>
        <v>0.18000000000000002</v>
      </c>
      <c r="R976" s="133">
        <f t="shared" si="4204"/>
        <v>0.18</v>
      </c>
      <c r="S976" s="133">
        <f t="shared" si="4204"/>
        <v>0.18000000000000002</v>
      </c>
      <c r="T976" s="133">
        <f t="shared" si="4204"/>
        <v>0.18000000000000002</v>
      </c>
      <c r="U976" s="133">
        <f t="shared" si="4204"/>
        <v>0.18000000000000002</v>
      </c>
      <c r="V976" s="133">
        <f>S976</f>
        <v>0.18000000000000002</v>
      </c>
      <c r="W976" s="133">
        <f>W975/W974</f>
        <v>0.18000000000000002</v>
      </c>
      <c r="X976" s="133">
        <f>X975/X974</f>
        <v>0.18000000000000002</v>
      </c>
      <c r="Y976" s="133">
        <f>V976</f>
        <v>0.18000000000000002</v>
      </c>
      <c r="Z976" s="133">
        <f>Z975/Z974</f>
        <v>0.18000000000000002</v>
      </c>
      <c r="AA976" s="133">
        <f>AA975/AA974</f>
        <v>0.18000000000000002</v>
      </c>
      <c r="AB976" s="133">
        <f t="shared" ref="AB976" si="4205">Y976</f>
        <v>0.18000000000000002</v>
      </c>
      <c r="AC976" s="133">
        <f>AC975/AC974</f>
        <v>0.18000000000000002</v>
      </c>
      <c r="AD976" s="133">
        <f>AD975/AD974</f>
        <v>0.18000000000000002</v>
      </c>
      <c r="AE976" s="133">
        <f t="shared" ref="AE976" si="4206">AB976</f>
        <v>0.18000000000000002</v>
      </c>
      <c r="AF976" s="133">
        <f>AF975/AF974</f>
        <v>0.18000000000000002</v>
      </c>
      <c r="AG976" s="938">
        <f>AG975/AG974</f>
        <v>0.18000000000000002</v>
      </c>
      <c r="AH976" s="133">
        <f t="shared" ref="AH976" si="4207">AE976</f>
        <v>0.18000000000000002</v>
      </c>
      <c r="AI976" s="133">
        <f>AI975/AI974</f>
        <v>0.18000000000000002</v>
      </c>
      <c r="AJ976" s="133">
        <f>AJ975/AJ974</f>
        <v>0.18000000000000002</v>
      </c>
      <c r="AK976" s="133">
        <f t="shared" ref="AK976" si="4208">AH976</f>
        <v>0.18000000000000002</v>
      </c>
      <c r="AL976" s="133">
        <f>AL975/AL974</f>
        <v>0.18000000000000002</v>
      </c>
      <c r="AM976" s="133">
        <f>AM975/AM974</f>
        <v>0.18000000000000002</v>
      </c>
      <c r="AN976" s="133">
        <f t="shared" ref="AN976" si="4209">AK976</f>
        <v>0.18000000000000002</v>
      </c>
      <c r="AO976" s="133">
        <f>AO975/AO974</f>
        <v>0.18000000000000002</v>
      </c>
      <c r="AP976" s="133">
        <f>AP975/AP974</f>
        <v>0.18000000000000002</v>
      </c>
      <c r="AQ976" s="133">
        <f t="shared" ref="AQ976" si="4210">AN976</f>
        <v>0.18000000000000002</v>
      </c>
      <c r="AR976" s="133">
        <f>AR975/AR974</f>
        <v>0.18000000000000002</v>
      </c>
      <c r="AS976" s="133">
        <f>AS975/AS974</f>
        <v>0.18000000000000002</v>
      </c>
      <c r="AT976" s="133">
        <f t="shared" ref="AT976" si="4211">AQ976</f>
        <v>0.18000000000000002</v>
      </c>
      <c r="AU976" s="133">
        <f>AU975/AU974</f>
        <v>0.18000000000000002</v>
      </c>
      <c r="AV976" s="133">
        <f>AV975/AV974</f>
        <v>0.18000000000000002</v>
      </c>
      <c r="AW976" s="133">
        <f t="shared" ref="AW976" si="4212">AT976</f>
        <v>0.18000000000000002</v>
      </c>
      <c r="AX976" s="133">
        <f>AX975/AX974</f>
        <v>0.18000000000000002</v>
      </c>
      <c r="AY976" s="133">
        <f>AY975/AY974</f>
        <v>0.18000000000000002</v>
      </c>
      <c r="AZ976" s="133">
        <f t="shared" ref="AZ976" si="4213">AW976</f>
        <v>0.18000000000000002</v>
      </c>
      <c r="BA976" s="133">
        <f>BA975/BA974</f>
        <v>0.18000000000000002</v>
      </c>
      <c r="BB976" s="133">
        <f>BB975/BB974</f>
        <v>0.18000000000000002</v>
      </c>
      <c r="BC976" s="133">
        <f t="shared" ref="BC976" si="4214">AZ976</f>
        <v>0.18000000000000002</v>
      </c>
      <c r="BD976" s="133">
        <f>BD975/BD974</f>
        <v>0.18000000000000002</v>
      </c>
      <c r="BE976" s="133">
        <f>BE975/BE974</f>
        <v>0.18000000000000002</v>
      </c>
      <c r="BF976" s="133">
        <f t="shared" ref="BF976" si="4215">BC976</f>
        <v>0.18000000000000002</v>
      </c>
      <c r="BG976" s="133">
        <f>BG975/BG974</f>
        <v>0.18000000000000002</v>
      </c>
      <c r="BH976" s="133">
        <f>BH975/BH974</f>
        <v>0.18000000000000002</v>
      </c>
      <c r="BI976" s="133">
        <f t="shared" ref="BI976" si="4216">BF976</f>
        <v>0.18000000000000002</v>
      </c>
      <c r="BJ976" s="133">
        <f>BJ975/BJ974</f>
        <v>0.18000000000000002</v>
      </c>
      <c r="BK976" s="133">
        <f>BK975/BK974</f>
        <v>0.18000000000000002</v>
      </c>
      <c r="BL976" s="133">
        <f t="shared" ref="BL976" si="4217">BI976</f>
        <v>0.18000000000000002</v>
      </c>
      <c r="BM976" s="133">
        <f>BM975/BM974</f>
        <v>0.18000000000000002</v>
      </c>
      <c r="BN976" s="133">
        <f>BN975/BN974</f>
        <v>0.18000000000000002</v>
      </c>
      <c r="BO976" s="133">
        <f t="shared" ref="BO976" si="4218">BL976</f>
        <v>0.18000000000000002</v>
      </c>
      <c r="BP976" s="133">
        <f>BP975/BP974</f>
        <v>0.18000000000000002</v>
      </c>
      <c r="BQ976" s="133">
        <f>BQ975/BQ974</f>
        <v>0.18000000000000002</v>
      </c>
      <c r="BR976" s="133">
        <f t="shared" ref="BR976" si="4219">BO976</f>
        <v>0.18000000000000002</v>
      </c>
    </row>
    <row r="977" spans="2:70" outlineLevel="2">
      <c r="B977" s="5"/>
      <c r="C977" s="84" t="s">
        <v>65</v>
      </c>
      <c r="D977" s="31" t="s">
        <v>102</v>
      </c>
      <c r="M977" s="769">
        <f>M974*-3%</f>
        <v>-0.6</v>
      </c>
      <c r="Q977" s="402">
        <f>Q974*-3%</f>
        <v>-4.9999999999999996E-2</v>
      </c>
      <c r="R977" s="402">
        <f>R974*-3%</f>
        <v>-0.3</v>
      </c>
      <c r="S977" s="167">
        <f>SUM(Q977:R977)</f>
        <v>-0.35</v>
      </c>
      <c r="T977" s="175">
        <f>V977*0.5</f>
        <v>-0.3</v>
      </c>
      <c r="U977" s="175">
        <f>V977*0.5</f>
        <v>-0.3</v>
      </c>
      <c r="V977" s="360">
        <f>M977</f>
        <v>-0.6</v>
      </c>
      <c r="W977" s="167">
        <f>Y977*0.5</f>
        <v>-0.3</v>
      </c>
      <c r="X977" s="167">
        <f>Y977*0.5</f>
        <v>-0.3</v>
      </c>
      <c r="Y977" s="360">
        <f>V977*(Y974/V974)</f>
        <v>-0.6</v>
      </c>
      <c r="Z977" s="167">
        <f>AB977*0.5</f>
        <v>-0.3</v>
      </c>
      <c r="AA977" s="167">
        <f>AB977*0.5</f>
        <v>-0.3</v>
      </c>
      <c r="AB977" s="360">
        <f>Y977*(AB974/Y974)</f>
        <v>-0.6</v>
      </c>
      <c r="AC977" s="167">
        <f>AE977*0.5</f>
        <v>-0.3</v>
      </c>
      <c r="AD977" s="167">
        <f>AE977*0.5</f>
        <v>-0.3</v>
      </c>
      <c r="AE977" s="360">
        <f>AB977*(AE974/AB974)</f>
        <v>-0.6</v>
      </c>
      <c r="AF977" s="167">
        <f>AH977*0.5</f>
        <v>-0.3</v>
      </c>
      <c r="AG977" s="1017">
        <f>AH977*0.5</f>
        <v>-0.3</v>
      </c>
      <c r="AH977" s="360">
        <f>AE977*(AH974/AE974)</f>
        <v>-0.6</v>
      </c>
      <c r="AI977" s="167">
        <f>AK977*0.5</f>
        <v>-0.3</v>
      </c>
      <c r="AJ977" s="167">
        <f>AK977*0.5</f>
        <v>-0.3</v>
      </c>
      <c r="AK977" s="360">
        <f>AH977*(AK974/AH974)</f>
        <v>-0.6</v>
      </c>
      <c r="AL977" s="167">
        <f>AN977*0.5</f>
        <v>-0.3</v>
      </c>
      <c r="AM977" s="167">
        <f>AN977*0.5</f>
        <v>-0.3</v>
      </c>
      <c r="AN977" s="360">
        <f>AK977*(AN974/AK974)</f>
        <v>-0.6</v>
      </c>
      <c r="AO977" s="167">
        <f>AQ977*0.5</f>
        <v>-0.3</v>
      </c>
      <c r="AP977" s="167">
        <f>AQ977*0.5</f>
        <v>-0.3</v>
      </c>
      <c r="AQ977" s="360">
        <f>AN977*(AQ974/AN974)</f>
        <v>-0.6</v>
      </c>
      <c r="AR977" s="167">
        <f>AT977*0.5</f>
        <v>-0.3</v>
      </c>
      <c r="AS977" s="167">
        <f>AT977*0.5</f>
        <v>-0.3</v>
      </c>
      <c r="AT977" s="360">
        <f>AQ977*(AT974/AQ974)</f>
        <v>-0.6</v>
      </c>
      <c r="AU977" s="167">
        <f>AW977*0.5</f>
        <v>-0.3</v>
      </c>
      <c r="AV977" s="167">
        <f>AW977*0.5</f>
        <v>-0.3</v>
      </c>
      <c r="AW977" s="360">
        <f>AT977*(AW974/AT974)</f>
        <v>-0.6</v>
      </c>
      <c r="AX977" s="167">
        <f>AZ977*0.5</f>
        <v>-0.3</v>
      </c>
      <c r="AY977" s="167">
        <f>AZ977*0.5</f>
        <v>-0.3</v>
      </c>
      <c r="AZ977" s="360">
        <f>AW977*(AZ974/AW974)</f>
        <v>-0.6</v>
      </c>
      <c r="BA977" s="167">
        <f>BC977*0.5</f>
        <v>-0.3</v>
      </c>
      <c r="BB977" s="167">
        <f>BC977*0.5</f>
        <v>-0.3</v>
      </c>
      <c r="BC977" s="360">
        <f>AZ977*(BC974/AZ974)</f>
        <v>-0.6</v>
      </c>
      <c r="BD977" s="167">
        <f>BF977*0.5</f>
        <v>-0.3</v>
      </c>
      <c r="BE977" s="167">
        <f>BF977*0.5</f>
        <v>-0.3</v>
      </c>
      <c r="BF977" s="360">
        <f>BC977*(BF974/BC974)</f>
        <v>-0.6</v>
      </c>
      <c r="BG977" s="167">
        <f>BI977*0.5</f>
        <v>-0.3</v>
      </c>
      <c r="BH977" s="167">
        <f>BI977*0.5</f>
        <v>-0.3</v>
      </c>
      <c r="BI977" s="360">
        <f>BF977*(BI974/BF974)</f>
        <v>-0.6</v>
      </c>
      <c r="BJ977" s="167">
        <f>BL977*0.5</f>
        <v>-0.3</v>
      </c>
      <c r="BK977" s="167">
        <f>BL977*0.5</f>
        <v>-0.3</v>
      </c>
      <c r="BL977" s="360">
        <f>BI977*(BL974/BI974)</f>
        <v>-0.6</v>
      </c>
      <c r="BM977" s="167">
        <f>BO977*0.5</f>
        <v>-0.3</v>
      </c>
      <c r="BN977" s="167">
        <f>BO977*0.5</f>
        <v>-0.3</v>
      </c>
      <c r="BO977" s="360">
        <f>BL977*(BO974/BL974)</f>
        <v>-0.6</v>
      </c>
      <c r="BP977" s="167">
        <f>BR977*0.5</f>
        <v>-0.3</v>
      </c>
      <c r="BQ977" s="167">
        <f>BR977*0.5</f>
        <v>-0.3</v>
      </c>
      <c r="BR977" s="360">
        <f>BO977*(BR974/BO974)</f>
        <v>-0.6</v>
      </c>
    </row>
    <row r="978" spans="2:70" outlineLevel="2">
      <c r="B978" s="5"/>
      <c r="C978" s="84" t="s">
        <v>78</v>
      </c>
      <c r="D978" s="31" t="s">
        <v>102</v>
      </c>
      <c r="M978" s="770">
        <f>M983-M980</f>
        <v>3</v>
      </c>
      <c r="Q978" s="167">
        <f>Q975+Q977</f>
        <v>0.25</v>
      </c>
      <c r="R978" s="167">
        <f>R975+R977</f>
        <v>1.5</v>
      </c>
      <c r="S978" s="167">
        <f>SUM(Q978:R978)</f>
        <v>1.75</v>
      </c>
      <c r="T978" s="167">
        <f>T975+T977</f>
        <v>1.5000000000000002</v>
      </c>
      <c r="U978" s="167">
        <f>U975+U977</f>
        <v>1.5000000000000002</v>
      </c>
      <c r="V978" s="172">
        <f>SUM(T978:U978)</f>
        <v>3.0000000000000004</v>
      </c>
      <c r="W978" s="167">
        <f>W975+W977</f>
        <v>1.5000000000000002</v>
      </c>
      <c r="X978" s="167">
        <f>X975+X977</f>
        <v>1.5000000000000002</v>
      </c>
      <c r="Y978" s="172">
        <f>SUM(W978:X978)</f>
        <v>3.0000000000000004</v>
      </c>
      <c r="Z978" s="167">
        <f>Z975+Z977</f>
        <v>1.5000000000000002</v>
      </c>
      <c r="AA978" s="167">
        <f>AA975+AA977</f>
        <v>1.5000000000000002</v>
      </c>
      <c r="AB978" s="172">
        <f>SUM(Z978:AA978)</f>
        <v>3.0000000000000004</v>
      </c>
      <c r="AC978" s="167">
        <f>AC975+AC977</f>
        <v>1.5000000000000002</v>
      </c>
      <c r="AD978" s="167">
        <f>AD975+AD977</f>
        <v>1.5000000000000002</v>
      </c>
      <c r="AE978" s="172">
        <f>SUM(AC978:AD978)</f>
        <v>3.0000000000000004</v>
      </c>
      <c r="AF978" s="167">
        <f>AF975+AF977</f>
        <v>1.5000000000000002</v>
      </c>
      <c r="AG978" s="1017">
        <f>AG975+AG977</f>
        <v>1.5000000000000002</v>
      </c>
      <c r="AH978" s="172">
        <f>SUM(AF978:AG978)</f>
        <v>3.0000000000000004</v>
      </c>
      <c r="AI978" s="167">
        <f>AI975+AI977</f>
        <v>1.5000000000000002</v>
      </c>
      <c r="AJ978" s="167">
        <f>AJ975+AJ977</f>
        <v>1.5000000000000002</v>
      </c>
      <c r="AK978" s="172">
        <f>SUM(AI978:AJ978)</f>
        <v>3.0000000000000004</v>
      </c>
      <c r="AL978" s="167">
        <f>AL975+AL977</f>
        <v>1.5000000000000002</v>
      </c>
      <c r="AM978" s="167">
        <f>AM975+AM977</f>
        <v>1.5000000000000002</v>
      </c>
      <c r="AN978" s="172">
        <f>SUM(AL978:AM978)</f>
        <v>3.0000000000000004</v>
      </c>
      <c r="AO978" s="167">
        <f>AO975+AO977</f>
        <v>1.5000000000000002</v>
      </c>
      <c r="AP978" s="167">
        <f>AP975+AP977</f>
        <v>1.5000000000000002</v>
      </c>
      <c r="AQ978" s="172">
        <f>SUM(AO978:AP978)</f>
        <v>3.0000000000000004</v>
      </c>
      <c r="AR978" s="167">
        <f>AR975+AR977</f>
        <v>1.5000000000000002</v>
      </c>
      <c r="AS978" s="167">
        <f>AS975+AS977</f>
        <v>1.5000000000000002</v>
      </c>
      <c r="AT978" s="172">
        <f>SUM(AR978:AS978)</f>
        <v>3.0000000000000004</v>
      </c>
      <c r="AU978" s="167">
        <f>AU975+AU977</f>
        <v>1.5000000000000002</v>
      </c>
      <c r="AV978" s="167">
        <f>AV975+AV977</f>
        <v>1.5000000000000002</v>
      </c>
      <c r="AW978" s="172">
        <f>SUM(AU978:AV978)</f>
        <v>3.0000000000000004</v>
      </c>
      <c r="AX978" s="167">
        <f>AX975+AX977</f>
        <v>1.5000000000000002</v>
      </c>
      <c r="AY978" s="167">
        <f>AY975+AY977</f>
        <v>1.5000000000000002</v>
      </c>
      <c r="AZ978" s="172">
        <f>SUM(AX978:AY978)</f>
        <v>3.0000000000000004</v>
      </c>
      <c r="BA978" s="167">
        <f>BA975+BA977</f>
        <v>1.5000000000000002</v>
      </c>
      <c r="BB978" s="167">
        <f>BB975+BB977</f>
        <v>1.5000000000000002</v>
      </c>
      <c r="BC978" s="172">
        <f>SUM(BA978:BB978)</f>
        <v>3.0000000000000004</v>
      </c>
      <c r="BD978" s="167">
        <f>BD975+BD977</f>
        <v>1.5000000000000002</v>
      </c>
      <c r="BE978" s="167">
        <f>BE975+BE977</f>
        <v>1.5000000000000002</v>
      </c>
      <c r="BF978" s="172">
        <f>SUM(BD978:BE978)</f>
        <v>3.0000000000000004</v>
      </c>
      <c r="BG978" s="167">
        <f>BG975+BG977</f>
        <v>1.5000000000000002</v>
      </c>
      <c r="BH978" s="167">
        <f>BH975+BH977</f>
        <v>1.5000000000000002</v>
      </c>
      <c r="BI978" s="172">
        <f>SUM(BG978:BH978)</f>
        <v>3.0000000000000004</v>
      </c>
      <c r="BJ978" s="167">
        <f>BJ975+BJ977</f>
        <v>1.5000000000000002</v>
      </c>
      <c r="BK978" s="167">
        <f>BK975+BK977</f>
        <v>1.5000000000000002</v>
      </c>
      <c r="BL978" s="172">
        <f>SUM(BJ978:BK978)</f>
        <v>3.0000000000000004</v>
      </c>
      <c r="BM978" s="167">
        <f>BM975+BM977</f>
        <v>1.5000000000000002</v>
      </c>
      <c r="BN978" s="167">
        <f>BN975+BN977</f>
        <v>1.5000000000000002</v>
      </c>
      <c r="BO978" s="172">
        <f>SUM(BM978:BN978)</f>
        <v>3.0000000000000004</v>
      </c>
      <c r="BP978" s="167">
        <f>BP975+BP977</f>
        <v>1.5000000000000002</v>
      </c>
      <c r="BQ978" s="167">
        <f>BQ975+BQ977</f>
        <v>1.5000000000000002</v>
      </c>
      <c r="BR978" s="172">
        <f>SUM(BP978:BQ978)</f>
        <v>3.0000000000000004</v>
      </c>
    </row>
    <row r="979" spans="2:70" outlineLevel="2">
      <c r="B979" s="5"/>
      <c r="C979" s="84" t="s">
        <v>74</v>
      </c>
      <c r="D979" s="31" t="s">
        <v>66</v>
      </c>
      <c r="M979" s="768">
        <f>M978/M974</f>
        <v>0.15</v>
      </c>
      <c r="Q979" s="133">
        <f>Q978/Q974</f>
        <v>0.15000000000000002</v>
      </c>
      <c r="R979" s="133">
        <f>R978/R974</f>
        <v>0.15</v>
      </c>
      <c r="S979" s="162">
        <f t="shared" ref="S979:AB979" si="4220">S978/S974</f>
        <v>0.15</v>
      </c>
      <c r="T979" s="162">
        <f t="shared" si="4220"/>
        <v>0.15000000000000002</v>
      </c>
      <c r="U979" s="133">
        <f t="shared" si="4220"/>
        <v>0.15000000000000002</v>
      </c>
      <c r="V979" s="162">
        <f t="shared" si="4220"/>
        <v>0.15000000000000002</v>
      </c>
      <c r="W979" s="162">
        <f t="shared" si="4220"/>
        <v>0.15000000000000002</v>
      </c>
      <c r="X979" s="133">
        <f t="shared" si="4220"/>
        <v>0.15000000000000002</v>
      </c>
      <c r="Y979" s="162">
        <f t="shared" si="4220"/>
        <v>0.15000000000000002</v>
      </c>
      <c r="Z979" s="162">
        <f t="shared" si="4220"/>
        <v>0.15000000000000002</v>
      </c>
      <c r="AA979" s="133">
        <f t="shared" si="4220"/>
        <v>0.15000000000000002</v>
      </c>
      <c r="AB979" s="133">
        <f t="shared" si="4220"/>
        <v>0.15000000000000002</v>
      </c>
      <c r="AC979" s="162">
        <f t="shared" ref="AC979:AE979" si="4221">AC978/AC974</f>
        <v>0.15000000000000002</v>
      </c>
      <c r="AD979" s="133">
        <f t="shared" si="4221"/>
        <v>0.15000000000000002</v>
      </c>
      <c r="AE979" s="133">
        <f t="shared" si="4221"/>
        <v>0.15000000000000002</v>
      </c>
      <c r="AF979" s="162">
        <f t="shared" ref="AF979:AN979" si="4222">AF978/AF974</f>
        <v>0.15000000000000002</v>
      </c>
      <c r="AG979" s="938">
        <f t="shared" si="4222"/>
        <v>0.15000000000000002</v>
      </c>
      <c r="AH979" s="133">
        <f t="shared" si="4222"/>
        <v>0.15000000000000002</v>
      </c>
      <c r="AI979" s="162">
        <f t="shared" si="4222"/>
        <v>0.15000000000000002</v>
      </c>
      <c r="AJ979" s="133">
        <f t="shared" si="4222"/>
        <v>0.15000000000000002</v>
      </c>
      <c r="AK979" s="133">
        <f t="shared" si="4222"/>
        <v>0.15000000000000002</v>
      </c>
      <c r="AL979" s="162">
        <f t="shared" si="4222"/>
        <v>0.15000000000000002</v>
      </c>
      <c r="AM979" s="133">
        <f t="shared" si="4222"/>
        <v>0.15000000000000002</v>
      </c>
      <c r="AN979" s="133">
        <f t="shared" si="4222"/>
        <v>0.15000000000000002</v>
      </c>
      <c r="AO979" s="162">
        <f t="shared" ref="AO979:BR979" si="4223">AO978/AO974</f>
        <v>0.15000000000000002</v>
      </c>
      <c r="AP979" s="133">
        <f t="shared" si="4223"/>
        <v>0.15000000000000002</v>
      </c>
      <c r="AQ979" s="133">
        <f t="shared" si="4223"/>
        <v>0.15000000000000002</v>
      </c>
      <c r="AR979" s="162">
        <f t="shared" si="4223"/>
        <v>0.15000000000000002</v>
      </c>
      <c r="AS979" s="133">
        <f t="shared" si="4223"/>
        <v>0.15000000000000002</v>
      </c>
      <c r="AT979" s="133">
        <f t="shared" si="4223"/>
        <v>0.15000000000000002</v>
      </c>
      <c r="AU979" s="162">
        <f t="shared" si="4223"/>
        <v>0.15000000000000002</v>
      </c>
      <c r="AV979" s="133">
        <f t="shared" si="4223"/>
        <v>0.15000000000000002</v>
      </c>
      <c r="AW979" s="133">
        <f t="shared" si="4223"/>
        <v>0.15000000000000002</v>
      </c>
      <c r="AX979" s="162">
        <f t="shared" si="4223"/>
        <v>0.15000000000000002</v>
      </c>
      <c r="AY979" s="133">
        <f t="shared" si="4223"/>
        <v>0.15000000000000002</v>
      </c>
      <c r="AZ979" s="133">
        <f t="shared" si="4223"/>
        <v>0.15000000000000002</v>
      </c>
      <c r="BA979" s="162">
        <f t="shared" si="4223"/>
        <v>0.15000000000000002</v>
      </c>
      <c r="BB979" s="133">
        <f t="shared" si="4223"/>
        <v>0.15000000000000002</v>
      </c>
      <c r="BC979" s="133">
        <f t="shared" si="4223"/>
        <v>0.15000000000000002</v>
      </c>
      <c r="BD979" s="162">
        <f t="shared" si="4223"/>
        <v>0.15000000000000002</v>
      </c>
      <c r="BE979" s="133">
        <f t="shared" si="4223"/>
        <v>0.15000000000000002</v>
      </c>
      <c r="BF979" s="133">
        <f t="shared" si="4223"/>
        <v>0.15000000000000002</v>
      </c>
      <c r="BG979" s="162">
        <f t="shared" si="4223"/>
        <v>0.15000000000000002</v>
      </c>
      <c r="BH979" s="133">
        <f t="shared" si="4223"/>
        <v>0.15000000000000002</v>
      </c>
      <c r="BI979" s="133">
        <f t="shared" si="4223"/>
        <v>0.15000000000000002</v>
      </c>
      <c r="BJ979" s="162">
        <f t="shared" si="4223"/>
        <v>0.15000000000000002</v>
      </c>
      <c r="BK979" s="133">
        <f t="shared" si="4223"/>
        <v>0.15000000000000002</v>
      </c>
      <c r="BL979" s="133">
        <f t="shared" si="4223"/>
        <v>0.15000000000000002</v>
      </c>
      <c r="BM979" s="162">
        <f t="shared" si="4223"/>
        <v>0.15000000000000002</v>
      </c>
      <c r="BN979" s="133">
        <f t="shared" si="4223"/>
        <v>0.15000000000000002</v>
      </c>
      <c r="BO979" s="133">
        <f t="shared" si="4223"/>
        <v>0.15000000000000002</v>
      </c>
      <c r="BP979" s="162">
        <f t="shared" si="4223"/>
        <v>0.15000000000000002</v>
      </c>
      <c r="BQ979" s="133">
        <f t="shared" si="4223"/>
        <v>0.15000000000000002</v>
      </c>
      <c r="BR979" s="133">
        <f t="shared" si="4223"/>
        <v>0.15000000000000002</v>
      </c>
    </row>
    <row r="980" spans="2:70" outlineLevel="2">
      <c r="B980" s="5"/>
      <c r="C980" s="84" t="s">
        <v>90</v>
      </c>
      <c r="D980" s="31" t="s">
        <v>102</v>
      </c>
      <c r="M980" s="767">
        <f>M982*M974</f>
        <v>1</v>
      </c>
      <c r="Q980" s="336">
        <f>Q982*Q974</f>
        <v>0</v>
      </c>
      <c r="R980" s="404">
        <v>0</v>
      </c>
      <c r="S980" s="167">
        <f>SUM(Q980:R980)</f>
        <v>0</v>
      </c>
      <c r="T980" s="404">
        <v>0.2</v>
      </c>
      <c r="U980" s="404">
        <v>0.2</v>
      </c>
      <c r="V980" s="156">
        <f>SUM(T980:U980)</f>
        <v>0.4</v>
      </c>
      <c r="W980" s="404">
        <v>0.2</v>
      </c>
      <c r="X980" s="404">
        <v>0.2</v>
      </c>
      <c r="Y980" s="156">
        <f>SUM(W980:X980)</f>
        <v>0.4</v>
      </c>
      <c r="Z980" s="404">
        <v>0</v>
      </c>
      <c r="AA980" s="404">
        <v>0</v>
      </c>
      <c r="AB980" s="156">
        <f>SUM(Z980:AA980)</f>
        <v>0</v>
      </c>
      <c r="AC980" s="404">
        <v>0</v>
      </c>
      <c r="AD980" s="404">
        <v>0</v>
      </c>
      <c r="AE980" s="157">
        <f>SUM(AC980:AD980)</f>
        <v>0</v>
      </c>
      <c r="AF980" s="402">
        <v>0</v>
      </c>
      <c r="AG980" s="1030">
        <v>0</v>
      </c>
      <c r="AH980" s="156">
        <f>SUM(AF980:AG980)</f>
        <v>0</v>
      </c>
      <c r="AI980" s="404">
        <v>0</v>
      </c>
      <c r="AJ980" s="404">
        <v>0</v>
      </c>
      <c r="AK980" s="156">
        <f>SUM(AI980:AJ980)</f>
        <v>0</v>
      </c>
      <c r="AL980" s="404">
        <v>0</v>
      </c>
      <c r="AM980" s="404">
        <v>0</v>
      </c>
      <c r="AN980" s="156">
        <f>SUM(AL980:AM980)</f>
        <v>0</v>
      </c>
      <c r="AO980" s="404">
        <v>0</v>
      </c>
      <c r="AP980" s="404">
        <v>0</v>
      </c>
      <c r="AQ980" s="156">
        <f>SUM(AO980:AP980)</f>
        <v>0</v>
      </c>
      <c r="AR980" s="404">
        <v>0</v>
      </c>
      <c r="AS980" s="404">
        <v>0</v>
      </c>
      <c r="AT980" s="156">
        <f>SUM(AR980:AS980)</f>
        <v>0</v>
      </c>
      <c r="AU980" s="404">
        <v>0</v>
      </c>
      <c r="AV980" s="404">
        <v>0</v>
      </c>
      <c r="AW980" s="156">
        <f>SUM(AU980:AV980)</f>
        <v>0</v>
      </c>
      <c r="AX980" s="404">
        <v>0</v>
      </c>
      <c r="AY980" s="404">
        <v>0</v>
      </c>
      <c r="AZ980" s="156">
        <f>SUM(AX980:AY980)</f>
        <v>0</v>
      </c>
      <c r="BA980" s="404">
        <v>0</v>
      </c>
      <c r="BB980" s="404">
        <v>0</v>
      </c>
      <c r="BC980" s="156">
        <f>SUM(BA980:BB980)</f>
        <v>0</v>
      </c>
      <c r="BD980" s="404">
        <v>0</v>
      </c>
      <c r="BE980" s="404">
        <v>0</v>
      </c>
      <c r="BF980" s="156">
        <f>SUM(BD980:BE980)</f>
        <v>0</v>
      </c>
      <c r="BG980" s="404">
        <v>0</v>
      </c>
      <c r="BH980" s="404">
        <v>0</v>
      </c>
      <c r="BI980" s="156">
        <f>SUM(BG980:BH980)</f>
        <v>0</v>
      </c>
      <c r="BJ980" s="404">
        <v>0</v>
      </c>
      <c r="BK980" s="404">
        <v>0</v>
      </c>
      <c r="BL980" s="156">
        <f>SUM(BJ980:BK980)</f>
        <v>0</v>
      </c>
      <c r="BM980" s="404">
        <v>0</v>
      </c>
      <c r="BN980" s="404">
        <v>0</v>
      </c>
      <c r="BO980" s="156">
        <f>SUM(BM980:BN980)</f>
        <v>0</v>
      </c>
      <c r="BP980" s="404">
        <v>0</v>
      </c>
      <c r="BQ980" s="404">
        <v>0</v>
      </c>
      <c r="BR980" s="156">
        <f>SUM(BP980:BQ980)</f>
        <v>0</v>
      </c>
    </row>
    <row r="981" spans="2:70" outlineLevel="2">
      <c r="B981" s="5"/>
      <c r="C981" s="84" t="s">
        <v>89</v>
      </c>
      <c r="D981" s="31"/>
      <c r="M981" s="771"/>
      <c r="Q981" s="156">
        <f>N981+Q980</f>
        <v>0</v>
      </c>
      <c r="R981" s="156">
        <f>O981+R980</f>
        <v>0</v>
      </c>
      <c r="S981" s="156">
        <f>M981+S980</f>
        <v>0</v>
      </c>
      <c r="T981" s="156">
        <f>Q981+T980</f>
        <v>0.2</v>
      </c>
      <c r="U981" s="156">
        <f>R981+U980</f>
        <v>0.2</v>
      </c>
      <c r="V981" s="156">
        <f>SUM(T981:U981)</f>
        <v>0.4</v>
      </c>
      <c r="W981" s="156">
        <f>T981+W980</f>
        <v>0.4</v>
      </c>
      <c r="X981" s="156">
        <f>U981+X980</f>
        <v>0.4</v>
      </c>
      <c r="Y981" s="156">
        <f>SUM(W981:X981)</f>
        <v>0.8</v>
      </c>
      <c r="Z981" s="156">
        <f>W981+Z980</f>
        <v>0.4</v>
      </c>
      <c r="AA981" s="156">
        <f>X981+AA980</f>
        <v>0.4</v>
      </c>
      <c r="AB981" s="156">
        <f>SUM(Z981:AA981)</f>
        <v>0.8</v>
      </c>
      <c r="AC981" s="156">
        <f>Z981+AC980</f>
        <v>0.4</v>
      </c>
      <c r="AD981" s="156">
        <f>AA981+AD980</f>
        <v>0.4</v>
      </c>
      <c r="AE981" s="157">
        <f>SUM(AC981:AD981)</f>
        <v>0.8</v>
      </c>
      <c r="AF981" s="157">
        <f>AC981+AF980</f>
        <v>0.4</v>
      </c>
      <c r="AG981" s="1031">
        <f>AD981+AG980</f>
        <v>0.4</v>
      </c>
      <c r="AH981" s="156">
        <f>SUM(AF981:AG981)</f>
        <v>0.8</v>
      </c>
      <c r="AI981" s="156">
        <f>AF981+AI980</f>
        <v>0.4</v>
      </c>
      <c r="AJ981" s="156">
        <f>AG981+AJ980</f>
        <v>0.4</v>
      </c>
      <c r="AK981" s="156">
        <f>SUM(AI981:AJ981)</f>
        <v>0.8</v>
      </c>
      <c r="AL981" s="156">
        <f>AI981+AL980</f>
        <v>0.4</v>
      </c>
      <c r="AM981" s="156">
        <f>AJ981+AM980</f>
        <v>0.4</v>
      </c>
      <c r="AN981" s="156">
        <f>SUM(AL981:AM981)</f>
        <v>0.8</v>
      </c>
      <c r="AO981" s="156">
        <f>AL981+AO980</f>
        <v>0.4</v>
      </c>
      <c r="AP981" s="156">
        <f>AM981+AP980</f>
        <v>0.4</v>
      </c>
      <c r="AQ981" s="156">
        <f>SUM(AO981:AP981)</f>
        <v>0.8</v>
      </c>
      <c r="AR981" s="156">
        <f>AO981+AR980</f>
        <v>0.4</v>
      </c>
      <c r="AS981" s="156">
        <f>AP981+AS980</f>
        <v>0.4</v>
      </c>
      <c r="AT981" s="156">
        <f>SUM(AR981:AS981)</f>
        <v>0.8</v>
      </c>
      <c r="AU981" s="156">
        <f>AR981+AU980</f>
        <v>0.4</v>
      </c>
      <c r="AV981" s="156">
        <f>AS981+AV980</f>
        <v>0.4</v>
      </c>
      <c r="AW981" s="156">
        <f>SUM(AU981:AV981)</f>
        <v>0.8</v>
      </c>
      <c r="AX981" s="156">
        <f>AU981+AX980</f>
        <v>0.4</v>
      </c>
      <c r="AY981" s="156">
        <f>AV981+AY980</f>
        <v>0.4</v>
      </c>
      <c r="AZ981" s="156">
        <f>SUM(AX981:AY981)</f>
        <v>0.8</v>
      </c>
      <c r="BA981" s="156">
        <f>AX981+BA980</f>
        <v>0.4</v>
      </c>
      <c r="BB981" s="156">
        <f>AY981+BB980</f>
        <v>0.4</v>
      </c>
      <c r="BC981" s="156">
        <f>SUM(BA981:BB981)</f>
        <v>0.8</v>
      </c>
      <c r="BD981" s="156">
        <f>BA981+BD980</f>
        <v>0.4</v>
      </c>
      <c r="BE981" s="156">
        <f>BB981+BE980</f>
        <v>0.4</v>
      </c>
      <c r="BF981" s="156">
        <f>SUM(BD981:BE981)</f>
        <v>0.8</v>
      </c>
      <c r="BG981" s="156">
        <f>BD981+BG980</f>
        <v>0.4</v>
      </c>
      <c r="BH981" s="156">
        <f>BE981+BH980</f>
        <v>0.4</v>
      </c>
      <c r="BI981" s="156">
        <f>SUM(BG981:BH981)</f>
        <v>0.8</v>
      </c>
      <c r="BJ981" s="156">
        <f>BG981+BJ980</f>
        <v>0.4</v>
      </c>
      <c r="BK981" s="156">
        <f>BH981+BK980</f>
        <v>0.4</v>
      </c>
      <c r="BL981" s="156">
        <f>SUM(BJ981:BK981)</f>
        <v>0.8</v>
      </c>
      <c r="BM981" s="156">
        <f>BJ981+BM980</f>
        <v>0.4</v>
      </c>
      <c r="BN981" s="156">
        <f>BK981+BN980</f>
        <v>0.4</v>
      </c>
      <c r="BO981" s="156">
        <f>SUM(BM981:BN981)</f>
        <v>0.8</v>
      </c>
      <c r="BP981" s="156">
        <f>BM981+BP980</f>
        <v>0.4</v>
      </c>
      <c r="BQ981" s="156">
        <f>BN981+BQ980</f>
        <v>0.4</v>
      </c>
      <c r="BR981" s="156">
        <f>SUM(BP981:BQ981)</f>
        <v>0.8</v>
      </c>
    </row>
    <row r="982" spans="2:70" outlineLevel="2">
      <c r="B982" s="5"/>
      <c r="C982" s="84" t="s">
        <v>264</v>
      </c>
      <c r="D982" s="31" t="s">
        <v>66</v>
      </c>
      <c r="M982" s="773">
        <v>0.05</v>
      </c>
      <c r="Q982" s="111"/>
      <c r="R982" s="156"/>
      <c r="S982" s="156"/>
      <c r="T982" s="156"/>
      <c r="U982" s="156"/>
      <c r="V982" s="156"/>
      <c r="W982" s="156"/>
      <c r="X982" s="156"/>
      <c r="Y982" s="156"/>
      <c r="Z982" s="156"/>
      <c r="AA982" s="156"/>
      <c r="AB982" s="156"/>
      <c r="AC982" s="156"/>
      <c r="AD982" s="156"/>
      <c r="AE982" s="157"/>
      <c r="AF982" s="157"/>
      <c r="AG982" s="1031"/>
      <c r="AH982" s="156"/>
      <c r="AI982" s="156"/>
      <c r="AJ982" s="156"/>
      <c r="AK982" s="156"/>
      <c r="AL982" s="156"/>
      <c r="AM982" s="156"/>
      <c r="AN982" s="156"/>
      <c r="AO982" s="156"/>
      <c r="AP982" s="156"/>
      <c r="AQ982" s="156"/>
      <c r="AR982" s="156"/>
      <c r="AS982" s="156"/>
      <c r="AT982" s="156"/>
      <c r="AU982" s="156"/>
      <c r="AV982" s="156"/>
      <c r="AW982" s="156"/>
      <c r="AX982" s="156"/>
      <c r="AY982" s="156"/>
      <c r="AZ982" s="156"/>
      <c r="BA982" s="156"/>
      <c r="BB982" s="156"/>
      <c r="BC982" s="156"/>
      <c r="BD982" s="156"/>
      <c r="BE982" s="156"/>
      <c r="BF982" s="156"/>
      <c r="BG982" s="156"/>
      <c r="BH982" s="156"/>
      <c r="BI982" s="156"/>
      <c r="BJ982" s="156"/>
      <c r="BK982" s="156"/>
      <c r="BL982" s="156"/>
      <c r="BM982" s="156"/>
      <c r="BN982" s="156"/>
      <c r="BO982" s="156"/>
      <c r="BP982" s="156"/>
      <c r="BQ982" s="156"/>
      <c r="BR982" s="156"/>
    </row>
    <row r="983" spans="2:70" outlineLevel="2">
      <c r="B983" s="5"/>
      <c r="C983" s="84" t="s">
        <v>79</v>
      </c>
      <c r="D983" s="31" t="s">
        <v>102</v>
      </c>
      <c r="J983" s="30"/>
      <c r="K983" s="31"/>
      <c r="M983" s="770">
        <f>M972*M984</f>
        <v>4</v>
      </c>
      <c r="Q983" s="13">
        <f t="shared" ref="Q983:R983" si="4224">Q981+Q978</f>
        <v>0.25</v>
      </c>
      <c r="R983" s="13">
        <f t="shared" si="4224"/>
        <v>1.5</v>
      </c>
      <c r="S983" s="167">
        <f>SUM(Q983:R983)</f>
        <v>1.75</v>
      </c>
      <c r="T983" s="13">
        <f t="shared" ref="T983:AB983" si="4225">T981+T978</f>
        <v>1.7000000000000002</v>
      </c>
      <c r="U983" s="13">
        <f t="shared" si="4225"/>
        <v>1.7000000000000002</v>
      </c>
      <c r="V983" s="13">
        <f t="shared" si="4225"/>
        <v>3.4000000000000004</v>
      </c>
      <c r="W983" s="13">
        <f t="shared" si="4225"/>
        <v>1.9000000000000004</v>
      </c>
      <c r="X983" s="13">
        <f t="shared" si="4225"/>
        <v>1.9000000000000004</v>
      </c>
      <c r="Y983" s="13">
        <f t="shared" si="4225"/>
        <v>3.8000000000000007</v>
      </c>
      <c r="Z983" s="13">
        <f t="shared" si="4225"/>
        <v>1.9000000000000004</v>
      </c>
      <c r="AA983" s="13">
        <f t="shared" si="4225"/>
        <v>1.9000000000000004</v>
      </c>
      <c r="AB983" s="13">
        <f t="shared" si="4225"/>
        <v>3.8000000000000007</v>
      </c>
      <c r="AC983" s="13">
        <f t="shared" ref="AC983:AE983" si="4226">AC981+AC978</f>
        <v>1.9000000000000004</v>
      </c>
      <c r="AD983" s="13">
        <f t="shared" si="4226"/>
        <v>1.9000000000000004</v>
      </c>
      <c r="AE983" s="164">
        <f t="shared" si="4226"/>
        <v>3.8000000000000007</v>
      </c>
      <c r="AF983" s="164">
        <f t="shared" ref="AF983:AN983" si="4227">AF981+AF978</f>
        <v>1.9000000000000004</v>
      </c>
      <c r="AG983" s="1018">
        <f t="shared" si="4227"/>
        <v>1.9000000000000004</v>
      </c>
      <c r="AH983" s="13">
        <f t="shared" si="4227"/>
        <v>3.8000000000000007</v>
      </c>
      <c r="AI983" s="13">
        <f t="shared" si="4227"/>
        <v>1.9000000000000004</v>
      </c>
      <c r="AJ983" s="13">
        <f t="shared" si="4227"/>
        <v>1.9000000000000004</v>
      </c>
      <c r="AK983" s="13">
        <f t="shared" si="4227"/>
        <v>3.8000000000000007</v>
      </c>
      <c r="AL983" s="13">
        <f t="shared" si="4227"/>
        <v>1.9000000000000004</v>
      </c>
      <c r="AM983" s="13">
        <f t="shared" si="4227"/>
        <v>1.9000000000000004</v>
      </c>
      <c r="AN983" s="13">
        <f t="shared" si="4227"/>
        <v>3.8000000000000007</v>
      </c>
      <c r="AO983" s="13">
        <f t="shared" ref="AO983:BR983" si="4228">AO981+AO978</f>
        <v>1.9000000000000004</v>
      </c>
      <c r="AP983" s="13">
        <f t="shared" si="4228"/>
        <v>1.9000000000000004</v>
      </c>
      <c r="AQ983" s="13">
        <f t="shared" si="4228"/>
        <v>3.8000000000000007</v>
      </c>
      <c r="AR983" s="13">
        <f t="shared" si="4228"/>
        <v>1.9000000000000004</v>
      </c>
      <c r="AS983" s="13">
        <f t="shared" si="4228"/>
        <v>1.9000000000000004</v>
      </c>
      <c r="AT983" s="13">
        <f t="shared" si="4228"/>
        <v>3.8000000000000007</v>
      </c>
      <c r="AU983" s="13">
        <f t="shared" si="4228"/>
        <v>1.9000000000000004</v>
      </c>
      <c r="AV983" s="13">
        <f t="shared" si="4228"/>
        <v>1.9000000000000004</v>
      </c>
      <c r="AW983" s="13">
        <f t="shared" si="4228"/>
        <v>3.8000000000000007</v>
      </c>
      <c r="AX983" s="13">
        <f t="shared" si="4228"/>
        <v>1.9000000000000004</v>
      </c>
      <c r="AY983" s="13">
        <f t="shared" si="4228"/>
        <v>1.9000000000000004</v>
      </c>
      <c r="AZ983" s="13">
        <f t="shared" si="4228"/>
        <v>3.8000000000000007</v>
      </c>
      <c r="BA983" s="13">
        <f t="shared" si="4228"/>
        <v>1.9000000000000004</v>
      </c>
      <c r="BB983" s="13">
        <f t="shared" si="4228"/>
        <v>1.9000000000000004</v>
      </c>
      <c r="BC983" s="13">
        <f t="shared" si="4228"/>
        <v>3.8000000000000007</v>
      </c>
      <c r="BD983" s="13">
        <f t="shared" si="4228"/>
        <v>1.9000000000000004</v>
      </c>
      <c r="BE983" s="13">
        <f t="shared" si="4228"/>
        <v>1.9000000000000004</v>
      </c>
      <c r="BF983" s="13">
        <f t="shared" si="4228"/>
        <v>3.8000000000000007</v>
      </c>
      <c r="BG983" s="13">
        <f t="shared" si="4228"/>
        <v>1.9000000000000004</v>
      </c>
      <c r="BH983" s="13">
        <f t="shared" si="4228"/>
        <v>1.9000000000000004</v>
      </c>
      <c r="BI983" s="13">
        <f t="shared" si="4228"/>
        <v>3.8000000000000007</v>
      </c>
      <c r="BJ983" s="13">
        <f t="shared" si="4228"/>
        <v>1.9000000000000004</v>
      </c>
      <c r="BK983" s="13">
        <f t="shared" si="4228"/>
        <v>1.9000000000000004</v>
      </c>
      <c r="BL983" s="13">
        <f t="shared" si="4228"/>
        <v>3.8000000000000007</v>
      </c>
      <c r="BM983" s="13">
        <f t="shared" si="4228"/>
        <v>1.9000000000000004</v>
      </c>
      <c r="BN983" s="13">
        <f t="shared" si="4228"/>
        <v>1.9000000000000004</v>
      </c>
      <c r="BO983" s="13">
        <f t="shared" si="4228"/>
        <v>3.8000000000000007</v>
      </c>
      <c r="BP983" s="13">
        <f t="shared" si="4228"/>
        <v>1.9000000000000004</v>
      </c>
      <c r="BQ983" s="13">
        <f t="shared" si="4228"/>
        <v>1.9000000000000004</v>
      </c>
      <c r="BR983" s="13">
        <f t="shared" si="4228"/>
        <v>3.8000000000000007</v>
      </c>
    </row>
    <row r="984" spans="2:70" outlineLevel="2">
      <c r="B984" s="5"/>
      <c r="C984" s="84" t="s">
        <v>75</v>
      </c>
      <c r="D984" s="31" t="s">
        <v>66</v>
      </c>
      <c r="M984" s="773">
        <v>0.2</v>
      </c>
      <c r="Q984" s="20">
        <f>Q983/$M$972*2</f>
        <v>2.5000000000000001E-2</v>
      </c>
      <c r="R984" s="20">
        <f>R983/$M$972*2</f>
        <v>0.15</v>
      </c>
      <c r="S984" s="20">
        <f>S983/$M$972</f>
        <v>8.7499999999999994E-2</v>
      </c>
      <c r="T984" s="20">
        <f>T983/$M$972*2</f>
        <v>0.17</v>
      </c>
      <c r="U984" s="20">
        <f>U983/$M$972*2</f>
        <v>0.17</v>
      </c>
      <c r="V984" s="20">
        <f>V983/$M$972</f>
        <v>0.17</v>
      </c>
      <c r="W984" s="20">
        <f>W983/$M$972*2</f>
        <v>0.19000000000000003</v>
      </c>
      <c r="X984" s="20">
        <f>X983/$M$972*2</f>
        <v>0.19000000000000003</v>
      </c>
      <c r="Y984" s="20">
        <f>Y983/$M$972</f>
        <v>0.19000000000000003</v>
      </c>
      <c r="Z984" s="20">
        <f>Z983/$M$972*2</f>
        <v>0.19000000000000003</v>
      </c>
      <c r="AA984" s="20">
        <f>AA983/$M$972*2</f>
        <v>0.19000000000000003</v>
      </c>
      <c r="AB984" s="20">
        <f>AB983/$M$972</f>
        <v>0.19000000000000003</v>
      </c>
      <c r="AC984" s="20">
        <f>AC983/$M$972*2</f>
        <v>0.19000000000000003</v>
      </c>
      <c r="AD984" s="20">
        <f>AD983/$M$972*2</f>
        <v>0.19000000000000003</v>
      </c>
      <c r="AE984" s="133">
        <f>AE983/$M$972</f>
        <v>0.19000000000000003</v>
      </c>
      <c r="AF984" s="133">
        <f>AF983/$M$972*2</f>
        <v>0.19000000000000003</v>
      </c>
      <c r="AG984" s="938">
        <f>AG983/$M$972*2</f>
        <v>0.19000000000000003</v>
      </c>
      <c r="AH984" s="20">
        <f>AH983/$M$972</f>
        <v>0.19000000000000003</v>
      </c>
      <c r="AI984" s="20">
        <f>AI983/$M$972*2</f>
        <v>0.19000000000000003</v>
      </c>
      <c r="AJ984" s="20">
        <f>AJ983/$M$972*2</f>
        <v>0.19000000000000003</v>
      </c>
      <c r="AK984" s="20">
        <f>AK983/$M$972</f>
        <v>0.19000000000000003</v>
      </c>
      <c r="AL984" s="20">
        <f>AL983/$M$972*2</f>
        <v>0.19000000000000003</v>
      </c>
      <c r="AM984" s="20">
        <f>AM983/$M$972*2</f>
        <v>0.19000000000000003</v>
      </c>
      <c r="AN984" s="20">
        <f>AN983/$M$972</f>
        <v>0.19000000000000003</v>
      </c>
      <c r="AO984" s="20">
        <f>AO983/$M$972*2</f>
        <v>0.19000000000000003</v>
      </c>
      <c r="AP984" s="20">
        <f>AP983/$M$972*2</f>
        <v>0.19000000000000003</v>
      </c>
      <c r="AQ984" s="20">
        <f>AQ983/$M$972</f>
        <v>0.19000000000000003</v>
      </c>
      <c r="AR984" s="20">
        <f>AR983/$M$972*2</f>
        <v>0.19000000000000003</v>
      </c>
      <c r="AS984" s="20">
        <f>AS983/$M$972*2</f>
        <v>0.19000000000000003</v>
      </c>
      <c r="AT984" s="20">
        <f>AT983/$M$972</f>
        <v>0.19000000000000003</v>
      </c>
      <c r="AU984" s="20">
        <f>AU983/$M$972*2</f>
        <v>0.19000000000000003</v>
      </c>
      <c r="AV984" s="20">
        <f>AV983/$M$972*2</f>
        <v>0.19000000000000003</v>
      </c>
      <c r="AW984" s="20">
        <f>AW983/$M$972</f>
        <v>0.19000000000000003</v>
      </c>
      <c r="AX984" s="20">
        <f>AX983/$M$972*2</f>
        <v>0.19000000000000003</v>
      </c>
      <c r="AY984" s="20">
        <f>AY983/$M$972*2</f>
        <v>0.19000000000000003</v>
      </c>
      <c r="AZ984" s="20">
        <f>AZ983/$M$972</f>
        <v>0.19000000000000003</v>
      </c>
      <c r="BA984" s="20">
        <f>BA983/$M$972*2</f>
        <v>0.19000000000000003</v>
      </c>
      <c r="BB984" s="20">
        <f>BB983/$M$972*2</f>
        <v>0.19000000000000003</v>
      </c>
      <c r="BC984" s="20">
        <f>BC983/$M$972</f>
        <v>0.19000000000000003</v>
      </c>
      <c r="BD984" s="20">
        <f>BD983/$M$972*2</f>
        <v>0.19000000000000003</v>
      </c>
      <c r="BE984" s="20">
        <f>BE983/$M$972*2</f>
        <v>0.19000000000000003</v>
      </c>
      <c r="BF984" s="20">
        <f>BF983/$M$972</f>
        <v>0.19000000000000003</v>
      </c>
      <c r="BG984" s="20">
        <f>BG983/$M$972*2</f>
        <v>0.19000000000000003</v>
      </c>
      <c r="BH984" s="20">
        <f>BH983/$M$972*2</f>
        <v>0.19000000000000003</v>
      </c>
      <c r="BI984" s="20">
        <f>BI983/$M$972</f>
        <v>0.19000000000000003</v>
      </c>
      <c r="BJ984" s="20">
        <f>BJ983/$M$972*2</f>
        <v>0.19000000000000003</v>
      </c>
      <c r="BK984" s="20">
        <f>BK983/$M$972*2</f>
        <v>0.19000000000000003</v>
      </c>
      <c r="BL984" s="20">
        <f>BL983/$M$972</f>
        <v>0.19000000000000003</v>
      </c>
      <c r="BM984" s="20">
        <f>BM983/$M$972*2</f>
        <v>0.19000000000000003</v>
      </c>
      <c r="BN984" s="20">
        <f>BN983/$M$972*2</f>
        <v>0.19000000000000003</v>
      </c>
      <c r="BO984" s="20">
        <f>BO983/$M$972</f>
        <v>0.19000000000000003</v>
      </c>
      <c r="BP984" s="20">
        <f>BP983/$M$972*2</f>
        <v>0.19000000000000003</v>
      </c>
      <c r="BQ984" s="20">
        <f>BQ983/$M$972*2</f>
        <v>0.19000000000000003</v>
      </c>
      <c r="BR984" s="20">
        <f>BR983/$M$972</f>
        <v>0.19000000000000003</v>
      </c>
    </row>
    <row r="985" spans="2:70" outlineLevel="2">
      <c r="B985" s="5"/>
      <c r="C985" s="84" t="s">
        <v>57</v>
      </c>
      <c r="D985" s="7" t="s">
        <v>85</v>
      </c>
      <c r="M985" s="776">
        <f>M983*P262</f>
        <v>3.0833487592341329</v>
      </c>
      <c r="Q985" s="18">
        <f t="shared" ref="Q985:AV985" si="4229">Q983*Q262</f>
        <v>0.20378974471421391</v>
      </c>
      <c r="R985" s="18">
        <f t="shared" si="4229"/>
        <v>1.1598960064090407</v>
      </c>
      <c r="S985" s="18">
        <f t="shared" si="4229"/>
        <v>1.3889032454298047</v>
      </c>
      <c r="T985" s="18">
        <f t="shared" si="4229"/>
        <v>1.1663687446959081</v>
      </c>
      <c r="U985" s="18">
        <f t="shared" si="4229"/>
        <v>1.134463928889391</v>
      </c>
      <c r="V985" s="18">
        <f t="shared" si="4229"/>
        <v>2.3003902610259965</v>
      </c>
      <c r="W985" s="18">
        <f t="shared" si="4229"/>
        <v>1.3136539634254019</v>
      </c>
      <c r="X985" s="18">
        <f t="shared" si="4229"/>
        <v>1.3308370562897582</v>
      </c>
      <c r="Y985" s="18">
        <f t="shared" si="4229"/>
        <v>2.6443793692394411</v>
      </c>
      <c r="Z985" s="18">
        <f t="shared" si="4229"/>
        <v>1.244391689521033</v>
      </c>
      <c r="AA985" s="18">
        <f t="shared" si="4229"/>
        <v>1.2495172055580783</v>
      </c>
      <c r="AB985" s="18">
        <f t="shared" si="4229"/>
        <v>2.4938983610476968</v>
      </c>
      <c r="AC985" s="18">
        <f t="shared" si="4229"/>
        <v>1.3053600408943036</v>
      </c>
      <c r="AD985" s="18">
        <f t="shared" si="4229"/>
        <v>1.3231816913439034</v>
      </c>
      <c r="AE985" s="26">
        <f t="shared" si="4229"/>
        <v>2.6284209005158674</v>
      </c>
      <c r="AF985" s="26">
        <f t="shared" si="4229"/>
        <v>1.3053600408943036</v>
      </c>
      <c r="AG985" s="933">
        <f t="shared" si="4229"/>
        <v>1.3231816913439034</v>
      </c>
      <c r="AH985" s="18">
        <f t="shared" si="4229"/>
        <v>2.6285417322382072</v>
      </c>
      <c r="AI985" s="18">
        <f t="shared" si="4229"/>
        <v>1.3053600408943036</v>
      </c>
      <c r="AJ985" s="18">
        <f t="shared" si="4229"/>
        <v>1.3231816913439034</v>
      </c>
      <c r="AK985" s="18">
        <f t="shared" si="4229"/>
        <v>2.6285417322382072</v>
      </c>
      <c r="AL985" s="18">
        <f t="shared" si="4229"/>
        <v>1.3053600408943036</v>
      </c>
      <c r="AM985" s="18">
        <f t="shared" si="4229"/>
        <v>1.3231816913439034</v>
      </c>
      <c r="AN985" s="18">
        <f t="shared" si="4229"/>
        <v>2.6285417322382072</v>
      </c>
      <c r="AO985" s="18">
        <f t="shared" si="4229"/>
        <v>1.3053600408943036</v>
      </c>
      <c r="AP985" s="18">
        <f t="shared" si="4229"/>
        <v>1.3231816913439034</v>
      </c>
      <c r="AQ985" s="18">
        <f t="shared" si="4229"/>
        <v>2.6285417322382072</v>
      </c>
      <c r="AR985" s="18">
        <f t="shared" si="4229"/>
        <v>1.3053600408943036</v>
      </c>
      <c r="AS985" s="18">
        <f t="shared" si="4229"/>
        <v>1.3231816913439034</v>
      </c>
      <c r="AT985" s="18">
        <f t="shared" si="4229"/>
        <v>2.6285417322382072</v>
      </c>
      <c r="AU985" s="18">
        <f t="shared" si="4229"/>
        <v>1.3053600408943036</v>
      </c>
      <c r="AV985" s="18">
        <f t="shared" si="4229"/>
        <v>1.3231816913439034</v>
      </c>
      <c r="AW985" s="18">
        <f t="shared" ref="AW985:BR985" si="4230">AW983*AW262</f>
        <v>2.6285417322382072</v>
      </c>
      <c r="AX985" s="18">
        <f t="shared" si="4230"/>
        <v>1.3053600408943036</v>
      </c>
      <c r="AY985" s="18">
        <f t="shared" si="4230"/>
        <v>1.3231816913439034</v>
      </c>
      <c r="AZ985" s="18">
        <f t="shared" si="4230"/>
        <v>2.6285417322382072</v>
      </c>
      <c r="BA985" s="18">
        <f t="shared" si="4230"/>
        <v>1.3053600408943036</v>
      </c>
      <c r="BB985" s="18">
        <f t="shared" si="4230"/>
        <v>1.3231816913439034</v>
      </c>
      <c r="BC985" s="18">
        <f t="shared" si="4230"/>
        <v>2.6285417322382072</v>
      </c>
      <c r="BD985" s="18">
        <f t="shared" si="4230"/>
        <v>1.3053600408943036</v>
      </c>
      <c r="BE985" s="18">
        <f t="shared" si="4230"/>
        <v>1.3231816913439034</v>
      </c>
      <c r="BF985" s="18">
        <f t="shared" si="4230"/>
        <v>2.6285417322382072</v>
      </c>
      <c r="BG985" s="18">
        <f t="shared" si="4230"/>
        <v>1.3053600408943036</v>
      </c>
      <c r="BH985" s="18">
        <f t="shared" si="4230"/>
        <v>1.3231816913439034</v>
      </c>
      <c r="BI985" s="18">
        <f t="shared" si="4230"/>
        <v>2.6285417322382072</v>
      </c>
      <c r="BJ985" s="18">
        <f t="shared" si="4230"/>
        <v>1.3053600408943036</v>
      </c>
      <c r="BK985" s="18">
        <f t="shared" si="4230"/>
        <v>1.3231816913439034</v>
      </c>
      <c r="BL985" s="18">
        <f t="shared" si="4230"/>
        <v>2.6285417322382072</v>
      </c>
      <c r="BM985" s="18">
        <f t="shared" si="4230"/>
        <v>1.3053600408943036</v>
      </c>
      <c r="BN985" s="18">
        <f t="shared" si="4230"/>
        <v>1.3231816913439034</v>
      </c>
      <c r="BO985" s="18">
        <f t="shared" si="4230"/>
        <v>2.6285417322382072</v>
      </c>
      <c r="BP985" s="18">
        <f t="shared" si="4230"/>
        <v>1.3053600408943036</v>
      </c>
      <c r="BQ985" s="18">
        <f t="shared" si="4230"/>
        <v>1.3231816913439034</v>
      </c>
      <c r="BR985" s="18">
        <f t="shared" si="4230"/>
        <v>2.6285417322382072</v>
      </c>
    </row>
    <row r="986" spans="2:70" outlineLevel="2">
      <c r="B986" s="5"/>
      <c r="C986" s="511" t="s">
        <v>267</v>
      </c>
      <c r="D986" s="512" t="s">
        <v>85</v>
      </c>
      <c r="E986" s="512"/>
      <c r="F986" s="512"/>
      <c r="G986" s="512"/>
      <c r="H986" s="512"/>
      <c r="I986" s="512"/>
      <c r="J986" s="512"/>
      <c r="K986" s="512"/>
      <c r="L986" s="512"/>
      <c r="M986" s="512"/>
      <c r="N986" s="512"/>
      <c r="O986" s="512"/>
      <c r="P986" s="513"/>
      <c r="Q986" s="748">
        <f>(Q974-N974)*Q$262</f>
        <v>1.3585982980947593</v>
      </c>
      <c r="R986" s="748">
        <f>(R974-O974)*R$262</f>
        <v>7.7326400427269366</v>
      </c>
      <c r="S986" s="748">
        <f>SUM(Q986:R986)</f>
        <v>9.0912383408216968</v>
      </c>
      <c r="T986" s="748">
        <f>(T974-Q974)*T$262</f>
        <v>5.7174938465485692</v>
      </c>
      <c r="U986" s="748">
        <f>(U974-R974)*U$262</f>
        <v>0</v>
      </c>
      <c r="V986" s="748">
        <f>SUM(T986:U986)</f>
        <v>5.7174938465485692</v>
      </c>
      <c r="W986" s="748">
        <f>(W974-T974)*W$262</f>
        <v>0</v>
      </c>
      <c r="X986" s="748">
        <f>(X974-U974)*X$262</f>
        <v>0</v>
      </c>
      <c r="Y986" s="748">
        <f>SUM(W986:X986)</f>
        <v>0</v>
      </c>
      <c r="Z986" s="748">
        <f>(Z974-W974)*Z$262</f>
        <v>0</v>
      </c>
      <c r="AA986" s="748">
        <f>(AA974-X974)*AA$262</f>
        <v>0</v>
      </c>
      <c r="AB986" s="748">
        <f>SUM(Z986:AA986)</f>
        <v>0</v>
      </c>
      <c r="AC986" s="748">
        <f>(AC974-Z974)*AC$262</f>
        <v>0</v>
      </c>
      <c r="AD986" s="748">
        <f>(AD974-AA974)*AD$262</f>
        <v>0</v>
      </c>
      <c r="AE986" s="748">
        <f>SUM(AC986:AD986)</f>
        <v>0</v>
      </c>
      <c r="AF986" s="748">
        <f>(AF974-AC974)*AF$262</f>
        <v>0</v>
      </c>
      <c r="AG986" s="1033">
        <f t="shared" ref="AG986" si="4231">(AG974-AD974)*AG$262</f>
        <v>0</v>
      </c>
      <c r="AH986" s="748">
        <f>SUM(AF986:AG986)</f>
        <v>0</v>
      </c>
      <c r="AI986" s="748">
        <f t="shared" ref="AI986" si="4232">(AI974-AF974)*AI$262</f>
        <v>0</v>
      </c>
      <c r="AJ986" s="748">
        <f t="shared" ref="AJ986" si="4233">(AJ974-AG974)*AJ$262</f>
        <v>0</v>
      </c>
      <c r="AK986" s="748">
        <f t="shared" ref="AK986:AK988" si="4234">SUM(AI986:AJ986)</f>
        <v>0</v>
      </c>
      <c r="AL986" s="748">
        <f t="shared" ref="AL986" si="4235">(AL974-AI974)*AL$262</f>
        <v>0</v>
      </c>
      <c r="AM986" s="748">
        <f t="shared" ref="AM986" si="4236">(AM974-AJ974)*AM$262</f>
        <v>0</v>
      </c>
      <c r="AN986" s="748">
        <f t="shared" ref="AN986:AN988" si="4237">SUM(AL986:AM986)</f>
        <v>0</v>
      </c>
      <c r="AO986" s="748">
        <f t="shared" ref="AO986" si="4238">(AO974-AL974)*AO$262</f>
        <v>0</v>
      </c>
      <c r="AP986" s="748">
        <f t="shared" ref="AP986" si="4239">(AP974-AM974)*AP$262</f>
        <v>0</v>
      </c>
      <c r="AQ986" s="748">
        <f t="shared" ref="AQ986:AQ988" si="4240">SUM(AO986:AP986)</f>
        <v>0</v>
      </c>
      <c r="AR986" s="748">
        <f t="shared" ref="AR986" si="4241">(AR974-AO974)*AR$262</f>
        <v>0</v>
      </c>
      <c r="AS986" s="748">
        <f t="shared" ref="AS986" si="4242">(AS974-AP974)*AS$262</f>
        <v>0</v>
      </c>
      <c r="AT986" s="748">
        <f t="shared" ref="AT986:AT988" si="4243">SUM(AR986:AS986)</f>
        <v>0</v>
      </c>
      <c r="AU986" s="748">
        <f t="shared" ref="AU986" si="4244">(AU974-AR974)*AU$262</f>
        <v>0</v>
      </c>
      <c r="AV986" s="748">
        <f t="shared" ref="AV986" si="4245">(AV974-AS974)*AV$262</f>
        <v>0</v>
      </c>
      <c r="AW986" s="748">
        <f t="shared" ref="AW986:AW988" si="4246">SUM(AU986:AV986)</f>
        <v>0</v>
      </c>
      <c r="AX986" s="748">
        <f t="shared" ref="AX986" si="4247">(AX974-AU974)*AX$262</f>
        <v>0</v>
      </c>
      <c r="AY986" s="748">
        <f t="shared" ref="AY986" si="4248">(AY974-AV974)*AY$262</f>
        <v>0</v>
      </c>
      <c r="AZ986" s="748">
        <f t="shared" ref="AZ986:AZ988" si="4249">SUM(AX986:AY986)</f>
        <v>0</v>
      </c>
      <c r="BA986" s="748">
        <f t="shared" ref="BA986" si="4250">(BA974-AX974)*BA$262</f>
        <v>0</v>
      </c>
      <c r="BB986" s="748">
        <f t="shared" ref="BB986" si="4251">(BB974-AY974)*BB$262</f>
        <v>0</v>
      </c>
      <c r="BC986" s="748">
        <f t="shared" ref="BC986:BC988" si="4252">SUM(BA986:BB986)</f>
        <v>0</v>
      </c>
      <c r="BD986" s="748">
        <f t="shared" ref="BD986" si="4253">(BD974-BA974)*BD$262</f>
        <v>0</v>
      </c>
      <c r="BE986" s="748">
        <f t="shared" ref="BE986" si="4254">(BE974-BB974)*BE$262</f>
        <v>0</v>
      </c>
      <c r="BF986" s="748">
        <f t="shared" ref="BF986:BF988" si="4255">SUM(BD986:BE986)</f>
        <v>0</v>
      </c>
      <c r="BG986" s="748">
        <f t="shared" ref="BG986" si="4256">(BG974-BD974)*BG$262</f>
        <v>0</v>
      </c>
      <c r="BH986" s="748">
        <f t="shared" ref="BH986" si="4257">(BH974-BE974)*BH$262</f>
        <v>0</v>
      </c>
      <c r="BI986" s="748">
        <f t="shared" ref="BI986:BI988" si="4258">SUM(BG986:BH986)</f>
        <v>0</v>
      </c>
      <c r="BJ986" s="748">
        <f t="shared" ref="BJ986" si="4259">(BJ974-BG974)*BJ$262</f>
        <v>0</v>
      </c>
      <c r="BK986" s="748">
        <f t="shared" ref="BK986" si="4260">(BK974-BH974)*BK$262</f>
        <v>0</v>
      </c>
      <c r="BL986" s="748">
        <f t="shared" ref="BL986:BL988" si="4261">SUM(BJ986:BK986)</f>
        <v>0</v>
      </c>
      <c r="BM986" s="748">
        <f t="shared" ref="BM986" si="4262">(BM974-BJ974)*BM$262</f>
        <v>0</v>
      </c>
      <c r="BN986" s="748">
        <f t="shared" ref="BN986" si="4263">(BN974-BK974)*BN$262</f>
        <v>0</v>
      </c>
      <c r="BO986" s="748">
        <f t="shared" ref="BO986:BO988" si="4264">SUM(BM986:BN986)</f>
        <v>0</v>
      </c>
      <c r="BP986" s="748">
        <f t="shared" ref="BP986" si="4265">(BP974-BM974)*BP$262</f>
        <v>0</v>
      </c>
      <c r="BQ986" s="748">
        <f t="shared" ref="BQ986" si="4266">(BQ974-BN974)*BQ$262</f>
        <v>0</v>
      </c>
      <c r="BR986" s="787">
        <f t="shared" ref="BR986:BR988" si="4267">SUM(BP986:BQ986)</f>
        <v>0</v>
      </c>
    </row>
    <row r="987" spans="2:70" outlineLevel="2">
      <c r="B987" s="5"/>
      <c r="C987" s="516" t="s">
        <v>268</v>
      </c>
      <c r="D987" s="401" t="s">
        <v>85</v>
      </c>
      <c r="E987" s="401"/>
      <c r="F987" s="401"/>
      <c r="G987" s="401"/>
      <c r="H987" s="401"/>
      <c r="I987" s="401"/>
      <c r="J987" s="401"/>
      <c r="K987" s="401"/>
      <c r="L987" s="401"/>
      <c r="M987" s="401"/>
      <c r="N987" s="401"/>
      <c r="O987" s="401"/>
      <c r="P987" s="130"/>
      <c r="Q987" s="360">
        <f>(Q977-N977)*Q$262</f>
        <v>-4.0757948942842778E-2</v>
      </c>
      <c r="R987" s="360">
        <f>(R977-O977)*R$262</f>
        <v>-0.2319792012818081</v>
      </c>
      <c r="S987" s="360">
        <f>SUM(Q987:R987)</f>
        <v>-0.27273715022465089</v>
      </c>
      <c r="T987" s="360">
        <f>(T977-Q977)*T$262</f>
        <v>-0.17152481539645706</v>
      </c>
      <c r="U987" s="360">
        <f>(U977-R977)*U$262</f>
        <v>0</v>
      </c>
      <c r="V987" s="360">
        <f>SUM(T987:U987)</f>
        <v>-0.17152481539645706</v>
      </c>
      <c r="W987" s="360">
        <f>(W977-T977)*W$262</f>
        <v>0</v>
      </c>
      <c r="X987" s="360">
        <f>(X977-U977)*X$262</f>
        <v>0</v>
      </c>
      <c r="Y987" s="360">
        <f>SUM(W987:X987)</f>
        <v>0</v>
      </c>
      <c r="Z987" s="360">
        <f>(Z977-W977)*Z$262</f>
        <v>0</v>
      </c>
      <c r="AA987" s="360">
        <f>(AA977-X977)*AA$262</f>
        <v>0</v>
      </c>
      <c r="AB987" s="360">
        <f>SUM(Z987:AA987)</f>
        <v>0</v>
      </c>
      <c r="AC987" s="360">
        <f>(AC977-Z977)*AC$262</f>
        <v>0</v>
      </c>
      <c r="AD987" s="360">
        <f>(AD977-AA977)*AD$262</f>
        <v>0</v>
      </c>
      <c r="AE987" s="360">
        <f>SUM(AC987:AD987)</f>
        <v>0</v>
      </c>
      <c r="AF987" s="360">
        <f>(AF977-AC977)*AF$262</f>
        <v>0</v>
      </c>
      <c r="AG987" s="942">
        <f t="shared" ref="AG987" si="4268">(AG977-AD977)*AG$262</f>
        <v>0</v>
      </c>
      <c r="AH987" s="360">
        <f>SUM(AF987:AG987)</f>
        <v>0</v>
      </c>
      <c r="AI987" s="360">
        <f t="shared" ref="AI987" si="4269">(AI977-AF977)*AI$262</f>
        <v>0</v>
      </c>
      <c r="AJ987" s="360">
        <f t="shared" ref="AJ987" si="4270">(AJ977-AG977)*AJ$262</f>
        <v>0</v>
      </c>
      <c r="AK987" s="360">
        <f t="shared" si="4234"/>
        <v>0</v>
      </c>
      <c r="AL987" s="360">
        <f t="shared" ref="AL987" si="4271">(AL977-AI977)*AL$262</f>
        <v>0</v>
      </c>
      <c r="AM987" s="360">
        <f t="shared" ref="AM987" si="4272">(AM977-AJ977)*AM$262</f>
        <v>0</v>
      </c>
      <c r="AN987" s="360">
        <f t="shared" si="4237"/>
        <v>0</v>
      </c>
      <c r="AO987" s="360">
        <f t="shared" ref="AO987" si="4273">(AO977-AL977)*AO$262</f>
        <v>0</v>
      </c>
      <c r="AP987" s="360">
        <f t="shared" ref="AP987" si="4274">(AP977-AM977)*AP$262</f>
        <v>0</v>
      </c>
      <c r="AQ987" s="360">
        <f t="shared" si="4240"/>
        <v>0</v>
      </c>
      <c r="AR987" s="360">
        <f t="shared" ref="AR987" si="4275">(AR977-AO977)*AR$262</f>
        <v>0</v>
      </c>
      <c r="AS987" s="360">
        <f t="shared" ref="AS987" si="4276">(AS977-AP977)*AS$262</f>
        <v>0</v>
      </c>
      <c r="AT987" s="360">
        <f t="shared" si="4243"/>
        <v>0</v>
      </c>
      <c r="AU987" s="360">
        <f t="shared" ref="AU987" si="4277">(AU977-AR977)*AU$262</f>
        <v>0</v>
      </c>
      <c r="AV987" s="360">
        <f t="shared" ref="AV987" si="4278">(AV977-AS977)*AV$262</f>
        <v>0</v>
      </c>
      <c r="AW987" s="360">
        <f t="shared" si="4246"/>
        <v>0</v>
      </c>
      <c r="AX987" s="360">
        <f t="shared" ref="AX987" si="4279">(AX977-AU977)*AX$262</f>
        <v>0</v>
      </c>
      <c r="AY987" s="360">
        <f t="shared" ref="AY987" si="4280">(AY977-AV977)*AY$262</f>
        <v>0</v>
      </c>
      <c r="AZ987" s="360">
        <f t="shared" si="4249"/>
        <v>0</v>
      </c>
      <c r="BA987" s="360">
        <f t="shared" ref="BA987" si="4281">(BA977-AX977)*BA$262</f>
        <v>0</v>
      </c>
      <c r="BB987" s="360">
        <f t="shared" ref="BB987" si="4282">(BB977-AY977)*BB$262</f>
        <v>0</v>
      </c>
      <c r="BC987" s="360">
        <f t="shared" si="4252"/>
        <v>0</v>
      </c>
      <c r="BD987" s="360">
        <f t="shared" ref="BD987" si="4283">(BD977-BA977)*BD$262</f>
        <v>0</v>
      </c>
      <c r="BE987" s="360">
        <f t="shared" ref="BE987" si="4284">(BE977-BB977)*BE$262</f>
        <v>0</v>
      </c>
      <c r="BF987" s="360">
        <f t="shared" si="4255"/>
        <v>0</v>
      </c>
      <c r="BG987" s="360">
        <f t="shared" ref="BG987" si="4285">(BG977-BD977)*BG$262</f>
        <v>0</v>
      </c>
      <c r="BH987" s="360">
        <f t="shared" ref="BH987" si="4286">(BH977-BE977)*BH$262</f>
        <v>0</v>
      </c>
      <c r="BI987" s="360">
        <f t="shared" si="4258"/>
        <v>0</v>
      </c>
      <c r="BJ987" s="360">
        <f t="shared" ref="BJ987" si="4287">(BJ977-BG977)*BJ$262</f>
        <v>0</v>
      </c>
      <c r="BK987" s="360">
        <f t="shared" ref="BK987" si="4288">(BK977-BH977)*BK$262</f>
        <v>0</v>
      </c>
      <c r="BL987" s="360">
        <f t="shared" si="4261"/>
        <v>0</v>
      </c>
      <c r="BM987" s="360">
        <f t="shared" ref="BM987" si="4289">(BM977-BJ977)*BM$262</f>
        <v>0</v>
      </c>
      <c r="BN987" s="360">
        <f t="shared" ref="BN987" si="4290">(BN977-BK977)*BN$262</f>
        <v>0</v>
      </c>
      <c r="BO987" s="360">
        <f t="shared" si="4264"/>
        <v>0</v>
      </c>
      <c r="BP987" s="360">
        <f t="shared" ref="BP987" si="4291">(BP977-BM977)*BP$262</f>
        <v>0</v>
      </c>
      <c r="BQ987" s="360">
        <f t="shared" ref="BQ987" si="4292">(BQ977-BN977)*BQ$262</f>
        <v>0</v>
      </c>
      <c r="BR987" s="788">
        <f t="shared" si="4267"/>
        <v>0</v>
      </c>
    </row>
    <row r="988" spans="2:70" outlineLevel="2">
      <c r="B988" s="5"/>
      <c r="C988" s="518" t="s">
        <v>269</v>
      </c>
      <c r="D988" s="519" t="s">
        <v>85</v>
      </c>
      <c r="E988" s="519"/>
      <c r="F988" s="519"/>
      <c r="G988" s="519"/>
      <c r="H988" s="519"/>
      <c r="I988" s="519"/>
      <c r="J988" s="519"/>
      <c r="K988" s="519"/>
      <c r="L988" s="519"/>
      <c r="M988" s="519"/>
      <c r="N988" s="519"/>
      <c r="O988" s="519"/>
      <c r="P988" s="520"/>
      <c r="Q988" s="749">
        <f>(Q983-N983)*Q$262</f>
        <v>0.20378974471421391</v>
      </c>
      <c r="R988" s="749">
        <f>(R983-O983)*R$262</f>
        <v>1.1598960064090407</v>
      </c>
      <c r="S988" s="749">
        <f>SUM(Q988:R988)</f>
        <v>1.3636857511232545</v>
      </c>
      <c r="T988" s="749">
        <f>(T983-Q983)*T$262</f>
        <v>0.99484392929945109</v>
      </c>
      <c r="U988" s="749">
        <f>(U983-R983)*U$262</f>
        <v>0.13346634457522255</v>
      </c>
      <c r="V988" s="749">
        <f>SUM(T988:U988)</f>
        <v>1.1283102738746735</v>
      </c>
      <c r="W988" s="749">
        <f>(W983-T983)*W$262</f>
        <v>0.13827936457109502</v>
      </c>
      <c r="X988" s="749">
        <f>(X983-U983)*X$262</f>
        <v>0.1400881111883957</v>
      </c>
      <c r="Y988" s="749">
        <f>SUM(W988:X988)</f>
        <v>0.27836747575949072</v>
      </c>
      <c r="Z988" s="749">
        <f>(Z983-W983)*Z$262</f>
        <v>0</v>
      </c>
      <c r="AA988" s="749">
        <f>(AA983-X983)*AA$262</f>
        <v>0</v>
      </c>
      <c r="AB988" s="749">
        <f>SUM(Z988:AA988)</f>
        <v>0</v>
      </c>
      <c r="AC988" s="749">
        <f>(AC983-Z983)*AC$262</f>
        <v>0</v>
      </c>
      <c r="AD988" s="749">
        <f>(AD983-AA983)*AD$262</f>
        <v>0</v>
      </c>
      <c r="AE988" s="749">
        <f>SUM(AC988:AD988)</f>
        <v>0</v>
      </c>
      <c r="AF988" s="749">
        <f>(AF983-AC983)*AF$262</f>
        <v>0</v>
      </c>
      <c r="AG988" s="1034">
        <f t="shared" ref="AG988" si="4293">(AG983-AD983)*AG$262</f>
        <v>0</v>
      </c>
      <c r="AH988" s="749">
        <f>SUM(AF988:AG988)</f>
        <v>0</v>
      </c>
      <c r="AI988" s="749">
        <f t="shared" ref="AI988" si="4294">(AI983-AF983)*AI$262</f>
        <v>0</v>
      </c>
      <c r="AJ988" s="749">
        <f t="shared" ref="AJ988" si="4295">(AJ983-AG983)*AJ$262</f>
        <v>0</v>
      </c>
      <c r="AK988" s="749">
        <f t="shared" si="4234"/>
        <v>0</v>
      </c>
      <c r="AL988" s="749">
        <f t="shared" ref="AL988" si="4296">(AL983-AI983)*AL$262</f>
        <v>0</v>
      </c>
      <c r="AM988" s="749">
        <f t="shared" ref="AM988" si="4297">(AM983-AJ983)*AM$262</f>
        <v>0</v>
      </c>
      <c r="AN988" s="749">
        <f t="shared" si="4237"/>
        <v>0</v>
      </c>
      <c r="AO988" s="749">
        <f t="shared" ref="AO988" si="4298">(AO983-AL983)*AO$262</f>
        <v>0</v>
      </c>
      <c r="AP988" s="749">
        <f t="shared" ref="AP988" si="4299">(AP983-AM983)*AP$262</f>
        <v>0</v>
      </c>
      <c r="AQ988" s="749">
        <f t="shared" si="4240"/>
        <v>0</v>
      </c>
      <c r="AR988" s="749">
        <f t="shared" ref="AR988" si="4300">(AR983-AO983)*AR$262</f>
        <v>0</v>
      </c>
      <c r="AS988" s="749">
        <f t="shared" ref="AS988" si="4301">(AS983-AP983)*AS$262</f>
        <v>0</v>
      </c>
      <c r="AT988" s="749">
        <f t="shared" si="4243"/>
        <v>0</v>
      </c>
      <c r="AU988" s="749">
        <f t="shared" ref="AU988" si="4302">(AU983-AR983)*AU$262</f>
        <v>0</v>
      </c>
      <c r="AV988" s="749">
        <f t="shared" ref="AV988" si="4303">(AV983-AS983)*AV$262</f>
        <v>0</v>
      </c>
      <c r="AW988" s="749">
        <f t="shared" si="4246"/>
        <v>0</v>
      </c>
      <c r="AX988" s="749">
        <f t="shared" ref="AX988" si="4304">(AX983-AU983)*AX$262</f>
        <v>0</v>
      </c>
      <c r="AY988" s="749">
        <f t="shared" ref="AY988" si="4305">(AY983-AV983)*AY$262</f>
        <v>0</v>
      </c>
      <c r="AZ988" s="749">
        <f t="shared" si="4249"/>
        <v>0</v>
      </c>
      <c r="BA988" s="749">
        <f t="shared" ref="BA988" si="4306">(BA983-AX983)*BA$262</f>
        <v>0</v>
      </c>
      <c r="BB988" s="749">
        <f t="shared" ref="BB988" si="4307">(BB983-AY983)*BB$262</f>
        <v>0</v>
      </c>
      <c r="BC988" s="749">
        <f t="shared" si="4252"/>
        <v>0</v>
      </c>
      <c r="BD988" s="749">
        <f t="shared" ref="BD988" si="4308">(BD983-BA983)*BD$262</f>
        <v>0</v>
      </c>
      <c r="BE988" s="749">
        <f t="shared" ref="BE988" si="4309">(BE983-BB983)*BE$262</f>
        <v>0</v>
      </c>
      <c r="BF988" s="749">
        <f t="shared" si="4255"/>
        <v>0</v>
      </c>
      <c r="BG988" s="749">
        <f t="shared" ref="BG988" si="4310">(BG983-BD983)*BG$262</f>
        <v>0</v>
      </c>
      <c r="BH988" s="749">
        <f t="shared" ref="BH988" si="4311">(BH983-BE983)*BH$262</f>
        <v>0</v>
      </c>
      <c r="BI988" s="749">
        <f t="shared" si="4258"/>
        <v>0</v>
      </c>
      <c r="BJ988" s="749">
        <f t="shared" ref="BJ988" si="4312">(BJ983-BG983)*BJ$262</f>
        <v>0</v>
      </c>
      <c r="BK988" s="749">
        <f t="shared" ref="BK988" si="4313">(BK983-BH983)*BK$262</f>
        <v>0</v>
      </c>
      <c r="BL988" s="749">
        <f t="shared" si="4261"/>
        <v>0</v>
      </c>
      <c r="BM988" s="749">
        <f t="shared" ref="BM988" si="4314">(BM983-BJ983)*BM$262</f>
        <v>0</v>
      </c>
      <c r="BN988" s="749">
        <f t="shared" ref="BN988" si="4315">(BN983-BK983)*BN$262</f>
        <v>0</v>
      </c>
      <c r="BO988" s="749">
        <f t="shared" si="4264"/>
        <v>0</v>
      </c>
      <c r="BP988" s="749">
        <f t="shared" ref="BP988" si="4316">(BP983-BM983)*BP$262</f>
        <v>0</v>
      </c>
      <c r="BQ988" s="749">
        <f t="shared" ref="BQ988" si="4317">(BQ983-BN983)*BQ$262</f>
        <v>0</v>
      </c>
      <c r="BR988" s="789">
        <f t="shared" si="4267"/>
        <v>0</v>
      </c>
    </row>
    <row r="989" spans="2:70" outlineLevel="2">
      <c r="B989" s="5"/>
      <c r="C989" s="84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  <c r="AA989" s="156"/>
      <c r="AB989" s="156"/>
      <c r="AC989" s="30"/>
      <c r="AD989" s="30"/>
      <c r="AE989" s="168"/>
      <c r="AF989" s="176"/>
      <c r="AG989" s="1037"/>
      <c r="AH989" s="347"/>
      <c r="AI989" s="178"/>
      <c r="AJ989" s="178"/>
      <c r="AK989" s="347"/>
      <c r="AL989" s="178"/>
      <c r="AM989" s="178"/>
      <c r="AN989" s="347"/>
      <c r="AO989" s="178"/>
      <c r="AP989" s="178"/>
      <c r="AQ989" s="347"/>
      <c r="AR989" s="178"/>
      <c r="AS989" s="178"/>
      <c r="AT989" s="347"/>
      <c r="AU989" s="178"/>
      <c r="AV989" s="178"/>
      <c r="AW989" s="347"/>
      <c r="AX989" s="178"/>
      <c r="AY989" s="178"/>
      <c r="AZ989" s="347"/>
      <c r="BA989" s="178"/>
      <c r="BB989" s="178"/>
      <c r="BC989" s="347"/>
      <c r="BD989" s="178"/>
      <c r="BE989" s="178"/>
      <c r="BF989" s="347"/>
      <c r="BG989" s="178"/>
      <c r="BH989" s="178"/>
      <c r="BI989" s="347"/>
      <c r="BJ989" s="178"/>
      <c r="BK989" s="178"/>
      <c r="BL989" s="347"/>
      <c r="BM989" s="178"/>
      <c r="BN989" s="178"/>
      <c r="BO989" s="347"/>
      <c r="BP989" s="178"/>
      <c r="BQ989" s="178"/>
      <c r="BR989" s="347"/>
    </row>
    <row r="990" spans="2:70" outlineLevel="2">
      <c r="B990" s="5"/>
      <c r="C990" s="8" t="s">
        <v>520</v>
      </c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AF990" s="26"/>
      <c r="AG990" s="933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8"/>
      <c r="BC990" s="18"/>
      <c r="BD990" s="18"/>
      <c r="BE990" s="18"/>
      <c r="BF990" s="18"/>
      <c r="BG990" s="18"/>
      <c r="BH990" s="18"/>
      <c r="BI990" s="18"/>
      <c r="BJ990" s="18"/>
      <c r="BK990" s="18"/>
      <c r="BL990" s="18"/>
      <c r="BM990" s="18"/>
      <c r="BN990" s="18"/>
      <c r="BO990" s="18"/>
      <c r="BP990" s="18"/>
      <c r="BQ990" s="18"/>
      <c r="BR990" s="18"/>
    </row>
    <row r="991" spans="2:70" outlineLevel="2">
      <c r="B991" s="5"/>
      <c r="C991" s="9" t="s">
        <v>266</v>
      </c>
      <c r="D991" s="31"/>
      <c r="E991" s="7"/>
      <c r="F991" s="7"/>
      <c r="G991" s="7"/>
      <c r="H991" s="7"/>
      <c r="I991" s="7"/>
      <c r="J991" s="7"/>
      <c r="K991" s="7"/>
      <c r="L991" s="7"/>
      <c r="M991" s="790" t="s">
        <v>82</v>
      </c>
      <c r="N991" s="7"/>
      <c r="O991" s="7"/>
      <c r="Q991" s="130"/>
      <c r="AF991" s="26"/>
      <c r="AG991" s="933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8"/>
      <c r="BC991" s="18"/>
      <c r="BD991" s="18"/>
      <c r="BE991" s="18"/>
      <c r="BF991" s="18"/>
      <c r="BG991" s="18"/>
      <c r="BH991" s="18"/>
      <c r="BI991" s="18"/>
      <c r="BJ991" s="18"/>
      <c r="BK991" s="18"/>
      <c r="BL991" s="18"/>
      <c r="BM991" s="18"/>
      <c r="BN991" s="18"/>
      <c r="BO991" s="18"/>
      <c r="BP991" s="18"/>
      <c r="BQ991" s="18"/>
      <c r="BR991" s="18"/>
    </row>
    <row r="992" spans="2:70" outlineLevel="2">
      <c r="B992" s="5"/>
      <c r="C992" s="9" t="s">
        <v>262</v>
      </c>
      <c r="D992" s="74"/>
      <c r="E992" s="7"/>
      <c r="F992" s="7"/>
      <c r="G992" s="7"/>
      <c r="H992" s="7"/>
      <c r="I992" s="7"/>
      <c r="J992" s="7"/>
      <c r="K992" s="7"/>
      <c r="L992" s="7"/>
      <c r="M992" s="764">
        <v>41107</v>
      </c>
      <c r="N992" s="7"/>
      <c r="O992" s="7"/>
      <c r="Q992" s="357"/>
      <c r="AF992" s="26"/>
      <c r="AG992" s="933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8"/>
      <c r="BC992" s="18"/>
      <c r="BD992" s="18"/>
      <c r="BE992" s="18"/>
      <c r="BF992" s="18"/>
      <c r="BG992" s="18"/>
      <c r="BH992" s="18"/>
      <c r="BI992" s="18"/>
      <c r="BJ992" s="18"/>
      <c r="BK992" s="18"/>
      <c r="BL992" s="18"/>
      <c r="BM992" s="18"/>
      <c r="BN992" s="18"/>
      <c r="BO992" s="18"/>
      <c r="BP992" s="18"/>
      <c r="BQ992" s="18"/>
      <c r="BR992" s="18"/>
    </row>
    <row r="993" spans="2:70" outlineLevel="2">
      <c r="B993" s="5"/>
      <c r="C993" s="84" t="s">
        <v>72</v>
      </c>
      <c r="D993" s="31" t="s">
        <v>58</v>
      </c>
      <c r="E993" s="7"/>
      <c r="F993" s="7"/>
      <c r="G993" s="7"/>
      <c r="H993" s="7"/>
      <c r="I993" s="7"/>
      <c r="J993" s="7"/>
      <c r="K993" s="7"/>
      <c r="L993" s="7"/>
      <c r="M993" s="765">
        <v>40</v>
      </c>
      <c r="N993" s="7"/>
      <c r="O993" s="7"/>
      <c r="Q993" s="358"/>
      <c r="AF993" s="26"/>
      <c r="AG993" s="933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8"/>
      <c r="BC993" s="18"/>
      <c r="BD993" s="18"/>
      <c r="BE993" s="18"/>
      <c r="BF993" s="18"/>
      <c r="BG993" s="18"/>
      <c r="BH993" s="18"/>
      <c r="BI993" s="18"/>
      <c r="BJ993" s="18"/>
      <c r="BK993" s="18"/>
      <c r="BL993" s="18"/>
      <c r="BM993" s="18"/>
      <c r="BN993" s="18"/>
      <c r="BO993" s="18"/>
      <c r="BP993" s="18"/>
      <c r="BQ993" s="18"/>
      <c r="BR993" s="18"/>
    </row>
    <row r="994" spans="2:70" outlineLevel="2">
      <c r="B994" s="5"/>
      <c r="C994" s="84" t="s">
        <v>76</v>
      </c>
      <c r="D994" s="74" t="s">
        <v>77</v>
      </c>
      <c r="E994" s="7"/>
      <c r="F994" s="7"/>
      <c r="G994" s="7"/>
      <c r="H994" s="7"/>
      <c r="I994" s="7"/>
      <c r="J994" s="7"/>
      <c r="K994" s="7"/>
      <c r="L994" s="7"/>
      <c r="M994" s="766"/>
      <c r="N994" s="7"/>
      <c r="O994" s="7"/>
      <c r="Q994" s="27"/>
      <c r="AF994" s="26"/>
      <c r="AG994" s="933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8"/>
      <c r="BC994" s="18"/>
      <c r="BD994" s="18"/>
      <c r="BE994" s="18"/>
      <c r="BF994" s="18"/>
      <c r="BG994" s="18"/>
      <c r="BH994" s="18"/>
      <c r="BI994" s="18"/>
      <c r="BJ994" s="18"/>
      <c r="BK994" s="18"/>
      <c r="BL994" s="18"/>
      <c r="BM994" s="18"/>
      <c r="BN994" s="18"/>
      <c r="BO994" s="18"/>
      <c r="BP994" s="18"/>
      <c r="BQ994" s="18"/>
      <c r="BR994" s="18"/>
    </row>
    <row r="995" spans="2:70" outlineLevel="2">
      <c r="B995" s="5"/>
      <c r="C995" s="84" t="s">
        <v>55</v>
      </c>
      <c r="D995" s="31" t="s">
        <v>58</v>
      </c>
      <c r="E995" s="7"/>
      <c r="F995" s="7"/>
      <c r="G995" s="7"/>
      <c r="H995" s="7"/>
      <c r="I995" s="7"/>
      <c r="J995" s="7"/>
      <c r="K995" s="7"/>
      <c r="L995" s="7"/>
      <c r="M995" s="765">
        <v>30</v>
      </c>
      <c r="N995" s="7"/>
      <c r="O995" s="7"/>
      <c r="Q995" s="360">
        <f>M995*0.5</f>
        <v>15</v>
      </c>
      <c r="R995" s="6">
        <f>M995*0.5</f>
        <v>15</v>
      </c>
      <c r="S995" s="405">
        <f>SUM(Q995:R995)</f>
        <v>30</v>
      </c>
      <c r="T995" s="149">
        <f>V995*0.5</f>
        <v>15</v>
      </c>
      <c r="U995" s="19">
        <f>V995*0.5</f>
        <v>15</v>
      </c>
      <c r="V995" s="389">
        <f>M995</f>
        <v>30</v>
      </c>
      <c r="W995" s="149">
        <f t="shared" ref="W995:W996" si="4318">Y995*0.5</f>
        <v>15</v>
      </c>
      <c r="X995" s="19">
        <f t="shared" ref="X995:X996" si="4319">Y995*0.5</f>
        <v>15</v>
      </c>
      <c r="Y995" s="389">
        <f>V995</f>
        <v>30</v>
      </c>
      <c r="Z995" s="149">
        <f t="shared" ref="Z995:Z996" si="4320">AB995*0.5</f>
        <v>15</v>
      </c>
      <c r="AA995" s="19">
        <f t="shared" ref="AA995:AA996" si="4321">AB995*0.5</f>
        <v>15</v>
      </c>
      <c r="AB995" s="389">
        <f>Y995</f>
        <v>30</v>
      </c>
      <c r="AC995" s="149">
        <f t="shared" ref="AC995:AC996" si="4322">AE995*0.5</f>
        <v>15</v>
      </c>
      <c r="AD995" s="19">
        <f t="shared" ref="AD995:AD996" si="4323">AE995*0.5</f>
        <v>15</v>
      </c>
      <c r="AE995" s="389">
        <f>AB995</f>
        <v>30</v>
      </c>
      <c r="AF995" s="149">
        <f t="shared" ref="AF995:AF996" si="4324">AH995*0.5</f>
        <v>15</v>
      </c>
      <c r="AG995" s="943">
        <f t="shared" ref="AG995:AG996" si="4325">AH995*0.5</f>
        <v>15</v>
      </c>
      <c r="AH995" s="389">
        <f>AE995</f>
        <v>30</v>
      </c>
      <c r="AI995" s="149">
        <f t="shared" ref="AI995:AI996" si="4326">AK995*0.5</f>
        <v>15</v>
      </c>
      <c r="AJ995" s="19">
        <f t="shared" ref="AJ995:AJ996" si="4327">AK995*0.5</f>
        <v>15</v>
      </c>
      <c r="AK995" s="389">
        <f>AH995</f>
        <v>30</v>
      </c>
      <c r="AL995" s="149">
        <f t="shared" ref="AL995:AL996" si="4328">AN995*0.5</f>
        <v>15</v>
      </c>
      <c r="AM995" s="19">
        <f t="shared" ref="AM995:AM996" si="4329">AN995*0.5</f>
        <v>15</v>
      </c>
      <c r="AN995" s="389">
        <f>AK995</f>
        <v>30</v>
      </c>
      <c r="AO995" s="149">
        <f t="shared" ref="AO995:AO996" si="4330">AQ995*0.5</f>
        <v>15</v>
      </c>
      <c r="AP995" s="19">
        <f t="shared" ref="AP995:AP996" si="4331">AQ995*0.5</f>
        <v>15</v>
      </c>
      <c r="AQ995" s="389">
        <f>AN995</f>
        <v>30</v>
      </c>
      <c r="AR995" s="149">
        <f t="shared" ref="AR995:AR996" si="4332">AT995*0.5</f>
        <v>15</v>
      </c>
      <c r="AS995" s="19">
        <f t="shared" ref="AS995:AS996" si="4333">AT995*0.5</f>
        <v>15</v>
      </c>
      <c r="AT995" s="389">
        <f>AQ995</f>
        <v>30</v>
      </c>
      <c r="AU995" s="149">
        <f t="shared" ref="AU995:AU996" si="4334">AW995*0.5</f>
        <v>15</v>
      </c>
      <c r="AV995" s="19">
        <f t="shared" ref="AV995:AV996" si="4335">AW995*0.5</f>
        <v>15</v>
      </c>
      <c r="AW995" s="389">
        <f>AT995</f>
        <v>30</v>
      </c>
      <c r="AX995" s="149">
        <f t="shared" ref="AX995:AX996" si="4336">AZ995*0.5</f>
        <v>15</v>
      </c>
      <c r="AY995" s="19">
        <f t="shared" ref="AY995:AY996" si="4337">AZ995*0.5</f>
        <v>15</v>
      </c>
      <c r="AZ995" s="389">
        <f>AW995</f>
        <v>30</v>
      </c>
      <c r="BA995" s="149">
        <f t="shared" ref="BA995:BA996" si="4338">BC995*0.5</f>
        <v>15</v>
      </c>
      <c r="BB995" s="19">
        <f t="shared" ref="BB995:BB996" si="4339">BC995*0.5</f>
        <v>15</v>
      </c>
      <c r="BC995" s="389">
        <f>AZ995</f>
        <v>30</v>
      </c>
      <c r="BD995" s="149">
        <f t="shared" ref="BD995:BD996" si="4340">BF995*0.5</f>
        <v>15</v>
      </c>
      <c r="BE995" s="19">
        <f t="shared" ref="BE995:BE996" si="4341">BF995*0.5</f>
        <v>15</v>
      </c>
      <c r="BF995" s="389">
        <f>BC995</f>
        <v>30</v>
      </c>
      <c r="BG995" s="149">
        <f t="shared" ref="BG995:BG996" si="4342">BI995*0.5</f>
        <v>15</v>
      </c>
      <c r="BH995" s="19">
        <f t="shared" ref="BH995:BH996" si="4343">BI995*0.5</f>
        <v>15</v>
      </c>
      <c r="BI995" s="389">
        <f>BF995</f>
        <v>30</v>
      </c>
      <c r="BJ995" s="149">
        <f t="shared" ref="BJ995:BJ996" si="4344">BL995*0.5</f>
        <v>15</v>
      </c>
      <c r="BK995" s="19">
        <f t="shared" ref="BK995:BK996" si="4345">BL995*0.5</f>
        <v>15</v>
      </c>
      <c r="BL995" s="389">
        <f>BI995</f>
        <v>30</v>
      </c>
      <c r="BM995" s="149">
        <f t="shared" ref="BM995:BM996" si="4346">BO995*0.5</f>
        <v>15</v>
      </c>
      <c r="BN995" s="19">
        <f t="shared" ref="BN995:BN996" si="4347">BO995*0.5</f>
        <v>15</v>
      </c>
      <c r="BO995" s="389">
        <f>BL995</f>
        <v>30</v>
      </c>
      <c r="BP995" s="149">
        <f t="shared" ref="BP995:BP996" si="4348">BR995*0.5</f>
        <v>15</v>
      </c>
      <c r="BQ995" s="19">
        <f t="shared" ref="BQ995:BQ996" si="4349">BR995*0.5</f>
        <v>15</v>
      </c>
      <c r="BR995" s="389">
        <f>BO995</f>
        <v>30</v>
      </c>
    </row>
    <row r="996" spans="2:70" outlineLevel="2">
      <c r="B996" s="5"/>
      <c r="C996" s="84" t="s">
        <v>56</v>
      </c>
      <c r="D996" s="31" t="s">
        <v>58</v>
      </c>
      <c r="E996" s="7"/>
      <c r="F996" s="7"/>
      <c r="G996" s="7"/>
      <c r="H996" s="7"/>
      <c r="I996" s="7"/>
      <c r="J996" s="7"/>
      <c r="K996" s="7"/>
      <c r="L996" s="7"/>
      <c r="M996" s="767">
        <f>M999-M998</f>
        <v>7.4</v>
      </c>
      <c r="N996" s="7"/>
      <c r="O996" s="7"/>
      <c r="Q996" s="360">
        <f>M996*0.5</f>
        <v>3.7</v>
      </c>
      <c r="R996" s="6">
        <f>M996*0.5</f>
        <v>3.7</v>
      </c>
      <c r="S996" s="167">
        <f>SUM(Q996:R996)</f>
        <v>7.4</v>
      </c>
      <c r="T996" s="149">
        <f>V996*0.5</f>
        <v>3.7</v>
      </c>
      <c r="U996" s="19">
        <f>V996*0.5</f>
        <v>3.7</v>
      </c>
      <c r="V996" s="167">
        <f>V995*V997</f>
        <v>7.4</v>
      </c>
      <c r="W996" s="149">
        <f t="shared" si="4318"/>
        <v>3.7</v>
      </c>
      <c r="X996" s="19">
        <f t="shared" si="4319"/>
        <v>3.7</v>
      </c>
      <c r="Y996" s="167">
        <f t="shared" ref="Y996" si="4350">Y995*Y997</f>
        <v>7.4</v>
      </c>
      <c r="Z996" s="149">
        <f t="shared" si="4320"/>
        <v>3.7</v>
      </c>
      <c r="AA996" s="19">
        <f t="shared" si="4321"/>
        <v>3.7</v>
      </c>
      <c r="AB996" s="167">
        <f t="shared" ref="AB996" si="4351">AB995*AB997</f>
        <v>7.4</v>
      </c>
      <c r="AC996" s="149">
        <f t="shared" si="4322"/>
        <v>3.7</v>
      </c>
      <c r="AD996" s="19">
        <f t="shared" si="4323"/>
        <v>3.7</v>
      </c>
      <c r="AE996" s="167">
        <f t="shared" ref="AE996" si="4352">AE995*AE997</f>
        <v>7.4</v>
      </c>
      <c r="AF996" s="149">
        <f t="shared" si="4324"/>
        <v>3.7</v>
      </c>
      <c r="AG996" s="943">
        <f t="shared" si="4325"/>
        <v>3.7</v>
      </c>
      <c r="AH996" s="167">
        <f t="shared" ref="AH996" si="4353">AH995*AH997</f>
        <v>7.4</v>
      </c>
      <c r="AI996" s="149">
        <f t="shared" si="4326"/>
        <v>3.7</v>
      </c>
      <c r="AJ996" s="19">
        <f t="shared" si="4327"/>
        <v>3.7</v>
      </c>
      <c r="AK996" s="167">
        <f t="shared" ref="AK996" si="4354">AK995*AK997</f>
        <v>7.4</v>
      </c>
      <c r="AL996" s="149">
        <f t="shared" si="4328"/>
        <v>3.7</v>
      </c>
      <c r="AM996" s="19">
        <f t="shared" si="4329"/>
        <v>3.7</v>
      </c>
      <c r="AN996" s="167">
        <f t="shared" ref="AN996" si="4355">AN995*AN997</f>
        <v>7.4</v>
      </c>
      <c r="AO996" s="149">
        <f t="shared" si="4330"/>
        <v>3.7</v>
      </c>
      <c r="AP996" s="19">
        <f t="shared" si="4331"/>
        <v>3.7</v>
      </c>
      <c r="AQ996" s="167">
        <f t="shared" ref="AQ996" si="4356">AQ995*AQ997</f>
        <v>7.4</v>
      </c>
      <c r="AR996" s="149">
        <f t="shared" si="4332"/>
        <v>3.7</v>
      </c>
      <c r="AS996" s="19">
        <f t="shared" si="4333"/>
        <v>3.7</v>
      </c>
      <c r="AT996" s="167">
        <f t="shared" ref="AT996" si="4357">AT995*AT997</f>
        <v>7.4</v>
      </c>
      <c r="AU996" s="149">
        <f t="shared" si="4334"/>
        <v>3.7</v>
      </c>
      <c r="AV996" s="19">
        <f t="shared" si="4335"/>
        <v>3.7</v>
      </c>
      <c r="AW996" s="167">
        <f t="shared" ref="AW996" si="4358">AW995*AW997</f>
        <v>7.4</v>
      </c>
      <c r="AX996" s="149">
        <f t="shared" si="4336"/>
        <v>3.7</v>
      </c>
      <c r="AY996" s="19">
        <f t="shared" si="4337"/>
        <v>3.7</v>
      </c>
      <c r="AZ996" s="167">
        <f t="shared" ref="AZ996" si="4359">AZ995*AZ997</f>
        <v>7.4</v>
      </c>
      <c r="BA996" s="149">
        <f t="shared" si="4338"/>
        <v>3.7</v>
      </c>
      <c r="BB996" s="19">
        <f t="shared" si="4339"/>
        <v>3.7</v>
      </c>
      <c r="BC996" s="167">
        <f t="shared" ref="BC996" si="4360">BC995*BC997</f>
        <v>7.4</v>
      </c>
      <c r="BD996" s="149">
        <f t="shared" si="4340"/>
        <v>3.7</v>
      </c>
      <c r="BE996" s="19">
        <f t="shared" si="4341"/>
        <v>3.7</v>
      </c>
      <c r="BF996" s="167">
        <f t="shared" ref="BF996" si="4361">BF995*BF997</f>
        <v>7.4</v>
      </c>
      <c r="BG996" s="149">
        <f t="shared" si="4342"/>
        <v>3.7</v>
      </c>
      <c r="BH996" s="19">
        <f t="shared" si="4343"/>
        <v>3.7</v>
      </c>
      <c r="BI996" s="167">
        <f t="shared" ref="BI996" si="4362">BI995*BI997</f>
        <v>7.4</v>
      </c>
      <c r="BJ996" s="149">
        <f t="shared" si="4344"/>
        <v>3.7</v>
      </c>
      <c r="BK996" s="19">
        <f t="shared" si="4345"/>
        <v>3.7</v>
      </c>
      <c r="BL996" s="167">
        <f t="shared" ref="BL996" si="4363">BL995*BL997</f>
        <v>7.4</v>
      </c>
      <c r="BM996" s="149">
        <f t="shared" si="4346"/>
        <v>3.7</v>
      </c>
      <c r="BN996" s="19">
        <f t="shared" si="4347"/>
        <v>3.7</v>
      </c>
      <c r="BO996" s="167">
        <f t="shared" ref="BO996" si="4364">BO995*BO997</f>
        <v>7.4</v>
      </c>
      <c r="BP996" s="149">
        <f t="shared" si="4348"/>
        <v>3.7</v>
      </c>
      <c r="BQ996" s="19">
        <f t="shared" si="4349"/>
        <v>3.7</v>
      </c>
      <c r="BR996" s="167">
        <f t="shared" ref="BR996" si="4365">BR995*BR997</f>
        <v>7.4</v>
      </c>
    </row>
    <row r="997" spans="2:70" outlineLevel="2">
      <c r="B997" s="5"/>
      <c r="C997" s="84" t="s">
        <v>73</v>
      </c>
      <c r="D997" s="31" t="s">
        <v>66</v>
      </c>
      <c r="E997" s="7"/>
      <c r="F997" s="7"/>
      <c r="G997" s="7"/>
      <c r="H997" s="7"/>
      <c r="I997" s="7"/>
      <c r="J997" s="7"/>
      <c r="K997" s="7"/>
      <c r="L997" s="7"/>
      <c r="M997" s="768">
        <f>M996/M995</f>
        <v>0.24666666666666667</v>
      </c>
      <c r="N997" s="7"/>
      <c r="O997" s="7"/>
      <c r="Q997" s="133">
        <f t="shared" ref="Q997:U997" si="4366">Q996/Q995</f>
        <v>0.24666666666666667</v>
      </c>
      <c r="R997" s="133">
        <f t="shared" si="4366"/>
        <v>0.24666666666666667</v>
      </c>
      <c r="S997" s="133">
        <f t="shared" si="4366"/>
        <v>0.24666666666666667</v>
      </c>
      <c r="T997" s="133">
        <f t="shared" si="4366"/>
        <v>0.24666666666666667</v>
      </c>
      <c r="U997" s="133">
        <f t="shared" si="4366"/>
        <v>0.24666666666666667</v>
      </c>
      <c r="V997" s="133">
        <f>S997</f>
        <v>0.24666666666666667</v>
      </c>
      <c r="W997" s="133">
        <f t="shared" ref="W997" si="4367">W996/W995</f>
        <v>0.24666666666666667</v>
      </c>
      <c r="X997" s="133">
        <f t="shared" ref="X997" si="4368">X996/X995</f>
        <v>0.24666666666666667</v>
      </c>
      <c r="Y997" s="133">
        <f t="shared" ref="Y997" si="4369">V997</f>
        <v>0.24666666666666667</v>
      </c>
      <c r="Z997" s="133">
        <f t="shared" ref="Z997" si="4370">Z996/Z995</f>
        <v>0.24666666666666667</v>
      </c>
      <c r="AA997" s="133">
        <f t="shared" ref="AA997" si="4371">AA996/AA995</f>
        <v>0.24666666666666667</v>
      </c>
      <c r="AB997" s="133">
        <f t="shared" ref="AB997" si="4372">Y997</f>
        <v>0.24666666666666667</v>
      </c>
      <c r="AC997" s="133">
        <f t="shared" ref="AC997:AD997" si="4373">AC996/AC995</f>
        <v>0.24666666666666667</v>
      </c>
      <c r="AD997" s="133">
        <f t="shared" si="4373"/>
        <v>0.24666666666666667</v>
      </c>
      <c r="AE997" s="133">
        <f t="shared" ref="AE997" si="4374">AB997</f>
        <v>0.24666666666666667</v>
      </c>
      <c r="AF997" s="133">
        <f t="shared" ref="AF997:AG997" si="4375">AF996/AF995</f>
        <v>0.24666666666666667</v>
      </c>
      <c r="AG997" s="938">
        <f t="shared" si="4375"/>
        <v>0.24666666666666667</v>
      </c>
      <c r="AH997" s="133">
        <f t="shared" ref="AH997" si="4376">AE997</f>
        <v>0.24666666666666667</v>
      </c>
      <c r="AI997" s="133">
        <f t="shared" ref="AI997:AJ997" si="4377">AI996/AI995</f>
        <v>0.24666666666666667</v>
      </c>
      <c r="AJ997" s="133">
        <f t="shared" si="4377"/>
        <v>0.24666666666666667</v>
      </c>
      <c r="AK997" s="133">
        <f t="shared" ref="AK997" si="4378">AH997</f>
        <v>0.24666666666666667</v>
      </c>
      <c r="AL997" s="133">
        <f t="shared" ref="AL997:AM997" si="4379">AL996/AL995</f>
        <v>0.24666666666666667</v>
      </c>
      <c r="AM997" s="133">
        <f t="shared" si="4379"/>
        <v>0.24666666666666667</v>
      </c>
      <c r="AN997" s="133">
        <f t="shared" ref="AN997" si="4380">AK997</f>
        <v>0.24666666666666667</v>
      </c>
      <c r="AO997" s="133">
        <f t="shared" ref="AO997:AP997" si="4381">AO996/AO995</f>
        <v>0.24666666666666667</v>
      </c>
      <c r="AP997" s="133">
        <f t="shared" si="4381"/>
        <v>0.24666666666666667</v>
      </c>
      <c r="AQ997" s="133">
        <f t="shared" ref="AQ997" si="4382">AN997</f>
        <v>0.24666666666666667</v>
      </c>
      <c r="AR997" s="133">
        <f t="shared" ref="AR997:AS997" si="4383">AR996/AR995</f>
        <v>0.24666666666666667</v>
      </c>
      <c r="AS997" s="133">
        <f t="shared" si="4383"/>
        <v>0.24666666666666667</v>
      </c>
      <c r="AT997" s="133">
        <f t="shared" ref="AT997" si="4384">AQ997</f>
        <v>0.24666666666666667</v>
      </c>
      <c r="AU997" s="133">
        <f t="shared" ref="AU997:AV997" si="4385">AU996/AU995</f>
        <v>0.24666666666666667</v>
      </c>
      <c r="AV997" s="133">
        <f t="shared" si="4385"/>
        <v>0.24666666666666667</v>
      </c>
      <c r="AW997" s="133">
        <f t="shared" ref="AW997" si="4386">AT997</f>
        <v>0.24666666666666667</v>
      </c>
      <c r="AX997" s="133">
        <f t="shared" ref="AX997:AY997" si="4387">AX996/AX995</f>
        <v>0.24666666666666667</v>
      </c>
      <c r="AY997" s="133">
        <f t="shared" si="4387"/>
        <v>0.24666666666666667</v>
      </c>
      <c r="AZ997" s="133">
        <f t="shared" ref="AZ997" si="4388">AW997</f>
        <v>0.24666666666666667</v>
      </c>
      <c r="BA997" s="133">
        <f t="shared" ref="BA997:BB997" si="4389">BA996/BA995</f>
        <v>0.24666666666666667</v>
      </c>
      <c r="BB997" s="133">
        <f t="shared" si="4389"/>
        <v>0.24666666666666667</v>
      </c>
      <c r="BC997" s="133">
        <f t="shared" ref="BC997" si="4390">AZ997</f>
        <v>0.24666666666666667</v>
      </c>
      <c r="BD997" s="133">
        <f t="shared" ref="BD997:BE997" si="4391">BD996/BD995</f>
        <v>0.24666666666666667</v>
      </c>
      <c r="BE997" s="133">
        <f t="shared" si="4391"/>
        <v>0.24666666666666667</v>
      </c>
      <c r="BF997" s="133">
        <f t="shared" ref="BF997" si="4392">BC997</f>
        <v>0.24666666666666667</v>
      </c>
      <c r="BG997" s="133">
        <f t="shared" ref="BG997:BH997" si="4393">BG996/BG995</f>
        <v>0.24666666666666667</v>
      </c>
      <c r="BH997" s="133">
        <f t="shared" si="4393"/>
        <v>0.24666666666666667</v>
      </c>
      <c r="BI997" s="133">
        <f t="shared" ref="BI997" si="4394">BF997</f>
        <v>0.24666666666666667</v>
      </c>
      <c r="BJ997" s="133">
        <f t="shared" ref="BJ997:BK997" si="4395">BJ996/BJ995</f>
        <v>0.24666666666666667</v>
      </c>
      <c r="BK997" s="133">
        <f t="shared" si="4395"/>
        <v>0.24666666666666667</v>
      </c>
      <c r="BL997" s="133">
        <f t="shared" ref="BL997" si="4396">BI997</f>
        <v>0.24666666666666667</v>
      </c>
      <c r="BM997" s="133">
        <f t="shared" ref="BM997:BN997" si="4397">BM996/BM995</f>
        <v>0.24666666666666667</v>
      </c>
      <c r="BN997" s="133">
        <f t="shared" si="4397"/>
        <v>0.24666666666666667</v>
      </c>
      <c r="BO997" s="133">
        <f t="shared" ref="BO997" si="4398">BL997</f>
        <v>0.24666666666666667</v>
      </c>
      <c r="BP997" s="133">
        <f t="shared" ref="BP997:BQ997" si="4399">BP996/BP995</f>
        <v>0.24666666666666667</v>
      </c>
      <c r="BQ997" s="133">
        <f t="shared" si="4399"/>
        <v>0.24666666666666667</v>
      </c>
      <c r="BR997" s="133">
        <f t="shared" ref="BR997" si="4400">BO997</f>
        <v>0.24666666666666667</v>
      </c>
    </row>
    <row r="998" spans="2:70" outlineLevel="2">
      <c r="B998" s="5"/>
      <c r="C998" s="84" t="s">
        <v>65</v>
      </c>
      <c r="D998" s="31" t="s">
        <v>58</v>
      </c>
      <c r="E998" s="7"/>
      <c r="F998" s="7"/>
      <c r="G998" s="7"/>
      <c r="H998" s="7"/>
      <c r="I998" s="7"/>
      <c r="J998" s="7"/>
      <c r="K998" s="7"/>
      <c r="L998" s="7"/>
      <c r="M998" s="769">
        <f>M995*-3%</f>
        <v>-0.89999999999999991</v>
      </c>
      <c r="N998" s="7"/>
      <c r="O998" s="7"/>
      <c r="Q998" s="402">
        <f>Q995*-3%</f>
        <v>-0.44999999999999996</v>
      </c>
      <c r="R998" s="402">
        <f>R995*-3%</f>
        <v>-0.44999999999999996</v>
      </c>
      <c r="S998" s="167">
        <f>SUM(Q998:R998)</f>
        <v>-0.89999999999999991</v>
      </c>
      <c r="T998" s="406">
        <f>V998*0.5</f>
        <v>-0.44999999999999996</v>
      </c>
      <c r="U998" s="406">
        <f>V998*0.5</f>
        <v>-0.44999999999999996</v>
      </c>
      <c r="V998" s="360">
        <f>M998</f>
        <v>-0.89999999999999991</v>
      </c>
      <c r="W998" s="406">
        <f t="shared" ref="W998" si="4401">Y998*0.5</f>
        <v>-0.44999999999999996</v>
      </c>
      <c r="X998" s="406">
        <f t="shared" ref="X998" si="4402">Y998*0.5</f>
        <v>-0.44999999999999996</v>
      </c>
      <c r="Y998" s="360">
        <f t="shared" ref="Y998" si="4403">V998*(Y995/V995)</f>
        <v>-0.89999999999999991</v>
      </c>
      <c r="Z998" s="406">
        <f t="shared" ref="Z998" si="4404">AB998*0.5</f>
        <v>-0.44999999999999996</v>
      </c>
      <c r="AA998" s="406">
        <f t="shared" ref="AA998" si="4405">AB998*0.5</f>
        <v>-0.44999999999999996</v>
      </c>
      <c r="AB998" s="360">
        <f t="shared" ref="AB998" si="4406">Y998*(AB995/Y995)</f>
        <v>-0.89999999999999991</v>
      </c>
      <c r="AC998" s="406">
        <f t="shared" ref="AC998" si="4407">AE998*0.5</f>
        <v>-0.44999999999999996</v>
      </c>
      <c r="AD998" s="406">
        <f t="shared" ref="AD998" si="4408">AE998*0.5</f>
        <v>-0.44999999999999996</v>
      </c>
      <c r="AE998" s="360">
        <f t="shared" ref="AE998" si="4409">AB998*(AE995/AB995)</f>
        <v>-0.89999999999999991</v>
      </c>
      <c r="AF998" s="406">
        <f t="shared" ref="AF998" si="4410">AH998*0.5</f>
        <v>-0.44999999999999996</v>
      </c>
      <c r="AG998" s="1038">
        <f t="shared" ref="AG998" si="4411">AH998*0.5</f>
        <v>-0.44999999999999996</v>
      </c>
      <c r="AH998" s="360">
        <f t="shared" ref="AH998" si="4412">AE998*(AH995/AE995)</f>
        <v>-0.89999999999999991</v>
      </c>
      <c r="AI998" s="406">
        <f t="shared" ref="AI998" si="4413">AK998*0.5</f>
        <v>-0.44999999999999996</v>
      </c>
      <c r="AJ998" s="406">
        <f t="shared" ref="AJ998" si="4414">AK998*0.5</f>
        <v>-0.44999999999999996</v>
      </c>
      <c r="AK998" s="360">
        <f t="shared" ref="AK998" si="4415">AH998*(AK995/AH995)</f>
        <v>-0.89999999999999991</v>
      </c>
      <c r="AL998" s="406">
        <f t="shared" ref="AL998" si="4416">AN998*0.5</f>
        <v>-0.44999999999999996</v>
      </c>
      <c r="AM998" s="406">
        <f t="shared" ref="AM998" si="4417">AN998*0.5</f>
        <v>-0.44999999999999996</v>
      </c>
      <c r="AN998" s="360">
        <f t="shared" ref="AN998" si="4418">AK998*(AN995/AK995)</f>
        <v>-0.89999999999999991</v>
      </c>
      <c r="AO998" s="406">
        <f t="shared" ref="AO998" si="4419">AQ998*0.5</f>
        <v>-0.44999999999999996</v>
      </c>
      <c r="AP998" s="406">
        <f t="shared" ref="AP998" si="4420">AQ998*0.5</f>
        <v>-0.44999999999999996</v>
      </c>
      <c r="AQ998" s="360">
        <f t="shared" ref="AQ998" si="4421">AN998*(AQ995/AN995)</f>
        <v>-0.89999999999999991</v>
      </c>
      <c r="AR998" s="406">
        <f t="shared" ref="AR998" si="4422">AT998*0.5</f>
        <v>-0.44999999999999996</v>
      </c>
      <c r="AS998" s="406">
        <f t="shared" ref="AS998" si="4423">AT998*0.5</f>
        <v>-0.44999999999999996</v>
      </c>
      <c r="AT998" s="360">
        <f t="shared" ref="AT998" si="4424">AQ998*(AT995/AQ995)</f>
        <v>-0.89999999999999991</v>
      </c>
      <c r="AU998" s="406">
        <f t="shared" ref="AU998" si="4425">AW998*0.5</f>
        <v>-0.44999999999999996</v>
      </c>
      <c r="AV998" s="406">
        <f t="shared" ref="AV998" si="4426">AW998*0.5</f>
        <v>-0.44999999999999996</v>
      </c>
      <c r="AW998" s="360">
        <f t="shared" ref="AW998" si="4427">AT998*(AW995/AT995)</f>
        <v>-0.89999999999999991</v>
      </c>
      <c r="AX998" s="406">
        <f t="shared" ref="AX998" si="4428">AZ998*0.5</f>
        <v>-0.44999999999999996</v>
      </c>
      <c r="AY998" s="406">
        <f t="shared" ref="AY998" si="4429">AZ998*0.5</f>
        <v>-0.44999999999999996</v>
      </c>
      <c r="AZ998" s="360">
        <f t="shared" ref="AZ998" si="4430">AW998*(AZ995/AW995)</f>
        <v>-0.89999999999999991</v>
      </c>
      <c r="BA998" s="406">
        <f t="shared" ref="BA998" si="4431">BC998*0.5</f>
        <v>-0.44999999999999996</v>
      </c>
      <c r="BB998" s="406">
        <f t="shared" ref="BB998" si="4432">BC998*0.5</f>
        <v>-0.44999999999999996</v>
      </c>
      <c r="BC998" s="360">
        <f t="shared" ref="BC998" si="4433">AZ998*(BC995/AZ995)</f>
        <v>-0.89999999999999991</v>
      </c>
      <c r="BD998" s="406">
        <f t="shared" ref="BD998" si="4434">BF998*0.5</f>
        <v>-0.44999999999999996</v>
      </c>
      <c r="BE998" s="406">
        <f t="shared" ref="BE998" si="4435">BF998*0.5</f>
        <v>-0.44999999999999996</v>
      </c>
      <c r="BF998" s="360">
        <f t="shared" ref="BF998" si="4436">BC998*(BF995/BC995)</f>
        <v>-0.89999999999999991</v>
      </c>
      <c r="BG998" s="406">
        <f t="shared" ref="BG998" si="4437">BI998*0.5</f>
        <v>-0.44999999999999996</v>
      </c>
      <c r="BH998" s="406">
        <f t="shared" ref="BH998" si="4438">BI998*0.5</f>
        <v>-0.44999999999999996</v>
      </c>
      <c r="BI998" s="360">
        <f t="shared" ref="BI998" si="4439">BF998*(BI995/BF995)</f>
        <v>-0.89999999999999991</v>
      </c>
      <c r="BJ998" s="406">
        <f t="shared" ref="BJ998" si="4440">BL998*0.5</f>
        <v>-0.44999999999999996</v>
      </c>
      <c r="BK998" s="406">
        <f t="shared" ref="BK998" si="4441">BL998*0.5</f>
        <v>-0.44999999999999996</v>
      </c>
      <c r="BL998" s="360">
        <f t="shared" ref="BL998" si="4442">BI998*(BL995/BI995)</f>
        <v>-0.89999999999999991</v>
      </c>
      <c r="BM998" s="406">
        <f t="shared" ref="BM998" si="4443">BO998*0.5</f>
        <v>-0.44999999999999996</v>
      </c>
      <c r="BN998" s="406">
        <f t="shared" ref="BN998" si="4444">BO998*0.5</f>
        <v>-0.44999999999999996</v>
      </c>
      <c r="BO998" s="360">
        <f t="shared" ref="BO998" si="4445">BL998*(BO995/BL995)</f>
        <v>-0.89999999999999991</v>
      </c>
      <c r="BP998" s="406">
        <f t="shared" ref="BP998" si="4446">BR998*0.5</f>
        <v>-0.44999999999999996</v>
      </c>
      <c r="BQ998" s="406">
        <f t="shared" ref="BQ998" si="4447">BR998*0.5</f>
        <v>-0.44999999999999996</v>
      </c>
      <c r="BR998" s="360">
        <f t="shared" ref="BR998" si="4448">BO998*(BR995/BO995)</f>
        <v>-0.89999999999999991</v>
      </c>
    </row>
    <row r="999" spans="2:70" outlineLevel="2">
      <c r="B999" s="5"/>
      <c r="C999" s="84" t="s">
        <v>78</v>
      </c>
      <c r="D999" s="31" t="s">
        <v>58</v>
      </c>
      <c r="E999" s="7"/>
      <c r="F999" s="7"/>
      <c r="G999" s="7"/>
      <c r="H999" s="7"/>
      <c r="I999" s="7"/>
      <c r="J999" s="7"/>
      <c r="K999" s="7"/>
      <c r="L999" s="7"/>
      <c r="M999" s="770">
        <f>M1004-M1001</f>
        <v>6.5</v>
      </c>
      <c r="N999" s="7"/>
      <c r="O999" s="7"/>
      <c r="Q999" s="360">
        <f>Q996+Q998</f>
        <v>3.25</v>
      </c>
      <c r="R999" s="360">
        <f>R996+R998</f>
        <v>3.25</v>
      </c>
      <c r="S999" s="167">
        <f>SUM(Q999:R999)</f>
        <v>6.5</v>
      </c>
      <c r="T999" s="167">
        <f>T996+T998</f>
        <v>3.25</v>
      </c>
      <c r="U999" s="167">
        <f>U996+U998</f>
        <v>3.25</v>
      </c>
      <c r="V999" s="172">
        <f>SUM(T999:U999)</f>
        <v>6.5</v>
      </c>
      <c r="W999" s="167">
        <f t="shared" ref="W999" si="4449">W996+W998</f>
        <v>3.25</v>
      </c>
      <c r="X999" s="167">
        <f t="shared" ref="X999" si="4450">X996+X998</f>
        <v>3.25</v>
      </c>
      <c r="Y999" s="172">
        <f t="shared" ref="Y999" si="4451">SUM(W999:X999)</f>
        <v>6.5</v>
      </c>
      <c r="Z999" s="167">
        <f t="shared" ref="Z999" si="4452">Z996+Z998</f>
        <v>3.25</v>
      </c>
      <c r="AA999" s="167">
        <f t="shared" ref="AA999" si="4453">AA996+AA998</f>
        <v>3.25</v>
      </c>
      <c r="AB999" s="172">
        <f t="shared" ref="AB999" si="4454">SUM(Z999:AA999)</f>
        <v>6.5</v>
      </c>
      <c r="AC999" s="167">
        <f t="shared" ref="AC999:AD999" si="4455">AC996+AC998</f>
        <v>3.25</v>
      </c>
      <c r="AD999" s="167">
        <f t="shared" si="4455"/>
        <v>3.25</v>
      </c>
      <c r="AE999" s="172">
        <f t="shared" ref="AE999" si="4456">SUM(AC999:AD999)</f>
        <v>6.5</v>
      </c>
      <c r="AF999" s="167">
        <f t="shared" ref="AF999:AG999" si="4457">AF996+AF998</f>
        <v>3.25</v>
      </c>
      <c r="AG999" s="1017">
        <f t="shared" si="4457"/>
        <v>3.25</v>
      </c>
      <c r="AH999" s="172">
        <f t="shared" ref="AH999" si="4458">SUM(AF999:AG999)</f>
        <v>6.5</v>
      </c>
      <c r="AI999" s="167">
        <f t="shared" ref="AI999:AJ999" si="4459">AI996+AI998</f>
        <v>3.25</v>
      </c>
      <c r="AJ999" s="167">
        <f t="shared" si="4459"/>
        <v>3.25</v>
      </c>
      <c r="AK999" s="172">
        <f t="shared" ref="AK999" si="4460">SUM(AI999:AJ999)</f>
        <v>6.5</v>
      </c>
      <c r="AL999" s="167">
        <f t="shared" ref="AL999:AM999" si="4461">AL996+AL998</f>
        <v>3.25</v>
      </c>
      <c r="AM999" s="167">
        <f t="shared" si="4461"/>
        <v>3.25</v>
      </c>
      <c r="AN999" s="172">
        <f t="shared" ref="AN999" si="4462">SUM(AL999:AM999)</f>
        <v>6.5</v>
      </c>
      <c r="AO999" s="167">
        <f t="shared" ref="AO999:AP999" si="4463">AO996+AO998</f>
        <v>3.25</v>
      </c>
      <c r="AP999" s="167">
        <f t="shared" si="4463"/>
        <v>3.25</v>
      </c>
      <c r="AQ999" s="172">
        <f t="shared" ref="AQ999" si="4464">SUM(AO999:AP999)</f>
        <v>6.5</v>
      </c>
      <c r="AR999" s="167">
        <f t="shared" ref="AR999:AS999" si="4465">AR996+AR998</f>
        <v>3.25</v>
      </c>
      <c r="AS999" s="167">
        <f t="shared" si="4465"/>
        <v>3.25</v>
      </c>
      <c r="AT999" s="172">
        <f t="shared" ref="AT999" si="4466">SUM(AR999:AS999)</f>
        <v>6.5</v>
      </c>
      <c r="AU999" s="167">
        <f t="shared" ref="AU999:AV999" si="4467">AU996+AU998</f>
        <v>3.25</v>
      </c>
      <c r="AV999" s="167">
        <f t="shared" si="4467"/>
        <v>3.25</v>
      </c>
      <c r="AW999" s="172">
        <f t="shared" ref="AW999" si="4468">SUM(AU999:AV999)</f>
        <v>6.5</v>
      </c>
      <c r="AX999" s="167">
        <f t="shared" ref="AX999:AY999" si="4469">AX996+AX998</f>
        <v>3.25</v>
      </c>
      <c r="AY999" s="167">
        <f t="shared" si="4469"/>
        <v>3.25</v>
      </c>
      <c r="AZ999" s="172">
        <f t="shared" ref="AZ999" si="4470">SUM(AX999:AY999)</f>
        <v>6.5</v>
      </c>
      <c r="BA999" s="167">
        <f t="shared" ref="BA999:BB999" si="4471">BA996+BA998</f>
        <v>3.25</v>
      </c>
      <c r="BB999" s="167">
        <f t="shared" si="4471"/>
        <v>3.25</v>
      </c>
      <c r="BC999" s="172">
        <f t="shared" ref="BC999" si="4472">SUM(BA999:BB999)</f>
        <v>6.5</v>
      </c>
      <c r="BD999" s="167">
        <f t="shared" ref="BD999:BE999" si="4473">BD996+BD998</f>
        <v>3.25</v>
      </c>
      <c r="BE999" s="167">
        <f t="shared" si="4473"/>
        <v>3.25</v>
      </c>
      <c r="BF999" s="172">
        <f t="shared" ref="BF999" si="4474">SUM(BD999:BE999)</f>
        <v>6.5</v>
      </c>
      <c r="BG999" s="167">
        <f t="shared" ref="BG999:BH999" si="4475">BG996+BG998</f>
        <v>3.25</v>
      </c>
      <c r="BH999" s="167">
        <f t="shared" si="4475"/>
        <v>3.25</v>
      </c>
      <c r="BI999" s="172">
        <f t="shared" ref="BI999" si="4476">SUM(BG999:BH999)</f>
        <v>6.5</v>
      </c>
      <c r="BJ999" s="167">
        <f t="shared" ref="BJ999:BK999" si="4477">BJ996+BJ998</f>
        <v>3.25</v>
      </c>
      <c r="BK999" s="167">
        <f t="shared" si="4477"/>
        <v>3.25</v>
      </c>
      <c r="BL999" s="172">
        <f t="shared" ref="BL999" si="4478">SUM(BJ999:BK999)</f>
        <v>6.5</v>
      </c>
      <c r="BM999" s="167">
        <f t="shared" ref="BM999:BN999" si="4479">BM996+BM998</f>
        <v>3.25</v>
      </c>
      <c r="BN999" s="167">
        <f t="shared" si="4479"/>
        <v>3.25</v>
      </c>
      <c r="BO999" s="172">
        <f t="shared" ref="BO999" si="4480">SUM(BM999:BN999)</f>
        <v>6.5</v>
      </c>
      <c r="BP999" s="167">
        <f t="shared" ref="BP999:BQ999" si="4481">BP996+BP998</f>
        <v>3.25</v>
      </c>
      <c r="BQ999" s="167">
        <f t="shared" si="4481"/>
        <v>3.25</v>
      </c>
      <c r="BR999" s="172">
        <f t="shared" ref="BR999" si="4482">SUM(BP999:BQ999)</f>
        <v>6.5</v>
      </c>
    </row>
    <row r="1000" spans="2:70" outlineLevel="2">
      <c r="B1000" s="5"/>
      <c r="C1000" s="84" t="s">
        <v>74</v>
      </c>
      <c r="D1000" s="31" t="s">
        <v>66</v>
      </c>
      <c r="E1000" s="7"/>
      <c r="F1000" s="7"/>
      <c r="G1000" s="7"/>
      <c r="H1000" s="7"/>
      <c r="I1000" s="7"/>
      <c r="J1000" s="7"/>
      <c r="K1000" s="7"/>
      <c r="L1000" s="7"/>
      <c r="M1000" s="768">
        <f>M999/M995</f>
        <v>0.21666666666666667</v>
      </c>
      <c r="N1000" s="7"/>
      <c r="O1000" s="7"/>
      <c r="Q1000" s="133">
        <f>Q999/Q995</f>
        <v>0.21666666666666667</v>
      </c>
      <c r="R1000" s="133">
        <f>R999/R995</f>
        <v>0.21666666666666667</v>
      </c>
      <c r="S1000" s="162">
        <f t="shared" ref="S1000:AB1000" si="4483">S999/S995</f>
        <v>0.21666666666666667</v>
      </c>
      <c r="T1000" s="162">
        <f t="shared" si="4483"/>
        <v>0.21666666666666667</v>
      </c>
      <c r="U1000" s="133">
        <f t="shared" si="4483"/>
        <v>0.21666666666666667</v>
      </c>
      <c r="V1000" s="162">
        <f t="shared" si="4483"/>
        <v>0.21666666666666667</v>
      </c>
      <c r="W1000" s="162">
        <f t="shared" si="4483"/>
        <v>0.21666666666666667</v>
      </c>
      <c r="X1000" s="133">
        <f t="shared" si="4483"/>
        <v>0.21666666666666667</v>
      </c>
      <c r="Y1000" s="162">
        <f t="shared" si="4483"/>
        <v>0.21666666666666667</v>
      </c>
      <c r="Z1000" s="162">
        <f t="shared" si="4483"/>
        <v>0.21666666666666667</v>
      </c>
      <c r="AA1000" s="133">
        <f t="shared" si="4483"/>
        <v>0.21666666666666667</v>
      </c>
      <c r="AB1000" s="133">
        <f t="shared" si="4483"/>
        <v>0.21666666666666667</v>
      </c>
      <c r="AC1000" s="162">
        <f t="shared" ref="AC1000:AN1000" si="4484">AC999/AC995</f>
        <v>0.21666666666666667</v>
      </c>
      <c r="AD1000" s="133">
        <f t="shared" si="4484"/>
        <v>0.21666666666666667</v>
      </c>
      <c r="AE1000" s="133">
        <f t="shared" si="4484"/>
        <v>0.21666666666666667</v>
      </c>
      <c r="AF1000" s="162">
        <f t="shared" si="4484"/>
        <v>0.21666666666666667</v>
      </c>
      <c r="AG1000" s="938">
        <f t="shared" si="4484"/>
        <v>0.21666666666666667</v>
      </c>
      <c r="AH1000" s="133">
        <f t="shared" si="4484"/>
        <v>0.21666666666666667</v>
      </c>
      <c r="AI1000" s="162">
        <f t="shared" si="4484"/>
        <v>0.21666666666666667</v>
      </c>
      <c r="AJ1000" s="133">
        <f t="shared" si="4484"/>
        <v>0.21666666666666667</v>
      </c>
      <c r="AK1000" s="133">
        <f t="shared" si="4484"/>
        <v>0.21666666666666667</v>
      </c>
      <c r="AL1000" s="162">
        <f t="shared" si="4484"/>
        <v>0.21666666666666667</v>
      </c>
      <c r="AM1000" s="133">
        <f t="shared" si="4484"/>
        <v>0.21666666666666667</v>
      </c>
      <c r="AN1000" s="133">
        <f t="shared" si="4484"/>
        <v>0.21666666666666667</v>
      </c>
      <c r="AO1000" s="162">
        <f t="shared" ref="AO1000:BR1000" si="4485">AO999/AO995</f>
        <v>0.21666666666666667</v>
      </c>
      <c r="AP1000" s="133">
        <f t="shared" si="4485"/>
        <v>0.21666666666666667</v>
      </c>
      <c r="AQ1000" s="133">
        <f t="shared" si="4485"/>
        <v>0.21666666666666667</v>
      </c>
      <c r="AR1000" s="162">
        <f t="shared" si="4485"/>
        <v>0.21666666666666667</v>
      </c>
      <c r="AS1000" s="133">
        <f t="shared" si="4485"/>
        <v>0.21666666666666667</v>
      </c>
      <c r="AT1000" s="133">
        <f t="shared" si="4485"/>
        <v>0.21666666666666667</v>
      </c>
      <c r="AU1000" s="162">
        <f t="shared" si="4485"/>
        <v>0.21666666666666667</v>
      </c>
      <c r="AV1000" s="133">
        <f t="shared" si="4485"/>
        <v>0.21666666666666667</v>
      </c>
      <c r="AW1000" s="133">
        <f t="shared" si="4485"/>
        <v>0.21666666666666667</v>
      </c>
      <c r="AX1000" s="162">
        <f t="shared" si="4485"/>
        <v>0.21666666666666667</v>
      </c>
      <c r="AY1000" s="133">
        <f t="shared" si="4485"/>
        <v>0.21666666666666667</v>
      </c>
      <c r="AZ1000" s="133">
        <f t="shared" si="4485"/>
        <v>0.21666666666666667</v>
      </c>
      <c r="BA1000" s="162">
        <f t="shared" si="4485"/>
        <v>0.21666666666666667</v>
      </c>
      <c r="BB1000" s="133">
        <f t="shared" si="4485"/>
        <v>0.21666666666666667</v>
      </c>
      <c r="BC1000" s="133">
        <f t="shared" si="4485"/>
        <v>0.21666666666666667</v>
      </c>
      <c r="BD1000" s="162">
        <f t="shared" si="4485"/>
        <v>0.21666666666666667</v>
      </c>
      <c r="BE1000" s="133">
        <f t="shared" si="4485"/>
        <v>0.21666666666666667</v>
      </c>
      <c r="BF1000" s="133">
        <f t="shared" si="4485"/>
        <v>0.21666666666666667</v>
      </c>
      <c r="BG1000" s="162">
        <f t="shared" si="4485"/>
        <v>0.21666666666666667</v>
      </c>
      <c r="BH1000" s="133">
        <f t="shared" si="4485"/>
        <v>0.21666666666666667</v>
      </c>
      <c r="BI1000" s="133">
        <f t="shared" si="4485"/>
        <v>0.21666666666666667</v>
      </c>
      <c r="BJ1000" s="162">
        <f t="shared" si="4485"/>
        <v>0.21666666666666667</v>
      </c>
      <c r="BK1000" s="133">
        <f t="shared" si="4485"/>
        <v>0.21666666666666667</v>
      </c>
      <c r="BL1000" s="133">
        <f t="shared" si="4485"/>
        <v>0.21666666666666667</v>
      </c>
      <c r="BM1000" s="162">
        <f t="shared" si="4485"/>
        <v>0.21666666666666667</v>
      </c>
      <c r="BN1000" s="133">
        <f t="shared" si="4485"/>
        <v>0.21666666666666667</v>
      </c>
      <c r="BO1000" s="133">
        <f t="shared" si="4485"/>
        <v>0.21666666666666667</v>
      </c>
      <c r="BP1000" s="162">
        <f t="shared" si="4485"/>
        <v>0.21666666666666667</v>
      </c>
      <c r="BQ1000" s="133">
        <f t="shared" si="4485"/>
        <v>0.21666666666666667</v>
      </c>
      <c r="BR1000" s="133">
        <f t="shared" si="4485"/>
        <v>0.21666666666666667</v>
      </c>
    </row>
    <row r="1001" spans="2:70" outlineLevel="2">
      <c r="B1001" s="5"/>
      <c r="C1001" s="84" t="s">
        <v>90</v>
      </c>
      <c r="D1001" s="31" t="s">
        <v>58</v>
      </c>
      <c r="E1001" s="7"/>
      <c r="F1001" s="7"/>
      <c r="G1001" s="7"/>
      <c r="H1001" s="7"/>
      <c r="I1001" s="7"/>
      <c r="J1001" s="7"/>
      <c r="K1001" s="7"/>
      <c r="L1001" s="7"/>
      <c r="M1001" s="770">
        <f>M1003*M995</f>
        <v>1.5</v>
      </c>
      <c r="N1001" s="7"/>
      <c r="O1001" s="7"/>
      <c r="Q1001" s="404">
        <v>0</v>
      </c>
      <c r="R1001" s="404">
        <v>0</v>
      </c>
      <c r="S1001" s="175">
        <f>Q1001+R1001</f>
        <v>0</v>
      </c>
      <c r="T1001" s="404">
        <v>0.5</v>
      </c>
      <c r="U1001" s="404">
        <v>0.5</v>
      </c>
      <c r="V1001" s="156">
        <f>SUM(T1001:U1001)</f>
        <v>1</v>
      </c>
      <c r="W1001" s="404">
        <v>0.3</v>
      </c>
      <c r="X1001" s="404">
        <v>0.2</v>
      </c>
      <c r="Y1001" s="156">
        <f t="shared" ref="Y1001" si="4486">SUM(W1001:X1001)</f>
        <v>0.5</v>
      </c>
      <c r="Z1001" s="404">
        <v>0</v>
      </c>
      <c r="AA1001" s="404">
        <v>0</v>
      </c>
      <c r="AB1001" s="156">
        <f t="shared" ref="AB1001" si="4487">SUM(Z1001:AA1001)</f>
        <v>0</v>
      </c>
      <c r="AC1001" s="404">
        <v>0</v>
      </c>
      <c r="AD1001" s="404">
        <v>0</v>
      </c>
      <c r="AE1001" s="157">
        <f t="shared" ref="AE1001:AE1002" si="4488">SUM(AC1001:AD1001)</f>
        <v>0</v>
      </c>
      <c r="AF1001" s="402">
        <v>0</v>
      </c>
      <c r="AG1001" s="1030">
        <v>0</v>
      </c>
      <c r="AH1001" s="156">
        <f t="shared" ref="AH1001:AH1002" si="4489">SUM(AF1001:AG1001)</f>
        <v>0</v>
      </c>
      <c r="AI1001" s="404">
        <v>0</v>
      </c>
      <c r="AJ1001" s="404">
        <v>0</v>
      </c>
      <c r="AK1001" s="156">
        <f t="shared" ref="AK1001:AK1002" si="4490">SUM(AI1001:AJ1001)</f>
        <v>0</v>
      </c>
      <c r="AL1001" s="404">
        <v>0</v>
      </c>
      <c r="AM1001" s="404">
        <v>0</v>
      </c>
      <c r="AN1001" s="156">
        <f t="shared" ref="AN1001:AN1002" si="4491">SUM(AL1001:AM1001)</f>
        <v>0</v>
      </c>
      <c r="AO1001" s="404">
        <v>0</v>
      </c>
      <c r="AP1001" s="404">
        <v>0</v>
      </c>
      <c r="AQ1001" s="156">
        <f t="shared" ref="AQ1001:AQ1002" si="4492">SUM(AO1001:AP1001)</f>
        <v>0</v>
      </c>
      <c r="AR1001" s="404">
        <v>0</v>
      </c>
      <c r="AS1001" s="404">
        <v>0</v>
      </c>
      <c r="AT1001" s="156">
        <f t="shared" ref="AT1001:AT1002" si="4493">SUM(AR1001:AS1001)</f>
        <v>0</v>
      </c>
      <c r="AU1001" s="404">
        <v>0</v>
      </c>
      <c r="AV1001" s="404">
        <v>0</v>
      </c>
      <c r="AW1001" s="156">
        <f t="shared" ref="AW1001:AW1002" si="4494">SUM(AU1001:AV1001)</f>
        <v>0</v>
      </c>
      <c r="AX1001" s="404">
        <v>0</v>
      </c>
      <c r="AY1001" s="404">
        <v>0</v>
      </c>
      <c r="AZ1001" s="156">
        <f t="shared" ref="AZ1001:AZ1002" si="4495">SUM(AX1001:AY1001)</f>
        <v>0</v>
      </c>
      <c r="BA1001" s="404">
        <v>0</v>
      </c>
      <c r="BB1001" s="404">
        <v>0</v>
      </c>
      <c r="BC1001" s="156">
        <f t="shared" ref="BC1001:BC1002" si="4496">SUM(BA1001:BB1001)</f>
        <v>0</v>
      </c>
      <c r="BD1001" s="404">
        <v>0</v>
      </c>
      <c r="BE1001" s="404">
        <v>0</v>
      </c>
      <c r="BF1001" s="156">
        <f t="shared" ref="BF1001:BF1002" si="4497">SUM(BD1001:BE1001)</f>
        <v>0</v>
      </c>
      <c r="BG1001" s="404">
        <v>0</v>
      </c>
      <c r="BH1001" s="404">
        <v>0</v>
      </c>
      <c r="BI1001" s="156">
        <f t="shared" ref="BI1001:BI1002" si="4498">SUM(BG1001:BH1001)</f>
        <v>0</v>
      </c>
      <c r="BJ1001" s="404">
        <v>0</v>
      </c>
      <c r="BK1001" s="404">
        <v>0</v>
      </c>
      <c r="BL1001" s="156">
        <f t="shared" ref="BL1001:BL1002" si="4499">SUM(BJ1001:BK1001)</f>
        <v>0</v>
      </c>
      <c r="BM1001" s="404">
        <v>0</v>
      </c>
      <c r="BN1001" s="404">
        <v>0</v>
      </c>
      <c r="BO1001" s="156">
        <f t="shared" ref="BO1001:BO1002" si="4500">SUM(BM1001:BN1001)</f>
        <v>0</v>
      </c>
      <c r="BP1001" s="404">
        <v>0</v>
      </c>
      <c r="BQ1001" s="404">
        <v>0</v>
      </c>
      <c r="BR1001" s="156">
        <f t="shared" ref="BR1001:BR1002" si="4501">SUM(BP1001:BQ1001)</f>
        <v>0</v>
      </c>
    </row>
    <row r="1002" spans="2:70" outlineLevel="2">
      <c r="B1002" s="5"/>
      <c r="C1002" s="84" t="s">
        <v>89</v>
      </c>
      <c r="D1002" s="31"/>
      <c r="E1002" s="7"/>
      <c r="F1002" s="7"/>
      <c r="G1002" s="7"/>
      <c r="H1002" s="7"/>
      <c r="I1002" s="7"/>
      <c r="J1002" s="7"/>
      <c r="K1002" s="7"/>
      <c r="L1002" s="7"/>
      <c r="M1002" s="771"/>
      <c r="N1002" s="7"/>
      <c r="O1002" s="7"/>
      <c r="Q1002" s="156">
        <f t="shared" ref="Q1002" si="4502">N1002+Q1001</f>
        <v>0</v>
      </c>
      <c r="R1002" s="156">
        <f t="shared" ref="R1002" si="4503">O1002+R1001</f>
        <v>0</v>
      </c>
      <c r="S1002" s="156">
        <f>M1002+S1001</f>
        <v>0</v>
      </c>
      <c r="T1002" s="156">
        <f t="shared" ref="T1002" si="4504">Q1002+T1001</f>
        <v>0.5</v>
      </c>
      <c r="U1002" s="156">
        <f t="shared" ref="U1002" si="4505">R1002+U1001</f>
        <v>0.5</v>
      </c>
      <c r="V1002" s="156">
        <f>SUM(T1002:U1002)</f>
        <v>1</v>
      </c>
      <c r="W1002" s="156">
        <f t="shared" ref="W1002" si="4506">T1002+W1001</f>
        <v>0.8</v>
      </c>
      <c r="X1002" s="156">
        <f t="shared" ref="X1002" si="4507">U1002+X1001</f>
        <v>0.7</v>
      </c>
      <c r="Y1002" s="156">
        <f t="shared" ref="Y1002" si="4508">SUM(W1002:X1002)</f>
        <v>1.5</v>
      </c>
      <c r="Z1002" s="156">
        <f t="shared" ref="Z1002" si="4509">W1002+Z1001</f>
        <v>0.8</v>
      </c>
      <c r="AA1002" s="156">
        <f t="shared" ref="AA1002" si="4510">X1002+AA1001</f>
        <v>0.7</v>
      </c>
      <c r="AB1002" s="156">
        <f t="shared" ref="AB1002" si="4511">SUM(Z1002:AA1002)</f>
        <v>1.5</v>
      </c>
      <c r="AC1002" s="156">
        <f t="shared" ref="AC1002" si="4512">Z1002+AC1001</f>
        <v>0.8</v>
      </c>
      <c r="AD1002" s="156">
        <f t="shared" ref="AD1002" si="4513">AA1002+AD1001</f>
        <v>0.7</v>
      </c>
      <c r="AE1002" s="157">
        <f t="shared" si="4488"/>
        <v>1.5</v>
      </c>
      <c r="AF1002" s="157">
        <f t="shared" ref="AF1002" si="4514">AC1002+AF1001</f>
        <v>0.8</v>
      </c>
      <c r="AG1002" s="1031">
        <f t="shared" ref="AG1002" si="4515">AD1002+AG1001</f>
        <v>0.7</v>
      </c>
      <c r="AH1002" s="156">
        <f t="shared" si="4489"/>
        <v>1.5</v>
      </c>
      <c r="AI1002" s="156">
        <f t="shared" ref="AI1002" si="4516">AF1002+AI1001</f>
        <v>0.8</v>
      </c>
      <c r="AJ1002" s="156">
        <f t="shared" ref="AJ1002" si="4517">AG1002+AJ1001</f>
        <v>0.7</v>
      </c>
      <c r="AK1002" s="156">
        <f t="shared" si="4490"/>
        <v>1.5</v>
      </c>
      <c r="AL1002" s="156">
        <f t="shared" ref="AL1002" si="4518">AI1002+AL1001</f>
        <v>0.8</v>
      </c>
      <c r="AM1002" s="156">
        <f t="shared" ref="AM1002" si="4519">AJ1002+AM1001</f>
        <v>0.7</v>
      </c>
      <c r="AN1002" s="156">
        <f t="shared" si="4491"/>
        <v>1.5</v>
      </c>
      <c r="AO1002" s="156">
        <f t="shared" ref="AO1002" si="4520">AL1002+AO1001</f>
        <v>0.8</v>
      </c>
      <c r="AP1002" s="156">
        <f t="shared" ref="AP1002" si="4521">AM1002+AP1001</f>
        <v>0.7</v>
      </c>
      <c r="AQ1002" s="156">
        <f t="shared" si="4492"/>
        <v>1.5</v>
      </c>
      <c r="AR1002" s="156">
        <f t="shared" ref="AR1002" si="4522">AO1002+AR1001</f>
        <v>0.8</v>
      </c>
      <c r="AS1002" s="156">
        <f t="shared" ref="AS1002" si="4523">AP1002+AS1001</f>
        <v>0.7</v>
      </c>
      <c r="AT1002" s="156">
        <f t="shared" si="4493"/>
        <v>1.5</v>
      </c>
      <c r="AU1002" s="156">
        <f t="shared" ref="AU1002" si="4524">AR1002+AU1001</f>
        <v>0.8</v>
      </c>
      <c r="AV1002" s="156">
        <f t="shared" ref="AV1002" si="4525">AS1002+AV1001</f>
        <v>0.7</v>
      </c>
      <c r="AW1002" s="156">
        <f t="shared" si="4494"/>
        <v>1.5</v>
      </c>
      <c r="AX1002" s="156">
        <f t="shared" ref="AX1002" si="4526">AU1002+AX1001</f>
        <v>0.8</v>
      </c>
      <c r="AY1002" s="156">
        <f t="shared" ref="AY1002" si="4527">AV1002+AY1001</f>
        <v>0.7</v>
      </c>
      <c r="AZ1002" s="156">
        <f t="shared" si="4495"/>
        <v>1.5</v>
      </c>
      <c r="BA1002" s="156">
        <f t="shared" ref="BA1002" si="4528">AX1002+BA1001</f>
        <v>0.8</v>
      </c>
      <c r="BB1002" s="156">
        <f t="shared" ref="BB1002" si="4529">AY1002+BB1001</f>
        <v>0.7</v>
      </c>
      <c r="BC1002" s="156">
        <f t="shared" si="4496"/>
        <v>1.5</v>
      </c>
      <c r="BD1002" s="156">
        <f t="shared" ref="BD1002" si="4530">BA1002+BD1001</f>
        <v>0.8</v>
      </c>
      <c r="BE1002" s="156">
        <f t="shared" ref="BE1002" si="4531">BB1002+BE1001</f>
        <v>0.7</v>
      </c>
      <c r="BF1002" s="156">
        <f t="shared" si="4497"/>
        <v>1.5</v>
      </c>
      <c r="BG1002" s="156">
        <f t="shared" ref="BG1002" si="4532">BD1002+BG1001</f>
        <v>0.8</v>
      </c>
      <c r="BH1002" s="156">
        <f t="shared" ref="BH1002" si="4533">BE1002+BH1001</f>
        <v>0.7</v>
      </c>
      <c r="BI1002" s="156">
        <f t="shared" si="4498"/>
        <v>1.5</v>
      </c>
      <c r="BJ1002" s="156">
        <f t="shared" ref="BJ1002" si="4534">BG1002+BJ1001</f>
        <v>0.8</v>
      </c>
      <c r="BK1002" s="156">
        <f t="shared" ref="BK1002" si="4535">BH1002+BK1001</f>
        <v>0.7</v>
      </c>
      <c r="BL1002" s="156">
        <f t="shared" si="4499"/>
        <v>1.5</v>
      </c>
      <c r="BM1002" s="156">
        <f t="shared" ref="BM1002" si="4536">BJ1002+BM1001</f>
        <v>0.8</v>
      </c>
      <c r="BN1002" s="156">
        <f t="shared" ref="BN1002" si="4537">BK1002+BN1001</f>
        <v>0.7</v>
      </c>
      <c r="BO1002" s="156">
        <f t="shared" si="4500"/>
        <v>1.5</v>
      </c>
      <c r="BP1002" s="156">
        <f t="shared" ref="BP1002" si="4538">BM1002+BP1001</f>
        <v>0.8</v>
      </c>
      <c r="BQ1002" s="156">
        <f t="shared" ref="BQ1002" si="4539">BN1002+BQ1001</f>
        <v>0.7</v>
      </c>
      <c r="BR1002" s="156">
        <f t="shared" si="4501"/>
        <v>1.5</v>
      </c>
    </row>
    <row r="1003" spans="2:70" outlineLevel="2">
      <c r="B1003" s="5"/>
      <c r="C1003" s="84" t="s">
        <v>264</v>
      </c>
      <c r="D1003" s="31" t="s">
        <v>66</v>
      </c>
      <c r="E1003" s="7"/>
      <c r="F1003" s="7"/>
      <c r="G1003" s="7"/>
      <c r="H1003" s="7"/>
      <c r="I1003" s="7"/>
      <c r="J1003" s="7"/>
      <c r="K1003" s="7"/>
      <c r="L1003" s="7"/>
      <c r="M1003" s="773">
        <v>0.05</v>
      </c>
      <c r="N1003" s="7"/>
      <c r="O1003" s="7"/>
      <c r="Q1003" s="371"/>
      <c r="R1003" s="156"/>
      <c r="S1003" s="156"/>
      <c r="T1003" s="156"/>
      <c r="U1003" s="156"/>
      <c r="V1003" s="156"/>
      <c r="W1003" s="156"/>
      <c r="X1003" s="156"/>
      <c r="Y1003" s="156"/>
      <c r="Z1003" s="156"/>
      <c r="AA1003" s="156"/>
      <c r="AB1003" s="156"/>
      <c r="AC1003" s="156"/>
      <c r="AD1003" s="156"/>
      <c r="AE1003" s="157"/>
      <c r="AF1003" s="157"/>
      <c r="AG1003" s="1031"/>
      <c r="AH1003" s="156"/>
      <c r="AI1003" s="156"/>
      <c r="AJ1003" s="156"/>
      <c r="AK1003" s="156"/>
      <c r="AL1003" s="156"/>
      <c r="AM1003" s="156"/>
      <c r="AN1003" s="156"/>
      <c r="AO1003" s="156"/>
      <c r="AP1003" s="156"/>
      <c r="AQ1003" s="156"/>
      <c r="AR1003" s="156"/>
      <c r="AS1003" s="156"/>
      <c r="AT1003" s="156"/>
      <c r="AU1003" s="156"/>
      <c r="AV1003" s="156"/>
      <c r="AW1003" s="156"/>
      <c r="AX1003" s="156"/>
      <c r="AY1003" s="156"/>
      <c r="AZ1003" s="156"/>
      <c r="BA1003" s="156"/>
      <c r="BB1003" s="156"/>
      <c r="BC1003" s="156"/>
      <c r="BD1003" s="156"/>
      <c r="BE1003" s="156"/>
      <c r="BF1003" s="156"/>
      <c r="BG1003" s="156"/>
      <c r="BH1003" s="156"/>
      <c r="BI1003" s="156"/>
      <c r="BJ1003" s="156"/>
      <c r="BK1003" s="156"/>
      <c r="BL1003" s="156"/>
      <c r="BM1003" s="156"/>
      <c r="BN1003" s="156"/>
      <c r="BO1003" s="156"/>
      <c r="BP1003" s="156"/>
      <c r="BQ1003" s="156"/>
      <c r="BR1003" s="156"/>
    </row>
    <row r="1004" spans="2:70" outlineLevel="2">
      <c r="B1004" s="5"/>
      <c r="C1004" s="84" t="s">
        <v>79</v>
      </c>
      <c r="D1004" s="31" t="s">
        <v>58</v>
      </c>
      <c r="E1004" s="7"/>
      <c r="F1004" s="7"/>
      <c r="G1004" s="7"/>
      <c r="H1004" s="7"/>
      <c r="I1004" s="7"/>
      <c r="J1004" s="7"/>
      <c r="K1004" s="7"/>
      <c r="L1004" s="7"/>
      <c r="M1004" s="770">
        <f>M993*M1005</f>
        <v>8</v>
      </c>
      <c r="N1004" s="7"/>
      <c r="O1004" s="7"/>
      <c r="Q1004" s="13">
        <f t="shared" ref="Q1004:R1004" si="4540">Q1002+Q999</f>
        <v>3.25</v>
      </c>
      <c r="R1004" s="13">
        <f t="shared" si="4540"/>
        <v>3.25</v>
      </c>
      <c r="S1004" s="167">
        <f>SUM(Q1004:R1004)</f>
        <v>6.5</v>
      </c>
      <c r="T1004" s="13">
        <f t="shared" ref="T1004:AB1004" si="4541">T1002+T999</f>
        <v>3.75</v>
      </c>
      <c r="U1004" s="13">
        <f t="shared" si="4541"/>
        <v>3.75</v>
      </c>
      <c r="V1004" s="13">
        <f t="shared" si="4541"/>
        <v>7.5</v>
      </c>
      <c r="W1004" s="13">
        <f t="shared" si="4541"/>
        <v>4.05</v>
      </c>
      <c r="X1004" s="13">
        <f t="shared" si="4541"/>
        <v>3.95</v>
      </c>
      <c r="Y1004" s="13">
        <f t="shared" si="4541"/>
        <v>8</v>
      </c>
      <c r="Z1004" s="13">
        <f t="shared" si="4541"/>
        <v>4.05</v>
      </c>
      <c r="AA1004" s="13">
        <f t="shared" si="4541"/>
        <v>3.95</v>
      </c>
      <c r="AB1004" s="13">
        <f t="shared" si="4541"/>
        <v>8</v>
      </c>
      <c r="AC1004" s="13">
        <f t="shared" ref="AC1004:AN1004" si="4542">AC1002+AC999</f>
        <v>4.05</v>
      </c>
      <c r="AD1004" s="13">
        <f t="shared" si="4542"/>
        <v>3.95</v>
      </c>
      <c r="AE1004" s="164">
        <f t="shared" si="4542"/>
        <v>8</v>
      </c>
      <c r="AF1004" s="164">
        <f t="shared" si="4542"/>
        <v>4.05</v>
      </c>
      <c r="AG1004" s="1018">
        <f t="shared" si="4542"/>
        <v>3.95</v>
      </c>
      <c r="AH1004" s="13">
        <f t="shared" si="4542"/>
        <v>8</v>
      </c>
      <c r="AI1004" s="13">
        <f t="shared" si="4542"/>
        <v>4.05</v>
      </c>
      <c r="AJ1004" s="13">
        <f t="shared" si="4542"/>
        <v>3.95</v>
      </c>
      <c r="AK1004" s="13">
        <f t="shared" si="4542"/>
        <v>8</v>
      </c>
      <c r="AL1004" s="13">
        <f t="shared" si="4542"/>
        <v>4.05</v>
      </c>
      <c r="AM1004" s="13">
        <f t="shared" si="4542"/>
        <v>3.95</v>
      </c>
      <c r="AN1004" s="13">
        <f t="shared" si="4542"/>
        <v>8</v>
      </c>
      <c r="AO1004" s="13">
        <f t="shared" ref="AO1004:BR1004" si="4543">AO1002+AO999</f>
        <v>4.05</v>
      </c>
      <c r="AP1004" s="13">
        <f t="shared" si="4543"/>
        <v>3.95</v>
      </c>
      <c r="AQ1004" s="13">
        <f t="shared" si="4543"/>
        <v>8</v>
      </c>
      <c r="AR1004" s="13">
        <f t="shared" si="4543"/>
        <v>4.05</v>
      </c>
      <c r="AS1004" s="13">
        <f t="shared" si="4543"/>
        <v>3.95</v>
      </c>
      <c r="AT1004" s="13">
        <f t="shared" si="4543"/>
        <v>8</v>
      </c>
      <c r="AU1004" s="13">
        <f t="shared" si="4543"/>
        <v>4.05</v>
      </c>
      <c r="AV1004" s="13">
        <f t="shared" si="4543"/>
        <v>3.95</v>
      </c>
      <c r="AW1004" s="13">
        <f t="shared" si="4543"/>
        <v>8</v>
      </c>
      <c r="AX1004" s="13">
        <f t="shared" si="4543"/>
        <v>4.05</v>
      </c>
      <c r="AY1004" s="13">
        <f t="shared" si="4543"/>
        <v>3.95</v>
      </c>
      <c r="AZ1004" s="13">
        <f t="shared" si="4543"/>
        <v>8</v>
      </c>
      <c r="BA1004" s="13">
        <f t="shared" si="4543"/>
        <v>4.05</v>
      </c>
      <c r="BB1004" s="13">
        <f t="shared" si="4543"/>
        <v>3.95</v>
      </c>
      <c r="BC1004" s="13">
        <f t="shared" si="4543"/>
        <v>8</v>
      </c>
      <c r="BD1004" s="13">
        <f t="shared" si="4543"/>
        <v>4.05</v>
      </c>
      <c r="BE1004" s="13">
        <f t="shared" si="4543"/>
        <v>3.95</v>
      </c>
      <c r="BF1004" s="13">
        <f t="shared" si="4543"/>
        <v>8</v>
      </c>
      <c r="BG1004" s="13">
        <f t="shared" si="4543"/>
        <v>4.05</v>
      </c>
      <c r="BH1004" s="13">
        <f t="shared" si="4543"/>
        <v>3.95</v>
      </c>
      <c r="BI1004" s="13">
        <f t="shared" si="4543"/>
        <v>8</v>
      </c>
      <c r="BJ1004" s="13">
        <f t="shared" si="4543"/>
        <v>4.05</v>
      </c>
      <c r="BK1004" s="13">
        <f t="shared" si="4543"/>
        <v>3.95</v>
      </c>
      <c r="BL1004" s="13">
        <f t="shared" si="4543"/>
        <v>8</v>
      </c>
      <c r="BM1004" s="13">
        <f t="shared" si="4543"/>
        <v>4.05</v>
      </c>
      <c r="BN1004" s="13">
        <f t="shared" si="4543"/>
        <v>3.95</v>
      </c>
      <c r="BO1004" s="13">
        <f t="shared" si="4543"/>
        <v>8</v>
      </c>
      <c r="BP1004" s="13">
        <f t="shared" si="4543"/>
        <v>4.05</v>
      </c>
      <c r="BQ1004" s="13">
        <f t="shared" si="4543"/>
        <v>3.95</v>
      </c>
      <c r="BR1004" s="13">
        <f t="shared" si="4543"/>
        <v>8</v>
      </c>
    </row>
    <row r="1005" spans="2:70" outlineLevel="2">
      <c r="B1005" s="5"/>
      <c r="C1005" s="84" t="s">
        <v>75</v>
      </c>
      <c r="D1005" s="31" t="s">
        <v>66</v>
      </c>
      <c r="E1005" s="7"/>
      <c r="F1005" s="7"/>
      <c r="G1005" s="7"/>
      <c r="H1005" s="7"/>
      <c r="I1005" s="7"/>
      <c r="J1005" s="7"/>
      <c r="K1005" s="7"/>
      <c r="L1005" s="7"/>
      <c r="M1005" s="773">
        <v>0.2</v>
      </c>
      <c r="N1005" s="7"/>
      <c r="O1005" s="7"/>
      <c r="Q1005" s="20">
        <f>Q1004/$M$993</f>
        <v>8.1250000000000003E-2</v>
      </c>
      <c r="R1005" s="20">
        <f>R1004/$M$993</f>
        <v>8.1250000000000003E-2</v>
      </c>
      <c r="S1005" s="20">
        <f>S1004/$M$993</f>
        <v>0.16250000000000001</v>
      </c>
      <c r="T1005" s="20">
        <f>T1004/$M$993*2</f>
        <v>0.1875</v>
      </c>
      <c r="U1005" s="20">
        <f>U1004/$M$993*2</f>
        <v>0.1875</v>
      </c>
      <c r="V1005" s="20">
        <f>V1004/$M$993</f>
        <v>0.1875</v>
      </c>
      <c r="W1005" s="20">
        <f>W1004/$M$993*2</f>
        <v>0.20249999999999999</v>
      </c>
      <c r="X1005" s="20">
        <f>X1004/$M$993*2</f>
        <v>0.19750000000000001</v>
      </c>
      <c r="Y1005" s="20">
        <f>Y1004/$M$993</f>
        <v>0.2</v>
      </c>
      <c r="Z1005" s="20">
        <f>Z1004/$M$993*2</f>
        <v>0.20249999999999999</v>
      </c>
      <c r="AA1005" s="20">
        <f>AA1004/$M$993*2</f>
        <v>0.19750000000000001</v>
      </c>
      <c r="AB1005" s="20">
        <f>AB1004/$M$993</f>
        <v>0.2</v>
      </c>
      <c r="AC1005" s="20">
        <f>AC1004/$M$993*2</f>
        <v>0.20249999999999999</v>
      </c>
      <c r="AD1005" s="20">
        <f>AD1004/$M$993*2</f>
        <v>0.19750000000000001</v>
      </c>
      <c r="AE1005" s="133">
        <f>AE1004/$M$993</f>
        <v>0.2</v>
      </c>
      <c r="AF1005" s="133">
        <f>AF1004/$M$993*2</f>
        <v>0.20249999999999999</v>
      </c>
      <c r="AG1005" s="938">
        <f>AG1004/$M$993*2</f>
        <v>0.19750000000000001</v>
      </c>
      <c r="AH1005" s="20">
        <f>AH1004/$M$993</f>
        <v>0.2</v>
      </c>
      <c r="AI1005" s="20">
        <f>AI1004/$M$993*2</f>
        <v>0.20249999999999999</v>
      </c>
      <c r="AJ1005" s="20">
        <f>AJ1004/$M$993*2</f>
        <v>0.19750000000000001</v>
      </c>
      <c r="AK1005" s="20">
        <f>AK1004/$M$993</f>
        <v>0.2</v>
      </c>
      <c r="AL1005" s="20">
        <f>AL1004/$M$993*2</f>
        <v>0.20249999999999999</v>
      </c>
      <c r="AM1005" s="20">
        <f>AM1004/$M$993*2</f>
        <v>0.19750000000000001</v>
      </c>
      <c r="AN1005" s="20">
        <f>AN1004/$M$993</f>
        <v>0.2</v>
      </c>
      <c r="AO1005" s="20">
        <f>AO1004/$M$993*2</f>
        <v>0.20249999999999999</v>
      </c>
      <c r="AP1005" s="20">
        <f>AP1004/$M$993*2</f>
        <v>0.19750000000000001</v>
      </c>
      <c r="AQ1005" s="20">
        <f>AQ1004/$M$993</f>
        <v>0.2</v>
      </c>
      <c r="AR1005" s="20">
        <f>AR1004/$M$993*2</f>
        <v>0.20249999999999999</v>
      </c>
      <c r="AS1005" s="20">
        <f>AS1004/$M$993*2</f>
        <v>0.19750000000000001</v>
      </c>
      <c r="AT1005" s="20">
        <f>AT1004/$M$993</f>
        <v>0.2</v>
      </c>
      <c r="AU1005" s="20">
        <f>AU1004/$M$993*2</f>
        <v>0.20249999999999999</v>
      </c>
      <c r="AV1005" s="20">
        <f>AV1004/$M$993*2</f>
        <v>0.19750000000000001</v>
      </c>
      <c r="AW1005" s="20">
        <f>AW1004/$M$993</f>
        <v>0.2</v>
      </c>
      <c r="AX1005" s="20">
        <f>AX1004/$M$993*2</f>
        <v>0.20249999999999999</v>
      </c>
      <c r="AY1005" s="20">
        <f>AY1004/$M$993*2</f>
        <v>0.19750000000000001</v>
      </c>
      <c r="AZ1005" s="20">
        <f>AZ1004/$M$993</f>
        <v>0.2</v>
      </c>
      <c r="BA1005" s="20">
        <f>BA1004/$M$993*2</f>
        <v>0.20249999999999999</v>
      </c>
      <c r="BB1005" s="20">
        <f>BB1004/$M$993*2</f>
        <v>0.19750000000000001</v>
      </c>
      <c r="BC1005" s="20">
        <f>BC1004/$M$993</f>
        <v>0.2</v>
      </c>
      <c r="BD1005" s="20">
        <f>BD1004/$M$993*2</f>
        <v>0.20249999999999999</v>
      </c>
      <c r="BE1005" s="20">
        <f>BE1004/$M$993*2</f>
        <v>0.19750000000000001</v>
      </c>
      <c r="BF1005" s="20">
        <f>BF1004/$M$993</f>
        <v>0.2</v>
      </c>
      <c r="BG1005" s="20">
        <f>BG1004/$M$993*2</f>
        <v>0.20249999999999999</v>
      </c>
      <c r="BH1005" s="20">
        <f>BH1004/$M$993*2</f>
        <v>0.19750000000000001</v>
      </c>
      <c r="BI1005" s="20">
        <f>BI1004/$M$993</f>
        <v>0.2</v>
      </c>
      <c r="BJ1005" s="20">
        <f>BJ1004/$M$993*2</f>
        <v>0.20249999999999999</v>
      </c>
      <c r="BK1005" s="20">
        <f>BK1004/$M$993*2</f>
        <v>0.19750000000000001</v>
      </c>
      <c r="BL1005" s="20">
        <f>BL1004/$M$993</f>
        <v>0.2</v>
      </c>
      <c r="BM1005" s="20">
        <f>BM1004/$M$993*2</f>
        <v>0.20249999999999999</v>
      </c>
      <c r="BN1005" s="20">
        <f>BN1004/$M$993*2</f>
        <v>0.19750000000000001</v>
      </c>
      <c r="BO1005" s="20">
        <f>BO1004/$M$993</f>
        <v>0.2</v>
      </c>
      <c r="BP1005" s="20">
        <f>BP1004/$M$993*2</f>
        <v>0.20249999999999999</v>
      </c>
      <c r="BQ1005" s="20">
        <f>BQ1004/$M$993*2</f>
        <v>0.19750000000000001</v>
      </c>
      <c r="BR1005" s="20">
        <f>BR1004/$M$993</f>
        <v>0.2</v>
      </c>
    </row>
    <row r="1006" spans="2:70" outlineLevel="2">
      <c r="B1006" s="5"/>
      <c r="C1006" s="84" t="s">
        <v>57</v>
      </c>
      <c r="D1006" s="7" t="s">
        <v>85</v>
      </c>
      <c r="E1006" s="7"/>
      <c r="F1006" s="7"/>
      <c r="G1006" s="7"/>
      <c r="H1006" s="7"/>
      <c r="I1006" s="7"/>
      <c r="J1006" s="7"/>
      <c r="K1006" s="7"/>
      <c r="L1006" s="7"/>
      <c r="M1006" s="774">
        <f>M1004/P259</f>
        <v>5.9753597370702423</v>
      </c>
      <c r="N1006" s="7"/>
      <c r="O1006" s="7"/>
      <c r="Q1006" s="156">
        <f t="shared" ref="Q1006:AV1006" si="4544">Q1004/Q259</f>
        <v>2.5503198874877699</v>
      </c>
      <c r="R1006" s="156">
        <f t="shared" si="4544"/>
        <v>2.4750135981585681</v>
      </c>
      <c r="S1006" s="156">
        <f t="shared" si="4544"/>
        <v>5.0242049959194901</v>
      </c>
      <c r="T1006" s="156">
        <f t="shared" si="4544"/>
        <v>2.7922036082474224</v>
      </c>
      <c r="U1006" s="156">
        <f t="shared" si="4544"/>
        <v>2.7378624022089286</v>
      </c>
      <c r="V1006" s="156">
        <f t="shared" si="4544"/>
        <v>5.5269876002917577</v>
      </c>
      <c r="W1006" s="156">
        <f t="shared" si="4544"/>
        <v>3.0523071104387287</v>
      </c>
      <c r="X1006" s="156">
        <f t="shared" si="4544"/>
        <v>3.6128689178409985</v>
      </c>
      <c r="Y1006" s="156">
        <f t="shared" si="4544"/>
        <v>6.6561408049695867</v>
      </c>
      <c r="Z1006" s="156">
        <f t="shared" si="4544"/>
        <v>3.6703839638622244</v>
      </c>
      <c r="AA1006" s="156">
        <f t="shared" si="4544"/>
        <v>3.5419218322130948</v>
      </c>
      <c r="AB1006" s="156">
        <f t="shared" si="4544"/>
        <v>7.2094192353485909</v>
      </c>
      <c r="AC1006" s="156">
        <f t="shared" si="4544"/>
        <v>3.691689008042895</v>
      </c>
      <c r="AD1006" s="156">
        <f t="shared" si="4544"/>
        <v>3.6489691915682192</v>
      </c>
      <c r="AE1006" s="157">
        <f t="shared" si="4544"/>
        <v>7.3448490120541807</v>
      </c>
      <c r="AF1006" s="157">
        <f t="shared" si="4544"/>
        <v>3.4437247983870964</v>
      </c>
      <c r="AG1006" s="1031">
        <f t="shared" si="4544"/>
        <v>3.3333333333333335</v>
      </c>
      <c r="AH1006" s="156">
        <f t="shared" si="4544"/>
        <v>6.7766397738442095</v>
      </c>
      <c r="AI1006" s="156">
        <f t="shared" si="4544"/>
        <v>3.5371179039301306</v>
      </c>
      <c r="AJ1006" s="156">
        <f t="shared" si="4544"/>
        <v>3.2644628099173558</v>
      </c>
      <c r="AK1006" s="156">
        <f t="shared" si="4544"/>
        <v>6.7940552016985141</v>
      </c>
      <c r="AL1006" s="156">
        <f t="shared" si="4544"/>
        <v>3.2399999999999998</v>
      </c>
      <c r="AM1006" s="156">
        <f t="shared" si="4544"/>
        <v>3.16</v>
      </c>
      <c r="AN1006" s="156">
        <f t="shared" si="4544"/>
        <v>6.4</v>
      </c>
      <c r="AO1006" s="156">
        <f t="shared" si="4544"/>
        <v>3.2399999999999998</v>
      </c>
      <c r="AP1006" s="156">
        <f t="shared" si="4544"/>
        <v>3.16</v>
      </c>
      <c r="AQ1006" s="156">
        <f t="shared" si="4544"/>
        <v>6.4</v>
      </c>
      <c r="AR1006" s="156">
        <f t="shared" si="4544"/>
        <v>3.2399999999999998</v>
      </c>
      <c r="AS1006" s="156">
        <f t="shared" si="4544"/>
        <v>3.16</v>
      </c>
      <c r="AT1006" s="156">
        <f t="shared" si="4544"/>
        <v>6.4</v>
      </c>
      <c r="AU1006" s="156">
        <f t="shared" si="4544"/>
        <v>3.2399999999999998</v>
      </c>
      <c r="AV1006" s="156">
        <f t="shared" si="4544"/>
        <v>3.16</v>
      </c>
      <c r="AW1006" s="156">
        <f t="shared" ref="AW1006:BR1006" si="4545">AW1004/AW259</f>
        <v>6.4</v>
      </c>
      <c r="AX1006" s="156">
        <f t="shared" si="4545"/>
        <v>3.2399999999999998</v>
      </c>
      <c r="AY1006" s="156">
        <f t="shared" si="4545"/>
        <v>3.16</v>
      </c>
      <c r="AZ1006" s="156">
        <f t="shared" si="4545"/>
        <v>6.4</v>
      </c>
      <c r="BA1006" s="156">
        <f t="shared" si="4545"/>
        <v>3.2399999999999998</v>
      </c>
      <c r="BB1006" s="156">
        <f t="shared" si="4545"/>
        <v>3.16</v>
      </c>
      <c r="BC1006" s="156">
        <f t="shared" si="4545"/>
        <v>6.4</v>
      </c>
      <c r="BD1006" s="156">
        <f t="shared" si="4545"/>
        <v>3.2399999999999998</v>
      </c>
      <c r="BE1006" s="156">
        <f t="shared" si="4545"/>
        <v>3.16</v>
      </c>
      <c r="BF1006" s="156">
        <f t="shared" si="4545"/>
        <v>6.4</v>
      </c>
      <c r="BG1006" s="156">
        <f t="shared" si="4545"/>
        <v>3.2399999999999998</v>
      </c>
      <c r="BH1006" s="156">
        <f t="shared" si="4545"/>
        <v>3.16</v>
      </c>
      <c r="BI1006" s="156">
        <f t="shared" si="4545"/>
        <v>6.4</v>
      </c>
      <c r="BJ1006" s="156">
        <f t="shared" si="4545"/>
        <v>3.2399999999999998</v>
      </c>
      <c r="BK1006" s="156">
        <f t="shared" si="4545"/>
        <v>3.16</v>
      </c>
      <c r="BL1006" s="156">
        <f t="shared" si="4545"/>
        <v>6.4</v>
      </c>
      <c r="BM1006" s="156">
        <f t="shared" si="4545"/>
        <v>3.2399999999999998</v>
      </c>
      <c r="BN1006" s="156">
        <f t="shared" si="4545"/>
        <v>3.16</v>
      </c>
      <c r="BO1006" s="156">
        <f t="shared" si="4545"/>
        <v>6.4</v>
      </c>
      <c r="BP1006" s="156">
        <f t="shared" si="4545"/>
        <v>3.2399999999999998</v>
      </c>
      <c r="BQ1006" s="156">
        <f t="shared" si="4545"/>
        <v>3.16</v>
      </c>
      <c r="BR1006" s="156">
        <f t="shared" si="4545"/>
        <v>6.4</v>
      </c>
    </row>
    <row r="1007" spans="2:70" outlineLevel="2">
      <c r="B1007" s="5"/>
      <c r="C1007" s="511" t="s">
        <v>267</v>
      </c>
      <c r="D1007" s="512" t="s">
        <v>85</v>
      </c>
      <c r="E1007" s="512"/>
      <c r="F1007" s="512"/>
      <c r="G1007" s="512"/>
      <c r="H1007" s="512"/>
      <c r="I1007" s="512"/>
      <c r="J1007" s="512"/>
      <c r="K1007" s="512"/>
      <c r="L1007" s="512"/>
      <c r="M1007" s="512"/>
      <c r="N1007" s="512"/>
      <c r="O1007" s="512"/>
      <c r="P1007" s="513"/>
      <c r="Q1007" s="748">
        <f>(Q995-N995)/Q$259</f>
        <v>11.770707173020476</v>
      </c>
      <c r="R1007" s="748">
        <f>(R995-O995)/R$259</f>
        <v>11.423139683808776</v>
      </c>
      <c r="S1007" s="748">
        <f>SUM(Q1007:R1007)</f>
        <v>23.193846856829254</v>
      </c>
      <c r="T1007" s="748">
        <f t="shared" ref="T1007:U1007" si="4546">(T995-Q995)/T$259</f>
        <v>0</v>
      </c>
      <c r="U1007" s="748">
        <f t="shared" si="4546"/>
        <v>0</v>
      </c>
      <c r="V1007" s="748">
        <f t="shared" ref="V1007:V1009" si="4547">SUM(T1007:U1007)</f>
        <v>0</v>
      </c>
      <c r="W1007" s="748">
        <f t="shared" ref="W1007:X1007" si="4548">(W995-T995)/W$259</f>
        <v>0</v>
      </c>
      <c r="X1007" s="748">
        <f t="shared" si="4548"/>
        <v>0</v>
      </c>
      <c r="Y1007" s="748">
        <f t="shared" ref="Y1007:Y1009" si="4549">SUM(W1007:X1007)</f>
        <v>0</v>
      </c>
      <c r="Z1007" s="748">
        <f t="shared" ref="Z1007:AA1007" si="4550">(Z995-W995)/Z$259</f>
        <v>0</v>
      </c>
      <c r="AA1007" s="748">
        <f t="shared" si="4550"/>
        <v>0</v>
      </c>
      <c r="AB1007" s="748">
        <f t="shared" ref="AB1007:AB1009" si="4551">SUM(Z1007:AA1007)</f>
        <v>0</v>
      </c>
      <c r="AC1007" s="748">
        <f t="shared" ref="AC1007" si="4552">(AC995-Z995)/AC$259</f>
        <v>0</v>
      </c>
      <c r="AD1007" s="748">
        <f t="shared" ref="AD1007" si="4553">(AD995-AA995)/AD$259</f>
        <v>0</v>
      </c>
      <c r="AE1007" s="748">
        <f t="shared" ref="AE1007:AE1009" si="4554">SUM(AC1007:AD1007)</f>
        <v>0</v>
      </c>
      <c r="AF1007" s="748">
        <f t="shared" ref="AF1007" si="4555">(AF995-AC995)/AF$259</f>
        <v>0</v>
      </c>
      <c r="AG1007" s="1033">
        <f t="shared" ref="AG1007" si="4556">(AG995-AD995)/AG$259</f>
        <v>0</v>
      </c>
      <c r="AH1007" s="748">
        <f t="shared" ref="AH1007:AH1009" si="4557">SUM(AF1007:AG1007)</f>
        <v>0</v>
      </c>
      <c r="AI1007" s="748">
        <f t="shared" ref="AI1007" si="4558">(AI995-AF995)/AI$259</f>
        <v>0</v>
      </c>
      <c r="AJ1007" s="748">
        <f t="shared" ref="AJ1007" si="4559">(AJ995-AG995)/AJ$259</f>
        <v>0</v>
      </c>
      <c r="AK1007" s="748">
        <f t="shared" ref="AK1007:AK1009" si="4560">SUM(AI1007:AJ1007)</f>
        <v>0</v>
      </c>
      <c r="AL1007" s="748">
        <f t="shared" ref="AL1007" si="4561">(AL995-AI995)/AL$259</f>
        <v>0</v>
      </c>
      <c r="AM1007" s="748">
        <f t="shared" ref="AM1007" si="4562">(AM995-AJ995)/AM$259</f>
        <v>0</v>
      </c>
      <c r="AN1007" s="748">
        <f t="shared" ref="AN1007:AN1009" si="4563">SUM(AL1007:AM1007)</f>
        <v>0</v>
      </c>
      <c r="AO1007" s="748">
        <f t="shared" ref="AO1007" si="4564">(AO995-AL995)/AO$259</f>
        <v>0</v>
      </c>
      <c r="AP1007" s="748">
        <f t="shared" ref="AP1007" si="4565">(AP995-AM995)/AP$259</f>
        <v>0</v>
      </c>
      <c r="AQ1007" s="748">
        <f t="shared" ref="AQ1007:AQ1009" si="4566">SUM(AO1007:AP1007)</f>
        <v>0</v>
      </c>
      <c r="AR1007" s="748">
        <f t="shared" ref="AR1007" si="4567">(AR995-AO995)/AR$259</f>
        <v>0</v>
      </c>
      <c r="AS1007" s="748">
        <f t="shared" ref="AS1007" si="4568">(AS995-AP995)/AS$259</f>
        <v>0</v>
      </c>
      <c r="AT1007" s="748">
        <f t="shared" ref="AT1007:AT1009" si="4569">SUM(AR1007:AS1007)</f>
        <v>0</v>
      </c>
      <c r="AU1007" s="748">
        <f t="shared" ref="AU1007" si="4570">(AU995-AR995)/AU$259</f>
        <v>0</v>
      </c>
      <c r="AV1007" s="748">
        <f t="shared" ref="AV1007" si="4571">(AV995-AS995)/AV$259</f>
        <v>0</v>
      </c>
      <c r="AW1007" s="748">
        <f t="shared" ref="AW1007:AW1009" si="4572">SUM(AU1007:AV1007)</f>
        <v>0</v>
      </c>
      <c r="AX1007" s="748">
        <f t="shared" ref="AX1007" si="4573">(AX995-AU995)/AX$259</f>
        <v>0</v>
      </c>
      <c r="AY1007" s="748">
        <f t="shared" ref="AY1007" si="4574">(AY995-AV995)/AY$259</f>
        <v>0</v>
      </c>
      <c r="AZ1007" s="748">
        <f t="shared" ref="AZ1007:AZ1009" si="4575">SUM(AX1007:AY1007)</f>
        <v>0</v>
      </c>
      <c r="BA1007" s="748">
        <f t="shared" ref="BA1007" si="4576">(BA995-AX995)/BA$259</f>
        <v>0</v>
      </c>
      <c r="BB1007" s="748">
        <f t="shared" ref="BB1007" si="4577">(BB995-AY995)/BB$259</f>
        <v>0</v>
      </c>
      <c r="BC1007" s="748">
        <f t="shared" ref="BC1007:BC1009" si="4578">SUM(BA1007:BB1007)</f>
        <v>0</v>
      </c>
      <c r="BD1007" s="748">
        <f t="shared" ref="BD1007" si="4579">(BD995-BA995)/BD$259</f>
        <v>0</v>
      </c>
      <c r="BE1007" s="748">
        <f t="shared" ref="BE1007" si="4580">(BE995-BB995)/BE$259</f>
        <v>0</v>
      </c>
      <c r="BF1007" s="748">
        <f t="shared" ref="BF1007:BF1009" si="4581">SUM(BD1007:BE1007)</f>
        <v>0</v>
      </c>
      <c r="BG1007" s="748">
        <f t="shared" ref="BG1007" si="4582">(BG995-BD995)/BG$259</f>
        <v>0</v>
      </c>
      <c r="BH1007" s="748">
        <f t="shared" ref="BH1007" si="4583">(BH995-BE995)/BH$259</f>
        <v>0</v>
      </c>
      <c r="BI1007" s="748">
        <f t="shared" ref="BI1007:BI1009" si="4584">SUM(BG1007:BH1007)</f>
        <v>0</v>
      </c>
      <c r="BJ1007" s="748">
        <f t="shared" ref="BJ1007" si="4585">(BJ995-BG995)/BJ$259</f>
        <v>0</v>
      </c>
      <c r="BK1007" s="748">
        <f t="shared" ref="BK1007" si="4586">(BK995-BH995)/BK$259</f>
        <v>0</v>
      </c>
      <c r="BL1007" s="748">
        <f t="shared" ref="BL1007:BL1009" si="4587">SUM(BJ1007:BK1007)</f>
        <v>0</v>
      </c>
      <c r="BM1007" s="748">
        <f t="shared" ref="BM1007" si="4588">(BM995-BJ995)/BM$259</f>
        <v>0</v>
      </c>
      <c r="BN1007" s="748">
        <f t="shared" ref="BN1007" si="4589">(BN995-BK995)/BN$259</f>
        <v>0</v>
      </c>
      <c r="BO1007" s="748">
        <f t="shared" ref="BO1007:BO1009" si="4590">SUM(BM1007:BN1007)</f>
        <v>0</v>
      </c>
      <c r="BP1007" s="748">
        <f t="shared" ref="BP1007" si="4591">(BP995-BM995)/BP$259</f>
        <v>0</v>
      </c>
      <c r="BQ1007" s="748">
        <f t="shared" ref="BQ1007" si="4592">(BQ995-BN995)/BQ$259</f>
        <v>0</v>
      </c>
      <c r="BR1007" s="787">
        <f t="shared" ref="BR1007:BR1009" si="4593">SUM(BP1007:BQ1007)</f>
        <v>0</v>
      </c>
    </row>
    <row r="1008" spans="2:70" outlineLevel="2">
      <c r="B1008" s="5"/>
      <c r="C1008" s="516" t="s">
        <v>268</v>
      </c>
      <c r="D1008" s="401" t="s">
        <v>85</v>
      </c>
      <c r="E1008" s="401"/>
      <c r="F1008" s="401"/>
      <c r="G1008" s="401"/>
      <c r="H1008" s="401"/>
      <c r="I1008" s="401"/>
      <c r="J1008" s="401"/>
      <c r="K1008" s="401"/>
      <c r="L1008" s="401"/>
      <c r="M1008" s="401"/>
      <c r="N1008" s="401"/>
      <c r="O1008" s="401"/>
      <c r="P1008" s="130"/>
      <c r="Q1008" s="360">
        <f>(Q998-N998)/Q$259</f>
        <v>-0.35312121519061423</v>
      </c>
      <c r="R1008" s="360">
        <f>(R998-O998)/R$259</f>
        <v>-0.34269419051426325</v>
      </c>
      <c r="S1008" s="360">
        <f>SUM(Q1008:R1008)</f>
        <v>-0.69581540570487754</v>
      </c>
      <c r="T1008" s="360">
        <f t="shared" ref="T1008:U1008" si="4594">(T998-Q998)/T$259</f>
        <v>0</v>
      </c>
      <c r="U1008" s="360">
        <f t="shared" si="4594"/>
        <v>0</v>
      </c>
      <c r="V1008" s="360">
        <f t="shared" si="4547"/>
        <v>0</v>
      </c>
      <c r="W1008" s="360">
        <f t="shared" ref="W1008:X1008" si="4595">(W998-T998)/W$259</f>
        <v>0</v>
      </c>
      <c r="X1008" s="360">
        <f t="shared" si="4595"/>
        <v>0</v>
      </c>
      <c r="Y1008" s="360">
        <f t="shared" si="4549"/>
        <v>0</v>
      </c>
      <c r="Z1008" s="360">
        <f t="shared" ref="Z1008:AA1008" si="4596">(Z998-W998)/Z$259</f>
        <v>0</v>
      </c>
      <c r="AA1008" s="360">
        <f t="shared" si="4596"/>
        <v>0</v>
      </c>
      <c r="AB1008" s="360">
        <f t="shared" si="4551"/>
        <v>0</v>
      </c>
      <c r="AC1008" s="360">
        <f t="shared" ref="AC1008" si="4597">(AC998-Z998)/AC$259</f>
        <v>0</v>
      </c>
      <c r="AD1008" s="360">
        <f t="shared" ref="AD1008" si="4598">(AD998-AA998)/AD$259</f>
        <v>0</v>
      </c>
      <c r="AE1008" s="360">
        <f t="shared" si="4554"/>
        <v>0</v>
      </c>
      <c r="AF1008" s="360">
        <f t="shared" ref="AF1008" si="4599">(AF998-AC998)/AF$259</f>
        <v>0</v>
      </c>
      <c r="AG1008" s="942">
        <f t="shared" ref="AG1008" si="4600">(AG998-AD998)/AG$259</f>
        <v>0</v>
      </c>
      <c r="AH1008" s="360">
        <f t="shared" si="4557"/>
        <v>0</v>
      </c>
      <c r="AI1008" s="360">
        <f t="shared" ref="AI1008" si="4601">(AI998-AF998)/AI$259</f>
        <v>0</v>
      </c>
      <c r="AJ1008" s="360">
        <f t="shared" ref="AJ1008" si="4602">(AJ998-AG998)/AJ$259</f>
        <v>0</v>
      </c>
      <c r="AK1008" s="360">
        <f t="shared" si="4560"/>
        <v>0</v>
      </c>
      <c r="AL1008" s="360">
        <f t="shared" ref="AL1008" si="4603">(AL998-AI998)/AL$259</f>
        <v>0</v>
      </c>
      <c r="AM1008" s="360">
        <f t="shared" ref="AM1008" si="4604">(AM998-AJ998)/AM$259</f>
        <v>0</v>
      </c>
      <c r="AN1008" s="360">
        <f t="shared" si="4563"/>
        <v>0</v>
      </c>
      <c r="AO1008" s="360">
        <f t="shared" ref="AO1008" si="4605">(AO998-AL998)/AO$259</f>
        <v>0</v>
      </c>
      <c r="AP1008" s="360">
        <f t="shared" ref="AP1008" si="4606">(AP998-AM998)/AP$259</f>
        <v>0</v>
      </c>
      <c r="AQ1008" s="360">
        <f t="shared" si="4566"/>
        <v>0</v>
      </c>
      <c r="AR1008" s="360">
        <f t="shared" ref="AR1008" si="4607">(AR998-AO998)/AR$259</f>
        <v>0</v>
      </c>
      <c r="AS1008" s="360">
        <f t="shared" ref="AS1008" si="4608">(AS998-AP998)/AS$259</f>
        <v>0</v>
      </c>
      <c r="AT1008" s="360">
        <f t="shared" si="4569"/>
        <v>0</v>
      </c>
      <c r="AU1008" s="360">
        <f t="shared" ref="AU1008" si="4609">(AU998-AR998)/AU$259</f>
        <v>0</v>
      </c>
      <c r="AV1008" s="360">
        <f t="shared" ref="AV1008" si="4610">(AV998-AS998)/AV$259</f>
        <v>0</v>
      </c>
      <c r="AW1008" s="360">
        <f t="shared" si="4572"/>
        <v>0</v>
      </c>
      <c r="AX1008" s="360">
        <f t="shared" ref="AX1008" si="4611">(AX998-AU998)/AX$259</f>
        <v>0</v>
      </c>
      <c r="AY1008" s="360">
        <f t="shared" ref="AY1008" si="4612">(AY998-AV998)/AY$259</f>
        <v>0</v>
      </c>
      <c r="AZ1008" s="360">
        <f t="shared" si="4575"/>
        <v>0</v>
      </c>
      <c r="BA1008" s="360">
        <f t="shared" ref="BA1008" si="4613">(BA998-AX998)/BA$259</f>
        <v>0</v>
      </c>
      <c r="BB1008" s="360">
        <f t="shared" ref="BB1008" si="4614">(BB998-AY998)/BB$259</f>
        <v>0</v>
      </c>
      <c r="BC1008" s="360">
        <f t="shared" si="4578"/>
        <v>0</v>
      </c>
      <c r="BD1008" s="360">
        <f t="shared" ref="BD1008" si="4615">(BD998-BA998)/BD$259</f>
        <v>0</v>
      </c>
      <c r="BE1008" s="360">
        <f t="shared" ref="BE1008" si="4616">(BE998-BB998)/BE$259</f>
        <v>0</v>
      </c>
      <c r="BF1008" s="360">
        <f t="shared" si="4581"/>
        <v>0</v>
      </c>
      <c r="BG1008" s="360">
        <f t="shared" ref="BG1008" si="4617">(BG998-BD998)/BG$259</f>
        <v>0</v>
      </c>
      <c r="BH1008" s="360">
        <f t="shared" ref="BH1008" si="4618">(BH998-BE998)/BH$259</f>
        <v>0</v>
      </c>
      <c r="BI1008" s="360">
        <f t="shared" si="4584"/>
        <v>0</v>
      </c>
      <c r="BJ1008" s="360">
        <f t="shared" ref="BJ1008" si="4619">(BJ998-BG998)/BJ$259</f>
        <v>0</v>
      </c>
      <c r="BK1008" s="360">
        <f t="shared" ref="BK1008" si="4620">(BK998-BH998)/BK$259</f>
        <v>0</v>
      </c>
      <c r="BL1008" s="360">
        <f t="shared" si="4587"/>
        <v>0</v>
      </c>
      <c r="BM1008" s="360">
        <f t="shared" ref="BM1008" si="4621">(BM998-BJ998)/BM$259</f>
        <v>0</v>
      </c>
      <c r="BN1008" s="360">
        <f t="shared" ref="BN1008" si="4622">(BN998-BK998)/BN$259</f>
        <v>0</v>
      </c>
      <c r="BO1008" s="360">
        <f t="shared" si="4590"/>
        <v>0</v>
      </c>
      <c r="BP1008" s="360">
        <f t="shared" ref="BP1008" si="4623">(BP998-BM998)/BP$259</f>
        <v>0</v>
      </c>
      <c r="BQ1008" s="360">
        <f t="shared" ref="BQ1008" si="4624">(BQ998-BN998)/BQ$259</f>
        <v>0</v>
      </c>
      <c r="BR1008" s="788">
        <f t="shared" si="4593"/>
        <v>0</v>
      </c>
    </row>
    <row r="1009" spans="2:70" outlineLevel="2">
      <c r="B1009" s="5"/>
      <c r="C1009" s="518" t="s">
        <v>269</v>
      </c>
      <c r="D1009" s="519" t="s">
        <v>85</v>
      </c>
      <c r="E1009" s="519"/>
      <c r="F1009" s="519"/>
      <c r="G1009" s="519"/>
      <c r="H1009" s="519"/>
      <c r="I1009" s="519"/>
      <c r="J1009" s="519"/>
      <c r="K1009" s="519"/>
      <c r="L1009" s="519"/>
      <c r="M1009" s="519"/>
      <c r="N1009" s="519"/>
      <c r="O1009" s="519"/>
      <c r="P1009" s="520"/>
      <c r="Q1009" s="749">
        <f>(Q1004-N1004)/Q$259</f>
        <v>2.5503198874877699</v>
      </c>
      <c r="R1009" s="749">
        <f>(R1004-O1004)/R$259</f>
        <v>2.4750135981585681</v>
      </c>
      <c r="S1009" s="749">
        <f>SUM(Q1009:R1009)</f>
        <v>5.0253334856463381</v>
      </c>
      <c r="T1009" s="749">
        <f t="shared" ref="T1009:U1009" si="4625">(T1004-Q1004)/T$259</f>
        <v>0.37229381443298964</v>
      </c>
      <c r="U1009" s="749">
        <f t="shared" si="4625"/>
        <v>0.36504832029452383</v>
      </c>
      <c r="V1009" s="749">
        <f t="shared" si="4547"/>
        <v>0.73734213472751353</v>
      </c>
      <c r="W1009" s="749">
        <f t="shared" ref="W1009:X1009" si="4626">(W1004-T1004)/W$259</f>
        <v>0.22609682299546127</v>
      </c>
      <c r="X1009" s="749">
        <f t="shared" si="4626"/>
        <v>0.18293007178941781</v>
      </c>
      <c r="Y1009" s="749">
        <f t="shared" si="4549"/>
        <v>0.40902689478487908</v>
      </c>
      <c r="Z1009" s="749">
        <f t="shared" ref="Z1009:AA1009" si="4627">(Z1004-W1004)/Z$259</f>
        <v>0</v>
      </c>
      <c r="AA1009" s="749">
        <f t="shared" si="4627"/>
        <v>0</v>
      </c>
      <c r="AB1009" s="749">
        <f t="shared" si="4551"/>
        <v>0</v>
      </c>
      <c r="AC1009" s="749">
        <f t="shared" ref="AC1009" si="4628">(AC1004-Z1004)/AC$259</f>
        <v>0</v>
      </c>
      <c r="AD1009" s="749">
        <f t="shared" ref="AD1009" si="4629">(AD1004-AA1004)/AD$259</f>
        <v>0</v>
      </c>
      <c r="AE1009" s="749">
        <f t="shared" si="4554"/>
        <v>0</v>
      </c>
      <c r="AF1009" s="749">
        <f t="shared" ref="AF1009" si="4630">(AF1004-AC1004)/AF$259</f>
        <v>0</v>
      </c>
      <c r="AG1009" s="1034">
        <f t="shared" ref="AG1009" si="4631">(AG1004-AD1004)/AG$259</f>
        <v>0</v>
      </c>
      <c r="AH1009" s="749">
        <f t="shared" si="4557"/>
        <v>0</v>
      </c>
      <c r="AI1009" s="749">
        <f t="shared" ref="AI1009" si="4632">(AI1004-AF1004)/AI$259</f>
        <v>0</v>
      </c>
      <c r="AJ1009" s="749">
        <f t="shared" ref="AJ1009" si="4633">(AJ1004-AG1004)/AJ$259</f>
        <v>0</v>
      </c>
      <c r="AK1009" s="749">
        <f t="shared" si="4560"/>
        <v>0</v>
      </c>
      <c r="AL1009" s="749">
        <f t="shared" ref="AL1009" si="4634">(AL1004-AI1004)/AL$259</f>
        <v>0</v>
      </c>
      <c r="AM1009" s="749">
        <f t="shared" ref="AM1009" si="4635">(AM1004-AJ1004)/AM$259</f>
        <v>0</v>
      </c>
      <c r="AN1009" s="749">
        <f t="shared" si="4563"/>
        <v>0</v>
      </c>
      <c r="AO1009" s="749">
        <f t="shared" ref="AO1009" si="4636">(AO1004-AL1004)/AO$259</f>
        <v>0</v>
      </c>
      <c r="AP1009" s="749">
        <f t="shared" ref="AP1009" si="4637">(AP1004-AM1004)/AP$259</f>
        <v>0</v>
      </c>
      <c r="AQ1009" s="749">
        <f t="shared" si="4566"/>
        <v>0</v>
      </c>
      <c r="AR1009" s="749">
        <f t="shared" ref="AR1009" si="4638">(AR1004-AO1004)/AR$259</f>
        <v>0</v>
      </c>
      <c r="AS1009" s="749">
        <f t="shared" ref="AS1009" si="4639">(AS1004-AP1004)/AS$259</f>
        <v>0</v>
      </c>
      <c r="AT1009" s="749">
        <f t="shared" si="4569"/>
        <v>0</v>
      </c>
      <c r="AU1009" s="749">
        <f t="shared" ref="AU1009" si="4640">(AU1004-AR1004)/AU$259</f>
        <v>0</v>
      </c>
      <c r="AV1009" s="749">
        <f t="shared" ref="AV1009" si="4641">(AV1004-AS1004)/AV$259</f>
        <v>0</v>
      </c>
      <c r="AW1009" s="749">
        <f t="shared" si="4572"/>
        <v>0</v>
      </c>
      <c r="AX1009" s="749">
        <f t="shared" ref="AX1009" si="4642">(AX1004-AU1004)/AX$259</f>
        <v>0</v>
      </c>
      <c r="AY1009" s="749">
        <f t="shared" ref="AY1009" si="4643">(AY1004-AV1004)/AY$259</f>
        <v>0</v>
      </c>
      <c r="AZ1009" s="749">
        <f t="shared" si="4575"/>
        <v>0</v>
      </c>
      <c r="BA1009" s="749">
        <f t="shared" ref="BA1009" si="4644">(BA1004-AX1004)/BA$259</f>
        <v>0</v>
      </c>
      <c r="BB1009" s="749">
        <f t="shared" ref="BB1009" si="4645">(BB1004-AY1004)/BB$259</f>
        <v>0</v>
      </c>
      <c r="BC1009" s="749">
        <f t="shared" si="4578"/>
        <v>0</v>
      </c>
      <c r="BD1009" s="749">
        <f t="shared" ref="BD1009" si="4646">(BD1004-BA1004)/BD$259</f>
        <v>0</v>
      </c>
      <c r="BE1009" s="749">
        <f t="shared" ref="BE1009" si="4647">(BE1004-BB1004)/BE$259</f>
        <v>0</v>
      </c>
      <c r="BF1009" s="749">
        <f t="shared" si="4581"/>
        <v>0</v>
      </c>
      <c r="BG1009" s="749">
        <f t="shared" ref="BG1009" si="4648">(BG1004-BD1004)/BG$259</f>
        <v>0</v>
      </c>
      <c r="BH1009" s="749">
        <f t="shared" ref="BH1009" si="4649">(BH1004-BE1004)/BH$259</f>
        <v>0</v>
      </c>
      <c r="BI1009" s="749">
        <f t="shared" si="4584"/>
        <v>0</v>
      </c>
      <c r="BJ1009" s="749">
        <f t="shared" ref="BJ1009" si="4650">(BJ1004-BG1004)/BJ$259</f>
        <v>0</v>
      </c>
      <c r="BK1009" s="749">
        <f t="shared" ref="BK1009" si="4651">(BK1004-BH1004)/BK$259</f>
        <v>0</v>
      </c>
      <c r="BL1009" s="749">
        <f t="shared" si="4587"/>
        <v>0</v>
      </c>
      <c r="BM1009" s="749">
        <f t="shared" ref="BM1009" si="4652">(BM1004-BJ1004)/BM$259</f>
        <v>0</v>
      </c>
      <c r="BN1009" s="749">
        <f t="shared" ref="BN1009" si="4653">(BN1004-BK1004)/BN$259</f>
        <v>0</v>
      </c>
      <c r="BO1009" s="749">
        <f t="shared" si="4590"/>
        <v>0</v>
      </c>
      <c r="BP1009" s="749">
        <f t="shared" ref="BP1009" si="4654">(BP1004-BM1004)/BP$259</f>
        <v>0</v>
      </c>
      <c r="BQ1009" s="749">
        <f t="shared" ref="BQ1009" si="4655">(BQ1004-BN1004)/BQ$259</f>
        <v>0</v>
      </c>
      <c r="BR1009" s="789">
        <f t="shared" si="4593"/>
        <v>0</v>
      </c>
    </row>
    <row r="1010" spans="2:70" ht="11.25" customHeight="1" outlineLevel="2">
      <c r="B1010" s="5"/>
      <c r="C1010" s="9"/>
    </row>
    <row r="1011" spans="2:70" outlineLevel="2">
      <c r="B1011" s="5"/>
      <c r="C1011" s="9"/>
    </row>
    <row r="1012" spans="2:70" outlineLevel="2">
      <c r="B1012" s="5"/>
      <c r="C1012" s="8" t="s">
        <v>513</v>
      </c>
      <c r="AF1012" s="26"/>
      <c r="AG1012" s="933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  <c r="BA1012" s="18"/>
      <c r="BB1012" s="18"/>
      <c r="BC1012" s="18"/>
      <c r="BD1012" s="18"/>
      <c r="BE1012" s="18"/>
      <c r="BF1012" s="18"/>
      <c r="BG1012" s="18"/>
      <c r="BH1012" s="18"/>
      <c r="BI1012" s="18"/>
      <c r="BJ1012" s="18"/>
      <c r="BK1012" s="18"/>
      <c r="BL1012" s="18"/>
      <c r="BM1012" s="18"/>
      <c r="BN1012" s="18"/>
      <c r="BO1012" s="18"/>
      <c r="BP1012" s="18"/>
      <c r="BQ1012" s="18"/>
      <c r="BR1012" s="18"/>
    </row>
    <row r="1013" spans="2:70" outlineLevel="2">
      <c r="B1013" s="5"/>
      <c r="C1013" s="9" t="s">
        <v>266</v>
      </c>
      <c r="D1013" s="31"/>
      <c r="J1013" s="763" t="s">
        <v>517</v>
      </c>
      <c r="K1013" s="130"/>
      <c r="O1013" s="130"/>
      <c r="AF1013" s="26"/>
      <c r="AG1013" s="933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  <c r="BA1013" s="18"/>
      <c r="BB1013" s="18"/>
      <c r="BC1013" s="18"/>
      <c r="BD1013" s="18"/>
      <c r="BE1013" s="18"/>
      <c r="BF1013" s="18"/>
      <c r="BG1013" s="18"/>
      <c r="BH1013" s="18"/>
      <c r="BI1013" s="18"/>
      <c r="BJ1013" s="18"/>
      <c r="BK1013" s="18"/>
      <c r="BL1013" s="18"/>
      <c r="BM1013" s="18"/>
      <c r="BN1013" s="18"/>
      <c r="BO1013" s="18"/>
      <c r="BP1013" s="18"/>
      <c r="BQ1013" s="18"/>
      <c r="BR1013" s="18"/>
    </row>
    <row r="1014" spans="2:70" outlineLevel="2">
      <c r="B1014" s="5"/>
      <c r="C1014" s="9" t="s">
        <v>262</v>
      </c>
      <c r="D1014" s="74"/>
      <c r="J1014" s="764">
        <v>41043</v>
      </c>
      <c r="K1014" s="357"/>
      <c r="O1014" s="357"/>
      <c r="AF1014" s="26"/>
      <c r="AG1014" s="933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  <c r="BA1014" s="18"/>
      <c r="BB1014" s="18"/>
      <c r="BC1014" s="18"/>
      <c r="BD1014" s="18"/>
      <c r="BE1014" s="18"/>
      <c r="BF1014" s="18"/>
      <c r="BG1014" s="18"/>
      <c r="BH1014" s="18"/>
      <c r="BI1014" s="18"/>
      <c r="BJ1014" s="18"/>
      <c r="BK1014" s="18"/>
      <c r="BL1014" s="18"/>
      <c r="BM1014" s="18"/>
      <c r="BN1014" s="18"/>
      <c r="BO1014" s="18"/>
      <c r="BP1014" s="18"/>
      <c r="BQ1014" s="18"/>
      <c r="BR1014" s="18"/>
    </row>
    <row r="1015" spans="2:70" outlineLevel="2">
      <c r="B1015" s="5"/>
      <c r="C1015" s="84" t="s">
        <v>72</v>
      </c>
      <c r="D1015" s="31" t="s">
        <v>102</v>
      </c>
      <c r="J1015" s="765">
        <v>238</v>
      </c>
      <c r="K1015" s="358"/>
      <c r="O1015" s="358"/>
      <c r="AF1015" s="26"/>
      <c r="AG1015" s="933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  <c r="BA1015" s="18"/>
      <c r="BB1015" s="18"/>
      <c r="BC1015" s="18"/>
      <c r="BD1015" s="18"/>
      <c r="BE1015" s="18"/>
      <c r="BF1015" s="18"/>
      <c r="BG1015" s="18"/>
      <c r="BH1015" s="18"/>
      <c r="BI1015" s="18"/>
      <c r="BJ1015" s="18"/>
      <c r="BK1015" s="18"/>
      <c r="BL1015" s="18"/>
      <c r="BM1015" s="18"/>
      <c r="BN1015" s="18"/>
      <c r="BO1015" s="18"/>
      <c r="BP1015" s="18"/>
      <c r="BQ1015" s="18"/>
      <c r="BR1015" s="18"/>
    </row>
    <row r="1016" spans="2:70" outlineLevel="2">
      <c r="B1016" s="5"/>
      <c r="C1016" s="84" t="s">
        <v>76</v>
      </c>
      <c r="D1016" s="74" t="s">
        <v>77</v>
      </c>
      <c r="J1016" s="766">
        <v>6</v>
      </c>
      <c r="K1016" s="27"/>
      <c r="O1016" s="27"/>
      <c r="AF1016" s="26"/>
      <c r="AG1016" s="933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  <c r="BA1016" s="18"/>
      <c r="BB1016" s="18"/>
      <c r="BC1016" s="18"/>
      <c r="BD1016" s="18"/>
      <c r="BE1016" s="18"/>
      <c r="BF1016" s="18"/>
      <c r="BG1016" s="18"/>
      <c r="BH1016" s="18"/>
      <c r="BI1016" s="18"/>
      <c r="BJ1016" s="18"/>
      <c r="BK1016" s="18"/>
      <c r="BL1016" s="18"/>
      <c r="BM1016" s="18"/>
      <c r="BN1016" s="18"/>
      <c r="BO1016" s="18"/>
      <c r="BP1016" s="18"/>
      <c r="BQ1016" s="18"/>
      <c r="BR1016" s="18"/>
    </row>
    <row r="1017" spans="2:70" outlineLevel="2">
      <c r="B1017" s="5"/>
      <c r="C1017" s="84" t="s">
        <v>55</v>
      </c>
      <c r="D1017" s="31" t="s">
        <v>102</v>
      </c>
      <c r="J1017" s="765">
        <v>350</v>
      </c>
      <c r="K1017" s="358"/>
      <c r="M1017" s="24"/>
      <c r="O1017" s="364">
        <f>J1017*0.5*(1/6)</f>
        <v>29.166666666666664</v>
      </c>
      <c r="P1017" s="24">
        <f>SUM(O1017:O1017)</f>
        <v>29.166666666666664</v>
      </c>
      <c r="Q1017" s="167">
        <f>S1017*0.5</f>
        <v>175</v>
      </c>
      <c r="R1017" s="167">
        <f>S1017*0.5</f>
        <v>175</v>
      </c>
      <c r="S1017" s="389">
        <f>J1017</f>
        <v>350</v>
      </c>
      <c r="T1017" s="167">
        <f>V1017*0.5</f>
        <v>175</v>
      </c>
      <c r="U1017" s="167">
        <f>V1017*0.5</f>
        <v>175</v>
      </c>
      <c r="V1017" s="389">
        <f>S1017</f>
        <v>350</v>
      </c>
      <c r="W1017" s="167">
        <f>Y1017*0.5</f>
        <v>175</v>
      </c>
      <c r="X1017" s="167">
        <f>Y1017*0.5</f>
        <v>175</v>
      </c>
      <c r="Y1017" s="389">
        <f>V1017</f>
        <v>350</v>
      </c>
      <c r="Z1017" s="167">
        <f>AB1017*0.5</f>
        <v>175</v>
      </c>
      <c r="AA1017" s="167">
        <f>AB1017*0.5</f>
        <v>175</v>
      </c>
      <c r="AB1017" s="389">
        <f>Y1017</f>
        <v>350</v>
      </c>
      <c r="AC1017" s="167">
        <f>AE1017*0.5</f>
        <v>175</v>
      </c>
      <c r="AD1017" s="167">
        <f>AE1017*0.5</f>
        <v>175</v>
      </c>
      <c r="AE1017" s="389">
        <f>AB1017</f>
        <v>350</v>
      </c>
      <c r="AF1017" s="167">
        <f>AH1017*0.5</f>
        <v>175</v>
      </c>
      <c r="AG1017" s="1017">
        <f>AH1017*0.5</f>
        <v>175</v>
      </c>
      <c r="AH1017" s="389">
        <f>AE1017</f>
        <v>350</v>
      </c>
      <c r="AI1017" s="167">
        <f>AK1017*0.5</f>
        <v>175</v>
      </c>
      <c r="AJ1017" s="167">
        <f>AK1017*0.5</f>
        <v>175</v>
      </c>
      <c r="AK1017" s="389">
        <f>AH1017</f>
        <v>350</v>
      </c>
      <c r="AL1017" s="167">
        <f>AN1017*0.5</f>
        <v>175</v>
      </c>
      <c r="AM1017" s="167">
        <f>AN1017*0.5</f>
        <v>175</v>
      </c>
      <c r="AN1017" s="389">
        <f>AK1017</f>
        <v>350</v>
      </c>
      <c r="AO1017" s="167">
        <f>AQ1017*0.5</f>
        <v>175</v>
      </c>
      <c r="AP1017" s="167">
        <f>AQ1017*0.5</f>
        <v>175</v>
      </c>
      <c r="AQ1017" s="389">
        <f>AN1017</f>
        <v>350</v>
      </c>
      <c r="AR1017" s="167">
        <f>AT1017*0.5</f>
        <v>175</v>
      </c>
      <c r="AS1017" s="167">
        <f>AT1017*0.5</f>
        <v>175</v>
      </c>
      <c r="AT1017" s="389">
        <f>AQ1017</f>
        <v>350</v>
      </c>
      <c r="AU1017" s="167">
        <f>AW1017*0.5</f>
        <v>175</v>
      </c>
      <c r="AV1017" s="167">
        <f>AW1017*0.5</f>
        <v>175</v>
      </c>
      <c r="AW1017" s="389">
        <f>AT1017</f>
        <v>350</v>
      </c>
      <c r="AX1017" s="167">
        <f>AZ1017*0.5</f>
        <v>175</v>
      </c>
      <c r="AY1017" s="167">
        <f>AZ1017*0.5</f>
        <v>175</v>
      </c>
      <c r="AZ1017" s="389">
        <f>AW1017</f>
        <v>350</v>
      </c>
      <c r="BA1017" s="167">
        <f>BC1017*0.5</f>
        <v>175</v>
      </c>
      <c r="BB1017" s="167">
        <f>BC1017*0.5</f>
        <v>175</v>
      </c>
      <c r="BC1017" s="389">
        <f>AZ1017</f>
        <v>350</v>
      </c>
      <c r="BD1017" s="167">
        <f>BF1017*0.5</f>
        <v>175</v>
      </c>
      <c r="BE1017" s="167">
        <f>BF1017*0.5</f>
        <v>175</v>
      </c>
      <c r="BF1017" s="389">
        <f>BC1017</f>
        <v>350</v>
      </c>
      <c r="BG1017" s="167">
        <f>BI1017*0.5</f>
        <v>175</v>
      </c>
      <c r="BH1017" s="167">
        <f>BI1017*0.5</f>
        <v>175</v>
      </c>
      <c r="BI1017" s="389">
        <f>BF1017</f>
        <v>350</v>
      </c>
      <c r="BJ1017" s="167">
        <f>BL1017*0.5</f>
        <v>175</v>
      </c>
      <c r="BK1017" s="167">
        <f>BL1017*0.5</f>
        <v>175</v>
      </c>
      <c r="BL1017" s="389">
        <f>BI1017</f>
        <v>350</v>
      </c>
      <c r="BM1017" s="167">
        <f>BO1017*0.5</f>
        <v>175</v>
      </c>
      <c r="BN1017" s="167">
        <f>BO1017*0.5</f>
        <v>175</v>
      </c>
      <c r="BO1017" s="389">
        <f>BL1017</f>
        <v>350</v>
      </c>
      <c r="BP1017" s="167">
        <f>BR1017*0.5</f>
        <v>175</v>
      </c>
      <c r="BQ1017" s="167">
        <f>BR1017*0.5</f>
        <v>175</v>
      </c>
      <c r="BR1017" s="389">
        <f>BO1017</f>
        <v>350</v>
      </c>
    </row>
    <row r="1018" spans="2:70" outlineLevel="2">
      <c r="B1018" s="5"/>
      <c r="C1018" s="84" t="s">
        <v>56</v>
      </c>
      <c r="D1018" s="31" t="s">
        <v>102</v>
      </c>
      <c r="J1018" s="767">
        <f>J1015/J1016</f>
        <v>39.666666666666664</v>
      </c>
      <c r="K1018" s="364"/>
      <c r="M1018" s="24"/>
      <c r="O1018" s="364">
        <f>J1018*0.5*(1/6)</f>
        <v>3.3055555555555554</v>
      </c>
      <c r="P1018" s="24">
        <f>SUM(O1018:O1018)</f>
        <v>3.3055555555555554</v>
      </c>
      <c r="Q1018" s="167">
        <f>S1018*0.5</f>
        <v>19.833333333333336</v>
      </c>
      <c r="R1018" s="167">
        <f>S1018*0.5</f>
        <v>19.833333333333336</v>
      </c>
      <c r="S1018" s="26">
        <f>S1017*S1019</f>
        <v>39.666666666666671</v>
      </c>
      <c r="T1018" s="167">
        <f>V1018*0.5</f>
        <v>19.833333333333336</v>
      </c>
      <c r="U1018" s="167">
        <f>V1018*0.5</f>
        <v>19.833333333333336</v>
      </c>
      <c r="V1018" s="26">
        <f>V1017*V1019</f>
        <v>39.666666666666671</v>
      </c>
      <c r="W1018" s="167">
        <f>Y1018*0.5</f>
        <v>19.833333333333336</v>
      </c>
      <c r="X1018" s="167">
        <f>Y1018*0.5</f>
        <v>19.833333333333336</v>
      </c>
      <c r="Y1018" s="26">
        <f>Y1017*Y1019</f>
        <v>39.666666666666671</v>
      </c>
      <c r="Z1018" s="167">
        <f>AB1018*0.5</f>
        <v>19.833333333333336</v>
      </c>
      <c r="AA1018" s="167">
        <f>AB1018*0.5</f>
        <v>19.833333333333336</v>
      </c>
      <c r="AB1018" s="26">
        <f>AB1017*AB1019</f>
        <v>39.666666666666671</v>
      </c>
      <c r="AC1018" s="167">
        <f>AE1018*0.5</f>
        <v>19.833333333333336</v>
      </c>
      <c r="AD1018" s="167">
        <f>AE1018*0.5</f>
        <v>19.833333333333336</v>
      </c>
      <c r="AE1018" s="26">
        <f>AE1017*AE1019</f>
        <v>39.666666666666671</v>
      </c>
      <c r="AF1018" s="167">
        <f>AH1018*0.5</f>
        <v>19.833333333333336</v>
      </c>
      <c r="AG1018" s="1017">
        <f>AH1018*0.5</f>
        <v>19.833333333333336</v>
      </c>
      <c r="AH1018" s="26">
        <f>AH1017*AH1019</f>
        <v>39.666666666666671</v>
      </c>
      <c r="AI1018" s="167">
        <f>AK1018*0.5</f>
        <v>19.833333333333336</v>
      </c>
      <c r="AJ1018" s="167">
        <f>AK1018*0.5</f>
        <v>19.833333333333336</v>
      </c>
      <c r="AK1018" s="26">
        <f>AK1017*AK1019</f>
        <v>39.666666666666671</v>
      </c>
      <c r="AL1018" s="167">
        <f>AN1018*0.5</f>
        <v>19.833333333333336</v>
      </c>
      <c r="AM1018" s="167">
        <f>AN1018*0.5</f>
        <v>19.833333333333336</v>
      </c>
      <c r="AN1018" s="26">
        <f>AN1017*AN1019</f>
        <v>39.666666666666671</v>
      </c>
      <c r="AO1018" s="167">
        <f>AQ1018*0.5</f>
        <v>19.833333333333336</v>
      </c>
      <c r="AP1018" s="167">
        <f>AQ1018*0.5</f>
        <v>19.833333333333336</v>
      </c>
      <c r="AQ1018" s="26">
        <f>AQ1017*AQ1019</f>
        <v>39.666666666666671</v>
      </c>
      <c r="AR1018" s="167">
        <f>AT1018*0.5</f>
        <v>19.833333333333336</v>
      </c>
      <c r="AS1018" s="167">
        <f>AT1018*0.5</f>
        <v>19.833333333333336</v>
      </c>
      <c r="AT1018" s="26">
        <f>AT1017*AT1019</f>
        <v>39.666666666666671</v>
      </c>
      <c r="AU1018" s="167">
        <f>AW1018*0.5</f>
        <v>19.833333333333336</v>
      </c>
      <c r="AV1018" s="167">
        <f>AW1018*0.5</f>
        <v>19.833333333333336</v>
      </c>
      <c r="AW1018" s="26">
        <f>AW1017*AW1019</f>
        <v>39.666666666666671</v>
      </c>
      <c r="AX1018" s="167">
        <f>AZ1018*0.5</f>
        <v>19.833333333333336</v>
      </c>
      <c r="AY1018" s="167">
        <f>AZ1018*0.5</f>
        <v>19.833333333333336</v>
      </c>
      <c r="AZ1018" s="26">
        <f>AZ1017*AZ1019</f>
        <v>39.666666666666671</v>
      </c>
      <c r="BA1018" s="167">
        <f>BC1018*0.5</f>
        <v>19.833333333333336</v>
      </c>
      <c r="BB1018" s="167">
        <f>BC1018*0.5</f>
        <v>19.833333333333336</v>
      </c>
      <c r="BC1018" s="26">
        <f>BC1017*BC1019</f>
        <v>39.666666666666671</v>
      </c>
      <c r="BD1018" s="167">
        <f>BF1018*0.5</f>
        <v>19.833333333333336</v>
      </c>
      <c r="BE1018" s="167">
        <f>BF1018*0.5</f>
        <v>19.833333333333336</v>
      </c>
      <c r="BF1018" s="26">
        <f>BF1017*BF1019</f>
        <v>39.666666666666671</v>
      </c>
      <c r="BG1018" s="167">
        <f>BI1018*0.5</f>
        <v>19.833333333333336</v>
      </c>
      <c r="BH1018" s="167">
        <f>BI1018*0.5</f>
        <v>19.833333333333336</v>
      </c>
      <c r="BI1018" s="26">
        <f>BI1017*BI1019</f>
        <v>39.666666666666671</v>
      </c>
      <c r="BJ1018" s="167">
        <f>BL1018*0.5</f>
        <v>19.833333333333336</v>
      </c>
      <c r="BK1018" s="167">
        <f>BL1018*0.5</f>
        <v>19.833333333333336</v>
      </c>
      <c r="BL1018" s="26">
        <f>BL1017*BL1019</f>
        <v>39.666666666666671</v>
      </c>
      <c r="BM1018" s="167">
        <f>BO1018*0.5</f>
        <v>19.833333333333336</v>
      </c>
      <c r="BN1018" s="167">
        <f>BO1018*0.5</f>
        <v>19.833333333333336</v>
      </c>
      <c r="BO1018" s="26">
        <f>BO1017*BO1019</f>
        <v>39.666666666666671</v>
      </c>
      <c r="BP1018" s="167">
        <f>BR1018*0.5</f>
        <v>19.833333333333336</v>
      </c>
      <c r="BQ1018" s="167">
        <f>BR1018*0.5</f>
        <v>19.833333333333336</v>
      </c>
      <c r="BR1018" s="26">
        <f>BR1017*BR1019</f>
        <v>39.666666666666671</v>
      </c>
    </row>
    <row r="1019" spans="2:70" outlineLevel="2">
      <c r="B1019" s="5"/>
      <c r="C1019" s="84" t="s">
        <v>73</v>
      </c>
      <c r="D1019" s="31" t="s">
        <v>66</v>
      </c>
      <c r="J1019" s="768">
        <f>J1018/J1017</f>
        <v>0.11333333333333333</v>
      </c>
      <c r="K1019" s="133"/>
      <c r="M1019" s="133"/>
      <c r="O1019" s="133">
        <f>O1018/O1017</f>
        <v>0.11333333333333334</v>
      </c>
      <c r="P1019" s="133">
        <f>P1018/P1017</f>
        <v>0.11333333333333334</v>
      </c>
      <c r="Q1019" s="133">
        <f>Q1018/Q1017</f>
        <v>0.11333333333333334</v>
      </c>
      <c r="R1019" s="133">
        <f>R1018/R1017</f>
        <v>0.11333333333333334</v>
      </c>
      <c r="S1019" s="162">
        <f>P1019</f>
        <v>0.11333333333333334</v>
      </c>
      <c r="T1019" s="133">
        <f>T1018/T1017</f>
        <v>0.11333333333333334</v>
      </c>
      <c r="U1019" s="133">
        <f>U1018/U1017</f>
        <v>0.11333333333333334</v>
      </c>
      <c r="V1019" s="162">
        <f>S1019</f>
        <v>0.11333333333333334</v>
      </c>
      <c r="W1019" s="133">
        <f>W1018/W1017</f>
        <v>0.11333333333333334</v>
      </c>
      <c r="X1019" s="133">
        <f>X1018/X1017</f>
        <v>0.11333333333333334</v>
      </c>
      <c r="Y1019" s="162">
        <f>V1019</f>
        <v>0.11333333333333334</v>
      </c>
      <c r="Z1019" s="133">
        <f>Z1018/Z1017</f>
        <v>0.11333333333333334</v>
      </c>
      <c r="AA1019" s="133">
        <f>AA1018/AA1017</f>
        <v>0.11333333333333334</v>
      </c>
      <c r="AB1019" s="162">
        <f>Y1019</f>
        <v>0.11333333333333334</v>
      </c>
      <c r="AC1019" s="133">
        <f>AC1018/AC1017</f>
        <v>0.11333333333333334</v>
      </c>
      <c r="AD1019" s="133">
        <f>AD1018/AD1017</f>
        <v>0.11333333333333334</v>
      </c>
      <c r="AE1019" s="162">
        <f>AB1019</f>
        <v>0.11333333333333334</v>
      </c>
      <c r="AF1019" s="133">
        <f>AF1018/AF1017</f>
        <v>0.11333333333333334</v>
      </c>
      <c r="AG1019" s="938">
        <f>AG1018/AG1017</f>
        <v>0.11333333333333334</v>
      </c>
      <c r="AH1019" s="162">
        <f>AE1019</f>
        <v>0.11333333333333334</v>
      </c>
      <c r="AI1019" s="133">
        <f>AI1018/AI1017</f>
        <v>0.11333333333333334</v>
      </c>
      <c r="AJ1019" s="133">
        <f>AJ1018/AJ1017</f>
        <v>0.11333333333333334</v>
      </c>
      <c r="AK1019" s="162">
        <f>AH1019</f>
        <v>0.11333333333333334</v>
      </c>
      <c r="AL1019" s="133">
        <f>AL1018/AL1017</f>
        <v>0.11333333333333334</v>
      </c>
      <c r="AM1019" s="133">
        <f>AM1018/AM1017</f>
        <v>0.11333333333333334</v>
      </c>
      <c r="AN1019" s="162">
        <f>AK1019</f>
        <v>0.11333333333333334</v>
      </c>
      <c r="AO1019" s="133">
        <f>AO1018/AO1017</f>
        <v>0.11333333333333334</v>
      </c>
      <c r="AP1019" s="133">
        <f>AP1018/AP1017</f>
        <v>0.11333333333333334</v>
      </c>
      <c r="AQ1019" s="162">
        <f>AN1019</f>
        <v>0.11333333333333334</v>
      </c>
      <c r="AR1019" s="133">
        <f>AR1018/AR1017</f>
        <v>0.11333333333333334</v>
      </c>
      <c r="AS1019" s="133">
        <f>AS1018/AS1017</f>
        <v>0.11333333333333334</v>
      </c>
      <c r="AT1019" s="162">
        <f>AQ1019</f>
        <v>0.11333333333333334</v>
      </c>
      <c r="AU1019" s="133">
        <f>AU1018/AU1017</f>
        <v>0.11333333333333334</v>
      </c>
      <c r="AV1019" s="133">
        <f>AV1018/AV1017</f>
        <v>0.11333333333333334</v>
      </c>
      <c r="AW1019" s="162">
        <f>AT1019</f>
        <v>0.11333333333333334</v>
      </c>
      <c r="AX1019" s="133">
        <f>AX1018/AX1017</f>
        <v>0.11333333333333334</v>
      </c>
      <c r="AY1019" s="133">
        <f>AY1018/AY1017</f>
        <v>0.11333333333333334</v>
      </c>
      <c r="AZ1019" s="162">
        <f>AW1019</f>
        <v>0.11333333333333334</v>
      </c>
      <c r="BA1019" s="133">
        <f>BA1018/BA1017</f>
        <v>0.11333333333333334</v>
      </c>
      <c r="BB1019" s="133">
        <f>BB1018/BB1017</f>
        <v>0.11333333333333334</v>
      </c>
      <c r="BC1019" s="162">
        <f>AZ1019</f>
        <v>0.11333333333333334</v>
      </c>
      <c r="BD1019" s="133">
        <f>BD1018/BD1017</f>
        <v>0.11333333333333334</v>
      </c>
      <c r="BE1019" s="133">
        <f>BE1018/BE1017</f>
        <v>0.11333333333333334</v>
      </c>
      <c r="BF1019" s="162">
        <f>BC1019</f>
        <v>0.11333333333333334</v>
      </c>
      <c r="BG1019" s="133">
        <f>BG1018/BG1017</f>
        <v>0.11333333333333334</v>
      </c>
      <c r="BH1019" s="133">
        <f>BH1018/BH1017</f>
        <v>0.11333333333333334</v>
      </c>
      <c r="BI1019" s="162">
        <f>BF1019</f>
        <v>0.11333333333333334</v>
      </c>
      <c r="BJ1019" s="133">
        <f>BJ1018/BJ1017</f>
        <v>0.11333333333333334</v>
      </c>
      <c r="BK1019" s="133">
        <f>BK1018/BK1017</f>
        <v>0.11333333333333334</v>
      </c>
      <c r="BL1019" s="162">
        <f>BI1019</f>
        <v>0.11333333333333334</v>
      </c>
      <c r="BM1019" s="133">
        <f>BM1018/BM1017</f>
        <v>0.11333333333333334</v>
      </c>
      <c r="BN1019" s="133">
        <f>BN1018/BN1017</f>
        <v>0.11333333333333334</v>
      </c>
      <c r="BO1019" s="162">
        <f>BL1019</f>
        <v>0.11333333333333334</v>
      </c>
      <c r="BP1019" s="133">
        <f>BP1018/BP1017</f>
        <v>0.11333333333333334</v>
      </c>
      <c r="BQ1019" s="133">
        <f>BQ1018/BQ1017</f>
        <v>0.11333333333333334</v>
      </c>
      <c r="BR1019" s="162">
        <f>BO1019</f>
        <v>0.11333333333333334</v>
      </c>
    </row>
    <row r="1020" spans="2:70" outlineLevel="2">
      <c r="B1020" s="5"/>
      <c r="C1020" s="84" t="s">
        <v>65</v>
      </c>
      <c r="D1020" s="31" t="s">
        <v>102</v>
      </c>
      <c r="J1020" s="769">
        <f>J1021-J1018</f>
        <v>-17.066666666666663</v>
      </c>
      <c r="K1020" s="373"/>
      <c r="M1020" s="24"/>
      <c r="O1020" s="364">
        <f>J1020*0.5*(1/6)</f>
        <v>-1.4222222222222218</v>
      </c>
      <c r="P1020" s="24">
        <f>SUM(O1020:O1020)</f>
        <v>-1.4222222222222218</v>
      </c>
      <c r="Q1020" s="167">
        <f>S1020*0.5</f>
        <v>-8.5333333333333314</v>
      </c>
      <c r="R1020" s="167">
        <f>S1020*0.5</f>
        <v>-8.5333333333333314</v>
      </c>
      <c r="S1020" s="360">
        <f>P1020*(S1017/P1017)</f>
        <v>-17.066666666666663</v>
      </c>
      <c r="T1020" s="167">
        <f>V1020*0.5</f>
        <v>-8.5333333333333314</v>
      </c>
      <c r="U1020" s="167">
        <f>V1020*0.5</f>
        <v>-8.5333333333333314</v>
      </c>
      <c r="V1020" s="360">
        <f>S1020*(V1017/S1017)</f>
        <v>-17.066666666666663</v>
      </c>
      <c r="W1020" s="167">
        <f>Y1020*0.5</f>
        <v>-8.5333333333333314</v>
      </c>
      <c r="X1020" s="167">
        <f>Y1020*0.5</f>
        <v>-8.5333333333333314</v>
      </c>
      <c r="Y1020" s="360">
        <f>V1020*(Y1017/V1017)</f>
        <v>-17.066666666666663</v>
      </c>
      <c r="Z1020" s="167">
        <f>AB1020*0.5</f>
        <v>-8.5333333333333314</v>
      </c>
      <c r="AA1020" s="167">
        <f>AB1020*0.5</f>
        <v>-8.5333333333333314</v>
      </c>
      <c r="AB1020" s="360">
        <f>Y1020*(AB1017/Y1017)</f>
        <v>-17.066666666666663</v>
      </c>
      <c r="AC1020" s="167">
        <f>AE1020*0.5</f>
        <v>-8.5333333333333314</v>
      </c>
      <c r="AD1020" s="167">
        <f>AE1020*0.5</f>
        <v>-8.5333333333333314</v>
      </c>
      <c r="AE1020" s="360">
        <f>AB1020*(AE1017/AB1017)</f>
        <v>-17.066666666666663</v>
      </c>
      <c r="AF1020" s="167">
        <f>AH1020*0.5</f>
        <v>-8.5333333333333314</v>
      </c>
      <c r="AG1020" s="1017">
        <f>AH1020*0.5</f>
        <v>-8.5333333333333314</v>
      </c>
      <c r="AH1020" s="360">
        <f>AE1020*(AH1017/AE1017)</f>
        <v>-17.066666666666663</v>
      </c>
      <c r="AI1020" s="167">
        <f>AK1020*0.5</f>
        <v>-8.5333333333333314</v>
      </c>
      <c r="AJ1020" s="167">
        <f>AK1020*0.5</f>
        <v>-8.5333333333333314</v>
      </c>
      <c r="AK1020" s="360">
        <f>AH1020*(AK1017/AH1017)</f>
        <v>-17.066666666666663</v>
      </c>
      <c r="AL1020" s="167">
        <f>AN1020*0.5</f>
        <v>-8.5333333333333314</v>
      </c>
      <c r="AM1020" s="167">
        <f>AN1020*0.5</f>
        <v>-8.5333333333333314</v>
      </c>
      <c r="AN1020" s="360">
        <f>AK1020*(AN1017/AK1017)</f>
        <v>-17.066666666666663</v>
      </c>
      <c r="AO1020" s="167">
        <f>AQ1020*0.5</f>
        <v>-8.5333333333333314</v>
      </c>
      <c r="AP1020" s="167">
        <f>AQ1020*0.5</f>
        <v>-8.5333333333333314</v>
      </c>
      <c r="AQ1020" s="360">
        <f>AN1020*(AQ1017/AN1017)</f>
        <v>-17.066666666666663</v>
      </c>
      <c r="AR1020" s="167">
        <f>AT1020*0.5</f>
        <v>-8.5333333333333314</v>
      </c>
      <c r="AS1020" s="167">
        <f>AT1020*0.5</f>
        <v>-8.5333333333333314</v>
      </c>
      <c r="AT1020" s="360">
        <f>AQ1020*(AT1017/AQ1017)</f>
        <v>-17.066666666666663</v>
      </c>
      <c r="AU1020" s="167">
        <f>AW1020*0.5</f>
        <v>-8.5333333333333314</v>
      </c>
      <c r="AV1020" s="167">
        <f>AW1020*0.5</f>
        <v>-8.5333333333333314</v>
      </c>
      <c r="AW1020" s="360">
        <f>AT1020*(AW1017/AT1017)</f>
        <v>-17.066666666666663</v>
      </c>
      <c r="AX1020" s="167">
        <f>AZ1020*0.5</f>
        <v>-8.5333333333333314</v>
      </c>
      <c r="AY1020" s="167">
        <f>AZ1020*0.5</f>
        <v>-8.5333333333333314</v>
      </c>
      <c r="AZ1020" s="360">
        <f>AW1020*(AZ1017/AW1017)</f>
        <v>-17.066666666666663</v>
      </c>
      <c r="BA1020" s="167">
        <f>BC1020*0.5</f>
        <v>-8.5333333333333314</v>
      </c>
      <c r="BB1020" s="167">
        <f>BC1020*0.5</f>
        <v>-8.5333333333333314</v>
      </c>
      <c r="BC1020" s="360">
        <f>AZ1020*(BC1017/AZ1017)</f>
        <v>-17.066666666666663</v>
      </c>
      <c r="BD1020" s="167">
        <f>BF1020*0.5</f>
        <v>-8.5333333333333314</v>
      </c>
      <c r="BE1020" s="167">
        <f>BF1020*0.5</f>
        <v>-8.5333333333333314</v>
      </c>
      <c r="BF1020" s="360">
        <f>BC1020*(BF1017/BC1017)</f>
        <v>-17.066666666666663</v>
      </c>
      <c r="BG1020" s="167">
        <f>BI1020*0.5</f>
        <v>-8.5333333333333314</v>
      </c>
      <c r="BH1020" s="167">
        <f>BI1020*0.5</f>
        <v>-8.5333333333333314</v>
      </c>
      <c r="BI1020" s="360">
        <f>BF1020*(BI1017/BF1017)</f>
        <v>-17.066666666666663</v>
      </c>
      <c r="BJ1020" s="167">
        <f>BL1020*0.5</f>
        <v>-8.5333333333333314</v>
      </c>
      <c r="BK1020" s="167">
        <f>BL1020*0.5</f>
        <v>-8.5333333333333314</v>
      </c>
      <c r="BL1020" s="360">
        <f>BI1020*(BL1017/BI1017)</f>
        <v>-17.066666666666663</v>
      </c>
      <c r="BM1020" s="167">
        <f>BO1020*0.5</f>
        <v>-8.5333333333333314</v>
      </c>
      <c r="BN1020" s="167">
        <f>BO1020*0.5</f>
        <v>-8.5333333333333314</v>
      </c>
      <c r="BO1020" s="360">
        <f>BL1020*(BO1017/BL1017)</f>
        <v>-17.066666666666663</v>
      </c>
      <c r="BP1020" s="167">
        <f>BR1020*0.5</f>
        <v>-8.5333333333333314</v>
      </c>
      <c r="BQ1020" s="167">
        <f>BR1020*0.5</f>
        <v>-8.5333333333333314</v>
      </c>
      <c r="BR1020" s="360">
        <f>BO1020*(BR1017/BO1017)</f>
        <v>-17.066666666666663</v>
      </c>
    </row>
    <row r="1021" spans="2:70" outlineLevel="2">
      <c r="B1021" s="5"/>
      <c r="C1021" s="84" t="s">
        <v>78</v>
      </c>
      <c r="D1021" s="31" t="s">
        <v>102</v>
      </c>
      <c r="J1021" s="770">
        <f>J1026-J1023</f>
        <v>22.6</v>
      </c>
      <c r="K1021" s="360"/>
      <c r="M1021" s="360"/>
      <c r="O1021" s="360">
        <f>O1018+O1020</f>
        <v>1.8833333333333335</v>
      </c>
      <c r="P1021" s="360">
        <f>P1018+P1020</f>
        <v>1.8833333333333335</v>
      </c>
      <c r="Q1021" s="167">
        <f>Q1018+Q1020</f>
        <v>11.300000000000004</v>
      </c>
      <c r="R1021" s="167">
        <f>R1018+R1020</f>
        <v>11.300000000000004</v>
      </c>
      <c r="S1021" s="172">
        <f>SUM(Q1021:R1021)</f>
        <v>22.600000000000009</v>
      </c>
      <c r="T1021" s="167">
        <f>T1018+T1020</f>
        <v>11.300000000000004</v>
      </c>
      <c r="U1021" s="167">
        <f>U1018+U1020</f>
        <v>11.300000000000004</v>
      </c>
      <c r="V1021" s="172">
        <f>SUM(T1021:U1021)</f>
        <v>22.600000000000009</v>
      </c>
      <c r="W1021" s="167">
        <f>W1018+W1020</f>
        <v>11.300000000000004</v>
      </c>
      <c r="X1021" s="167">
        <f>X1018+X1020</f>
        <v>11.300000000000004</v>
      </c>
      <c r="Y1021" s="172">
        <f>SUM(W1021:X1021)</f>
        <v>22.600000000000009</v>
      </c>
      <c r="Z1021" s="167">
        <f>Z1018+Z1020</f>
        <v>11.300000000000004</v>
      </c>
      <c r="AA1021" s="167">
        <f>AA1018+AA1020</f>
        <v>11.300000000000004</v>
      </c>
      <c r="AB1021" s="172">
        <f>SUM(Z1021:AA1021)</f>
        <v>22.600000000000009</v>
      </c>
      <c r="AC1021" s="167">
        <f>AC1018+AC1020</f>
        <v>11.300000000000004</v>
      </c>
      <c r="AD1021" s="167">
        <f>AD1018+AD1020</f>
        <v>11.300000000000004</v>
      </c>
      <c r="AE1021" s="172">
        <f>SUM(AC1021:AD1021)</f>
        <v>22.600000000000009</v>
      </c>
      <c r="AF1021" s="167">
        <f>AF1018+AF1020</f>
        <v>11.300000000000004</v>
      </c>
      <c r="AG1021" s="1017">
        <f>AG1018+AG1020</f>
        <v>11.300000000000004</v>
      </c>
      <c r="AH1021" s="172">
        <f>SUM(AF1021:AG1021)</f>
        <v>22.600000000000009</v>
      </c>
      <c r="AI1021" s="167">
        <f>AI1018+AI1020</f>
        <v>11.300000000000004</v>
      </c>
      <c r="AJ1021" s="167">
        <f>AJ1018+AJ1020</f>
        <v>11.300000000000004</v>
      </c>
      <c r="AK1021" s="172">
        <f>SUM(AI1021:AJ1021)</f>
        <v>22.600000000000009</v>
      </c>
      <c r="AL1021" s="167">
        <f>AL1018+AL1020</f>
        <v>11.300000000000004</v>
      </c>
      <c r="AM1021" s="167">
        <f>AM1018+AM1020</f>
        <v>11.300000000000004</v>
      </c>
      <c r="AN1021" s="172">
        <f>SUM(AL1021:AM1021)</f>
        <v>22.600000000000009</v>
      </c>
      <c r="AO1021" s="167">
        <f>AO1018+AO1020</f>
        <v>11.300000000000004</v>
      </c>
      <c r="AP1021" s="167">
        <f>AP1018+AP1020</f>
        <v>11.300000000000004</v>
      </c>
      <c r="AQ1021" s="172">
        <f>SUM(AO1021:AP1021)</f>
        <v>22.600000000000009</v>
      </c>
      <c r="AR1021" s="167">
        <f>AR1018+AR1020</f>
        <v>11.300000000000004</v>
      </c>
      <c r="AS1021" s="167">
        <f>AS1018+AS1020</f>
        <v>11.300000000000004</v>
      </c>
      <c r="AT1021" s="172">
        <f>SUM(AR1021:AS1021)</f>
        <v>22.600000000000009</v>
      </c>
      <c r="AU1021" s="167">
        <f>AU1018+AU1020</f>
        <v>11.300000000000004</v>
      </c>
      <c r="AV1021" s="167">
        <f>AV1018+AV1020</f>
        <v>11.300000000000004</v>
      </c>
      <c r="AW1021" s="172">
        <f>SUM(AU1021:AV1021)</f>
        <v>22.600000000000009</v>
      </c>
      <c r="AX1021" s="167">
        <f>AX1018+AX1020</f>
        <v>11.300000000000004</v>
      </c>
      <c r="AY1021" s="167">
        <f>AY1018+AY1020</f>
        <v>11.300000000000004</v>
      </c>
      <c r="AZ1021" s="172">
        <f>SUM(AX1021:AY1021)</f>
        <v>22.600000000000009</v>
      </c>
      <c r="BA1021" s="167">
        <f>BA1018+BA1020</f>
        <v>11.300000000000004</v>
      </c>
      <c r="BB1021" s="167">
        <f>BB1018+BB1020</f>
        <v>11.300000000000004</v>
      </c>
      <c r="BC1021" s="172">
        <f>SUM(BA1021:BB1021)</f>
        <v>22.600000000000009</v>
      </c>
      <c r="BD1021" s="167">
        <f>BD1018+BD1020</f>
        <v>11.300000000000004</v>
      </c>
      <c r="BE1021" s="167">
        <f>BE1018+BE1020</f>
        <v>11.300000000000004</v>
      </c>
      <c r="BF1021" s="172">
        <f>SUM(BD1021:BE1021)</f>
        <v>22.600000000000009</v>
      </c>
      <c r="BG1021" s="167">
        <f>BG1018+BG1020</f>
        <v>11.300000000000004</v>
      </c>
      <c r="BH1021" s="167">
        <f>BH1018+BH1020</f>
        <v>11.300000000000004</v>
      </c>
      <c r="BI1021" s="172">
        <f>SUM(BG1021:BH1021)</f>
        <v>22.600000000000009</v>
      </c>
      <c r="BJ1021" s="167">
        <f>BJ1018+BJ1020</f>
        <v>11.300000000000004</v>
      </c>
      <c r="BK1021" s="167">
        <f>BK1018+BK1020</f>
        <v>11.300000000000004</v>
      </c>
      <c r="BL1021" s="172">
        <f>SUM(BJ1021:BK1021)</f>
        <v>22.600000000000009</v>
      </c>
      <c r="BM1021" s="167">
        <f>BM1018+BM1020</f>
        <v>11.300000000000004</v>
      </c>
      <c r="BN1021" s="167">
        <f>BN1018+BN1020</f>
        <v>11.300000000000004</v>
      </c>
      <c r="BO1021" s="172">
        <f>SUM(BM1021:BN1021)</f>
        <v>22.600000000000009</v>
      </c>
      <c r="BP1021" s="167">
        <f>BP1018+BP1020</f>
        <v>11.300000000000004</v>
      </c>
      <c r="BQ1021" s="167">
        <f>BQ1018+BQ1020</f>
        <v>11.300000000000004</v>
      </c>
      <c r="BR1021" s="172">
        <f>SUM(BP1021:BQ1021)</f>
        <v>22.600000000000009</v>
      </c>
    </row>
    <row r="1022" spans="2:70" outlineLevel="2">
      <c r="B1022" s="5"/>
      <c r="C1022" s="84" t="s">
        <v>74</v>
      </c>
      <c r="D1022" s="31" t="s">
        <v>66</v>
      </c>
      <c r="J1022" s="768">
        <f>J1021/J1017</f>
        <v>6.4571428571428571E-2</v>
      </c>
      <c r="K1022" s="133"/>
      <c r="M1022" s="133"/>
      <c r="O1022" s="133">
        <f>O1021/O1017</f>
        <v>6.4571428571428585E-2</v>
      </c>
      <c r="P1022" s="133">
        <f t="shared" ref="P1022:Y1022" si="4656">P1021/P1017</f>
        <v>6.4571428571428585E-2</v>
      </c>
      <c r="Q1022" s="162">
        <f t="shared" si="4656"/>
        <v>6.4571428571428599E-2</v>
      </c>
      <c r="R1022" s="162">
        <f t="shared" si="4656"/>
        <v>6.4571428571428599E-2</v>
      </c>
      <c r="S1022" s="133">
        <f t="shared" si="4656"/>
        <v>6.4571428571428599E-2</v>
      </c>
      <c r="T1022" s="162">
        <f t="shared" si="4656"/>
        <v>6.4571428571428599E-2</v>
      </c>
      <c r="U1022" s="162">
        <f t="shared" si="4656"/>
        <v>6.4571428571428599E-2</v>
      </c>
      <c r="V1022" s="133">
        <f t="shared" si="4656"/>
        <v>6.4571428571428599E-2</v>
      </c>
      <c r="W1022" s="162">
        <f t="shared" si="4656"/>
        <v>6.4571428571428599E-2</v>
      </c>
      <c r="X1022" s="162">
        <f t="shared" si="4656"/>
        <v>6.4571428571428599E-2</v>
      </c>
      <c r="Y1022" s="133">
        <f t="shared" si="4656"/>
        <v>6.4571428571428599E-2</v>
      </c>
      <c r="Z1022" s="162">
        <f t="shared" ref="Z1022:AB1022" si="4657">Z1021/Z1017</f>
        <v>6.4571428571428599E-2</v>
      </c>
      <c r="AA1022" s="162">
        <f t="shared" si="4657"/>
        <v>6.4571428571428599E-2</v>
      </c>
      <c r="AB1022" s="133">
        <f t="shared" si="4657"/>
        <v>6.4571428571428599E-2</v>
      </c>
      <c r="AC1022" s="162">
        <f t="shared" ref="AC1022:AN1022" si="4658">AC1021/AC1017</f>
        <v>6.4571428571428599E-2</v>
      </c>
      <c r="AD1022" s="162">
        <f t="shared" si="4658"/>
        <v>6.4571428571428599E-2</v>
      </c>
      <c r="AE1022" s="133">
        <f t="shared" si="4658"/>
        <v>6.4571428571428599E-2</v>
      </c>
      <c r="AF1022" s="162">
        <f t="shared" si="4658"/>
        <v>6.4571428571428599E-2</v>
      </c>
      <c r="AG1022" s="984">
        <f t="shared" si="4658"/>
        <v>6.4571428571428599E-2</v>
      </c>
      <c r="AH1022" s="133">
        <f t="shared" si="4658"/>
        <v>6.4571428571428599E-2</v>
      </c>
      <c r="AI1022" s="162">
        <f t="shared" si="4658"/>
        <v>6.4571428571428599E-2</v>
      </c>
      <c r="AJ1022" s="162">
        <f t="shared" si="4658"/>
        <v>6.4571428571428599E-2</v>
      </c>
      <c r="AK1022" s="133">
        <f t="shared" si="4658"/>
        <v>6.4571428571428599E-2</v>
      </c>
      <c r="AL1022" s="162">
        <f t="shared" si="4658"/>
        <v>6.4571428571428599E-2</v>
      </c>
      <c r="AM1022" s="162">
        <f t="shared" si="4658"/>
        <v>6.4571428571428599E-2</v>
      </c>
      <c r="AN1022" s="133">
        <f t="shared" si="4658"/>
        <v>6.4571428571428599E-2</v>
      </c>
      <c r="AO1022" s="162">
        <f t="shared" ref="AO1022:BR1022" si="4659">AO1021/AO1017</f>
        <v>6.4571428571428599E-2</v>
      </c>
      <c r="AP1022" s="162">
        <f t="shared" si="4659"/>
        <v>6.4571428571428599E-2</v>
      </c>
      <c r="AQ1022" s="133">
        <f t="shared" si="4659"/>
        <v>6.4571428571428599E-2</v>
      </c>
      <c r="AR1022" s="162">
        <f t="shared" si="4659"/>
        <v>6.4571428571428599E-2</v>
      </c>
      <c r="AS1022" s="162">
        <f t="shared" si="4659"/>
        <v>6.4571428571428599E-2</v>
      </c>
      <c r="AT1022" s="133">
        <f t="shared" si="4659"/>
        <v>6.4571428571428599E-2</v>
      </c>
      <c r="AU1022" s="162">
        <f t="shared" si="4659"/>
        <v>6.4571428571428599E-2</v>
      </c>
      <c r="AV1022" s="162">
        <f t="shared" si="4659"/>
        <v>6.4571428571428599E-2</v>
      </c>
      <c r="AW1022" s="133">
        <f t="shared" si="4659"/>
        <v>6.4571428571428599E-2</v>
      </c>
      <c r="AX1022" s="162">
        <f t="shared" si="4659"/>
        <v>6.4571428571428599E-2</v>
      </c>
      <c r="AY1022" s="162">
        <f t="shared" si="4659"/>
        <v>6.4571428571428599E-2</v>
      </c>
      <c r="AZ1022" s="133">
        <f t="shared" si="4659"/>
        <v>6.4571428571428599E-2</v>
      </c>
      <c r="BA1022" s="162">
        <f t="shared" si="4659"/>
        <v>6.4571428571428599E-2</v>
      </c>
      <c r="BB1022" s="162">
        <f t="shared" si="4659"/>
        <v>6.4571428571428599E-2</v>
      </c>
      <c r="BC1022" s="133">
        <f t="shared" si="4659"/>
        <v>6.4571428571428599E-2</v>
      </c>
      <c r="BD1022" s="162">
        <f t="shared" si="4659"/>
        <v>6.4571428571428599E-2</v>
      </c>
      <c r="BE1022" s="162">
        <f t="shared" si="4659"/>
        <v>6.4571428571428599E-2</v>
      </c>
      <c r="BF1022" s="133">
        <f t="shared" si="4659"/>
        <v>6.4571428571428599E-2</v>
      </c>
      <c r="BG1022" s="162">
        <f t="shared" si="4659"/>
        <v>6.4571428571428599E-2</v>
      </c>
      <c r="BH1022" s="162">
        <f t="shared" si="4659"/>
        <v>6.4571428571428599E-2</v>
      </c>
      <c r="BI1022" s="133">
        <f t="shared" si="4659"/>
        <v>6.4571428571428599E-2</v>
      </c>
      <c r="BJ1022" s="162">
        <f t="shared" si="4659"/>
        <v>6.4571428571428599E-2</v>
      </c>
      <c r="BK1022" s="162">
        <f t="shared" si="4659"/>
        <v>6.4571428571428599E-2</v>
      </c>
      <c r="BL1022" s="133">
        <f t="shared" si="4659"/>
        <v>6.4571428571428599E-2</v>
      </c>
      <c r="BM1022" s="162">
        <f t="shared" si="4659"/>
        <v>6.4571428571428599E-2</v>
      </c>
      <c r="BN1022" s="162">
        <f t="shared" si="4659"/>
        <v>6.4571428571428599E-2</v>
      </c>
      <c r="BO1022" s="133">
        <f t="shared" si="4659"/>
        <v>6.4571428571428599E-2</v>
      </c>
      <c r="BP1022" s="162">
        <f t="shared" si="4659"/>
        <v>6.4571428571428599E-2</v>
      </c>
      <c r="BQ1022" s="162">
        <f t="shared" si="4659"/>
        <v>6.4571428571428599E-2</v>
      </c>
      <c r="BR1022" s="133">
        <f t="shared" si="4659"/>
        <v>6.4571428571428599E-2</v>
      </c>
    </row>
    <row r="1023" spans="2:70" outlineLevel="2">
      <c r="B1023" s="5"/>
      <c r="C1023" s="84" t="s">
        <v>90</v>
      </c>
      <c r="D1023" s="31" t="s">
        <v>102</v>
      </c>
      <c r="J1023" s="765">
        <v>25</v>
      </c>
      <c r="K1023" s="90"/>
      <c r="M1023" s="24"/>
      <c r="O1023" s="404">
        <v>0</v>
      </c>
      <c r="P1023" s="24">
        <f>SUM(O1023:O1023)</f>
        <v>0</v>
      </c>
      <c r="Q1023" s="404">
        <v>5</v>
      </c>
      <c r="R1023" s="404">
        <v>5</v>
      </c>
      <c r="S1023" s="336">
        <f>SUM(Q1023:R1023)</f>
        <v>10</v>
      </c>
      <c r="T1023" s="404">
        <v>5</v>
      </c>
      <c r="U1023" s="404">
        <v>5</v>
      </c>
      <c r="V1023" s="336">
        <f>SUM(T1023:U1023)</f>
        <v>10</v>
      </c>
      <c r="W1023" s="404">
        <v>5</v>
      </c>
      <c r="X1023" s="404">
        <v>0</v>
      </c>
      <c r="Y1023" s="336">
        <f>SUM(W1023:X1023)</f>
        <v>5</v>
      </c>
      <c r="Z1023" s="404">
        <v>0</v>
      </c>
      <c r="AA1023" s="404">
        <v>0</v>
      </c>
      <c r="AB1023" s="336">
        <f>SUM(Z1023:AA1023)</f>
        <v>0</v>
      </c>
      <c r="AC1023" s="404">
        <v>0</v>
      </c>
      <c r="AD1023" s="404">
        <v>0</v>
      </c>
      <c r="AE1023" s="364">
        <f>SUM(AC1023:AD1023)</f>
        <v>0</v>
      </c>
      <c r="AF1023" s="402">
        <v>0</v>
      </c>
      <c r="AG1023" s="1030">
        <v>0</v>
      </c>
      <c r="AH1023" s="336">
        <f>SUM(AF1023:AG1023)</f>
        <v>0</v>
      </c>
      <c r="AI1023" s="404">
        <v>0</v>
      </c>
      <c r="AJ1023" s="404">
        <v>0</v>
      </c>
      <c r="AK1023" s="336">
        <f>SUM(AI1023:AJ1023)</f>
        <v>0</v>
      </c>
      <c r="AL1023" s="404">
        <v>0</v>
      </c>
      <c r="AM1023" s="404">
        <v>0</v>
      </c>
      <c r="AN1023" s="336">
        <f>SUM(AL1023:AM1023)</f>
        <v>0</v>
      </c>
      <c r="AO1023" s="404">
        <v>0</v>
      </c>
      <c r="AP1023" s="404">
        <v>0</v>
      </c>
      <c r="AQ1023" s="336">
        <f>SUM(AO1023:AP1023)</f>
        <v>0</v>
      </c>
      <c r="AR1023" s="404">
        <v>0</v>
      </c>
      <c r="AS1023" s="404">
        <v>0</v>
      </c>
      <c r="AT1023" s="336">
        <f>SUM(AR1023:AS1023)</f>
        <v>0</v>
      </c>
      <c r="AU1023" s="404">
        <v>0</v>
      </c>
      <c r="AV1023" s="404">
        <v>0</v>
      </c>
      <c r="AW1023" s="336">
        <f>SUM(AU1023:AV1023)</f>
        <v>0</v>
      </c>
      <c r="AX1023" s="404">
        <v>0</v>
      </c>
      <c r="AY1023" s="404">
        <v>0</v>
      </c>
      <c r="AZ1023" s="336">
        <f>SUM(AX1023:AY1023)</f>
        <v>0</v>
      </c>
      <c r="BA1023" s="404">
        <v>0</v>
      </c>
      <c r="BB1023" s="404">
        <v>0</v>
      </c>
      <c r="BC1023" s="336">
        <f>SUM(BA1023:BB1023)</f>
        <v>0</v>
      </c>
      <c r="BD1023" s="404">
        <v>0</v>
      </c>
      <c r="BE1023" s="404">
        <v>0</v>
      </c>
      <c r="BF1023" s="336">
        <f>SUM(BD1023:BE1023)</f>
        <v>0</v>
      </c>
      <c r="BG1023" s="404">
        <v>0</v>
      </c>
      <c r="BH1023" s="404">
        <v>0</v>
      </c>
      <c r="BI1023" s="336">
        <f>SUM(BG1023:BH1023)</f>
        <v>0</v>
      </c>
      <c r="BJ1023" s="404">
        <v>0</v>
      </c>
      <c r="BK1023" s="404">
        <v>0</v>
      </c>
      <c r="BL1023" s="336">
        <f>SUM(BJ1023:BK1023)</f>
        <v>0</v>
      </c>
      <c r="BM1023" s="404">
        <v>0</v>
      </c>
      <c r="BN1023" s="404">
        <v>0</v>
      </c>
      <c r="BO1023" s="336">
        <f>SUM(BM1023:BN1023)</f>
        <v>0</v>
      </c>
      <c r="BP1023" s="404">
        <v>0</v>
      </c>
      <c r="BQ1023" s="404">
        <v>0</v>
      </c>
      <c r="BR1023" s="336">
        <f>SUM(BP1023:BQ1023)</f>
        <v>0</v>
      </c>
    </row>
    <row r="1024" spans="2:70" outlineLevel="2">
      <c r="B1024" s="5"/>
      <c r="C1024" s="84" t="s">
        <v>89</v>
      </c>
      <c r="D1024" s="31"/>
      <c r="J1024" s="771"/>
      <c r="M1024" s="156"/>
      <c r="O1024" s="24">
        <f>O1023</f>
        <v>0</v>
      </c>
      <c r="P1024" s="156">
        <f>M1024+P1023</f>
        <v>0</v>
      </c>
      <c r="Q1024" s="156">
        <f>O1024+Q1023</f>
        <v>5</v>
      </c>
      <c r="R1024" s="156">
        <f>O1024+R1023</f>
        <v>5</v>
      </c>
      <c r="S1024" s="156">
        <f>Q1024+R1024</f>
        <v>10</v>
      </c>
      <c r="T1024" s="156">
        <f>Q1024+T1023</f>
        <v>10</v>
      </c>
      <c r="U1024" s="156">
        <f>R1024+U1023</f>
        <v>10</v>
      </c>
      <c r="V1024" s="156">
        <f>T1024+U1024</f>
        <v>20</v>
      </c>
      <c r="W1024" s="156">
        <f>T1024+W1023</f>
        <v>15</v>
      </c>
      <c r="X1024" s="156">
        <f>U1024+X1023</f>
        <v>10</v>
      </c>
      <c r="Y1024" s="156">
        <f>W1024+X1024</f>
        <v>25</v>
      </c>
      <c r="Z1024" s="156">
        <f>W1024+Z1023</f>
        <v>15</v>
      </c>
      <c r="AA1024" s="156">
        <f>X1024+AA1023</f>
        <v>10</v>
      </c>
      <c r="AB1024" s="156">
        <f>Z1024+AA1024</f>
        <v>25</v>
      </c>
      <c r="AC1024" s="156">
        <f>Z1024+AC1023</f>
        <v>15</v>
      </c>
      <c r="AD1024" s="156">
        <f>AA1024+AD1023</f>
        <v>10</v>
      </c>
      <c r="AE1024" s="157">
        <f>AC1024+AD1024</f>
        <v>25</v>
      </c>
      <c r="AF1024" s="157">
        <f>AC1024+AF1023</f>
        <v>15</v>
      </c>
      <c r="AG1024" s="1031">
        <f>AD1024+AG1023</f>
        <v>10</v>
      </c>
      <c r="AH1024" s="156">
        <f>AF1024+AG1024</f>
        <v>25</v>
      </c>
      <c r="AI1024" s="156">
        <f>AF1024+AI1023</f>
        <v>15</v>
      </c>
      <c r="AJ1024" s="156">
        <f>AG1024+AJ1023</f>
        <v>10</v>
      </c>
      <c r="AK1024" s="156">
        <f>AI1024+AJ1024</f>
        <v>25</v>
      </c>
      <c r="AL1024" s="156">
        <f>AI1024+AL1023</f>
        <v>15</v>
      </c>
      <c r="AM1024" s="156">
        <f>AJ1024+AM1023</f>
        <v>10</v>
      </c>
      <c r="AN1024" s="156">
        <f>AL1024+AM1024</f>
        <v>25</v>
      </c>
      <c r="AO1024" s="156">
        <f>AL1024+AO1023</f>
        <v>15</v>
      </c>
      <c r="AP1024" s="156">
        <f>AM1024+AP1023</f>
        <v>10</v>
      </c>
      <c r="AQ1024" s="156">
        <f>AO1024+AP1024</f>
        <v>25</v>
      </c>
      <c r="AR1024" s="156">
        <f>AO1024+AR1023</f>
        <v>15</v>
      </c>
      <c r="AS1024" s="156">
        <f>AP1024+AS1023</f>
        <v>10</v>
      </c>
      <c r="AT1024" s="156">
        <f>AR1024+AS1024</f>
        <v>25</v>
      </c>
      <c r="AU1024" s="156">
        <f>AR1024+AU1023</f>
        <v>15</v>
      </c>
      <c r="AV1024" s="156">
        <f>AS1024+AV1023</f>
        <v>10</v>
      </c>
      <c r="AW1024" s="156">
        <f>AU1024+AV1024</f>
        <v>25</v>
      </c>
      <c r="AX1024" s="156">
        <f>AU1024+AX1023</f>
        <v>15</v>
      </c>
      <c r="AY1024" s="156">
        <f>AV1024+AY1023</f>
        <v>10</v>
      </c>
      <c r="AZ1024" s="156">
        <f>AX1024+AY1024</f>
        <v>25</v>
      </c>
      <c r="BA1024" s="156">
        <f>AX1024+BA1023</f>
        <v>15</v>
      </c>
      <c r="BB1024" s="156">
        <f>AY1024+BB1023</f>
        <v>10</v>
      </c>
      <c r="BC1024" s="156">
        <f>BA1024+BB1024</f>
        <v>25</v>
      </c>
      <c r="BD1024" s="156">
        <f>BA1024+BD1023</f>
        <v>15</v>
      </c>
      <c r="BE1024" s="156">
        <f>BB1024+BE1023</f>
        <v>10</v>
      </c>
      <c r="BF1024" s="156">
        <f>BD1024+BE1024</f>
        <v>25</v>
      </c>
      <c r="BG1024" s="156">
        <f>BD1024+BG1023</f>
        <v>15</v>
      </c>
      <c r="BH1024" s="156">
        <f>BE1024+BH1023</f>
        <v>10</v>
      </c>
      <c r="BI1024" s="156">
        <f>BG1024+BH1024</f>
        <v>25</v>
      </c>
      <c r="BJ1024" s="156">
        <f>BG1024+BJ1023</f>
        <v>15</v>
      </c>
      <c r="BK1024" s="156">
        <f>BH1024+BK1023</f>
        <v>10</v>
      </c>
      <c r="BL1024" s="156">
        <f>BJ1024+BK1024</f>
        <v>25</v>
      </c>
      <c r="BM1024" s="156">
        <f>BJ1024+BM1023</f>
        <v>15</v>
      </c>
      <c r="BN1024" s="156">
        <f>BK1024+BN1023</f>
        <v>10</v>
      </c>
      <c r="BO1024" s="156">
        <f>BM1024+BN1024</f>
        <v>25</v>
      </c>
      <c r="BP1024" s="156">
        <f>BM1024+BP1023</f>
        <v>15</v>
      </c>
      <c r="BQ1024" s="156">
        <f>BN1024+BQ1023</f>
        <v>10</v>
      </c>
      <c r="BR1024" s="156">
        <f>BP1024+BQ1024</f>
        <v>25</v>
      </c>
    </row>
    <row r="1025" spans="2:70" outlineLevel="2">
      <c r="B1025" s="5"/>
      <c r="C1025" s="84" t="s">
        <v>264</v>
      </c>
      <c r="D1025" s="31" t="s">
        <v>66</v>
      </c>
      <c r="J1025" s="772">
        <f>J1023/J1017</f>
        <v>7.1428571428571425E-2</v>
      </c>
      <c r="K1025" s="17"/>
      <c r="M1025" s="156"/>
      <c r="O1025" s="17">
        <f t="shared" ref="O1025:Y1025" si="4660">O1023/O1017</f>
        <v>0</v>
      </c>
      <c r="P1025" s="17">
        <f t="shared" si="4660"/>
        <v>0</v>
      </c>
      <c r="Q1025" s="17">
        <f t="shared" si="4660"/>
        <v>2.8571428571428571E-2</v>
      </c>
      <c r="R1025" s="17">
        <f t="shared" si="4660"/>
        <v>2.8571428571428571E-2</v>
      </c>
      <c r="S1025" s="17">
        <f t="shared" si="4660"/>
        <v>2.8571428571428571E-2</v>
      </c>
      <c r="T1025" s="17">
        <f t="shared" si="4660"/>
        <v>2.8571428571428571E-2</v>
      </c>
      <c r="U1025" s="17">
        <f t="shared" si="4660"/>
        <v>2.8571428571428571E-2</v>
      </c>
      <c r="V1025" s="17">
        <f t="shared" si="4660"/>
        <v>2.8571428571428571E-2</v>
      </c>
      <c r="W1025" s="17">
        <f t="shared" si="4660"/>
        <v>2.8571428571428571E-2</v>
      </c>
      <c r="X1025" s="17">
        <f t="shared" si="4660"/>
        <v>0</v>
      </c>
      <c r="Y1025" s="17">
        <f t="shared" si="4660"/>
        <v>1.4285714285714285E-2</v>
      </c>
      <c r="Z1025" s="17">
        <f t="shared" ref="Z1025:AB1025" si="4661">Z1023/Z1017</f>
        <v>0</v>
      </c>
      <c r="AA1025" s="17">
        <f t="shared" si="4661"/>
        <v>0</v>
      </c>
      <c r="AB1025" s="17">
        <f t="shared" si="4661"/>
        <v>0</v>
      </c>
      <c r="AC1025" s="17">
        <f t="shared" ref="AC1025:AN1025" si="4662">AC1023/AC1017</f>
        <v>0</v>
      </c>
      <c r="AD1025" s="17">
        <f t="shared" si="4662"/>
        <v>0</v>
      </c>
      <c r="AE1025" s="343">
        <f t="shared" si="4662"/>
        <v>0</v>
      </c>
      <c r="AF1025" s="343">
        <f t="shared" si="4662"/>
        <v>0</v>
      </c>
      <c r="AG1025" s="960">
        <f t="shared" si="4662"/>
        <v>0</v>
      </c>
      <c r="AH1025" s="17">
        <f t="shared" si="4662"/>
        <v>0</v>
      </c>
      <c r="AI1025" s="17">
        <f t="shared" si="4662"/>
        <v>0</v>
      </c>
      <c r="AJ1025" s="17">
        <f t="shared" si="4662"/>
        <v>0</v>
      </c>
      <c r="AK1025" s="17">
        <f t="shared" si="4662"/>
        <v>0</v>
      </c>
      <c r="AL1025" s="17">
        <f t="shared" si="4662"/>
        <v>0</v>
      </c>
      <c r="AM1025" s="17">
        <f t="shared" si="4662"/>
        <v>0</v>
      </c>
      <c r="AN1025" s="17">
        <f t="shared" si="4662"/>
        <v>0</v>
      </c>
      <c r="AO1025" s="17">
        <f t="shared" ref="AO1025:BR1025" si="4663">AO1023/AO1017</f>
        <v>0</v>
      </c>
      <c r="AP1025" s="17">
        <f t="shared" si="4663"/>
        <v>0</v>
      </c>
      <c r="AQ1025" s="17">
        <f t="shared" si="4663"/>
        <v>0</v>
      </c>
      <c r="AR1025" s="17">
        <f t="shared" si="4663"/>
        <v>0</v>
      </c>
      <c r="AS1025" s="17">
        <f t="shared" si="4663"/>
        <v>0</v>
      </c>
      <c r="AT1025" s="17">
        <f t="shared" si="4663"/>
        <v>0</v>
      </c>
      <c r="AU1025" s="17">
        <f t="shared" si="4663"/>
        <v>0</v>
      </c>
      <c r="AV1025" s="17">
        <f t="shared" si="4663"/>
        <v>0</v>
      </c>
      <c r="AW1025" s="17">
        <f t="shared" si="4663"/>
        <v>0</v>
      </c>
      <c r="AX1025" s="17">
        <f t="shared" si="4663"/>
        <v>0</v>
      </c>
      <c r="AY1025" s="17">
        <f t="shared" si="4663"/>
        <v>0</v>
      </c>
      <c r="AZ1025" s="17">
        <f t="shared" si="4663"/>
        <v>0</v>
      </c>
      <c r="BA1025" s="17">
        <f t="shared" si="4663"/>
        <v>0</v>
      </c>
      <c r="BB1025" s="17">
        <f t="shared" si="4663"/>
        <v>0</v>
      </c>
      <c r="BC1025" s="17">
        <f t="shared" si="4663"/>
        <v>0</v>
      </c>
      <c r="BD1025" s="17">
        <f t="shared" si="4663"/>
        <v>0</v>
      </c>
      <c r="BE1025" s="17">
        <f t="shared" si="4663"/>
        <v>0</v>
      </c>
      <c r="BF1025" s="17">
        <f t="shared" si="4663"/>
        <v>0</v>
      </c>
      <c r="BG1025" s="17">
        <f t="shared" si="4663"/>
        <v>0</v>
      </c>
      <c r="BH1025" s="17">
        <f t="shared" si="4663"/>
        <v>0</v>
      </c>
      <c r="BI1025" s="17">
        <f t="shared" si="4663"/>
        <v>0</v>
      </c>
      <c r="BJ1025" s="17">
        <f t="shared" si="4663"/>
        <v>0</v>
      </c>
      <c r="BK1025" s="17">
        <f t="shared" si="4663"/>
        <v>0</v>
      </c>
      <c r="BL1025" s="17">
        <f t="shared" si="4663"/>
        <v>0</v>
      </c>
      <c r="BM1025" s="17">
        <f t="shared" si="4663"/>
        <v>0</v>
      </c>
      <c r="BN1025" s="17">
        <f t="shared" si="4663"/>
        <v>0</v>
      </c>
      <c r="BO1025" s="17">
        <f t="shared" si="4663"/>
        <v>0</v>
      </c>
      <c r="BP1025" s="17">
        <f t="shared" si="4663"/>
        <v>0</v>
      </c>
      <c r="BQ1025" s="17">
        <f t="shared" si="4663"/>
        <v>0</v>
      </c>
      <c r="BR1025" s="17">
        <f t="shared" si="4663"/>
        <v>0</v>
      </c>
    </row>
    <row r="1026" spans="2:70" outlineLevel="2">
      <c r="B1026" s="5"/>
      <c r="C1026" s="84" t="s">
        <v>79</v>
      </c>
      <c r="D1026" s="31" t="s">
        <v>102</v>
      </c>
      <c r="J1026" s="770">
        <f>J1027*J1015</f>
        <v>47.6</v>
      </c>
      <c r="K1026" s="24"/>
      <c r="O1026" s="13">
        <f>O1023+O1021</f>
        <v>1.8833333333333335</v>
      </c>
      <c r="P1026" s="13">
        <f t="shared" ref="P1026:Y1026" si="4664">P1024+P1021</f>
        <v>1.8833333333333335</v>
      </c>
      <c r="Q1026" s="13">
        <f t="shared" si="4664"/>
        <v>16.300000000000004</v>
      </c>
      <c r="R1026" s="13">
        <f>R1023+R1021</f>
        <v>16.300000000000004</v>
      </c>
      <c r="S1026" s="13">
        <f t="shared" si="4664"/>
        <v>32.600000000000009</v>
      </c>
      <c r="T1026" s="13">
        <f t="shared" si="4664"/>
        <v>21.300000000000004</v>
      </c>
      <c r="U1026" s="13">
        <f t="shared" si="4664"/>
        <v>21.300000000000004</v>
      </c>
      <c r="V1026" s="13">
        <f t="shared" si="4664"/>
        <v>42.600000000000009</v>
      </c>
      <c r="W1026" s="13">
        <f t="shared" si="4664"/>
        <v>26.300000000000004</v>
      </c>
      <c r="X1026" s="13">
        <f t="shared" si="4664"/>
        <v>21.300000000000004</v>
      </c>
      <c r="Y1026" s="13">
        <f t="shared" si="4664"/>
        <v>47.600000000000009</v>
      </c>
      <c r="Z1026" s="13">
        <f t="shared" ref="Z1026:AB1026" si="4665">Z1024+Z1021</f>
        <v>26.300000000000004</v>
      </c>
      <c r="AA1026" s="13">
        <f t="shared" si="4665"/>
        <v>21.300000000000004</v>
      </c>
      <c r="AB1026" s="13">
        <f t="shared" si="4665"/>
        <v>47.600000000000009</v>
      </c>
      <c r="AC1026" s="13">
        <f t="shared" ref="AC1026:AN1026" si="4666">AC1024+AC1021</f>
        <v>26.300000000000004</v>
      </c>
      <c r="AD1026" s="13">
        <f t="shared" si="4666"/>
        <v>21.300000000000004</v>
      </c>
      <c r="AE1026" s="164">
        <f t="shared" si="4666"/>
        <v>47.600000000000009</v>
      </c>
      <c r="AF1026" s="164">
        <f t="shared" si="4666"/>
        <v>26.300000000000004</v>
      </c>
      <c r="AG1026" s="1018">
        <f t="shared" si="4666"/>
        <v>21.300000000000004</v>
      </c>
      <c r="AH1026" s="13">
        <f t="shared" si="4666"/>
        <v>47.600000000000009</v>
      </c>
      <c r="AI1026" s="13">
        <f t="shared" si="4666"/>
        <v>26.300000000000004</v>
      </c>
      <c r="AJ1026" s="13">
        <f t="shared" si="4666"/>
        <v>21.300000000000004</v>
      </c>
      <c r="AK1026" s="13">
        <f t="shared" si="4666"/>
        <v>47.600000000000009</v>
      </c>
      <c r="AL1026" s="13">
        <f t="shared" si="4666"/>
        <v>26.300000000000004</v>
      </c>
      <c r="AM1026" s="13">
        <f t="shared" si="4666"/>
        <v>21.300000000000004</v>
      </c>
      <c r="AN1026" s="13">
        <f t="shared" si="4666"/>
        <v>47.600000000000009</v>
      </c>
      <c r="AO1026" s="13">
        <f t="shared" ref="AO1026:BR1026" si="4667">AO1024+AO1021</f>
        <v>26.300000000000004</v>
      </c>
      <c r="AP1026" s="13">
        <f t="shared" si="4667"/>
        <v>21.300000000000004</v>
      </c>
      <c r="AQ1026" s="13">
        <f t="shared" si="4667"/>
        <v>47.600000000000009</v>
      </c>
      <c r="AR1026" s="13">
        <f t="shared" si="4667"/>
        <v>26.300000000000004</v>
      </c>
      <c r="AS1026" s="13">
        <f t="shared" si="4667"/>
        <v>21.300000000000004</v>
      </c>
      <c r="AT1026" s="13">
        <f t="shared" si="4667"/>
        <v>47.600000000000009</v>
      </c>
      <c r="AU1026" s="13">
        <f t="shared" si="4667"/>
        <v>26.300000000000004</v>
      </c>
      <c r="AV1026" s="13">
        <f t="shared" si="4667"/>
        <v>21.300000000000004</v>
      </c>
      <c r="AW1026" s="13">
        <f t="shared" si="4667"/>
        <v>47.600000000000009</v>
      </c>
      <c r="AX1026" s="13">
        <f t="shared" si="4667"/>
        <v>26.300000000000004</v>
      </c>
      <c r="AY1026" s="13">
        <f t="shared" si="4667"/>
        <v>21.300000000000004</v>
      </c>
      <c r="AZ1026" s="13">
        <f t="shared" si="4667"/>
        <v>47.600000000000009</v>
      </c>
      <c r="BA1026" s="13">
        <f t="shared" si="4667"/>
        <v>26.300000000000004</v>
      </c>
      <c r="BB1026" s="13">
        <f t="shared" si="4667"/>
        <v>21.300000000000004</v>
      </c>
      <c r="BC1026" s="13">
        <f t="shared" si="4667"/>
        <v>47.600000000000009</v>
      </c>
      <c r="BD1026" s="13">
        <f t="shared" si="4667"/>
        <v>26.300000000000004</v>
      </c>
      <c r="BE1026" s="13">
        <f t="shared" si="4667"/>
        <v>21.300000000000004</v>
      </c>
      <c r="BF1026" s="13">
        <f t="shared" si="4667"/>
        <v>47.600000000000009</v>
      </c>
      <c r="BG1026" s="13">
        <f t="shared" si="4667"/>
        <v>26.300000000000004</v>
      </c>
      <c r="BH1026" s="13">
        <f t="shared" si="4667"/>
        <v>21.300000000000004</v>
      </c>
      <c r="BI1026" s="13">
        <f t="shared" si="4667"/>
        <v>47.600000000000009</v>
      </c>
      <c r="BJ1026" s="13">
        <f t="shared" si="4667"/>
        <v>26.300000000000004</v>
      </c>
      <c r="BK1026" s="13">
        <f t="shared" si="4667"/>
        <v>21.300000000000004</v>
      </c>
      <c r="BL1026" s="13">
        <f t="shared" si="4667"/>
        <v>47.600000000000009</v>
      </c>
      <c r="BM1026" s="13">
        <f t="shared" si="4667"/>
        <v>26.300000000000004</v>
      </c>
      <c r="BN1026" s="13">
        <f t="shared" si="4667"/>
        <v>21.300000000000004</v>
      </c>
      <c r="BO1026" s="13">
        <f t="shared" si="4667"/>
        <v>47.600000000000009</v>
      </c>
      <c r="BP1026" s="13">
        <f t="shared" si="4667"/>
        <v>26.300000000000004</v>
      </c>
      <c r="BQ1026" s="13">
        <f t="shared" si="4667"/>
        <v>21.300000000000004</v>
      </c>
      <c r="BR1026" s="13">
        <f t="shared" si="4667"/>
        <v>47.600000000000009</v>
      </c>
    </row>
    <row r="1027" spans="2:70" outlineLevel="2">
      <c r="B1027" s="5"/>
      <c r="C1027" s="84" t="s">
        <v>75</v>
      </c>
      <c r="D1027" s="31" t="s">
        <v>66</v>
      </c>
      <c r="J1027" s="773">
        <v>0.2</v>
      </c>
      <c r="K1027" s="371"/>
      <c r="O1027" s="20">
        <f>O1026/$J$1015*2</f>
        <v>1.5826330532212888E-2</v>
      </c>
      <c r="P1027" s="20">
        <f>P1026/$J$1015*2</f>
        <v>1.5826330532212888E-2</v>
      </c>
      <c r="Q1027" s="20">
        <f>Q1026/$J$1015*2</f>
        <v>0.13697478991596643</v>
      </c>
      <c r="R1027" s="20">
        <f>R1026/$J$1015*2</f>
        <v>0.13697478991596643</v>
      </c>
      <c r="S1027" s="20">
        <f>S1026/$J$1015</f>
        <v>0.13697478991596643</v>
      </c>
      <c r="T1027" s="20">
        <f>T1026/$J$1015*2</f>
        <v>0.17899159663865549</v>
      </c>
      <c r="U1027" s="20">
        <f>U1026/$J$1015*2</f>
        <v>0.17899159663865549</v>
      </c>
      <c r="V1027" s="20">
        <f>V1026/$J$1015</f>
        <v>0.17899159663865549</v>
      </c>
      <c r="W1027" s="20">
        <f>W1026/$J$1015*2</f>
        <v>0.22100840336134459</v>
      </c>
      <c r="X1027" s="20">
        <f>X1026/$J$1015*2</f>
        <v>0.17899159663865549</v>
      </c>
      <c r="Y1027" s="20">
        <f>Y1026/$J$1015</f>
        <v>0.20000000000000004</v>
      </c>
      <c r="Z1027" s="20">
        <f>Z1026/$J$1015*2</f>
        <v>0.22100840336134459</v>
      </c>
      <c r="AA1027" s="20">
        <f>AA1026/$J$1015*2</f>
        <v>0.17899159663865549</v>
      </c>
      <c r="AB1027" s="20">
        <f>AB1026/$J$1015</f>
        <v>0.20000000000000004</v>
      </c>
      <c r="AC1027" s="20">
        <f>AC1026/$J$1015*2</f>
        <v>0.22100840336134459</v>
      </c>
      <c r="AD1027" s="20">
        <f>AD1026/$J$1015*2</f>
        <v>0.17899159663865549</v>
      </c>
      <c r="AE1027" s="133">
        <f>AE1026/$J$1015</f>
        <v>0.20000000000000004</v>
      </c>
      <c r="AF1027" s="133">
        <f>AF1026/$J$1015*2</f>
        <v>0.22100840336134459</v>
      </c>
      <c r="AG1027" s="938">
        <f>AG1026/$J$1015*2</f>
        <v>0.17899159663865549</v>
      </c>
      <c r="AH1027" s="20">
        <f>AH1026/$J$1015</f>
        <v>0.20000000000000004</v>
      </c>
      <c r="AI1027" s="20">
        <f>AI1026/$J$1015*2</f>
        <v>0.22100840336134459</v>
      </c>
      <c r="AJ1027" s="20">
        <f>AJ1026/$J$1015*2</f>
        <v>0.17899159663865549</v>
      </c>
      <c r="AK1027" s="20">
        <f>AK1026/$J$1015</f>
        <v>0.20000000000000004</v>
      </c>
      <c r="AL1027" s="20">
        <f>AL1026/$J$1015*2</f>
        <v>0.22100840336134459</v>
      </c>
      <c r="AM1027" s="20">
        <f>AM1026/$J$1015*2</f>
        <v>0.17899159663865549</v>
      </c>
      <c r="AN1027" s="20">
        <f>AN1026/$J$1015</f>
        <v>0.20000000000000004</v>
      </c>
      <c r="AO1027" s="20">
        <f>AO1026/$J$1015*2</f>
        <v>0.22100840336134459</v>
      </c>
      <c r="AP1027" s="20">
        <f>AP1026/$J$1015*2</f>
        <v>0.17899159663865549</v>
      </c>
      <c r="AQ1027" s="20">
        <f>AQ1026/$J$1015</f>
        <v>0.20000000000000004</v>
      </c>
      <c r="AR1027" s="20">
        <f>AR1026/$J$1015*2</f>
        <v>0.22100840336134459</v>
      </c>
      <c r="AS1027" s="20">
        <f>AS1026/$J$1015*2</f>
        <v>0.17899159663865549</v>
      </c>
      <c r="AT1027" s="20">
        <f>AT1026/$J$1015</f>
        <v>0.20000000000000004</v>
      </c>
      <c r="AU1027" s="20">
        <f>AU1026/$J$1015*2</f>
        <v>0.22100840336134459</v>
      </c>
      <c r="AV1027" s="20">
        <f>AV1026/$J$1015*2</f>
        <v>0.17899159663865549</v>
      </c>
      <c r="AW1027" s="20">
        <f>AW1026/$J$1015</f>
        <v>0.20000000000000004</v>
      </c>
      <c r="AX1027" s="20">
        <f>AX1026/$J$1015*2</f>
        <v>0.22100840336134459</v>
      </c>
      <c r="AY1027" s="20">
        <f>AY1026/$J$1015*2</f>
        <v>0.17899159663865549</v>
      </c>
      <c r="AZ1027" s="20">
        <f>AZ1026/$J$1015</f>
        <v>0.20000000000000004</v>
      </c>
      <c r="BA1027" s="20">
        <f>BA1026/$J$1015*2</f>
        <v>0.22100840336134459</v>
      </c>
      <c r="BB1027" s="20">
        <f>BB1026/$J$1015*2</f>
        <v>0.17899159663865549</v>
      </c>
      <c r="BC1027" s="20">
        <f>BC1026/$J$1015</f>
        <v>0.20000000000000004</v>
      </c>
      <c r="BD1027" s="20">
        <f>BD1026/$J$1015*2</f>
        <v>0.22100840336134459</v>
      </c>
      <c r="BE1027" s="20">
        <f>BE1026/$J$1015*2</f>
        <v>0.17899159663865549</v>
      </c>
      <c r="BF1027" s="20">
        <f>BF1026/$J$1015</f>
        <v>0.20000000000000004</v>
      </c>
      <c r="BG1027" s="20">
        <f>BG1026/$J$1015*2</f>
        <v>0.22100840336134459</v>
      </c>
      <c r="BH1027" s="20">
        <f>BH1026/$J$1015*2</f>
        <v>0.17899159663865549</v>
      </c>
      <c r="BI1027" s="20">
        <f>BI1026/$J$1015</f>
        <v>0.20000000000000004</v>
      </c>
      <c r="BJ1027" s="20">
        <f>BJ1026/$J$1015*2</f>
        <v>0.22100840336134459</v>
      </c>
      <c r="BK1027" s="20">
        <f>BK1026/$J$1015*2</f>
        <v>0.17899159663865549</v>
      </c>
      <c r="BL1027" s="20">
        <f>BL1026/$J$1015</f>
        <v>0.20000000000000004</v>
      </c>
      <c r="BM1027" s="20">
        <f>BM1026/$J$1015*2</f>
        <v>0.22100840336134459</v>
      </c>
      <c r="BN1027" s="20">
        <f>BN1026/$J$1015*2</f>
        <v>0.17899159663865549</v>
      </c>
      <c r="BO1027" s="20">
        <f>BO1026/$J$1015</f>
        <v>0.20000000000000004</v>
      </c>
      <c r="BP1027" s="20">
        <f>BP1026/$J$1015*2</f>
        <v>0.22100840336134459</v>
      </c>
      <c r="BQ1027" s="20">
        <f>BQ1026/$J$1015*2</f>
        <v>0.17899159663865549</v>
      </c>
      <c r="BR1027" s="20">
        <f>BR1026/$J$1015</f>
        <v>0.20000000000000004</v>
      </c>
    </row>
    <row r="1028" spans="2:70" outlineLevel="2">
      <c r="B1028" s="5"/>
      <c r="C1028" s="84" t="s">
        <v>57</v>
      </c>
      <c r="D1028" s="7" t="s">
        <v>85</v>
      </c>
      <c r="J1028" s="776">
        <f>J1026*N262</f>
        <v>35.570095156885067</v>
      </c>
      <c r="O1028" s="18">
        <f t="shared" ref="O1028:AT1028" si="4668">O1026*O262</f>
        <v>1.4990170743573603</v>
      </c>
      <c r="P1028" s="18">
        <f t="shared" si="4668"/>
        <v>1.4517433741394044</v>
      </c>
      <c r="Q1028" s="18">
        <f t="shared" si="4668"/>
        <v>13.28709135536675</v>
      </c>
      <c r="R1028" s="18">
        <f t="shared" si="4668"/>
        <v>12.604203269644911</v>
      </c>
      <c r="S1028" s="18">
        <f t="shared" si="4668"/>
        <v>25.873283314863794</v>
      </c>
      <c r="T1028" s="18">
        <f t="shared" si="4668"/>
        <v>14.613914271778144</v>
      </c>
      <c r="U1028" s="18">
        <f t="shared" si="4668"/>
        <v>14.214165697261192</v>
      </c>
      <c r="V1028" s="18">
        <f t="shared" si="4668"/>
        <v>28.822536799913959</v>
      </c>
      <c r="W1028" s="18">
        <f t="shared" si="4668"/>
        <v>18.183736441098983</v>
      </c>
      <c r="X1028" s="18">
        <f t="shared" si="4668"/>
        <v>14.919383841564132</v>
      </c>
      <c r="Y1028" s="18">
        <f t="shared" si="4668"/>
        <v>33.124331046262476</v>
      </c>
      <c r="Z1028" s="18">
        <f t="shared" si="4668"/>
        <v>17.225000754949036</v>
      </c>
      <c r="AA1028" s="18">
        <f t="shared" si="4668"/>
        <v>14.007745514940561</v>
      </c>
      <c r="AB1028" s="18">
        <f t="shared" si="4668"/>
        <v>31.239358417334309</v>
      </c>
      <c r="AC1028" s="18">
        <f t="shared" si="4668"/>
        <v>18.068931092379046</v>
      </c>
      <c r="AD1028" s="18">
        <f t="shared" si="4668"/>
        <v>14.833563171381655</v>
      </c>
      <c r="AE1028" s="26">
        <f t="shared" si="4668"/>
        <v>32.924430227514549</v>
      </c>
      <c r="AF1028" s="26">
        <f t="shared" si="4668"/>
        <v>18.068931092379046</v>
      </c>
      <c r="AG1028" s="933">
        <f t="shared" si="4668"/>
        <v>14.833563171381655</v>
      </c>
      <c r="AH1028" s="18">
        <f t="shared" si="4668"/>
        <v>32.925943803825966</v>
      </c>
      <c r="AI1028" s="18">
        <f t="shared" si="4668"/>
        <v>18.068931092379046</v>
      </c>
      <c r="AJ1028" s="18">
        <f t="shared" si="4668"/>
        <v>14.833563171381655</v>
      </c>
      <c r="AK1028" s="18">
        <f t="shared" si="4668"/>
        <v>32.925943803825966</v>
      </c>
      <c r="AL1028" s="18">
        <f t="shared" si="4668"/>
        <v>18.068931092379046</v>
      </c>
      <c r="AM1028" s="18">
        <f t="shared" si="4668"/>
        <v>14.833563171381655</v>
      </c>
      <c r="AN1028" s="18">
        <f t="shared" si="4668"/>
        <v>32.925943803825966</v>
      </c>
      <c r="AO1028" s="18">
        <f t="shared" si="4668"/>
        <v>18.068931092379046</v>
      </c>
      <c r="AP1028" s="18">
        <f t="shared" si="4668"/>
        <v>14.833563171381655</v>
      </c>
      <c r="AQ1028" s="18">
        <f t="shared" si="4668"/>
        <v>32.925943803825966</v>
      </c>
      <c r="AR1028" s="18">
        <f t="shared" si="4668"/>
        <v>18.068931092379046</v>
      </c>
      <c r="AS1028" s="18">
        <f t="shared" si="4668"/>
        <v>14.833563171381655</v>
      </c>
      <c r="AT1028" s="18">
        <f t="shared" si="4668"/>
        <v>32.925943803825966</v>
      </c>
      <c r="AU1028" s="18">
        <f t="shared" ref="AU1028:BR1028" si="4669">AU1026*AU262</f>
        <v>18.068931092379046</v>
      </c>
      <c r="AV1028" s="18">
        <f t="shared" si="4669"/>
        <v>14.833563171381655</v>
      </c>
      <c r="AW1028" s="18">
        <f t="shared" si="4669"/>
        <v>32.925943803825966</v>
      </c>
      <c r="AX1028" s="18">
        <f t="shared" si="4669"/>
        <v>18.068931092379046</v>
      </c>
      <c r="AY1028" s="18">
        <f t="shared" si="4669"/>
        <v>14.833563171381655</v>
      </c>
      <c r="AZ1028" s="18">
        <f t="shared" si="4669"/>
        <v>32.925943803825966</v>
      </c>
      <c r="BA1028" s="18">
        <f t="shared" si="4669"/>
        <v>18.068931092379046</v>
      </c>
      <c r="BB1028" s="18">
        <f t="shared" si="4669"/>
        <v>14.833563171381655</v>
      </c>
      <c r="BC1028" s="18">
        <f t="shared" si="4669"/>
        <v>32.925943803825966</v>
      </c>
      <c r="BD1028" s="18">
        <f t="shared" si="4669"/>
        <v>18.068931092379046</v>
      </c>
      <c r="BE1028" s="18">
        <f t="shared" si="4669"/>
        <v>14.833563171381655</v>
      </c>
      <c r="BF1028" s="18">
        <f t="shared" si="4669"/>
        <v>32.925943803825966</v>
      </c>
      <c r="BG1028" s="18">
        <f t="shared" si="4669"/>
        <v>18.068931092379046</v>
      </c>
      <c r="BH1028" s="18">
        <f t="shared" si="4669"/>
        <v>14.833563171381655</v>
      </c>
      <c r="BI1028" s="18">
        <f t="shared" si="4669"/>
        <v>32.925943803825966</v>
      </c>
      <c r="BJ1028" s="18">
        <f t="shared" si="4669"/>
        <v>18.068931092379046</v>
      </c>
      <c r="BK1028" s="18">
        <f t="shared" si="4669"/>
        <v>14.833563171381655</v>
      </c>
      <c r="BL1028" s="18">
        <f t="shared" si="4669"/>
        <v>32.925943803825966</v>
      </c>
      <c r="BM1028" s="18">
        <f t="shared" si="4669"/>
        <v>18.068931092379046</v>
      </c>
      <c r="BN1028" s="18">
        <f t="shared" si="4669"/>
        <v>14.833563171381655</v>
      </c>
      <c r="BO1028" s="18">
        <f t="shared" si="4669"/>
        <v>32.925943803825966</v>
      </c>
      <c r="BP1028" s="18">
        <f t="shared" si="4669"/>
        <v>18.068931092379046</v>
      </c>
      <c r="BQ1028" s="18">
        <f t="shared" si="4669"/>
        <v>14.833563171381655</v>
      </c>
      <c r="BR1028" s="18">
        <f t="shared" si="4669"/>
        <v>32.925943803825966</v>
      </c>
    </row>
    <row r="1029" spans="2:70" outlineLevel="2">
      <c r="B1029" s="5"/>
      <c r="C1029" s="511" t="s">
        <v>267</v>
      </c>
      <c r="D1029" s="512" t="s">
        <v>85</v>
      </c>
      <c r="E1029" s="512"/>
      <c r="F1029" s="512"/>
      <c r="G1029" s="512"/>
      <c r="H1029" s="512"/>
      <c r="I1029" s="512"/>
      <c r="J1029" s="512"/>
      <c r="K1029" s="512"/>
      <c r="L1029" s="512"/>
      <c r="M1029" s="512"/>
      <c r="N1029" s="512"/>
      <c r="O1029" s="748">
        <f>(O1017-L1017)*O$262</f>
        <v>23.214866195799821</v>
      </c>
      <c r="P1029" s="748">
        <f>SUM(N1029:O1029)</f>
        <v>23.214866195799821</v>
      </c>
      <c r="Q1029" s="748">
        <f>(Q1017-N1017)*Q$262</f>
        <v>142.65282129994972</v>
      </c>
      <c r="R1029" s="748">
        <f>(R1017-O1017)*R$262</f>
        <v>112.76766728976784</v>
      </c>
      <c r="S1029" s="748">
        <f>SUM(Q1029:R1029)</f>
        <v>255.42048858971756</v>
      </c>
      <c r="T1029" s="748">
        <f>(T1017-Q1017)*T$262</f>
        <v>0</v>
      </c>
      <c r="U1029" s="748">
        <f>(U1017-R1017)*U$262</f>
        <v>0</v>
      </c>
      <c r="V1029" s="748">
        <f>SUM(T1029:U1029)</f>
        <v>0</v>
      </c>
      <c r="W1029" s="748">
        <f>(W1017-T1017)*W$262</f>
        <v>0</v>
      </c>
      <c r="X1029" s="748">
        <f>(X1017-U1017)*X$262</f>
        <v>0</v>
      </c>
      <c r="Y1029" s="748">
        <f>SUM(W1029:X1029)</f>
        <v>0</v>
      </c>
      <c r="Z1029" s="748">
        <f>(Z1017-W1017)*Z$262</f>
        <v>0</v>
      </c>
      <c r="AA1029" s="748">
        <f>(AA1017-X1017)*AA$262</f>
        <v>0</v>
      </c>
      <c r="AB1029" s="748">
        <f>SUM(Z1029:AA1029)</f>
        <v>0</v>
      </c>
      <c r="AC1029" s="748">
        <f>(AC1017-Z1017)*AC$262</f>
        <v>0</v>
      </c>
      <c r="AD1029" s="748">
        <f>(AD1017-AA1017)*AD$262</f>
        <v>0</v>
      </c>
      <c r="AE1029" s="748">
        <f>SUM(AC1029:AD1029)</f>
        <v>0</v>
      </c>
      <c r="AF1029" s="748">
        <f>(AF1017-AC1017)*AF$262</f>
        <v>0</v>
      </c>
      <c r="AG1029" s="1033">
        <f t="shared" ref="AG1029" si="4670">(AG1017-AD1017)*AG$262</f>
        <v>0</v>
      </c>
      <c r="AH1029" s="748">
        <f>SUM(AF1029:AG1029)</f>
        <v>0</v>
      </c>
      <c r="AI1029" s="748">
        <f t="shared" ref="AI1029" si="4671">(AI1017-AF1017)*AI$262</f>
        <v>0</v>
      </c>
      <c r="AJ1029" s="748">
        <f t="shared" ref="AJ1029" si="4672">(AJ1017-AG1017)*AJ$262</f>
        <v>0</v>
      </c>
      <c r="AK1029" s="748">
        <f t="shared" ref="AK1029:AK1031" si="4673">SUM(AI1029:AJ1029)</f>
        <v>0</v>
      </c>
      <c r="AL1029" s="748">
        <f t="shared" ref="AL1029" si="4674">(AL1017-AI1017)*AL$262</f>
        <v>0</v>
      </c>
      <c r="AM1029" s="748">
        <f t="shared" ref="AM1029" si="4675">(AM1017-AJ1017)*AM$262</f>
        <v>0</v>
      </c>
      <c r="AN1029" s="748">
        <f t="shared" ref="AN1029:AN1031" si="4676">SUM(AL1029:AM1029)</f>
        <v>0</v>
      </c>
      <c r="AO1029" s="748">
        <f t="shared" ref="AO1029" si="4677">(AO1017-AL1017)*AO$262</f>
        <v>0</v>
      </c>
      <c r="AP1029" s="748">
        <f t="shared" ref="AP1029" si="4678">(AP1017-AM1017)*AP$262</f>
        <v>0</v>
      </c>
      <c r="AQ1029" s="748">
        <f t="shared" ref="AQ1029:AQ1031" si="4679">SUM(AO1029:AP1029)</f>
        <v>0</v>
      </c>
      <c r="AR1029" s="748">
        <f t="shared" ref="AR1029" si="4680">(AR1017-AO1017)*AR$262</f>
        <v>0</v>
      </c>
      <c r="AS1029" s="748">
        <f t="shared" ref="AS1029" si="4681">(AS1017-AP1017)*AS$262</f>
        <v>0</v>
      </c>
      <c r="AT1029" s="748">
        <f t="shared" ref="AT1029:AT1031" si="4682">SUM(AR1029:AS1029)</f>
        <v>0</v>
      </c>
      <c r="AU1029" s="748">
        <f t="shared" ref="AU1029" si="4683">(AU1017-AR1017)*AU$262</f>
        <v>0</v>
      </c>
      <c r="AV1029" s="748">
        <f t="shared" ref="AV1029" si="4684">(AV1017-AS1017)*AV$262</f>
        <v>0</v>
      </c>
      <c r="AW1029" s="748">
        <f t="shared" ref="AW1029:AW1031" si="4685">SUM(AU1029:AV1029)</f>
        <v>0</v>
      </c>
      <c r="AX1029" s="748">
        <f t="shared" ref="AX1029" si="4686">(AX1017-AU1017)*AX$262</f>
        <v>0</v>
      </c>
      <c r="AY1029" s="748">
        <f t="shared" ref="AY1029" si="4687">(AY1017-AV1017)*AY$262</f>
        <v>0</v>
      </c>
      <c r="AZ1029" s="748">
        <f t="shared" ref="AZ1029:AZ1031" si="4688">SUM(AX1029:AY1029)</f>
        <v>0</v>
      </c>
      <c r="BA1029" s="748">
        <f t="shared" ref="BA1029" si="4689">(BA1017-AX1017)*BA$262</f>
        <v>0</v>
      </c>
      <c r="BB1029" s="748">
        <f t="shared" ref="BB1029" si="4690">(BB1017-AY1017)*BB$262</f>
        <v>0</v>
      </c>
      <c r="BC1029" s="748">
        <f t="shared" ref="BC1029:BC1031" si="4691">SUM(BA1029:BB1029)</f>
        <v>0</v>
      </c>
      <c r="BD1029" s="748">
        <f t="shared" ref="BD1029" si="4692">(BD1017-BA1017)*BD$262</f>
        <v>0</v>
      </c>
      <c r="BE1029" s="748">
        <f t="shared" ref="BE1029" si="4693">(BE1017-BB1017)*BE$262</f>
        <v>0</v>
      </c>
      <c r="BF1029" s="748">
        <f t="shared" ref="BF1029:BF1031" si="4694">SUM(BD1029:BE1029)</f>
        <v>0</v>
      </c>
      <c r="BG1029" s="748">
        <f t="shared" ref="BG1029" si="4695">(BG1017-BD1017)*BG$262</f>
        <v>0</v>
      </c>
      <c r="BH1029" s="748">
        <f t="shared" ref="BH1029" si="4696">(BH1017-BE1017)*BH$262</f>
        <v>0</v>
      </c>
      <c r="BI1029" s="748">
        <f t="shared" ref="BI1029:BI1031" si="4697">SUM(BG1029:BH1029)</f>
        <v>0</v>
      </c>
      <c r="BJ1029" s="748">
        <f t="shared" ref="BJ1029" si="4698">(BJ1017-BG1017)*BJ$262</f>
        <v>0</v>
      </c>
      <c r="BK1029" s="748">
        <f t="shared" ref="BK1029" si="4699">(BK1017-BH1017)*BK$262</f>
        <v>0</v>
      </c>
      <c r="BL1029" s="748">
        <f t="shared" ref="BL1029:BL1031" si="4700">SUM(BJ1029:BK1029)</f>
        <v>0</v>
      </c>
      <c r="BM1029" s="748">
        <f t="shared" ref="BM1029" si="4701">(BM1017-BJ1017)*BM$262</f>
        <v>0</v>
      </c>
      <c r="BN1029" s="748">
        <f t="shared" ref="BN1029" si="4702">(BN1017-BK1017)*BN$262</f>
        <v>0</v>
      </c>
      <c r="BO1029" s="748">
        <f t="shared" ref="BO1029:BO1031" si="4703">SUM(BM1029:BN1029)</f>
        <v>0</v>
      </c>
      <c r="BP1029" s="748">
        <f t="shared" ref="BP1029" si="4704">(BP1017-BM1017)*BP$262</f>
        <v>0</v>
      </c>
      <c r="BQ1029" s="748">
        <f t="shared" ref="BQ1029" si="4705">(BQ1017-BN1017)*BQ$262</f>
        <v>0</v>
      </c>
      <c r="BR1029" s="787">
        <f t="shared" ref="BR1029:BR1031" si="4706">SUM(BP1029:BQ1029)</f>
        <v>0</v>
      </c>
    </row>
    <row r="1030" spans="2:70" outlineLevel="2">
      <c r="B1030" s="5"/>
      <c r="C1030" s="516" t="s">
        <v>268</v>
      </c>
      <c r="D1030" s="401" t="s">
        <v>85</v>
      </c>
      <c r="E1030" s="401"/>
      <c r="F1030" s="401"/>
      <c r="G1030" s="401"/>
      <c r="H1030" s="401"/>
      <c r="I1030" s="401"/>
      <c r="J1030" s="401"/>
      <c r="K1030" s="401"/>
      <c r="L1030" s="401"/>
      <c r="M1030" s="401"/>
      <c r="N1030" s="401"/>
      <c r="O1030" s="360">
        <f>(O1020-L1020)*O$262</f>
        <v>-1.132001094499953</v>
      </c>
      <c r="P1030" s="360">
        <f>SUM(N1030:O1030)</f>
        <v>-1.132001094499953</v>
      </c>
      <c r="Q1030" s="360">
        <f>(Q1020-N1020)*Q$262</f>
        <v>-6.9560232862451663</v>
      </c>
      <c r="R1030" s="360">
        <f>(R1020-O1020)*R$262</f>
        <v>-5.4987662526058205</v>
      </c>
      <c r="S1030" s="360">
        <f>SUM(Q1030:R1030)</f>
        <v>-12.454789538850987</v>
      </c>
      <c r="T1030" s="360">
        <f>(T1020-Q1020)*T$262</f>
        <v>0</v>
      </c>
      <c r="U1030" s="360">
        <f>(U1020-R1020)*U$262</f>
        <v>0</v>
      </c>
      <c r="V1030" s="360">
        <f>SUM(T1030:U1030)</f>
        <v>0</v>
      </c>
      <c r="W1030" s="360">
        <f>(W1020-T1020)*W$262</f>
        <v>0</v>
      </c>
      <c r="X1030" s="360">
        <f>(X1020-U1020)*X$262</f>
        <v>0</v>
      </c>
      <c r="Y1030" s="360">
        <f>SUM(W1030:X1030)</f>
        <v>0</v>
      </c>
      <c r="Z1030" s="360">
        <f>(Z1020-W1020)*Z$262</f>
        <v>0</v>
      </c>
      <c r="AA1030" s="360">
        <f>(AA1020-X1020)*AA$262</f>
        <v>0</v>
      </c>
      <c r="AB1030" s="360">
        <f>SUM(Z1030:AA1030)</f>
        <v>0</v>
      </c>
      <c r="AC1030" s="360">
        <f>(AC1020-Z1020)*AC$262</f>
        <v>0</v>
      </c>
      <c r="AD1030" s="360">
        <f>(AD1020-AA1020)*AD$262</f>
        <v>0</v>
      </c>
      <c r="AE1030" s="360">
        <f>SUM(AC1030:AD1030)</f>
        <v>0</v>
      </c>
      <c r="AF1030" s="360">
        <f>(AF1020-AC1020)*AF$262</f>
        <v>0</v>
      </c>
      <c r="AG1030" s="942">
        <f t="shared" ref="AG1030" si="4707">(AG1020-AD1020)*AG$262</f>
        <v>0</v>
      </c>
      <c r="AH1030" s="360">
        <f>SUM(AF1030:AG1030)</f>
        <v>0</v>
      </c>
      <c r="AI1030" s="360">
        <f t="shared" ref="AI1030" si="4708">(AI1020-AF1020)*AI$262</f>
        <v>0</v>
      </c>
      <c r="AJ1030" s="360">
        <f t="shared" ref="AJ1030" si="4709">(AJ1020-AG1020)*AJ$262</f>
        <v>0</v>
      </c>
      <c r="AK1030" s="360">
        <f t="shared" si="4673"/>
        <v>0</v>
      </c>
      <c r="AL1030" s="360">
        <f t="shared" ref="AL1030" si="4710">(AL1020-AI1020)*AL$262</f>
        <v>0</v>
      </c>
      <c r="AM1030" s="360">
        <f t="shared" ref="AM1030" si="4711">(AM1020-AJ1020)*AM$262</f>
        <v>0</v>
      </c>
      <c r="AN1030" s="360">
        <f t="shared" si="4676"/>
        <v>0</v>
      </c>
      <c r="AO1030" s="360">
        <f t="shared" ref="AO1030" si="4712">(AO1020-AL1020)*AO$262</f>
        <v>0</v>
      </c>
      <c r="AP1030" s="360">
        <f t="shared" ref="AP1030" si="4713">(AP1020-AM1020)*AP$262</f>
        <v>0</v>
      </c>
      <c r="AQ1030" s="360">
        <f t="shared" si="4679"/>
        <v>0</v>
      </c>
      <c r="AR1030" s="360">
        <f t="shared" ref="AR1030" si="4714">(AR1020-AO1020)*AR$262</f>
        <v>0</v>
      </c>
      <c r="AS1030" s="360">
        <f t="shared" ref="AS1030" si="4715">(AS1020-AP1020)*AS$262</f>
        <v>0</v>
      </c>
      <c r="AT1030" s="360">
        <f t="shared" si="4682"/>
        <v>0</v>
      </c>
      <c r="AU1030" s="360">
        <f t="shared" ref="AU1030" si="4716">(AU1020-AR1020)*AU$262</f>
        <v>0</v>
      </c>
      <c r="AV1030" s="360">
        <f t="shared" ref="AV1030" si="4717">(AV1020-AS1020)*AV$262</f>
        <v>0</v>
      </c>
      <c r="AW1030" s="360">
        <f t="shared" si="4685"/>
        <v>0</v>
      </c>
      <c r="AX1030" s="360">
        <f t="shared" ref="AX1030" si="4718">(AX1020-AU1020)*AX$262</f>
        <v>0</v>
      </c>
      <c r="AY1030" s="360">
        <f t="shared" ref="AY1030" si="4719">(AY1020-AV1020)*AY$262</f>
        <v>0</v>
      </c>
      <c r="AZ1030" s="360">
        <f t="shared" si="4688"/>
        <v>0</v>
      </c>
      <c r="BA1030" s="360">
        <f t="shared" ref="BA1030" si="4720">(BA1020-AX1020)*BA$262</f>
        <v>0</v>
      </c>
      <c r="BB1030" s="360">
        <f t="shared" ref="BB1030" si="4721">(BB1020-AY1020)*BB$262</f>
        <v>0</v>
      </c>
      <c r="BC1030" s="360">
        <f t="shared" si="4691"/>
        <v>0</v>
      </c>
      <c r="BD1030" s="360">
        <f t="shared" ref="BD1030" si="4722">(BD1020-BA1020)*BD$262</f>
        <v>0</v>
      </c>
      <c r="BE1030" s="360">
        <f t="shared" ref="BE1030" si="4723">(BE1020-BB1020)*BE$262</f>
        <v>0</v>
      </c>
      <c r="BF1030" s="360">
        <f t="shared" si="4694"/>
        <v>0</v>
      </c>
      <c r="BG1030" s="360">
        <f t="shared" ref="BG1030" si="4724">(BG1020-BD1020)*BG$262</f>
        <v>0</v>
      </c>
      <c r="BH1030" s="360">
        <f t="shared" ref="BH1030" si="4725">(BH1020-BE1020)*BH$262</f>
        <v>0</v>
      </c>
      <c r="BI1030" s="360">
        <f t="shared" si="4697"/>
        <v>0</v>
      </c>
      <c r="BJ1030" s="360">
        <f t="shared" ref="BJ1030" si="4726">(BJ1020-BG1020)*BJ$262</f>
        <v>0</v>
      </c>
      <c r="BK1030" s="360">
        <f t="shared" ref="BK1030" si="4727">(BK1020-BH1020)*BK$262</f>
        <v>0</v>
      </c>
      <c r="BL1030" s="360">
        <f t="shared" si="4700"/>
        <v>0</v>
      </c>
      <c r="BM1030" s="360">
        <f t="shared" ref="BM1030" si="4728">(BM1020-BJ1020)*BM$262</f>
        <v>0</v>
      </c>
      <c r="BN1030" s="360">
        <f t="shared" ref="BN1030" si="4729">(BN1020-BK1020)*BN$262</f>
        <v>0</v>
      </c>
      <c r="BO1030" s="360">
        <f t="shared" si="4703"/>
        <v>0</v>
      </c>
      <c r="BP1030" s="360">
        <f t="shared" ref="BP1030" si="4730">(BP1020-BM1020)*BP$262</f>
        <v>0</v>
      </c>
      <c r="BQ1030" s="360">
        <f t="shared" ref="BQ1030" si="4731">(BQ1020-BN1020)*BQ$262</f>
        <v>0</v>
      </c>
      <c r="BR1030" s="788">
        <f t="shared" si="4706"/>
        <v>0</v>
      </c>
    </row>
    <row r="1031" spans="2:70" outlineLevel="2">
      <c r="B1031" s="5"/>
      <c r="C1031" s="518" t="s">
        <v>269</v>
      </c>
      <c r="D1031" s="519" t="s">
        <v>85</v>
      </c>
      <c r="E1031" s="519"/>
      <c r="F1031" s="519"/>
      <c r="G1031" s="519"/>
      <c r="H1031" s="519"/>
      <c r="I1031" s="519"/>
      <c r="J1031" s="519"/>
      <c r="K1031" s="519"/>
      <c r="L1031" s="519"/>
      <c r="M1031" s="519"/>
      <c r="N1031" s="519"/>
      <c r="O1031" s="749">
        <f>(O1026-L1026)*O$262</f>
        <v>1.4990170743573603</v>
      </c>
      <c r="P1031" s="749">
        <f>SUM(N1031:O1031)</f>
        <v>1.4990170743573603</v>
      </c>
      <c r="Q1031" s="749">
        <f>(Q1026-N1026)*Q$262</f>
        <v>13.28709135536675</v>
      </c>
      <c r="R1031" s="749">
        <f>(R1026-O1026)*R$262</f>
        <v>11.147889394931338</v>
      </c>
      <c r="S1031" s="749">
        <f>SUM(Q1031:R1031)</f>
        <v>24.434980750298088</v>
      </c>
      <c r="T1031" s="749">
        <f>(T1026-Q1026)*T$262</f>
        <v>3.4304963079291411</v>
      </c>
      <c r="U1031" s="749">
        <f>(U1026-R1026)*U$262</f>
        <v>3.336658614380561</v>
      </c>
      <c r="V1031" s="749">
        <f>SUM(T1031:U1031)</f>
        <v>6.7671549223097021</v>
      </c>
      <c r="W1031" s="749">
        <f>(W1026-T1026)*W$262</f>
        <v>3.4569841142773727</v>
      </c>
      <c r="X1031" s="749">
        <f>(X1026-U1026)*X$262</f>
        <v>0</v>
      </c>
      <c r="Y1031" s="749">
        <f>SUM(W1031:X1031)</f>
        <v>3.4569841142773727</v>
      </c>
      <c r="Z1031" s="749">
        <f>(Z1026-W1026)*Z$262</f>
        <v>0</v>
      </c>
      <c r="AA1031" s="749">
        <f>(AA1026-X1026)*AA$262</f>
        <v>0</v>
      </c>
      <c r="AB1031" s="749">
        <f>SUM(Z1031:AA1031)</f>
        <v>0</v>
      </c>
      <c r="AC1031" s="749">
        <f>(AC1026-Z1026)*AC$262</f>
        <v>0</v>
      </c>
      <c r="AD1031" s="749">
        <f>(AD1026-AA1026)*AD$262</f>
        <v>0</v>
      </c>
      <c r="AE1031" s="749">
        <f>SUM(AC1031:AD1031)</f>
        <v>0</v>
      </c>
      <c r="AF1031" s="749">
        <f>(AF1026-AC1026)*AF$262</f>
        <v>0</v>
      </c>
      <c r="AG1031" s="1034">
        <f t="shared" ref="AG1031" si="4732">(AG1026-AD1026)*AG$262</f>
        <v>0</v>
      </c>
      <c r="AH1031" s="749">
        <f>SUM(AF1031:AG1031)</f>
        <v>0</v>
      </c>
      <c r="AI1031" s="749">
        <f t="shared" ref="AI1031" si="4733">(AI1026-AF1026)*AI$262</f>
        <v>0</v>
      </c>
      <c r="AJ1031" s="749">
        <f t="shared" ref="AJ1031" si="4734">(AJ1026-AG1026)*AJ$262</f>
        <v>0</v>
      </c>
      <c r="AK1031" s="749">
        <f t="shared" si="4673"/>
        <v>0</v>
      </c>
      <c r="AL1031" s="749">
        <f t="shared" ref="AL1031" si="4735">(AL1026-AI1026)*AL$262</f>
        <v>0</v>
      </c>
      <c r="AM1031" s="749">
        <f t="shared" ref="AM1031" si="4736">(AM1026-AJ1026)*AM$262</f>
        <v>0</v>
      </c>
      <c r="AN1031" s="749">
        <f t="shared" si="4676"/>
        <v>0</v>
      </c>
      <c r="AO1031" s="749">
        <f t="shared" ref="AO1031" si="4737">(AO1026-AL1026)*AO$262</f>
        <v>0</v>
      </c>
      <c r="AP1031" s="749">
        <f t="shared" ref="AP1031" si="4738">(AP1026-AM1026)*AP$262</f>
        <v>0</v>
      </c>
      <c r="AQ1031" s="749">
        <f t="shared" si="4679"/>
        <v>0</v>
      </c>
      <c r="AR1031" s="749">
        <f t="shared" ref="AR1031" si="4739">(AR1026-AO1026)*AR$262</f>
        <v>0</v>
      </c>
      <c r="AS1031" s="749">
        <f t="shared" ref="AS1031" si="4740">(AS1026-AP1026)*AS$262</f>
        <v>0</v>
      </c>
      <c r="AT1031" s="749">
        <f t="shared" si="4682"/>
        <v>0</v>
      </c>
      <c r="AU1031" s="749">
        <f t="shared" ref="AU1031" si="4741">(AU1026-AR1026)*AU$262</f>
        <v>0</v>
      </c>
      <c r="AV1031" s="749">
        <f t="shared" ref="AV1031" si="4742">(AV1026-AS1026)*AV$262</f>
        <v>0</v>
      </c>
      <c r="AW1031" s="749">
        <f t="shared" si="4685"/>
        <v>0</v>
      </c>
      <c r="AX1031" s="749">
        <f t="shared" ref="AX1031" si="4743">(AX1026-AU1026)*AX$262</f>
        <v>0</v>
      </c>
      <c r="AY1031" s="749">
        <f t="shared" ref="AY1031" si="4744">(AY1026-AV1026)*AY$262</f>
        <v>0</v>
      </c>
      <c r="AZ1031" s="749">
        <f t="shared" si="4688"/>
        <v>0</v>
      </c>
      <c r="BA1031" s="749">
        <f t="shared" ref="BA1031" si="4745">(BA1026-AX1026)*BA$262</f>
        <v>0</v>
      </c>
      <c r="BB1031" s="749">
        <f t="shared" ref="BB1031" si="4746">(BB1026-AY1026)*BB$262</f>
        <v>0</v>
      </c>
      <c r="BC1031" s="749">
        <f t="shared" si="4691"/>
        <v>0</v>
      </c>
      <c r="BD1031" s="749">
        <f t="shared" ref="BD1031" si="4747">(BD1026-BA1026)*BD$262</f>
        <v>0</v>
      </c>
      <c r="BE1031" s="749">
        <f t="shared" ref="BE1031" si="4748">(BE1026-BB1026)*BE$262</f>
        <v>0</v>
      </c>
      <c r="BF1031" s="749">
        <f t="shared" si="4694"/>
        <v>0</v>
      </c>
      <c r="BG1031" s="749">
        <f t="shared" ref="BG1031" si="4749">(BG1026-BD1026)*BG$262</f>
        <v>0</v>
      </c>
      <c r="BH1031" s="749">
        <f t="shared" ref="BH1031" si="4750">(BH1026-BE1026)*BH$262</f>
        <v>0</v>
      </c>
      <c r="BI1031" s="749">
        <f t="shared" si="4697"/>
        <v>0</v>
      </c>
      <c r="BJ1031" s="749">
        <f t="shared" ref="BJ1031" si="4751">(BJ1026-BG1026)*BJ$262</f>
        <v>0</v>
      </c>
      <c r="BK1031" s="749">
        <f t="shared" ref="BK1031" si="4752">(BK1026-BH1026)*BK$262</f>
        <v>0</v>
      </c>
      <c r="BL1031" s="749">
        <f t="shared" si="4700"/>
        <v>0</v>
      </c>
      <c r="BM1031" s="749">
        <f t="shared" ref="BM1031" si="4753">(BM1026-BJ1026)*BM$262</f>
        <v>0</v>
      </c>
      <c r="BN1031" s="749">
        <f t="shared" ref="BN1031" si="4754">(BN1026-BK1026)*BN$262</f>
        <v>0</v>
      </c>
      <c r="BO1031" s="749">
        <f t="shared" si="4703"/>
        <v>0</v>
      </c>
      <c r="BP1031" s="749">
        <f t="shared" ref="BP1031" si="4755">(BP1026-BM1026)*BP$262</f>
        <v>0</v>
      </c>
      <c r="BQ1031" s="749">
        <f t="shared" ref="BQ1031" si="4756">(BQ1026-BN1026)*BQ$262</f>
        <v>0</v>
      </c>
      <c r="BR1031" s="789">
        <f t="shared" si="4706"/>
        <v>0</v>
      </c>
    </row>
    <row r="1032" spans="2:70" outlineLevel="2">
      <c r="B1032" s="5"/>
      <c r="C1032" s="9"/>
    </row>
    <row r="1033" spans="2:70" outlineLevel="2">
      <c r="B1033" s="5"/>
      <c r="C1033" s="8" t="s">
        <v>519</v>
      </c>
      <c r="K1033" s="130"/>
      <c r="L1033" s="130"/>
      <c r="M1033" s="130"/>
      <c r="N1033" s="130"/>
      <c r="O1033" s="130"/>
      <c r="P1033" s="130"/>
      <c r="Q1033" s="130"/>
      <c r="R1033" s="130"/>
      <c r="S1033" s="130"/>
      <c r="T1033" s="130"/>
      <c r="U1033" s="130"/>
      <c r="V1033" s="130"/>
      <c r="AF1033" s="26"/>
      <c r="AG1033" s="933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  <c r="BA1033" s="18"/>
      <c r="BB1033" s="18"/>
      <c r="BC1033" s="18"/>
      <c r="BD1033" s="18"/>
      <c r="BE1033" s="18"/>
      <c r="BF1033" s="18"/>
      <c r="BG1033" s="18"/>
      <c r="BH1033" s="18"/>
      <c r="BI1033" s="18"/>
      <c r="BJ1033" s="18"/>
      <c r="BK1033" s="18"/>
      <c r="BL1033" s="18"/>
      <c r="BM1033" s="18"/>
      <c r="BN1033" s="18"/>
      <c r="BO1033" s="18"/>
      <c r="BP1033" s="18"/>
      <c r="BQ1033" s="18"/>
      <c r="BR1033" s="18"/>
    </row>
    <row r="1034" spans="2:70" outlineLevel="2">
      <c r="B1034" s="5"/>
      <c r="C1034" s="9" t="s">
        <v>266</v>
      </c>
      <c r="D1034" s="31"/>
      <c r="H1034" s="763" t="s">
        <v>517</v>
      </c>
      <c r="L1034" s="130"/>
      <c r="M1034" s="130"/>
      <c r="N1034" s="130"/>
      <c r="O1034" s="130"/>
      <c r="P1034" s="130"/>
      <c r="Q1034" s="130"/>
      <c r="R1034" s="130"/>
      <c r="S1034" s="130"/>
      <c r="T1034" s="130"/>
      <c r="U1034" s="130"/>
      <c r="V1034" s="130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  <c r="BA1034" s="18"/>
      <c r="BB1034" s="18"/>
      <c r="BC1034" s="18"/>
      <c r="BD1034" s="18"/>
      <c r="BE1034" s="18"/>
      <c r="BF1034" s="18"/>
      <c r="BG1034" s="18"/>
      <c r="BH1034" s="18"/>
      <c r="BI1034" s="18"/>
      <c r="BJ1034" s="18"/>
      <c r="BK1034" s="18"/>
      <c r="BL1034" s="18"/>
      <c r="BM1034" s="18"/>
      <c r="BN1034" s="18"/>
      <c r="BO1034" s="18"/>
      <c r="BP1034" s="18"/>
      <c r="BQ1034" s="18"/>
      <c r="BR1034" s="18"/>
    </row>
    <row r="1035" spans="2:70" outlineLevel="2">
      <c r="B1035" s="5"/>
      <c r="C1035" s="9" t="s">
        <v>262</v>
      </c>
      <c r="D1035" s="74"/>
      <c r="H1035" s="764">
        <v>40535</v>
      </c>
      <c r="L1035" s="130"/>
      <c r="M1035" s="130"/>
      <c r="N1035" s="130"/>
      <c r="O1035" s="130"/>
      <c r="P1035" s="130"/>
      <c r="Q1035" s="130"/>
      <c r="R1035" s="130"/>
      <c r="S1035" s="130"/>
      <c r="T1035" s="130"/>
      <c r="U1035" s="130"/>
      <c r="V1035" s="130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  <c r="BA1035" s="18"/>
      <c r="BB1035" s="18"/>
      <c r="BC1035" s="18"/>
      <c r="BD1035" s="18"/>
      <c r="BE1035" s="18"/>
      <c r="BF1035" s="18"/>
      <c r="BG1035" s="18"/>
      <c r="BH1035" s="18"/>
      <c r="BI1035" s="18"/>
      <c r="BJ1035" s="18"/>
      <c r="BK1035" s="18"/>
      <c r="BL1035" s="18"/>
      <c r="BM1035" s="18"/>
      <c r="BN1035" s="18"/>
      <c r="BO1035" s="18"/>
      <c r="BP1035" s="18"/>
      <c r="BQ1035" s="18"/>
      <c r="BR1035" s="18"/>
    </row>
    <row r="1036" spans="2:70" outlineLevel="2">
      <c r="B1036" s="5"/>
      <c r="C1036" s="84" t="s">
        <v>72</v>
      </c>
      <c r="D1036" s="31" t="s">
        <v>102</v>
      </c>
      <c r="H1036" s="765">
        <v>7</v>
      </c>
      <c r="L1036" s="130"/>
      <c r="M1036" s="130"/>
      <c r="N1036" s="130"/>
      <c r="O1036" s="130"/>
      <c r="P1036" s="130"/>
      <c r="Q1036" s="130"/>
      <c r="R1036" s="130"/>
      <c r="S1036" s="130"/>
      <c r="T1036" s="130"/>
      <c r="U1036" s="130"/>
      <c r="V1036" s="130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  <c r="BA1036" s="18"/>
      <c r="BB1036" s="18"/>
      <c r="BC1036" s="18"/>
      <c r="BD1036" s="18"/>
      <c r="BE1036" s="18"/>
      <c r="BF1036" s="18"/>
      <c r="BG1036" s="18"/>
      <c r="BH1036" s="18"/>
      <c r="BI1036" s="18"/>
      <c r="BJ1036" s="18"/>
      <c r="BK1036" s="18"/>
      <c r="BL1036" s="18"/>
      <c r="BM1036" s="18"/>
      <c r="BN1036" s="18"/>
      <c r="BO1036" s="18"/>
      <c r="BP1036" s="18"/>
      <c r="BQ1036" s="18"/>
      <c r="BR1036" s="18"/>
    </row>
    <row r="1037" spans="2:70" outlineLevel="2">
      <c r="B1037" s="5"/>
      <c r="C1037" s="84" t="s">
        <v>76</v>
      </c>
      <c r="D1037" s="74" t="s">
        <v>77</v>
      </c>
      <c r="H1037" s="778">
        <v>4.5</v>
      </c>
      <c r="L1037" s="130"/>
      <c r="M1037" s="130"/>
      <c r="N1037" s="130"/>
      <c r="O1037" s="130"/>
      <c r="P1037" s="130"/>
      <c r="Q1037" s="130"/>
      <c r="R1037" s="130"/>
      <c r="S1037" s="130"/>
      <c r="T1037" s="130"/>
      <c r="U1037" s="130"/>
      <c r="V1037" s="130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  <c r="BA1037" s="18"/>
      <c r="BB1037" s="18"/>
      <c r="BC1037" s="18"/>
      <c r="BD1037" s="18"/>
      <c r="BE1037" s="18"/>
      <c r="BF1037" s="18"/>
      <c r="BG1037" s="18"/>
      <c r="BH1037" s="18"/>
      <c r="BI1037" s="18"/>
      <c r="BJ1037" s="18"/>
      <c r="BK1037" s="18"/>
      <c r="BL1037" s="18"/>
      <c r="BM1037" s="18"/>
      <c r="BN1037" s="18"/>
      <c r="BO1037" s="18"/>
      <c r="BP1037" s="18"/>
      <c r="BQ1037" s="18"/>
      <c r="BR1037" s="18"/>
    </row>
    <row r="1038" spans="2:70" outlineLevel="2">
      <c r="B1038" s="5"/>
      <c r="C1038" s="84" t="s">
        <v>55</v>
      </c>
      <c r="D1038" s="31" t="s">
        <v>102</v>
      </c>
      <c r="H1038" s="765">
        <v>30</v>
      </c>
      <c r="L1038" s="167">
        <f>H1038*0.5</f>
        <v>15</v>
      </c>
      <c r="M1038" s="167">
        <f>L1038</f>
        <v>15</v>
      </c>
      <c r="N1038" s="149">
        <f>P1038*0.5</f>
        <v>15</v>
      </c>
      <c r="O1038" s="19">
        <f>P1038*0.5</f>
        <v>15</v>
      </c>
      <c r="P1038" s="390">
        <f>H1038</f>
        <v>30</v>
      </c>
      <c r="Q1038" s="149">
        <f>S1038*0.5</f>
        <v>15</v>
      </c>
      <c r="R1038" s="19">
        <f>S1038*0.5</f>
        <v>15</v>
      </c>
      <c r="S1038" s="390">
        <f>P1038</f>
        <v>30</v>
      </c>
      <c r="T1038" s="149">
        <f>V1038*0.5</f>
        <v>15</v>
      </c>
      <c r="U1038" s="19">
        <f>V1038*0.5</f>
        <v>15</v>
      </c>
      <c r="V1038" s="390">
        <f>S1038</f>
        <v>30</v>
      </c>
      <c r="W1038" s="149">
        <f>Y1038*0.5</f>
        <v>15</v>
      </c>
      <c r="X1038" s="19">
        <f>Y1038*0.5</f>
        <v>15</v>
      </c>
      <c r="Y1038" s="390">
        <f>V1038</f>
        <v>30</v>
      </c>
      <c r="Z1038" s="149">
        <f>AB1038*0.5</f>
        <v>15</v>
      </c>
      <c r="AA1038" s="19">
        <f>AB1038*0.5</f>
        <v>15</v>
      </c>
      <c r="AB1038" s="390">
        <f>Y1038</f>
        <v>30</v>
      </c>
      <c r="AC1038" s="149">
        <f>AE1038*0.5</f>
        <v>15</v>
      </c>
      <c r="AD1038" s="19">
        <f>AE1038*0.5</f>
        <v>15</v>
      </c>
      <c r="AE1038" s="390">
        <f>AB1038</f>
        <v>30</v>
      </c>
      <c r="AF1038" s="149">
        <f>AH1038*0.5</f>
        <v>15</v>
      </c>
      <c r="AG1038" s="943">
        <f>AH1038*0.5</f>
        <v>15</v>
      </c>
      <c r="AH1038" s="390">
        <f>AE1038</f>
        <v>30</v>
      </c>
      <c r="AI1038" s="149">
        <f>AK1038*0.5</f>
        <v>15</v>
      </c>
      <c r="AJ1038" s="19">
        <f>AK1038*0.5</f>
        <v>15</v>
      </c>
      <c r="AK1038" s="390">
        <f>AH1038</f>
        <v>30</v>
      </c>
      <c r="AL1038" s="149">
        <f>AN1038*0.5</f>
        <v>15</v>
      </c>
      <c r="AM1038" s="19">
        <f>AN1038*0.5</f>
        <v>15</v>
      </c>
      <c r="AN1038" s="390">
        <f>AK1038</f>
        <v>30</v>
      </c>
      <c r="AO1038" s="149">
        <f>AQ1038*0.5</f>
        <v>15</v>
      </c>
      <c r="AP1038" s="19">
        <f>AQ1038*0.5</f>
        <v>15</v>
      </c>
      <c r="AQ1038" s="390">
        <f>AN1038</f>
        <v>30</v>
      </c>
      <c r="AR1038" s="149">
        <f>AT1038*0.5</f>
        <v>15</v>
      </c>
      <c r="AS1038" s="19">
        <f>AT1038*0.5</f>
        <v>15</v>
      </c>
      <c r="AT1038" s="390">
        <f>AQ1038</f>
        <v>30</v>
      </c>
      <c r="AU1038" s="149">
        <f>AW1038*0.5</f>
        <v>15</v>
      </c>
      <c r="AV1038" s="19">
        <f>AW1038*0.5</f>
        <v>15</v>
      </c>
      <c r="AW1038" s="390">
        <f>AT1038</f>
        <v>30</v>
      </c>
      <c r="AX1038" s="149">
        <f>AZ1038*0.5</f>
        <v>15</v>
      </c>
      <c r="AY1038" s="19">
        <f>AZ1038*0.5</f>
        <v>15</v>
      </c>
      <c r="AZ1038" s="390">
        <f>AW1038</f>
        <v>30</v>
      </c>
      <c r="BA1038" s="149">
        <f>BC1038*0.5</f>
        <v>15</v>
      </c>
      <c r="BB1038" s="19">
        <f>BC1038*0.5</f>
        <v>15</v>
      </c>
      <c r="BC1038" s="390">
        <f>AZ1038</f>
        <v>30</v>
      </c>
      <c r="BD1038" s="149">
        <f>BF1038*0.5</f>
        <v>15</v>
      </c>
      <c r="BE1038" s="19">
        <f>BF1038*0.5</f>
        <v>15</v>
      </c>
      <c r="BF1038" s="390">
        <f>BC1038</f>
        <v>30</v>
      </c>
      <c r="BG1038" s="149">
        <f>BI1038*0.5</f>
        <v>15</v>
      </c>
      <c r="BH1038" s="19">
        <f>BI1038*0.5</f>
        <v>15</v>
      </c>
      <c r="BI1038" s="390">
        <f>BF1038</f>
        <v>30</v>
      </c>
      <c r="BJ1038" s="149">
        <f>BL1038*0.5</f>
        <v>15</v>
      </c>
      <c r="BK1038" s="19">
        <f>BL1038*0.5</f>
        <v>15</v>
      </c>
      <c r="BL1038" s="390">
        <f>BI1038</f>
        <v>30</v>
      </c>
      <c r="BM1038" s="149">
        <f>BO1038*0.5</f>
        <v>15</v>
      </c>
      <c r="BN1038" s="19">
        <f>BO1038*0.5</f>
        <v>15</v>
      </c>
      <c r="BO1038" s="390">
        <f>BL1038</f>
        <v>30</v>
      </c>
      <c r="BP1038" s="149">
        <f>BR1038*0.5</f>
        <v>15</v>
      </c>
      <c r="BQ1038" s="19">
        <f>BR1038*0.5</f>
        <v>15</v>
      </c>
      <c r="BR1038" s="390">
        <f>BO1038</f>
        <v>30</v>
      </c>
    </row>
    <row r="1039" spans="2:70" outlineLevel="2">
      <c r="B1039" s="5"/>
      <c r="C1039" s="84" t="s">
        <v>56</v>
      </c>
      <c r="D1039" s="31" t="s">
        <v>102</v>
      </c>
      <c r="H1039" s="767">
        <f>H1036/H1037</f>
        <v>1.5555555555555556</v>
      </c>
      <c r="L1039" s="167">
        <f>H1039*0.5</f>
        <v>0.77777777777777779</v>
      </c>
      <c r="M1039" s="167">
        <f>L1039</f>
        <v>0.77777777777777779</v>
      </c>
      <c r="N1039" s="149">
        <f>P1039*0.5</f>
        <v>0.77777777777777779</v>
      </c>
      <c r="O1039" s="19">
        <f>P1039*0.5</f>
        <v>0.77777777777777779</v>
      </c>
      <c r="P1039" s="167">
        <f>P1038*P1040</f>
        <v>1.5555555555555556</v>
      </c>
      <c r="Q1039" s="149">
        <f>S1039*0.5</f>
        <v>0.77777777777777779</v>
      </c>
      <c r="R1039" s="19">
        <f>S1039*0.5</f>
        <v>0.77777777777777779</v>
      </c>
      <c r="S1039" s="167">
        <f>S1038*S1040</f>
        <v>1.5555555555555556</v>
      </c>
      <c r="T1039" s="149">
        <f>V1039*0.5</f>
        <v>0.77777777777777779</v>
      </c>
      <c r="U1039" s="19">
        <f>V1039*0.5</f>
        <v>0.77777777777777779</v>
      </c>
      <c r="V1039" s="167">
        <f>V1038*V1040</f>
        <v>1.5555555555555556</v>
      </c>
      <c r="W1039" s="149">
        <f>Y1039*0.5</f>
        <v>0.77777777777777779</v>
      </c>
      <c r="X1039" s="19">
        <f>Y1039*0.5</f>
        <v>0.77777777777777779</v>
      </c>
      <c r="Y1039" s="167">
        <f>Y1038*Y1040</f>
        <v>1.5555555555555556</v>
      </c>
      <c r="Z1039" s="149">
        <f>AB1039*0.5</f>
        <v>0.77777777777777779</v>
      </c>
      <c r="AA1039" s="19">
        <f>AB1039*0.5</f>
        <v>0.77777777777777779</v>
      </c>
      <c r="AB1039" s="167">
        <f>AB1038*AB1040</f>
        <v>1.5555555555555556</v>
      </c>
      <c r="AC1039" s="149">
        <f>AE1039*0.5</f>
        <v>0.77777777777777779</v>
      </c>
      <c r="AD1039" s="19">
        <f>AE1039*0.5</f>
        <v>0.77777777777777779</v>
      </c>
      <c r="AE1039" s="167">
        <f>AE1038*AE1040</f>
        <v>1.5555555555555556</v>
      </c>
      <c r="AF1039" s="149">
        <f>AH1039*0.5</f>
        <v>0.77777777777777779</v>
      </c>
      <c r="AG1039" s="943">
        <f>AH1039*0.5</f>
        <v>0.77777777777777779</v>
      </c>
      <c r="AH1039" s="167">
        <f>AH1038*AH1040</f>
        <v>1.5555555555555556</v>
      </c>
      <c r="AI1039" s="149">
        <f>AK1039*0.5</f>
        <v>0.77777777777777779</v>
      </c>
      <c r="AJ1039" s="19">
        <f>AK1039*0.5</f>
        <v>0.77777777777777779</v>
      </c>
      <c r="AK1039" s="167">
        <f>AK1038*AK1040</f>
        <v>1.5555555555555556</v>
      </c>
      <c r="AL1039" s="149">
        <f>AN1039*0.5</f>
        <v>0.77777777777777779</v>
      </c>
      <c r="AM1039" s="19">
        <f>AN1039*0.5</f>
        <v>0.77777777777777779</v>
      </c>
      <c r="AN1039" s="167">
        <f>AN1038*AN1040</f>
        <v>1.5555555555555556</v>
      </c>
      <c r="AO1039" s="149">
        <f>AQ1039*0.5</f>
        <v>0.77777777777777779</v>
      </c>
      <c r="AP1039" s="19">
        <f>AQ1039*0.5</f>
        <v>0.77777777777777779</v>
      </c>
      <c r="AQ1039" s="167">
        <f>AQ1038*AQ1040</f>
        <v>1.5555555555555556</v>
      </c>
      <c r="AR1039" s="149">
        <f>AT1039*0.5</f>
        <v>0.77777777777777779</v>
      </c>
      <c r="AS1039" s="19">
        <f>AT1039*0.5</f>
        <v>0.77777777777777779</v>
      </c>
      <c r="AT1039" s="167">
        <f>AT1038*AT1040</f>
        <v>1.5555555555555556</v>
      </c>
      <c r="AU1039" s="149">
        <f>AW1039*0.5</f>
        <v>0.77777777777777779</v>
      </c>
      <c r="AV1039" s="19">
        <f>AW1039*0.5</f>
        <v>0.77777777777777779</v>
      </c>
      <c r="AW1039" s="167">
        <f>AW1038*AW1040</f>
        <v>1.5555555555555556</v>
      </c>
      <c r="AX1039" s="149">
        <f>AZ1039*0.5</f>
        <v>0.77777777777777779</v>
      </c>
      <c r="AY1039" s="19">
        <f>AZ1039*0.5</f>
        <v>0.77777777777777779</v>
      </c>
      <c r="AZ1039" s="167">
        <f>AZ1038*AZ1040</f>
        <v>1.5555555555555556</v>
      </c>
      <c r="BA1039" s="149">
        <f>BC1039*0.5</f>
        <v>0.77777777777777779</v>
      </c>
      <c r="BB1039" s="19">
        <f>BC1039*0.5</f>
        <v>0.77777777777777779</v>
      </c>
      <c r="BC1039" s="167">
        <f>BC1038*BC1040</f>
        <v>1.5555555555555556</v>
      </c>
      <c r="BD1039" s="149">
        <f>BF1039*0.5</f>
        <v>0.77777777777777779</v>
      </c>
      <c r="BE1039" s="19">
        <f>BF1039*0.5</f>
        <v>0.77777777777777779</v>
      </c>
      <c r="BF1039" s="167">
        <f>BF1038*BF1040</f>
        <v>1.5555555555555556</v>
      </c>
      <c r="BG1039" s="149">
        <f>BI1039*0.5</f>
        <v>0.77777777777777779</v>
      </c>
      <c r="BH1039" s="19">
        <f>BI1039*0.5</f>
        <v>0.77777777777777779</v>
      </c>
      <c r="BI1039" s="167">
        <f>BI1038*BI1040</f>
        <v>1.5555555555555556</v>
      </c>
      <c r="BJ1039" s="149">
        <f>BL1039*0.5</f>
        <v>0.77777777777777779</v>
      </c>
      <c r="BK1039" s="19">
        <f>BL1039*0.5</f>
        <v>0.77777777777777779</v>
      </c>
      <c r="BL1039" s="167">
        <f>BL1038*BL1040</f>
        <v>1.5555555555555556</v>
      </c>
      <c r="BM1039" s="149">
        <f>BO1039*0.5</f>
        <v>0.77777777777777779</v>
      </c>
      <c r="BN1039" s="19">
        <f>BO1039*0.5</f>
        <v>0.77777777777777779</v>
      </c>
      <c r="BO1039" s="167">
        <f>BO1038*BO1040</f>
        <v>1.5555555555555556</v>
      </c>
      <c r="BP1039" s="149">
        <f>BR1039*0.5</f>
        <v>0.77777777777777779</v>
      </c>
      <c r="BQ1039" s="19">
        <f>BR1039*0.5</f>
        <v>0.77777777777777779</v>
      </c>
      <c r="BR1039" s="167">
        <f>BR1038*BR1040</f>
        <v>1.5555555555555556</v>
      </c>
    </row>
    <row r="1040" spans="2:70" outlineLevel="2">
      <c r="B1040" s="5"/>
      <c r="C1040" s="84" t="s">
        <v>73</v>
      </c>
      <c r="D1040" s="31" t="s">
        <v>66</v>
      </c>
      <c r="H1040" s="768">
        <f>H1039/H1038</f>
        <v>5.185185185185185E-2</v>
      </c>
      <c r="L1040" s="133">
        <f>L1039/L1038</f>
        <v>5.185185185185185E-2</v>
      </c>
      <c r="M1040" s="133">
        <f>M1039/M1038</f>
        <v>5.185185185185185E-2</v>
      </c>
      <c r="N1040" s="133">
        <f>N1039/N1038</f>
        <v>5.185185185185185E-2</v>
      </c>
      <c r="O1040" s="133">
        <f>O1039/O1038</f>
        <v>5.185185185185185E-2</v>
      </c>
      <c r="P1040" s="133">
        <f>M1040</f>
        <v>5.185185185185185E-2</v>
      </c>
      <c r="Q1040" s="133">
        <f>Q1039/Q1038</f>
        <v>5.185185185185185E-2</v>
      </c>
      <c r="R1040" s="133">
        <f>R1039/R1038</f>
        <v>5.185185185185185E-2</v>
      </c>
      <c r="S1040" s="133">
        <f>P1040</f>
        <v>5.185185185185185E-2</v>
      </c>
      <c r="T1040" s="133">
        <f>T1039/T1038</f>
        <v>5.185185185185185E-2</v>
      </c>
      <c r="U1040" s="133">
        <f>U1039/U1038</f>
        <v>5.185185185185185E-2</v>
      </c>
      <c r="V1040" s="133">
        <f>S1040</f>
        <v>5.185185185185185E-2</v>
      </c>
      <c r="W1040" s="133">
        <f>W1039/W1038</f>
        <v>5.185185185185185E-2</v>
      </c>
      <c r="X1040" s="133">
        <f>X1039/X1038</f>
        <v>5.185185185185185E-2</v>
      </c>
      <c r="Y1040" s="133">
        <f>V1040</f>
        <v>5.185185185185185E-2</v>
      </c>
      <c r="Z1040" s="133">
        <f>Z1039/Z1038</f>
        <v>5.185185185185185E-2</v>
      </c>
      <c r="AA1040" s="133">
        <f>AA1039/AA1038</f>
        <v>5.185185185185185E-2</v>
      </c>
      <c r="AB1040" s="133">
        <f>Y1040</f>
        <v>5.185185185185185E-2</v>
      </c>
      <c r="AC1040" s="133">
        <f>AC1039/AC1038</f>
        <v>5.185185185185185E-2</v>
      </c>
      <c r="AD1040" s="133">
        <f>AD1039/AD1038</f>
        <v>5.185185185185185E-2</v>
      </c>
      <c r="AE1040" s="133">
        <f>AB1040</f>
        <v>5.185185185185185E-2</v>
      </c>
      <c r="AF1040" s="133">
        <f>AF1039/AF1038</f>
        <v>5.185185185185185E-2</v>
      </c>
      <c r="AG1040" s="938">
        <f>AG1039/AG1038</f>
        <v>5.185185185185185E-2</v>
      </c>
      <c r="AH1040" s="133">
        <f>AE1040</f>
        <v>5.185185185185185E-2</v>
      </c>
      <c r="AI1040" s="133">
        <f>AI1039/AI1038</f>
        <v>5.185185185185185E-2</v>
      </c>
      <c r="AJ1040" s="133">
        <f>AJ1039/AJ1038</f>
        <v>5.185185185185185E-2</v>
      </c>
      <c r="AK1040" s="133">
        <f>AH1040</f>
        <v>5.185185185185185E-2</v>
      </c>
      <c r="AL1040" s="133">
        <f>AL1039/AL1038</f>
        <v>5.185185185185185E-2</v>
      </c>
      <c r="AM1040" s="133">
        <f>AM1039/AM1038</f>
        <v>5.185185185185185E-2</v>
      </c>
      <c r="AN1040" s="133">
        <f>AK1040</f>
        <v>5.185185185185185E-2</v>
      </c>
      <c r="AO1040" s="133">
        <f>AO1039/AO1038</f>
        <v>5.185185185185185E-2</v>
      </c>
      <c r="AP1040" s="133">
        <f>AP1039/AP1038</f>
        <v>5.185185185185185E-2</v>
      </c>
      <c r="AQ1040" s="133">
        <f>AN1040</f>
        <v>5.185185185185185E-2</v>
      </c>
      <c r="AR1040" s="133">
        <f>AR1039/AR1038</f>
        <v>5.185185185185185E-2</v>
      </c>
      <c r="AS1040" s="133">
        <f>AS1039/AS1038</f>
        <v>5.185185185185185E-2</v>
      </c>
      <c r="AT1040" s="133">
        <f>AQ1040</f>
        <v>5.185185185185185E-2</v>
      </c>
      <c r="AU1040" s="133">
        <f>AU1039/AU1038</f>
        <v>5.185185185185185E-2</v>
      </c>
      <c r="AV1040" s="133">
        <f>AV1039/AV1038</f>
        <v>5.185185185185185E-2</v>
      </c>
      <c r="AW1040" s="133">
        <f>AT1040</f>
        <v>5.185185185185185E-2</v>
      </c>
      <c r="AX1040" s="133">
        <f>AX1039/AX1038</f>
        <v>5.185185185185185E-2</v>
      </c>
      <c r="AY1040" s="133">
        <f>AY1039/AY1038</f>
        <v>5.185185185185185E-2</v>
      </c>
      <c r="AZ1040" s="133">
        <f>AW1040</f>
        <v>5.185185185185185E-2</v>
      </c>
      <c r="BA1040" s="133">
        <f>BA1039/BA1038</f>
        <v>5.185185185185185E-2</v>
      </c>
      <c r="BB1040" s="133">
        <f>BB1039/BB1038</f>
        <v>5.185185185185185E-2</v>
      </c>
      <c r="BC1040" s="133">
        <f>AZ1040</f>
        <v>5.185185185185185E-2</v>
      </c>
      <c r="BD1040" s="133">
        <f>BD1039/BD1038</f>
        <v>5.185185185185185E-2</v>
      </c>
      <c r="BE1040" s="133">
        <f>BE1039/BE1038</f>
        <v>5.185185185185185E-2</v>
      </c>
      <c r="BF1040" s="133">
        <f>BC1040</f>
        <v>5.185185185185185E-2</v>
      </c>
      <c r="BG1040" s="133">
        <f>BG1039/BG1038</f>
        <v>5.185185185185185E-2</v>
      </c>
      <c r="BH1040" s="133">
        <f>BH1039/BH1038</f>
        <v>5.185185185185185E-2</v>
      </c>
      <c r="BI1040" s="133">
        <f>BF1040</f>
        <v>5.185185185185185E-2</v>
      </c>
      <c r="BJ1040" s="133">
        <f>BJ1039/BJ1038</f>
        <v>5.185185185185185E-2</v>
      </c>
      <c r="BK1040" s="133">
        <f>BK1039/BK1038</f>
        <v>5.185185185185185E-2</v>
      </c>
      <c r="BL1040" s="133">
        <f>BI1040</f>
        <v>5.185185185185185E-2</v>
      </c>
      <c r="BM1040" s="133">
        <f>BM1039/BM1038</f>
        <v>5.185185185185185E-2</v>
      </c>
      <c r="BN1040" s="133">
        <f>BN1039/BN1038</f>
        <v>5.185185185185185E-2</v>
      </c>
      <c r="BO1040" s="133">
        <f>BL1040</f>
        <v>5.185185185185185E-2</v>
      </c>
      <c r="BP1040" s="133">
        <f>BP1039/BP1038</f>
        <v>5.185185185185185E-2</v>
      </c>
      <c r="BQ1040" s="133">
        <f>BQ1039/BQ1038</f>
        <v>5.185185185185185E-2</v>
      </c>
      <c r="BR1040" s="133">
        <f>BO1040</f>
        <v>5.185185185185185E-2</v>
      </c>
    </row>
    <row r="1041" spans="2:70" outlineLevel="2">
      <c r="B1041" s="5"/>
      <c r="C1041" s="84" t="s">
        <v>65</v>
      </c>
      <c r="D1041" s="31" t="s">
        <v>102</v>
      </c>
      <c r="H1041" s="769">
        <f>H1038*-3%</f>
        <v>-0.89999999999999991</v>
      </c>
      <c r="L1041" s="175">
        <f>H1041*0.5</f>
        <v>-0.44999999999999996</v>
      </c>
      <c r="M1041" s="364">
        <f>L1041</f>
        <v>-0.44999999999999996</v>
      </c>
      <c r="N1041" s="370">
        <f>P1041*0.5</f>
        <v>-0.44999999999999996</v>
      </c>
      <c r="O1041" s="370">
        <f>P1041*0.5</f>
        <v>-0.44999999999999996</v>
      </c>
      <c r="P1041" s="360">
        <f>M1041*(P1038/M1038)</f>
        <v>-0.89999999999999991</v>
      </c>
      <c r="Q1041" s="370">
        <f>S1041*0.5</f>
        <v>-0.44999999999999996</v>
      </c>
      <c r="R1041" s="370">
        <f>S1041*0.5</f>
        <v>-0.44999999999999996</v>
      </c>
      <c r="S1041" s="360">
        <f>P1041*(S1038/P1038)</f>
        <v>-0.89999999999999991</v>
      </c>
      <c r="T1041" s="370">
        <f>V1041*0.5</f>
        <v>-0.44999999999999996</v>
      </c>
      <c r="U1041" s="370">
        <f>V1041*0.5</f>
        <v>-0.44999999999999996</v>
      </c>
      <c r="V1041" s="360">
        <f>S1041*(V1038/S1038)</f>
        <v>-0.89999999999999991</v>
      </c>
      <c r="W1041" s="370">
        <f>Y1041*0.5</f>
        <v>-0.44999999999999996</v>
      </c>
      <c r="X1041" s="370">
        <f>Y1041*0.5</f>
        <v>-0.44999999999999996</v>
      </c>
      <c r="Y1041" s="360">
        <f>V1041*(Y1038/V1038)</f>
        <v>-0.89999999999999991</v>
      </c>
      <c r="Z1041" s="370">
        <f>AB1041*0.5</f>
        <v>-0.44999999999999996</v>
      </c>
      <c r="AA1041" s="370">
        <f>AB1041*0.5</f>
        <v>-0.44999999999999996</v>
      </c>
      <c r="AB1041" s="360">
        <f>Y1041*(AB1038/Y1038)</f>
        <v>-0.89999999999999991</v>
      </c>
      <c r="AC1041" s="370">
        <f>AE1041*0.5</f>
        <v>-0.44999999999999996</v>
      </c>
      <c r="AD1041" s="370">
        <f>AE1041*0.5</f>
        <v>-0.44999999999999996</v>
      </c>
      <c r="AE1041" s="360">
        <f>AB1041*(AE1038/AB1038)</f>
        <v>-0.89999999999999991</v>
      </c>
      <c r="AF1041" s="370">
        <f>AH1041*0.5</f>
        <v>-0.44999999999999996</v>
      </c>
      <c r="AG1041" s="1032">
        <f>AH1041*0.5</f>
        <v>-0.44999999999999996</v>
      </c>
      <c r="AH1041" s="360">
        <f>AE1041*(AH1038/AE1038)</f>
        <v>-0.89999999999999991</v>
      </c>
      <c r="AI1041" s="370">
        <f>AK1041*0.5</f>
        <v>-0.44999999999999996</v>
      </c>
      <c r="AJ1041" s="370">
        <f>AK1041*0.5</f>
        <v>-0.44999999999999996</v>
      </c>
      <c r="AK1041" s="360">
        <f>AH1041*(AK1038/AH1038)</f>
        <v>-0.89999999999999991</v>
      </c>
      <c r="AL1041" s="370">
        <f>AN1041*0.5</f>
        <v>-0.44999999999999996</v>
      </c>
      <c r="AM1041" s="370">
        <f>AN1041*0.5</f>
        <v>-0.44999999999999996</v>
      </c>
      <c r="AN1041" s="360">
        <f>AK1041*(AN1038/AK1038)</f>
        <v>-0.89999999999999991</v>
      </c>
      <c r="AO1041" s="370">
        <f>AQ1041*0.5</f>
        <v>-0.44999999999999996</v>
      </c>
      <c r="AP1041" s="370">
        <f>AQ1041*0.5</f>
        <v>-0.44999999999999996</v>
      </c>
      <c r="AQ1041" s="360">
        <f>AN1041*(AQ1038/AN1038)</f>
        <v>-0.89999999999999991</v>
      </c>
      <c r="AR1041" s="370">
        <f>AT1041*0.5</f>
        <v>-0.44999999999999996</v>
      </c>
      <c r="AS1041" s="370">
        <f>AT1041*0.5</f>
        <v>-0.44999999999999996</v>
      </c>
      <c r="AT1041" s="360">
        <f>AQ1041*(AT1038/AQ1038)</f>
        <v>-0.89999999999999991</v>
      </c>
      <c r="AU1041" s="370">
        <f>AW1041*0.5</f>
        <v>-0.44999999999999996</v>
      </c>
      <c r="AV1041" s="370">
        <f>AW1041*0.5</f>
        <v>-0.44999999999999996</v>
      </c>
      <c r="AW1041" s="360">
        <f>AT1041*(AW1038/AT1038)</f>
        <v>-0.89999999999999991</v>
      </c>
      <c r="AX1041" s="370">
        <f>AZ1041*0.5</f>
        <v>-0.44999999999999996</v>
      </c>
      <c r="AY1041" s="370">
        <f>AZ1041*0.5</f>
        <v>-0.44999999999999996</v>
      </c>
      <c r="AZ1041" s="360">
        <f>AW1041*(AZ1038/AW1038)</f>
        <v>-0.89999999999999991</v>
      </c>
      <c r="BA1041" s="370">
        <f>BC1041*0.5</f>
        <v>-0.44999999999999996</v>
      </c>
      <c r="BB1041" s="370">
        <f>BC1041*0.5</f>
        <v>-0.44999999999999996</v>
      </c>
      <c r="BC1041" s="360">
        <f>AZ1041*(BC1038/AZ1038)</f>
        <v>-0.89999999999999991</v>
      </c>
      <c r="BD1041" s="370">
        <f>BF1041*0.5</f>
        <v>-0.44999999999999996</v>
      </c>
      <c r="BE1041" s="370">
        <f>BF1041*0.5</f>
        <v>-0.44999999999999996</v>
      </c>
      <c r="BF1041" s="360">
        <f>BC1041*(BF1038/BC1038)</f>
        <v>-0.89999999999999991</v>
      </c>
      <c r="BG1041" s="370">
        <f>BI1041*0.5</f>
        <v>-0.44999999999999996</v>
      </c>
      <c r="BH1041" s="370">
        <f>BI1041*0.5</f>
        <v>-0.44999999999999996</v>
      </c>
      <c r="BI1041" s="360">
        <f>BF1041*(BI1038/BF1038)</f>
        <v>-0.89999999999999991</v>
      </c>
      <c r="BJ1041" s="370">
        <f>BL1041*0.5</f>
        <v>-0.44999999999999996</v>
      </c>
      <c r="BK1041" s="370">
        <f>BL1041*0.5</f>
        <v>-0.44999999999999996</v>
      </c>
      <c r="BL1041" s="360">
        <f>BI1041*(BL1038/BI1038)</f>
        <v>-0.89999999999999991</v>
      </c>
      <c r="BM1041" s="370">
        <f>BO1041*0.5</f>
        <v>-0.44999999999999996</v>
      </c>
      <c r="BN1041" s="370">
        <f>BO1041*0.5</f>
        <v>-0.44999999999999996</v>
      </c>
      <c r="BO1041" s="360">
        <f>BL1041*(BO1038/BL1038)</f>
        <v>-0.89999999999999991</v>
      </c>
      <c r="BP1041" s="370">
        <f>BR1041*0.5</f>
        <v>-0.44999999999999996</v>
      </c>
      <c r="BQ1041" s="370">
        <f>BR1041*0.5</f>
        <v>-0.44999999999999996</v>
      </c>
      <c r="BR1041" s="360">
        <f>BO1041*(BR1038/BO1038)</f>
        <v>-0.89999999999999991</v>
      </c>
    </row>
    <row r="1042" spans="2:70" outlineLevel="2">
      <c r="B1042" s="5"/>
      <c r="C1042" s="84" t="s">
        <v>78</v>
      </c>
      <c r="D1042" s="31" t="s">
        <v>102</v>
      </c>
      <c r="H1042" s="770">
        <f>H1039+H1041</f>
        <v>0.65555555555555567</v>
      </c>
      <c r="L1042" s="360">
        <f>L1039+L1041</f>
        <v>0.32777777777777783</v>
      </c>
      <c r="M1042" s="167">
        <f>L1042</f>
        <v>0.32777777777777783</v>
      </c>
      <c r="N1042" s="167">
        <f>N1039+N1041</f>
        <v>0.32777777777777783</v>
      </c>
      <c r="O1042" s="167">
        <f>O1039+O1041</f>
        <v>0.32777777777777783</v>
      </c>
      <c r="P1042" s="172">
        <f>SUM(N1042:O1042)</f>
        <v>0.65555555555555567</v>
      </c>
      <c r="Q1042" s="167">
        <f>Q1039+Q1041</f>
        <v>0.32777777777777783</v>
      </c>
      <c r="R1042" s="167">
        <f>R1039+R1041</f>
        <v>0.32777777777777783</v>
      </c>
      <c r="S1042" s="172">
        <f>SUM(Q1042:R1042)</f>
        <v>0.65555555555555567</v>
      </c>
      <c r="T1042" s="167">
        <f>T1039+T1041</f>
        <v>0.32777777777777783</v>
      </c>
      <c r="U1042" s="167">
        <f>U1039+U1041</f>
        <v>0.32777777777777783</v>
      </c>
      <c r="V1042" s="172">
        <f>SUM(T1042:U1042)</f>
        <v>0.65555555555555567</v>
      </c>
      <c r="W1042" s="167">
        <f>W1039+W1041</f>
        <v>0.32777777777777783</v>
      </c>
      <c r="X1042" s="167">
        <f>X1039+X1041</f>
        <v>0.32777777777777783</v>
      </c>
      <c r="Y1042" s="172">
        <f>SUM(W1042:X1042)</f>
        <v>0.65555555555555567</v>
      </c>
      <c r="Z1042" s="167">
        <f>Z1039+Z1041</f>
        <v>0.32777777777777783</v>
      </c>
      <c r="AA1042" s="167">
        <f>AA1039+AA1041</f>
        <v>0.32777777777777783</v>
      </c>
      <c r="AB1042" s="172">
        <f>SUM(Z1042:AA1042)</f>
        <v>0.65555555555555567</v>
      </c>
      <c r="AC1042" s="167">
        <f>AC1039+AC1041</f>
        <v>0.32777777777777783</v>
      </c>
      <c r="AD1042" s="167">
        <f>AD1039+AD1041</f>
        <v>0.32777777777777783</v>
      </c>
      <c r="AE1042" s="172">
        <f>SUM(AC1042:AD1042)</f>
        <v>0.65555555555555567</v>
      </c>
      <c r="AF1042" s="167">
        <f>AF1039+AF1041</f>
        <v>0.32777777777777783</v>
      </c>
      <c r="AG1042" s="1017">
        <f>AG1039+AG1041</f>
        <v>0.32777777777777783</v>
      </c>
      <c r="AH1042" s="172">
        <f>SUM(AF1042:AG1042)</f>
        <v>0.65555555555555567</v>
      </c>
      <c r="AI1042" s="167">
        <f>AI1039+AI1041</f>
        <v>0.32777777777777783</v>
      </c>
      <c r="AJ1042" s="167">
        <f>AJ1039+AJ1041</f>
        <v>0.32777777777777783</v>
      </c>
      <c r="AK1042" s="172">
        <f>SUM(AI1042:AJ1042)</f>
        <v>0.65555555555555567</v>
      </c>
      <c r="AL1042" s="167">
        <f>AL1039+AL1041</f>
        <v>0.32777777777777783</v>
      </c>
      <c r="AM1042" s="167">
        <f>AM1039+AM1041</f>
        <v>0.32777777777777783</v>
      </c>
      <c r="AN1042" s="172">
        <f>SUM(AL1042:AM1042)</f>
        <v>0.65555555555555567</v>
      </c>
      <c r="AO1042" s="167">
        <f>AO1039+AO1041</f>
        <v>0.32777777777777783</v>
      </c>
      <c r="AP1042" s="167">
        <f>AP1039+AP1041</f>
        <v>0.32777777777777783</v>
      </c>
      <c r="AQ1042" s="172">
        <f>SUM(AO1042:AP1042)</f>
        <v>0.65555555555555567</v>
      </c>
      <c r="AR1042" s="167">
        <f>AR1039+AR1041</f>
        <v>0.32777777777777783</v>
      </c>
      <c r="AS1042" s="167">
        <f>AS1039+AS1041</f>
        <v>0.32777777777777783</v>
      </c>
      <c r="AT1042" s="172">
        <f>SUM(AR1042:AS1042)</f>
        <v>0.65555555555555567</v>
      </c>
      <c r="AU1042" s="167">
        <f>AU1039+AU1041</f>
        <v>0.32777777777777783</v>
      </c>
      <c r="AV1042" s="167">
        <f>AV1039+AV1041</f>
        <v>0.32777777777777783</v>
      </c>
      <c r="AW1042" s="172">
        <f>SUM(AU1042:AV1042)</f>
        <v>0.65555555555555567</v>
      </c>
      <c r="AX1042" s="167">
        <f>AX1039+AX1041</f>
        <v>0.32777777777777783</v>
      </c>
      <c r="AY1042" s="167">
        <f>AY1039+AY1041</f>
        <v>0.32777777777777783</v>
      </c>
      <c r="AZ1042" s="172">
        <f>SUM(AX1042:AY1042)</f>
        <v>0.65555555555555567</v>
      </c>
      <c r="BA1042" s="167">
        <f>BA1039+BA1041</f>
        <v>0.32777777777777783</v>
      </c>
      <c r="BB1042" s="167">
        <f>BB1039+BB1041</f>
        <v>0.32777777777777783</v>
      </c>
      <c r="BC1042" s="172">
        <f>SUM(BA1042:BB1042)</f>
        <v>0.65555555555555567</v>
      </c>
      <c r="BD1042" s="167">
        <f>BD1039+BD1041</f>
        <v>0.32777777777777783</v>
      </c>
      <c r="BE1042" s="167">
        <f>BE1039+BE1041</f>
        <v>0.32777777777777783</v>
      </c>
      <c r="BF1042" s="172">
        <f>SUM(BD1042:BE1042)</f>
        <v>0.65555555555555567</v>
      </c>
      <c r="BG1042" s="167">
        <f>BG1039+BG1041</f>
        <v>0.32777777777777783</v>
      </c>
      <c r="BH1042" s="167">
        <f>BH1039+BH1041</f>
        <v>0.32777777777777783</v>
      </c>
      <c r="BI1042" s="172">
        <f>SUM(BG1042:BH1042)</f>
        <v>0.65555555555555567</v>
      </c>
      <c r="BJ1042" s="167">
        <f>BJ1039+BJ1041</f>
        <v>0.32777777777777783</v>
      </c>
      <c r="BK1042" s="167">
        <f>BK1039+BK1041</f>
        <v>0.32777777777777783</v>
      </c>
      <c r="BL1042" s="172">
        <f>SUM(BJ1042:BK1042)</f>
        <v>0.65555555555555567</v>
      </c>
      <c r="BM1042" s="167">
        <f>BM1039+BM1041</f>
        <v>0.32777777777777783</v>
      </c>
      <c r="BN1042" s="167">
        <f>BN1039+BN1041</f>
        <v>0.32777777777777783</v>
      </c>
      <c r="BO1042" s="172">
        <f>SUM(BM1042:BN1042)</f>
        <v>0.65555555555555567</v>
      </c>
      <c r="BP1042" s="167">
        <f>BP1039+BP1041</f>
        <v>0.32777777777777783</v>
      </c>
      <c r="BQ1042" s="167">
        <f>BQ1039+BQ1041</f>
        <v>0.32777777777777783</v>
      </c>
      <c r="BR1042" s="172">
        <f>SUM(BP1042:BQ1042)</f>
        <v>0.65555555555555567</v>
      </c>
    </row>
    <row r="1043" spans="2:70" outlineLevel="2">
      <c r="B1043" s="5"/>
      <c r="C1043" s="84" t="s">
        <v>74</v>
      </c>
      <c r="D1043" s="31" t="s">
        <v>66</v>
      </c>
      <c r="H1043" s="768">
        <f>H1042/H1038</f>
        <v>2.1851851851851855E-2</v>
      </c>
      <c r="L1043" s="133">
        <f>L1042/L1038</f>
        <v>2.1851851851851855E-2</v>
      </c>
      <c r="M1043" s="162">
        <f t="shared" ref="M1043:V1043" si="4757">M1042/M1038</f>
        <v>2.1851851851851855E-2</v>
      </c>
      <c r="N1043" s="162">
        <f t="shared" si="4757"/>
        <v>2.1851851851851855E-2</v>
      </c>
      <c r="O1043" s="133">
        <f t="shared" si="4757"/>
        <v>2.1851851851851855E-2</v>
      </c>
      <c r="P1043" s="162">
        <f t="shared" si="4757"/>
        <v>2.1851851851851855E-2</v>
      </c>
      <c r="Q1043" s="162">
        <f t="shared" si="4757"/>
        <v>2.1851851851851855E-2</v>
      </c>
      <c r="R1043" s="133">
        <f t="shared" si="4757"/>
        <v>2.1851851851851855E-2</v>
      </c>
      <c r="S1043" s="162">
        <f t="shared" si="4757"/>
        <v>2.1851851851851855E-2</v>
      </c>
      <c r="T1043" s="162">
        <f t="shared" si="4757"/>
        <v>2.1851851851851855E-2</v>
      </c>
      <c r="U1043" s="133">
        <f t="shared" si="4757"/>
        <v>2.1851851851851855E-2</v>
      </c>
      <c r="V1043" s="133">
        <f t="shared" si="4757"/>
        <v>2.1851851851851855E-2</v>
      </c>
      <c r="W1043" s="162">
        <f t="shared" ref="W1043:AN1043" si="4758">W1042/W1038</f>
        <v>2.1851851851851855E-2</v>
      </c>
      <c r="X1043" s="133">
        <f t="shared" si="4758"/>
        <v>2.1851851851851855E-2</v>
      </c>
      <c r="Y1043" s="133">
        <f t="shared" si="4758"/>
        <v>2.1851851851851855E-2</v>
      </c>
      <c r="Z1043" s="162">
        <f t="shared" si="4758"/>
        <v>2.1851851851851855E-2</v>
      </c>
      <c r="AA1043" s="133">
        <f t="shared" si="4758"/>
        <v>2.1851851851851855E-2</v>
      </c>
      <c r="AB1043" s="133">
        <f t="shared" si="4758"/>
        <v>2.1851851851851855E-2</v>
      </c>
      <c r="AC1043" s="162">
        <f t="shared" si="4758"/>
        <v>2.1851851851851855E-2</v>
      </c>
      <c r="AD1043" s="133">
        <f t="shared" si="4758"/>
        <v>2.1851851851851855E-2</v>
      </c>
      <c r="AE1043" s="133">
        <f t="shared" si="4758"/>
        <v>2.1851851851851855E-2</v>
      </c>
      <c r="AF1043" s="162">
        <f t="shared" si="4758"/>
        <v>2.1851851851851855E-2</v>
      </c>
      <c r="AG1043" s="938">
        <f t="shared" si="4758"/>
        <v>2.1851851851851855E-2</v>
      </c>
      <c r="AH1043" s="133">
        <f t="shared" si="4758"/>
        <v>2.1851851851851855E-2</v>
      </c>
      <c r="AI1043" s="162">
        <f t="shared" si="4758"/>
        <v>2.1851851851851855E-2</v>
      </c>
      <c r="AJ1043" s="133">
        <f t="shared" si="4758"/>
        <v>2.1851851851851855E-2</v>
      </c>
      <c r="AK1043" s="133">
        <f t="shared" si="4758"/>
        <v>2.1851851851851855E-2</v>
      </c>
      <c r="AL1043" s="162">
        <f t="shared" si="4758"/>
        <v>2.1851851851851855E-2</v>
      </c>
      <c r="AM1043" s="133">
        <f t="shared" si="4758"/>
        <v>2.1851851851851855E-2</v>
      </c>
      <c r="AN1043" s="133">
        <f t="shared" si="4758"/>
        <v>2.1851851851851855E-2</v>
      </c>
      <c r="AO1043" s="162">
        <f t="shared" ref="AO1043:BR1043" si="4759">AO1042/AO1038</f>
        <v>2.1851851851851855E-2</v>
      </c>
      <c r="AP1043" s="133">
        <f t="shared" si="4759"/>
        <v>2.1851851851851855E-2</v>
      </c>
      <c r="AQ1043" s="133">
        <f t="shared" si="4759"/>
        <v>2.1851851851851855E-2</v>
      </c>
      <c r="AR1043" s="162">
        <f t="shared" si="4759"/>
        <v>2.1851851851851855E-2</v>
      </c>
      <c r="AS1043" s="133">
        <f t="shared" si="4759"/>
        <v>2.1851851851851855E-2</v>
      </c>
      <c r="AT1043" s="133">
        <f t="shared" si="4759"/>
        <v>2.1851851851851855E-2</v>
      </c>
      <c r="AU1043" s="162">
        <f t="shared" si="4759"/>
        <v>2.1851851851851855E-2</v>
      </c>
      <c r="AV1043" s="133">
        <f t="shared" si="4759"/>
        <v>2.1851851851851855E-2</v>
      </c>
      <c r="AW1043" s="133">
        <f t="shared" si="4759"/>
        <v>2.1851851851851855E-2</v>
      </c>
      <c r="AX1043" s="162">
        <f t="shared" si="4759"/>
        <v>2.1851851851851855E-2</v>
      </c>
      <c r="AY1043" s="133">
        <f t="shared" si="4759"/>
        <v>2.1851851851851855E-2</v>
      </c>
      <c r="AZ1043" s="133">
        <f t="shared" si="4759"/>
        <v>2.1851851851851855E-2</v>
      </c>
      <c r="BA1043" s="162">
        <f t="shared" si="4759"/>
        <v>2.1851851851851855E-2</v>
      </c>
      <c r="BB1043" s="133">
        <f t="shared" si="4759"/>
        <v>2.1851851851851855E-2</v>
      </c>
      <c r="BC1043" s="133">
        <f t="shared" si="4759"/>
        <v>2.1851851851851855E-2</v>
      </c>
      <c r="BD1043" s="162">
        <f t="shared" si="4759"/>
        <v>2.1851851851851855E-2</v>
      </c>
      <c r="BE1043" s="133">
        <f t="shared" si="4759"/>
        <v>2.1851851851851855E-2</v>
      </c>
      <c r="BF1043" s="133">
        <f t="shared" si="4759"/>
        <v>2.1851851851851855E-2</v>
      </c>
      <c r="BG1043" s="162">
        <f t="shared" si="4759"/>
        <v>2.1851851851851855E-2</v>
      </c>
      <c r="BH1043" s="133">
        <f t="shared" si="4759"/>
        <v>2.1851851851851855E-2</v>
      </c>
      <c r="BI1043" s="133">
        <f t="shared" si="4759"/>
        <v>2.1851851851851855E-2</v>
      </c>
      <c r="BJ1043" s="162">
        <f t="shared" si="4759"/>
        <v>2.1851851851851855E-2</v>
      </c>
      <c r="BK1043" s="133">
        <f t="shared" si="4759"/>
        <v>2.1851851851851855E-2</v>
      </c>
      <c r="BL1043" s="133">
        <f t="shared" si="4759"/>
        <v>2.1851851851851855E-2</v>
      </c>
      <c r="BM1043" s="162">
        <f t="shared" si="4759"/>
        <v>2.1851851851851855E-2</v>
      </c>
      <c r="BN1043" s="133">
        <f t="shared" si="4759"/>
        <v>2.1851851851851855E-2</v>
      </c>
      <c r="BO1043" s="133">
        <f t="shared" si="4759"/>
        <v>2.1851851851851855E-2</v>
      </c>
      <c r="BP1043" s="162">
        <f t="shared" si="4759"/>
        <v>2.1851851851851855E-2</v>
      </c>
      <c r="BQ1043" s="133">
        <f t="shared" si="4759"/>
        <v>2.1851851851851855E-2</v>
      </c>
      <c r="BR1043" s="133">
        <f t="shared" si="4759"/>
        <v>2.1851851851851855E-2</v>
      </c>
    </row>
    <row r="1044" spans="2:70" outlineLevel="2">
      <c r="B1044" s="5"/>
      <c r="C1044" s="84" t="s">
        <v>90</v>
      </c>
      <c r="D1044" s="31" t="s">
        <v>102</v>
      </c>
      <c r="H1044" s="770">
        <f>H1047-H1042</f>
        <v>0.74444444444444446</v>
      </c>
      <c r="L1044" s="36">
        <v>0</v>
      </c>
      <c r="M1044" s="167">
        <f>SUM(L1044)</f>
        <v>0</v>
      </c>
      <c r="N1044" s="402">
        <v>0.2</v>
      </c>
      <c r="O1044" s="402">
        <v>0.2</v>
      </c>
      <c r="P1044" s="364">
        <f>N1044+O1044</f>
        <v>0.4</v>
      </c>
      <c r="Q1044" s="402">
        <v>0.2</v>
      </c>
      <c r="R1044" s="402">
        <f>H1044-Q1045-Q1044</f>
        <v>0.14444444444444443</v>
      </c>
      <c r="S1044" s="364">
        <f>Q1044+R1044</f>
        <v>0.34444444444444444</v>
      </c>
      <c r="T1044" s="402">
        <v>0</v>
      </c>
      <c r="U1044" s="402">
        <v>0</v>
      </c>
      <c r="V1044" s="364">
        <f>T1044+U1044</f>
        <v>0</v>
      </c>
      <c r="W1044" s="402">
        <v>0</v>
      </c>
      <c r="X1044" s="402">
        <v>0</v>
      </c>
      <c r="Y1044" s="364">
        <f>W1044+X1044</f>
        <v>0</v>
      </c>
      <c r="Z1044" s="402">
        <v>0</v>
      </c>
      <c r="AA1044" s="402">
        <v>0</v>
      </c>
      <c r="AB1044" s="364">
        <f>Z1044+AA1044</f>
        <v>0</v>
      </c>
      <c r="AC1044" s="402">
        <v>0</v>
      </c>
      <c r="AD1044" s="402">
        <v>0</v>
      </c>
      <c r="AE1044" s="364">
        <f>AC1044+AD1044</f>
        <v>0</v>
      </c>
      <c r="AF1044" s="402">
        <v>0</v>
      </c>
      <c r="AG1044" s="1030">
        <v>0</v>
      </c>
      <c r="AH1044" s="364">
        <f>AF1044+AG1044</f>
        <v>0</v>
      </c>
      <c r="AI1044" s="402">
        <v>0</v>
      </c>
      <c r="AJ1044" s="402">
        <v>0</v>
      </c>
      <c r="AK1044" s="364">
        <f>AI1044+AJ1044</f>
        <v>0</v>
      </c>
      <c r="AL1044" s="402">
        <v>0</v>
      </c>
      <c r="AM1044" s="402">
        <v>0</v>
      </c>
      <c r="AN1044" s="364">
        <f>AL1044+AM1044</f>
        <v>0</v>
      </c>
      <c r="AO1044" s="402">
        <v>0</v>
      </c>
      <c r="AP1044" s="402">
        <v>0</v>
      </c>
      <c r="AQ1044" s="364">
        <f>AO1044+AP1044</f>
        <v>0</v>
      </c>
      <c r="AR1044" s="402">
        <v>0</v>
      </c>
      <c r="AS1044" s="402">
        <v>0</v>
      </c>
      <c r="AT1044" s="364">
        <f>AR1044+AS1044</f>
        <v>0</v>
      </c>
      <c r="AU1044" s="402">
        <v>0</v>
      </c>
      <c r="AV1044" s="402">
        <v>0</v>
      </c>
      <c r="AW1044" s="364">
        <f>AU1044+AV1044</f>
        <v>0</v>
      </c>
      <c r="AX1044" s="402">
        <v>0</v>
      </c>
      <c r="AY1044" s="402">
        <v>0</v>
      </c>
      <c r="AZ1044" s="364">
        <f>AX1044+AY1044</f>
        <v>0</v>
      </c>
      <c r="BA1044" s="402">
        <v>0</v>
      </c>
      <c r="BB1044" s="402">
        <v>0</v>
      </c>
      <c r="BC1044" s="364">
        <f>BA1044+BB1044</f>
        <v>0</v>
      </c>
      <c r="BD1044" s="402">
        <v>0</v>
      </c>
      <c r="BE1044" s="402">
        <v>0</v>
      </c>
      <c r="BF1044" s="364">
        <f>BD1044+BE1044</f>
        <v>0</v>
      </c>
      <c r="BG1044" s="402">
        <v>0</v>
      </c>
      <c r="BH1044" s="402">
        <v>0</v>
      </c>
      <c r="BI1044" s="364">
        <f>BG1044+BH1044</f>
        <v>0</v>
      </c>
      <c r="BJ1044" s="402">
        <v>0</v>
      </c>
      <c r="BK1044" s="402">
        <v>0</v>
      </c>
      <c r="BL1044" s="364">
        <f>BJ1044+BK1044</f>
        <v>0</v>
      </c>
      <c r="BM1044" s="402">
        <v>0</v>
      </c>
      <c r="BN1044" s="402">
        <v>0</v>
      </c>
      <c r="BO1044" s="364">
        <f>BM1044+BN1044</f>
        <v>0</v>
      </c>
      <c r="BP1044" s="402">
        <v>0</v>
      </c>
      <c r="BQ1044" s="402">
        <v>0</v>
      </c>
      <c r="BR1044" s="364">
        <f>BP1044+BQ1044</f>
        <v>0</v>
      </c>
    </row>
    <row r="1045" spans="2:70" outlineLevel="2">
      <c r="B1045" s="5"/>
      <c r="C1045" s="84" t="s">
        <v>89</v>
      </c>
      <c r="D1045" s="31"/>
      <c r="H1045" s="771"/>
      <c r="L1045" s="24">
        <f>L1044*L283/L1038</f>
        <v>0</v>
      </c>
      <c r="M1045" s="157">
        <f>J1045+M1044</f>
        <v>0</v>
      </c>
      <c r="N1045" s="157">
        <f>H1045+N1044</f>
        <v>0.2</v>
      </c>
      <c r="O1045" s="157">
        <f>H1045+O1044</f>
        <v>0.2</v>
      </c>
      <c r="P1045" s="157">
        <f>SUM(N1045:O1045)</f>
        <v>0.4</v>
      </c>
      <c r="Q1045" s="157">
        <f>N1045+Q1044</f>
        <v>0.4</v>
      </c>
      <c r="R1045" s="157">
        <f>O1045+R1044</f>
        <v>0.34444444444444444</v>
      </c>
      <c r="S1045" s="157">
        <f>SUM(Q1045:R1045)</f>
        <v>0.74444444444444446</v>
      </c>
      <c r="T1045" s="157">
        <f>Q1045+T1044</f>
        <v>0.4</v>
      </c>
      <c r="U1045" s="157">
        <f>R1045+U1044</f>
        <v>0.34444444444444444</v>
      </c>
      <c r="V1045" s="157">
        <f>SUM(T1045:U1045)</f>
        <v>0.74444444444444446</v>
      </c>
      <c r="W1045" s="157">
        <f>T1045+W1044</f>
        <v>0.4</v>
      </c>
      <c r="X1045" s="157">
        <f>U1045+X1044</f>
        <v>0.34444444444444444</v>
      </c>
      <c r="Y1045" s="157">
        <f>SUM(W1045:X1045)</f>
        <v>0.74444444444444446</v>
      </c>
      <c r="Z1045" s="157">
        <f>W1045+Z1044</f>
        <v>0.4</v>
      </c>
      <c r="AA1045" s="157">
        <f>X1045+AA1044</f>
        <v>0.34444444444444444</v>
      </c>
      <c r="AB1045" s="157">
        <f>SUM(Z1045:AA1045)</f>
        <v>0.74444444444444446</v>
      </c>
      <c r="AC1045" s="157">
        <f>Z1045+AC1044</f>
        <v>0.4</v>
      </c>
      <c r="AD1045" s="157">
        <f>AA1045+AD1044</f>
        <v>0.34444444444444444</v>
      </c>
      <c r="AE1045" s="157">
        <f>SUM(AC1045:AD1045)</f>
        <v>0.74444444444444446</v>
      </c>
      <c r="AF1045" s="157">
        <f>AC1045+AF1044</f>
        <v>0.4</v>
      </c>
      <c r="AG1045" s="1031">
        <f>AD1045+AG1044</f>
        <v>0.34444444444444444</v>
      </c>
      <c r="AH1045" s="157">
        <f>SUM(AF1045:AG1045)</f>
        <v>0.74444444444444446</v>
      </c>
      <c r="AI1045" s="157">
        <f>AF1045+AI1044</f>
        <v>0.4</v>
      </c>
      <c r="AJ1045" s="157">
        <f>AG1045+AJ1044</f>
        <v>0.34444444444444444</v>
      </c>
      <c r="AK1045" s="157">
        <f>SUM(AI1045:AJ1045)</f>
        <v>0.74444444444444446</v>
      </c>
      <c r="AL1045" s="157">
        <f>AI1045+AL1044</f>
        <v>0.4</v>
      </c>
      <c r="AM1045" s="157">
        <f>AJ1045+AM1044</f>
        <v>0.34444444444444444</v>
      </c>
      <c r="AN1045" s="157">
        <f>SUM(AL1045:AM1045)</f>
        <v>0.74444444444444446</v>
      </c>
      <c r="AO1045" s="157">
        <f>AL1045+AO1044</f>
        <v>0.4</v>
      </c>
      <c r="AP1045" s="157">
        <f>AM1045+AP1044</f>
        <v>0.34444444444444444</v>
      </c>
      <c r="AQ1045" s="157">
        <f>SUM(AO1045:AP1045)</f>
        <v>0.74444444444444446</v>
      </c>
      <c r="AR1045" s="157">
        <f>AO1045+AR1044</f>
        <v>0.4</v>
      </c>
      <c r="AS1045" s="157">
        <f>AP1045+AS1044</f>
        <v>0.34444444444444444</v>
      </c>
      <c r="AT1045" s="157">
        <f>SUM(AR1045:AS1045)</f>
        <v>0.74444444444444446</v>
      </c>
      <c r="AU1045" s="157">
        <f>AR1045+AU1044</f>
        <v>0.4</v>
      </c>
      <c r="AV1045" s="157">
        <f>AS1045+AV1044</f>
        <v>0.34444444444444444</v>
      </c>
      <c r="AW1045" s="157">
        <f>SUM(AU1045:AV1045)</f>
        <v>0.74444444444444446</v>
      </c>
      <c r="AX1045" s="157">
        <f>AU1045+AX1044</f>
        <v>0.4</v>
      </c>
      <c r="AY1045" s="157">
        <f>AV1045+AY1044</f>
        <v>0.34444444444444444</v>
      </c>
      <c r="AZ1045" s="157">
        <f>SUM(AX1045:AY1045)</f>
        <v>0.74444444444444446</v>
      </c>
      <c r="BA1045" s="157">
        <f>AX1045+BA1044</f>
        <v>0.4</v>
      </c>
      <c r="BB1045" s="157">
        <f>AY1045+BB1044</f>
        <v>0.34444444444444444</v>
      </c>
      <c r="BC1045" s="157">
        <f>SUM(BA1045:BB1045)</f>
        <v>0.74444444444444446</v>
      </c>
      <c r="BD1045" s="157">
        <f>BA1045+BD1044</f>
        <v>0.4</v>
      </c>
      <c r="BE1045" s="157">
        <f>BB1045+BE1044</f>
        <v>0.34444444444444444</v>
      </c>
      <c r="BF1045" s="157">
        <f>SUM(BD1045:BE1045)</f>
        <v>0.74444444444444446</v>
      </c>
      <c r="BG1045" s="157">
        <f>BD1045+BG1044</f>
        <v>0.4</v>
      </c>
      <c r="BH1045" s="157">
        <f>BE1045+BH1044</f>
        <v>0.34444444444444444</v>
      </c>
      <c r="BI1045" s="157">
        <f>SUM(BG1045:BH1045)</f>
        <v>0.74444444444444446</v>
      </c>
      <c r="BJ1045" s="157">
        <f>BG1045+BJ1044</f>
        <v>0.4</v>
      </c>
      <c r="BK1045" s="157">
        <f>BH1045+BK1044</f>
        <v>0.34444444444444444</v>
      </c>
      <c r="BL1045" s="157">
        <f>SUM(BJ1045:BK1045)</f>
        <v>0.74444444444444446</v>
      </c>
      <c r="BM1045" s="157">
        <f>BJ1045+BM1044</f>
        <v>0.4</v>
      </c>
      <c r="BN1045" s="157">
        <f>BK1045+BN1044</f>
        <v>0.34444444444444444</v>
      </c>
      <c r="BO1045" s="157">
        <f>SUM(BM1045:BN1045)</f>
        <v>0.74444444444444446</v>
      </c>
      <c r="BP1045" s="157">
        <f>BM1045+BP1044</f>
        <v>0.4</v>
      </c>
      <c r="BQ1045" s="157">
        <f>BN1045+BQ1044</f>
        <v>0.34444444444444444</v>
      </c>
      <c r="BR1045" s="157">
        <f>SUM(BP1045:BQ1045)</f>
        <v>0.74444444444444446</v>
      </c>
    </row>
    <row r="1046" spans="2:70" outlineLevel="2">
      <c r="B1046" s="5"/>
      <c r="C1046" s="84" t="s">
        <v>264</v>
      </c>
      <c r="D1046" s="31" t="s">
        <v>66</v>
      </c>
      <c r="H1046" s="771"/>
      <c r="L1046" s="130"/>
      <c r="M1046" s="157"/>
      <c r="N1046" s="157"/>
      <c r="O1046" s="157"/>
      <c r="P1046" s="157"/>
      <c r="Q1046" s="157"/>
      <c r="R1046" s="157"/>
      <c r="S1046" s="157"/>
      <c r="T1046" s="157"/>
      <c r="U1046" s="157"/>
      <c r="V1046" s="157"/>
      <c r="W1046" s="157"/>
      <c r="X1046" s="157"/>
      <c r="Y1046" s="157"/>
      <c r="Z1046" s="157"/>
      <c r="AA1046" s="157"/>
      <c r="AB1046" s="157"/>
      <c r="AC1046" s="157"/>
      <c r="AD1046" s="157"/>
      <c r="AE1046" s="157"/>
      <c r="AF1046" s="157"/>
      <c r="AG1046" s="1031"/>
      <c r="AH1046" s="157"/>
      <c r="AI1046" s="157"/>
      <c r="AJ1046" s="157"/>
      <c r="AK1046" s="157"/>
      <c r="AL1046" s="157"/>
      <c r="AM1046" s="157"/>
      <c r="AN1046" s="157"/>
      <c r="AO1046" s="157"/>
      <c r="AP1046" s="157"/>
      <c r="AQ1046" s="157"/>
      <c r="AR1046" s="157"/>
      <c r="AS1046" s="157"/>
      <c r="AT1046" s="157"/>
      <c r="AU1046" s="157"/>
      <c r="AV1046" s="157"/>
      <c r="AW1046" s="157"/>
      <c r="AX1046" s="157"/>
      <c r="AY1046" s="157"/>
      <c r="AZ1046" s="157"/>
      <c r="BA1046" s="157"/>
      <c r="BB1046" s="157"/>
      <c r="BC1046" s="157"/>
      <c r="BD1046" s="157"/>
      <c r="BE1046" s="157"/>
      <c r="BF1046" s="157"/>
      <c r="BG1046" s="157"/>
      <c r="BH1046" s="157"/>
      <c r="BI1046" s="157"/>
      <c r="BJ1046" s="157"/>
      <c r="BK1046" s="157"/>
      <c r="BL1046" s="157"/>
      <c r="BM1046" s="157"/>
      <c r="BN1046" s="157"/>
      <c r="BO1046" s="157"/>
      <c r="BP1046" s="157"/>
      <c r="BQ1046" s="157"/>
      <c r="BR1046" s="157"/>
    </row>
    <row r="1047" spans="2:70" outlineLevel="2">
      <c r="B1047" s="5"/>
      <c r="C1047" s="84" t="s">
        <v>79</v>
      </c>
      <c r="D1047" s="31" t="s">
        <v>102</v>
      </c>
      <c r="H1047" s="771">
        <f>H1036*H1048</f>
        <v>1.4000000000000001</v>
      </c>
      <c r="L1047" s="174">
        <f t="shared" ref="L1047:V1047" si="4760">L1045+L1042</f>
        <v>0.32777777777777783</v>
      </c>
      <c r="M1047" s="167">
        <f>SUM(L1047)</f>
        <v>0.32777777777777783</v>
      </c>
      <c r="N1047" s="164">
        <f t="shared" si="4760"/>
        <v>0.5277777777777779</v>
      </c>
      <c r="O1047" s="164">
        <f t="shared" si="4760"/>
        <v>0.5277777777777779</v>
      </c>
      <c r="P1047" s="164">
        <f t="shared" si="4760"/>
        <v>1.0555555555555558</v>
      </c>
      <c r="Q1047" s="164">
        <f t="shared" si="4760"/>
        <v>0.72777777777777786</v>
      </c>
      <c r="R1047" s="164">
        <f t="shared" si="4760"/>
        <v>0.67222222222222228</v>
      </c>
      <c r="S1047" s="164">
        <f t="shared" si="4760"/>
        <v>1.4000000000000001</v>
      </c>
      <c r="T1047" s="164">
        <f t="shared" si="4760"/>
        <v>0.72777777777777786</v>
      </c>
      <c r="U1047" s="164">
        <f t="shared" si="4760"/>
        <v>0.67222222222222228</v>
      </c>
      <c r="V1047" s="164">
        <f t="shared" si="4760"/>
        <v>1.4000000000000001</v>
      </c>
      <c r="W1047" s="164">
        <f t="shared" ref="W1047:AN1047" si="4761">W1045+W1042</f>
        <v>0.72777777777777786</v>
      </c>
      <c r="X1047" s="164">
        <f t="shared" si="4761"/>
        <v>0.67222222222222228</v>
      </c>
      <c r="Y1047" s="164">
        <f t="shared" si="4761"/>
        <v>1.4000000000000001</v>
      </c>
      <c r="Z1047" s="164">
        <f t="shared" si="4761"/>
        <v>0.72777777777777786</v>
      </c>
      <c r="AA1047" s="164">
        <f t="shared" si="4761"/>
        <v>0.67222222222222228</v>
      </c>
      <c r="AB1047" s="164">
        <f t="shared" si="4761"/>
        <v>1.4000000000000001</v>
      </c>
      <c r="AC1047" s="164">
        <f t="shared" si="4761"/>
        <v>0.72777777777777786</v>
      </c>
      <c r="AD1047" s="164">
        <f t="shared" si="4761"/>
        <v>0.67222222222222228</v>
      </c>
      <c r="AE1047" s="164">
        <f t="shared" si="4761"/>
        <v>1.4000000000000001</v>
      </c>
      <c r="AF1047" s="164">
        <f t="shared" si="4761"/>
        <v>0.72777777777777786</v>
      </c>
      <c r="AG1047" s="1018">
        <f t="shared" si="4761"/>
        <v>0.67222222222222228</v>
      </c>
      <c r="AH1047" s="164">
        <f t="shared" si="4761"/>
        <v>1.4000000000000001</v>
      </c>
      <c r="AI1047" s="164">
        <f t="shared" si="4761"/>
        <v>0.72777777777777786</v>
      </c>
      <c r="AJ1047" s="164">
        <f t="shared" si="4761"/>
        <v>0.67222222222222228</v>
      </c>
      <c r="AK1047" s="164">
        <f t="shared" si="4761"/>
        <v>1.4000000000000001</v>
      </c>
      <c r="AL1047" s="164">
        <f t="shared" si="4761"/>
        <v>0.72777777777777786</v>
      </c>
      <c r="AM1047" s="164">
        <f t="shared" si="4761"/>
        <v>0.67222222222222228</v>
      </c>
      <c r="AN1047" s="164">
        <f t="shared" si="4761"/>
        <v>1.4000000000000001</v>
      </c>
      <c r="AO1047" s="164">
        <f t="shared" ref="AO1047:BR1047" si="4762">AO1045+AO1042</f>
        <v>0.72777777777777786</v>
      </c>
      <c r="AP1047" s="164">
        <f t="shared" si="4762"/>
        <v>0.67222222222222228</v>
      </c>
      <c r="AQ1047" s="164">
        <f t="shared" si="4762"/>
        <v>1.4000000000000001</v>
      </c>
      <c r="AR1047" s="164">
        <f t="shared" si="4762"/>
        <v>0.72777777777777786</v>
      </c>
      <c r="AS1047" s="164">
        <f t="shared" si="4762"/>
        <v>0.67222222222222228</v>
      </c>
      <c r="AT1047" s="164">
        <f t="shared" si="4762"/>
        <v>1.4000000000000001</v>
      </c>
      <c r="AU1047" s="164">
        <f t="shared" si="4762"/>
        <v>0.72777777777777786</v>
      </c>
      <c r="AV1047" s="164">
        <f t="shared" si="4762"/>
        <v>0.67222222222222228</v>
      </c>
      <c r="AW1047" s="164">
        <f t="shared" si="4762"/>
        <v>1.4000000000000001</v>
      </c>
      <c r="AX1047" s="164">
        <f t="shared" si="4762"/>
        <v>0.72777777777777786</v>
      </c>
      <c r="AY1047" s="164">
        <f t="shared" si="4762"/>
        <v>0.67222222222222228</v>
      </c>
      <c r="AZ1047" s="164">
        <f t="shared" si="4762"/>
        <v>1.4000000000000001</v>
      </c>
      <c r="BA1047" s="164">
        <f t="shared" si="4762"/>
        <v>0.72777777777777786</v>
      </c>
      <c r="BB1047" s="164">
        <f t="shared" si="4762"/>
        <v>0.67222222222222228</v>
      </c>
      <c r="BC1047" s="164">
        <f t="shared" si="4762"/>
        <v>1.4000000000000001</v>
      </c>
      <c r="BD1047" s="164">
        <f t="shared" si="4762"/>
        <v>0.72777777777777786</v>
      </c>
      <c r="BE1047" s="164">
        <f t="shared" si="4762"/>
        <v>0.67222222222222228</v>
      </c>
      <c r="BF1047" s="164">
        <f t="shared" si="4762"/>
        <v>1.4000000000000001</v>
      </c>
      <c r="BG1047" s="164">
        <f t="shared" si="4762"/>
        <v>0.72777777777777786</v>
      </c>
      <c r="BH1047" s="164">
        <f t="shared" si="4762"/>
        <v>0.67222222222222228</v>
      </c>
      <c r="BI1047" s="164">
        <f t="shared" si="4762"/>
        <v>1.4000000000000001</v>
      </c>
      <c r="BJ1047" s="164">
        <f t="shared" si="4762"/>
        <v>0.72777777777777786</v>
      </c>
      <c r="BK1047" s="164">
        <f t="shared" si="4762"/>
        <v>0.67222222222222228</v>
      </c>
      <c r="BL1047" s="164">
        <f t="shared" si="4762"/>
        <v>1.4000000000000001</v>
      </c>
      <c r="BM1047" s="164">
        <f t="shared" si="4762"/>
        <v>0.72777777777777786</v>
      </c>
      <c r="BN1047" s="164">
        <f t="shared" si="4762"/>
        <v>0.67222222222222228</v>
      </c>
      <c r="BO1047" s="164">
        <f t="shared" si="4762"/>
        <v>1.4000000000000001</v>
      </c>
      <c r="BP1047" s="164">
        <f t="shared" si="4762"/>
        <v>0.72777777777777786</v>
      </c>
      <c r="BQ1047" s="164">
        <f t="shared" si="4762"/>
        <v>0.67222222222222228</v>
      </c>
      <c r="BR1047" s="164">
        <f t="shared" si="4762"/>
        <v>1.4000000000000001</v>
      </c>
    </row>
    <row r="1048" spans="2:70" outlineLevel="2">
      <c r="B1048" s="5"/>
      <c r="C1048" s="84" t="s">
        <v>75</v>
      </c>
      <c r="D1048" s="31" t="s">
        <v>66</v>
      </c>
      <c r="H1048" s="773">
        <v>0.2</v>
      </c>
      <c r="L1048" s="20">
        <f>L1047/H1036*2</f>
        <v>9.3650793650793665E-2</v>
      </c>
      <c r="M1048" s="133">
        <f>M1047/$H1036</f>
        <v>4.6825396825396833E-2</v>
      </c>
      <c r="N1048" s="133">
        <f>N1047/$H1036*2</f>
        <v>0.15079365079365084</v>
      </c>
      <c r="O1048" s="133">
        <f>O1047/$H1036*2</f>
        <v>0.15079365079365084</v>
      </c>
      <c r="P1048" s="133">
        <f>P1047/$H1036</f>
        <v>0.15079365079365084</v>
      </c>
      <c r="Q1048" s="133">
        <f>Q1047/$H1036*2</f>
        <v>0.20793650793650795</v>
      </c>
      <c r="R1048" s="133">
        <f>R1047/$H1036*2</f>
        <v>0.19206349206349208</v>
      </c>
      <c r="S1048" s="133">
        <f>S1047/$H1036</f>
        <v>0.2</v>
      </c>
      <c r="T1048" s="133">
        <f>T1047/$H1036*2</f>
        <v>0.20793650793650795</v>
      </c>
      <c r="U1048" s="133">
        <f>U1047/$H1036*2</f>
        <v>0.19206349206349208</v>
      </c>
      <c r="V1048" s="133">
        <f>V1047/$H1036</f>
        <v>0.2</v>
      </c>
      <c r="W1048" s="133">
        <f>W1047/$H1036*2</f>
        <v>0.20793650793650795</v>
      </c>
      <c r="X1048" s="133">
        <f>X1047/$H1036*2</f>
        <v>0.19206349206349208</v>
      </c>
      <c r="Y1048" s="133">
        <f>Y1047/$H1036</f>
        <v>0.2</v>
      </c>
      <c r="Z1048" s="133">
        <f>Z1047/$H1036*2</f>
        <v>0.20793650793650795</v>
      </c>
      <c r="AA1048" s="133">
        <f>AA1047/$H1036*2</f>
        <v>0.19206349206349208</v>
      </c>
      <c r="AB1048" s="133">
        <f>AB1047/$H1036</f>
        <v>0.2</v>
      </c>
      <c r="AC1048" s="133">
        <f>AC1047/$H1036*2</f>
        <v>0.20793650793650795</v>
      </c>
      <c r="AD1048" s="133">
        <f>AD1047/$H1036*2</f>
        <v>0.19206349206349208</v>
      </c>
      <c r="AE1048" s="133">
        <f>AE1047/$H1036</f>
        <v>0.2</v>
      </c>
      <c r="AF1048" s="133">
        <f>AF1047/$H1036*2</f>
        <v>0.20793650793650795</v>
      </c>
      <c r="AG1048" s="938">
        <f>AG1047/$H1036*2</f>
        <v>0.19206349206349208</v>
      </c>
      <c r="AH1048" s="133">
        <f>AH1047/$H1036</f>
        <v>0.2</v>
      </c>
      <c r="AI1048" s="133">
        <f>AI1047/$H1036*2</f>
        <v>0.20793650793650795</v>
      </c>
      <c r="AJ1048" s="133">
        <f>AJ1047/$H1036*2</f>
        <v>0.19206349206349208</v>
      </c>
      <c r="AK1048" s="133">
        <f>AK1047/$H1036</f>
        <v>0.2</v>
      </c>
      <c r="AL1048" s="133">
        <f>AL1047/$H1036*2</f>
        <v>0.20793650793650795</v>
      </c>
      <c r="AM1048" s="133">
        <f>AM1047/$H1036*2</f>
        <v>0.19206349206349208</v>
      </c>
      <c r="AN1048" s="133">
        <f>AN1047/$H1036</f>
        <v>0.2</v>
      </c>
      <c r="AO1048" s="133">
        <f>AO1047/$H1036*2</f>
        <v>0.20793650793650795</v>
      </c>
      <c r="AP1048" s="133">
        <f>AP1047/$H1036*2</f>
        <v>0.19206349206349208</v>
      </c>
      <c r="AQ1048" s="133">
        <f>AQ1047/$H1036</f>
        <v>0.2</v>
      </c>
      <c r="AR1048" s="133">
        <f>AR1047/$H1036*2</f>
        <v>0.20793650793650795</v>
      </c>
      <c r="AS1048" s="133">
        <f>AS1047/$H1036*2</f>
        <v>0.19206349206349208</v>
      </c>
      <c r="AT1048" s="133">
        <f>AT1047/$H1036</f>
        <v>0.2</v>
      </c>
      <c r="AU1048" s="133">
        <f>AU1047/$H1036*2</f>
        <v>0.20793650793650795</v>
      </c>
      <c r="AV1048" s="133">
        <f>AV1047/$H1036*2</f>
        <v>0.19206349206349208</v>
      </c>
      <c r="AW1048" s="133">
        <f>AW1047/$H1036</f>
        <v>0.2</v>
      </c>
      <c r="AX1048" s="133">
        <f>AX1047/$H1036*2</f>
        <v>0.20793650793650795</v>
      </c>
      <c r="AY1048" s="133">
        <f>AY1047/$H1036*2</f>
        <v>0.19206349206349208</v>
      </c>
      <c r="AZ1048" s="133">
        <f>AZ1047/$H1036</f>
        <v>0.2</v>
      </c>
      <c r="BA1048" s="133">
        <f>BA1047/$H1036*2</f>
        <v>0.20793650793650795</v>
      </c>
      <c r="BB1048" s="133">
        <f>BB1047/$H1036*2</f>
        <v>0.19206349206349208</v>
      </c>
      <c r="BC1048" s="133">
        <f>BC1047/$H1036</f>
        <v>0.2</v>
      </c>
      <c r="BD1048" s="133">
        <f>BD1047/$H1036*2</f>
        <v>0.20793650793650795</v>
      </c>
      <c r="BE1048" s="133">
        <f>BE1047/$H1036*2</f>
        <v>0.19206349206349208</v>
      </c>
      <c r="BF1048" s="133">
        <f>BF1047/$H1036</f>
        <v>0.2</v>
      </c>
      <c r="BG1048" s="133">
        <f>BG1047/$H1036*2</f>
        <v>0.20793650793650795</v>
      </c>
      <c r="BH1048" s="133">
        <f>BH1047/$H1036*2</f>
        <v>0.19206349206349208</v>
      </c>
      <c r="BI1048" s="133">
        <f>BI1047/$H1036</f>
        <v>0.2</v>
      </c>
      <c r="BJ1048" s="133">
        <f>BJ1047/$H1036*2</f>
        <v>0.20793650793650795</v>
      </c>
      <c r="BK1048" s="133">
        <f>BK1047/$H1036*2</f>
        <v>0.19206349206349208</v>
      </c>
      <c r="BL1048" s="133">
        <f>BL1047/$H1036</f>
        <v>0.2</v>
      </c>
      <c r="BM1048" s="133">
        <f>BM1047/$H1036*2</f>
        <v>0.20793650793650795</v>
      </c>
      <c r="BN1048" s="133">
        <f>BN1047/$H1036*2</f>
        <v>0.19206349206349208</v>
      </c>
      <c r="BO1048" s="133">
        <f>BO1047/$H1036</f>
        <v>0.2</v>
      </c>
      <c r="BP1048" s="133">
        <f>BP1047/$H1036*2</f>
        <v>0.20793650793650795</v>
      </c>
      <c r="BQ1048" s="133">
        <f>BQ1047/$H1036*2</f>
        <v>0.19206349206349208</v>
      </c>
      <c r="BR1048" s="133">
        <f>BR1047/$H1036</f>
        <v>0.2</v>
      </c>
    </row>
    <row r="1049" spans="2:70" outlineLevel="2">
      <c r="B1049" s="5"/>
      <c r="C1049" s="84" t="s">
        <v>57</v>
      </c>
      <c r="D1049" s="7" t="s">
        <v>85</v>
      </c>
      <c r="H1049" s="774">
        <f>H1047*W262</f>
        <v>0.96795555199766448</v>
      </c>
      <c r="L1049" s="157">
        <f>L1047*X262</f>
        <v>0.22958884889209277</v>
      </c>
      <c r="M1049" s="157">
        <f t="shared" ref="M1049:AR1049" si="4763">M1047*M262</f>
        <v>0.23775342648778777</v>
      </c>
      <c r="N1049" s="157">
        <f t="shared" si="4763"/>
        <v>0.39439297851354832</v>
      </c>
      <c r="O1049" s="157">
        <f t="shared" si="4763"/>
        <v>0.42007853116209215</v>
      </c>
      <c r="P1049" s="157">
        <f t="shared" si="4763"/>
        <v>0.81366147813122969</v>
      </c>
      <c r="Q1049" s="157">
        <f t="shared" si="4763"/>
        <v>0.59325459016804494</v>
      </c>
      <c r="R1049" s="157">
        <f t="shared" si="4763"/>
        <v>0.51980524731664413</v>
      </c>
      <c r="S1049" s="157">
        <f t="shared" si="4763"/>
        <v>1.1111225963438438</v>
      </c>
      <c r="T1049" s="157">
        <f t="shared" si="4763"/>
        <v>0.4993277959319084</v>
      </c>
      <c r="U1049" s="157">
        <f t="shared" si="4763"/>
        <v>0.44859521371116434</v>
      </c>
      <c r="V1049" s="157">
        <f t="shared" si="4763"/>
        <v>0.94721951924599856</v>
      </c>
      <c r="W1049" s="157">
        <f t="shared" si="4763"/>
        <v>0.50318324330037323</v>
      </c>
      <c r="X1049" s="157">
        <f t="shared" si="4763"/>
        <v>0.47085170704988516</v>
      </c>
      <c r="Y1049" s="157">
        <f t="shared" si="4763"/>
        <v>0.97424503077242564</v>
      </c>
      <c r="Z1049" s="157">
        <f t="shared" si="4763"/>
        <v>0.47665295709723776</v>
      </c>
      <c r="AA1049" s="157">
        <f t="shared" si="4763"/>
        <v>0.4420806487500803</v>
      </c>
      <c r="AB1049" s="157">
        <f t="shared" si="4763"/>
        <v>0.91880465933336197</v>
      </c>
      <c r="AC1049" s="157">
        <f t="shared" si="4763"/>
        <v>0.50000633145366602</v>
      </c>
      <c r="AD1049" s="157">
        <f t="shared" si="4763"/>
        <v>0.46814322997839852</v>
      </c>
      <c r="AE1049" s="157">
        <f t="shared" si="4763"/>
        <v>0.96836559492689833</v>
      </c>
      <c r="AF1049" s="157">
        <f t="shared" si="4763"/>
        <v>0.50000633145366602</v>
      </c>
      <c r="AG1049" s="1031">
        <f t="shared" si="4763"/>
        <v>0.46814322997839852</v>
      </c>
      <c r="AH1049" s="157">
        <f t="shared" si="4763"/>
        <v>0.96841011187723414</v>
      </c>
      <c r="AI1049" s="157">
        <f t="shared" si="4763"/>
        <v>0.50000633145366602</v>
      </c>
      <c r="AJ1049" s="157">
        <f t="shared" si="4763"/>
        <v>0.46814322997839852</v>
      </c>
      <c r="AK1049" s="157">
        <f t="shared" si="4763"/>
        <v>0.96841011187723414</v>
      </c>
      <c r="AL1049" s="157">
        <f t="shared" si="4763"/>
        <v>0.50000633145366602</v>
      </c>
      <c r="AM1049" s="157">
        <f t="shared" si="4763"/>
        <v>0.46814322997839852</v>
      </c>
      <c r="AN1049" s="157">
        <f t="shared" si="4763"/>
        <v>0.96841011187723414</v>
      </c>
      <c r="AO1049" s="157">
        <f t="shared" si="4763"/>
        <v>0.50000633145366602</v>
      </c>
      <c r="AP1049" s="157">
        <f t="shared" si="4763"/>
        <v>0.46814322997839852</v>
      </c>
      <c r="AQ1049" s="157">
        <f t="shared" si="4763"/>
        <v>0.96841011187723414</v>
      </c>
      <c r="AR1049" s="157">
        <f t="shared" si="4763"/>
        <v>0.50000633145366602</v>
      </c>
      <c r="AS1049" s="157">
        <f t="shared" ref="AS1049:BR1049" si="4764">AS1047*AS262</f>
        <v>0.46814322997839852</v>
      </c>
      <c r="AT1049" s="157">
        <f t="shared" si="4764"/>
        <v>0.96841011187723414</v>
      </c>
      <c r="AU1049" s="157">
        <f t="shared" si="4764"/>
        <v>0.50000633145366602</v>
      </c>
      <c r="AV1049" s="157">
        <f t="shared" si="4764"/>
        <v>0.46814322997839852</v>
      </c>
      <c r="AW1049" s="157">
        <f t="shared" si="4764"/>
        <v>0.96841011187723414</v>
      </c>
      <c r="AX1049" s="157">
        <f t="shared" si="4764"/>
        <v>0.50000633145366602</v>
      </c>
      <c r="AY1049" s="157">
        <f t="shared" si="4764"/>
        <v>0.46814322997839852</v>
      </c>
      <c r="AZ1049" s="157">
        <f t="shared" si="4764"/>
        <v>0.96841011187723414</v>
      </c>
      <c r="BA1049" s="157">
        <f t="shared" si="4764"/>
        <v>0.50000633145366602</v>
      </c>
      <c r="BB1049" s="157">
        <f t="shared" si="4764"/>
        <v>0.46814322997839852</v>
      </c>
      <c r="BC1049" s="157">
        <f t="shared" si="4764"/>
        <v>0.96841011187723414</v>
      </c>
      <c r="BD1049" s="157">
        <f t="shared" si="4764"/>
        <v>0.50000633145366602</v>
      </c>
      <c r="BE1049" s="157">
        <f t="shared" si="4764"/>
        <v>0.46814322997839852</v>
      </c>
      <c r="BF1049" s="157">
        <f t="shared" si="4764"/>
        <v>0.96841011187723414</v>
      </c>
      <c r="BG1049" s="157">
        <f t="shared" si="4764"/>
        <v>0.50000633145366602</v>
      </c>
      <c r="BH1049" s="157">
        <f t="shared" si="4764"/>
        <v>0.46814322997839852</v>
      </c>
      <c r="BI1049" s="157">
        <f t="shared" si="4764"/>
        <v>0.96841011187723414</v>
      </c>
      <c r="BJ1049" s="157">
        <f t="shared" si="4764"/>
        <v>0.50000633145366602</v>
      </c>
      <c r="BK1049" s="157">
        <f t="shared" si="4764"/>
        <v>0.46814322997839852</v>
      </c>
      <c r="BL1049" s="157">
        <f t="shared" si="4764"/>
        <v>0.96841011187723414</v>
      </c>
      <c r="BM1049" s="157">
        <f t="shared" si="4764"/>
        <v>0.50000633145366602</v>
      </c>
      <c r="BN1049" s="157">
        <f t="shared" si="4764"/>
        <v>0.46814322997839852</v>
      </c>
      <c r="BO1049" s="157">
        <f t="shared" si="4764"/>
        <v>0.96841011187723414</v>
      </c>
      <c r="BP1049" s="157">
        <f t="shared" si="4764"/>
        <v>0.50000633145366602</v>
      </c>
      <c r="BQ1049" s="157">
        <f t="shared" si="4764"/>
        <v>0.46814322997839852</v>
      </c>
      <c r="BR1049" s="157">
        <f t="shared" si="4764"/>
        <v>0.96841011187723414</v>
      </c>
    </row>
    <row r="1050" spans="2:70" outlineLevel="2">
      <c r="B1050" s="5"/>
      <c r="C1050" s="511" t="s">
        <v>267</v>
      </c>
      <c r="D1050" s="512" t="s">
        <v>85</v>
      </c>
      <c r="E1050" s="512"/>
      <c r="F1050" s="512"/>
      <c r="G1050" s="512"/>
      <c r="H1050" s="512"/>
      <c r="I1050" s="512"/>
      <c r="J1050" s="512"/>
      <c r="K1050" s="748"/>
      <c r="L1050" s="748">
        <f>(L1038-I1038)*L$262</f>
        <v>11.045290212967464</v>
      </c>
      <c r="M1050" s="748">
        <f>SUM(K1050:L1050)</f>
        <v>11.045290212967464</v>
      </c>
      <c r="N1050" s="748">
        <f>(N1038-K1038)*N$262</f>
        <v>11.209063599858739</v>
      </c>
      <c r="O1050" s="748">
        <f>(O1038-L1038)*O$262</f>
        <v>0</v>
      </c>
      <c r="P1050" s="748">
        <f>SUM(N1050:O1050)</f>
        <v>11.209063599858739</v>
      </c>
      <c r="Q1050" s="748">
        <f>(Q1038-N1038)*Q$262</f>
        <v>0</v>
      </c>
      <c r="R1050" s="748">
        <f>(R1038-O1038)*R$262</f>
        <v>0</v>
      </c>
      <c r="S1050" s="748">
        <f>SUM(Q1050:R1050)</f>
        <v>0</v>
      </c>
      <c r="T1050" s="748">
        <f>(T1038-Q1038)*T$262</f>
        <v>0</v>
      </c>
      <c r="U1050" s="748">
        <f>(U1038-R1038)*U$262</f>
        <v>0</v>
      </c>
      <c r="V1050" s="748">
        <f>SUM(T1050:U1050)</f>
        <v>0</v>
      </c>
      <c r="W1050" s="748">
        <f>(W1038-T1038)*W$262</f>
        <v>0</v>
      </c>
      <c r="X1050" s="748">
        <f>(X1038-U1038)*X$262</f>
        <v>0</v>
      </c>
      <c r="Y1050" s="748">
        <f>SUM(W1050:X1050)</f>
        <v>0</v>
      </c>
      <c r="Z1050" s="748">
        <f>(Z1038-W1038)*Z$262</f>
        <v>0</v>
      </c>
      <c r="AA1050" s="748">
        <f>(AA1038-X1038)*AA$262</f>
        <v>0</v>
      </c>
      <c r="AB1050" s="748">
        <f>SUM(Z1050:AA1050)</f>
        <v>0</v>
      </c>
      <c r="AC1050" s="748">
        <f>(AC1038-Z1038)*AC$262</f>
        <v>0</v>
      </c>
      <c r="AD1050" s="748">
        <f>(AD1038-AA1038)*AD$262</f>
        <v>0</v>
      </c>
      <c r="AE1050" s="748">
        <f>SUM(AC1050:AD1050)</f>
        <v>0</v>
      </c>
      <c r="AF1050" s="748">
        <f>(AF1038-AC1038)*AF$262</f>
        <v>0</v>
      </c>
      <c r="AG1050" s="1033">
        <f t="shared" ref="AG1050" si="4765">(AG1038-AD1038)*AG$262</f>
        <v>0</v>
      </c>
      <c r="AH1050" s="748">
        <f>SUM(AF1050:AG1050)</f>
        <v>0</v>
      </c>
      <c r="AI1050" s="748">
        <f t="shared" ref="AI1050" si="4766">(AI1038-AF1038)*AI$262</f>
        <v>0</v>
      </c>
      <c r="AJ1050" s="748">
        <f t="shared" ref="AJ1050" si="4767">(AJ1038-AG1038)*AJ$262</f>
        <v>0</v>
      </c>
      <c r="AK1050" s="748">
        <f t="shared" ref="AK1050:AK1052" si="4768">SUM(AI1050:AJ1050)</f>
        <v>0</v>
      </c>
      <c r="AL1050" s="748">
        <f t="shared" ref="AL1050" si="4769">(AL1038-AI1038)*AL$262</f>
        <v>0</v>
      </c>
      <c r="AM1050" s="748">
        <f t="shared" ref="AM1050" si="4770">(AM1038-AJ1038)*AM$262</f>
        <v>0</v>
      </c>
      <c r="AN1050" s="748">
        <f t="shared" ref="AN1050:AN1052" si="4771">SUM(AL1050:AM1050)</f>
        <v>0</v>
      </c>
      <c r="AO1050" s="748">
        <f t="shared" ref="AO1050" si="4772">(AO1038-AL1038)*AO$262</f>
        <v>0</v>
      </c>
      <c r="AP1050" s="748">
        <f t="shared" ref="AP1050" si="4773">(AP1038-AM1038)*AP$262</f>
        <v>0</v>
      </c>
      <c r="AQ1050" s="748">
        <f t="shared" ref="AQ1050:AQ1052" si="4774">SUM(AO1050:AP1050)</f>
        <v>0</v>
      </c>
      <c r="AR1050" s="748">
        <f t="shared" ref="AR1050" si="4775">(AR1038-AO1038)*AR$262</f>
        <v>0</v>
      </c>
      <c r="AS1050" s="748">
        <f t="shared" ref="AS1050" si="4776">(AS1038-AP1038)*AS$262</f>
        <v>0</v>
      </c>
      <c r="AT1050" s="748">
        <f t="shared" ref="AT1050:AT1052" si="4777">SUM(AR1050:AS1050)</f>
        <v>0</v>
      </c>
      <c r="AU1050" s="748">
        <f t="shared" ref="AU1050" si="4778">(AU1038-AR1038)*AU$262</f>
        <v>0</v>
      </c>
      <c r="AV1050" s="748">
        <f t="shared" ref="AV1050" si="4779">(AV1038-AS1038)*AV$262</f>
        <v>0</v>
      </c>
      <c r="AW1050" s="748">
        <f t="shared" ref="AW1050:AW1052" si="4780">SUM(AU1050:AV1050)</f>
        <v>0</v>
      </c>
      <c r="AX1050" s="748">
        <f t="shared" ref="AX1050" si="4781">(AX1038-AU1038)*AX$262</f>
        <v>0</v>
      </c>
      <c r="AY1050" s="748">
        <f t="shared" ref="AY1050" si="4782">(AY1038-AV1038)*AY$262</f>
        <v>0</v>
      </c>
      <c r="AZ1050" s="748">
        <f t="shared" ref="AZ1050:AZ1052" si="4783">SUM(AX1050:AY1050)</f>
        <v>0</v>
      </c>
      <c r="BA1050" s="748">
        <f t="shared" ref="BA1050" si="4784">(BA1038-AX1038)*BA$262</f>
        <v>0</v>
      </c>
      <c r="BB1050" s="748">
        <f t="shared" ref="BB1050" si="4785">(BB1038-AY1038)*BB$262</f>
        <v>0</v>
      </c>
      <c r="BC1050" s="748">
        <f t="shared" ref="BC1050:BC1052" si="4786">SUM(BA1050:BB1050)</f>
        <v>0</v>
      </c>
      <c r="BD1050" s="748">
        <f t="shared" ref="BD1050" si="4787">(BD1038-BA1038)*BD$262</f>
        <v>0</v>
      </c>
      <c r="BE1050" s="748">
        <f t="shared" ref="BE1050" si="4788">(BE1038-BB1038)*BE$262</f>
        <v>0</v>
      </c>
      <c r="BF1050" s="748">
        <f t="shared" ref="BF1050:BF1052" si="4789">SUM(BD1050:BE1050)</f>
        <v>0</v>
      </c>
      <c r="BG1050" s="748">
        <f t="shared" ref="BG1050" si="4790">(BG1038-BD1038)*BG$262</f>
        <v>0</v>
      </c>
      <c r="BH1050" s="748">
        <f t="shared" ref="BH1050" si="4791">(BH1038-BE1038)*BH$262</f>
        <v>0</v>
      </c>
      <c r="BI1050" s="748">
        <f t="shared" ref="BI1050:BI1052" si="4792">SUM(BG1050:BH1050)</f>
        <v>0</v>
      </c>
      <c r="BJ1050" s="748">
        <f t="shared" ref="BJ1050" si="4793">(BJ1038-BG1038)*BJ$262</f>
        <v>0</v>
      </c>
      <c r="BK1050" s="748">
        <f t="shared" ref="BK1050" si="4794">(BK1038-BH1038)*BK$262</f>
        <v>0</v>
      </c>
      <c r="BL1050" s="748">
        <f t="shared" ref="BL1050:BL1052" si="4795">SUM(BJ1050:BK1050)</f>
        <v>0</v>
      </c>
      <c r="BM1050" s="748">
        <f t="shared" ref="BM1050" si="4796">(BM1038-BJ1038)*BM$262</f>
        <v>0</v>
      </c>
      <c r="BN1050" s="748">
        <f t="shared" ref="BN1050" si="4797">(BN1038-BK1038)*BN$262</f>
        <v>0</v>
      </c>
      <c r="BO1050" s="748">
        <f t="shared" ref="BO1050:BO1052" si="4798">SUM(BM1050:BN1050)</f>
        <v>0</v>
      </c>
      <c r="BP1050" s="748">
        <f t="shared" ref="BP1050" si="4799">(BP1038-BM1038)*BP$262</f>
        <v>0</v>
      </c>
      <c r="BQ1050" s="748">
        <f t="shared" ref="BQ1050" si="4800">(BQ1038-BN1038)*BQ$262</f>
        <v>0</v>
      </c>
      <c r="BR1050" s="787">
        <f t="shared" ref="BR1050:BR1052" si="4801">SUM(BP1050:BQ1050)</f>
        <v>0</v>
      </c>
    </row>
    <row r="1051" spans="2:70" outlineLevel="2">
      <c r="B1051" s="5"/>
      <c r="C1051" s="516" t="s">
        <v>268</v>
      </c>
      <c r="D1051" s="401" t="s">
        <v>85</v>
      </c>
      <c r="E1051" s="401"/>
      <c r="F1051" s="401"/>
      <c r="G1051" s="401"/>
      <c r="H1051" s="401"/>
      <c r="I1051" s="401"/>
      <c r="J1051" s="401"/>
      <c r="K1051" s="360"/>
      <c r="L1051" s="360">
        <f>(L1041-I1041)*L$262</f>
        <v>-0.33135870638902387</v>
      </c>
      <c r="M1051" s="360">
        <f>SUM(K1051:L1051)</f>
        <v>-0.33135870638902387</v>
      </c>
      <c r="N1051" s="360">
        <f>(N1041-K1041)*N$262</f>
        <v>-0.33627190799576212</v>
      </c>
      <c r="O1051" s="360">
        <f>(O1041-L1041)*O$262</f>
        <v>0</v>
      </c>
      <c r="P1051" s="360">
        <f>SUM(N1051:O1051)</f>
        <v>-0.33627190799576212</v>
      </c>
      <c r="Q1051" s="360">
        <f>(Q1041-N1041)*Q$262</f>
        <v>0</v>
      </c>
      <c r="R1051" s="360">
        <f>(R1041-O1041)*R$262</f>
        <v>0</v>
      </c>
      <c r="S1051" s="360">
        <f>SUM(Q1051:R1051)</f>
        <v>0</v>
      </c>
      <c r="T1051" s="360">
        <f>(T1041-Q1041)*T$262</f>
        <v>0</v>
      </c>
      <c r="U1051" s="360">
        <f>(U1041-R1041)*U$262</f>
        <v>0</v>
      </c>
      <c r="V1051" s="360">
        <f>SUM(T1051:U1051)</f>
        <v>0</v>
      </c>
      <c r="W1051" s="360">
        <f>(W1041-T1041)*W$262</f>
        <v>0</v>
      </c>
      <c r="X1051" s="360">
        <f>(X1041-U1041)*X$262</f>
        <v>0</v>
      </c>
      <c r="Y1051" s="360">
        <f>SUM(W1051:X1051)</f>
        <v>0</v>
      </c>
      <c r="Z1051" s="360">
        <f>(Z1041-W1041)*Z$262</f>
        <v>0</v>
      </c>
      <c r="AA1051" s="360">
        <f>(AA1041-X1041)*AA$262</f>
        <v>0</v>
      </c>
      <c r="AB1051" s="360">
        <f>SUM(Z1051:AA1051)</f>
        <v>0</v>
      </c>
      <c r="AC1051" s="360">
        <f>(AC1041-Z1041)*AC$262</f>
        <v>0</v>
      </c>
      <c r="AD1051" s="360">
        <f>(AD1041-AA1041)*AD$262</f>
        <v>0</v>
      </c>
      <c r="AE1051" s="360">
        <f>SUM(AC1051:AD1051)</f>
        <v>0</v>
      </c>
      <c r="AF1051" s="360">
        <f>(AF1041-AC1041)*AF$262</f>
        <v>0</v>
      </c>
      <c r="AG1051" s="942">
        <f t="shared" ref="AG1051" si="4802">(AG1041-AD1041)*AG$262</f>
        <v>0</v>
      </c>
      <c r="AH1051" s="360">
        <f>SUM(AF1051:AG1051)</f>
        <v>0</v>
      </c>
      <c r="AI1051" s="360">
        <f t="shared" ref="AI1051" si="4803">(AI1041-AF1041)*AI$262</f>
        <v>0</v>
      </c>
      <c r="AJ1051" s="360">
        <f t="shared" ref="AJ1051" si="4804">(AJ1041-AG1041)*AJ$262</f>
        <v>0</v>
      </c>
      <c r="AK1051" s="360">
        <f t="shared" si="4768"/>
        <v>0</v>
      </c>
      <c r="AL1051" s="360">
        <f t="shared" ref="AL1051" si="4805">(AL1041-AI1041)*AL$262</f>
        <v>0</v>
      </c>
      <c r="AM1051" s="360">
        <f t="shared" ref="AM1051" si="4806">(AM1041-AJ1041)*AM$262</f>
        <v>0</v>
      </c>
      <c r="AN1051" s="360">
        <f t="shared" si="4771"/>
        <v>0</v>
      </c>
      <c r="AO1051" s="360">
        <f t="shared" ref="AO1051" si="4807">(AO1041-AL1041)*AO$262</f>
        <v>0</v>
      </c>
      <c r="AP1051" s="360">
        <f t="shared" ref="AP1051" si="4808">(AP1041-AM1041)*AP$262</f>
        <v>0</v>
      </c>
      <c r="AQ1051" s="360">
        <f t="shared" si="4774"/>
        <v>0</v>
      </c>
      <c r="AR1051" s="360">
        <f t="shared" ref="AR1051" si="4809">(AR1041-AO1041)*AR$262</f>
        <v>0</v>
      </c>
      <c r="AS1051" s="360">
        <f t="shared" ref="AS1051" si="4810">(AS1041-AP1041)*AS$262</f>
        <v>0</v>
      </c>
      <c r="AT1051" s="360">
        <f t="shared" si="4777"/>
        <v>0</v>
      </c>
      <c r="AU1051" s="360">
        <f t="shared" ref="AU1051" si="4811">(AU1041-AR1041)*AU$262</f>
        <v>0</v>
      </c>
      <c r="AV1051" s="360">
        <f t="shared" ref="AV1051" si="4812">(AV1041-AS1041)*AV$262</f>
        <v>0</v>
      </c>
      <c r="AW1051" s="360">
        <f t="shared" si="4780"/>
        <v>0</v>
      </c>
      <c r="AX1051" s="360">
        <f t="shared" ref="AX1051" si="4813">(AX1041-AU1041)*AX$262</f>
        <v>0</v>
      </c>
      <c r="AY1051" s="360">
        <f t="shared" ref="AY1051" si="4814">(AY1041-AV1041)*AY$262</f>
        <v>0</v>
      </c>
      <c r="AZ1051" s="360">
        <f t="shared" si="4783"/>
        <v>0</v>
      </c>
      <c r="BA1051" s="360">
        <f t="shared" ref="BA1051" si="4815">(BA1041-AX1041)*BA$262</f>
        <v>0</v>
      </c>
      <c r="BB1051" s="360">
        <f t="shared" ref="BB1051" si="4816">(BB1041-AY1041)*BB$262</f>
        <v>0</v>
      </c>
      <c r="BC1051" s="360">
        <f t="shared" si="4786"/>
        <v>0</v>
      </c>
      <c r="BD1051" s="360">
        <f t="shared" ref="BD1051" si="4817">(BD1041-BA1041)*BD$262</f>
        <v>0</v>
      </c>
      <c r="BE1051" s="360">
        <f t="shared" ref="BE1051" si="4818">(BE1041-BB1041)*BE$262</f>
        <v>0</v>
      </c>
      <c r="BF1051" s="360">
        <f t="shared" si="4789"/>
        <v>0</v>
      </c>
      <c r="BG1051" s="360">
        <f t="shared" ref="BG1051" si="4819">(BG1041-BD1041)*BG$262</f>
        <v>0</v>
      </c>
      <c r="BH1051" s="360">
        <f t="shared" ref="BH1051" si="4820">(BH1041-BE1041)*BH$262</f>
        <v>0</v>
      </c>
      <c r="BI1051" s="360">
        <f t="shared" si="4792"/>
        <v>0</v>
      </c>
      <c r="BJ1051" s="360">
        <f t="shared" ref="BJ1051" si="4821">(BJ1041-BG1041)*BJ$262</f>
        <v>0</v>
      </c>
      <c r="BK1051" s="360">
        <f t="shared" ref="BK1051" si="4822">(BK1041-BH1041)*BK$262</f>
        <v>0</v>
      </c>
      <c r="BL1051" s="360">
        <f t="shared" si="4795"/>
        <v>0</v>
      </c>
      <c r="BM1051" s="360">
        <f t="shared" ref="BM1051" si="4823">(BM1041-BJ1041)*BM$262</f>
        <v>0</v>
      </c>
      <c r="BN1051" s="360">
        <f t="shared" ref="BN1051" si="4824">(BN1041-BK1041)*BN$262</f>
        <v>0</v>
      </c>
      <c r="BO1051" s="360">
        <f t="shared" si="4798"/>
        <v>0</v>
      </c>
      <c r="BP1051" s="360">
        <f t="shared" ref="BP1051" si="4825">(BP1041-BM1041)*BP$262</f>
        <v>0</v>
      </c>
      <c r="BQ1051" s="360">
        <f t="shared" ref="BQ1051" si="4826">(BQ1041-BN1041)*BQ$262</f>
        <v>0</v>
      </c>
      <c r="BR1051" s="788">
        <f t="shared" si="4801"/>
        <v>0</v>
      </c>
    </row>
    <row r="1052" spans="2:70" outlineLevel="2">
      <c r="B1052" s="5"/>
      <c r="C1052" s="518" t="s">
        <v>269</v>
      </c>
      <c r="D1052" s="519" t="s">
        <v>85</v>
      </c>
      <c r="E1052" s="519"/>
      <c r="F1052" s="519"/>
      <c r="G1052" s="519"/>
      <c r="H1052" s="519"/>
      <c r="I1052" s="519"/>
      <c r="J1052" s="519"/>
      <c r="K1052" s="749"/>
      <c r="L1052" s="749">
        <f>(L1047-I1047)*L$262</f>
        <v>0.24136004539447425</v>
      </c>
      <c r="M1052" s="749">
        <f>SUM(K1052:L1052)</f>
        <v>0.24136004539447425</v>
      </c>
      <c r="N1052" s="749">
        <f>(N1047-K1047)*N$262</f>
        <v>0.39439297851354832</v>
      </c>
      <c r="O1052" s="749">
        <f>(O1047-L1047)*O$262</f>
        <v>0.15918765391405598</v>
      </c>
      <c r="P1052" s="749">
        <f>SUM(N1052:O1052)</f>
        <v>0.55358063242760425</v>
      </c>
      <c r="Q1052" s="749">
        <f>(Q1047-N1047)*Q$262</f>
        <v>0.16303179577137109</v>
      </c>
      <c r="R1052" s="749">
        <f>(R1047-O1047)*R$262</f>
        <v>0.11169368950605571</v>
      </c>
      <c r="S1052" s="749">
        <f>SUM(Q1052:R1052)</f>
        <v>0.2747254852774268</v>
      </c>
      <c r="T1052" s="749">
        <f>(T1047-Q1047)*T$262</f>
        <v>0</v>
      </c>
      <c r="U1052" s="749">
        <f>(U1047-R1047)*U$262</f>
        <v>0</v>
      </c>
      <c r="V1052" s="749">
        <f>SUM(T1052:U1052)</f>
        <v>0</v>
      </c>
      <c r="W1052" s="749">
        <f>(W1047-T1047)*W$262</f>
        <v>0</v>
      </c>
      <c r="X1052" s="749">
        <f>(X1047-U1047)*X$262</f>
        <v>0</v>
      </c>
      <c r="Y1052" s="749">
        <f>SUM(W1052:X1052)</f>
        <v>0</v>
      </c>
      <c r="Z1052" s="749">
        <f>(Z1047-W1047)*Z$262</f>
        <v>0</v>
      </c>
      <c r="AA1052" s="749">
        <f>(AA1047-X1047)*AA$262</f>
        <v>0</v>
      </c>
      <c r="AB1052" s="749">
        <f>SUM(Z1052:AA1052)</f>
        <v>0</v>
      </c>
      <c r="AC1052" s="749">
        <f>(AC1047-Z1047)*AC$262</f>
        <v>0</v>
      </c>
      <c r="AD1052" s="749">
        <f>(AD1047-AA1047)*AD$262</f>
        <v>0</v>
      </c>
      <c r="AE1052" s="749">
        <f>SUM(AC1052:AD1052)</f>
        <v>0</v>
      </c>
      <c r="AF1052" s="749">
        <f>(AF1047-AC1047)*AF$262</f>
        <v>0</v>
      </c>
      <c r="AG1052" s="1034">
        <f t="shared" ref="AG1052" si="4827">(AG1047-AD1047)*AG$262</f>
        <v>0</v>
      </c>
      <c r="AH1052" s="749">
        <f>SUM(AF1052:AG1052)</f>
        <v>0</v>
      </c>
      <c r="AI1052" s="749">
        <f t="shared" ref="AI1052" si="4828">(AI1047-AF1047)*AI$262</f>
        <v>0</v>
      </c>
      <c r="AJ1052" s="749">
        <f t="shared" ref="AJ1052" si="4829">(AJ1047-AG1047)*AJ$262</f>
        <v>0</v>
      </c>
      <c r="AK1052" s="749">
        <f t="shared" si="4768"/>
        <v>0</v>
      </c>
      <c r="AL1052" s="749">
        <f t="shared" ref="AL1052" si="4830">(AL1047-AI1047)*AL$262</f>
        <v>0</v>
      </c>
      <c r="AM1052" s="749">
        <f t="shared" ref="AM1052" si="4831">(AM1047-AJ1047)*AM$262</f>
        <v>0</v>
      </c>
      <c r="AN1052" s="749">
        <f t="shared" si="4771"/>
        <v>0</v>
      </c>
      <c r="AO1052" s="749">
        <f t="shared" ref="AO1052" si="4832">(AO1047-AL1047)*AO$262</f>
        <v>0</v>
      </c>
      <c r="AP1052" s="749">
        <f t="shared" ref="AP1052" si="4833">(AP1047-AM1047)*AP$262</f>
        <v>0</v>
      </c>
      <c r="AQ1052" s="749">
        <f t="shared" si="4774"/>
        <v>0</v>
      </c>
      <c r="AR1052" s="749">
        <f t="shared" ref="AR1052" si="4834">(AR1047-AO1047)*AR$262</f>
        <v>0</v>
      </c>
      <c r="AS1052" s="749">
        <f t="shared" ref="AS1052" si="4835">(AS1047-AP1047)*AS$262</f>
        <v>0</v>
      </c>
      <c r="AT1052" s="749">
        <f t="shared" si="4777"/>
        <v>0</v>
      </c>
      <c r="AU1052" s="749">
        <f t="shared" ref="AU1052" si="4836">(AU1047-AR1047)*AU$262</f>
        <v>0</v>
      </c>
      <c r="AV1052" s="749">
        <f t="shared" ref="AV1052" si="4837">(AV1047-AS1047)*AV$262</f>
        <v>0</v>
      </c>
      <c r="AW1052" s="749">
        <f t="shared" si="4780"/>
        <v>0</v>
      </c>
      <c r="AX1052" s="749">
        <f t="shared" ref="AX1052" si="4838">(AX1047-AU1047)*AX$262</f>
        <v>0</v>
      </c>
      <c r="AY1052" s="749">
        <f t="shared" ref="AY1052" si="4839">(AY1047-AV1047)*AY$262</f>
        <v>0</v>
      </c>
      <c r="AZ1052" s="749">
        <f t="shared" si="4783"/>
        <v>0</v>
      </c>
      <c r="BA1052" s="749">
        <f t="shared" ref="BA1052" si="4840">(BA1047-AX1047)*BA$262</f>
        <v>0</v>
      </c>
      <c r="BB1052" s="749">
        <f t="shared" ref="BB1052" si="4841">(BB1047-AY1047)*BB$262</f>
        <v>0</v>
      </c>
      <c r="BC1052" s="749">
        <f t="shared" si="4786"/>
        <v>0</v>
      </c>
      <c r="BD1052" s="749">
        <f t="shared" ref="BD1052" si="4842">(BD1047-BA1047)*BD$262</f>
        <v>0</v>
      </c>
      <c r="BE1052" s="749">
        <f t="shared" ref="BE1052" si="4843">(BE1047-BB1047)*BE$262</f>
        <v>0</v>
      </c>
      <c r="BF1052" s="749">
        <f t="shared" si="4789"/>
        <v>0</v>
      </c>
      <c r="BG1052" s="749">
        <f t="shared" ref="BG1052" si="4844">(BG1047-BD1047)*BG$262</f>
        <v>0</v>
      </c>
      <c r="BH1052" s="749">
        <f t="shared" ref="BH1052" si="4845">(BH1047-BE1047)*BH$262</f>
        <v>0</v>
      </c>
      <c r="BI1052" s="749">
        <f t="shared" si="4792"/>
        <v>0</v>
      </c>
      <c r="BJ1052" s="749">
        <f t="shared" ref="BJ1052" si="4846">(BJ1047-BG1047)*BJ$262</f>
        <v>0</v>
      </c>
      <c r="BK1052" s="749">
        <f t="shared" ref="BK1052" si="4847">(BK1047-BH1047)*BK$262</f>
        <v>0</v>
      </c>
      <c r="BL1052" s="749">
        <f t="shared" si="4795"/>
        <v>0</v>
      </c>
      <c r="BM1052" s="749">
        <f t="shared" ref="BM1052" si="4848">(BM1047-BJ1047)*BM$262</f>
        <v>0</v>
      </c>
      <c r="BN1052" s="749">
        <f t="shared" ref="BN1052" si="4849">(BN1047-BK1047)*BN$262</f>
        <v>0</v>
      </c>
      <c r="BO1052" s="749">
        <f t="shared" si="4798"/>
        <v>0</v>
      </c>
      <c r="BP1052" s="749">
        <f t="shared" ref="BP1052" si="4850">(BP1047-BM1047)*BP$262</f>
        <v>0</v>
      </c>
      <c r="BQ1052" s="749">
        <f t="shared" ref="BQ1052" si="4851">(BQ1047-BN1047)*BQ$262</f>
        <v>0</v>
      </c>
      <c r="BR1052" s="789">
        <f t="shared" si="4801"/>
        <v>0</v>
      </c>
    </row>
    <row r="1053" spans="2:70" outlineLevel="2">
      <c r="B1053" s="5"/>
      <c r="C1053" s="9"/>
    </row>
    <row r="1054" spans="2:70" outlineLevel="2">
      <c r="B1054" s="5"/>
      <c r="C1054" s="8" t="s">
        <v>512</v>
      </c>
      <c r="AF1054" s="26"/>
      <c r="AG1054" s="933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  <c r="BA1054" s="18"/>
      <c r="BB1054" s="18"/>
      <c r="BC1054" s="18"/>
      <c r="BD1054" s="18"/>
      <c r="BE1054" s="18"/>
      <c r="BF1054" s="18"/>
      <c r="BG1054" s="18"/>
      <c r="BH1054" s="18"/>
      <c r="BI1054" s="18"/>
      <c r="BJ1054" s="18"/>
      <c r="BK1054" s="18"/>
      <c r="BL1054" s="18"/>
      <c r="BM1054" s="18"/>
      <c r="BN1054" s="18"/>
      <c r="BO1054" s="18"/>
      <c r="BP1054" s="18"/>
      <c r="BQ1054" s="18"/>
      <c r="BR1054" s="18"/>
    </row>
    <row r="1055" spans="2:70" outlineLevel="2">
      <c r="B1055" s="5"/>
      <c r="C1055" s="9" t="s">
        <v>266</v>
      </c>
      <c r="D1055" s="31"/>
      <c r="G1055" s="763" t="s">
        <v>80</v>
      </c>
      <c r="AF1055" s="26"/>
      <c r="AG1055" s="933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  <c r="BA1055" s="18"/>
      <c r="BB1055" s="18"/>
      <c r="BC1055" s="18"/>
      <c r="BD1055" s="18"/>
      <c r="BE1055" s="18"/>
      <c r="BF1055" s="18"/>
      <c r="BG1055" s="18"/>
      <c r="BH1055" s="18"/>
      <c r="BI1055" s="18"/>
      <c r="BJ1055" s="18"/>
      <c r="BK1055" s="18"/>
      <c r="BL1055" s="18"/>
      <c r="BM1055" s="18"/>
      <c r="BN1055" s="18"/>
      <c r="BO1055" s="18"/>
      <c r="BP1055" s="18"/>
      <c r="BQ1055" s="18"/>
      <c r="BR1055" s="18"/>
    </row>
    <row r="1056" spans="2:70" outlineLevel="2">
      <c r="B1056" s="5"/>
      <c r="C1056" s="9" t="s">
        <v>262</v>
      </c>
      <c r="D1056" s="74"/>
      <c r="G1056" s="764">
        <v>40452</v>
      </c>
      <c r="AF1056" s="26"/>
      <c r="AG1056" s="933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  <c r="BA1056" s="18"/>
      <c r="BB1056" s="18"/>
      <c r="BC1056" s="18"/>
      <c r="BD1056" s="18"/>
      <c r="BE1056" s="18"/>
      <c r="BF1056" s="18"/>
      <c r="BG1056" s="18"/>
      <c r="BH1056" s="18"/>
      <c r="BI1056" s="18"/>
      <c r="BJ1056" s="18"/>
      <c r="BK1056" s="18"/>
      <c r="BL1056" s="18"/>
      <c r="BM1056" s="18"/>
      <c r="BN1056" s="18"/>
      <c r="BO1056" s="18"/>
      <c r="BP1056" s="18"/>
      <c r="BQ1056" s="18"/>
      <c r="BR1056" s="18"/>
    </row>
    <row r="1057" spans="2:70" outlineLevel="2">
      <c r="B1057" s="5"/>
      <c r="C1057" s="84" t="s">
        <v>72</v>
      </c>
      <c r="D1057" s="31" t="s">
        <v>85</v>
      </c>
      <c r="G1057" s="765">
        <v>43</v>
      </c>
      <c r="AF1057" s="26"/>
      <c r="AG1057" s="933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  <c r="BA1057" s="18"/>
      <c r="BB1057" s="18"/>
      <c r="BC1057" s="18"/>
      <c r="BD1057" s="18"/>
      <c r="BE1057" s="18"/>
      <c r="BF1057" s="18"/>
      <c r="BG1057" s="18"/>
      <c r="BH1057" s="18"/>
      <c r="BI1057" s="18"/>
      <c r="BJ1057" s="18"/>
      <c r="BK1057" s="18"/>
      <c r="BL1057" s="18"/>
      <c r="BM1057" s="18"/>
      <c r="BN1057" s="18"/>
      <c r="BO1057" s="18"/>
      <c r="BP1057" s="18"/>
      <c r="BQ1057" s="18"/>
      <c r="BR1057" s="18"/>
    </row>
    <row r="1058" spans="2:70" outlineLevel="2">
      <c r="B1058" s="5"/>
      <c r="C1058" s="84" t="s">
        <v>76</v>
      </c>
      <c r="D1058" s="74" t="s">
        <v>77</v>
      </c>
      <c r="G1058" s="766">
        <v>4.9000000000000004</v>
      </c>
      <c r="AF1058" s="26"/>
      <c r="AG1058" s="933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  <c r="BA1058" s="18"/>
      <c r="BB1058" s="18"/>
      <c r="BC1058" s="18"/>
      <c r="BD1058" s="18"/>
      <c r="BE1058" s="18"/>
      <c r="BF1058" s="18"/>
      <c r="BG1058" s="18"/>
      <c r="BH1058" s="18"/>
      <c r="BI1058" s="18"/>
      <c r="BJ1058" s="18"/>
      <c r="BK1058" s="18"/>
      <c r="BL1058" s="18"/>
      <c r="BM1058" s="18"/>
      <c r="BN1058" s="18"/>
      <c r="BO1058" s="18"/>
      <c r="BP1058" s="18"/>
      <c r="BQ1058" s="18"/>
      <c r="BR1058" s="18"/>
    </row>
    <row r="1059" spans="2:70" outlineLevel="2">
      <c r="B1059" s="5"/>
      <c r="C1059" s="84" t="s">
        <v>55</v>
      </c>
      <c r="D1059" s="31" t="s">
        <v>85</v>
      </c>
      <c r="G1059" s="765">
        <v>43</v>
      </c>
      <c r="K1059" s="167">
        <f>G1059*0.5*(3/6)</f>
        <v>10.75</v>
      </c>
      <c r="L1059" s="6">
        <f>G1059*0.5</f>
        <v>21.5</v>
      </c>
      <c r="M1059" s="24">
        <f>SUM(K1059:L1059)</f>
        <v>32.25</v>
      </c>
      <c r="N1059" s="167">
        <f>P1059*0.5</f>
        <v>21.5</v>
      </c>
      <c r="O1059" s="167">
        <f>P1059*0.5</f>
        <v>21.5</v>
      </c>
      <c r="P1059" s="390">
        <f>G1059</f>
        <v>43</v>
      </c>
      <c r="Q1059" s="167">
        <f>S1059*0.5</f>
        <v>21.5</v>
      </c>
      <c r="R1059" s="167">
        <f>S1059*0.5</f>
        <v>21.5</v>
      </c>
      <c r="S1059" s="390">
        <f>P1059</f>
        <v>43</v>
      </c>
      <c r="T1059" s="167">
        <f>V1059*0.5</f>
        <v>21.5</v>
      </c>
      <c r="U1059" s="167">
        <f>V1059*0.5</f>
        <v>21.5</v>
      </c>
      <c r="V1059" s="390">
        <f>S1059</f>
        <v>43</v>
      </c>
      <c r="W1059" s="167">
        <f>Y1059*0.5</f>
        <v>21.5</v>
      </c>
      <c r="X1059" s="167">
        <f>Y1059*0.5</f>
        <v>21.5</v>
      </c>
      <c r="Y1059" s="390">
        <f>V1059</f>
        <v>43</v>
      </c>
      <c r="Z1059" s="167">
        <f>AB1059*0.5</f>
        <v>21.5</v>
      </c>
      <c r="AA1059" s="167">
        <f>AB1059*0.5</f>
        <v>21.5</v>
      </c>
      <c r="AB1059" s="390">
        <f>Y1059</f>
        <v>43</v>
      </c>
      <c r="AC1059" s="167">
        <f>AE1059*0.5</f>
        <v>21.5</v>
      </c>
      <c r="AD1059" s="167">
        <f>AE1059*0.5</f>
        <v>21.5</v>
      </c>
      <c r="AE1059" s="390">
        <f>AB1059</f>
        <v>43</v>
      </c>
      <c r="AF1059" s="167">
        <f>AH1059*0.5</f>
        <v>21.5</v>
      </c>
      <c r="AG1059" s="1017">
        <f>AH1059*0.5</f>
        <v>21.5</v>
      </c>
      <c r="AH1059" s="390">
        <f>AE1059</f>
        <v>43</v>
      </c>
      <c r="AI1059" s="167">
        <f>AK1059*0.5</f>
        <v>21.5</v>
      </c>
      <c r="AJ1059" s="167">
        <f>AK1059*0.5</f>
        <v>21.5</v>
      </c>
      <c r="AK1059" s="390">
        <f>AH1059</f>
        <v>43</v>
      </c>
      <c r="AL1059" s="167">
        <f>AN1059*0.5</f>
        <v>21.5</v>
      </c>
      <c r="AM1059" s="167">
        <f>AN1059*0.5</f>
        <v>21.5</v>
      </c>
      <c r="AN1059" s="390">
        <f>AK1059</f>
        <v>43</v>
      </c>
      <c r="AO1059" s="167">
        <f>AQ1059*0.5</f>
        <v>21.5</v>
      </c>
      <c r="AP1059" s="167">
        <f>AQ1059*0.5</f>
        <v>21.5</v>
      </c>
      <c r="AQ1059" s="390">
        <f>AN1059</f>
        <v>43</v>
      </c>
      <c r="AR1059" s="167">
        <f>AT1059*0.5</f>
        <v>21.5</v>
      </c>
      <c r="AS1059" s="167">
        <f>AT1059*0.5</f>
        <v>21.5</v>
      </c>
      <c r="AT1059" s="390">
        <f>AQ1059</f>
        <v>43</v>
      </c>
      <c r="AU1059" s="167">
        <f>AW1059*0.5</f>
        <v>21.5</v>
      </c>
      <c r="AV1059" s="167">
        <f>AW1059*0.5</f>
        <v>21.5</v>
      </c>
      <c r="AW1059" s="390">
        <f>AT1059</f>
        <v>43</v>
      </c>
      <c r="AX1059" s="167">
        <f>AZ1059*0.5</f>
        <v>21.5</v>
      </c>
      <c r="AY1059" s="167">
        <f>AZ1059*0.5</f>
        <v>21.5</v>
      </c>
      <c r="AZ1059" s="390">
        <f>AW1059</f>
        <v>43</v>
      </c>
      <c r="BA1059" s="167">
        <f>BC1059*0.5</f>
        <v>21.5</v>
      </c>
      <c r="BB1059" s="167">
        <f>BC1059*0.5</f>
        <v>21.5</v>
      </c>
      <c r="BC1059" s="390">
        <f>AZ1059</f>
        <v>43</v>
      </c>
      <c r="BD1059" s="167">
        <f>BF1059*0.5</f>
        <v>21.5</v>
      </c>
      <c r="BE1059" s="167">
        <f>BF1059*0.5</f>
        <v>21.5</v>
      </c>
      <c r="BF1059" s="390">
        <f>BC1059</f>
        <v>43</v>
      </c>
      <c r="BG1059" s="167">
        <f>BI1059*0.5</f>
        <v>21.5</v>
      </c>
      <c r="BH1059" s="167">
        <f>BI1059*0.5</f>
        <v>21.5</v>
      </c>
      <c r="BI1059" s="390">
        <f>BF1059</f>
        <v>43</v>
      </c>
      <c r="BJ1059" s="167">
        <f>BL1059*0.5</f>
        <v>21.5</v>
      </c>
      <c r="BK1059" s="167">
        <f>BL1059*0.5</f>
        <v>21.5</v>
      </c>
      <c r="BL1059" s="390">
        <f>BI1059</f>
        <v>43</v>
      </c>
      <c r="BM1059" s="167">
        <f>BO1059*0.5</f>
        <v>21.5</v>
      </c>
      <c r="BN1059" s="167">
        <f>BO1059*0.5</f>
        <v>21.5</v>
      </c>
      <c r="BO1059" s="390">
        <f>BL1059</f>
        <v>43</v>
      </c>
      <c r="BP1059" s="167">
        <f>BR1059*0.5</f>
        <v>21.5</v>
      </c>
      <c r="BQ1059" s="167">
        <f>BR1059*0.5</f>
        <v>21.5</v>
      </c>
      <c r="BR1059" s="390">
        <f>BO1059</f>
        <v>43</v>
      </c>
    </row>
    <row r="1060" spans="2:70" outlineLevel="2">
      <c r="B1060" s="5"/>
      <c r="C1060" s="84" t="s">
        <v>56</v>
      </c>
      <c r="D1060" s="31" t="s">
        <v>85</v>
      </c>
      <c r="G1060" s="767">
        <f>G1057/G1058</f>
        <v>8.7755102040816322</v>
      </c>
      <c r="K1060" s="167">
        <f>G1060*0.5*(3/6)</f>
        <v>2.193877551020408</v>
      </c>
      <c r="L1060" s="24">
        <f>G1060*0.5</f>
        <v>4.3877551020408161</v>
      </c>
      <c r="M1060" s="24">
        <f>SUM(K1060:L1060)</f>
        <v>6.5816326530612237</v>
      </c>
      <c r="N1060" s="175">
        <f>P1060*0.5</f>
        <v>4.3877551020408161</v>
      </c>
      <c r="O1060" s="175">
        <f>P1060*0.5</f>
        <v>4.3877551020408161</v>
      </c>
      <c r="P1060" s="157">
        <f>P1059*P1061</f>
        <v>8.7755102040816322</v>
      </c>
      <c r="Q1060" s="175">
        <f>S1060*0.5</f>
        <v>4.3877551020408161</v>
      </c>
      <c r="R1060" s="175">
        <f>S1060*0.5</f>
        <v>4.3877551020408161</v>
      </c>
      <c r="S1060" s="157">
        <f>S1059*S1061</f>
        <v>8.7755102040816322</v>
      </c>
      <c r="T1060" s="175">
        <f>V1060*0.5</f>
        <v>4.3877551020408161</v>
      </c>
      <c r="U1060" s="175">
        <f>V1060*0.5</f>
        <v>4.3877551020408161</v>
      </c>
      <c r="V1060" s="157">
        <f>V1059*V1061</f>
        <v>8.7755102040816322</v>
      </c>
      <c r="W1060" s="175">
        <f>Y1060*0.5</f>
        <v>4.3877551020408161</v>
      </c>
      <c r="X1060" s="175">
        <f>Y1060*0.5</f>
        <v>4.3877551020408161</v>
      </c>
      <c r="Y1060" s="157">
        <f>Y1059*Y1061</f>
        <v>8.7755102040816322</v>
      </c>
      <c r="Z1060" s="175">
        <f>AB1060*0.5</f>
        <v>4.3877551020408161</v>
      </c>
      <c r="AA1060" s="175">
        <f>AB1060*0.5</f>
        <v>4.3877551020408161</v>
      </c>
      <c r="AB1060" s="157">
        <f>AB1059*AB1061</f>
        <v>8.7755102040816322</v>
      </c>
      <c r="AC1060" s="175">
        <f>AE1060*0.5</f>
        <v>4.3877551020408161</v>
      </c>
      <c r="AD1060" s="175">
        <f>AE1060*0.5</f>
        <v>4.3877551020408161</v>
      </c>
      <c r="AE1060" s="157">
        <f>AE1059*AE1061</f>
        <v>8.7755102040816322</v>
      </c>
      <c r="AF1060" s="175">
        <f>AH1060*0.5</f>
        <v>4.3877551020408161</v>
      </c>
      <c r="AG1060" s="1035">
        <f>AH1060*0.5</f>
        <v>4.3877551020408161</v>
      </c>
      <c r="AH1060" s="157">
        <f>AH1059*AH1061</f>
        <v>8.7755102040816322</v>
      </c>
      <c r="AI1060" s="175">
        <f>AK1060*0.5</f>
        <v>4.3877551020408161</v>
      </c>
      <c r="AJ1060" s="175">
        <f>AK1060*0.5</f>
        <v>4.3877551020408161</v>
      </c>
      <c r="AK1060" s="157">
        <f>AK1059*AK1061</f>
        <v>8.7755102040816322</v>
      </c>
      <c r="AL1060" s="175">
        <f>AN1060*0.5</f>
        <v>4.3877551020408161</v>
      </c>
      <c r="AM1060" s="175">
        <f>AN1060*0.5</f>
        <v>4.3877551020408161</v>
      </c>
      <c r="AN1060" s="157">
        <f>AN1059*AN1061</f>
        <v>8.7755102040816322</v>
      </c>
      <c r="AO1060" s="175">
        <f>AQ1060*0.5</f>
        <v>4.3877551020408161</v>
      </c>
      <c r="AP1060" s="175">
        <f>AQ1060*0.5</f>
        <v>4.3877551020408161</v>
      </c>
      <c r="AQ1060" s="157">
        <f>AQ1059*AQ1061</f>
        <v>8.7755102040816322</v>
      </c>
      <c r="AR1060" s="175">
        <f>AT1060*0.5</f>
        <v>4.3877551020408161</v>
      </c>
      <c r="AS1060" s="175">
        <f>AT1060*0.5</f>
        <v>4.3877551020408161</v>
      </c>
      <c r="AT1060" s="157">
        <f>AT1059*AT1061</f>
        <v>8.7755102040816322</v>
      </c>
      <c r="AU1060" s="175">
        <f>AW1060*0.5</f>
        <v>4.3877551020408161</v>
      </c>
      <c r="AV1060" s="175">
        <f>AW1060*0.5</f>
        <v>4.3877551020408161</v>
      </c>
      <c r="AW1060" s="157">
        <f>AW1059*AW1061</f>
        <v>8.7755102040816322</v>
      </c>
      <c r="AX1060" s="175">
        <f>AZ1060*0.5</f>
        <v>4.3877551020408161</v>
      </c>
      <c r="AY1060" s="175">
        <f>AZ1060*0.5</f>
        <v>4.3877551020408161</v>
      </c>
      <c r="AZ1060" s="157">
        <f>AZ1059*AZ1061</f>
        <v>8.7755102040816322</v>
      </c>
      <c r="BA1060" s="175">
        <f>BC1060*0.5</f>
        <v>4.3877551020408161</v>
      </c>
      <c r="BB1060" s="175">
        <f>BC1060*0.5</f>
        <v>4.3877551020408161</v>
      </c>
      <c r="BC1060" s="157">
        <f>BC1059*BC1061</f>
        <v>8.7755102040816322</v>
      </c>
      <c r="BD1060" s="175">
        <f>BF1060*0.5</f>
        <v>4.3877551020408161</v>
      </c>
      <c r="BE1060" s="175">
        <f>BF1060*0.5</f>
        <v>4.3877551020408161</v>
      </c>
      <c r="BF1060" s="157">
        <f>BF1059*BF1061</f>
        <v>8.7755102040816322</v>
      </c>
      <c r="BG1060" s="175">
        <f>BI1060*0.5</f>
        <v>4.3877551020408161</v>
      </c>
      <c r="BH1060" s="175">
        <f>BI1060*0.5</f>
        <v>4.3877551020408161</v>
      </c>
      <c r="BI1060" s="157">
        <f>BI1059*BI1061</f>
        <v>8.7755102040816322</v>
      </c>
      <c r="BJ1060" s="175">
        <f>BL1060*0.5</f>
        <v>4.3877551020408161</v>
      </c>
      <c r="BK1060" s="175">
        <f>BL1060*0.5</f>
        <v>4.3877551020408161</v>
      </c>
      <c r="BL1060" s="157">
        <f>BL1059*BL1061</f>
        <v>8.7755102040816322</v>
      </c>
      <c r="BM1060" s="175">
        <f>BO1060*0.5</f>
        <v>4.3877551020408161</v>
      </c>
      <c r="BN1060" s="175">
        <f>BO1060*0.5</f>
        <v>4.3877551020408161</v>
      </c>
      <c r="BO1060" s="157">
        <f>BO1059*BO1061</f>
        <v>8.7755102040816322</v>
      </c>
      <c r="BP1060" s="175">
        <f>BR1060*0.5</f>
        <v>4.3877551020408161</v>
      </c>
      <c r="BQ1060" s="175">
        <f>BR1060*0.5</f>
        <v>4.3877551020408161</v>
      </c>
      <c r="BR1060" s="157">
        <f>BR1059*BR1061</f>
        <v>8.7755102040816322</v>
      </c>
    </row>
    <row r="1061" spans="2:70" outlineLevel="2">
      <c r="B1061" s="5"/>
      <c r="C1061" s="84" t="s">
        <v>73</v>
      </c>
      <c r="D1061" s="31" t="s">
        <v>66</v>
      </c>
      <c r="G1061" s="768">
        <f>G1060/G1059</f>
        <v>0.2040816326530612</v>
      </c>
      <c r="K1061" s="133">
        <f t="shared" ref="K1061:O1061" si="4852">K1060/K1059</f>
        <v>0.2040816326530612</v>
      </c>
      <c r="L1061" s="133">
        <f t="shared" si="4852"/>
        <v>0.2040816326530612</v>
      </c>
      <c r="M1061" s="133">
        <f t="shared" si="4852"/>
        <v>0.2040816326530612</v>
      </c>
      <c r="N1061" s="133">
        <f t="shared" si="4852"/>
        <v>0.2040816326530612</v>
      </c>
      <c r="O1061" s="133">
        <f t="shared" si="4852"/>
        <v>0.2040816326530612</v>
      </c>
      <c r="P1061" s="359">
        <f>G1061</f>
        <v>0.2040816326530612</v>
      </c>
      <c r="Q1061" s="133">
        <f>Q1060/Q1059</f>
        <v>0.2040816326530612</v>
      </c>
      <c r="R1061" s="133">
        <f>R1060/R1059</f>
        <v>0.2040816326530612</v>
      </c>
      <c r="S1061" s="359">
        <f>P1061</f>
        <v>0.2040816326530612</v>
      </c>
      <c r="T1061" s="133">
        <f>T1060/T1059</f>
        <v>0.2040816326530612</v>
      </c>
      <c r="U1061" s="133">
        <f>U1060/U1059</f>
        <v>0.2040816326530612</v>
      </c>
      <c r="V1061" s="359">
        <f>S1061</f>
        <v>0.2040816326530612</v>
      </c>
      <c r="W1061" s="133">
        <f>W1060/W1059</f>
        <v>0.2040816326530612</v>
      </c>
      <c r="X1061" s="133">
        <f>X1060/X1059</f>
        <v>0.2040816326530612</v>
      </c>
      <c r="Y1061" s="359">
        <f>V1061</f>
        <v>0.2040816326530612</v>
      </c>
      <c r="Z1061" s="133">
        <f>Z1060/Z1059</f>
        <v>0.2040816326530612</v>
      </c>
      <c r="AA1061" s="133">
        <f>AA1060/AA1059</f>
        <v>0.2040816326530612</v>
      </c>
      <c r="AB1061" s="359">
        <f>Y1061</f>
        <v>0.2040816326530612</v>
      </c>
      <c r="AC1061" s="133">
        <f>AC1060/AC1059</f>
        <v>0.2040816326530612</v>
      </c>
      <c r="AD1061" s="133">
        <f>AD1060/AD1059</f>
        <v>0.2040816326530612</v>
      </c>
      <c r="AE1061" s="359">
        <f>AB1061</f>
        <v>0.2040816326530612</v>
      </c>
      <c r="AF1061" s="133">
        <f>AF1060/AF1059</f>
        <v>0.2040816326530612</v>
      </c>
      <c r="AG1061" s="938">
        <f>AG1060/AG1059</f>
        <v>0.2040816326530612</v>
      </c>
      <c r="AH1061" s="359">
        <f>AE1061</f>
        <v>0.2040816326530612</v>
      </c>
      <c r="AI1061" s="133">
        <f>AI1060/AI1059</f>
        <v>0.2040816326530612</v>
      </c>
      <c r="AJ1061" s="133">
        <f>AJ1060/AJ1059</f>
        <v>0.2040816326530612</v>
      </c>
      <c r="AK1061" s="359">
        <f>AH1061</f>
        <v>0.2040816326530612</v>
      </c>
      <c r="AL1061" s="133">
        <f>AL1060/AL1059</f>
        <v>0.2040816326530612</v>
      </c>
      <c r="AM1061" s="133">
        <f>AM1060/AM1059</f>
        <v>0.2040816326530612</v>
      </c>
      <c r="AN1061" s="359">
        <f>AK1061</f>
        <v>0.2040816326530612</v>
      </c>
      <c r="AO1061" s="133">
        <f>AO1060/AO1059</f>
        <v>0.2040816326530612</v>
      </c>
      <c r="AP1061" s="133">
        <f>AP1060/AP1059</f>
        <v>0.2040816326530612</v>
      </c>
      <c r="AQ1061" s="359">
        <f>AN1061</f>
        <v>0.2040816326530612</v>
      </c>
      <c r="AR1061" s="133">
        <f>AR1060/AR1059</f>
        <v>0.2040816326530612</v>
      </c>
      <c r="AS1061" s="133">
        <f>AS1060/AS1059</f>
        <v>0.2040816326530612</v>
      </c>
      <c r="AT1061" s="359">
        <f>AQ1061</f>
        <v>0.2040816326530612</v>
      </c>
      <c r="AU1061" s="133">
        <f>AU1060/AU1059</f>
        <v>0.2040816326530612</v>
      </c>
      <c r="AV1061" s="133">
        <f>AV1060/AV1059</f>
        <v>0.2040816326530612</v>
      </c>
      <c r="AW1061" s="359">
        <f>AT1061</f>
        <v>0.2040816326530612</v>
      </c>
      <c r="AX1061" s="133">
        <f>AX1060/AX1059</f>
        <v>0.2040816326530612</v>
      </c>
      <c r="AY1061" s="133">
        <f>AY1060/AY1059</f>
        <v>0.2040816326530612</v>
      </c>
      <c r="AZ1061" s="359">
        <f>AW1061</f>
        <v>0.2040816326530612</v>
      </c>
      <c r="BA1061" s="133">
        <f>BA1060/BA1059</f>
        <v>0.2040816326530612</v>
      </c>
      <c r="BB1061" s="133">
        <f>BB1060/BB1059</f>
        <v>0.2040816326530612</v>
      </c>
      <c r="BC1061" s="359">
        <f>AZ1061</f>
        <v>0.2040816326530612</v>
      </c>
      <c r="BD1061" s="133">
        <f>BD1060/BD1059</f>
        <v>0.2040816326530612</v>
      </c>
      <c r="BE1061" s="133">
        <f>BE1060/BE1059</f>
        <v>0.2040816326530612</v>
      </c>
      <c r="BF1061" s="359">
        <f>BC1061</f>
        <v>0.2040816326530612</v>
      </c>
      <c r="BG1061" s="133">
        <f>BG1060/BG1059</f>
        <v>0.2040816326530612</v>
      </c>
      <c r="BH1061" s="133">
        <f>BH1060/BH1059</f>
        <v>0.2040816326530612</v>
      </c>
      <c r="BI1061" s="359">
        <f>BF1061</f>
        <v>0.2040816326530612</v>
      </c>
      <c r="BJ1061" s="133">
        <f>BJ1060/BJ1059</f>
        <v>0.2040816326530612</v>
      </c>
      <c r="BK1061" s="133">
        <f>BK1060/BK1059</f>
        <v>0.2040816326530612</v>
      </c>
      <c r="BL1061" s="359">
        <f>BI1061</f>
        <v>0.2040816326530612</v>
      </c>
      <c r="BM1061" s="133">
        <f>BM1060/BM1059</f>
        <v>0.2040816326530612</v>
      </c>
      <c r="BN1061" s="133">
        <f>BN1060/BN1059</f>
        <v>0.2040816326530612</v>
      </c>
      <c r="BO1061" s="359">
        <f>BL1061</f>
        <v>0.2040816326530612</v>
      </c>
      <c r="BP1061" s="133">
        <f>BP1060/BP1059</f>
        <v>0.2040816326530612</v>
      </c>
      <c r="BQ1061" s="133">
        <f>BQ1060/BQ1059</f>
        <v>0.2040816326530612</v>
      </c>
      <c r="BR1061" s="359">
        <f>BO1061</f>
        <v>0.2040816326530612</v>
      </c>
    </row>
    <row r="1062" spans="2:70" outlineLevel="2">
      <c r="B1062" s="5"/>
      <c r="C1062" s="84" t="s">
        <v>65</v>
      </c>
      <c r="D1062" s="31" t="s">
        <v>85</v>
      </c>
      <c r="G1062" s="767">
        <f>G1063-G1060</f>
        <v>-2.3255102040816329</v>
      </c>
      <c r="K1062" s="167">
        <f>G1062*0.5*(3/6)</f>
        <v>-0.58137755102040822</v>
      </c>
      <c r="L1062" s="28">
        <f>G1062*0.5</f>
        <v>-1.1627551020408164</v>
      </c>
      <c r="M1062" s="24">
        <f>SUM(K1062:L1062)</f>
        <v>-1.7441326530612247</v>
      </c>
      <c r="N1062" s="370">
        <f>P1062*0.5</f>
        <v>-1.1627551020408164</v>
      </c>
      <c r="O1062" s="370">
        <f>P1062*0.5</f>
        <v>-1.1627551020408164</v>
      </c>
      <c r="P1062" s="360">
        <f>G1062*(P1059/G1059)</f>
        <v>-2.3255102040816329</v>
      </c>
      <c r="Q1062" s="370">
        <f>S1062*0.5</f>
        <v>-1.1627551020408164</v>
      </c>
      <c r="R1062" s="370">
        <f>S1062*0.5</f>
        <v>-1.1627551020408164</v>
      </c>
      <c r="S1062" s="360">
        <f>P1062*(S1059/P1059)</f>
        <v>-2.3255102040816329</v>
      </c>
      <c r="T1062" s="370">
        <f>V1062*0.5</f>
        <v>-1.1627551020408164</v>
      </c>
      <c r="U1062" s="370">
        <f>V1062*0.5</f>
        <v>-1.1627551020408164</v>
      </c>
      <c r="V1062" s="360">
        <f>S1062*(V1059/S1059)</f>
        <v>-2.3255102040816329</v>
      </c>
      <c r="W1062" s="370">
        <f>Y1062*0.5</f>
        <v>-1.1627551020408164</v>
      </c>
      <c r="X1062" s="370">
        <f>Y1062*0.5</f>
        <v>-1.1627551020408164</v>
      </c>
      <c r="Y1062" s="360">
        <f>V1062*(Y1059/V1059)</f>
        <v>-2.3255102040816329</v>
      </c>
      <c r="Z1062" s="370">
        <f>AB1062*0.5</f>
        <v>-1.1627551020408164</v>
      </c>
      <c r="AA1062" s="370">
        <f>AB1062*0.5</f>
        <v>-1.1627551020408164</v>
      </c>
      <c r="AB1062" s="360">
        <f>Y1062*(AB1059/Y1059)</f>
        <v>-2.3255102040816329</v>
      </c>
      <c r="AC1062" s="370">
        <f>AE1062*0.5</f>
        <v>-1.1627551020408164</v>
      </c>
      <c r="AD1062" s="370">
        <f>AE1062*0.5</f>
        <v>-1.1627551020408164</v>
      </c>
      <c r="AE1062" s="360">
        <f>AB1062*(AE1059/AB1059)</f>
        <v>-2.3255102040816329</v>
      </c>
      <c r="AF1062" s="370">
        <f>AH1062*0.5</f>
        <v>-1.1627551020408164</v>
      </c>
      <c r="AG1062" s="1032">
        <f>AH1062*0.5</f>
        <v>-1.1627551020408164</v>
      </c>
      <c r="AH1062" s="360">
        <f>AE1062*(AH1059/AE1059)</f>
        <v>-2.3255102040816329</v>
      </c>
      <c r="AI1062" s="370">
        <f>AK1062*0.5</f>
        <v>-1.1627551020408164</v>
      </c>
      <c r="AJ1062" s="370">
        <f>AK1062*0.5</f>
        <v>-1.1627551020408164</v>
      </c>
      <c r="AK1062" s="360">
        <f>AH1062*(AK1059/AH1059)</f>
        <v>-2.3255102040816329</v>
      </c>
      <c r="AL1062" s="370">
        <f>AN1062*0.5</f>
        <v>-1.1627551020408164</v>
      </c>
      <c r="AM1062" s="370">
        <f>AN1062*0.5</f>
        <v>-1.1627551020408164</v>
      </c>
      <c r="AN1062" s="360">
        <f>AK1062*(AN1059/AK1059)</f>
        <v>-2.3255102040816329</v>
      </c>
      <c r="AO1062" s="370">
        <f>AQ1062*0.5</f>
        <v>-1.1627551020408164</v>
      </c>
      <c r="AP1062" s="370">
        <f>AQ1062*0.5</f>
        <v>-1.1627551020408164</v>
      </c>
      <c r="AQ1062" s="360">
        <f>AN1062*(AQ1059/AN1059)</f>
        <v>-2.3255102040816329</v>
      </c>
      <c r="AR1062" s="370">
        <f>AT1062*0.5</f>
        <v>-1.1627551020408164</v>
      </c>
      <c r="AS1062" s="370">
        <f>AT1062*0.5</f>
        <v>-1.1627551020408164</v>
      </c>
      <c r="AT1062" s="360">
        <f>AQ1062*(AT1059/AQ1059)</f>
        <v>-2.3255102040816329</v>
      </c>
      <c r="AU1062" s="370">
        <f>AW1062*0.5</f>
        <v>-1.1627551020408164</v>
      </c>
      <c r="AV1062" s="370">
        <f>AW1062*0.5</f>
        <v>-1.1627551020408164</v>
      </c>
      <c r="AW1062" s="360">
        <f>AT1062*(AW1059/AT1059)</f>
        <v>-2.3255102040816329</v>
      </c>
      <c r="AX1062" s="370">
        <f>AZ1062*0.5</f>
        <v>-1.1627551020408164</v>
      </c>
      <c r="AY1062" s="370">
        <f>AZ1062*0.5</f>
        <v>-1.1627551020408164</v>
      </c>
      <c r="AZ1062" s="360">
        <f>AW1062*(AZ1059/AW1059)</f>
        <v>-2.3255102040816329</v>
      </c>
      <c r="BA1062" s="370">
        <f>BC1062*0.5</f>
        <v>-1.1627551020408164</v>
      </c>
      <c r="BB1062" s="370">
        <f>BC1062*0.5</f>
        <v>-1.1627551020408164</v>
      </c>
      <c r="BC1062" s="360">
        <f>AZ1062*(BC1059/AZ1059)</f>
        <v>-2.3255102040816329</v>
      </c>
      <c r="BD1062" s="370">
        <f>BF1062*0.5</f>
        <v>-1.1627551020408164</v>
      </c>
      <c r="BE1062" s="370">
        <f>BF1062*0.5</f>
        <v>-1.1627551020408164</v>
      </c>
      <c r="BF1062" s="360">
        <f>BC1062*(BF1059/BC1059)</f>
        <v>-2.3255102040816329</v>
      </c>
      <c r="BG1062" s="370">
        <f>BI1062*0.5</f>
        <v>-1.1627551020408164</v>
      </c>
      <c r="BH1062" s="370">
        <f>BI1062*0.5</f>
        <v>-1.1627551020408164</v>
      </c>
      <c r="BI1062" s="360">
        <f>BF1062*(BI1059/BF1059)</f>
        <v>-2.3255102040816329</v>
      </c>
      <c r="BJ1062" s="370">
        <f>BL1062*0.5</f>
        <v>-1.1627551020408164</v>
      </c>
      <c r="BK1062" s="370">
        <f>BL1062*0.5</f>
        <v>-1.1627551020408164</v>
      </c>
      <c r="BL1062" s="360">
        <f>BI1062*(BL1059/BI1059)</f>
        <v>-2.3255102040816329</v>
      </c>
      <c r="BM1062" s="370">
        <f>BO1062*0.5</f>
        <v>-1.1627551020408164</v>
      </c>
      <c r="BN1062" s="370">
        <f>BO1062*0.5</f>
        <v>-1.1627551020408164</v>
      </c>
      <c r="BO1062" s="360">
        <f>BL1062*(BO1059/BL1059)</f>
        <v>-2.3255102040816329</v>
      </c>
      <c r="BP1062" s="370">
        <f>BR1062*0.5</f>
        <v>-1.1627551020408164</v>
      </c>
      <c r="BQ1062" s="370">
        <f>BR1062*0.5</f>
        <v>-1.1627551020408164</v>
      </c>
      <c r="BR1062" s="360">
        <f>BO1062*(BR1059/BO1059)</f>
        <v>-2.3255102040816329</v>
      </c>
    </row>
    <row r="1063" spans="2:70" outlineLevel="2">
      <c r="B1063" s="5"/>
      <c r="C1063" s="84" t="s">
        <v>78</v>
      </c>
      <c r="D1063" s="31" t="s">
        <v>85</v>
      </c>
      <c r="G1063" s="770">
        <f>G1068-G1065</f>
        <v>6.4499999999999993</v>
      </c>
      <c r="K1063" s="360">
        <f>K1060+K1062</f>
        <v>1.6124999999999998</v>
      </c>
      <c r="L1063" s="360">
        <f>L1060+L1062</f>
        <v>3.2249999999999996</v>
      </c>
      <c r="M1063" s="24">
        <f>SUM(K1063:L1063)</f>
        <v>4.8374999999999995</v>
      </c>
      <c r="N1063" s="167">
        <f>N1060+N1062</f>
        <v>3.2249999999999996</v>
      </c>
      <c r="O1063" s="167">
        <f>O1060+O1062</f>
        <v>3.2249999999999996</v>
      </c>
      <c r="P1063" s="172">
        <f>SUM(N1063:O1063)</f>
        <v>6.4499999999999993</v>
      </c>
      <c r="Q1063" s="24">
        <f>Q1060+Q1062</f>
        <v>3.2249999999999996</v>
      </c>
      <c r="R1063" s="24">
        <f>R1060+R1062</f>
        <v>3.2249999999999996</v>
      </c>
      <c r="S1063" s="24">
        <f>SUM(Q1063:R1063)</f>
        <v>6.4499999999999993</v>
      </c>
      <c r="T1063" s="24">
        <f>T1060+T1062</f>
        <v>3.2249999999999996</v>
      </c>
      <c r="U1063" s="24">
        <f>U1060+U1062</f>
        <v>3.2249999999999996</v>
      </c>
      <c r="V1063" s="24">
        <f>SUM(T1063:U1063)</f>
        <v>6.4499999999999993</v>
      </c>
      <c r="W1063" s="24">
        <f>W1060+W1062</f>
        <v>3.2249999999999996</v>
      </c>
      <c r="X1063" s="24">
        <f>X1060+X1062</f>
        <v>3.2249999999999996</v>
      </c>
      <c r="Y1063" s="24">
        <f>SUM(W1063:X1063)</f>
        <v>6.4499999999999993</v>
      </c>
      <c r="Z1063" s="24">
        <f>Z1060+Z1062</f>
        <v>3.2249999999999996</v>
      </c>
      <c r="AA1063" s="24">
        <f>AA1060+AA1062</f>
        <v>3.2249999999999996</v>
      </c>
      <c r="AB1063" s="24">
        <f>SUM(Z1063:AA1063)</f>
        <v>6.4499999999999993</v>
      </c>
      <c r="AC1063" s="24">
        <f>AC1060+AC1062</f>
        <v>3.2249999999999996</v>
      </c>
      <c r="AD1063" s="24">
        <f>AD1060+AD1062</f>
        <v>3.2249999999999996</v>
      </c>
      <c r="AE1063" s="360">
        <f>SUM(AC1063:AD1063)</f>
        <v>6.4499999999999993</v>
      </c>
      <c r="AF1063" s="360">
        <f>AF1060+AF1062</f>
        <v>3.2249999999999996</v>
      </c>
      <c r="AG1063" s="942">
        <f>AG1060+AG1062</f>
        <v>3.2249999999999996</v>
      </c>
      <c r="AH1063" s="24">
        <f>SUM(AF1063:AG1063)</f>
        <v>6.4499999999999993</v>
      </c>
      <c r="AI1063" s="24">
        <f>AI1060+AI1062</f>
        <v>3.2249999999999996</v>
      </c>
      <c r="AJ1063" s="24">
        <f>AJ1060+AJ1062</f>
        <v>3.2249999999999996</v>
      </c>
      <c r="AK1063" s="24">
        <f>SUM(AI1063:AJ1063)</f>
        <v>6.4499999999999993</v>
      </c>
      <c r="AL1063" s="24">
        <f>AL1060+AL1062</f>
        <v>3.2249999999999996</v>
      </c>
      <c r="AM1063" s="24">
        <f>AM1060+AM1062</f>
        <v>3.2249999999999996</v>
      </c>
      <c r="AN1063" s="24">
        <f>SUM(AL1063:AM1063)</f>
        <v>6.4499999999999993</v>
      </c>
      <c r="AO1063" s="24">
        <f>AO1060+AO1062</f>
        <v>3.2249999999999996</v>
      </c>
      <c r="AP1063" s="24">
        <f>AP1060+AP1062</f>
        <v>3.2249999999999996</v>
      </c>
      <c r="AQ1063" s="24">
        <f>SUM(AO1063:AP1063)</f>
        <v>6.4499999999999993</v>
      </c>
      <c r="AR1063" s="24">
        <f>AR1060+AR1062</f>
        <v>3.2249999999999996</v>
      </c>
      <c r="AS1063" s="24">
        <f>AS1060+AS1062</f>
        <v>3.2249999999999996</v>
      </c>
      <c r="AT1063" s="24">
        <f>SUM(AR1063:AS1063)</f>
        <v>6.4499999999999993</v>
      </c>
      <c r="AU1063" s="24">
        <f>AU1060+AU1062</f>
        <v>3.2249999999999996</v>
      </c>
      <c r="AV1063" s="24">
        <f>AV1060+AV1062</f>
        <v>3.2249999999999996</v>
      </c>
      <c r="AW1063" s="24">
        <f>SUM(AU1063:AV1063)</f>
        <v>6.4499999999999993</v>
      </c>
      <c r="AX1063" s="24">
        <f>AX1060+AX1062</f>
        <v>3.2249999999999996</v>
      </c>
      <c r="AY1063" s="24">
        <f>AY1060+AY1062</f>
        <v>3.2249999999999996</v>
      </c>
      <c r="AZ1063" s="24">
        <f>SUM(AX1063:AY1063)</f>
        <v>6.4499999999999993</v>
      </c>
      <c r="BA1063" s="24">
        <f>BA1060+BA1062</f>
        <v>3.2249999999999996</v>
      </c>
      <c r="BB1063" s="24">
        <f>BB1060+BB1062</f>
        <v>3.2249999999999996</v>
      </c>
      <c r="BC1063" s="24">
        <f>SUM(BA1063:BB1063)</f>
        <v>6.4499999999999993</v>
      </c>
      <c r="BD1063" s="24">
        <f>BD1060+BD1062</f>
        <v>3.2249999999999996</v>
      </c>
      <c r="BE1063" s="24">
        <f>BE1060+BE1062</f>
        <v>3.2249999999999996</v>
      </c>
      <c r="BF1063" s="24">
        <f>SUM(BD1063:BE1063)</f>
        <v>6.4499999999999993</v>
      </c>
      <c r="BG1063" s="24">
        <f>BG1060+BG1062</f>
        <v>3.2249999999999996</v>
      </c>
      <c r="BH1063" s="24">
        <f>BH1060+BH1062</f>
        <v>3.2249999999999996</v>
      </c>
      <c r="BI1063" s="24">
        <f>SUM(BG1063:BH1063)</f>
        <v>6.4499999999999993</v>
      </c>
      <c r="BJ1063" s="24">
        <f>BJ1060+BJ1062</f>
        <v>3.2249999999999996</v>
      </c>
      <c r="BK1063" s="24">
        <f>BK1060+BK1062</f>
        <v>3.2249999999999996</v>
      </c>
      <c r="BL1063" s="24">
        <f>SUM(BJ1063:BK1063)</f>
        <v>6.4499999999999993</v>
      </c>
      <c r="BM1063" s="24">
        <f>BM1060+BM1062</f>
        <v>3.2249999999999996</v>
      </c>
      <c r="BN1063" s="24">
        <f>BN1060+BN1062</f>
        <v>3.2249999999999996</v>
      </c>
      <c r="BO1063" s="24">
        <f>SUM(BM1063:BN1063)</f>
        <v>6.4499999999999993</v>
      </c>
      <c r="BP1063" s="24">
        <f>BP1060+BP1062</f>
        <v>3.2249999999999996</v>
      </c>
      <c r="BQ1063" s="24">
        <f>BQ1060+BQ1062</f>
        <v>3.2249999999999996</v>
      </c>
      <c r="BR1063" s="24">
        <f>SUM(BP1063:BQ1063)</f>
        <v>6.4499999999999993</v>
      </c>
    </row>
    <row r="1064" spans="2:70" outlineLevel="2">
      <c r="B1064" s="5"/>
      <c r="C1064" s="84" t="s">
        <v>74</v>
      </c>
      <c r="D1064" s="31" t="s">
        <v>66</v>
      </c>
      <c r="G1064" s="768">
        <f>G1063/G1059</f>
        <v>0.15</v>
      </c>
      <c r="K1064" s="133">
        <f>K1063/K1059</f>
        <v>0.15</v>
      </c>
      <c r="L1064" s="133">
        <f>L1063/L1059</f>
        <v>0.15</v>
      </c>
      <c r="M1064" s="133">
        <f t="shared" ref="M1064:V1064" si="4853">M1063/M1059</f>
        <v>0.15</v>
      </c>
      <c r="N1064" s="162">
        <f t="shared" si="4853"/>
        <v>0.15</v>
      </c>
      <c r="O1064" s="162">
        <f t="shared" si="4853"/>
        <v>0.15</v>
      </c>
      <c r="P1064" s="133">
        <f t="shared" si="4853"/>
        <v>0.15</v>
      </c>
      <c r="Q1064" s="20">
        <f t="shared" si="4853"/>
        <v>0.15</v>
      </c>
      <c r="R1064" s="20">
        <f t="shared" si="4853"/>
        <v>0.15</v>
      </c>
      <c r="S1064" s="20">
        <f t="shared" si="4853"/>
        <v>0.15</v>
      </c>
      <c r="T1064" s="20">
        <f t="shared" si="4853"/>
        <v>0.15</v>
      </c>
      <c r="U1064" s="20">
        <f t="shared" si="4853"/>
        <v>0.15</v>
      </c>
      <c r="V1064" s="20">
        <f t="shared" si="4853"/>
        <v>0.15</v>
      </c>
      <c r="W1064" s="20">
        <f t="shared" ref="W1064:Y1064" si="4854">W1063/W1059</f>
        <v>0.15</v>
      </c>
      <c r="X1064" s="20">
        <f t="shared" si="4854"/>
        <v>0.15</v>
      </c>
      <c r="Y1064" s="20">
        <f t="shared" si="4854"/>
        <v>0.15</v>
      </c>
      <c r="Z1064" s="20">
        <f t="shared" ref="Z1064:AN1064" si="4855">Z1063/Z1059</f>
        <v>0.15</v>
      </c>
      <c r="AA1064" s="20">
        <f t="shared" si="4855"/>
        <v>0.15</v>
      </c>
      <c r="AB1064" s="20">
        <f t="shared" si="4855"/>
        <v>0.15</v>
      </c>
      <c r="AC1064" s="20">
        <f t="shared" si="4855"/>
        <v>0.15</v>
      </c>
      <c r="AD1064" s="20">
        <f t="shared" si="4855"/>
        <v>0.15</v>
      </c>
      <c r="AE1064" s="133">
        <f t="shared" si="4855"/>
        <v>0.15</v>
      </c>
      <c r="AF1064" s="133">
        <f t="shared" si="4855"/>
        <v>0.15</v>
      </c>
      <c r="AG1064" s="938">
        <f t="shared" si="4855"/>
        <v>0.15</v>
      </c>
      <c r="AH1064" s="20">
        <f t="shared" si="4855"/>
        <v>0.15</v>
      </c>
      <c r="AI1064" s="20">
        <f t="shared" si="4855"/>
        <v>0.15</v>
      </c>
      <c r="AJ1064" s="20">
        <f t="shared" si="4855"/>
        <v>0.15</v>
      </c>
      <c r="AK1064" s="20">
        <f t="shared" si="4855"/>
        <v>0.15</v>
      </c>
      <c r="AL1064" s="20">
        <f t="shared" si="4855"/>
        <v>0.15</v>
      </c>
      <c r="AM1064" s="20">
        <f t="shared" si="4855"/>
        <v>0.15</v>
      </c>
      <c r="AN1064" s="20">
        <f t="shared" si="4855"/>
        <v>0.15</v>
      </c>
      <c r="AO1064" s="20">
        <f t="shared" ref="AO1064:BR1064" si="4856">AO1063/AO1059</f>
        <v>0.15</v>
      </c>
      <c r="AP1064" s="20">
        <f t="shared" si="4856"/>
        <v>0.15</v>
      </c>
      <c r="AQ1064" s="20">
        <f t="shared" si="4856"/>
        <v>0.15</v>
      </c>
      <c r="AR1064" s="20">
        <f t="shared" si="4856"/>
        <v>0.15</v>
      </c>
      <c r="AS1064" s="20">
        <f t="shared" si="4856"/>
        <v>0.15</v>
      </c>
      <c r="AT1064" s="20">
        <f t="shared" si="4856"/>
        <v>0.15</v>
      </c>
      <c r="AU1064" s="20">
        <f t="shared" si="4856"/>
        <v>0.15</v>
      </c>
      <c r="AV1064" s="20">
        <f t="shared" si="4856"/>
        <v>0.15</v>
      </c>
      <c r="AW1064" s="20">
        <f t="shared" si="4856"/>
        <v>0.15</v>
      </c>
      <c r="AX1064" s="20">
        <f t="shared" si="4856"/>
        <v>0.15</v>
      </c>
      <c r="AY1064" s="20">
        <f t="shared" si="4856"/>
        <v>0.15</v>
      </c>
      <c r="AZ1064" s="20">
        <f t="shared" si="4856"/>
        <v>0.15</v>
      </c>
      <c r="BA1064" s="20">
        <f t="shared" si="4856"/>
        <v>0.15</v>
      </c>
      <c r="BB1064" s="20">
        <f t="shared" si="4856"/>
        <v>0.15</v>
      </c>
      <c r="BC1064" s="20">
        <f t="shared" si="4856"/>
        <v>0.15</v>
      </c>
      <c r="BD1064" s="20">
        <f t="shared" si="4856"/>
        <v>0.15</v>
      </c>
      <c r="BE1064" s="20">
        <f t="shared" si="4856"/>
        <v>0.15</v>
      </c>
      <c r="BF1064" s="20">
        <f t="shared" si="4856"/>
        <v>0.15</v>
      </c>
      <c r="BG1064" s="20">
        <f t="shared" si="4856"/>
        <v>0.15</v>
      </c>
      <c r="BH1064" s="20">
        <f t="shared" si="4856"/>
        <v>0.15</v>
      </c>
      <c r="BI1064" s="20">
        <f t="shared" si="4856"/>
        <v>0.15</v>
      </c>
      <c r="BJ1064" s="20">
        <f t="shared" si="4856"/>
        <v>0.15</v>
      </c>
      <c r="BK1064" s="20">
        <f t="shared" si="4856"/>
        <v>0.15</v>
      </c>
      <c r="BL1064" s="20">
        <f t="shared" si="4856"/>
        <v>0.15</v>
      </c>
      <c r="BM1064" s="20">
        <f t="shared" si="4856"/>
        <v>0.15</v>
      </c>
      <c r="BN1064" s="20">
        <f t="shared" si="4856"/>
        <v>0.15</v>
      </c>
      <c r="BO1064" s="20">
        <f t="shared" si="4856"/>
        <v>0.15</v>
      </c>
      <c r="BP1064" s="20">
        <f t="shared" si="4856"/>
        <v>0.15</v>
      </c>
      <c r="BQ1064" s="20">
        <f t="shared" si="4856"/>
        <v>0.15</v>
      </c>
      <c r="BR1064" s="20">
        <f t="shared" si="4856"/>
        <v>0.15</v>
      </c>
    </row>
    <row r="1065" spans="2:70" outlineLevel="2">
      <c r="B1065" s="5"/>
      <c r="C1065" s="84" t="s">
        <v>90</v>
      </c>
      <c r="D1065" s="31" t="s">
        <v>85</v>
      </c>
      <c r="G1065" s="777">
        <f>G1067*G1059</f>
        <v>2.15</v>
      </c>
      <c r="K1065" s="36">
        <v>0</v>
      </c>
      <c r="L1065" s="36">
        <v>0</v>
      </c>
      <c r="M1065" s="364">
        <f>K1065+L1065</f>
        <v>0</v>
      </c>
      <c r="N1065" s="402">
        <v>0.5</v>
      </c>
      <c r="O1065" s="402">
        <v>0.5</v>
      </c>
      <c r="P1065" s="364">
        <f>N1065+O1065</f>
        <v>1</v>
      </c>
      <c r="Q1065" s="402">
        <v>0.5</v>
      </c>
      <c r="R1065" s="402">
        <v>0.5</v>
      </c>
      <c r="S1065" s="364">
        <f>Q1065+R1065</f>
        <v>1</v>
      </c>
      <c r="T1065" s="402">
        <f>G1065-S1066</f>
        <v>0.14999999999999991</v>
      </c>
      <c r="U1065" s="402">
        <v>0</v>
      </c>
      <c r="V1065" s="364">
        <f>T1065+U1065</f>
        <v>0.14999999999999991</v>
      </c>
      <c r="W1065" s="402">
        <v>0</v>
      </c>
      <c r="X1065" s="402">
        <v>0</v>
      </c>
      <c r="Y1065" s="364">
        <f>W1065+X1065</f>
        <v>0</v>
      </c>
      <c r="Z1065" s="402">
        <v>0</v>
      </c>
      <c r="AA1065" s="402">
        <v>0</v>
      </c>
      <c r="AB1065" s="364">
        <f>Z1065+AA1065</f>
        <v>0</v>
      </c>
      <c r="AC1065" s="402">
        <v>0</v>
      </c>
      <c r="AD1065" s="402">
        <v>0</v>
      </c>
      <c r="AE1065" s="364">
        <f>AC1065+AD1065</f>
        <v>0</v>
      </c>
      <c r="AF1065" s="402">
        <v>0</v>
      </c>
      <c r="AG1065" s="1030">
        <v>0</v>
      </c>
      <c r="AH1065" s="364">
        <f>AF1065+AG1065</f>
        <v>0</v>
      </c>
      <c r="AI1065" s="402">
        <v>0</v>
      </c>
      <c r="AJ1065" s="402">
        <v>0</v>
      </c>
      <c r="AK1065" s="364">
        <f>AI1065+AJ1065</f>
        <v>0</v>
      </c>
      <c r="AL1065" s="402">
        <v>0</v>
      </c>
      <c r="AM1065" s="402">
        <v>0</v>
      </c>
      <c r="AN1065" s="364">
        <f>AL1065+AM1065</f>
        <v>0</v>
      </c>
      <c r="AO1065" s="402">
        <v>0</v>
      </c>
      <c r="AP1065" s="402">
        <v>0</v>
      </c>
      <c r="AQ1065" s="364">
        <f>AO1065+AP1065</f>
        <v>0</v>
      </c>
      <c r="AR1065" s="402">
        <v>0</v>
      </c>
      <c r="AS1065" s="402">
        <v>0</v>
      </c>
      <c r="AT1065" s="364">
        <f>AR1065+AS1065</f>
        <v>0</v>
      </c>
      <c r="AU1065" s="402">
        <v>0</v>
      </c>
      <c r="AV1065" s="402">
        <v>0</v>
      </c>
      <c r="AW1065" s="364">
        <f>AU1065+AV1065</f>
        <v>0</v>
      </c>
      <c r="AX1065" s="402">
        <v>0</v>
      </c>
      <c r="AY1065" s="402">
        <v>0</v>
      </c>
      <c r="AZ1065" s="364">
        <f>AX1065+AY1065</f>
        <v>0</v>
      </c>
      <c r="BA1065" s="402">
        <v>0</v>
      </c>
      <c r="BB1065" s="402">
        <v>0</v>
      </c>
      <c r="BC1065" s="364">
        <f>BA1065+BB1065</f>
        <v>0</v>
      </c>
      <c r="BD1065" s="402">
        <v>0</v>
      </c>
      <c r="BE1065" s="402">
        <v>0</v>
      </c>
      <c r="BF1065" s="364">
        <f>BD1065+BE1065</f>
        <v>0</v>
      </c>
      <c r="BG1065" s="402">
        <v>0</v>
      </c>
      <c r="BH1065" s="402">
        <v>0</v>
      </c>
      <c r="BI1065" s="364">
        <f>BG1065+BH1065</f>
        <v>0</v>
      </c>
      <c r="BJ1065" s="402">
        <v>0</v>
      </c>
      <c r="BK1065" s="402">
        <v>0</v>
      </c>
      <c r="BL1065" s="364">
        <f>BJ1065+BK1065</f>
        <v>0</v>
      </c>
      <c r="BM1065" s="402">
        <v>0</v>
      </c>
      <c r="BN1065" s="402">
        <v>0</v>
      </c>
      <c r="BO1065" s="364">
        <f>BM1065+BN1065</f>
        <v>0</v>
      </c>
      <c r="BP1065" s="402">
        <v>0</v>
      </c>
      <c r="BQ1065" s="402">
        <v>0</v>
      </c>
      <c r="BR1065" s="364">
        <f>BP1065+BQ1065</f>
        <v>0</v>
      </c>
    </row>
    <row r="1066" spans="2:70" outlineLevel="2">
      <c r="B1066" s="5"/>
      <c r="C1066" s="84" t="s">
        <v>89</v>
      </c>
      <c r="D1066" s="31"/>
      <c r="G1066" s="771"/>
      <c r="K1066" s="24">
        <f>K1065</f>
        <v>0</v>
      </c>
      <c r="L1066" s="24">
        <f>L1065</f>
        <v>0</v>
      </c>
      <c r="M1066" s="156">
        <f>G1066+M1065</f>
        <v>0</v>
      </c>
      <c r="N1066" s="156">
        <f>K1066+N1065</f>
        <v>0.5</v>
      </c>
      <c r="O1066" s="156">
        <f>L1066+O1065</f>
        <v>0.5</v>
      </c>
      <c r="P1066" s="156">
        <f>N1066+O1066</f>
        <v>1</v>
      </c>
      <c r="Q1066" s="156">
        <f>N1066+Q1065</f>
        <v>1</v>
      </c>
      <c r="R1066" s="156">
        <f>O1066+R1065</f>
        <v>1</v>
      </c>
      <c r="S1066" s="156">
        <f>Q1066+R1066</f>
        <v>2</v>
      </c>
      <c r="T1066" s="156">
        <f>Q1066+T1065</f>
        <v>1.1499999999999999</v>
      </c>
      <c r="U1066" s="156">
        <f>R1066+U1065</f>
        <v>1</v>
      </c>
      <c r="V1066" s="156">
        <f>T1066+U1066</f>
        <v>2.15</v>
      </c>
      <c r="W1066" s="156">
        <f>T1066+W1065</f>
        <v>1.1499999999999999</v>
      </c>
      <c r="X1066" s="156">
        <f>U1066+X1065</f>
        <v>1</v>
      </c>
      <c r="Y1066" s="156">
        <f>W1066+X1066</f>
        <v>2.15</v>
      </c>
      <c r="Z1066" s="156">
        <f>W1066+Z1065</f>
        <v>1.1499999999999999</v>
      </c>
      <c r="AA1066" s="156">
        <f>X1066+AA1065</f>
        <v>1</v>
      </c>
      <c r="AB1066" s="156">
        <f>Z1066+AA1066</f>
        <v>2.15</v>
      </c>
      <c r="AC1066" s="156">
        <f>Z1066+AC1065</f>
        <v>1.1499999999999999</v>
      </c>
      <c r="AD1066" s="156">
        <f>AA1066+AD1065</f>
        <v>1</v>
      </c>
      <c r="AE1066" s="157">
        <f>AC1066+AD1066</f>
        <v>2.15</v>
      </c>
      <c r="AF1066" s="157">
        <f>AC1066+AF1065</f>
        <v>1.1499999999999999</v>
      </c>
      <c r="AG1066" s="1031">
        <f>AD1066+AG1065</f>
        <v>1</v>
      </c>
      <c r="AH1066" s="156">
        <f>AF1066+AG1066</f>
        <v>2.15</v>
      </c>
      <c r="AI1066" s="156">
        <f>AF1066+AI1065</f>
        <v>1.1499999999999999</v>
      </c>
      <c r="AJ1066" s="156">
        <f>AG1066+AJ1065</f>
        <v>1</v>
      </c>
      <c r="AK1066" s="156">
        <f>AI1066+AJ1066</f>
        <v>2.15</v>
      </c>
      <c r="AL1066" s="156">
        <f>AI1066+AL1065</f>
        <v>1.1499999999999999</v>
      </c>
      <c r="AM1066" s="156">
        <f>AJ1066+AM1065</f>
        <v>1</v>
      </c>
      <c r="AN1066" s="156">
        <f>AL1066+AM1066</f>
        <v>2.15</v>
      </c>
      <c r="AO1066" s="156">
        <f>AL1066+AO1065</f>
        <v>1.1499999999999999</v>
      </c>
      <c r="AP1066" s="156">
        <f>AM1066+AP1065</f>
        <v>1</v>
      </c>
      <c r="AQ1066" s="156">
        <f>AO1066+AP1066</f>
        <v>2.15</v>
      </c>
      <c r="AR1066" s="156">
        <f>AO1066+AR1065</f>
        <v>1.1499999999999999</v>
      </c>
      <c r="AS1066" s="156">
        <f>AP1066+AS1065</f>
        <v>1</v>
      </c>
      <c r="AT1066" s="156">
        <f>AR1066+AS1066</f>
        <v>2.15</v>
      </c>
      <c r="AU1066" s="156">
        <f>AR1066+AU1065</f>
        <v>1.1499999999999999</v>
      </c>
      <c r="AV1066" s="156">
        <f>AS1066+AV1065</f>
        <v>1</v>
      </c>
      <c r="AW1066" s="156">
        <f>AU1066+AV1066</f>
        <v>2.15</v>
      </c>
      <c r="AX1066" s="156">
        <f>AU1066+AX1065</f>
        <v>1.1499999999999999</v>
      </c>
      <c r="AY1066" s="156">
        <f>AV1066+AY1065</f>
        <v>1</v>
      </c>
      <c r="AZ1066" s="156">
        <f>AX1066+AY1066</f>
        <v>2.15</v>
      </c>
      <c r="BA1066" s="156">
        <f>AX1066+BA1065</f>
        <v>1.1499999999999999</v>
      </c>
      <c r="BB1066" s="156">
        <f>AY1066+BB1065</f>
        <v>1</v>
      </c>
      <c r="BC1066" s="156">
        <f>BA1066+BB1066</f>
        <v>2.15</v>
      </c>
      <c r="BD1066" s="156">
        <f>BA1066+BD1065</f>
        <v>1.1499999999999999</v>
      </c>
      <c r="BE1066" s="156">
        <f>BB1066+BE1065</f>
        <v>1</v>
      </c>
      <c r="BF1066" s="156">
        <f>BD1066+BE1066</f>
        <v>2.15</v>
      </c>
      <c r="BG1066" s="156">
        <f>BD1066+BG1065</f>
        <v>1.1499999999999999</v>
      </c>
      <c r="BH1066" s="156">
        <f>BE1066+BH1065</f>
        <v>1</v>
      </c>
      <c r="BI1066" s="156">
        <f>BG1066+BH1066</f>
        <v>2.15</v>
      </c>
      <c r="BJ1066" s="156">
        <f>BG1066+BJ1065</f>
        <v>1.1499999999999999</v>
      </c>
      <c r="BK1066" s="156">
        <f>BH1066+BK1065</f>
        <v>1</v>
      </c>
      <c r="BL1066" s="156">
        <f>BJ1066+BK1066</f>
        <v>2.15</v>
      </c>
      <c r="BM1066" s="156">
        <f>BJ1066+BM1065</f>
        <v>1.1499999999999999</v>
      </c>
      <c r="BN1066" s="156">
        <f>BK1066+BN1065</f>
        <v>1</v>
      </c>
      <c r="BO1066" s="156">
        <f>BM1066+BN1066</f>
        <v>2.15</v>
      </c>
      <c r="BP1066" s="156">
        <f>BM1066+BP1065</f>
        <v>1.1499999999999999</v>
      </c>
      <c r="BQ1066" s="156">
        <f>BN1066+BQ1065</f>
        <v>1</v>
      </c>
      <c r="BR1066" s="156">
        <f>BP1066+BQ1066</f>
        <v>2.15</v>
      </c>
    </row>
    <row r="1067" spans="2:70" outlineLevel="2">
      <c r="B1067" s="5"/>
      <c r="C1067" s="84" t="s">
        <v>264</v>
      </c>
      <c r="D1067" s="31" t="s">
        <v>66</v>
      </c>
      <c r="G1067" s="773">
        <v>0.05</v>
      </c>
      <c r="K1067" s="130"/>
      <c r="M1067" s="156"/>
      <c r="N1067" s="156"/>
      <c r="O1067" s="156"/>
      <c r="P1067" s="156"/>
      <c r="Q1067" s="156"/>
      <c r="R1067" s="156"/>
      <c r="S1067" s="156"/>
      <c r="T1067" s="156"/>
      <c r="U1067" s="156"/>
      <c r="V1067" s="156"/>
      <c r="W1067" s="156"/>
      <c r="X1067" s="156"/>
      <c r="Y1067" s="156"/>
      <c r="Z1067" s="156"/>
      <c r="AA1067" s="156"/>
      <c r="AB1067" s="156"/>
      <c r="AC1067" s="156"/>
      <c r="AD1067" s="156"/>
      <c r="AE1067" s="157"/>
      <c r="AF1067" s="157"/>
      <c r="AG1067" s="1031"/>
      <c r="AH1067" s="156"/>
      <c r="AI1067" s="156"/>
      <c r="AJ1067" s="156"/>
      <c r="AK1067" s="156"/>
      <c r="AL1067" s="156"/>
      <c r="AM1067" s="156"/>
      <c r="AN1067" s="156"/>
      <c r="AO1067" s="156"/>
      <c r="AP1067" s="156"/>
      <c r="AQ1067" s="156"/>
      <c r="AR1067" s="156"/>
      <c r="AS1067" s="156"/>
      <c r="AT1067" s="156"/>
      <c r="AU1067" s="156"/>
      <c r="AV1067" s="156"/>
      <c r="AW1067" s="156"/>
      <c r="AX1067" s="156"/>
      <c r="AY1067" s="156"/>
      <c r="AZ1067" s="156"/>
      <c r="BA1067" s="156"/>
      <c r="BB1067" s="156"/>
      <c r="BC1067" s="156"/>
      <c r="BD1067" s="156"/>
      <c r="BE1067" s="156"/>
      <c r="BF1067" s="156"/>
      <c r="BG1067" s="156"/>
      <c r="BH1067" s="156"/>
      <c r="BI1067" s="156"/>
      <c r="BJ1067" s="156"/>
      <c r="BK1067" s="156"/>
      <c r="BL1067" s="156"/>
      <c r="BM1067" s="156"/>
      <c r="BN1067" s="156"/>
      <c r="BO1067" s="156"/>
      <c r="BP1067" s="156"/>
      <c r="BQ1067" s="156"/>
      <c r="BR1067" s="156"/>
    </row>
    <row r="1068" spans="2:70" outlineLevel="2">
      <c r="B1068" s="5"/>
      <c r="C1068" s="84" t="s">
        <v>79</v>
      </c>
      <c r="D1068" s="31" t="s">
        <v>85</v>
      </c>
      <c r="G1068" s="771">
        <f>G1057*G1069</f>
        <v>8.6</v>
      </c>
      <c r="K1068" s="24">
        <f>K1063+K1065</f>
        <v>1.6124999999999998</v>
      </c>
      <c r="L1068" s="24">
        <f t="shared" ref="L1068:M1068" si="4857">L1063+L1065</f>
        <v>3.2249999999999996</v>
      </c>
      <c r="M1068" s="24">
        <f t="shared" si="4857"/>
        <v>4.8374999999999995</v>
      </c>
      <c r="N1068" s="13">
        <f t="shared" ref="N1068:V1068" si="4858">N1066+N1063</f>
        <v>3.7249999999999996</v>
      </c>
      <c r="O1068" s="13">
        <f t="shared" si="4858"/>
        <v>3.7249999999999996</v>
      </c>
      <c r="P1068" s="13">
        <f t="shared" si="4858"/>
        <v>7.4499999999999993</v>
      </c>
      <c r="Q1068" s="13">
        <f t="shared" si="4858"/>
        <v>4.2249999999999996</v>
      </c>
      <c r="R1068" s="13">
        <f t="shared" si="4858"/>
        <v>4.2249999999999996</v>
      </c>
      <c r="S1068" s="13">
        <f t="shared" si="4858"/>
        <v>8.4499999999999993</v>
      </c>
      <c r="T1068" s="13">
        <f t="shared" si="4858"/>
        <v>4.375</v>
      </c>
      <c r="U1068" s="13">
        <f t="shared" si="4858"/>
        <v>4.2249999999999996</v>
      </c>
      <c r="V1068" s="13">
        <f t="shared" si="4858"/>
        <v>8.6</v>
      </c>
      <c r="W1068" s="13">
        <f t="shared" ref="W1068:Y1068" si="4859">W1066+W1063</f>
        <v>4.375</v>
      </c>
      <c r="X1068" s="13">
        <f t="shared" si="4859"/>
        <v>4.2249999999999996</v>
      </c>
      <c r="Y1068" s="13">
        <f t="shared" si="4859"/>
        <v>8.6</v>
      </c>
      <c r="Z1068" s="13">
        <f t="shared" ref="Z1068:AN1068" si="4860">Z1066+Z1063</f>
        <v>4.375</v>
      </c>
      <c r="AA1068" s="13">
        <f t="shared" si="4860"/>
        <v>4.2249999999999996</v>
      </c>
      <c r="AB1068" s="13">
        <f t="shared" si="4860"/>
        <v>8.6</v>
      </c>
      <c r="AC1068" s="13">
        <f t="shared" si="4860"/>
        <v>4.375</v>
      </c>
      <c r="AD1068" s="13">
        <f t="shared" si="4860"/>
        <v>4.2249999999999996</v>
      </c>
      <c r="AE1068" s="164">
        <f t="shared" si="4860"/>
        <v>8.6</v>
      </c>
      <c r="AF1068" s="164">
        <f t="shared" si="4860"/>
        <v>4.375</v>
      </c>
      <c r="AG1068" s="1018">
        <f t="shared" si="4860"/>
        <v>4.2249999999999996</v>
      </c>
      <c r="AH1068" s="13">
        <f t="shared" si="4860"/>
        <v>8.6</v>
      </c>
      <c r="AI1068" s="13">
        <f t="shared" si="4860"/>
        <v>4.375</v>
      </c>
      <c r="AJ1068" s="13">
        <f t="shared" si="4860"/>
        <v>4.2249999999999996</v>
      </c>
      <c r="AK1068" s="13">
        <f t="shared" si="4860"/>
        <v>8.6</v>
      </c>
      <c r="AL1068" s="13">
        <f t="shared" si="4860"/>
        <v>4.375</v>
      </c>
      <c r="AM1068" s="13">
        <f t="shared" si="4860"/>
        <v>4.2249999999999996</v>
      </c>
      <c r="AN1068" s="13">
        <f t="shared" si="4860"/>
        <v>8.6</v>
      </c>
      <c r="AO1068" s="13">
        <f t="shared" ref="AO1068:BR1068" si="4861">AO1066+AO1063</f>
        <v>4.375</v>
      </c>
      <c r="AP1068" s="13">
        <f t="shared" si="4861"/>
        <v>4.2249999999999996</v>
      </c>
      <c r="AQ1068" s="13">
        <f t="shared" si="4861"/>
        <v>8.6</v>
      </c>
      <c r="AR1068" s="13">
        <f t="shared" si="4861"/>
        <v>4.375</v>
      </c>
      <c r="AS1068" s="13">
        <f t="shared" si="4861"/>
        <v>4.2249999999999996</v>
      </c>
      <c r="AT1068" s="13">
        <f t="shared" si="4861"/>
        <v>8.6</v>
      </c>
      <c r="AU1068" s="13">
        <f t="shared" si="4861"/>
        <v>4.375</v>
      </c>
      <c r="AV1068" s="13">
        <f t="shared" si="4861"/>
        <v>4.2249999999999996</v>
      </c>
      <c r="AW1068" s="13">
        <f t="shared" si="4861"/>
        <v>8.6</v>
      </c>
      <c r="AX1068" s="13">
        <f t="shared" si="4861"/>
        <v>4.375</v>
      </c>
      <c r="AY1068" s="13">
        <f t="shared" si="4861"/>
        <v>4.2249999999999996</v>
      </c>
      <c r="AZ1068" s="13">
        <f t="shared" si="4861"/>
        <v>8.6</v>
      </c>
      <c r="BA1068" s="13">
        <f t="shared" si="4861"/>
        <v>4.375</v>
      </c>
      <c r="BB1068" s="13">
        <f t="shared" si="4861"/>
        <v>4.2249999999999996</v>
      </c>
      <c r="BC1068" s="13">
        <f t="shared" si="4861"/>
        <v>8.6</v>
      </c>
      <c r="BD1068" s="13">
        <f t="shared" si="4861"/>
        <v>4.375</v>
      </c>
      <c r="BE1068" s="13">
        <f t="shared" si="4861"/>
        <v>4.2249999999999996</v>
      </c>
      <c r="BF1068" s="13">
        <f t="shared" si="4861"/>
        <v>8.6</v>
      </c>
      <c r="BG1068" s="13">
        <f t="shared" si="4861"/>
        <v>4.375</v>
      </c>
      <c r="BH1068" s="13">
        <f t="shared" si="4861"/>
        <v>4.2249999999999996</v>
      </c>
      <c r="BI1068" s="13">
        <f t="shared" si="4861"/>
        <v>8.6</v>
      </c>
      <c r="BJ1068" s="13">
        <f t="shared" si="4861"/>
        <v>4.375</v>
      </c>
      <c r="BK1068" s="13">
        <f t="shared" si="4861"/>
        <v>4.2249999999999996</v>
      </c>
      <c r="BL1068" s="13">
        <f t="shared" si="4861"/>
        <v>8.6</v>
      </c>
      <c r="BM1068" s="13">
        <f t="shared" si="4861"/>
        <v>4.375</v>
      </c>
      <c r="BN1068" s="13">
        <f t="shared" si="4861"/>
        <v>4.2249999999999996</v>
      </c>
      <c r="BO1068" s="13">
        <f t="shared" si="4861"/>
        <v>8.6</v>
      </c>
      <c r="BP1068" s="13">
        <f t="shared" si="4861"/>
        <v>4.375</v>
      </c>
      <c r="BQ1068" s="13">
        <f t="shared" si="4861"/>
        <v>4.2249999999999996</v>
      </c>
      <c r="BR1068" s="13">
        <f t="shared" si="4861"/>
        <v>8.6</v>
      </c>
    </row>
    <row r="1069" spans="2:70" outlineLevel="2">
      <c r="B1069" s="5"/>
      <c r="C1069" s="84" t="s">
        <v>75</v>
      </c>
      <c r="D1069" s="31" t="s">
        <v>66</v>
      </c>
      <c r="G1069" s="773">
        <v>0.2</v>
      </c>
      <c r="K1069" s="20">
        <f>K1068/G1057*2</f>
        <v>7.4999999999999997E-2</v>
      </c>
      <c r="L1069" s="20">
        <f>L1068/$G$1057*2</f>
        <v>0.15</v>
      </c>
      <c r="M1069" s="20">
        <f>M1068/$G$1057</f>
        <v>0.11249999999999999</v>
      </c>
      <c r="N1069" s="20">
        <f>N1068/$G$1057*2</f>
        <v>0.17325581395348835</v>
      </c>
      <c r="O1069" s="20">
        <f>O1068/$G$1057*2</f>
        <v>0.17325581395348835</v>
      </c>
      <c r="P1069" s="20">
        <f>P1068/$G$1057</f>
        <v>0.17325581395348835</v>
      </c>
      <c r="Q1069" s="20">
        <f>Q1068/$G$1057*2</f>
        <v>0.19651162790697674</v>
      </c>
      <c r="R1069" s="20">
        <f>R1068/$G$1057*2</f>
        <v>0.19651162790697674</v>
      </c>
      <c r="S1069" s="20">
        <f>S1068/$G$1057</f>
        <v>0.19651162790697674</v>
      </c>
      <c r="T1069" s="20">
        <f>T1068/$G$1057*2</f>
        <v>0.20348837209302326</v>
      </c>
      <c r="U1069" s="20">
        <f>U1068/$G$1057*2</f>
        <v>0.19651162790697674</v>
      </c>
      <c r="V1069" s="20">
        <f>V1068/$G$1057</f>
        <v>0.19999999999999998</v>
      </c>
      <c r="W1069" s="20">
        <f>W1068/$G$1057*2</f>
        <v>0.20348837209302326</v>
      </c>
      <c r="X1069" s="20">
        <f>X1068/$G$1057*2</f>
        <v>0.19651162790697674</v>
      </c>
      <c r="Y1069" s="20">
        <f>Y1068/$G$1057</f>
        <v>0.19999999999999998</v>
      </c>
      <c r="Z1069" s="20">
        <f>Z1068/$G$1057*2</f>
        <v>0.20348837209302326</v>
      </c>
      <c r="AA1069" s="20">
        <f>AA1068/$G$1057*2</f>
        <v>0.19651162790697674</v>
      </c>
      <c r="AB1069" s="20">
        <f>AB1068/$G$1057</f>
        <v>0.19999999999999998</v>
      </c>
      <c r="AC1069" s="20">
        <f>AC1068/$G$1057*2</f>
        <v>0.20348837209302326</v>
      </c>
      <c r="AD1069" s="20">
        <f>AD1068/$G$1057*2</f>
        <v>0.19651162790697674</v>
      </c>
      <c r="AE1069" s="133">
        <f>AE1068/$G$1057</f>
        <v>0.19999999999999998</v>
      </c>
      <c r="AF1069" s="133">
        <f>AF1068/$G$1057*2</f>
        <v>0.20348837209302326</v>
      </c>
      <c r="AG1069" s="938">
        <f>AG1068/$G$1057*2</f>
        <v>0.19651162790697674</v>
      </c>
      <c r="AH1069" s="20">
        <f>AH1068/$G$1057</f>
        <v>0.19999999999999998</v>
      </c>
      <c r="AI1069" s="20">
        <f>AI1068/$G$1057*2</f>
        <v>0.20348837209302326</v>
      </c>
      <c r="AJ1069" s="20">
        <f>AJ1068/$G$1057*2</f>
        <v>0.19651162790697674</v>
      </c>
      <c r="AK1069" s="20">
        <f>AK1068/$G$1057</f>
        <v>0.19999999999999998</v>
      </c>
      <c r="AL1069" s="20">
        <f>AL1068/$G$1057*2</f>
        <v>0.20348837209302326</v>
      </c>
      <c r="AM1069" s="20">
        <f>AM1068/$G$1057*2</f>
        <v>0.19651162790697674</v>
      </c>
      <c r="AN1069" s="20">
        <f>AN1068/$G$1057</f>
        <v>0.19999999999999998</v>
      </c>
      <c r="AO1069" s="20">
        <f>AO1068/$G$1057*2</f>
        <v>0.20348837209302326</v>
      </c>
      <c r="AP1069" s="20">
        <f>AP1068/$G$1057*2</f>
        <v>0.19651162790697674</v>
      </c>
      <c r="AQ1069" s="20">
        <f>AQ1068/$G$1057</f>
        <v>0.19999999999999998</v>
      </c>
      <c r="AR1069" s="20">
        <f>AR1068/$G$1057*2</f>
        <v>0.20348837209302326</v>
      </c>
      <c r="AS1069" s="20">
        <f>AS1068/$G$1057*2</f>
        <v>0.19651162790697674</v>
      </c>
      <c r="AT1069" s="20">
        <f>AT1068/$G$1057</f>
        <v>0.19999999999999998</v>
      </c>
      <c r="AU1069" s="20">
        <f>AU1068/$G$1057*2</f>
        <v>0.20348837209302326</v>
      </c>
      <c r="AV1069" s="20">
        <f>AV1068/$G$1057*2</f>
        <v>0.19651162790697674</v>
      </c>
      <c r="AW1069" s="20">
        <f>AW1068/$G$1057</f>
        <v>0.19999999999999998</v>
      </c>
      <c r="AX1069" s="20">
        <f>AX1068/$G$1057*2</f>
        <v>0.20348837209302326</v>
      </c>
      <c r="AY1069" s="20">
        <f>AY1068/$G$1057*2</f>
        <v>0.19651162790697674</v>
      </c>
      <c r="AZ1069" s="20">
        <f>AZ1068/$G$1057</f>
        <v>0.19999999999999998</v>
      </c>
      <c r="BA1069" s="20">
        <f>BA1068/$G$1057*2</f>
        <v>0.20348837209302326</v>
      </c>
      <c r="BB1069" s="20">
        <f>BB1068/$G$1057*2</f>
        <v>0.19651162790697674</v>
      </c>
      <c r="BC1069" s="20">
        <f>BC1068/$G$1057</f>
        <v>0.19999999999999998</v>
      </c>
      <c r="BD1069" s="20">
        <f>BD1068/$G$1057*2</f>
        <v>0.20348837209302326</v>
      </c>
      <c r="BE1069" s="20">
        <f>BE1068/$G$1057*2</f>
        <v>0.19651162790697674</v>
      </c>
      <c r="BF1069" s="20">
        <f>BF1068/$G$1057</f>
        <v>0.19999999999999998</v>
      </c>
      <c r="BG1069" s="20">
        <f>BG1068/$G$1057*2</f>
        <v>0.20348837209302326</v>
      </c>
      <c r="BH1069" s="20">
        <f>BH1068/$G$1057*2</f>
        <v>0.19651162790697674</v>
      </c>
      <c r="BI1069" s="20">
        <f>BI1068/$G$1057</f>
        <v>0.19999999999999998</v>
      </c>
      <c r="BJ1069" s="20">
        <f>BJ1068/$G$1057*2</f>
        <v>0.20348837209302326</v>
      </c>
      <c r="BK1069" s="20">
        <f>BK1068/$G$1057*2</f>
        <v>0.19651162790697674</v>
      </c>
      <c r="BL1069" s="20">
        <f>BL1068/$G$1057</f>
        <v>0.19999999999999998</v>
      </c>
      <c r="BM1069" s="20">
        <f>BM1068/$G$1057*2</f>
        <v>0.20348837209302326</v>
      </c>
      <c r="BN1069" s="20">
        <f>BN1068/$G$1057*2</f>
        <v>0.19651162790697674</v>
      </c>
      <c r="BO1069" s="20">
        <f>BO1068/$G$1057</f>
        <v>0.19999999999999998</v>
      </c>
      <c r="BP1069" s="20">
        <f>BP1068/$G$1057*2</f>
        <v>0.20348837209302326</v>
      </c>
      <c r="BQ1069" s="20">
        <f>BQ1068/$G$1057*2</f>
        <v>0.19651162790697674</v>
      </c>
      <c r="BR1069" s="20">
        <f>BR1068/$G$1057</f>
        <v>0.19999999999999998</v>
      </c>
    </row>
    <row r="1070" spans="2:70" outlineLevel="2">
      <c r="B1070" s="5"/>
      <c r="C1070" s="84" t="s">
        <v>57</v>
      </c>
      <c r="D1070" s="7" t="s">
        <v>85</v>
      </c>
      <c r="G1070" s="774">
        <f>G1068</f>
        <v>8.6</v>
      </c>
      <c r="K1070" s="156">
        <f t="shared" ref="K1070:V1070" si="4862">K1068</f>
        <v>1.6124999999999998</v>
      </c>
      <c r="L1070" s="156">
        <f t="shared" si="4862"/>
        <v>3.2249999999999996</v>
      </c>
      <c r="M1070" s="156">
        <f t="shared" si="4862"/>
        <v>4.8374999999999995</v>
      </c>
      <c r="N1070" s="156">
        <f t="shared" si="4862"/>
        <v>3.7249999999999996</v>
      </c>
      <c r="O1070" s="156">
        <f t="shared" si="4862"/>
        <v>3.7249999999999996</v>
      </c>
      <c r="P1070" s="156">
        <f t="shared" si="4862"/>
        <v>7.4499999999999993</v>
      </c>
      <c r="Q1070" s="156">
        <f t="shared" si="4862"/>
        <v>4.2249999999999996</v>
      </c>
      <c r="R1070" s="156">
        <f t="shared" si="4862"/>
        <v>4.2249999999999996</v>
      </c>
      <c r="S1070" s="156">
        <f t="shared" si="4862"/>
        <v>8.4499999999999993</v>
      </c>
      <c r="T1070" s="156">
        <f t="shared" si="4862"/>
        <v>4.375</v>
      </c>
      <c r="U1070" s="156">
        <f t="shared" si="4862"/>
        <v>4.2249999999999996</v>
      </c>
      <c r="V1070" s="156">
        <f t="shared" si="4862"/>
        <v>8.6</v>
      </c>
      <c r="W1070" s="156">
        <f t="shared" ref="W1070:Y1070" si="4863">W1068</f>
        <v>4.375</v>
      </c>
      <c r="X1070" s="156">
        <f t="shared" si="4863"/>
        <v>4.2249999999999996</v>
      </c>
      <c r="Y1070" s="156">
        <f t="shared" si="4863"/>
        <v>8.6</v>
      </c>
      <c r="Z1070" s="156">
        <f t="shared" ref="Z1070:AN1070" si="4864">Z1068</f>
        <v>4.375</v>
      </c>
      <c r="AA1070" s="156">
        <f t="shared" si="4864"/>
        <v>4.2249999999999996</v>
      </c>
      <c r="AB1070" s="156">
        <f t="shared" si="4864"/>
        <v>8.6</v>
      </c>
      <c r="AC1070" s="156">
        <f t="shared" si="4864"/>
        <v>4.375</v>
      </c>
      <c r="AD1070" s="156">
        <f t="shared" si="4864"/>
        <v>4.2249999999999996</v>
      </c>
      <c r="AE1070" s="157">
        <f t="shared" si="4864"/>
        <v>8.6</v>
      </c>
      <c r="AF1070" s="157">
        <f t="shared" si="4864"/>
        <v>4.375</v>
      </c>
      <c r="AG1070" s="1031">
        <f t="shared" si="4864"/>
        <v>4.2249999999999996</v>
      </c>
      <c r="AH1070" s="156">
        <f t="shared" si="4864"/>
        <v>8.6</v>
      </c>
      <c r="AI1070" s="156">
        <f t="shared" si="4864"/>
        <v>4.375</v>
      </c>
      <c r="AJ1070" s="156">
        <f t="shared" si="4864"/>
        <v>4.2249999999999996</v>
      </c>
      <c r="AK1070" s="156">
        <f t="shared" si="4864"/>
        <v>8.6</v>
      </c>
      <c r="AL1070" s="156">
        <f t="shared" si="4864"/>
        <v>4.375</v>
      </c>
      <c r="AM1070" s="156">
        <f t="shared" si="4864"/>
        <v>4.2249999999999996</v>
      </c>
      <c r="AN1070" s="156">
        <f t="shared" si="4864"/>
        <v>8.6</v>
      </c>
      <c r="AO1070" s="156">
        <f t="shared" ref="AO1070:BR1070" si="4865">AO1068</f>
        <v>4.375</v>
      </c>
      <c r="AP1070" s="156">
        <f t="shared" si="4865"/>
        <v>4.2249999999999996</v>
      </c>
      <c r="AQ1070" s="156">
        <f t="shared" si="4865"/>
        <v>8.6</v>
      </c>
      <c r="AR1070" s="156">
        <f t="shared" si="4865"/>
        <v>4.375</v>
      </c>
      <c r="AS1070" s="156">
        <f t="shared" si="4865"/>
        <v>4.2249999999999996</v>
      </c>
      <c r="AT1070" s="156">
        <f t="shared" si="4865"/>
        <v>8.6</v>
      </c>
      <c r="AU1070" s="156">
        <f t="shared" si="4865"/>
        <v>4.375</v>
      </c>
      <c r="AV1070" s="156">
        <f t="shared" si="4865"/>
        <v>4.2249999999999996</v>
      </c>
      <c r="AW1070" s="156">
        <f t="shared" si="4865"/>
        <v>8.6</v>
      </c>
      <c r="AX1070" s="156">
        <f t="shared" si="4865"/>
        <v>4.375</v>
      </c>
      <c r="AY1070" s="156">
        <f t="shared" si="4865"/>
        <v>4.2249999999999996</v>
      </c>
      <c r="AZ1070" s="156">
        <f t="shared" si="4865"/>
        <v>8.6</v>
      </c>
      <c r="BA1070" s="156">
        <f t="shared" si="4865"/>
        <v>4.375</v>
      </c>
      <c r="BB1070" s="156">
        <f t="shared" si="4865"/>
        <v>4.2249999999999996</v>
      </c>
      <c r="BC1070" s="156">
        <f t="shared" si="4865"/>
        <v>8.6</v>
      </c>
      <c r="BD1070" s="156">
        <f t="shared" si="4865"/>
        <v>4.375</v>
      </c>
      <c r="BE1070" s="156">
        <f t="shared" si="4865"/>
        <v>4.2249999999999996</v>
      </c>
      <c r="BF1070" s="156">
        <f t="shared" si="4865"/>
        <v>8.6</v>
      </c>
      <c r="BG1070" s="156">
        <f t="shared" si="4865"/>
        <v>4.375</v>
      </c>
      <c r="BH1070" s="156">
        <f t="shared" si="4865"/>
        <v>4.2249999999999996</v>
      </c>
      <c r="BI1070" s="156">
        <f t="shared" si="4865"/>
        <v>8.6</v>
      </c>
      <c r="BJ1070" s="156">
        <f t="shared" si="4865"/>
        <v>4.375</v>
      </c>
      <c r="BK1070" s="156">
        <f t="shared" si="4865"/>
        <v>4.2249999999999996</v>
      </c>
      <c r="BL1070" s="156">
        <f t="shared" si="4865"/>
        <v>8.6</v>
      </c>
      <c r="BM1070" s="156">
        <f t="shared" si="4865"/>
        <v>4.375</v>
      </c>
      <c r="BN1070" s="156">
        <f t="shared" si="4865"/>
        <v>4.2249999999999996</v>
      </c>
      <c r="BO1070" s="156">
        <f t="shared" si="4865"/>
        <v>8.6</v>
      </c>
      <c r="BP1070" s="156">
        <f t="shared" si="4865"/>
        <v>4.375</v>
      </c>
      <c r="BQ1070" s="156">
        <f t="shared" si="4865"/>
        <v>4.2249999999999996</v>
      </c>
      <c r="BR1070" s="156">
        <f t="shared" si="4865"/>
        <v>8.6</v>
      </c>
    </row>
    <row r="1071" spans="2:70" outlineLevel="2">
      <c r="B1071" s="5"/>
      <c r="C1071" s="511" t="s">
        <v>267</v>
      </c>
      <c r="D1071" s="512" t="s">
        <v>85</v>
      </c>
      <c r="E1071" s="512"/>
      <c r="F1071" s="512"/>
      <c r="G1071" s="512"/>
      <c r="H1071" s="512"/>
      <c r="I1071" s="512"/>
      <c r="J1071" s="512"/>
      <c r="K1071" s="748">
        <f>(K1059-H1059)</f>
        <v>10.75</v>
      </c>
      <c r="L1071" s="748">
        <f>(L1059-I1059)</f>
        <v>21.5</v>
      </c>
      <c r="M1071" s="748">
        <f t="shared" ref="M1071:M1073" si="4866">SUM(K1071:L1071)</f>
        <v>32.25</v>
      </c>
      <c r="N1071" s="748">
        <f t="shared" ref="N1071:O1071" si="4867">(N1059-K1059)</f>
        <v>10.75</v>
      </c>
      <c r="O1071" s="748">
        <f t="shared" si="4867"/>
        <v>0</v>
      </c>
      <c r="P1071" s="748">
        <f t="shared" ref="P1071:P1073" si="4868">SUM(N1071:O1071)</f>
        <v>10.75</v>
      </c>
      <c r="Q1071" s="748">
        <f t="shared" ref="Q1071:R1071" si="4869">(Q1059-N1059)</f>
        <v>0</v>
      </c>
      <c r="R1071" s="748">
        <f t="shared" si="4869"/>
        <v>0</v>
      </c>
      <c r="S1071" s="748">
        <f t="shared" ref="S1071:S1073" si="4870">SUM(Q1071:R1071)</f>
        <v>0</v>
      </c>
      <c r="T1071" s="748">
        <f t="shared" ref="T1071:U1071" si="4871">(T1059-Q1059)</f>
        <v>0</v>
      </c>
      <c r="U1071" s="748">
        <f t="shared" si="4871"/>
        <v>0</v>
      </c>
      <c r="V1071" s="748">
        <f t="shared" ref="V1071:V1073" si="4872">SUM(T1071:U1071)</f>
        <v>0</v>
      </c>
      <c r="W1071" s="748">
        <f t="shared" ref="W1071" si="4873">(W1059-T1059)</f>
        <v>0</v>
      </c>
      <c r="X1071" s="748">
        <f t="shared" ref="X1071" si="4874">(X1059-U1059)</f>
        <v>0</v>
      </c>
      <c r="Y1071" s="748">
        <f t="shared" ref="Y1071:Y1073" si="4875">SUM(W1071:X1071)</f>
        <v>0</v>
      </c>
      <c r="Z1071" s="748">
        <f t="shared" ref="Z1071" si="4876">(Z1059-W1059)</f>
        <v>0</v>
      </c>
      <c r="AA1071" s="748">
        <f t="shared" ref="AA1071" si="4877">(AA1059-X1059)</f>
        <v>0</v>
      </c>
      <c r="AB1071" s="748">
        <f t="shared" ref="AB1071:AB1073" si="4878">SUM(Z1071:AA1071)</f>
        <v>0</v>
      </c>
      <c r="AC1071" s="748">
        <f t="shared" ref="AC1071" si="4879">(AC1059-Z1059)</f>
        <v>0</v>
      </c>
      <c r="AD1071" s="748">
        <f t="shared" ref="AD1071" si="4880">(AD1059-AA1059)</f>
        <v>0</v>
      </c>
      <c r="AE1071" s="748">
        <f t="shared" ref="AE1071:AE1073" si="4881">SUM(AC1071:AD1071)</f>
        <v>0</v>
      </c>
      <c r="AF1071" s="748">
        <f t="shared" ref="AF1071" si="4882">(AF1059-AC1059)</f>
        <v>0</v>
      </c>
      <c r="AG1071" s="1033">
        <f t="shared" ref="AG1071" si="4883">(AG1059-AD1059)</f>
        <v>0</v>
      </c>
      <c r="AH1071" s="748">
        <f t="shared" ref="AH1071:AH1073" si="4884">SUM(AF1071:AG1071)</f>
        <v>0</v>
      </c>
      <c r="AI1071" s="748">
        <f t="shared" ref="AI1071" si="4885">(AI1059-AF1059)</f>
        <v>0</v>
      </c>
      <c r="AJ1071" s="748">
        <f t="shared" ref="AJ1071" si="4886">(AJ1059-AG1059)</f>
        <v>0</v>
      </c>
      <c r="AK1071" s="748">
        <f t="shared" ref="AK1071:AK1073" si="4887">SUM(AI1071:AJ1071)</f>
        <v>0</v>
      </c>
      <c r="AL1071" s="748">
        <f t="shared" ref="AL1071" si="4888">(AL1059-AI1059)</f>
        <v>0</v>
      </c>
      <c r="AM1071" s="748">
        <f t="shared" ref="AM1071" si="4889">(AM1059-AJ1059)</f>
        <v>0</v>
      </c>
      <c r="AN1071" s="748">
        <f t="shared" ref="AN1071:AN1073" si="4890">SUM(AL1071:AM1071)</f>
        <v>0</v>
      </c>
      <c r="AO1071" s="748">
        <f t="shared" ref="AO1071" si="4891">(AO1059-AL1059)</f>
        <v>0</v>
      </c>
      <c r="AP1071" s="748">
        <f t="shared" ref="AP1071" si="4892">(AP1059-AM1059)</f>
        <v>0</v>
      </c>
      <c r="AQ1071" s="748">
        <f t="shared" ref="AQ1071:AQ1073" si="4893">SUM(AO1071:AP1071)</f>
        <v>0</v>
      </c>
      <c r="AR1071" s="748">
        <f t="shared" ref="AR1071" si="4894">(AR1059-AO1059)</f>
        <v>0</v>
      </c>
      <c r="AS1071" s="748">
        <f t="shared" ref="AS1071" si="4895">(AS1059-AP1059)</f>
        <v>0</v>
      </c>
      <c r="AT1071" s="748">
        <f t="shared" ref="AT1071:AT1073" si="4896">SUM(AR1071:AS1071)</f>
        <v>0</v>
      </c>
      <c r="AU1071" s="748">
        <f t="shared" ref="AU1071" si="4897">(AU1059-AR1059)</f>
        <v>0</v>
      </c>
      <c r="AV1071" s="748">
        <f t="shared" ref="AV1071" si="4898">(AV1059-AS1059)</f>
        <v>0</v>
      </c>
      <c r="AW1071" s="748">
        <f t="shared" ref="AW1071:AW1073" si="4899">SUM(AU1071:AV1071)</f>
        <v>0</v>
      </c>
      <c r="AX1071" s="748">
        <f t="shared" ref="AX1071" si="4900">(AX1059-AU1059)</f>
        <v>0</v>
      </c>
      <c r="AY1071" s="748">
        <f t="shared" ref="AY1071" si="4901">(AY1059-AV1059)</f>
        <v>0</v>
      </c>
      <c r="AZ1071" s="748">
        <f t="shared" ref="AZ1071:AZ1073" si="4902">SUM(AX1071:AY1071)</f>
        <v>0</v>
      </c>
      <c r="BA1071" s="748">
        <f t="shared" ref="BA1071" si="4903">(BA1059-AX1059)</f>
        <v>0</v>
      </c>
      <c r="BB1071" s="748">
        <f t="shared" ref="BB1071" si="4904">(BB1059-AY1059)</f>
        <v>0</v>
      </c>
      <c r="BC1071" s="748">
        <f t="shared" ref="BC1071:BC1073" si="4905">SUM(BA1071:BB1071)</f>
        <v>0</v>
      </c>
      <c r="BD1071" s="748">
        <f t="shared" ref="BD1071" si="4906">(BD1059-BA1059)</f>
        <v>0</v>
      </c>
      <c r="BE1071" s="748">
        <f t="shared" ref="BE1071" si="4907">(BE1059-BB1059)</f>
        <v>0</v>
      </c>
      <c r="BF1071" s="748">
        <f t="shared" ref="BF1071:BF1073" si="4908">SUM(BD1071:BE1071)</f>
        <v>0</v>
      </c>
      <c r="BG1071" s="748">
        <f t="shared" ref="BG1071" si="4909">(BG1059-BD1059)</f>
        <v>0</v>
      </c>
      <c r="BH1071" s="748">
        <f t="shared" ref="BH1071" si="4910">(BH1059-BE1059)</f>
        <v>0</v>
      </c>
      <c r="BI1071" s="748">
        <f t="shared" ref="BI1071:BI1073" si="4911">SUM(BG1071:BH1071)</f>
        <v>0</v>
      </c>
      <c r="BJ1071" s="748">
        <f t="shared" ref="BJ1071" si="4912">(BJ1059-BG1059)</f>
        <v>0</v>
      </c>
      <c r="BK1071" s="748">
        <f t="shared" ref="BK1071" si="4913">(BK1059-BH1059)</f>
        <v>0</v>
      </c>
      <c r="BL1071" s="748">
        <f t="shared" ref="BL1071:BL1073" si="4914">SUM(BJ1071:BK1071)</f>
        <v>0</v>
      </c>
      <c r="BM1071" s="748">
        <f t="shared" ref="BM1071" si="4915">(BM1059-BJ1059)</f>
        <v>0</v>
      </c>
      <c r="BN1071" s="748">
        <f t="shared" ref="BN1071" si="4916">(BN1059-BK1059)</f>
        <v>0</v>
      </c>
      <c r="BO1071" s="748">
        <f t="shared" ref="BO1071:BO1073" si="4917">SUM(BM1071:BN1071)</f>
        <v>0</v>
      </c>
      <c r="BP1071" s="748">
        <f t="shared" ref="BP1071" si="4918">(BP1059-BM1059)</f>
        <v>0</v>
      </c>
      <c r="BQ1071" s="748">
        <f t="shared" ref="BQ1071" si="4919">(BQ1059-BN1059)</f>
        <v>0</v>
      </c>
      <c r="BR1071" s="787">
        <f t="shared" ref="BR1071:BR1073" si="4920">SUM(BP1071:BQ1071)</f>
        <v>0</v>
      </c>
    </row>
    <row r="1072" spans="2:70" outlineLevel="2">
      <c r="B1072" s="5"/>
      <c r="C1072" s="516" t="s">
        <v>268</v>
      </c>
      <c r="D1072" s="401" t="s">
        <v>85</v>
      </c>
      <c r="E1072" s="401"/>
      <c r="F1072" s="401"/>
      <c r="G1072" s="401"/>
      <c r="H1072" s="401"/>
      <c r="I1072" s="401"/>
      <c r="J1072" s="401"/>
      <c r="K1072" s="360">
        <f>(K1062-H1062)</f>
        <v>-0.58137755102040822</v>
      </c>
      <c r="L1072" s="360">
        <f>(L1062-I1062)</f>
        <v>-1.1627551020408164</v>
      </c>
      <c r="M1072" s="360">
        <f t="shared" si="4866"/>
        <v>-1.7441326530612247</v>
      </c>
      <c r="N1072" s="360">
        <f t="shared" ref="N1072:O1072" si="4921">(N1062-K1062)</f>
        <v>-0.58137755102040822</v>
      </c>
      <c r="O1072" s="360">
        <f t="shared" si="4921"/>
        <v>0</v>
      </c>
      <c r="P1072" s="360">
        <f t="shared" si="4868"/>
        <v>-0.58137755102040822</v>
      </c>
      <c r="Q1072" s="360">
        <f t="shared" ref="Q1072:R1072" si="4922">(Q1062-N1062)</f>
        <v>0</v>
      </c>
      <c r="R1072" s="360">
        <f t="shared" si="4922"/>
        <v>0</v>
      </c>
      <c r="S1072" s="360">
        <f t="shared" si="4870"/>
        <v>0</v>
      </c>
      <c r="T1072" s="360">
        <f t="shared" ref="T1072:U1072" si="4923">(T1062-Q1062)</f>
        <v>0</v>
      </c>
      <c r="U1072" s="360">
        <f t="shared" si="4923"/>
        <v>0</v>
      </c>
      <c r="V1072" s="360">
        <f t="shared" si="4872"/>
        <v>0</v>
      </c>
      <c r="W1072" s="360">
        <f t="shared" ref="W1072" si="4924">(W1062-T1062)</f>
        <v>0</v>
      </c>
      <c r="X1072" s="360">
        <f t="shared" ref="X1072" si="4925">(X1062-U1062)</f>
        <v>0</v>
      </c>
      <c r="Y1072" s="360">
        <f t="shared" si="4875"/>
        <v>0</v>
      </c>
      <c r="Z1072" s="360">
        <f t="shared" ref="Z1072" si="4926">(Z1062-W1062)</f>
        <v>0</v>
      </c>
      <c r="AA1072" s="360">
        <f t="shared" ref="AA1072" si="4927">(AA1062-X1062)</f>
        <v>0</v>
      </c>
      <c r="AB1072" s="360">
        <f t="shared" si="4878"/>
        <v>0</v>
      </c>
      <c r="AC1072" s="360">
        <f t="shared" ref="AC1072" si="4928">(AC1062-Z1062)</f>
        <v>0</v>
      </c>
      <c r="AD1072" s="360">
        <f t="shared" ref="AD1072" si="4929">(AD1062-AA1062)</f>
        <v>0</v>
      </c>
      <c r="AE1072" s="360">
        <f t="shared" si="4881"/>
        <v>0</v>
      </c>
      <c r="AF1072" s="360">
        <f t="shared" ref="AF1072" si="4930">(AF1062-AC1062)</f>
        <v>0</v>
      </c>
      <c r="AG1072" s="942">
        <f t="shared" ref="AG1072" si="4931">(AG1062-AD1062)</f>
        <v>0</v>
      </c>
      <c r="AH1072" s="360">
        <f t="shared" si="4884"/>
        <v>0</v>
      </c>
      <c r="AI1072" s="360">
        <f t="shared" ref="AI1072" si="4932">(AI1062-AF1062)</f>
        <v>0</v>
      </c>
      <c r="AJ1072" s="360">
        <f t="shared" ref="AJ1072" si="4933">(AJ1062-AG1062)</f>
        <v>0</v>
      </c>
      <c r="AK1072" s="360">
        <f t="shared" si="4887"/>
        <v>0</v>
      </c>
      <c r="AL1072" s="360">
        <f t="shared" ref="AL1072" si="4934">(AL1062-AI1062)</f>
        <v>0</v>
      </c>
      <c r="AM1072" s="360">
        <f t="shared" ref="AM1072" si="4935">(AM1062-AJ1062)</f>
        <v>0</v>
      </c>
      <c r="AN1072" s="360">
        <f t="shared" si="4890"/>
        <v>0</v>
      </c>
      <c r="AO1072" s="360">
        <f t="shared" ref="AO1072" si="4936">(AO1062-AL1062)</f>
        <v>0</v>
      </c>
      <c r="AP1072" s="360">
        <f t="shared" ref="AP1072" si="4937">(AP1062-AM1062)</f>
        <v>0</v>
      </c>
      <c r="AQ1072" s="360">
        <f t="shared" si="4893"/>
        <v>0</v>
      </c>
      <c r="AR1072" s="360">
        <f t="shared" ref="AR1072" si="4938">(AR1062-AO1062)</f>
        <v>0</v>
      </c>
      <c r="AS1072" s="360">
        <f t="shared" ref="AS1072" si="4939">(AS1062-AP1062)</f>
        <v>0</v>
      </c>
      <c r="AT1072" s="360">
        <f t="shared" si="4896"/>
        <v>0</v>
      </c>
      <c r="AU1072" s="360">
        <f t="shared" ref="AU1072" si="4940">(AU1062-AR1062)</f>
        <v>0</v>
      </c>
      <c r="AV1072" s="360">
        <f t="shared" ref="AV1072" si="4941">(AV1062-AS1062)</f>
        <v>0</v>
      </c>
      <c r="AW1072" s="360">
        <f t="shared" si="4899"/>
        <v>0</v>
      </c>
      <c r="AX1072" s="360">
        <f t="shared" ref="AX1072" si="4942">(AX1062-AU1062)</f>
        <v>0</v>
      </c>
      <c r="AY1072" s="360">
        <f t="shared" ref="AY1072" si="4943">(AY1062-AV1062)</f>
        <v>0</v>
      </c>
      <c r="AZ1072" s="360">
        <f t="shared" si="4902"/>
        <v>0</v>
      </c>
      <c r="BA1072" s="360">
        <f t="shared" ref="BA1072" si="4944">(BA1062-AX1062)</f>
        <v>0</v>
      </c>
      <c r="BB1072" s="360">
        <f t="shared" ref="BB1072" si="4945">(BB1062-AY1062)</f>
        <v>0</v>
      </c>
      <c r="BC1072" s="360">
        <f t="shared" si="4905"/>
        <v>0</v>
      </c>
      <c r="BD1072" s="360">
        <f t="shared" ref="BD1072" si="4946">(BD1062-BA1062)</f>
        <v>0</v>
      </c>
      <c r="BE1072" s="360">
        <f t="shared" ref="BE1072" si="4947">(BE1062-BB1062)</f>
        <v>0</v>
      </c>
      <c r="BF1072" s="360">
        <f t="shared" si="4908"/>
        <v>0</v>
      </c>
      <c r="BG1072" s="360">
        <f t="shared" ref="BG1072" si="4948">(BG1062-BD1062)</f>
        <v>0</v>
      </c>
      <c r="BH1072" s="360">
        <f t="shared" ref="BH1072" si="4949">(BH1062-BE1062)</f>
        <v>0</v>
      </c>
      <c r="BI1072" s="360">
        <f t="shared" si="4911"/>
        <v>0</v>
      </c>
      <c r="BJ1072" s="360">
        <f t="shared" ref="BJ1072" si="4950">(BJ1062-BG1062)</f>
        <v>0</v>
      </c>
      <c r="BK1072" s="360">
        <f t="shared" ref="BK1072" si="4951">(BK1062-BH1062)</f>
        <v>0</v>
      </c>
      <c r="BL1072" s="360">
        <f t="shared" si="4914"/>
        <v>0</v>
      </c>
      <c r="BM1072" s="360">
        <f t="shared" ref="BM1072" si="4952">(BM1062-BJ1062)</f>
        <v>0</v>
      </c>
      <c r="BN1072" s="360">
        <f t="shared" ref="BN1072" si="4953">(BN1062-BK1062)</f>
        <v>0</v>
      </c>
      <c r="BO1072" s="360">
        <f t="shared" si="4917"/>
        <v>0</v>
      </c>
      <c r="BP1072" s="360">
        <f t="shared" ref="BP1072" si="4954">(BP1062-BM1062)</f>
        <v>0</v>
      </c>
      <c r="BQ1072" s="360">
        <f t="shared" ref="BQ1072" si="4955">(BQ1062-BN1062)</f>
        <v>0</v>
      </c>
      <c r="BR1072" s="788">
        <f t="shared" si="4920"/>
        <v>0</v>
      </c>
    </row>
    <row r="1073" spans="2:70" outlineLevel="2">
      <c r="B1073" s="5"/>
      <c r="C1073" s="518" t="s">
        <v>269</v>
      </c>
      <c r="D1073" s="519" t="s">
        <v>85</v>
      </c>
      <c r="E1073" s="519"/>
      <c r="F1073" s="519"/>
      <c r="G1073" s="519"/>
      <c r="H1073" s="519"/>
      <c r="I1073" s="519"/>
      <c r="J1073" s="519"/>
      <c r="K1073" s="749">
        <f>(K1068-H1068)</f>
        <v>1.6124999999999998</v>
      </c>
      <c r="L1073" s="749">
        <f>(L1068-I1068)</f>
        <v>3.2249999999999996</v>
      </c>
      <c r="M1073" s="749">
        <f t="shared" si="4866"/>
        <v>4.8374999999999995</v>
      </c>
      <c r="N1073" s="749">
        <f t="shared" ref="N1073:O1073" si="4956">(N1068-K1068)</f>
        <v>2.1124999999999998</v>
      </c>
      <c r="O1073" s="749">
        <f t="shared" si="4956"/>
        <v>0.5</v>
      </c>
      <c r="P1073" s="749">
        <f t="shared" si="4868"/>
        <v>2.6124999999999998</v>
      </c>
      <c r="Q1073" s="749">
        <f t="shared" ref="Q1073:R1073" si="4957">(Q1068-N1068)</f>
        <v>0.5</v>
      </c>
      <c r="R1073" s="749">
        <f t="shared" si="4957"/>
        <v>0.5</v>
      </c>
      <c r="S1073" s="749">
        <f t="shared" si="4870"/>
        <v>1</v>
      </c>
      <c r="T1073" s="749">
        <f t="shared" ref="T1073:U1073" si="4958">(T1068-Q1068)</f>
        <v>0.15000000000000036</v>
      </c>
      <c r="U1073" s="749">
        <f t="shared" si="4958"/>
        <v>0</v>
      </c>
      <c r="V1073" s="749">
        <f t="shared" si="4872"/>
        <v>0.15000000000000036</v>
      </c>
      <c r="W1073" s="749">
        <f t="shared" ref="W1073" si="4959">(W1068-T1068)</f>
        <v>0</v>
      </c>
      <c r="X1073" s="749">
        <f t="shared" ref="X1073" si="4960">(X1068-U1068)</f>
        <v>0</v>
      </c>
      <c r="Y1073" s="749">
        <f t="shared" si="4875"/>
        <v>0</v>
      </c>
      <c r="Z1073" s="749">
        <f t="shared" ref="Z1073" si="4961">(Z1068-W1068)</f>
        <v>0</v>
      </c>
      <c r="AA1073" s="749">
        <f t="shared" ref="AA1073" si="4962">(AA1068-X1068)</f>
        <v>0</v>
      </c>
      <c r="AB1073" s="749">
        <f t="shared" si="4878"/>
        <v>0</v>
      </c>
      <c r="AC1073" s="749">
        <f t="shared" ref="AC1073" si="4963">(AC1068-Z1068)</f>
        <v>0</v>
      </c>
      <c r="AD1073" s="749">
        <f t="shared" ref="AD1073" si="4964">(AD1068-AA1068)</f>
        <v>0</v>
      </c>
      <c r="AE1073" s="749">
        <f t="shared" si="4881"/>
        <v>0</v>
      </c>
      <c r="AF1073" s="749">
        <f t="shared" ref="AF1073" si="4965">(AF1068-AC1068)</f>
        <v>0</v>
      </c>
      <c r="AG1073" s="1034">
        <f t="shared" ref="AG1073" si="4966">(AG1068-AD1068)</f>
        <v>0</v>
      </c>
      <c r="AH1073" s="749">
        <f t="shared" si="4884"/>
        <v>0</v>
      </c>
      <c r="AI1073" s="749">
        <f t="shared" ref="AI1073" si="4967">(AI1068-AF1068)</f>
        <v>0</v>
      </c>
      <c r="AJ1073" s="749">
        <f t="shared" ref="AJ1073" si="4968">(AJ1068-AG1068)</f>
        <v>0</v>
      </c>
      <c r="AK1073" s="749">
        <f t="shared" si="4887"/>
        <v>0</v>
      </c>
      <c r="AL1073" s="749">
        <f t="shared" ref="AL1073" si="4969">(AL1068-AI1068)</f>
        <v>0</v>
      </c>
      <c r="AM1073" s="749">
        <f t="shared" ref="AM1073" si="4970">(AM1068-AJ1068)</f>
        <v>0</v>
      </c>
      <c r="AN1073" s="749">
        <f t="shared" si="4890"/>
        <v>0</v>
      </c>
      <c r="AO1073" s="749">
        <f t="shared" ref="AO1073" si="4971">(AO1068-AL1068)</f>
        <v>0</v>
      </c>
      <c r="AP1073" s="749">
        <f t="shared" ref="AP1073" si="4972">(AP1068-AM1068)</f>
        <v>0</v>
      </c>
      <c r="AQ1073" s="749">
        <f t="shared" si="4893"/>
        <v>0</v>
      </c>
      <c r="AR1073" s="749">
        <f t="shared" ref="AR1073" si="4973">(AR1068-AO1068)</f>
        <v>0</v>
      </c>
      <c r="AS1073" s="749">
        <f t="shared" ref="AS1073" si="4974">(AS1068-AP1068)</f>
        <v>0</v>
      </c>
      <c r="AT1073" s="749">
        <f t="shared" si="4896"/>
        <v>0</v>
      </c>
      <c r="AU1073" s="749">
        <f t="shared" ref="AU1073" si="4975">(AU1068-AR1068)</f>
        <v>0</v>
      </c>
      <c r="AV1073" s="749">
        <f t="shared" ref="AV1073" si="4976">(AV1068-AS1068)</f>
        <v>0</v>
      </c>
      <c r="AW1073" s="749">
        <f t="shared" si="4899"/>
        <v>0</v>
      </c>
      <c r="AX1073" s="749">
        <f t="shared" ref="AX1073" si="4977">(AX1068-AU1068)</f>
        <v>0</v>
      </c>
      <c r="AY1073" s="749">
        <f t="shared" ref="AY1073" si="4978">(AY1068-AV1068)</f>
        <v>0</v>
      </c>
      <c r="AZ1073" s="749">
        <f t="shared" si="4902"/>
        <v>0</v>
      </c>
      <c r="BA1073" s="749">
        <f t="shared" ref="BA1073" si="4979">(BA1068-AX1068)</f>
        <v>0</v>
      </c>
      <c r="BB1073" s="749">
        <f t="shared" ref="BB1073" si="4980">(BB1068-AY1068)</f>
        <v>0</v>
      </c>
      <c r="BC1073" s="749">
        <f t="shared" si="4905"/>
        <v>0</v>
      </c>
      <c r="BD1073" s="749">
        <f t="shared" ref="BD1073" si="4981">(BD1068-BA1068)</f>
        <v>0</v>
      </c>
      <c r="BE1073" s="749">
        <f t="shared" ref="BE1073" si="4982">(BE1068-BB1068)</f>
        <v>0</v>
      </c>
      <c r="BF1073" s="749">
        <f t="shared" si="4908"/>
        <v>0</v>
      </c>
      <c r="BG1073" s="749">
        <f t="shared" ref="BG1073" si="4983">(BG1068-BD1068)</f>
        <v>0</v>
      </c>
      <c r="BH1073" s="749">
        <f t="shared" ref="BH1073" si="4984">(BH1068-BE1068)</f>
        <v>0</v>
      </c>
      <c r="BI1073" s="749">
        <f t="shared" si="4911"/>
        <v>0</v>
      </c>
      <c r="BJ1073" s="749">
        <f t="shared" ref="BJ1073" si="4985">(BJ1068-BG1068)</f>
        <v>0</v>
      </c>
      <c r="BK1073" s="749">
        <f t="shared" ref="BK1073" si="4986">(BK1068-BH1068)</f>
        <v>0</v>
      </c>
      <c r="BL1073" s="749">
        <f t="shared" si="4914"/>
        <v>0</v>
      </c>
      <c r="BM1073" s="749">
        <f t="shared" ref="BM1073" si="4987">(BM1068-BJ1068)</f>
        <v>0</v>
      </c>
      <c r="BN1073" s="749">
        <f t="shared" ref="BN1073" si="4988">(BN1068-BK1068)</f>
        <v>0</v>
      </c>
      <c r="BO1073" s="749">
        <f t="shared" si="4917"/>
        <v>0</v>
      </c>
      <c r="BP1073" s="749">
        <f t="shared" ref="BP1073" si="4989">(BP1068-BM1068)</f>
        <v>0</v>
      </c>
      <c r="BQ1073" s="749">
        <f t="shared" ref="BQ1073" si="4990">(BQ1068-BN1068)</f>
        <v>0</v>
      </c>
      <c r="BR1073" s="789">
        <f t="shared" si="4920"/>
        <v>0</v>
      </c>
    </row>
    <row r="1074" spans="2:70" outlineLevel="2">
      <c r="B1074" s="5"/>
      <c r="C1074" s="9"/>
    </row>
    <row r="1075" spans="2:70" outlineLevel="2">
      <c r="B1075" s="5"/>
      <c r="C1075" s="8" t="s">
        <v>521</v>
      </c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AF1075" s="26"/>
      <c r="AG1075" s="933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  <c r="BA1075" s="18"/>
      <c r="BB1075" s="18"/>
      <c r="BC1075" s="18"/>
      <c r="BD1075" s="18"/>
      <c r="BE1075" s="18"/>
      <c r="BF1075" s="18"/>
      <c r="BG1075" s="18"/>
      <c r="BH1075" s="18"/>
      <c r="BI1075" s="18"/>
      <c r="BJ1075" s="18"/>
      <c r="BK1075" s="18"/>
      <c r="BL1075" s="18"/>
      <c r="BM1075" s="18"/>
      <c r="BN1075" s="18"/>
      <c r="BO1075" s="18"/>
      <c r="BP1075" s="18"/>
      <c r="BQ1075" s="18"/>
      <c r="BR1075" s="18"/>
    </row>
    <row r="1076" spans="2:70" outlineLevel="2">
      <c r="B1076" s="5"/>
      <c r="C1076" s="9" t="s">
        <v>266</v>
      </c>
      <c r="D1076" s="31"/>
      <c r="E1076" s="7"/>
      <c r="F1076" s="7"/>
      <c r="G1076" s="792" t="s">
        <v>81</v>
      </c>
      <c r="H1076" s="7"/>
      <c r="I1076" s="7"/>
      <c r="AF1076" s="26"/>
      <c r="AG1076" s="933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  <c r="BA1076" s="18"/>
      <c r="BB1076" s="18"/>
      <c r="BC1076" s="18"/>
      <c r="BD1076" s="18"/>
      <c r="BE1076" s="18"/>
      <c r="BF1076" s="18"/>
      <c r="BG1076" s="18"/>
      <c r="BH1076" s="18"/>
      <c r="BI1076" s="18"/>
      <c r="BJ1076" s="18"/>
      <c r="BK1076" s="18"/>
      <c r="BL1076" s="18"/>
      <c r="BM1076" s="18"/>
      <c r="BN1076" s="18"/>
      <c r="BO1076" s="18"/>
      <c r="BP1076" s="18"/>
      <c r="BQ1076" s="18"/>
      <c r="BR1076" s="18"/>
    </row>
    <row r="1077" spans="2:70" outlineLevel="2">
      <c r="B1077" s="5"/>
      <c r="C1077" s="9" t="s">
        <v>262</v>
      </c>
      <c r="D1077" s="74"/>
      <c r="E1077" s="7"/>
      <c r="F1077" s="7"/>
      <c r="G1077" s="764">
        <v>40360</v>
      </c>
      <c r="H1077" s="7"/>
      <c r="I1077" s="7"/>
      <c r="AF1077" s="26"/>
      <c r="AG1077" s="933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  <c r="BA1077" s="18"/>
      <c r="BB1077" s="18"/>
      <c r="BC1077" s="18"/>
      <c r="BD1077" s="18"/>
      <c r="BE1077" s="18"/>
      <c r="BF1077" s="18"/>
      <c r="BG1077" s="18"/>
      <c r="BH1077" s="18"/>
      <c r="BI1077" s="18"/>
      <c r="BJ1077" s="18"/>
      <c r="BK1077" s="18"/>
      <c r="BL1077" s="18"/>
      <c r="BM1077" s="18"/>
      <c r="BN1077" s="18"/>
      <c r="BO1077" s="18"/>
      <c r="BP1077" s="18"/>
      <c r="BQ1077" s="18"/>
      <c r="BR1077" s="18"/>
    </row>
    <row r="1078" spans="2:70" outlineLevel="2">
      <c r="B1078" s="5"/>
      <c r="C1078" s="84" t="s">
        <v>72</v>
      </c>
      <c r="D1078" s="31" t="s">
        <v>58</v>
      </c>
      <c r="E1078" s="7"/>
      <c r="F1078" s="7"/>
      <c r="G1078" s="765">
        <v>65</v>
      </c>
      <c r="H1078" s="7"/>
      <c r="I1078" s="7"/>
      <c r="AF1078" s="26"/>
      <c r="AG1078" s="933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  <c r="BA1078" s="18"/>
      <c r="BB1078" s="18"/>
      <c r="BC1078" s="18"/>
      <c r="BD1078" s="18"/>
      <c r="BE1078" s="18"/>
      <c r="BF1078" s="18"/>
      <c r="BG1078" s="18"/>
      <c r="BH1078" s="18"/>
      <c r="BI1078" s="18"/>
      <c r="BJ1078" s="18"/>
      <c r="BK1078" s="18"/>
      <c r="BL1078" s="18"/>
      <c r="BM1078" s="18"/>
      <c r="BN1078" s="18"/>
      <c r="BO1078" s="18"/>
      <c r="BP1078" s="18"/>
      <c r="BQ1078" s="18"/>
      <c r="BR1078" s="18"/>
    </row>
    <row r="1079" spans="2:70" outlineLevel="2">
      <c r="B1079" s="5"/>
      <c r="C1079" s="84" t="s">
        <v>76</v>
      </c>
      <c r="D1079" s="74" t="s">
        <v>77</v>
      </c>
      <c r="E1079" s="7"/>
      <c r="F1079" s="7"/>
      <c r="G1079" s="766"/>
      <c r="H1079" s="7"/>
      <c r="I1079" s="7"/>
      <c r="AF1079" s="26"/>
      <c r="AG1079" s="933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  <c r="BA1079" s="18"/>
      <c r="BB1079" s="18"/>
      <c r="BC1079" s="18"/>
      <c r="BD1079" s="18"/>
      <c r="BE1079" s="18"/>
      <c r="BF1079" s="18"/>
      <c r="BG1079" s="18"/>
      <c r="BH1079" s="18"/>
      <c r="BI1079" s="18"/>
      <c r="BJ1079" s="18"/>
      <c r="BK1079" s="18"/>
      <c r="BL1079" s="18"/>
      <c r="BM1079" s="18"/>
      <c r="BN1079" s="18"/>
      <c r="BO1079" s="18"/>
      <c r="BP1079" s="18"/>
      <c r="BQ1079" s="18"/>
      <c r="BR1079" s="18"/>
    </row>
    <row r="1080" spans="2:70" outlineLevel="2">
      <c r="B1080" s="5"/>
      <c r="C1080" s="84" t="s">
        <v>55</v>
      </c>
      <c r="D1080" s="31" t="s">
        <v>58</v>
      </c>
      <c r="E1080" s="7"/>
      <c r="F1080" s="7"/>
      <c r="G1080" s="769">
        <f>G1078</f>
        <v>65</v>
      </c>
      <c r="H1080" s="7"/>
      <c r="I1080" s="7"/>
      <c r="K1080" s="167">
        <f>G1080*0.5</f>
        <v>32.5</v>
      </c>
      <c r="L1080" s="6">
        <f>G1080*0.5</f>
        <v>32.5</v>
      </c>
      <c r="M1080" s="167">
        <f>SUM(K1080:L1080)</f>
        <v>65</v>
      </c>
      <c r="N1080" s="149">
        <f>P1080*0.5</f>
        <v>32.5</v>
      </c>
      <c r="O1080" s="19">
        <f>P1080*0.5</f>
        <v>32.5</v>
      </c>
      <c r="P1080" s="390">
        <f>G1080</f>
        <v>65</v>
      </c>
      <c r="Q1080" s="149">
        <f t="shared" ref="Q1080:Q1081" si="4991">S1080*0.5</f>
        <v>32.5</v>
      </c>
      <c r="R1080" s="19">
        <f t="shared" ref="R1080:R1081" si="4992">S1080*0.5</f>
        <v>32.5</v>
      </c>
      <c r="S1080" s="390">
        <f>P1080</f>
        <v>65</v>
      </c>
      <c r="T1080" s="149">
        <f t="shared" ref="T1080:T1081" si="4993">V1080*0.5</f>
        <v>32.5</v>
      </c>
      <c r="U1080" s="19">
        <f t="shared" ref="U1080:U1081" si="4994">V1080*0.5</f>
        <v>32.5</v>
      </c>
      <c r="V1080" s="390">
        <f>S1080</f>
        <v>65</v>
      </c>
      <c r="W1080" s="149">
        <f t="shared" ref="W1080:W1081" si="4995">Y1080*0.5</f>
        <v>32.5</v>
      </c>
      <c r="X1080" s="19">
        <f t="shared" ref="X1080:X1081" si="4996">Y1080*0.5</f>
        <v>32.5</v>
      </c>
      <c r="Y1080" s="390">
        <f>V1080</f>
        <v>65</v>
      </c>
      <c r="Z1080" s="149">
        <f t="shared" ref="Z1080:Z1081" si="4997">AB1080*0.5</f>
        <v>32.5</v>
      </c>
      <c r="AA1080" s="19">
        <f t="shared" ref="AA1080:AA1081" si="4998">AB1080*0.5</f>
        <v>32.5</v>
      </c>
      <c r="AB1080" s="390">
        <f>Y1080</f>
        <v>65</v>
      </c>
      <c r="AC1080" s="149">
        <f t="shared" ref="AC1080:AC1081" si="4999">AE1080*0.5</f>
        <v>32.5</v>
      </c>
      <c r="AD1080" s="19">
        <f t="shared" ref="AD1080:AD1081" si="5000">AE1080*0.5</f>
        <v>32.5</v>
      </c>
      <c r="AE1080" s="390">
        <f>AB1080</f>
        <v>65</v>
      </c>
      <c r="AF1080" s="149">
        <f t="shared" ref="AF1080:AF1081" si="5001">AH1080*0.5</f>
        <v>32.5</v>
      </c>
      <c r="AG1080" s="943">
        <f t="shared" ref="AG1080:AG1081" si="5002">AH1080*0.5</f>
        <v>32.5</v>
      </c>
      <c r="AH1080" s="390">
        <f>AE1080</f>
        <v>65</v>
      </c>
      <c r="AI1080" s="149">
        <f t="shared" ref="AI1080:AI1081" si="5003">AK1080*0.5</f>
        <v>32.5</v>
      </c>
      <c r="AJ1080" s="19">
        <f t="shared" ref="AJ1080:AJ1081" si="5004">AK1080*0.5</f>
        <v>32.5</v>
      </c>
      <c r="AK1080" s="390">
        <f>AH1080</f>
        <v>65</v>
      </c>
      <c r="AL1080" s="149">
        <f t="shared" ref="AL1080:AL1081" si="5005">AN1080*0.5</f>
        <v>32.5</v>
      </c>
      <c r="AM1080" s="19">
        <f t="shared" ref="AM1080:AM1081" si="5006">AN1080*0.5</f>
        <v>32.5</v>
      </c>
      <c r="AN1080" s="390">
        <f>AK1080</f>
        <v>65</v>
      </c>
      <c r="AO1080" s="149">
        <f t="shared" ref="AO1080:AO1081" si="5007">AQ1080*0.5</f>
        <v>32.5</v>
      </c>
      <c r="AP1080" s="19">
        <f t="shared" ref="AP1080:AP1081" si="5008">AQ1080*0.5</f>
        <v>32.5</v>
      </c>
      <c r="AQ1080" s="390">
        <f>AN1080</f>
        <v>65</v>
      </c>
      <c r="AR1080" s="149">
        <f t="shared" ref="AR1080:AR1081" si="5009">AT1080*0.5</f>
        <v>32.5</v>
      </c>
      <c r="AS1080" s="19">
        <f t="shared" ref="AS1080:AS1081" si="5010">AT1080*0.5</f>
        <v>32.5</v>
      </c>
      <c r="AT1080" s="390">
        <f>AQ1080</f>
        <v>65</v>
      </c>
      <c r="AU1080" s="149">
        <f t="shared" ref="AU1080:AU1081" si="5011">AW1080*0.5</f>
        <v>32.5</v>
      </c>
      <c r="AV1080" s="19">
        <f t="shared" ref="AV1080:AV1081" si="5012">AW1080*0.5</f>
        <v>32.5</v>
      </c>
      <c r="AW1080" s="390">
        <f>AT1080</f>
        <v>65</v>
      </c>
      <c r="AX1080" s="149">
        <f t="shared" ref="AX1080:AX1081" si="5013">AZ1080*0.5</f>
        <v>32.5</v>
      </c>
      <c r="AY1080" s="19">
        <f t="shared" ref="AY1080:AY1081" si="5014">AZ1080*0.5</f>
        <v>32.5</v>
      </c>
      <c r="AZ1080" s="390">
        <f>AW1080</f>
        <v>65</v>
      </c>
      <c r="BA1080" s="149">
        <f t="shared" ref="BA1080:BA1081" si="5015">BC1080*0.5</f>
        <v>32.5</v>
      </c>
      <c r="BB1080" s="19">
        <f t="shared" ref="BB1080:BB1081" si="5016">BC1080*0.5</f>
        <v>32.5</v>
      </c>
      <c r="BC1080" s="390">
        <f>AZ1080</f>
        <v>65</v>
      </c>
      <c r="BD1080" s="149">
        <f t="shared" ref="BD1080:BD1081" si="5017">BF1080*0.5</f>
        <v>32.5</v>
      </c>
      <c r="BE1080" s="19">
        <f t="shared" ref="BE1080:BE1081" si="5018">BF1080*0.5</f>
        <v>32.5</v>
      </c>
      <c r="BF1080" s="390">
        <f>BC1080</f>
        <v>65</v>
      </c>
      <c r="BG1080" s="149">
        <f t="shared" ref="BG1080:BG1081" si="5019">BI1080*0.5</f>
        <v>32.5</v>
      </c>
      <c r="BH1080" s="19">
        <f t="shared" ref="BH1080:BH1081" si="5020">BI1080*0.5</f>
        <v>32.5</v>
      </c>
      <c r="BI1080" s="390">
        <f>BF1080</f>
        <v>65</v>
      </c>
      <c r="BJ1080" s="149">
        <f t="shared" ref="BJ1080:BJ1081" si="5021">BL1080*0.5</f>
        <v>32.5</v>
      </c>
      <c r="BK1080" s="19">
        <f t="shared" ref="BK1080:BK1081" si="5022">BL1080*0.5</f>
        <v>32.5</v>
      </c>
      <c r="BL1080" s="390">
        <f>BI1080</f>
        <v>65</v>
      </c>
      <c r="BM1080" s="149">
        <f t="shared" ref="BM1080:BM1081" si="5023">BO1080*0.5</f>
        <v>32.5</v>
      </c>
      <c r="BN1080" s="19">
        <f t="shared" ref="BN1080:BN1081" si="5024">BO1080*0.5</f>
        <v>32.5</v>
      </c>
      <c r="BO1080" s="390">
        <f>BL1080</f>
        <v>65</v>
      </c>
      <c r="BP1080" s="149">
        <f t="shared" ref="BP1080:BP1081" si="5025">BR1080*0.5</f>
        <v>32.5</v>
      </c>
      <c r="BQ1080" s="19">
        <f t="shared" ref="BQ1080:BQ1081" si="5026">BR1080*0.5</f>
        <v>32.5</v>
      </c>
      <c r="BR1080" s="390">
        <f>BO1080</f>
        <v>65</v>
      </c>
    </row>
    <row r="1081" spans="2:70" outlineLevel="2">
      <c r="B1081" s="5"/>
      <c r="C1081" s="84" t="s">
        <v>56</v>
      </c>
      <c r="D1081" s="31" t="s">
        <v>58</v>
      </c>
      <c r="E1081" s="7"/>
      <c r="F1081" s="7"/>
      <c r="G1081" s="767">
        <f>G1089-G1083</f>
        <v>14.95</v>
      </c>
      <c r="H1081" s="7"/>
      <c r="I1081" s="7"/>
      <c r="K1081" s="167">
        <f>G1081*0.5</f>
        <v>7.4749999999999996</v>
      </c>
      <c r="L1081" s="24">
        <f>G1081*0.5</f>
        <v>7.4749999999999996</v>
      </c>
      <c r="M1081" s="167">
        <f>SUM(K1081:L1081)</f>
        <v>14.95</v>
      </c>
      <c r="N1081" s="149">
        <f>P1081*0.5</f>
        <v>7.4749999999999996</v>
      </c>
      <c r="O1081" s="19">
        <f>P1081*0.5</f>
        <v>7.4749999999999996</v>
      </c>
      <c r="P1081" s="167">
        <f>P1080*P1082</f>
        <v>14.95</v>
      </c>
      <c r="Q1081" s="149">
        <f t="shared" si="4991"/>
        <v>7.4749999999999996</v>
      </c>
      <c r="R1081" s="19">
        <f t="shared" si="4992"/>
        <v>7.4749999999999996</v>
      </c>
      <c r="S1081" s="167">
        <f t="shared" ref="S1081" si="5027">S1080*S1082</f>
        <v>14.95</v>
      </c>
      <c r="T1081" s="149">
        <f t="shared" si="4993"/>
        <v>7.4749999999999996</v>
      </c>
      <c r="U1081" s="19">
        <f t="shared" si="4994"/>
        <v>7.4749999999999996</v>
      </c>
      <c r="V1081" s="167">
        <f t="shared" ref="V1081" si="5028">V1080*V1082</f>
        <v>14.95</v>
      </c>
      <c r="W1081" s="149">
        <f t="shared" si="4995"/>
        <v>7.4749999999999996</v>
      </c>
      <c r="X1081" s="19">
        <f t="shared" si="4996"/>
        <v>7.4749999999999996</v>
      </c>
      <c r="Y1081" s="167">
        <f t="shared" ref="Y1081" si="5029">Y1080*Y1082</f>
        <v>14.95</v>
      </c>
      <c r="Z1081" s="149">
        <f t="shared" si="4997"/>
        <v>7.4749999999999996</v>
      </c>
      <c r="AA1081" s="19">
        <f t="shared" si="4998"/>
        <v>7.4749999999999996</v>
      </c>
      <c r="AB1081" s="167">
        <f t="shared" ref="AB1081" si="5030">AB1080*AB1082</f>
        <v>14.95</v>
      </c>
      <c r="AC1081" s="149">
        <f t="shared" si="4999"/>
        <v>7.4749999999999996</v>
      </c>
      <c r="AD1081" s="19">
        <f t="shared" si="5000"/>
        <v>7.4749999999999996</v>
      </c>
      <c r="AE1081" s="167">
        <f t="shared" ref="AE1081" si="5031">AE1080*AE1082</f>
        <v>14.95</v>
      </c>
      <c r="AF1081" s="149">
        <f t="shared" si="5001"/>
        <v>7.4749999999999996</v>
      </c>
      <c r="AG1081" s="943">
        <f t="shared" si="5002"/>
        <v>7.4749999999999996</v>
      </c>
      <c r="AH1081" s="167">
        <f t="shared" ref="AH1081" si="5032">AH1080*AH1082</f>
        <v>14.95</v>
      </c>
      <c r="AI1081" s="149">
        <f t="shared" si="5003"/>
        <v>7.4749999999999996</v>
      </c>
      <c r="AJ1081" s="19">
        <f t="shared" si="5004"/>
        <v>7.4749999999999996</v>
      </c>
      <c r="AK1081" s="167">
        <f t="shared" ref="AK1081" si="5033">AK1080*AK1082</f>
        <v>14.95</v>
      </c>
      <c r="AL1081" s="149">
        <f t="shared" si="5005"/>
        <v>7.4749999999999996</v>
      </c>
      <c r="AM1081" s="19">
        <f t="shared" si="5006"/>
        <v>7.4749999999999996</v>
      </c>
      <c r="AN1081" s="167">
        <f t="shared" ref="AN1081" si="5034">AN1080*AN1082</f>
        <v>14.95</v>
      </c>
      <c r="AO1081" s="149">
        <f t="shared" si="5007"/>
        <v>7.4749999999999996</v>
      </c>
      <c r="AP1081" s="19">
        <f t="shared" si="5008"/>
        <v>7.4749999999999996</v>
      </c>
      <c r="AQ1081" s="167">
        <f t="shared" ref="AQ1081" si="5035">AQ1080*AQ1082</f>
        <v>14.95</v>
      </c>
      <c r="AR1081" s="149">
        <f t="shared" si="5009"/>
        <v>7.4749999999999996</v>
      </c>
      <c r="AS1081" s="19">
        <f t="shared" si="5010"/>
        <v>7.4749999999999996</v>
      </c>
      <c r="AT1081" s="167">
        <f t="shared" ref="AT1081" si="5036">AT1080*AT1082</f>
        <v>14.95</v>
      </c>
      <c r="AU1081" s="149">
        <f t="shared" si="5011"/>
        <v>7.4749999999999996</v>
      </c>
      <c r="AV1081" s="19">
        <f t="shared" si="5012"/>
        <v>7.4749999999999996</v>
      </c>
      <c r="AW1081" s="167">
        <f t="shared" ref="AW1081" si="5037">AW1080*AW1082</f>
        <v>14.95</v>
      </c>
      <c r="AX1081" s="149">
        <f t="shared" si="5013"/>
        <v>7.4749999999999996</v>
      </c>
      <c r="AY1081" s="19">
        <f t="shared" si="5014"/>
        <v>7.4749999999999996</v>
      </c>
      <c r="AZ1081" s="167">
        <f t="shared" ref="AZ1081" si="5038">AZ1080*AZ1082</f>
        <v>14.95</v>
      </c>
      <c r="BA1081" s="149">
        <f t="shared" si="5015"/>
        <v>7.4749999999999996</v>
      </c>
      <c r="BB1081" s="19">
        <f t="shared" si="5016"/>
        <v>7.4749999999999996</v>
      </c>
      <c r="BC1081" s="167">
        <f t="shared" ref="BC1081" si="5039">BC1080*BC1082</f>
        <v>14.95</v>
      </c>
      <c r="BD1081" s="149">
        <f t="shared" si="5017"/>
        <v>7.4749999999999996</v>
      </c>
      <c r="BE1081" s="19">
        <f t="shared" si="5018"/>
        <v>7.4749999999999996</v>
      </c>
      <c r="BF1081" s="167">
        <f t="shared" ref="BF1081" si="5040">BF1080*BF1082</f>
        <v>14.95</v>
      </c>
      <c r="BG1081" s="149">
        <f t="shared" si="5019"/>
        <v>7.4749999999999996</v>
      </c>
      <c r="BH1081" s="19">
        <f t="shared" si="5020"/>
        <v>7.4749999999999996</v>
      </c>
      <c r="BI1081" s="167">
        <f t="shared" ref="BI1081" si="5041">BI1080*BI1082</f>
        <v>14.95</v>
      </c>
      <c r="BJ1081" s="149">
        <f t="shared" si="5021"/>
        <v>7.4749999999999996</v>
      </c>
      <c r="BK1081" s="19">
        <f t="shared" si="5022"/>
        <v>7.4749999999999996</v>
      </c>
      <c r="BL1081" s="167">
        <f t="shared" ref="BL1081" si="5042">BL1080*BL1082</f>
        <v>14.95</v>
      </c>
      <c r="BM1081" s="149">
        <f t="shared" si="5023"/>
        <v>7.4749999999999996</v>
      </c>
      <c r="BN1081" s="19">
        <f t="shared" si="5024"/>
        <v>7.4749999999999996</v>
      </c>
      <c r="BO1081" s="167">
        <f t="shared" ref="BO1081" si="5043">BO1080*BO1082</f>
        <v>14.95</v>
      </c>
      <c r="BP1081" s="149">
        <f t="shared" si="5025"/>
        <v>7.4749999999999996</v>
      </c>
      <c r="BQ1081" s="19">
        <f t="shared" si="5026"/>
        <v>7.4749999999999996</v>
      </c>
      <c r="BR1081" s="167">
        <f t="shared" ref="BR1081" si="5044">BR1080*BR1082</f>
        <v>14.95</v>
      </c>
    </row>
    <row r="1082" spans="2:70" outlineLevel="2">
      <c r="B1082" s="5"/>
      <c r="C1082" s="84" t="s">
        <v>73</v>
      </c>
      <c r="D1082" s="31" t="s">
        <v>66</v>
      </c>
      <c r="E1082" s="7"/>
      <c r="F1082" s="7"/>
      <c r="G1082" s="768">
        <f>G1081/G1080</f>
        <v>0.22999999999999998</v>
      </c>
      <c r="H1082" s="7"/>
      <c r="I1082" s="7"/>
      <c r="K1082" s="133">
        <f t="shared" ref="K1082:O1082" si="5045">K1081/K1080</f>
        <v>0.22999999999999998</v>
      </c>
      <c r="L1082" s="133">
        <f t="shared" si="5045"/>
        <v>0.22999999999999998</v>
      </c>
      <c r="M1082" s="133">
        <f t="shared" si="5045"/>
        <v>0.22999999999999998</v>
      </c>
      <c r="N1082" s="133">
        <f t="shared" si="5045"/>
        <v>0.22999999999999998</v>
      </c>
      <c r="O1082" s="133">
        <f t="shared" si="5045"/>
        <v>0.22999999999999998</v>
      </c>
      <c r="P1082" s="133">
        <f>M1082</f>
        <v>0.22999999999999998</v>
      </c>
      <c r="Q1082" s="133">
        <f t="shared" ref="Q1082" si="5046">Q1081/Q1080</f>
        <v>0.22999999999999998</v>
      </c>
      <c r="R1082" s="133">
        <f t="shared" ref="R1082" si="5047">R1081/R1080</f>
        <v>0.22999999999999998</v>
      </c>
      <c r="S1082" s="133">
        <f t="shared" ref="S1082" si="5048">P1082</f>
        <v>0.22999999999999998</v>
      </c>
      <c r="T1082" s="133">
        <f t="shared" ref="T1082" si="5049">T1081/T1080</f>
        <v>0.22999999999999998</v>
      </c>
      <c r="U1082" s="133">
        <f t="shared" ref="U1082" si="5050">U1081/U1080</f>
        <v>0.22999999999999998</v>
      </c>
      <c r="V1082" s="133">
        <f t="shared" ref="V1082" si="5051">S1082</f>
        <v>0.22999999999999998</v>
      </c>
      <c r="W1082" s="133">
        <f t="shared" ref="W1082:X1082" si="5052">W1081/W1080</f>
        <v>0.22999999999999998</v>
      </c>
      <c r="X1082" s="133">
        <f t="shared" si="5052"/>
        <v>0.22999999999999998</v>
      </c>
      <c r="Y1082" s="133">
        <f t="shared" ref="Y1082" si="5053">V1082</f>
        <v>0.22999999999999998</v>
      </c>
      <c r="Z1082" s="133">
        <f t="shared" ref="Z1082:AA1082" si="5054">Z1081/Z1080</f>
        <v>0.22999999999999998</v>
      </c>
      <c r="AA1082" s="133">
        <f t="shared" si="5054"/>
        <v>0.22999999999999998</v>
      </c>
      <c r="AB1082" s="133">
        <f t="shared" ref="AB1082" si="5055">Y1082</f>
        <v>0.22999999999999998</v>
      </c>
      <c r="AC1082" s="133">
        <f t="shared" ref="AC1082:AD1082" si="5056">AC1081/AC1080</f>
        <v>0.22999999999999998</v>
      </c>
      <c r="AD1082" s="133">
        <f t="shared" si="5056"/>
        <v>0.22999999999999998</v>
      </c>
      <c r="AE1082" s="133">
        <f t="shared" ref="AE1082" si="5057">AB1082</f>
        <v>0.22999999999999998</v>
      </c>
      <c r="AF1082" s="133">
        <f t="shared" ref="AF1082:AG1082" si="5058">AF1081/AF1080</f>
        <v>0.22999999999999998</v>
      </c>
      <c r="AG1082" s="938">
        <f t="shared" si="5058"/>
        <v>0.22999999999999998</v>
      </c>
      <c r="AH1082" s="133">
        <f t="shared" ref="AH1082" si="5059">AE1082</f>
        <v>0.22999999999999998</v>
      </c>
      <c r="AI1082" s="133">
        <f t="shared" ref="AI1082:AJ1082" si="5060">AI1081/AI1080</f>
        <v>0.22999999999999998</v>
      </c>
      <c r="AJ1082" s="133">
        <f t="shared" si="5060"/>
        <v>0.22999999999999998</v>
      </c>
      <c r="AK1082" s="133">
        <f t="shared" ref="AK1082" si="5061">AH1082</f>
        <v>0.22999999999999998</v>
      </c>
      <c r="AL1082" s="133">
        <f t="shared" ref="AL1082:AM1082" si="5062">AL1081/AL1080</f>
        <v>0.22999999999999998</v>
      </c>
      <c r="AM1082" s="133">
        <f t="shared" si="5062"/>
        <v>0.22999999999999998</v>
      </c>
      <c r="AN1082" s="133">
        <f t="shared" ref="AN1082" si="5063">AK1082</f>
        <v>0.22999999999999998</v>
      </c>
      <c r="AO1082" s="133">
        <f t="shared" ref="AO1082:AP1082" si="5064">AO1081/AO1080</f>
        <v>0.22999999999999998</v>
      </c>
      <c r="AP1082" s="133">
        <f t="shared" si="5064"/>
        <v>0.22999999999999998</v>
      </c>
      <c r="AQ1082" s="133">
        <f t="shared" ref="AQ1082" si="5065">AN1082</f>
        <v>0.22999999999999998</v>
      </c>
      <c r="AR1082" s="133">
        <f t="shared" ref="AR1082:AS1082" si="5066">AR1081/AR1080</f>
        <v>0.22999999999999998</v>
      </c>
      <c r="AS1082" s="133">
        <f t="shared" si="5066"/>
        <v>0.22999999999999998</v>
      </c>
      <c r="AT1082" s="133">
        <f t="shared" ref="AT1082" si="5067">AQ1082</f>
        <v>0.22999999999999998</v>
      </c>
      <c r="AU1082" s="133">
        <f t="shared" ref="AU1082:AV1082" si="5068">AU1081/AU1080</f>
        <v>0.22999999999999998</v>
      </c>
      <c r="AV1082" s="133">
        <f t="shared" si="5068"/>
        <v>0.22999999999999998</v>
      </c>
      <c r="AW1082" s="133">
        <f t="shared" ref="AW1082" si="5069">AT1082</f>
        <v>0.22999999999999998</v>
      </c>
      <c r="AX1082" s="133">
        <f t="shared" ref="AX1082:AY1082" si="5070">AX1081/AX1080</f>
        <v>0.22999999999999998</v>
      </c>
      <c r="AY1082" s="133">
        <f t="shared" si="5070"/>
        <v>0.22999999999999998</v>
      </c>
      <c r="AZ1082" s="133">
        <f t="shared" ref="AZ1082" si="5071">AW1082</f>
        <v>0.22999999999999998</v>
      </c>
      <c r="BA1082" s="133">
        <f t="shared" ref="BA1082:BB1082" si="5072">BA1081/BA1080</f>
        <v>0.22999999999999998</v>
      </c>
      <c r="BB1082" s="133">
        <f t="shared" si="5072"/>
        <v>0.22999999999999998</v>
      </c>
      <c r="BC1082" s="133">
        <f t="shared" ref="BC1082" si="5073">AZ1082</f>
        <v>0.22999999999999998</v>
      </c>
      <c r="BD1082" s="133">
        <f t="shared" ref="BD1082:BE1082" si="5074">BD1081/BD1080</f>
        <v>0.22999999999999998</v>
      </c>
      <c r="BE1082" s="133">
        <f t="shared" si="5074"/>
        <v>0.22999999999999998</v>
      </c>
      <c r="BF1082" s="133">
        <f t="shared" ref="BF1082" si="5075">BC1082</f>
        <v>0.22999999999999998</v>
      </c>
      <c r="BG1082" s="133">
        <f t="shared" ref="BG1082:BH1082" si="5076">BG1081/BG1080</f>
        <v>0.22999999999999998</v>
      </c>
      <c r="BH1082" s="133">
        <f t="shared" si="5076"/>
        <v>0.22999999999999998</v>
      </c>
      <c r="BI1082" s="133">
        <f t="shared" ref="BI1082" si="5077">BF1082</f>
        <v>0.22999999999999998</v>
      </c>
      <c r="BJ1082" s="133">
        <f t="shared" ref="BJ1082:BK1082" si="5078">BJ1081/BJ1080</f>
        <v>0.22999999999999998</v>
      </c>
      <c r="BK1082" s="133">
        <f t="shared" si="5078"/>
        <v>0.22999999999999998</v>
      </c>
      <c r="BL1082" s="133">
        <f t="shared" ref="BL1082" si="5079">BI1082</f>
        <v>0.22999999999999998</v>
      </c>
      <c r="BM1082" s="133">
        <f t="shared" ref="BM1082:BN1082" si="5080">BM1081/BM1080</f>
        <v>0.22999999999999998</v>
      </c>
      <c r="BN1082" s="133">
        <f t="shared" si="5080"/>
        <v>0.22999999999999998</v>
      </c>
      <c r="BO1082" s="133">
        <f t="shared" ref="BO1082" si="5081">BL1082</f>
        <v>0.22999999999999998</v>
      </c>
      <c r="BP1082" s="133">
        <f t="shared" ref="BP1082:BQ1082" si="5082">BP1081/BP1080</f>
        <v>0.22999999999999998</v>
      </c>
      <c r="BQ1082" s="133">
        <f t="shared" si="5082"/>
        <v>0.22999999999999998</v>
      </c>
      <c r="BR1082" s="133">
        <f t="shared" ref="BR1082" si="5083">BO1082</f>
        <v>0.22999999999999998</v>
      </c>
    </row>
    <row r="1083" spans="2:70" outlineLevel="2">
      <c r="B1083" s="5"/>
      <c r="C1083" s="84" t="s">
        <v>65</v>
      </c>
      <c r="D1083" s="31" t="s">
        <v>58</v>
      </c>
      <c r="E1083" s="7"/>
      <c r="F1083" s="7"/>
      <c r="G1083" s="769">
        <f>G1080*-3%</f>
        <v>-1.95</v>
      </c>
      <c r="H1083" s="7"/>
      <c r="I1083" s="7"/>
      <c r="K1083" s="175">
        <f>G1083*0.5</f>
        <v>-0.97499999999999998</v>
      </c>
      <c r="L1083" s="24">
        <f>G1083*0.5</f>
        <v>-0.97499999999999998</v>
      </c>
      <c r="M1083" s="167">
        <f>SUM(K1083:L1083)</f>
        <v>-1.95</v>
      </c>
      <c r="N1083" s="167">
        <f>P1083*0.5</f>
        <v>-0.97499999999999998</v>
      </c>
      <c r="O1083" s="167">
        <f>P1083*0.5</f>
        <v>-0.97499999999999998</v>
      </c>
      <c r="P1083" s="360">
        <f>M1083*(P1080/M1080)</f>
        <v>-1.95</v>
      </c>
      <c r="Q1083" s="167">
        <f t="shared" ref="Q1083" si="5084">S1083*0.5</f>
        <v>-0.97499999999999998</v>
      </c>
      <c r="R1083" s="167">
        <f t="shared" ref="R1083" si="5085">S1083*0.5</f>
        <v>-0.97499999999999998</v>
      </c>
      <c r="S1083" s="360">
        <f t="shared" ref="S1083" si="5086">P1083*(S1080/P1080)</f>
        <v>-1.95</v>
      </c>
      <c r="T1083" s="167">
        <f t="shared" ref="T1083" si="5087">V1083*0.5</f>
        <v>-0.97499999999999998</v>
      </c>
      <c r="U1083" s="167">
        <f t="shared" ref="U1083" si="5088">V1083*0.5</f>
        <v>-0.97499999999999998</v>
      </c>
      <c r="V1083" s="360">
        <f t="shared" ref="V1083" si="5089">S1083*(V1080/S1080)</f>
        <v>-1.95</v>
      </c>
      <c r="W1083" s="167">
        <f t="shared" ref="W1083" si="5090">Y1083*0.5</f>
        <v>-0.97499999999999998</v>
      </c>
      <c r="X1083" s="167">
        <f t="shared" ref="X1083" si="5091">Y1083*0.5</f>
        <v>-0.97499999999999998</v>
      </c>
      <c r="Y1083" s="360">
        <f t="shared" ref="Y1083" si="5092">V1083*(Y1080/V1080)</f>
        <v>-1.95</v>
      </c>
      <c r="Z1083" s="167">
        <f t="shared" ref="Z1083" si="5093">AB1083*0.5</f>
        <v>-0.97499999999999998</v>
      </c>
      <c r="AA1083" s="167">
        <f t="shared" ref="AA1083" si="5094">AB1083*0.5</f>
        <v>-0.97499999999999998</v>
      </c>
      <c r="AB1083" s="360">
        <f t="shared" ref="AB1083" si="5095">Y1083*(AB1080/Y1080)</f>
        <v>-1.95</v>
      </c>
      <c r="AC1083" s="167">
        <f t="shared" ref="AC1083" si="5096">AE1083*0.5</f>
        <v>-0.97499999999999998</v>
      </c>
      <c r="AD1083" s="167">
        <f t="shared" ref="AD1083" si="5097">AE1083*0.5</f>
        <v>-0.97499999999999998</v>
      </c>
      <c r="AE1083" s="360">
        <f t="shared" ref="AE1083" si="5098">AB1083*(AE1080/AB1080)</f>
        <v>-1.95</v>
      </c>
      <c r="AF1083" s="167">
        <f t="shared" ref="AF1083" si="5099">AH1083*0.5</f>
        <v>-0.97499999999999998</v>
      </c>
      <c r="AG1083" s="1017">
        <f t="shared" ref="AG1083" si="5100">AH1083*0.5</f>
        <v>-0.97499999999999998</v>
      </c>
      <c r="AH1083" s="360">
        <f t="shared" ref="AH1083" si="5101">AE1083*(AH1080/AE1080)</f>
        <v>-1.95</v>
      </c>
      <c r="AI1083" s="167">
        <f t="shared" ref="AI1083" si="5102">AK1083*0.5</f>
        <v>-0.97499999999999998</v>
      </c>
      <c r="AJ1083" s="167">
        <f t="shared" ref="AJ1083" si="5103">AK1083*0.5</f>
        <v>-0.97499999999999998</v>
      </c>
      <c r="AK1083" s="360">
        <f t="shared" ref="AK1083" si="5104">AH1083*(AK1080/AH1080)</f>
        <v>-1.95</v>
      </c>
      <c r="AL1083" s="167">
        <f t="shared" ref="AL1083" si="5105">AN1083*0.5</f>
        <v>-0.97499999999999998</v>
      </c>
      <c r="AM1083" s="167">
        <f t="shared" ref="AM1083" si="5106">AN1083*0.5</f>
        <v>-0.97499999999999998</v>
      </c>
      <c r="AN1083" s="360">
        <f t="shared" ref="AN1083" si="5107">AK1083*(AN1080/AK1080)</f>
        <v>-1.95</v>
      </c>
      <c r="AO1083" s="167">
        <f t="shared" ref="AO1083" si="5108">AQ1083*0.5</f>
        <v>-0.97499999999999998</v>
      </c>
      <c r="AP1083" s="167">
        <f t="shared" ref="AP1083" si="5109">AQ1083*0.5</f>
        <v>-0.97499999999999998</v>
      </c>
      <c r="AQ1083" s="360">
        <f t="shared" ref="AQ1083" si="5110">AN1083*(AQ1080/AN1080)</f>
        <v>-1.95</v>
      </c>
      <c r="AR1083" s="167">
        <f t="shared" ref="AR1083" si="5111">AT1083*0.5</f>
        <v>-0.97499999999999998</v>
      </c>
      <c r="AS1083" s="167">
        <f t="shared" ref="AS1083" si="5112">AT1083*0.5</f>
        <v>-0.97499999999999998</v>
      </c>
      <c r="AT1083" s="360">
        <f t="shared" ref="AT1083" si="5113">AQ1083*(AT1080/AQ1080)</f>
        <v>-1.95</v>
      </c>
      <c r="AU1083" s="167">
        <f t="shared" ref="AU1083" si="5114">AW1083*0.5</f>
        <v>-0.97499999999999998</v>
      </c>
      <c r="AV1083" s="167">
        <f t="shared" ref="AV1083" si="5115">AW1083*0.5</f>
        <v>-0.97499999999999998</v>
      </c>
      <c r="AW1083" s="360">
        <f t="shared" ref="AW1083" si="5116">AT1083*(AW1080/AT1080)</f>
        <v>-1.95</v>
      </c>
      <c r="AX1083" s="167">
        <f t="shared" ref="AX1083" si="5117">AZ1083*0.5</f>
        <v>-0.97499999999999998</v>
      </c>
      <c r="AY1083" s="167">
        <f t="shared" ref="AY1083" si="5118">AZ1083*0.5</f>
        <v>-0.97499999999999998</v>
      </c>
      <c r="AZ1083" s="360">
        <f t="shared" ref="AZ1083" si="5119">AW1083*(AZ1080/AW1080)</f>
        <v>-1.95</v>
      </c>
      <c r="BA1083" s="167">
        <f t="shared" ref="BA1083" si="5120">BC1083*0.5</f>
        <v>-0.97499999999999998</v>
      </c>
      <c r="BB1083" s="167">
        <f t="shared" ref="BB1083" si="5121">BC1083*0.5</f>
        <v>-0.97499999999999998</v>
      </c>
      <c r="BC1083" s="360">
        <f t="shared" ref="BC1083" si="5122">AZ1083*(BC1080/AZ1080)</f>
        <v>-1.95</v>
      </c>
      <c r="BD1083" s="167">
        <f t="shared" ref="BD1083" si="5123">BF1083*0.5</f>
        <v>-0.97499999999999998</v>
      </c>
      <c r="BE1083" s="167">
        <f t="shared" ref="BE1083" si="5124">BF1083*0.5</f>
        <v>-0.97499999999999998</v>
      </c>
      <c r="BF1083" s="360">
        <f t="shared" ref="BF1083" si="5125">BC1083*(BF1080/BC1080)</f>
        <v>-1.95</v>
      </c>
      <c r="BG1083" s="167">
        <f t="shared" ref="BG1083" si="5126">BI1083*0.5</f>
        <v>-0.97499999999999998</v>
      </c>
      <c r="BH1083" s="167">
        <f t="shared" ref="BH1083" si="5127">BI1083*0.5</f>
        <v>-0.97499999999999998</v>
      </c>
      <c r="BI1083" s="360">
        <f t="shared" ref="BI1083" si="5128">BF1083*(BI1080/BF1080)</f>
        <v>-1.95</v>
      </c>
      <c r="BJ1083" s="167">
        <f t="shared" ref="BJ1083" si="5129">BL1083*0.5</f>
        <v>-0.97499999999999998</v>
      </c>
      <c r="BK1083" s="167">
        <f t="shared" ref="BK1083" si="5130">BL1083*0.5</f>
        <v>-0.97499999999999998</v>
      </c>
      <c r="BL1083" s="360">
        <f t="shared" ref="BL1083" si="5131">BI1083*(BL1080/BI1080)</f>
        <v>-1.95</v>
      </c>
      <c r="BM1083" s="167">
        <f t="shared" ref="BM1083" si="5132">BO1083*0.5</f>
        <v>-0.97499999999999998</v>
      </c>
      <c r="BN1083" s="167">
        <f t="shared" ref="BN1083" si="5133">BO1083*0.5</f>
        <v>-0.97499999999999998</v>
      </c>
      <c r="BO1083" s="360">
        <f t="shared" ref="BO1083" si="5134">BL1083*(BO1080/BL1080)</f>
        <v>-1.95</v>
      </c>
      <c r="BP1083" s="167">
        <f t="shared" ref="BP1083" si="5135">BR1083*0.5</f>
        <v>-0.97499999999999998</v>
      </c>
      <c r="BQ1083" s="167">
        <f t="shared" ref="BQ1083" si="5136">BR1083*0.5</f>
        <v>-0.97499999999999998</v>
      </c>
      <c r="BR1083" s="360">
        <f t="shared" ref="BR1083" si="5137">BO1083*(BR1080/BO1080)</f>
        <v>-1.95</v>
      </c>
    </row>
    <row r="1084" spans="2:70" outlineLevel="2">
      <c r="B1084" s="5"/>
      <c r="C1084" s="84" t="s">
        <v>78</v>
      </c>
      <c r="D1084" s="31" t="s">
        <v>58</v>
      </c>
      <c r="E1084" s="7"/>
      <c r="F1084" s="7"/>
      <c r="G1084" s="770">
        <f>G1081+G1083</f>
        <v>13</v>
      </c>
      <c r="H1084" s="7"/>
      <c r="I1084" s="7"/>
      <c r="K1084" s="360">
        <f>K1081+K1083</f>
        <v>6.5</v>
      </c>
      <c r="L1084" s="360">
        <f>L1081+L1083</f>
        <v>6.5</v>
      </c>
      <c r="M1084" s="167">
        <f>SUM(K1084:L1084)</f>
        <v>13</v>
      </c>
      <c r="N1084" s="167">
        <f>N1081+N1083</f>
        <v>6.5</v>
      </c>
      <c r="O1084" s="167">
        <f>O1081+O1083</f>
        <v>6.5</v>
      </c>
      <c r="P1084" s="172">
        <f>SUM(N1084:O1084)</f>
        <v>13</v>
      </c>
      <c r="Q1084" s="167">
        <f t="shared" ref="Q1084" si="5138">Q1081+Q1083</f>
        <v>6.5</v>
      </c>
      <c r="R1084" s="167">
        <f t="shared" ref="R1084" si="5139">R1081+R1083</f>
        <v>6.5</v>
      </c>
      <c r="S1084" s="172">
        <f t="shared" ref="S1084" si="5140">SUM(Q1084:R1084)</f>
        <v>13</v>
      </c>
      <c r="T1084" s="167">
        <f t="shared" ref="T1084" si="5141">T1081+T1083</f>
        <v>6.5</v>
      </c>
      <c r="U1084" s="167">
        <f t="shared" ref="U1084" si="5142">U1081+U1083</f>
        <v>6.5</v>
      </c>
      <c r="V1084" s="172">
        <f t="shared" ref="V1084" si="5143">SUM(T1084:U1084)</f>
        <v>13</v>
      </c>
      <c r="W1084" s="167">
        <f t="shared" ref="W1084:X1084" si="5144">W1081+W1083</f>
        <v>6.5</v>
      </c>
      <c r="X1084" s="167">
        <f t="shared" si="5144"/>
        <v>6.5</v>
      </c>
      <c r="Y1084" s="172">
        <f t="shared" ref="Y1084" si="5145">SUM(W1084:X1084)</f>
        <v>13</v>
      </c>
      <c r="Z1084" s="167">
        <f t="shared" ref="Z1084:AA1084" si="5146">Z1081+Z1083</f>
        <v>6.5</v>
      </c>
      <c r="AA1084" s="167">
        <f t="shared" si="5146"/>
        <v>6.5</v>
      </c>
      <c r="AB1084" s="172">
        <f t="shared" ref="AB1084" si="5147">SUM(Z1084:AA1084)</f>
        <v>13</v>
      </c>
      <c r="AC1084" s="167">
        <f t="shared" ref="AC1084:AD1084" si="5148">AC1081+AC1083</f>
        <v>6.5</v>
      </c>
      <c r="AD1084" s="167">
        <f t="shared" si="5148"/>
        <v>6.5</v>
      </c>
      <c r="AE1084" s="172">
        <f t="shared" ref="AE1084" si="5149">SUM(AC1084:AD1084)</f>
        <v>13</v>
      </c>
      <c r="AF1084" s="167">
        <f t="shared" ref="AF1084:AG1084" si="5150">AF1081+AF1083</f>
        <v>6.5</v>
      </c>
      <c r="AG1084" s="1017">
        <f t="shared" si="5150"/>
        <v>6.5</v>
      </c>
      <c r="AH1084" s="172">
        <f t="shared" ref="AH1084" si="5151">SUM(AF1084:AG1084)</f>
        <v>13</v>
      </c>
      <c r="AI1084" s="167">
        <f t="shared" ref="AI1084:AJ1084" si="5152">AI1081+AI1083</f>
        <v>6.5</v>
      </c>
      <c r="AJ1084" s="167">
        <f t="shared" si="5152"/>
        <v>6.5</v>
      </c>
      <c r="AK1084" s="172">
        <f t="shared" ref="AK1084" si="5153">SUM(AI1084:AJ1084)</f>
        <v>13</v>
      </c>
      <c r="AL1084" s="167">
        <f t="shared" ref="AL1084:AM1084" si="5154">AL1081+AL1083</f>
        <v>6.5</v>
      </c>
      <c r="AM1084" s="167">
        <f t="shared" si="5154"/>
        <v>6.5</v>
      </c>
      <c r="AN1084" s="172">
        <f t="shared" ref="AN1084" si="5155">SUM(AL1084:AM1084)</f>
        <v>13</v>
      </c>
      <c r="AO1084" s="167">
        <f t="shared" ref="AO1084:AP1084" si="5156">AO1081+AO1083</f>
        <v>6.5</v>
      </c>
      <c r="AP1084" s="167">
        <f t="shared" si="5156"/>
        <v>6.5</v>
      </c>
      <c r="AQ1084" s="172">
        <f t="shared" ref="AQ1084" si="5157">SUM(AO1084:AP1084)</f>
        <v>13</v>
      </c>
      <c r="AR1084" s="167">
        <f t="shared" ref="AR1084:AS1084" si="5158">AR1081+AR1083</f>
        <v>6.5</v>
      </c>
      <c r="AS1084" s="167">
        <f t="shared" si="5158"/>
        <v>6.5</v>
      </c>
      <c r="AT1084" s="172">
        <f t="shared" ref="AT1084" si="5159">SUM(AR1084:AS1084)</f>
        <v>13</v>
      </c>
      <c r="AU1084" s="167">
        <f t="shared" ref="AU1084:AV1084" si="5160">AU1081+AU1083</f>
        <v>6.5</v>
      </c>
      <c r="AV1084" s="167">
        <f t="shared" si="5160"/>
        <v>6.5</v>
      </c>
      <c r="AW1084" s="172">
        <f t="shared" ref="AW1084" si="5161">SUM(AU1084:AV1084)</f>
        <v>13</v>
      </c>
      <c r="AX1084" s="167">
        <f t="shared" ref="AX1084:AY1084" si="5162">AX1081+AX1083</f>
        <v>6.5</v>
      </c>
      <c r="AY1084" s="167">
        <f t="shared" si="5162"/>
        <v>6.5</v>
      </c>
      <c r="AZ1084" s="172">
        <f t="shared" ref="AZ1084" si="5163">SUM(AX1084:AY1084)</f>
        <v>13</v>
      </c>
      <c r="BA1084" s="167">
        <f t="shared" ref="BA1084:BB1084" si="5164">BA1081+BA1083</f>
        <v>6.5</v>
      </c>
      <c r="BB1084" s="167">
        <f t="shared" si="5164"/>
        <v>6.5</v>
      </c>
      <c r="BC1084" s="172">
        <f t="shared" ref="BC1084" si="5165">SUM(BA1084:BB1084)</f>
        <v>13</v>
      </c>
      <c r="BD1084" s="167">
        <f t="shared" ref="BD1084:BE1084" si="5166">BD1081+BD1083</f>
        <v>6.5</v>
      </c>
      <c r="BE1084" s="167">
        <f t="shared" si="5166"/>
        <v>6.5</v>
      </c>
      <c r="BF1084" s="172">
        <f t="shared" ref="BF1084" si="5167">SUM(BD1084:BE1084)</f>
        <v>13</v>
      </c>
      <c r="BG1084" s="167">
        <f t="shared" ref="BG1084:BH1084" si="5168">BG1081+BG1083</f>
        <v>6.5</v>
      </c>
      <c r="BH1084" s="167">
        <f t="shared" si="5168"/>
        <v>6.5</v>
      </c>
      <c r="BI1084" s="172">
        <f t="shared" ref="BI1084" si="5169">SUM(BG1084:BH1084)</f>
        <v>13</v>
      </c>
      <c r="BJ1084" s="167">
        <f t="shared" ref="BJ1084:BK1084" si="5170">BJ1081+BJ1083</f>
        <v>6.5</v>
      </c>
      <c r="BK1084" s="167">
        <f t="shared" si="5170"/>
        <v>6.5</v>
      </c>
      <c r="BL1084" s="172">
        <f t="shared" ref="BL1084" si="5171">SUM(BJ1084:BK1084)</f>
        <v>13</v>
      </c>
      <c r="BM1084" s="167">
        <f t="shared" ref="BM1084:BN1084" si="5172">BM1081+BM1083</f>
        <v>6.5</v>
      </c>
      <c r="BN1084" s="167">
        <f t="shared" si="5172"/>
        <v>6.5</v>
      </c>
      <c r="BO1084" s="172">
        <f t="shared" ref="BO1084" si="5173">SUM(BM1084:BN1084)</f>
        <v>13</v>
      </c>
      <c r="BP1084" s="167">
        <f t="shared" ref="BP1084:BQ1084" si="5174">BP1081+BP1083</f>
        <v>6.5</v>
      </c>
      <c r="BQ1084" s="167">
        <f t="shared" si="5174"/>
        <v>6.5</v>
      </c>
      <c r="BR1084" s="172">
        <f t="shared" ref="BR1084" si="5175">SUM(BP1084:BQ1084)</f>
        <v>13</v>
      </c>
    </row>
    <row r="1085" spans="2:70" outlineLevel="2">
      <c r="B1085" s="5"/>
      <c r="C1085" s="84" t="s">
        <v>74</v>
      </c>
      <c r="D1085" s="31" t="s">
        <v>66</v>
      </c>
      <c r="E1085" s="7"/>
      <c r="F1085" s="7"/>
      <c r="G1085" s="779">
        <f>G1084/G1080</f>
        <v>0.2</v>
      </c>
      <c r="H1085" s="7"/>
      <c r="I1085" s="7"/>
      <c r="K1085" s="133">
        <f>K1084/K1080</f>
        <v>0.2</v>
      </c>
      <c r="L1085" s="133">
        <f>L1084/L1080</f>
        <v>0.2</v>
      </c>
      <c r="M1085" s="162">
        <f t="shared" ref="M1085:V1085" si="5176">M1084/M1080</f>
        <v>0.2</v>
      </c>
      <c r="N1085" s="162">
        <f t="shared" si="5176"/>
        <v>0.2</v>
      </c>
      <c r="O1085" s="133">
        <f t="shared" si="5176"/>
        <v>0.2</v>
      </c>
      <c r="P1085" s="162">
        <f t="shared" si="5176"/>
        <v>0.2</v>
      </c>
      <c r="Q1085" s="162">
        <f t="shared" si="5176"/>
        <v>0.2</v>
      </c>
      <c r="R1085" s="133">
        <f t="shared" si="5176"/>
        <v>0.2</v>
      </c>
      <c r="S1085" s="162">
        <f t="shared" si="5176"/>
        <v>0.2</v>
      </c>
      <c r="T1085" s="162">
        <f t="shared" si="5176"/>
        <v>0.2</v>
      </c>
      <c r="U1085" s="133">
        <f t="shared" si="5176"/>
        <v>0.2</v>
      </c>
      <c r="V1085" s="133">
        <f t="shared" si="5176"/>
        <v>0.2</v>
      </c>
      <c r="W1085" s="162">
        <f t="shared" ref="W1085:AN1085" si="5177">W1084/W1080</f>
        <v>0.2</v>
      </c>
      <c r="X1085" s="133">
        <f t="shared" si="5177"/>
        <v>0.2</v>
      </c>
      <c r="Y1085" s="133">
        <f t="shared" si="5177"/>
        <v>0.2</v>
      </c>
      <c r="Z1085" s="162">
        <f t="shared" si="5177"/>
        <v>0.2</v>
      </c>
      <c r="AA1085" s="133">
        <f t="shared" si="5177"/>
        <v>0.2</v>
      </c>
      <c r="AB1085" s="133">
        <f t="shared" si="5177"/>
        <v>0.2</v>
      </c>
      <c r="AC1085" s="162">
        <f t="shared" si="5177"/>
        <v>0.2</v>
      </c>
      <c r="AD1085" s="133">
        <f t="shared" si="5177"/>
        <v>0.2</v>
      </c>
      <c r="AE1085" s="133">
        <f t="shared" si="5177"/>
        <v>0.2</v>
      </c>
      <c r="AF1085" s="162">
        <f t="shared" si="5177"/>
        <v>0.2</v>
      </c>
      <c r="AG1085" s="938">
        <f t="shared" si="5177"/>
        <v>0.2</v>
      </c>
      <c r="AH1085" s="133">
        <f t="shared" si="5177"/>
        <v>0.2</v>
      </c>
      <c r="AI1085" s="162">
        <f t="shared" si="5177"/>
        <v>0.2</v>
      </c>
      <c r="AJ1085" s="133">
        <f t="shared" si="5177"/>
        <v>0.2</v>
      </c>
      <c r="AK1085" s="133">
        <f t="shared" si="5177"/>
        <v>0.2</v>
      </c>
      <c r="AL1085" s="162">
        <f t="shared" si="5177"/>
        <v>0.2</v>
      </c>
      <c r="AM1085" s="133">
        <f t="shared" si="5177"/>
        <v>0.2</v>
      </c>
      <c r="AN1085" s="133">
        <f t="shared" si="5177"/>
        <v>0.2</v>
      </c>
      <c r="AO1085" s="162">
        <f t="shared" ref="AO1085:BR1085" si="5178">AO1084/AO1080</f>
        <v>0.2</v>
      </c>
      <c r="AP1085" s="133">
        <f t="shared" si="5178"/>
        <v>0.2</v>
      </c>
      <c r="AQ1085" s="133">
        <f t="shared" si="5178"/>
        <v>0.2</v>
      </c>
      <c r="AR1085" s="162">
        <f t="shared" si="5178"/>
        <v>0.2</v>
      </c>
      <c r="AS1085" s="133">
        <f t="shared" si="5178"/>
        <v>0.2</v>
      </c>
      <c r="AT1085" s="133">
        <f t="shared" si="5178"/>
        <v>0.2</v>
      </c>
      <c r="AU1085" s="162">
        <f t="shared" si="5178"/>
        <v>0.2</v>
      </c>
      <c r="AV1085" s="133">
        <f t="shared" si="5178"/>
        <v>0.2</v>
      </c>
      <c r="AW1085" s="133">
        <f t="shared" si="5178"/>
        <v>0.2</v>
      </c>
      <c r="AX1085" s="162">
        <f t="shared" si="5178"/>
        <v>0.2</v>
      </c>
      <c r="AY1085" s="133">
        <f t="shared" si="5178"/>
        <v>0.2</v>
      </c>
      <c r="AZ1085" s="133">
        <f t="shared" si="5178"/>
        <v>0.2</v>
      </c>
      <c r="BA1085" s="162">
        <f t="shared" si="5178"/>
        <v>0.2</v>
      </c>
      <c r="BB1085" s="133">
        <f t="shared" si="5178"/>
        <v>0.2</v>
      </c>
      <c r="BC1085" s="133">
        <f t="shared" si="5178"/>
        <v>0.2</v>
      </c>
      <c r="BD1085" s="162">
        <f t="shared" si="5178"/>
        <v>0.2</v>
      </c>
      <c r="BE1085" s="133">
        <f t="shared" si="5178"/>
        <v>0.2</v>
      </c>
      <c r="BF1085" s="133">
        <f t="shared" si="5178"/>
        <v>0.2</v>
      </c>
      <c r="BG1085" s="162">
        <f t="shared" si="5178"/>
        <v>0.2</v>
      </c>
      <c r="BH1085" s="133">
        <f t="shared" si="5178"/>
        <v>0.2</v>
      </c>
      <c r="BI1085" s="133">
        <f t="shared" si="5178"/>
        <v>0.2</v>
      </c>
      <c r="BJ1085" s="162">
        <f t="shared" si="5178"/>
        <v>0.2</v>
      </c>
      <c r="BK1085" s="133">
        <f t="shared" si="5178"/>
        <v>0.2</v>
      </c>
      <c r="BL1085" s="133">
        <f t="shared" si="5178"/>
        <v>0.2</v>
      </c>
      <c r="BM1085" s="162">
        <f t="shared" si="5178"/>
        <v>0.2</v>
      </c>
      <c r="BN1085" s="133">
        <f t="shared" si="5178"/>
        <v>0.2</v>
      </c>
      <c r="BO1085" s="133">
        <f t="shared" si="5178"/>
        <v>0.2</v>
      </c>
      <c r="BP1085" s="162">
        <f t="shared" si="5178"/>
        <v>0.2</v>
      </c>
      <c r="BQ1085" s="133">
        <f t="shared" si="5178"/>
        <v>0.2</v>
      </c>
      <c r="BR1085" s="133">
        <f t="shared" si="5178"/>
        <v>0.2</v>
      </c>
    </row>
    <row r="1086" spans="2:70" outlineLevel="2">
      <c r="B1086" s="5"/>
      <c r="C1086" s="84" t="s">
        <v>90</v>
      </c>
      <c r="D1086" s="31" t="s">
        <v>58</v>
      </c>
      <c r="E1086" s="7"/>
      <c r="F1086" s="7"/>
      <c r="G1086" s="767">
        <f>G1089-G1084</f>
        <v>0</v>
      </c>
      <c r="H1086" s="7"/>
      <c r="I1086" s="7"/>
      <c r="K1086" s="402">
        <v>0</v>
      </c>
      <c r="L1086" s="402">
        <v>0</v>
      </c>
      <c r="M1086" s="167">
        <f>SUM(K1086:L1086)</f>
        <v>0</v>
      </c>
      <c r="N1086" s="402">
        <v>0</v>
      </c>
      <c r="O1086" s="402">
        <v>0</v>
      </c>
      <c r="P1086" s="364">
        <f>N1086+O1086</f>
        <v>0</v>
      </c>
      <c r="Q1086" s="402">
        <v>0</v>
      </c>
      <c r="R1086" s="402">
        <v>0</v>
      </c>
      <c r="S1086" s="364">
        <f>Q1086+R1086</f>
        <v>0</v>
      </c>
      <c r="T1086" s="402">
        <v>0</v>
      </c>
      <c r="U1086" s="402">
        <v>0</v>
      </c>
      <c r="V1086" s="364">
        <f>T1086+U1086</f>
        <v>0</v>
      </c>
      <c r="W1086" s="402">
        <v>0</v>
      </c>
      <c r="X1086" s="402">
        <v>0</v>
      </c>
      <c r="Y1086" s="364">
        <f>W1086+X1086</f>
        <v>0</v>
      </c>
      <c r="Z1086" s="402">
        <v>0</v>
      </c>
      <c r="AA1086" s="402">
        <v>0</v>
      </c>
      <c r="AB1086" s="364">
        <f>Z1086+AA1086</f>
        <v>0</v>
      </c>
      <c r="AC1086" s="402">
        <v>0</v>
      </c>
      <c r="AD1086" s="402">
        <v>0</v>
      </c>
      <c r="AE1086" s="364">
        <f>AC1086+AD1086</f>
        <v>0</v>
      </c>
      <c r="AF1086" s="402">
        <v>0</v>
      </c>
      <c r="AG1086" s="1030">
        <v>0</v>
      </c>
      <c r="AH1086" s="364">
        <f>AF1086+AG1086</f>
        <v>0</v>
      </c>
      <c r="AI1086" s="402">
        <v>0</v>
      </c>
      <c r="AJ1086" s="402">
        <v>0</v>
      </c>
      <c r="AK1086" s="364">
        <f>AI1086+AJ1086</f>
        <v>0</v>
      </c>
      <c r="AL1086" s="402">
        <v>0</v>
      </c>
      <c r="AM1086" s="402">
        <v>0</v>
      </c>
      <c r="AN1086" s="364">
        <f>AL1086+AM1086</f>
        <v>0</v>
      </c>
      <c r="AO1086" s="402">
        <v>0</v>
      </c>
      <c r="AP1086" s="402">
        <v>0</v>
      </c>
      <c r="AQ1086" s="364">
        <f>AO1086+AP1086</f>
        <v>0</v>
      </c>
      <c r="AR1086" s="402">
        <v>0</v>
      </c>
      <c r="AS1086" s="402">
        <v>0</v>
      </c>
      <c r="AT1086" s="364">
        <f>AR1086+AS1086</f>
        <v>0</v>
      </c>
      <c r="AU1086" s="402">
        <v>0</v>
      </c>
      <c r="AV1086" s="402">
        <v>0</v>
      </c>
      <c r="AW1086" s="364">
        <f>AU1086+AV1086</f>
        <v>0</v>
      </c>
      <c r="AX1086" s="402">
        <v>0</v>
      </c>
      <c r="AY1086" s="402">
        <v>0</v>
      </c>
      <c r="AZ1086" s="364">
        <f>AX1086+AY1086</f>
        <v>0</v>
      </c>
      <c r="BA1086" s="402">
        <v>0</v>
      </c>
      <c r="BB1086" s="402">
        <v>0</v>
      </c>
      <c r="BC1086" s="364">
        <f>BA1086+BB1086</f>
        <v>0</v>
      </c>
      <c r="BD1086" s="402">
        <v>0</v>
      </c>
      <c r="BE1086" s="402">
        <v>0</v>
      </c>
      <c r="BF1086" s="364">
        <f>BD1086+BE1086</f>
        <v>0</v>
      </c>
      <c r="BG1086" s="402">
        <v>0</v>
      </c>
      <c r="BH1086" s="402">
        <v>0</v>
      </c>
      <c r="BI1086" s="364">
        <f>BG1086+BH1086</f>
        <v>0</v>
      </c>
      <c r="BJ1086" s="402">
        <v>0</v>
      </c>
      <c r="BK1086" s="402">
        <v>0</v>
      </c>
      <c r="BL1086" s="364">
        <f>BJ1086+BK1086</f>
        <v>0</v>
      </c>
      <c r="BM1086" s="402">
        <v>0</v>
      </c>
      <c r="BN1086" s="402">
        <v>0</v>
      </c>
      <c r="BO1086" s="364">
        <f>BM1086+BN1086</f>
        <v>0</v>
      </c>
      <c r="BP1086" s="402">
        <v>0</v>
      </c>
      <c r="BQ1086" s="402">
        <v>0</v>
      </c>
      <c r="BR1086" s="364">
        <f>BP1086+BQ1086</f>
        <v>0</v>
      </c>
    </row>
    <row r="1087" spans="2:70" outlineLevel="2">
      <c r="B1087" s="5"/>
      <c r="C1087" s="84" t="s">
        <v>89</v>
      </c>
      <c r="D1087" s="31"/>
      <c r="E1087" s="7"/>
      <c r="F1087" s="7"/>
      <c r="G1087" s="771"/>
      <c r="H1087" s="7"/>
      <c r="I1087" s="7"/>
      <c r="K1087" s="24">
        <f>K1086*K313/K1080</f>
        <v>0</v>
      </c>
      <c r="L1087" s="24">
        <f>L1086*L313/L1080</f>
        <v>0</v>
      </c>
      <c r="M1087" s="157">
        <f>G1087+M1086</f>
        <v>0</v>
      </c>
      <c r="N1087" s="156">
        <f>G1087+N1086</f>
        <v>0</v>
      </c>
      <c r="O1087" s="156">
        <f t="shared" ref="O1087" si="5179">L1087+O1086</f>
        <v>0</v>
      </c>
      <c r="P1087" s="156">
        <f>SUM(N1087:O1087)</f>
        <v>0</v>
      </c>
      <c r="Q1087" s="156">
        <f t="shared" ref="Q1087" si="5180">N1087+Q1086</f>
        <v>0</v>
      </c>
      <c r="R1087" s="156">
        <f t="shared" ref="R1087" si="5181">O1087+R1086</f>
        <v>0</v>
      </c>
      <c r="S1087" s="156">
        <f t="shared" ref="S1087" si="5182">SUM(Q1087:R1087)</f>
        <v>0</v>
      </c>
      <c r="T1087" s="156">
        <f t="shared" ref="T1087" si="5183">Q1087+T1086</f>
        <v>0</v>
      </c>
      <c r="U1087" s="156">
        <f t="shared" ref="U1087" si="5184">R1087+U1086</f>
        <v>0</v>
      </c>
      <c r="V1087" s="156">
        <f t="shared" ref="V1087" si="5185">SUM(T1087:U1087)</f>
        <v>0</v>
      </c>
      <c r="W1087" s="156">
        <f t="shared" ref="W1087" si="5186">T1087+W1086</f>
        <v>0</v>
      </c>
      <c r="X1087" s="156">
        <f t="shared" ref="X1087" si="5187">U1087+X1086</f>
        <v>0</v>
      </c>
      <c r="Y1087" s="156">
        <f t="shared" ref="Y1087" si="5188">SUM(W1087:X1087)</f>
        <v>0</v>
      </c>
      <c r="Z1087" s="156">
        <f t="shared" ref="Z1087" si="5189">W1087+Z1086</f>
        <v>0</v>
      </c>
      <c r="AA1087" s="156">
        <f t="shared" ref="AA1087" si="5190">X1087+AA1086</f>
        <v>0</v>
      </c>
      <c r="AB1087" s="156">
        <f t="shared" ref="AB1087" si="5191">SUM(Z1087:AA1087)</f>
        <v>0</v>
      </c>
      <c r="AC1087" s="156">
        <f t="shared" ref="AC1087" si="5192">Z1087+AC1086</f>
        <v>0</v>
      </c>
      <c r="AD1087" s="156">
        <f t="shared" ref="AD1087" si="5193">AA1087+AD1086</f>
        <v>0</v>
      </c>
      <c r="AE1087" s="157">
        <f t="shared" ref="AE1087" si="5194">SUM(AC1087:AD1087)</f>
        <v>0</v>
      </c>
      <c r="AF1087" s="157">
        <f t="shared" ref="AF1087" si="5195">AC1087+AF1086</f>
        <v>0</v>
      </c>
      <c r="AG1087" s="1031">
        <f t="shared" ref="AG1087" si="5196">AD1087+AG1086</f>
        <v>0</v>
      </c>
      <c r="AH1087" s="156">
        <f t="shared" ref="AH1087" si="5197">SUM(AF1087:AG1087)</f>
        <v>0</v>
      </c>
      <c r="AI1087" s="156">
        <f t="shared" ref="AI1087" si="5198">AF1087+AI1086</f>
        <v>0</v>
      </c>
      <c r="AJ1087" s="156">
        <f t="shared" ref="AJ1087" si="5199">AG1087+AJ1086</f>
        <v>0</v>
      </c>
      <c r="AK1087" s="156">
        <f t="shared" ref="AK1087" si="5200">SUM(AI1087:AJ1087)</f>
        <v>0</v>
      </c>
      <c r="AL1087" s="156">
        <f t="shared" ref="AL1087" si="5201">AI1087+AL1086</f>
        <v>0</v>
      </c>
      <c r="AM1087" s="156">
        <f t="shared" ref="AM1087" si="5202">AJ1087+AM1086</f>
        <v>0</v>
      </c>
      <c r="AN1087" s="156">
        <f t="shared" ref="AN1087" si="5203">SUM(AL1087:AM1087)</f>
        <v>0</v>
      </c>
      <c r="AO1087" s="156">
        <f t="shared" ref="AO1087" si="5204">AL1087+AO1086</f>
        <v>0</v>
      </c>
      <c r="AP1087" s="156">
        <f t="shared" ref="AP1087" si="5205">AM1087+AP1086</f>
        <v>0</v>
      </c>
      <c r="AQ1087" s="156">
        <f t="shared" ref="AQ1087" si="5206">SUM(AO1087:AP1087)</f>
        <v>0</v>
      </c>
      <c r="AR1087" s="156">
        <f t="shared" ref="AR1087" si="5207">AO1087+AR1086</f>
        <v>0</v>
      </c>
      <c r="AS1087" s="156">
        <f t="shared" ref="AS1087" si="5208">AP1087+AS1086</f>
        <v>0</v>
      </c>
      <c r="AT1087" s="156">
        <f t="shared" ref="AT1087" si="5209">SUM(AR1087:AS1087)</f>
        <v>0</v>
      </c>
      <c r="AU1087" s="156">
        <f t="shared" ref="AU1087" si="5210">AR1087+AU1086</f>
        <v>0</v>
      </c>
      <c r="AV1087" s="156">
        <f t="shared" ref="AV1087" si="5211">AS1087+AV1086</f>
        <v>0</v>
      </c>
      <c r="AW1087" s="156">
        <f t="shared" ref="AW1087" si="5212">SUM(AU1087:AV1087)</f>
        <v>0</v>
      </c>
      <c r="AX1087" s="156">
        <f t="shared" ref="AX1087" si="5213">AU1087+AX1086</f>
        <v>0</v>
      </c>
      <c r="AY1087" s="156">
        <f t="shared" ref="AY1087" si="5214">AV1087+AY1086</f>
        <v>0</v>
      </c>
      <c r="AZ1087" s="156">
        <f t="shared" ref="AZ1087" si="5215">SUM(AX1087:AY1087)</f>
        <v>0</v>
      </c>
      <c r="BA1087" s="156">
        <f t="shared" ref="BA1087" si="5216">AX1087+BA1086</f>
        <v>0</v>
      </c>
      <c r="BB1087" s="156">
        <f t="shared" ref="BB1087" si="5217">AY1087+BB1086</f>
        <v>0</v>
      </c>
      <c r="BC1087" s="156">
        <f t="shared" ref="BC1087" si="5218">SUM(BA1087:BB1087)</f>
        <v>0</v>
      </c>
      <c r="BD1087" s="156">
        <f t="shared" ref="BD1087" si="5219">BA1087+BD1086</f>
        <v>0</v>
      </c>
      <c r="BE1087" s="156">
        <f t="shared" ref="BE1087" si="5220">BB1087+BE1086</f>
        <v>0</v>
      </c>
      <c r="BF1087" s="156">
        <f t="shared" ref="BF1087" si="5221">SUM(BD1087:BE1087)</f>
        <v>0</v>
      </c>
      <c r="BG1087" s="156">
        <f t="shared" ref="BG1087" si="5222">BD1087+BG1086</f>
        <v>0</v>
      </c>
      <c r="BH1087" s="156">
        <f t="shared" ref="BH1087" si="5223">BE1087+BH1086</f>
        <v>0</v>
      </c>
      <c r="BI1087" s="156">
        <f t="shared" ref="BI1087" si="5224">SUM(BG1087:BH1087)</f>
        <v>0</v>
      </c>
      <c r="BJ1087" s="156">
        <f t="shared" ref="BJ1087" si="5225">BG1087+BJ1086</f>
        <v>0</v>
      </c>
      <c r="BK1087" s="156">
        <f t="shared" ref="BK1087" si="5226">BH1087+BK1086</f>
        <v>0</v>
      </c>
      <c r="BL1087" s="156">
        <f t="shared" ref="BL1087" si="5227">SUM(BJ1087:BK1087)</f>
        <v>0</v>
      </c>
      <c r="BM1087" s="156">
        <f t="shared" ref="BM1087" si="5228">BJ1087+BM1086</f>
        <v>0</v>
      </c>
      <c r="BN1087" s="156">
        <f t="shared" ref="BN1087" si="5229">BK1087+BN1086</f>
        <v>0</v>
      </c>
      <c r="BO1087" s="156">
        <f t="shared" ref="BO1087" si="5230">SUM(BM1087:BN1087)</f>
        <v>0</v>
      </c>
      <c r="BP1087" s="156">
        <f t="shared" ref="BP1087" si="5231">BM1087+BP1086</f>
        <v>0</v>
      </c>
      <c r="BQ1087" s="156">
        <f t="shared" ref="BQ1087" si="5232">BN1087+BQ1086</f>
        <v>0</v>
      </c>
      <c r="BR1087" s="156">
        <f t="shared" ref="BR1087" si="5233">SUM(BP1087:BQ1087)</f>
        <v>0</v>
      </c>
    </row>
    <row r="1088" spans="2:70" outlineLevel="2">
      <c r="B1088" s="5"/>
      <c r="C1088" s="84" t="s">
        <v>264</v>
      </c>
      <c r="D1088" s="31" t="s">
        <v>66</v>
      </c>
      <c r="E1088" s="7"/>
      <c r="F1088" s="7"/>
      <c r="G1088" s="775">
        <f>G1086/G1080</f>
        <v>0</v>
      </c>
      <c r="H1088" s="7"/>
      <c r="I1088" s="7"/>
      <c r="K1088" s="130"/>
      <c r="L1088" s="156"/>
      <c r="M1088" s="156"/>
      <c r="N1088" s="156"/>
      <c r="O1088" s="156"/>
      <c r="P1088" s="156"/>
      <c r="Q1088" s="156"/>
      <c r="R1088" s="156"/>
      <c r="S1088" s="156"/>
      <c r="T1088" s="156"/>
      <c r="U1088" s="156"/>
      <c r="V1088" s="156"/>
      <c r="W1088" s="156"/>
      <c r="X1088" s="156"/>
      <c r="Y1088" s="156"/>
      <c r="Z1088" s="156"/>
      <c r="AA1088" s="156"/>
      <c r="AB1088" s="156"/>
      <c r="AC1088" s="156"/>
      <c r="AD1088" s="156"/>
      <c r="AE1088" s="157"/>
      <c r="AF1088" s="157"/>
      <c r="AG1088" s="1031"/>
      <c r="AH1088" s="156"/>
      <c r="AI1088" s="156"/>
      <c r="AJ1088" s="156"/>
      <c r="AK1088" s="156"/>
      <c r="AL1088" s="156"/>
      <c r="AM1088" s="156"/>
      <c r="AN1088" s="156"/>
      <c r="AO1088" s="156"/>
      <c r="AP1088" s="156"/>
      <c r="AQ1088" s="156"/>
      <c r="AR1088" s="156"/>
      <c r="AS1088" s="156"/>
      <c r="AT1088" s="156"/>
      <c r="AU1088" s="156"/>
      <c r="AV1088" s="156"/>
      <c r="AW1088" s="156"/>
      <c r="AX1088" s="156"/>
      <c r="AY1088" s="156"/>
      <c r="AZ1088" s="156"/>
      <c r="BA1088" s="156"/>
      <c r="BB1088" s="156"/>
      <c r="BC1088" s="156"/>
      <c r="BD1088" s="156"/>
      <c r="BE1088" s="156"/>
      <c r="BF1088" s="156"/>
      <c r="BG1088" s="156"/>
      <c r="BH1088" s="156"/>
      <c r="BI1088" s="156"/>
      <c r="BJ1088" s="156"/>
      <c r="BK1088" s="156"/>
      <c r="BL1088" s="156"/>
      <c r="BM1088" s="156"/>
      <c r="BN1088" s="156"/>
      <c r="BO1088" s="156"/>
      <c r="BP1088" s="156"/>
      <c r="BQ1088" s="156"/>
      <c r="BR1088" s="156"/>
    </row>
    <row r="1089" spans="2:70" outlineLevel="2">
      <c r="B1089" s="5"/>
      <c r="C1089" s="84" t="s">
        <v>79</v>
      </c>
      <c r="D1089" s="31" t="s">
        <v>58</v>
      </c>
      <c r="E1089" s="7"/>
      <c r="F1089" s="7"/>
      <c r="G1089" s="770">
        <f>G1078*G1090</f>
        <v>13</v>
      </c>
      <c r="H1089" s="7"/>
      <c r="I1089" s="7"/>
      <c r="K1089" s="13">
        <f t="shared" ref="K1089:L1089" si="5234">K1087+K1084</f>
        <v>6.5</v>
      </c>
      <c r="L1089" s="13">
        <f t="shared" si="5234"/>
        <v>6.5</v>
      </c>
      <c r="M1089" s="167">
        <f>SUM(K1089:L1089)</f>
        <v>13</v>
      </c>
      <c r="N1089" s="13">
        <f t="shared" ref="N1089:V1089" si="5235">N1087+N1084</f>
        <v>6.5</v>
      </c>
      <c r="O1089" s="13">
        <f t="shared" si="5235"/>
        <v>6.5</v>
      </c>
      <c r="P1089" s="13">
        <f t="shared" si="5235"/>
        <v>13</v>
      </c>
      <c r="Q1089" s="13">
        <f t="shared" si="5235"/>
        <v>6.5</v>
      </c>
      <c r="R1089" s="13">
        <f t="shared" si="5235"/>
        <v>6.5</v>
      </c>
      <c r="S1089" s="13">
        <f t="shared" si="5235"/>
        <v>13</v>
      </c>
      <c r="T1089" s="13">
        <f t="shared" si="5235"/>
        <v>6.5</v>
      </c>
      <c r="U1089" s="13">
        <f t="shared" si="5235"/>
        <v>6.5</v>
      </c>
      <c r="V1089" s="13">
        <f t="shared" si="5235"/>
        <v>13</v>
      </c>
      <c r="W1089" s="13">
        <f t="shared" ref="W1089:AN1089" si="5236">W1087+W1084</f>
        <v>6.5</v>
      </c>
      <c r="X1089" s="13">
        <f t="shared" si="5236"/>
        <v>6.5</v>
      </c>
      <c r="Y1089" s="13">
        <f t="shared" si="5236"/>
        <v>13</v>
      </c>
      <c r="Z1089" s="13">
        <f t="shared" si="5236"/>
        <v>6.5</v>
      </c>
      <c r="AA1089" s="13">
        <f t="shared" si="5236"/>
        <v>6.5</v>
      </c>
      <c r="AB1089" s="13">
        <f t="shared" si="5236"/>
        <v>13</v>
      </c>
      <c r="AC1089" s="13">
        <f t="shared" si="5236"/>
        <v>6.5</v>
      </c>
      <c r="AD1089" s="13">
        <f t="shared" si="5236"/>
        <v>6.5</v>
      </c>
      <c r="AE1089" s="164">
        <f t="shared" si="5236"/>
        <v>13</v>
      </c>
      <c r="AF1089" s="164">
        <f t="shared" si="5236"/>
        <v>6.5</v>
      </c>
      <c r="AG1089" s="1018">
        <f t="shared" si="5236"/>
        <v>6.5</v>
      </c>
      <c r="AH1089" s="13">
        <f t="shared" si="5236"/>
        <v>13</v>
      </c>
      <c r="AI1089" s="13">
        <f t="shared" si="5236"/>
        <v>6.5</v>
      </c>
      <c r="AJ1089" s="13">
        <f t="shared" si="5236"/>
        <v>6.5</v>
      </c>
      <c r="AK1089" s="13">
        <f t="shared" si="5236"/>
        <v>13</v>
      </c>
      <c r="AL1089" s="13">
        <f t="shared" si="5236"/>
        <v>6.5</v>
      </c>
      <c r="AM1089" s="13">
        <f t="shared" si="5236"/>
        <v>6.5</v>
      </c>
      <c r="AN1089" s="13">
        <f t="shared" si="5236"/>
        <v>13</v>
      </c>
      <c r="AO1089" s="13">
        <f t="shared" ref="AO1089:BR1089" si="5237">AO1087+AO1084</f>
        <v>6.5</v>
      </c>
      <c r="AP1089" s="13">
        <f t="shared" si="5237"/>
        <v>6.5</v>
      </c>
      <c r="AQ1089" s="13">
        <f t="shared" si="5237"/>
        <v>13</v>
      </c>
      <c r="AR1089" s="13">
        <f t="shared" si="5237"/>
        <v>6.5</v>
      </c>
      <c r="AS1089" s="13">
        <f t="shared" si="5237"/>
        <v>6.5</v>
      </c>
      <c r="AT1089" s="13">
        <f t="shared" si="5237"/>
        <v>13</v>
      </c>
      <c r="AU1089" s="13">
        <f t="shared" si="5237"/>
        <v>6.5</v>
      </c>
      <c r="AV1089" s="13">
        <f t="shared" si="5237"/>
        <v>6.5</v>
      </c>
      <c r="AW1089" s="13">
        <f t="shared" si="5237"/>
        <v>13</v>
      </c>
      <c r="AX1089" s="13">
        <f t="shared" si="5237"/>
        <v>6.5</v>
      </c>
      <c r="AY1089" s="13">
        <f t="shared" si="5237"/>
        <v>6.5</v>
      </c>
      <c r="AZ1089" s="13">
        <f t="shared" si="5237"/>
        <v>13</v>
      </c>
      <c r="BA1089" s="13">
        <f t="shared" si="5237"/>
        <v>6.5</v>
      </c>
      <c r="BB1089" s="13">
        <f t="shared" si="5237"/>
        <v>6.5</v>
      </c>
      <c r="BC1089" s="13">
        <f t="shared" si="5237"/>
        <v>13</v>
      </c>
      <c r="BD1089" s="13">
        <f t="shared" si="5237"/>
        <v>6.5</v>
      </c>
      <c r="BE1089" s="13">
        <f t="shared" si="5237"/>
        <v>6.5</v>
      </c>
      <c r="BF1089" s="13">
        <f t="shared" si="5237"/>
        <v>13</v>
      </c>
      <c r="BG1089" s="13">
        <f t="shared" si="5237"/>
        <v>6.5</v>
      </c>
      <c r="BH1089" s="13">
        <f t="shared" si="5237"/>
        <v>6.5</v>
      </c>
      <c r="BI1089" s="13">
        <f t="shared" si="5237"/>
        <v>13</v>
      </c>
      <c r="BJ1089" s="13">
        <f t="shared" si="5237"/>
        <v>6.5</v>
      </c>
      <c r="BK1089" s="13">
        <f t="shared" si="5237"/>
        <v>6.5</v>
      </c>
      <c r="BL1089" s="13">
        <f t="shared" si="5237"/>
        <v>13</v>
      </c>
      <c r="BM1089" s="13">
        <f t="shared" si="5237"/>
        <v>6.5</v>
      </c>
      <c r="BN1089" s="13">
        <f t="shared" si="5237"/>
        <v>6.5</v>
      </c>
      <c r="BO1089" s="13">
        <f t="shared" si="5237"/>
        <v>13</v>
      </c>
      <c r="BP1089" s="13">
        <f t="shared" si="5237"/>
        <v>6.5</v>
      </c>
      <c r="BQ1089" s="13">
        <f t="shared" si="5237"/>
        <v>6.5</v>
      </c>
      <c r="BR1089" s="13">
        <f t="shared" si="5237"/>
        <v>13</v>
      </c>
    </row>
    <row r="1090" spans="2:70" outlineLevel="2">
      <c r="B1090" s="5"/>
      <c r="C1090" s="84" t="s">
        <v>75</v>
      </c>
      <c r="D1090" s="31" t="s">
        <v>66</v>
      </c>
      <c r="E1090" s="7"/>
      <c r="F1090" s="7"/>
      <c r="G1090" s="773">
        <v>0.2</v>
      </c>
      <c r="H1090" s="7"/>
      <c r="I1090" s="7"/>
      <c r="K1090" s="20">
        <f>K1089/G1078*2</f>
        <v>0.2</v>
      </c>
      <c r="L1090" s="20">
        <f>L1089/G1078*2</f>
        <v>0.2</v>
      </c>
      <c r="M1090" s="20">
        <f>M1089/$G$1078</f>
        <v>0.2</v>
      </c>
      <c r="N1090" s="20">
        <f>N1089/$G$1078*2</f>
        <v>0.2</v>
      </c>
      <c r="O1090" s="20">
        <f>O1089/$G$1078*2</f>
        <v>0.2</v>
      </c>
      <c r="P1090" s="20">
        <f>P1089/$G$1078</f>
        <v>0.2</v>
      </c>
      <c r="Q1090" s="20">
        <f>Q1089/$G$1078*2</f>
        <v>0.2</v>
      </c>
      <c r="R1090" s="20">
        <f>R1089/$G$1078*2</f>
        <v>0.2</v>
      </c>
      <c r="S1090" s="20">
        <f>S1089/$G$1078</f>
        <v>0.2</v>
      </c>
      <c r="T1090" s="20">
        <f>T1089/$G$1078*2</f>
        <v>0.2</v>
      </c>
      <c r="U1090" s="20">
        <f>U1089/$G$1078*2</f>
        <v>0.2</v>
      </c>
      <c r="V1090" s="20">
        <f>V1089/$G$1078</f>
        <v>0.2</v>
      </c>
      <c r="W1090" s="20">
        <f>W1089/$G$1078*2</f>
        <v>0.2</v>
      </c>
      <c r="X1090" s="20">
        <f>X1089/$G$1078*2</f>
        <v>0.2</v>
      </c>
      <c r="Y1090" s="20">
        <f>Y1089/$G$1078</f>
        <v>0.2</v>
      </c>
      <c r="Z1090" s="20">
        <f>Z1089/$G$1078*2</f>
        <v>0.2</v>
      </c>
      <c r="AA1090" s="20">
        <f>AA1089/$G$1078*2</f>
        <v>0.2</v>
      </c>
      <c r="AB1090" s="20">
        <f>AB1089/$G$1078</f>
        <v>0.2</v>
      </c>
      <c r="AC1090" s="20">
        <f>AC1089/$G$1078*2</f>
        <v>0.2</v>
      </c>
      <c r="AD1090" s="20">
        <f>AD1089/$G$1078*2</f>
        <v>0.2</v>
      </c>
      <c r="AE1090" s="133">
        <f>AE1089/$G$1078</f>
        <v>0.2</v>
      </c>
      <c r="AF1090" s="133">
        <f>AF1089/$G$1078*2</f>
        <v>0.2</v>
      </c>
      <c r="AG1090" s="938">
        <f>AG1089/$G$1078*2</f>
        <v>0.2</v>
      </c>
      <c r="AH1090" s="20">
        <f>AH1089/$G$1078</f>
        <v>0.2</v>
      </c>
      <c r="AI1090" s="20">
        <f>AI1089/$G$1078*2</f>
        <v>0.2</v>
      </c>
      <c r="AJ1090" s="20">
        <f>AJ1089/$G$1078*2</f>
        <v>0.2</v>
      </c>
      <c r="AK1090" s="20">
        <f>AK1089/$G$1078</f>
        <v>0.2</v>
      </c>
      <c r="AL1090" s="20">
        <f>AL1089/$G$1078*2</f>
        <v>0.2</v>
      </c>
      <c r="AM1090" s="20">
        <f>AM1089/$G$1078*2</f>
        <v>0.2</v>
      </c>
      <c r="AN1090" s="20">
        <f>AN1089/$G$1078</f>
        <v>0.2</v>
      </c>
      <c r="AO1090" s="20">
        <f>AO1089/$G$1078*2</f>
        <v>0.2</v>
      </c>
      <c r="AP1090" s="20">
        <f>AP1089/$G$1078*2</f>
        <v>0.2</v>
      </c>
      <c r="AQ1090" s="20">
        <f>AQ1089/$G$1078</f>
        <v>0.2</v>
      </c>
      <c r="AR1090" s="20">
        <f>AR1089/$G$1078*2</f>
        <v>0.2</v>
      </c>
      <c r="AS1090" s="20">
        <f>AS1089/$G$1078*2</f>
        <v>0.2</v>
      </c>
      <c r="AT1090" s="20">
        <f>AT1089/$G$1078</f>
        <v>0.2</v>
      </c>
      <c r="AU1090" s="20">
        <f>AU1089/$G$1078*2</f>
        <v>0.2</v>
      </c>
      <c r="AV1090" s="20">
        <f>AV1089/$G$1078*2</f>
        <v>0.2</v>
      </c>
      <c r="AW1090" s="20">
        <f>AW1089/$G$1078</f>
        <v>0.2</v>
      </c>
      <c r="AX1090" s="20">
        <f>AX1089/$G$1078*2</f>
        <v>0.2</v>
      </c>
      <c r="AY1090" s="20">
        <f>AY1089/$G$1078*2</f>
        <v>0.2</v>
      </c>
      <c r="AZ1090" s="20">
        <f>AZ1089/$G$1078</f>
        <v>0.2</v>
      </c>
      <c r="BA1090" s="20">
        <f>BA1089/$G$1078*2</f>
        <v>0.2</v>
      </c>
      <c r="BB1090" s="20">
        <f>BB1089/$G$1078*2</f>
        <v>0.2</v>
      </c>
      <c r="BC1090" s="20">
        <f>BC1089/$G$1078</f>
        <v>0.2</v>
      </c>
      <c r="BD1090" s="20">
        <f>BD1089/$G$1078*2</f>
        <v>0.2</v>
      </c>
      <c r="BE1090" s="20">
        <f>BE1089/$G$1078*2</f>
        <v>0.2</v>
      </c>
      <c r="BF1090" s="20">
        <f>BF1089/$G$1078</f>
        <v>0.2</v>
      </c>
      <c r="BG1090" s="20">
        <f>BG1089/$G$1078*2</f>
        <v>0.2</v>
      </c>
      <c r="BH1090" s="20">
        <f>BH1089/$G$1078*2</f>
        <v>0.2</v>
      </c>
      <c r="BI1090" s="20">
        <f>BI1089/$G$1078</f>
        <v>0.2</v>
      </c>
      <c r="BJ1090" s="20">
        <f>BJ1089/$G$1078*2</f>
        <v>0.2</v>
      </c>
      <c r="BK1090" s="20">
        <f>BK1089/$G$1078*2</f>
        <v>0.2</v>
      </c>
      <c r="BL1090" s="20">
        <f>BL1089/$G$1078</f>
        <v>0.2</v>
      </c>
      <c r="BM1090" s="20">
        <f>BM1089/$G$1078*2</f>
        <v>0.2</v>
      </c>
      <c r="BN1090" s="20">
        <f>BN1089/$G$1078*2</f>
        <v>0.2</v>
      </c>
      <c r="BO1090" s="20">
        <f>BO1089/$G$1078</f>
        <v>0.2</v>
      </c>
      <c r="BP1090" s="20">
        <f>BP1089/$G$1078*2</f>
        <v>0.2</v>
      </c>
      <c r="BQ1090" s="20">
        <f>BQ1089/$G$1078*2</f>
        <v>0.2</v>
      </c>
      <c r="BR1090" s="20">
        <f>BR1089/$G$1078</f>
        <v>0.2</v>
      </c>
    </row>
    <row r="1091" spans="2:70" outlineLevel="2">
      <c r="B1091" s="5"/>
      <c r="C1091" s="84" t="s">
        <v>57</v>
      </c>
      <c r="D1091" s="7" t="s">
        <v>85</v>
      </c>
      <c r="E1091" s="7"/>
      <c r="F1091" s="7"/>
      <c r="G1091" s="774">
        <f>G1089/K259</f>
        <v>9.8074852373342836</v>
      </c>
      <c r="H1091" s="7"/>
      <c r="I1091" s="7"/>
      <c r="K1091" s="156">
        <f t="shared" ref="K1091:AP1091" si="5238">K1089/K259</f>
        <v>4.9037426186671418</v>
      </c>
      <c r="L1091" s="156">
        <f t="shared" si="5238"/>
        <v>4.6272852236964273</v>
      </c>
      <c r="M1091" s="156">
        <f t="shared" si="5238"/>
        <v>9.523008907522744</v>
      </c>
      <c r="N1091" s="156">
        <f t="shared" si="5238"/>
        <v>4.7097669655948513</v>
      </c>
      <c r="O1091" s="156">
        <f t="shared" si="5238"/>
        <v>5.0094319600573387</v>
      </c>
      <c r="P1091" s="156">
        <f t="shared" si="5238"/>
        <v>9.7099595727391446</v>
      </c>
      <c r="Q1091" s="156">
        <f t="shared" si="5238"/>
        <v>5.1006397749755399</v>
      </c>
      <c r="R1091" s="156">
        <f t="shared" si="5238"/>
        <v>4.9500271963171363</v>
      </c>
      <c r="S1091" s="156">
        <f t="shared" si="5238"/>
        <v>10.04840999183898</v>
      </c>
      <c r="T1091" s="156">
        <f t="shared" si="5238"/>
        <v>4.8398195876288659</v>
      </c>
      <c r="U1091" s="156">
        <f t="shared" si="5238"/>
        <v>4.74562816382881</v>
      </c>
      <c r="V1091" s="156">
        <f t="shared" si="5238"/>
        <v>9.5801118405057135</v>
      </c>
      <c r="W1091" s="156">
        <f t="shared" si="5238"/>
        <v>4.8987644982349972</v>
      </c>
      <c r="X1091" s="156">
        <f t="shared" si="5238"/>
        <v>5.9452273331560734</v>
      </c>
      <c r="Y1091" s="156">
        <f t="shared" si="5238"/>
        <v>10.816228808075579</v>
      </c>
      <c r="Z1091" s="156">
        <f t="shared" si="5238"/>
        <v>5.8907396950875208</v>
      </c>
      <c r="AA1091" s="156">
        <f t="shared" si="5238"/>
        <v>5.8284789644012953</v>
      </c>
      <c r="AB1091" s="156">
        <f t="shared" si="5238"/>
        <v>11.71530625744146</v>
      </c>
      <c r="AC1091" s="156">
        <f t="shared" si="5238"/>
        <v>5.9249329758713127</v>
      </c>
      <c r="AD1091" s="156">
        <f t="shared" si="5238"/>
        <v>6.0046328468844106</v>
      </c>
      <c r="AE1091" s="157">
        <f t="shared" si="5238"/>
        <v>11.935379644588043</v>
      </c>
      <c r="AF1091" s="157">
        <f t="shared" si="5238"/>
        <v>5.5269657258064511</v>
      </c>
      <c r="AG1091" s="1031">
        <f t="shared" si="5238"/>
        <v>5.4852320675105481</v>
      </c>
      <c r="AH1091" s="156">
        <f t="shared" si="5238"/>
        <v>11.01203963249684</v>
      </c>
      <c r="AI1091" s="156">
        <f t="shared" si="5238"/>
        <v>5.676855895196506</v>
      </c>
      <c r="AJ1091" s="156">
        <f t="shared" si="5238"/>
        <v>5.3719008264462813</v>
      </c>
      <c r="AK1091" s="156">
        <f t="shared" si="5238"/>
        <v>11.040339702760084</v>
      </c>
      <c r="AL1091" s="156">
        <f t="shared" si="5238"/>
        <v>5.2</v>
      </c>
      <c r="AM1091" s="156">
        <f t="shared" si="5238"/>
        <v>5.2</v>
      </c>
      <c r="AN1091" s="156">
        <f t="shared" si="5238"/>
        <v>10.4</v>
      </c>
      <c r="AO1091" s="156">
        <f t="shared" si="5238"/>
        <v>5.2</v>
      </c>
      <c r="AP1091" s="156">
        <f t="shared" si="5238"/>
        <v>5.2</v>
      </c>
      <c r="AQ1091" s="156">
        <f t="shared" ref="AQ1091:BR1091" si="5239">AQ1089/AQ259</f>
        <v>10.4</v>
      </c>
      <c r="AR1091" s="156">
        <f t="shared" si="5239"/>
        <v>5.2</v>
      </c>
      <c r="AS1091" s="156">
        <f t="shared" si="5239"/>
        <v>5.2</v>
      </c>
      <c r="AT1091" s="156">
        <f t="shared" si="5239"/>
        <v>10.4</v>
      </c>
      <c r="AU1091" s="156">
        <f t="shared" si="5239"/>
        <v>5.2</v>
      </c>
      <c r="AV1091" s="156">
        <f t="shared" si="5239"/>
        <v>5.2</v>
      </c>
      <c r="AW1091" s="156">
        <f t="shared" si="5239"/>
        <v>10.4</v>
      </c>
      <c r="AX1091" s="156">
        <f t="shared" si="5239"/>
        <v>5.2</v>
      </c>
      <c r="AY1091" s="156">
        <f t="shared" si="5239"/>
        <v>5.2</v>
      </c>
      <c r="AZ1091" s="156">
        <f t="shared" si="5239"/>
        <v>10.4</v>
      </c>
      <c r="BA1091" s="156">
        <f t="shared" si="5239"/>
        <v>5.2</v>
      </c>
      <c r="BB1091" s="156">
        <f t="shared" si="5239"/>
        <v>5.2</v>
      </c>
      <c r="BC1091" s="156">
        <f t="shared" si="5239"/>
        <v>10.4</v>
      </c>
      <c r="BD1091" s="156">
        <f t="shared" si="5239"/>
        <v>5.2</v>
      </c>
      <c r="BE1091" s="156">
        <f t="shared" si="5239"/>
        <v>5.2</v>
      </c>
      <c r="BF1091" s="156">
        <f t="shared" si="5239"/>
        <v>10.4</v>
      </c>
      <c r="BG1091" s="156">
        <f t="shared" si="5239"/>
        <v>5.2</v>
      </c>
      <c r="BH1091" s="156">
        <f t="shared" si="5239"/>
        <v>5.2</v>
      </c>
      <c r="BI1091" s="156">
        <f t="shared" si="5239"/>
        <v>10.4</v>
      </c>
      <c r="BJ1091" s="156">
        <f t="shared" si="5239"/>
        <v>5.2</v>
      </c>
      <c r="BK1091" s="156">
        <f t="shared" si="5239"/>
        <v>5.2</v>
      </c>
      <c r="BL1091" s="156">
        <f t="shared" si="5239"/>
        <v>10.4</v>
      </c>
      <c r="BM1091" s="156">
        <f t="shared" si="5239"/>
        <v>5.2</v>
      </c>
      <c r="BN1091" s="156">
        <f t="shared" si="5239"/>
        <v>5.2</v>
      </c>
      <c r="BO1091" s="156">
        <f t="shared" si="5239"/>
        <v>10.4</v>
      </c>
      <c r="BP1091" s="156">
        <f t="shared" si="5239"/>
        <v>5.2</v>
      </c>
      <c r="BQ1091" s="156">
        <f t="shared" si="5239"/>
        <v>5.2</v>
      </c>
      <c r="BR1091" s="156">
        <f t="shared" si="5239"/>
        <v>10.4</v>
      </c>
    </row>
    <row r="1092" spans="2:70" outlineLevel="2">
      <c r="B1092" s="5"/>
      <c r="C1092" s="511" t="s">
        <v>267</v>
      </c>
      <c r="D1092" s="512" t="s">
        <v>85</v>
      </c>
      <c r="E1092" s="512"/>
      <c r="F1092" s="512"/>
      <c r="G1092" s="512"/>
      <c r="H1092" s="512"/>
      <c r="I1092" s="512"/>
      <c r="J1092" s="512"/>
      <c r="K1092" s="748">
        <f>(K1080-H1080)/K$259</f>
        <v>24.518713093335705</v>
      </c>
      <c r="L1092" s="748">
        <f>(L1080-I1080)/L$259</f>
        <v>23.136426118482134</v>
      </c>
      <c r="M1092" s="748">
        <f>SUM(K1092:L1092)</f>
        <v>47.65513921181784</v>
      </c>
      <c r="N1092" s="748">
        <f>(N1080-K1080)/N$259</f>
        <v>0</v>
      </c>
      <c r="O1092" s="748">
        <f>(O1080-L1080)/O$259</f>
        <v>0</v>
      </c>
      <c r="P1092" s="748">
        <f>SUM(N1092:O1092)</f>
        <v>0</v>
      </c>
      <c r="Q1092" s="748">
        <f>(Q1080-N1080)/Q$259</f>
        <v>0</v>
      </c>
      <c r="R1092" s="748">
        <f>(R1080-O1080)/R$259</f>
        <v>0</v>
      </c>
      <c r="S1092" s="748">
        <f>SUM(Q1092:R1092)</f>
        <v>0</v>
      </c>
      <c r="T1092" s="748">
        <f t="shared" ref="T1092:U1092" si="5240">(T1080-Q1080)/T$259</f>
        <v>0</v>
      </c>
      <c r="U1092" s="748">
        <f t="shared" si="5240"/>
        <v>0</v>
      </c>
      <c r="V1092" s="748">
        <f t="shared" ref="V1092:V1094" si="5241">SUM(T1092:U1092)</f>
        <v>0</v>
      </c>
      <c r="W1092" s="748">
        <f t="shared" ref="W1092" si="5242">(W1080-T1080)/W$259</f>
        <v>0</v>
      </c>
      <c r="X1092" s="748">
        <f t="shared" ref="X1092" si="5243">(X1080-U1080)/X$259</f>
        <v>0</v>
      </c>
      <c r="Y1092" s="748">
        <f t="shared" ref="Y1092:Y1094" si="5244">SUM(W1092:X1092)</f>
        <v>0</v>
      </c>
      <c r="Z1092" s="748">
        <f t="shared" ref="Z1092" si="5245">(Z1080-W1080)/Z$259</f>
        <v>0</v>
      </c>
      <c r="AA1092" s="748">
        <f t="shared" ref="AA1092" si="5246">(AA1080-X1080)/AA$259</f>
        <v>0</v>
      </c>
      <c r="AB1092" s="748">
        <f t="shared" ref="AB1092:AB1094" si="5247">SUM(Z1092:AA1092)</f>
        <v>0</v>
      </c>
      <c r="AC1092" s="748">
        <f t="shared" ref="AC1092" si="5248">(AC1080-Z1080)/AC$259</f>
        <v>0</v>
      </c>
      <c r="AD1092" s="748">
        <f t="shared" ref="AD1092" si="5249">(AD1080-AA1080)/AD$259</f>
        <v>0</v>
      </c>
      <c r="AE1092" s="748">
        <f t="shared" ref="AE1092:AE1094" si="5250">SUM(AC1092:AD1092)</f>
        <v>0</v>
      </c>
      <c r="AF1092" s="748">
        <f t="shared" ref="AF1092" si="5251">(AF1080-AC1080)/AF$259</f>
        <v>0</v>
      </c>
      <c r="AG1092" s="1033">
        <f t="shared" ref="AG1092" si="5252">(AG1080-AD1080)/AG$259</f>
        <v>0</v>
      </c>
      <c r="AH1092" s="748">
        <f t="shared" ref="AH1092:AH1094" si="5253">SUM(AF1092:AG1092)</f>
        <v>0</v>
      </c>
      <c r="AI1092" s="748">
        <f t="shared" ref="AI1092" si="5254">(AI1080-AF1080)/AI$259</f>
        <v>0</v>
      </c>
      <c r="AJ1092" s="748">
        <f t="shared" ref="AJ1092" si="5255">(AJ1080-AG1080)/AJ$259</f>
        <v>0</v>
      </c>
      <c r="AK1092" s="748">
        <f t="shared" ref="AK1092:AK1094" si="5256">SUM(AI1092:AJ1092)</f>
        <v>0</v>
      </c>
      <c r="AL1092" s="748">
        <f t="shared" ref="AL1092" si="5257">(AL1080-AI1080)/AL$259</f>
        <v>0</v>
      </c>
      <c r="AM1092" s="748">
        <f t="shared" ref="AM1092" si="5258">(AM1080-AJ1080)/AM$259</f>
        <v>0</v>
      </c>
      <c r="AN1092" s="748">
        <f t="shared" ref="AN1092:AN1094" si="5259">SUM(AL1092:AM1092)</f>
        <v>0</v>
      </c>
      <c r="AO1092" s="748">
        <f t="shared" ref="AO1092" si="5260">(AO1080-AL1080)/AO$259</f>
        <v>0</v>
      </c>
      <c r="AP1092" s="748">
        <f t="shared" ref="AP1092" si="5261">(AP1080-AM1080)/AP$259</f>
        <v>0</v>
      </c>
      <c r="AQ1092" s="748">
        <f t="shared" ref="AQ1092:AQ1094" si="5262">SUM(AO1092:AP1092)</f>
        <v>0</v>
      </c>
      <c r="AR1092" s="748">
        <f t="shared" ref="AR1092" si="5263">(AR1080-AO1080)/AR$259</f>
        <v>0</v>
      </c>
      <c r="AS1092" s="748">
        <f t="shared" ref="AS1092" si="5264">(AS1080-AP1080)/AS$259</f>
        <v>0</v>
      </c>
      <c r="AT1092" s="748">
        <f t="shared" ref="AT1092:AT1094" si="5265">SUM(AR1092:AS1092)</f>
        <v>0</v>
      </c>
      <c r="AU1092" s="748">
        <f t="shared" ref="AU1092" si="5266">(AU1080-AR1080)/AU$259</f>
        <v>0</v>
      </c>
      <c r="AV1092" s="748">
        <f t="shared" ref="AV1092" si="5267">(AV1080-AS1080)/AV$259</f>
        <v>0</v>
      </c>
      <c r="AW1092" s="748">
        <f t="shared" ref="AW1092:AW1094" si="5268">SUM(AU1092:AV1092)</f>
        <v>0</v>
      </c>
      <c r="AX1092" s="748">
        <f t="shared" ref="AX1092" si="5269">(AX1080-AU1080)/AX$259</f>
        <v>0</v>
      </c>
      <c r="AY1092" s="748">
        <f t="shared" ref="AY1092" si="5270">(AY1080-AV1080)/AY$259</f>
        <v>0</v>
      </c>
      <c r="AZ1092" s="748">
        <f t="shared" ref="AZ1092:AZ1094" si="5271">SUM(AX1092:AY1092)</f>
        <v>0</v>
      </c>
      <c r="BA1092" s="748">
        <f t="shared" ref="BA1092" si="5272">(BA1080-AX1080)/BA$259</f>
        <v>0</v>
      </c>
      <c r="BB1092" s="748">
        <f t="shared" ref="BB1092" si="5273">(BB1080-AY1080)/BB$259</f>
        <v>0</v>
      </c>
      <c r="BC1092" s="748">
        <f t="shared" ref="BC1092:BC1094" si="5274">SUM(BA1092:BB1092)</f>
        <v>0</v>
      </c>
      <c r="BD1092" s="748">
        <f t="shared" ref="BD1092" si="5275">(BD1080-BA1080)/BD$259</f>
        <v>0</v>
      </c>
      <c r="BE1092" s="748">
        <f t="shared" ref="BE1092" si="5276">(BE1080-BB1080)/BE$259</f>
        <v>0</v>
      </c>
      <c r="BF1092" s="748">
        <f t="shared" ref="BF1092:BF1094" si="5277">SUM(BD1092:BE1092)</f>
        <v>0</v>
      </c>
      <c r="BG1092" s="748">
        <f t="shared" ref="BG1092" si="5278">(BG1080-BD1080)/BG$259</f>
        <v>0</v>
      </c>
      <c r="BH1092" s="748">
        <f t="shared" ref="BH1092" si="5279">(BH1080-BE1080)/BH$259</f>
        <v>0</v>
      </c>
      <c r="BI1092" s="748">
        <f t="shared" ref="BI1092:BI1094" si="5280">SUM(BG1092:BH1092)</f>
        <v>0</v>
      </c>
      <c r="BJ1092" s="748">
        <f t="shared" ref="BJ1092" si="5281">(BJ1080-BG1080)/BJ$259</f>
        <v>0</v>
      </c>
      <c r="BK1092" s="748">
        <f t="shared" ref="BK1092" si="5282">(BK1080-BH1080)/BK$259</f>
        <v>0</v>
      </c>
      <c r="BL1092" s="748">
        <f t="shared" ref="BL1092:BL1094" si="5283">SUM(BJ1092:BK1092)</f>
        <v>0</v>
      </c>
      <c r="BM1092" s="748">
        <f t="shared" ref="BM1092" si="5284">(BM1080-BJ1080)/BM$259</f>
        <v>0</v>
      </c>
      <c r="BN1092" s="748">
        <f t="shared" ref="BN1092" si="5285">(BN1080-BK1080)/BN$259</f>
        <v>0</v>
      </c>
      <c r="BO1092" s="748">
        <f t="shared" ref="BO1092:BO1094" si="5286">SUM(BM1092:BN1092)</f>
        <v>0</v>
      </c>
      <c r="BP1092" s="748">
        <f t="shared" ref="BP1092" si="5287">(BP1080-BM1080)/BP$259</f>
        <v>0</v>
      </c>
      <c r="BQ1092" s="748">
        <f t="shared" ref="BQ1092" si="5288">(BQ1080-BN1080)/BQ$259</f>
        <v>0</v>
      </c>
      <c r="BR1092" s="787">
        <f t="shared" ref="BR1092:BR1094" si="5289">SUM(BP1092:BQ1092)</f>
        <v>0</v>
      </c>
    </row>
    <row r="1093" spans="2:70" outlineLevel="2">
      <c r="B1093" s="5"/>
      <c r="C1093" s="516" t="s">
        <v>268</v>
      </c>
      <c r="D1093" s="401" t="s">
        <v>85</v>
      </c>
      <c r="E1093" s="401"/>
      <c r="F1093" s="401"/>
      <c r="G1093" s="401"/>
      <c r="H1093" s="401"/>
      <c r="I1093" s="401"/>
      <c r="J1093" s="401"/>
      <c r="K1093" s="360">
        <f>(K1083-H1083)/K$259</f>
        <v>-0.73556139280007116</v>
      </c>
      <c r="L1093" s="360">
        <f>(L1083-I1083)/L$259</f>
        <v>-0.69409278355446402</v>
      </c>
      <c r="M1093" s="360">
        <f>SUM(K1093:L1093)</f>
        <v>-1.4296541763545352</v>
      </c>
      <c r="N1093" s="360">
        <f>(N1083-K1083)/N$259</f>
        <v>0</v>
      </c>
      <c r="O1093" s="360">
        <f>(O1083-L1083)/O$259</f>
        <v>0</v>
      </c>
      <c r="P1093" s="360">
        <f>SUM(N1093:O1093)</f>
        <v>0</v>
      </c>
      <c r="Q1093" s="360">
        <f>(Q1083-N1083)/Q$259</f>
        <v>0</v>
      </c>
      <c r="R1093" s="360">
        <f>(R1083-O1083)/R$259</f>
        <v>0</v>
      </c>
      <c r="S1093" s="360">
        <f>SUM(Q1093:R1093)</f>
        <v>0</v>
      </c>
      <c r="T1093" s="360">
        <f t="shared" ref="T1093:U1093" si="5290">(T1083-Q1083)/T$259</f>
        <v>0</v>
      </c>
      <c r="U1093" s="360">
        <f t="shared" si="5290"/>
        <v>0</v>
      </c>
      <c r="V1093" s="360">
        <f t="shared" si="5241"/>
        <v>0</v>
      </c>
      <c r="W1093" s="360">
        <f t="shared" ref="W1093" si="5291">(W1083-T1083)/W$259</f>
        <v>0</v>
      </c>
      <c r="X1093" s="360">
        <f t="shared" ref="X1093" si="5292">(X1083-U1083)/X$259</f>
        <v>0</v>
      </c>
      <c r="Y1093" s="360">
        <f t="shared" si="5244"/>
        <v>0</v>
      </c>
      <c r="Z1093" s="360">
        <f t="shared" ref="Z1093" si="5293">(Z1083-W1083)/Z$259</f>
        <v>0</v>
      </c>
      <c r="AA1093" s="360">
        <f t="shared" ref="AA1093" si="5294">(AA1083-X1083)/AA$259</f>
        <v>0</v>
      </c>
      <c r="AB1093" s="360">
        <f t="shared" si="5247"/>
        <v>0</v>
      </c>
      <c r="AC1093" s="360">
        <f t="shared" ref="AC1093" si="5295">(AC1083-Z1083)/AC$259</f>
        <v>0</v>
      </c>
      <c r="AD1093" s="360">
        <f t="shared" ref="AD1093" si="5296">(AD1083-AA1083)/AD$259</f>
        <v>0</v>
      </c>
      <c r="AE1093" s="360">
        <f t="shared" si="5250"/>
        <v>0</v>
      </c>
      <c r="AF1093" s="360">
        <f t="shared" ref="AF1093" si="5297">(AF1083-AC1083)/AF$259</f>
        <v>0</v>
      </c>
      <c r="AG1093" s="942">
        <f t="shared" ref="AG1093" si="5298">(AG1083-AD1083)/AG$259</f>
        <v>0</v>
      </c>
      <c r="AH1093" s="360">
        <f t="shared" si="5253"/>
        <v>0</v>
      </c>
      <c r="AI1093" s="360">
        <f t="shared" ref="AI1093" si="5299">(AI1083-AF1083)/AI$259</f>
        <v>0</v>
      </c>
      <c r="AJ1093" s="360">
        <f t="shared" ref="AJ1093" si="5300">(AJ1083-AG1083)/AJ$259</f>
        <v>0</v>
      </c>
      <c r="AK1093" s="360">
        <f t="shared" si="5256"/>
        <v>0</v>
      </c>
      <c r="AL1093" s="360">
        <f t="shared" ref="AL1093" si="5301">(AL1083-AI1083)/AL$259</f>
        <v>0</v>
      </c>
      <c r="AM1093" s="360">
        <f t="shared" ref="AM1093" si="5302">(AM1083-AJ1083)/AM$259</f>
        <v>0</v>
      </c>
      <c r="AN1093" s="360">
        <f t="shared" si="5259"/>
        <v>0</v>
      </c>
      <c r="AO1093" s="360">
        <f t="shared" ref="AO1093" si="5303">(AO1083-AL1083)/AO$259</f>
        <v>0</v>
      </c>
      <c r="AP1093" s="360">
        <f t="shared" ref="AP1093" si="5304">(AP1083-AM1083)/AP$259</f>
        <v>0</v>
      </c>
      <c r="AQ1093" s="360">
        <f t="shared" si="5262"/>
        <v>0</v>
      </c>
      <c r="AR1093" s="360">
        <f t="shared" ref="AR1093" si="5305">(AR1083-AO1083)/AR$259</f>
        <v>0</v>
      </c>
      <c r="AS1093" s="360">
        <f t="shared" ref="AS1093" si="5306">(AS1083-AP1083)/AS$259</f>
        <v>0</v>
      </c>
      <c r="AT1093" s="360">
        <f t="shared" si="5265"/>
        <v>0</v>
      </c>
      <c r="AU1093" s="360">
        <f t="shared" ref="AU1093" si="5307">(AU1083-AR1083)/AU$259</f>
        <v>0</v>
      </c>
      <c r="AV1093" s="360">
        <f t="shared" ref="AV1093" si="5308">(AV1083-AS1083)/AV$259</f>
        <v>0</v>
      </c>
      <c r="AW1093" s="360">
        <f t="shared" si="5268"/>
        <v>0</v>
      </c>
      <c r="AX1093" s="360">
        <f t="shared" ref="AX1093" si="5309">(AX1083-AU1083)/AX$259</f>
        <v>0</v>
      </c>
      <c r="AY1093" s="360">
        <f t="shared" ref="AY1093" si="5310">(AY1083-AV1083)/AY$259</f>
        <v>0</v>
      </c>
      <c r="AZ1093" s="360">
        <f t="shared" si="5271"/>
        <v>0</v>
      </c>
      <c r="BA1093" s="360">
        <f t="shared" ref="BA1093" si="5311">(BA1083-AX1083)/BA$259</f>
        <v>0</v>
      </c>
      <c r="BB1093" s="360">
        <f t="shared" ref="BB1093" si="5312">(BB1083-AY1083)/BB$259</f>
        <v>0</v>
      </c>
      <c r="BC1093" s="360">
        <f t="shared" si="5274"/>
        <v>0</v>
      </c>
      <c r="BD1093" s="360">
        <f t="shared" ref="BD1093" si="5313">(BD1083-BA1083)/BD$259</f>
        <v>0</v>
      </c>
      <c r="BE1093" s="360">
        <f t="shared" ref="BE1093" si="5314">(BE1083-BB1083)/BE$259</f>
        <v>0</v>
      </c>
      <c r="BF1093" s="360">
        <f t="shared" si="5277"/>
        <v>0</v>
      </c>
      <c r="BG1093" s="360">
        <f t="shared" ref="BG1093" si="5315">(BG1083-BD1083)/BG$259</f>
        <v>0</v>
      </c>
      <c r="BH1093" s="360">
        <f t="shared" ref="BH1093" si="5316">(BH1083-BE1083)/BH$259</f>
        <v>0</v>
      </c>
      <c r="BI1093" s="360">
        <f t="shared" si="5280"/>
        <v>0</v>
      </c>
      <c r="BJ1093" s="360">
        <f t="shared" ref="BJ1093" si="5317">(BJ1083-BG1083)/BJ$259</f>
        <v>0</v>
      </c>
      <c r="BK1093" s="360">
        <f t="shared" ref="BK1093" si="5318">(BK1083-BH1083)/BK$259</f>
        <v>0</v>
      </c>
      <c r="BL1093" s="360">
        <f t="shared" si="5283"/>
        <v>0</v>
      </c>
      <c r="BM1093" s="360">
        <f t="shared" ref="BM1093" si="5319">(BM1083-BJ1083)/BM$259</f>
        <v>0</v>
      </c>
      <c r="BN1093" s="360">
        <f t="shared" ref="BN1093" si="5320">(BN1083-BK1083)/BN$259</f>
        <v>0</v>
      </c>
      <c r="BO1093" s="360">
        <f t="shared" si="5286"/>
        <v>0</v>
      </c>
      <c r="BP1093" s="360">
        <f t="shared" ref="BP1093" si="5321">(BP1083-BM1083)/BP$259</f>
        <v>0</v>
      </c>
      <c r="BQ1093" s="360">
        <f t="shared" ref="BQ1093" si="5322">(BQ1083-BN1083)/BQ$259</f>
        <v>0</v>
      </c>
      <c r="BR1093" s="788">
        <f t="shared" si="5289"/>
        <v>0</v>
      </c>
    </row>
    <row r="1094" spans="2:70" outlineLevel="2">
      <c r="B1094" s="5"/>
      <c r="C1094" s="518" t="s">
        <v>269</v>
      </c>
      <c r="D1094" s="519" t="s">
        <v>85</v>
      </c>
      <c r="E1094" s="519"/>
      <c r="F1094" s="519"/>
      <c r="G1094" s="519"/>
      <c r="H1094" s="519"/>
      <c r="I1094" s="519"/>
      <c r="J1094" s="519"/>
      <c r="K1094" s="749">
        <f>(K1089-H1089)/K$259</f>
        <v>4.9037426186671418</v>
      </c>
      <c r="L1094" s="749">
        <f>(L1089-I1089)/L$259</f>
        <v>4.6272852236964273</v>
      </c>
      <c r="M1094" s="749">
        <f>SUM(K1094:L1094)</f>
        <v>9.531027842363569</v>
      </c>
      <c r="N1094" s="749">
        <f>(N1089-K1089)/N$259</f>
        <v>0</v>
      </c>
      <c r="O1094" s="749">
        <f>(O1089-L1089)/O$259</f>
        <v>0</v>
      </c>
      <c r="P1094" s="749">
        <f>SUM(N1094:O1094)</f>
        <v>0</v>
      </c>
      <c r="Q1094" s="749">
        <f>(Q1089-N1089)/Q$259</f>
        <v>0</v>
      </c>
      <c r="R1094" s="749">
        <f>(R1089-O1089)/R$259</f>
        <v>0</v>
      </c>
      <c r="S1094" s="749">
        <f>SUM(Q1094:R1094)</f>
        <v>0</v>
      </c>
      <c r="T1094" s="749">
        <f t="shared" ref="T1094:U1094" si="5323">(T1089-Q1089)/T$259</f>
        <v>0</v>
      </c>
      <c r="U1094" s="749">
        <f t="shared" si="5323"/>
        <v>0</v>
      </c>
      <c r="V1094" s="749">
        <f t="shared" si="5241"/>
        <v>0</v>
      </c>
      <c r="W1094" s="749">
        <f t="shared" ref="W1094" si="5324">(W1089-T1089)/W$259</f>
        <v>0</v>
      </c>
      <c r="X1094" s="749">
        <f t="shared" ref="X1094" si="5325">(X1089-U1089)/X$259</f>
        <v>0</v>
      </c>
      <c r="Y1094" s="749">
        <f t="shared" si="5244"/>
        <v>0</v>
      </c>
      <c r="Z1094" s="749">
        <f t="shared" ref="Z1094" si="5326">(Z1089-W1089)/Z$259</f>
        <v>0</v>
      </c>
      <c r="AA1094" s="749">
        <f t="shared" ref="AA1094" si="5327">(AA1089-X1089)/AA$259</f>
        <v>0</v>
      </c>
      <c r="AB1094" s="749">
        <f t="shared" si="5247"/>
        <v>0</v>
      </c>
      <c r="AC1094" s="749">
        <f t="shared" ref="AC1094" si="5328">(AC1089-Z1089)/AC$259</f>
        <v>0</v>
      </c>
      <c r="AD1094" s="749">
        <f t="shared" ref="AD1094" si="5329">(AD1089-AA1089)/AD$259</f>
        <v>0</v>
      </c>
      <c r="AE1094" s="749">
        <f t="shared" si="5250"/>
        <v>0</v>
      </c>
      <c r="AF1094" s="749">
        <f t="shared" ref="AF1094" si="5330">(AF1089-AC1089)/AF$259</f>
        <v>0</v>
      </c>
      <c r="AG1094" s="1034">
        <f t="shared" ref="AG1094" si="5331">(AG1089-AD1089)/AG$259</f>
        <v>0</v>
      </c>
      <c r="AH1094" s="749">
        <f t="shared" si="5253"/>
        <v>0</v>
      </c>
      <c r="AI1094" s="749">
        <f t="shared" ref="AI1094" si="5332">(AI1089-AF1089)/AI$259</f>
        <v>0</v>
      </c>
      <c r="AJ1094" s="749">
        <f t="shared" ref="AJ1094" si="5333">(AJ1089-AG1089)/AJ$259</f>
        <v>0</v>
      </c>
      <c r="AK1094" s="749">
        <f t="shared" si="5256"/>
        <v>0</v>
      </c>
      <c r="AL1094" s="749">
        <f t="shared" ref="AL1094" si="5334">(AL1089-AI1089)/AL$259</f>
        <v>0</v>
      </c>
      <c r="AM1094" s="749">
        <f t="shared" ref="AM1094" si="5335">(AM1089-AJ1089)/AM$259</f>
        <v>0</v>
      </c>
      <c r="AN1094" s="749">
        <f t="shared" si="5259"/>
        <v>0</v>
      </c>
      <c r="AO1094" s="749">
        <f t="shared" ref="AO1094" si="5336">(AO1089-AL1089)/AO$259</f>
        <v>0</v>
      </c>
      <c r="AP1094" s="749">
        <f t="shared" ref="AP1094" si="5337">(AP1089-AM1089)/AP$259</f>
        <v>0</v>
      </c>
      <c r="AQ1094" s="749">
        <f t="shared" si="5262"/>
        <v>0</v>
      </c>
      <c r="AR1094" s="749">
        <f t="shared" ref="AR1094" si="5338">(AR1089-AO1089)/AR$259</f>
        <v>0</v>
      </c>
      <c r="AS1094" s="749">
        <f t="shared" ref="AS1094" si="5339">(AS1089-AP1089)/AS$259</f>
        <v>0</v>
      </c>
      <c r="AT1094" s="749">
        <f t="shared" si="5265"/>
        <v>0</v>
      </c>
      <c r="AU1094" s="749">
        <f t="shared" ref="AU1094" si="5340">(AU1089-AR1089)/AU$259</f>
        <v>0</v>
      </c>
      <c r="AV1094" s="749">
        <f t="shared" ref="AV1094" si="5341">(AV1089-AS1089)/AV$259</f>
        <v>0</v>
      </c>
      <c r="AW1094" s="749">
        <f t="shared" si="5268"/>
        <v>0</v>
      </c>
      <c r="AX1094" s="749">
        <f t="shared" ref="AX1094" si="5342">(AX1089-AU1089)/AX$259</f>
        <v>0</v>
      </c>
      <c r="AY1094" s="749">
        <f t="shared" ref="AY1094" si="5343">(AY1089-AV1089)/AY$259</f>
        <v>0</v>
      </c>
      <c r="AZ1094" s="749">
        <f t="shared" si="5271"/>
        <v>0</v>
      </c>
      <c r="BA1094" s="749">
        <f t="shared" ref="BA1094" si="5344">(BA1089-AX1089)/BA$259</f>
        <v>0</v>
      </c>
      <c r="BB1094" s="749">
        <f t="shared" ref="BB1094" si="5345">(BB1089-AY1089)/BB$259</f>
        <v>0</v>
      </c>
      <c r="BC1094" s="749">
        <f t="shared" si="5274"/>
        <v>0</v>
      </c>
      <c r="BD1094" s="749">
        <f t="shared" ref="BD1094" si="5346">(BD1089-BA1089)/BD$259</f>
        <v>0</v>
      </c>
      <c r="BE1094" s="749">
        <f t="shared" ref="BE1094" si="5347">(BE1089-BB1089)/BE$259</f>
        <v>0</v>
      </c>
      <c r="BF1094" s="749">
        <f t="shared" si="5277"/>
        <v>0</v>
      </c>
      <c r="BG1094" s="749">
        <f t="shared" ref="BG1094" si="5348">(BG1089-BD1089)/BG$259</f>
        <v>0</v>
      </c>
      <c r="BH1094" s="749">
        <f t="shared" ref="BH1094" si="5349">(BH1089-BE1089)/BH$259</f>
        <v>0</v>
      </c>
      <c r="BI1094" s="749">
        <f t="shared" si="5280"/>
        <v>0</v>
      </c>
      <c r="BJ1094" s="749">
        <f t="shared" ref="BJ1094" si="5350">(BJ1089-BG1089)/BJ$259</f>
        <v>0</v>
      </c>
      <c r="BK1094" s="749">
        <f t="shared" ref="BK1094" si="5351">(BK1089-BH1089)/BK$259</f>
        <v>0</v>
      </c>
      <c r="BL1094" s="749">
        <f t="shared" si="5283"/>
        <v>0</v>
      </c>
      <c r="BM1094" s="749">
        <f t="shared" ref="BM1094" si="5352">(BM1089-BJ1089)/BM$259</f>
        <v>0</v>
      </c>
      <c r="BN1094" s="749">
        <f t="shared" ref="BN1094" si="5353">(BN1089-BK1089)/BN$259</f>
        <v>0</v>
      </c>
      <c r="BO1094" s="749">
        <f t="shared" si="5286"/>
        <v>0</v>
      </c>
      <c r="BP1094" s="749">
        <f t="shared" ref="BP1094" si="5354">(BP1089-BM1089)/BP$259</f>
        <v>0</v>
      </c>
      <c r="BQ1094" s="749">
        <f t="shared" ref="BQ1094" si="5355">(BQ1089-BN1089)/BQ$259</f>
        <v>0</v>
      </c>
      <c r="BR1094" s="789">
        <f t="shared" si="5289"/>
        <v>0</v>
      </c>
    </row>
    <row r="1095" spans="2:70" outlineLevel="2">
      <c r="B1095" s="5"/>
      <c r="C1095" s="9"/>
    </row>
    <row r="1096" spans="2:70" outlineLevel="2">
      <c r="B1096" s="5"/>
      <c r="C1096" s="8" t="s">
        <v>511</v>
      </c>
      <c r="AF1096" s="26"/>
      <c r="AG1096" s="933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  <c r="BA1096" s="18"/>
      <c r="BB1096" s="18"/>
      <c r="BC1096" s="18"/>
      <c r="BD1096" s="18"/>
      <c r="BE1096" s="18"/>
      <c r="BF1096" s="18"/>
      <c r="BG1096" s="18"/>
      <c r="BH1096" s="18"/>
      <c r="BI1096" s="18"/>
      <c r="BJ1096" s="18"/>
      <c r="BK1096" s="18"/>
      <c r="BL1096" s="18"/>
      <c r="BM1096" s="18"/>
      <c r="BN1096" s="18"/>
      <c r="BO1096" s="18"/>
      <c r="BP1096" s="18"/>
      <c r="BQ1096" s="18"/>
      <c r="BR1096" s="18"/>
    </row>
    <row r="1097" spans="2:70" outlineLevel="2">
      <c r="B1097" s="5"/>
      <c r="C1097" s="9" t="s">
        <v>266</v>
      </c>
      <c r="D1097" s="31"/>
      <c r="E1097" s="795" t="s">
        <v>80</v>
      </c>
      <c r="I1097" s="130"/>
      <c r="J1097" s="130"/>
      <c r="K1097" s="130"/>
      <c r="L1097" s="130"/>
      <c r="M1097" s="130"/>
      <c r="AB1097" s="30"/>
      <c r="AC1097" s="30"/>
      <c r="AD1097" s="30"/>
      <c r="AE1097" s="168"/>
      <c r="AF1097" s="171"/>
      <c r="AG1097" s="937"/>
      <c r="AH1097" s="347"/>
      <c r="AI1097" s="347"/>
      <c r="AJ1097" s="347"/>
      <c r="AK1097" s="347"/>
      <c r="AL1097" s="347"/>
      <c r="AM1097" s="347"/>
      <c r="AN1097" s="347"/>
      <c r="AO1097" s="347"/>
      <c r="AP1097" s="347"/>
      <c r="AQ1097" s="347"/>
      <c r="AR1097" s="347"/>
      <c r="AS1097" s="347"/>
      <c r="AT1097" s="347"/>
      <c r="AU1097" s="347"/>
      <c r="AV1097" s="347"/>
      <c r="AW1097" s="347"/>
      <c r="AX1097" s="347"/>
      <c r="AY1097" s="347"/>
      <c r="AZ1097" s="347"/>
      <c r="BA1097" s="347"/>
      <c r="BB1097" s="347"/>
      <c r="BC1097" s="347"/>
      <c r="BD1097" s="347"/>
      <c r="BE1097" s="347"/>
      <c r="BF1097" s="347"/>
      <c r="BG1097" s="347"/>
      <c r="BH1097" s="347"/>
      <c r="BI1097" s="347"/>
      <c r="BJ1097" s="347"/>
      <c r="BK1097" s="347"/>
      <c r="BL1097" s="347"/>
      <c r="BM1097" s="347"/>
      <c r="BN1097" s="347"/>
      <c r="BO1097" s="347"/>
      <c r="BP1097" s="347"/>
      <c r="BQ1097" s="347"/>
      <c r="BR1097" s="347"/>
    </row>
    <row r="1098" spans="2:70" outlineLevel="2">
      <c r="B1098" s="5"/>
      <c r="C1098" s="9" t="s">
        <v>262</v>
      </c>
      <c r="D1098" s="74"/>
      <c r="E1098" s="764">
        <v>40211</v>
      </c>
      <c r="I1098" s="357"/>
      <c r="J1098" s="357"/>
      <c r="K1098" s="130"/>
      <c r="L1098" s="130"/>
      <c r="M1098" s="130"/>
      <c r="AB1098" s="362"/>
      <c r="AC1098" s="30"/>
      <c r="AD1098" s="30"/>
      <c r="AE1098" s="168"/>
      <c r="AF1098" s="171"/>
      <c r="AG1098" s="937"/>
      <c r="AH1098" s="347"/>
      <c r="AI1098" s="347"/>
      <c r="AJ1098" s="347"/>
      <c r="AK1098" s="347"/>
      <c r="AL1098" s="347"/>
      <c r="AM1098" s="347"/>
      <c r="AN1098" s="347"/>
      <c r="AO1098" s="347"/>
      <c r="AP1098" s="347"/>
      <c r="AQ1098" s="347"/>
      <c r="AR1098" s="347"/>
      <c r="AS1098" s="347"/>
      <c r="AT1098" s="347"/>
      <c r="AU1098" s="347"/>
      <c r="AV1098" s="347"/>
      <c r="AW1098" s="347"/>
      <c r="AX1098" s="347"/>
      <c r="AY1098" s="347"/>
      <c r="AZ1098" s="347"/>
      <c r="BA1098" s="347"/>
      <c r="BB1098" s="347"/>
      <c r="BC1098" s="347"/>
      <c r="BD1098" s="347"/>
      <c r="BE1098" s="347"/>
      <c r="BF1098" s="347"/>
      <c r="BG1098" s="347"/>
      <c r="BH1098" s="347"/>
      <c r="BI1098" s="347"/>
      <c r="BJ1098" s="347"/>
      <c r="BK1098" s="347"/>
      <c r="BL1098" s="347"/>
      <c r="BM1098" s="347"/>
      <c r="BN1098" s="347"/>
      <c r="BO1098" s="347"/>
      <c r="BP1098" s="347"/>
      <c r="BQ1098" s="347"/>
      <c r="BR1098" s="347"/>
    </row>
    <row r="1099" spans="2:70" outlineLevel="2">
      <c r="B1099" s="5"/>
      <c r="C1099" s="84" t="s">
        <v>72</v>
      </c>
      <c r="D1099" s="31" t="s">
        <v>58</v>
      </c>
      <c r="E1099" s="780">
        <v>1948</v>
      </c>
      <c r="I1099" s="358"/>
      <c r="J1099" s="358"/>
      <c r="K1099" s="167"/>
      <c r="L1099" s="167"/>
      <c r="M1099" s="26"/>
      <c r="AB1099" s="363"/>
      <c r="AC1099" s="37"/>
      <c r="AD1099" s="37"/>
      <c r="AE1099" s="171"/>
      <c r="AF1099" s="171"/>
      <c r="AG1099" s="937"/>
      <c r="AH1099" s="37"/>
      <c r="AI1099" s="347"/>
      <c r="AJ1099" s="347"/>
      <c r="AK1099" s="37"/>
      <c r="AL1099" s="347"/>
      <c r="AM1099" s="347"/>
      <c r="AN1099" s="37"/>
      <c r="AO1099" s="347"/>
      <c r="AP1099" s="347"/>
      <c r="AQ1099" s="37"/>
      <c r="AR1099" s="347"/>
      <c r="AS1099" s="347"/>
      <c r="AT1099" s="37"/>
      <c r="AU1099" s="347"/>
      <c r="AV1099" s="347"/>
      <c r="AW1099" s="37"/>
      <c r="AX1099" s="347"/>
      <c r="AY1099" s="347"/>
      <c r="AZ1099" s="37"/>
      <c r="BA1099" s="347"/>
      <c r="BB1099" s="347"/>
      <c r="BC1099" s="37"/>
      <c r="BD1099" s="347"/>
      <c r="BE1099" s="347"/>
      <c r="BF1099" s="37"/>
      <c r="BG1099" s="347"/>
      <c r="BH1099" s="347"/>
      <c r="BI1099" s="37"/>
      <c r="BJ1099" s="347"/>
      <c r="BK1099" s="347"/>
      <c r="BL1099" s="37"/>
      <c r="BM1099" s="347"/>
      <c r="BN1099" s="347"/>
      <c r="BO1099" s="37"/>
      <c r="BP1099" s="347"/>
      <c r="BQ1099" s="347"/>
      <c r="BR1099" s="37"/>
    </row>
    <row r="1100" spans="2:70" outlineLevel="2">
      <c r="B1100" s="5"/>
      <c r="C1100" s="84" t="s">
        <v>76</v>
      </c>
      <c r="D1100" s="74" t="s">
        <v>77</v>
      </c>
      <c r="E1100" s="766">
        <v>5.0999999999999996</v>
      </c>
      <c r="I1100" s="27"/>
      <c r="J1100" s="27"/>
      <c r="K1100" s="167"/>
      <c r="L1100" s="167"/>
      <c r="M1100" s="26"/>
      <c r="AB1100" s="35"/>
      <c r="AC1100" s="37"/>
      <c r="AD1100" s="37"/>
      <c r="AE1100" s="171"/>
      <c r="AF1100" s="167"/>
      <c r="AG1100" s="1017"/>
      <c r="AH1100" s="37"/>
      <c r="AI1100" s="37"/>
      <c r="AJ1100" s="37"/>
      <c r="AK1100" s="37"/>
      <c r="AL1100" s="37"/>
      <c r="AM1100" s="37"/>
      <c r="AN1100" s="37"/>
      <c r="AO1100" s="37"/>
      <c r="AP1100" s="37"/>
      <c r="AQ1100" s="37"/>
      <c r="AR1100" s="37"/>
      <c r="AS1100" s="37"/>
      <c r="AT1100" s="37"/>
      <c r="AU1100" s="37"/>
      <c r="AV1100" s="37"/>
      <c r="AW1100" s="37"/>
      <c r="AX1100" s="37"/>
      <c r="AY1100" s="37"/>
      <c r="AZ1100" s="37"/>
      <c r="BA1100" s="37"/>
      <c r="BB1100" s="37"/>
      <c r="BC1100" s="37"/>
      <c r="BD1100" s="37"/>
      <c r="BE1100" s="37"/>
      <c r="BF1100" s="37"/>
      <c r="BG1100" s="37"/>
      <c r="BH1100" s="37"/>
      <c r="BI1100" s="37"/>
      <c r="BJ1100" s="37"/>
      <c r="BK1100" s="37"/>
      <c r="BL1100" s="37"/>
      <c r="BM1100" s="37"/>
      <c r="BN1100" s="37"/>
      <c r="BO1100" s="37"/>
      <c r="BP1100" s="37"/>
      <c r="BQ1100" s="37"/>
      <c r="BR1100" s="37"/>
    </row>
    <row r="1101" spans="2:70" outlineLevel="2">
      <c r="B1101" s="5"/>
      <c r="C1101" s="84" t="s">
        <v>55</v>
      </c>
      <c r="D1101" s="31" t="s">
        <v>58</v>
      </c>
      <c r="E1101" s="780">
        <v>4100</v>
      </c>
      <c r="I1101" s="167">
        <f>E1101*0.5*(5/6)</f>
        <v>1708.3333333333335</v>
      </c>
      <c r="J1101" s="167">
        <f>I1101</f>
        <v>1708.3333333333335</v>
      </c>
      <c r="K1101" s="167">
        <f>M1101*0.5</f>
        <v>2050</v>
      </c>
      <c r="L1101" s="167">
        <f>M1101*0.5</f>
        <v>2050</v>
      </c>
      <c r="M1101" s="390">
        <f>E1101</f>
        <v>4100</v>
      </c>
      <c r="N1101" s="167">
        <f>P1101*0.5</f>
        <v>2050</v>
      </c>
      <c r="O1101" s="167">
        <f>P1101*0.5</f>
        <v>2050</v>
      </c>
      <c r="P1101" s="390">
        <f>M1101</f>
        <v>4100</v>
      </c>
      <c r="Q1101" s="167">
        <f>S1101*0.5</f>
        <v>2050</v>
      </c>
      <c r="R1101" s="167">
        <f>S1101*0.5</f>
        <v>2050</v>
      </c>
      <c r="S1101" s="390">
        <f>P1101</f>
        <v>4100</v>
      </c>
      <c r="T1101" s="167">
        <f>V1101*0.5</f>
        <v>2050</v>
      </c>
      <c r="U1101" s="167">
        <f>V1101*0.5</f>
        <v>2050</v>
      </c>
      <c r="V1101" s="390">
        <f>S1101</f>
        <v>4100</v>
      </c>
      <c r="W1101" s="167">
        <f>Y1101*0.5</f>
        <v>2050</v>
      </c>
      <c r="X1101" s="167">
        <f>Y1101*0.5</f>
        <v>2050</v>
      </c>
      <c r="Y1101" s="390">
        <f>V1101</f>
        <v>4100</v>
      </c>
      <c r="Z1101" s="167">
        <f>AB1101*0.5</f>
        <v>2050</v>
      </c>
      <c r="AA1101" s="167">
        <f>AB1101*0.5</f>
        <v>2050</v>
      </c>
      <c r="AB1101" s="390">
        <f>Y1101</f>
        <v>4100</v>
      </c>
      <c r="AC1101" s="167">
        <f>AE1101*0.5</f>
        <v>2050</v>
      </c>
      <c r="AD1101" s="167">
        <f>AE1101*0.5</f>
        <v>2050</v>
      </c>
      <c r="AE1101" s="390">
        <f>AB1101</f>
        <v>4100</v>
      </c>
      <c r="AF1101" s="167">
        <f>AH1101*0.5</f>
        <v>2050</v>
      </c>
      <c r="AG1101" s="1017">
        <f>AH1101*0.5</f>
        <v>2050</v>
      </c>
      <c r="AH1101" s="390">
        <f>AE1101</f>
        <v>4100</v>
      </c>
      <c r="AI1101" s="167">
        <f>AK1101*0.5</f>
        <v>2050</v>
      </c>
      <c r="AJ1101" s="167">
        <f>AK1101*0.5</f>
        <v>2050</v>
      </c>
      <c r="AK1101" s="390">
        <f>AH1101</f>
        <v>4100</v>
      </c>
      <c r="AL1101" s="167">
        <f>AN1101*0.5</f>
        <v>2050</v>
      </c>
      <c r="AM1101" s="167">
        <f>AN1101*0.5</f>
        <v>2050</v>
      </c>
      <c r="AN1101" s="390">
        <f>AK1101</f>
        <v>4100</v>
      </c>
      <c r="AO1101" s="167">
        <f>AQ1101*0.5</f>
        <v>2050</v>
      </c>
      <c r="AP1101" s="167">
        <f>AQ1101*0.5</f>
        <v>2050</v>
      </c>
      <c r="AQ1101" s="390">
        <f>AN1101</f>
        <v>4100</v>
      </c>
      <c r="AR1101" s="167">
        <f>AT1101*0.5</f>
        <v>2050</v>
      </c>
      <c r="AS1101" s="167">
        <f>AT1101*0.5</f>
        <v>2050</v>
      </c>
      <c r="AT1101" s="390">
        <f>AQ1101</f>
        <v>4100</v>
      </c>
      <c r="AU1101" s="167">
        <f>AW1101*0.5</f>
        <v>2050</v>
      </c>
      <c r="AV1101" s="167">
        <f>AW1101*0.5</f>
        <v>2050</v>
      </c>
      <c r="AW1101" s="390">
        <f>AT1101</f>
        <v>4100</v>
      </c>
      <c r="AX1101" s="167">
        <f>AZ1101*0.5</f>
        <v>2050</v>
      </c>
      <c r="AY1101" s="167">
        <f>AZ1101*0.5</f>
        <v>2050</v>
      </c>
      <c r="AZ1101" s="390">
        <f>AW1101</f>
        <v>4100</v>
      </c>
      <c r="BA1101" s="167">
        <f>BC1101*0.5</f>
        <v>2050</v>
      </c>
      <c r="BB1101" s="167">
        <f>BC1101*0.5</f>
        <v>2050</v>
      </c>
      <c r="BC1101" s="390">
        <f>AZ1101</f>
        <v>4100</v>
      </c>
      <c r="BD1101" s="167">
        <f>BF1101*0.5</f>
        <v>2050</v>
      </c>
      <c r="BE1101" s="167">
        <f>BF1101*0.5</f>
        <v>2050</v>
      </c>
      <c r="BF1101" s="390">
        <f>BC1101</f>
        <v>4100</v>
      </c>
      <c r="BG1101" s="167">
        <f>BI1101*0.5</f>
        <v>2050</v>
      </c>
      <c r="BH1101" s="167">
        <f>BI1101*0.5</f>
        <v>2050</v>
      </c>
      <c r="BI1101" s="390">
        <f>BF1101</f>
        <v>4100</v>
      </c>
      <c r="BJ1101" s="167">
        <f>BL1101*0.5</f>
        <v>2050</v>
      </c>
      <c r="BK1101" s="167">
        <f>BL1101*0.5</f>
        <v>2050</v>
      </c>
      <c r="BL1101" s="390">
        <f>BI1101</f>
        <v>4100</v>
      </c>
      <c r="BM1101" s="167">
        <f>BO1101*0.5</f>
        <v>2050</v>
      </c>
      <c r="BN1101" s="167">
        <f>BO1101*0.5</f>
        <v>2050</v>
      </c>
      <c r="BO1101" s="390">
        <f>BL1101</f>
        <v>4100</v>
      </c>
      <c r="BP1101" s="167">
        <f>BR1101*0.5</f>
        <v>2050</v>
      </c>
      <c r="BQ1101" s="167">
        <f>BR1101*0.5</f>
        <v>2050</v>
      </c>
      <c r="BR1101" s="390">
        <f>BO1101</f>
        <v>4100</v>
      </c>
    </row>
    <row r="1102" spans="2:70" outlineLevel="2">
      <c r="B1102" s="5"/>
      <c r="C1102" s="84" t="s">
        <v>56</v>
      </c>
      <c r="D1102" s="31" t="s">
        <v>58</v>
      </c>
      <c r="E1102" s="767">
        <f>E1099/E1100</f>
        <v>381.96078431372553</v>
      </c>
      <c r="I1102" s="167">
        <f>E1102*0.5*(5/6)</f>
        <v>159.15032679738565</v>
      </c>
      <c r="J1102" s="364">
        <f>I1102</f>
        <v>159.15032679738565</v>
      </c>
      <c r="K1102" s="167">
        <f>M1102*0.5</f>
        <v>190.98039215686276</v>
      </c>
      <c r="L1102" s="167">
        <f>M1102*0.5</f>
        <v>190.98039215686276</v>
      </c>
      <c r="M1102" s="26">
        <f>M1101*M1103</f>
        <v>381.96078431372553</v>
      </c>
      <c r="N1102" s="167">
        <f>P1102*0.5</f>
        <v>190.98039215686276</v>
      </c>
      <c r="O1102" s="167">
        <f>P1102*0.5</f>
        <v>190.98039215686276</v>
      </c>
      <c r="P1102" s="26">
        <f>P1101*P1103</f>
        <v>381.96078431372553</v>
      </c>
      <c r="Q1102" s="167">
        <f>S1102*0.5</f>
        <v>190.98039215686276</v>
      </c>
      <c r="R1102" s="167">
        <f>S1102*0.5</f>
        <v>190.98039215686276</v>
      </c>
      <c r="S1102" s="26">
        <f>S1101*S1103</f>
        <v>381.96078431372553</v>
      </c>
      <c r="T1102" s="167">
        <f>V1102*0.5</f>
        <v>190.98039215686276</v>
      </c>
      <c r="U1102" s="167">
        <f>V1102*0.5</f>
        <v>190.98039215686276</v>
      </c>
      <c r="V1102" s="26">
        <f>V1101*V1103</f>
        <v>381.96078431372553</v>
      </c>
      <c r="W1102" s="167">
        <f>Y1102*0.5</f>
        <v>190.98039215686276</v>
      </c>
      <c r="X1102" s="167">
        <f>Y1102*0.5</f>
        <v>190.98039215686276</v>
      </c>
      <c r="Y1102" s="26">
        <f>Y1101*Y1103</f>
        <v>381.96078431372553</v>
      </c>
      <c r="Z1102" s="167">
        <f>AB1102*0.5</f>
        <v>190.98039215686276</v>
      </c>
      <c r="AA1102" s="167">
        <f>AB1102*0.5</f>
        <v>190.98039215686276</v>
      </c>
      <c r="AB1102" s="26">
        <f>AB1101*AB1103</f>
        <v>381.96078431372553</v>
      </c>
      <c r="AC1102" s="167">
        <f>AE1102*0.5</f>
        <v>190.98039215686276</v>
      </c>
      <c r="AD1102" s="167">
        <f>AE1102*0.5</f>
        <v>190.98039215686276</v>
      </c>
      <c r="AE1102" s="26">
        <f>AE1101*AE1103</f>
        <v>381.96078431372553</v>
      </c>
      <c r="AF1102" s="167">
        <f>AH1102*0.5</f>
        <v>190.98039215686276</v>
      </c>
      <c r="AG1102" s="1017">
        <f>AH1102*0.5</f>
        <v>190.98039215686276</v>
      </c>
      <c r="AH1102" s="26">
        <f>AH1101*AH1103</f>
        <v>381.96078431372553</v>
      </c>
      <c r="AI1102" s="167">
        <f>AK1102*0.5</f>
        <v>190.98039215686276</v>
      </c>
      <c r="AJ1102" s="167">
        <f>AK1102*0.5</f>
        <v>190.98039215686276</v>
      </c>
      <c r="AK1102" s="26">
        <f>AK1101*AK1103</f>
        <v>381.96078431372553</v>
      </c>
      <c r="AL1102" s="167">
        <f>AN1102*0.5</f>
        <v>190.98039215686276</v>
      </c>
      <c r="AM1102" s="167">
        <f>AN1102*0.5</f>
        <v>190.98039215686276</v>
      </c>
      <c r="AN1102" s="26">
        <f>AN1101*AN1103</f>
        <v>381.96078431372553</v>
      </c>
      <c r="AO1102" s="167">
        <f>AQ1102*0.5</f>
        <v>190.98039215686276</v>
      </c>
      <c r="AP1102" s="167">
        <f>AQ1102*0.5</f>
        <v>190.98039215686276</v>
      </c>
      <c r="AQ1102" s="26">
        <f>AQ1101*AQ1103</f>
        <v>381.96078431372553</v>
      </c>
      <c r="AR1102" s="167">
        <f>AT1102*0.5</f>
        <v>190.98039215686276</v>
      </c>
      <c r="AS1102" s="167">
        <f>AT1102*0.5</f>
        <v>190.98039215686276</v>
      </c>
      <c r="AT1102" s="26">
        <f>AT1101*AT1103</f>
        <v>381.96078431372553</v>
      </c>
      <c r="AU1102" s="167">
        <f>AW1102*0.5</f>
        <v>190.98039215686276</v>
      </c>
      <c r="AV1102" s="167">
        <f>AW1102*0.5</f>
        <v>190.98039215686276</v>
      </c>
      <c r="AW1102" s="26">
        <f>AW1101*AW1103</f>
        <v>381.96078431372553</v>
      </c>
      <c r="AX1102" s="167">
        <f>AZ1102*0.5</f>
        <v>190.98039215686276</v>
      </c>
      <c r="AY1102" s="167">
        <f>AZ1102*0.5</f>
        <v>190.98039215686276</v>
      </c>
      <c r="AZ1102" s="26">
        <f>AZ1101*AZ1103</f>
        <v>381.96078431372553</v>
      </c>
      <c r="BA1102" s="167">
        <f>BC1102*0.5</f>
        <v>190.98039215686276</v>
      </c>
      <c r="BB1102" s="167">
        <f>BC1102*0.5</f>
        <v>190.98039215686276</v>
      </c>
      <c r="BC1102" s="26">
        <f>BC1101*BC1103</f>
        <v>381.96078431372553</v>
      </c>
      <c r="BD1102" s="167">
        <f>BF1102*0.5</f>
        <v>190.98039215686276</v>
      </c>
      <c r="BE1102" s="167">
        <f>BF1102*0.5</f>
        <v>190.98039215686276</v>
      </c>
      <c r="BF1102" s="26">
        <f>BF1101*BF1103</f>
        <v>381.96078431372553</v>
      </c>
      <c r="BG1102" s="167">
        <f>BI1102*0.5</f>
        <v>190.98039215686276</v>
      </c>
      <c r="BH1102" s="167">
        <f>BI1102*0.5</f>
        <v>190.98039215686276</v>
      </c>
      <c r="BI1102" s="26">
        <f>BI1101*BI1103</f>
        <v>381.96078431372553</v>
      </c>
      <c r="BJ1102" s="167">
        <f>BL1102*0.5</f>
        <v>190.98039215686276</v>
      </c>
      <c r="BK1102" s="167">
        <f>BL1102*0.5</f>
        <v>190.98039215686276</v>
      </c>
      <c r="BL1102" s="26">
        <f>BL1101*BL1103</f>
        <v>381.96078431372553</v>
      </c>
      <c r="BM1102" s="167">
        <f>BO1102*0.5</f>
        <v>190.98039215686276</v>
      </c>
      <c r="BN1102" s="167">
        <f>BO1102*0.5</f>
        <v>190.98039215686276</v>
      </c>
      <c r="BO1102" s="26">
        <f>BO1101*BO1103</f>
        <v>381.96078431372553</v>
      </c>
      <c r="BP1102" s="167">
        <f>BR1102*0.5</f>
        <v>190.98039215686276</v>
      </c>
      <c r="BQ1102" s="167">
        <f>BR1102*0.5</f>
        <v>190.98039215686276</v>
      </c>
      <c r="BR1102" s="26">
        <f>BR1101*BR1103</f>
        <v>381.96078431372553</v>
      </c>
    </row>
    <row r="1103" spans="2:70" outlineLevel="2">
      <c r="B1103" s="5"/>
      <c r="C1103" s="84" t="s">
        <v>73</v>
      </c>
      <c r="D1103" s="31" t="s">
        <v>66</v>
      </c>
      <c r="E1103" s="768">
        <f>E1102/E1101</f>
        <v>9.3161166905786713E-2</v>
      </c>
      <c r="I1103" s="133">
        <f>I1102/I1101</f>
        <v>9.3161166905786713E-2</v>
      </c>
      <c r="J1103" s="133">
        <f>J1102/J1101</f>
        <v>9.3161166905786713E-2</v>
      </c>
      <c r="K1103" s="133">
        <f>K1102/K1101</f>
        <v>9.3161166905786713E-2</v>
      </c>
      <c r="L1103" s="133">
        <f>L1102/L1101</f>
        <v>9.3161166905786713E-2</v>
      </c>
      <c r="M1103" s="359">
        <f>J1103</f>
        <v>9.3161166905786713E-2</v>
      </c>
      <c r="N1103" s="133">
        <f>N1102/N1101</f>
        <v>9.3161166905786713E-2</v>
      </c>
      <c r="O1103" s="133">
        <f>O1102/O1101</f>
        <v>9.3161166905786713E-2</v>
      </c>
      <c r="P1103" s="359">
        <f>M1103</f>
        <v>9.3161166905786713E-2</v>
      </c>
      <c r="Q1103" s="133">
        <f>Q1102/Q1101</f>
        <v>9.3161166905786713E-2</v>
      </c>
      <c r="R1103" s="133">
        <f>R1102/R1101</f>
        <v>9.3161166905786713E-2</v>
      </c>
      <c r="S1103" s="359">
        <f>P1103</f>
        <v>9.3161166905786713E-2</v>
      </c>
      <c r="T1103" s="133">
        <f>T1102/T1101</f>
        <v>9.3161166905786713E-2</v>
      </c>
      <c r="U1103" s="133">
        <f>U1102/U1101</f>
        <v>9.3161166905786713E-2</v>
      </c>
      <c r="V1103" s="359">
        <f>S1103</f>
        <v>9.3161166905786713E-2</v>
      </c>
      <c r="W1103" s="133">
        <f>W1102/W1101</f>
        <v>9.3161166905786713E-2</v>
      </c>
      <c r="X1103" s="133">
        <f>X1102/X1101</f>
        <v>9.3161166905786713E-2</v>
      </c>
      <c r="Y1103" s="359">
        <f>V1103</f>
        <v>9.3161166905786713E-2</v>
      </c>
      <c r="Z1103" s="133">
        <f>Z1102/Z1101</f>
        <v>9.3161166905786713E-2</v>
      </c>
      <c r="AA1103" s="133">
        <f>AA1102/AA1101</f>
        <v>9.3161166905786713E-2</v>
      </c>
      <c r="AB1103" s="359">
        <f>Y1103</f>
        <v>9.3161166905786713E-2</v>
      </c>
      <c r="AC1103" s="133">
        <f>AC1102/AC1101</f>
        <v>9.3161166905786713E-2</v>
      </c>
      <c r="AD1103" s="133">
        <f>AD1102/AD1101</f>
        <v>9.3161166905786713E-2</v>
      </c>
      <c r="AE1103" s="359">
        <f>AB1103</f>
        <v>9.3161166905786713E-2</v>
      </c>
      <c r="AF1103" s="133">
        <f>AF1102/AF1101</f>
        <v>9.3161166905786713E-2</v>
      </c>
      <c r="AG1103" s="938">
        <f>AG1102/AG1101</f>
        <v>9.3161166905786713E-2</v>
      </c>
      <c r="AH1103" s="359">
        <f>AE1103</f>
        <v>9.3161166905786713E-2</v>
      </c>
      <c r="AI1103" s="133">
        <f>AI1102/AI1101</f>
        <v>9.3161166905786713E-2</v>
      </c>
      <c r="AJ1103" s="133">
        <f>AJ1102/AJ1101</f>
        <v>9.3161166905786713E-2</v>
      </c>
      <c r="AK1103" s="359">
        <f>AH1103</f>
        <v>9.3161166905786713E-2</v>
      </c>
      <c r="AL1103" s="133">
        <f>AL1102/AL1101</f>
        <v>9.3161166905786713E-2</v>
      </c>
      <c r="AM1103" s="133">
        <f>AM1102/AM1101</f>
        <v>9.3161166905786713E-2</v>
      </c>
      <c r="AN1103" s="359">
        <f>AK1103</f>
        <v>9.3161166905786713E-2</v>
      </c>
      <c r="AO1103" s="133">
        <f>AO1102/AO1101</f>
        <v>9.3161166905786713E-2</v>
      </c>
      <c r="AP1103" s="133">
        <f>AP1102/AP1101</f>
        <v>9.3161166905786713E-2</v>
      </c>
      <c r="AQ1103" s="359">
        <f>AN1103</f>
        <v>9.3161166905786713E-2</v>
      </c>
      <c r="AR1103" s="133">
        <f>AR1102/AR1101</f>
        <v>9.3161166905786713E-2</v>
      </c>
      <c r="AS1103" s="133">
        <f>AS1102/AS1101</f>
        <v>9.3161166905786713E-2</v>
      </c>
      <c r="AT1103" s="359">
        <f>AQ1103</f>
        <v>9.3161166905786713E-2</v>
      </c>
      <c r="AU1103" s="133">
        <f>AU1102/AU1101</f>
        <v>9.3161166905786713E-2</v>
      </c>
      <c r="AV1103" s="133">
        <f>AV1102/AV1101</f>
        <v>9.3161166905786713E-2</v>
      </c>
      <c r="AW1103" s="359">
        <f>AT1103</f>
        <v>9.3161166905786713E-2</v>
      </c>
      <c r="AX1103" s="133">
        <f>AX1102/AX1101</f>
        <v>9.3161166905786713E-2</v>
      </c>
      <c r="AY1103" s="133">
        <f>AY1102/AY1101</f>
        <v>9.3161166905786713E-2</v>
      </c>
      <c r="AZ1103" s="359">
        <f>AW1103</f>
        <v>9.3161166905786713E-2</v>
      </c>
      <c r="BA1103" s="133">
        <f>BA1102/BA1101</f>
        <v>9.3161166905786713E-2</v>
      </c>
      <c r="BB1103" s="133">
        <f>BB1102/BB1101</f>
        <v>9.3161166905786713E-2</v>
      </c>
      <c r="BC1103" s="359">
        <f>AZ1103</f>
        <v>9.3161166905786713E-2</v>
      </c>
      <c r="BD1103" s="133">
        <f>BD1102/BD1101</f>
        <v>9.3161166905786713E-2</v>
      </c>
      <c r="BE1103" s="133">
        <f>BE1102/BE1101</f>
        <v>9.3161166905786713E-2</v>
      </c>
      <c r="BF1103" s="359">
        <f>BC1103</f>
        <v>9.3161166905786713E-2</v>
      </c>
      <c r="BG1103" s="133">
        <f>BG1102/BG1101</f>
        <v>9.3161166905786713E-2</v>
      </c>
      <c r="BH1103" s="133">
        <f>BH1102/BH1101</f>
        <v>9.3161166905786713E-2</v>
      </c>
      <c r="BI1103" s="359">
        <f>BF1103</f>
        <v>9.3161166905786713E-2</v>
      </c>
      <c r="BJ1103" s="133">
        <f>BJ1102/BJ1101</f>
        <v>9.3161166905786713E-2</v>
      </c>
      <c r="BK1103" s="133">
        <f>BK1102/BK1101</f>
        <v>9.3161166905786713E-2</v>
      </c>
      <c r="BL1103" s="359">
        <f>BI1103</f>
        <v>9.3161166905786713E-2</v>
      </c>
      <c r="BM1103" s="133">
        <f>BM1102/BM1101</f>
        <v>9.3161166905786713E-2</v>
      </c>
      <c r="BN1103" s="133">
        <f>BN1102/BN1101</f>
        <v>9.3161166905786713E-2</v>
      </c>
      <c r="BO1103" s="359">
        <f>BL1103</f>
        <v>9.3161166905786713E-2</v>
      </c>
      <c r="BP1103" s="133">
        <f>BP1102/BP1101</f>
        <v>9.3161166905786713E-2</v>
      </c>
      <c r="BQ1103" s="133">
        <f>BQ1102/BQ1101</f>
        <v>9.3161166905786713E-2</v>
      </c>
      <c r="BR1103" s="359">
        <f>BO1103</f>
        <v>9.3161166905786713E-2</v>
      </c>
    </row>
    <row r="1104" spans="2:70" outlineLevel="2">
      <c r="B1104" s="5"/>
      <c r="C1104" s="84" t="s">
        <v>65</v>
      </c>
      <c r="D1104" s="31" t="s">
        <v>58</v>
      </c>
      <c r="E1104" s="769">
        <f>E1101*-3%</f>
        <v>-123</v>
      </c>
      <c r="I1104" s="167">
        <f>E1104*0.5*(5/6)</f>
        <v>-51.25</v>
      </c>
      <c r="J1104" s="364">
        <f>I1104</f>
        <v>-51.25</v>
      </c>
      <c r="K1104" s="167">
        <f>M1104*0.5</f>
        <v>-61.5</v>
      </c>
      <c r="L1104" s="167">
        <f>M1104*0.5</f>
        <v>-61.5</v>
      </c>
      <c r="M1104" s="360">
        <f>J1104*(M1101/J1101)</f>
        <v>-123</v>
      </c>
      <c r="N1104" s="167">
        <f>P1104*0.5</f>
        <v>-61.5</v>
      </c>
      <c r="O1104" s="167">
        <f>P1104*0.5</f>
        <v>-61.5</v>
      </c>
      <c r="P1104" s="360">
        <f>M1104*(P1101/M1101)</f>
        <v>-123</v>
      </c>
      <c r="Q1104" s="167">
        <f>S1104*0.5</f>
        <v>-61.5</v>
      </c>
      <c r="R1104" s="167">
        <f>S1104*0.5</f>
        <v>-61.5</v>
      </c>
      <c r="S1104" s="360">
        <f>P1104*(S1101/P1101)</f>
        <v>-123</v>
      </c>
      <c r="T1104" s="167">
        <f>V1104*0.5</f>
        <v>-61.5</v>
      </c>
      <c r="U1104" s="167">
        <f>V1104*0.5</f>
        <v>-61.5</v>
      </c>
      <c r="V1104" s="360">
        <f>S1104*(V1101/S1101)</f>
        <v>-123</v>
      </c>
      <c r="W1104" s="167">
        <f>Y1104*0.5</f>
        <v>-61.5</v>
      </c>
      <c r="X1104" s="167">
        <f>Y1104*0.5</f>
        <v>-61.5</v>
      </c>
      <c r="Y1104" s="360">
        <f>V1104*(Y1101/V1101)</f>
        <v>-123</v>
      </c>
      <c r="Z1104" s="167">
        <f>AB1104*0.5</f>
        <v>-61.5</v>
      </c>
      <c r="AA1104" s="167">
        <f>AB1104*0.5</f>
        <v>-61.5</v>
      </c>
      <c r="AB1104" s="360">
        <f>Y1104*(AB1101/Y1101)</f>
        <v>-123</v>
      </c>
      <c r="AC1104" s="167">
        <f>AE1104*0.5</f>
        <v>-61.5</v>
      </c>
      <c r="AD1104" s="167">
        <f>AE1104*0.5</f>
        <v>-61.5</v>
      </c>
      <c r="AE1104" s="360">
        <f>AB1104*(AE1101/AB1101)</f>
        <v>-123</v>
      </c>
      <c r="AF1104" s="167">
        <f>AH1104*0.5</f>
        <v>-61.5</v>
      </c>
      <c r="AG1104" s="1017">
        <f>AH1104*0.5</f>
        <v>-61.5</v>
      </c>
      <c r="AH1104" s="360">
        <f>AE1104*(AH1101/AE1101)</f>
        <v>-123</v>
      </c>
      <c r="AI1104" s="167">
        <f>AK1104*0.5</f>
        <v>-61.5</v>
      </c>
      <c r="AJ1104" s="167">
        <f>AK1104*0.5</f>
        <v>-61.5</v>
      </c>
      <c r="AK1104" s="360">
        <f>AH1104*(AK1101/AH1101)</f>
        <v>-123</v>
      </c>
      <c r="AL1104" s="167">
        <f>AN1104*0.5</f>
        <v>-61.5</v>
      </c>
      <c r="AM1104" s="167">
        <f>AN1104*0.5</f>
        <v>-61.5</v>
      </c>
      <c r="AN1104" s="360">
        <f>AK1104*(AN1101/AK1101)</f>
        <v>-123</v>
      </c>
      <c r="AO1104" s="167">
        <f>AQ1104*0.5</f>
        <v>-61.5</v>
      </c>
      <c r="AP1104" s="167">
        <f>AQ1104*0.5</f>
        <v>-61.5</v>
      </c>
      <c r="AQ1104" s="360">
        <f>AN1104*(AQ1101/AN1101)</f>
        <v>-123</v>
      </c>
      <c r="AR1104" s="167">
        <f>AT1104*0.5</f>
        <v>-61.5</v>
      </c>
      <c r="AS1104" s="167">
        <f>AT1104*0.5</f>
        <v>-61.5</v>
      </c>
      <c r="AT1104" s="360">
        <f>AQ1104*(AT1101/AQ1101)</f>
        <v>-123</v>
      </c>
      <c r="AU1104" s="167">
        <f>AW1104*0.5</f>
        <v>-61.5</v>
      </c>
      <c r="AV1104" s="167">
        <f>AW1104*0.5</f>
        <v>-61.5</v>
      </c>
      <c r="AW1104" s="360">
        <f>AT1104*(AW1101/AT1101)</f>
        <v>-123</v>
      </c>
      <c r="AX1104" s="167">
        <f>AZ1104*0.5</f>
        <v>-61.5</v>
      </c>
      <c r="AY1104" s="167">
        <f>AZ1104*0.5</f>
        <v>-61.5</v>
      </c>
      <c r="AZ1104" s="360">
        <f>AW1104*(AZ1101/AW1101)</f>
        <v>-123</v>
      </c>
      <c r="BA1104" s="167">
        <f>BC1104*0.5</f>
        <v>-61.5</v>
      </c>
      <c r="BB1104" s="167">
        <f>BC1104*0.5</f>
        <v>-61.5</v>
      </c>
      <c r="BC1104" s="360">
        <f>AZ1104*(BC1101/AZ1101)</f>
        <v>-123</v>
      </c>
      <c r="BD1104" s="167">
        <f>BF1104*0.5</f>
        <v>-61.5</v>
      </c>
      <c r="BE1104" s="167">
        <f>BF1104*0.5</f>
        <v>-61.5</v>
      </c>
      <c r="BF1104" s="360">
        <f>BC1104*(BF1101/BC1101)</f>
        <v>-123</v>
      </c>
      <c r="BG1104" s="167">
        <f>BI1104*0.5</f>
        <v>-61.5</v>
      </c>
      <c r="BH1104" s="167">
        <f>BI1104*0.5</f>
        <v>-61.5</v>
      </c>
      <c r="BI1104" s="360">
        <f>BF1104*(BI1101/BF1101)</f>
        <v>-123</v>
      </c>
      <c r="BJ1104" s="167">
        <f>BL1104*0.5</f>
        <v>-61.5</v>
      </c>
      <c r="BK1104" s="167">
        <f>BL1104*0.5</f>
        <v>-61.5</v>
      </c>
      <c r="BL1104" s="360">
        <f>BI1104*(BL1101/BI1101)</f>
        <v>-123</v>
      </c>
      <c r="BM1104" s="167">
        <f>BO1104*0.5</f>
        <v>-61.5</v>
      </c>
      <c r="BN1104" s="167">
        <f>BO1104*0.5</f>
        <v>-61.5</v>
      </c>
      <c r="BO1104" s="360">
        <f>BL1104*(BO1101/BL1101)</f>
        <v>-123</v>
      </c>
      <c r="BP1104" s="167">
        <f>BR1104*0.5</f>
        <v>-61.5</v>
      </c>
      <c r="BQ1104" s="167">
        <f>BR1104*0.5</f>
        <v>-61.5</v>
      </c>
      <c r="BR1104" s="360">
        <f>BO1104*(BR1101/BO1101)</f>
        <v>-123</v>
      </c>
    </row>
    <row r="1105" spans="2:70" outlineLevel="2">
      <c r="B1105" s="5"/>
      <c r="C1105" s="84" t="s">
        <v>78</v>
      </c>
      <c r="D1105" s="31" t="s">
        <v>58</v>
      </c>
      <c r="E1105" s="770">
        <f>E1102+E1104</f>
        <v>258.96078431372553</v>
      </c>
      <c r="I1105" s="360">
        <f>I1102+I1104</f>
        <v>107.90032679738565</v>
      </c>
      <c r="J1105" s="360">
        <f>J1102+J1104</f>
        <v>107.90032679738565</v>
      </c>
      <c r="K1105" s="167">
        <f>K1102+K1104</f>
        <v>129.48039215686276</v>
      </c>
      <c r="L1105" s="167">
        <f>L1102+L1104</f>
        <v>129.48039215686276</v>
      </c>
      <c r="M1105" s="172">
        <f>SUM(K1105:L1105)</f>
        <v>258.96078431372553</v>
      </c>
      <c r="N1105" s="24">
        <f>N1102+N1104</f>
        <v>129.48039215686276</v>
      </c>
      <c r="O1105" s="24">
        <f>O1102+O1104</f>
        <v>129.48039215686276</v>
      </c>
      <c r="P1105" s="24">
        <f>SUM(N1105:O1105)</f>
        <v>258.96078431372553</v>
      </c>
      <c r="Q1105" s="24">
        <f>Q1102+Q1104</f>
        <v>129.48039215686276</v>
      </c>
      <c r="R1105" s="24">
        <f>R1102+R1104</f>
        <v>129.48039215686276</v>
      </c>
      <c r="S1105" s="24">
        <f>SUM(Q1105:R1105)</f>
        <v>258.96078431372553</v>
      </c>
      <c r="T1105" s="24">
        <f>T1102+T1104</f>
        <v>129.48039215686276</v>
      </c>
      <c r="U1105" s="24">
        <f>U1102+U1104</f>
        <v>129.48039215686276</v>
      </c>
      <c r="V1105" s="24">
        <f>SUM(T1105:U1105)</f>
        <v>258.96078431372553</v>
      </c>
      <c r="W1105" s="24">
        <f>W1102+W1104</f>
        <v>129.48039215686276</v>
      </c>
      <c r="X1105" s="24">
        <f>X1102+X1104</f>
        <v>129.48039215686276</v>
      </c>
      <c r="Y1105" s="24">
        <f>SUM(W1105:X1105)</f>
        <v>258.96078431372553</v>
      </c>
      <c r="Z1105" s="24">
        <f>Z1102+Z1104</f>
        <v>129.48039215686276</v>
      </c>
      <c r="AA1105" s="24">
        <f>AA1102+AA1104</f>
        <v>129.48039215686276</v>
      </c>
      <c r="AB1105" s="24">
        <f>SUM(Z1105:AA1105)</f>
        <v>258.96078431372553</v>
      </c>
      <c r="AC1105" s="24">
        <f>AC1102+AC1104</f>
        <v>129.48039215686276</v>
      </c>
      <c r="AD1105" s="24">
        <f>AD1102+AD1104</f>
        <v>129.48039215686276</v>
      </c>
      <c r="AE1105" s="360">
        <f>SUM(AC1105:AD1105)</f>
        <v>258.96078431372553</v>
      </c>
      <c r="AF1105" s="360">
        <f>AF1102+AF1104</f>
        <v>129.48039215686276</v>
      </c>
      <c r="AG1105" s="942">
        <f>AG1102+AG1104</f>
        <v>129.48039215686276</v>
      </c>
      <c r="AH1105" s="24">
        <f>SUM(AF1105:AG1105)</f>
        <v>258.96078431372553</v>
      </c>
      <c r="AI1105" s="24">
        <f>AI1102+AI1104</f>
        <v>129.48039215686276</v>
      </c>
      <c r="AJ1105" s="24">
        <f>AJ1102+AJ1104</f>
        <v>129.48039215686276</v>
      </c>
      <c r="AK1105" s="24">
        <f>SUM(AI1105:AJ1105)</f>
        <v>258.96078431372553</v>
      </c>
      <c r="AL1105" s="24">
        <f>AL1102+AL1104</f>
        <v>129.48039215686276</v>
      </c>
      <c r="AM1105" s="24">
        <f>AM1102+AM1104</f>
        <v>129.48039215686276</v>
      </c>
      <c r="AN1105" s="24">
        <f>SUM(AL1105:AM1105)</f>
        <v>258.96078431372553</v>
      </c>
      <c r="AO1105" s="24">
        <f>AO1102+AO1104</f>
        <v>129.48039215686276</v>
      </c>
      <c r="AP1105" s="24">
        <f>AP1102+AP1104</f>
        <v>129.48039215686276</v>
      </c>
      <c r="AQ1105" s="24">
        <f>SUM(AO1105:AP1105)</f>
        <v>258.96078431372553</v>
      </c>
      <c r="AR1105" s="24">
        <f>AR1102+AR1104</f>
        <v>129.48039215686276</v>
      </c>
      <c r="AS1105" s="24">
        <f>AS1102+AS1104</f>
        <v>129.48039215686276</v>
      </c>
      <c r="AT1105" s="24">
        <f>SUM(AR1105:AS1105)</f>
        <v>258.96078431372553</v>
      </c>
      <c r="AU1105" s="24">
        <f>AU1102+AU1104</f>
        <v>129.48039215686276</v>
      </c>
      <c r="AV1105" s="24">
        <f>AV1102+AV1104</f>
        <v>129.48039215686276</v>
      </c>
      <c r="AW1105" s="24">
        <f>SUM(AU1105:AV1105)</f>
        <v>258.96078431372553</v>
      </c>
      <c r="AX1105" s="24">
        <f>AX1102+AX1104</f>
        <v>129.48039215686276</v>
      </c>
      <c r="AY1105" s="24">
        <f>AY1102+AY1104</f>
        <v>129.48039215686276</v>
      </c>
      <c r="AZ1105" s="24">
        <f>SUM(AX1105:AY1105)</f>
        <v>258.96078431372553</v>
      </c>
      <c r="BA1105" s="24">
        <f>BA1102+BA1104</f>
        <v>129.48039215686276</v>
      </c>
      <c r="BB1105" s="24">
        <f>BB1102+BB1104</f>
        <v>129.48039215686276</v>
      </c>
      <c r="BC1105" s="24">
        <f>SUM(BA1105:BB1105)</f>
        <v>258.96078431372553</v>
      </c>
      <c r="BD1105" s="24">
        <f>BD1102+BD1104</f>
        <v>129.48039215686276</v>
      </c>
      <c r="BE1105" s="24">
        <f>BE1102+BE1104</f>
        <v>129.48039215686276</v>
      </c>
      <c r="BF1105" s="24">
        <f>SUM(BD1105:BE1105)</f>
        <v>258.96078431372553</v>
      </c>
      <c r="BG1105" s="24">
        <f>BG1102+BG1104</f>
        <v>129.48039215686276</v>
      </c>
      <c r="BH1105" s="24">
        <f>BH1102+BH1104</f>
        <v>129.48039215686276</v>
      </c>
      <c r="BI1105" s="24">
        <f>SUM(BG1105:BH1105)</f>
        <v>258.96078431372553</v>
      </c>
      <c r="BJ1105" s="24">
        <f>BJ1102+BJ1104</f>
        <v>129.48039215686276</v>
      </c>
      <c r="BK1105" s="24">
        <f>BK1102+BK1104</f>
        <v>129.48039215686276</v>
      </c>
      <c r="BL1105" s="24">
        <f>SUM(BJ1105:BK1105)</f>
        <v>258.96078431372553</v>
      </c>
      <c r="BM1105" s="24">
        <f>BM1102+BM1104</f>
        <v>129.48039215686276</v>
      </c>
      <c r="BN1105" s="24">
        <f>BN1102+BN1104</f>
        <v>129.48039215686276</v>
      </c>
      <c r="BO1105" s="24">
        <f>SUM(BM1105:BN1105)</f>
        <v>258.96078431372553</v>
      </c>
      <c r="BP1105" s="24">
        <f>BP1102+BP1104</f>
        <v>129.48039215686276</v>
      </c>
      <c r="BQ1105" s="24">
        <f>BQ1102+BQ1104</f>
        <v>129.48039215686276</v>
      </c>
      <c r="BR1105" s="24">
        <f>SUM(BP1105:BQ1105)</f>
        <v>258.96078431372553</v>
      </c>
    </row>
    <row r="1106" spans="2:70" outlineLevel="2">
      <c r="B1106" s="5"/>
      <c r="C1106" s="84" t="s">
        <v>74</v>
      </c>
      <c r="D1106" s="31" t="s">
        <v>66</v>
      </c>
      <c r="E1106" s="768">
        <f>E1105/E1101</f>
        <v>6.3161166905786714E-2</v>
      </c>
      <c r="I1106" s="133">
        <f>I1105/I1101</f>
        <v>6.3161166905786714E-2</v>
      </c>
      <c r="J1106" s="133">
        <f t="shared" ref="J1106:S1106" si="5356">J1105/J1101</f>
        <v>6.3161166905786714E-2</v>
      </c>
      <c r="K1106" s="162">
        <f t="shared" si="5356"/>
        <v>6.3161166905786714E-2</v>
      </c>
      <c r="L1106" s="162">
        <f t="shared" si="5356"/>
        <v>6.3161166905786714E-2</v>
      </c>
      <c r="M1106" s="133">
        <f t="shared" si="5356"/>
        <v>6.3161166905786714E-2</v>
      </c>
      <c r="N1106" s="20">
        <f t="shared" si="5356"/>
        <v>6.3161166905786714E-2</v>
      </c>
      <c r="O1106" s="20">
        <f t="shared" si="5356"/>
        <v>6.3161166905786714E-2</v>
      </c>
      <c r="P1106" s="20">
        <f t="shared" si="5356"/>
        <v>6.3161166905786714E-2</v>
      </c>
      <c r="Q1106" s="20">
        <f t="shared" si="5356"/>
        <v>6.3161166905786714E-2</v>
      </c>
      <c r="R1106" s="20">
        <f t="shared" si="5356"/>
        <v>6.3161166905786714E-2</v>
      </c>
      <c r="S1106" s="20">
        <f t="shared" si="5356"/>
        <v>6.3161166905786714E-2</v>
      </c>
      <c r="T1106" s="20">
        <f t="shared" ref="T1106:AN1106" si="5357">T1105/T1101</f>
        <v>6.3161166905786714E-2</v>
      </c>
      <c r="U1106" s="20">
        <f t="shared" si="5357"/>
        <v>6.3161166905786714E-2</v>
      </c>
      <c r="V1106" s="20">
        <f t="shared" si="5357"/>
        <v>6.3161166905786714E-2</v>
      </c>
      <c r="W1106" s="20">
        <f t="shared" si="5357"/>
        <v>6.3161166905786714E-2</v>
      </c>
      <c r="X1106" s="20">
        <f t="shared" si="5357"/>
        <v>6.3161166905786714E-2</v>
      </c>
      <c r="Y1106" s="20">
        <f t="shared" si="5357"/>
        <v>6.3161166905786714E-2</v>
      </c>
      <c r="Z1106" s="20">
        <f t="shared" si="5357"/>
        <v>6.3161166905786714E-2</v>
      </c>
      <c r="AA1106" s="20">
        <f t="shared" si="5357"/>
        <v>6.3161166905786714E-2</v>
      </c>
      <c r="AB1106" s="20">
        <f t="shared" si="5357"/>
        <v>6.3161166905786714E-2</v>
      </c>
      <c r="AC1106" s="20">
        <f t="shared" si="5357"/>
        <v>6.3161166905786714E-2</v>
      </c>
      <c r="AD1106" s="20">
        <f t="shared" si="5357"/>
        <v>6.3161166905786714E-2</v>
      </c>
      <c r="AE1106" s="133">
        <f t="shared" si="5357"/>
        <v>6.3161166905786714E-2</v>
      </c>
      <c r="AF1106" s="133">
        <f t="shared" si="5357"/>
        <v>6.3161166905786714E-2</v>
      </c>
      <c r="AG1106" s="938">
        <f t="shared" si="5357"/>
        <v>6.3161166905786714E-2</v>
      </c>
      <c r="AH1106" s="20">
        <f t="shared" si="5357"/>
        <v>6.3161166905786714E-2</v>
      </c>
      <c r="AI1106" s="20">
        <f t="shared" si="5357"/>
        <v>6.3161166905786714E-2</v>
      </c>
      <c r="AJ1106" s="20">
        <f t="shared" si="5357"/>
        <v>6.3161166905786714E-2</v>
      </c>
      <c r="AK1106" s="20">
        <f t="shared" si="5357"/>
        <v>6.3161166905786714E-2</v>
      </c>
      <c r="AL1106" s="20">
        <f t="shared" si="5357"/>
        <v>6.3161166905786714E-2</v>
      </c>
      <c r="AM1106" s="20">
        <f t="shared" si="5357"/>
        <v>6.3161166905786714E-2</v>
      </c>
      <c r="AN1106" s="20">
        <f t="shared" si="5357"/>
        <v>6.3161166905786714E-2</v>
      </c>
      <c r="AO1106" s="20">
        <f t="shared" ref="AO1106:BR1106" si="5358">AO1105/AO1101</f>
        <v>6.3161166905786714E-2</v>
      </c>
      <c r="AP1106" s="20">
        <f t="shared" si="5358"/>
        <v>6.3161166905786714E-2</v>
      </c>
      <c r="AQ1106" s="20">
        <f t="shared" si="5358"/>
        <v>6.3161166905786714E-2</v>
      </c>
      <c r="AR1106" s="20">
        <f t="shared" si="5358"/>
        <v>6.3161166905786714E-2</v>
      </c>
      <c r="AS1106" s="20">
        <f t="shared" si="5358"/>
        <v>6.3161166905786714E-2</v>
      </c>
      <c r="AT1106" s="20">
        <f t="shared" si="5358"/>
        <v>6.3161166905786714E-2</v>
      </c>
      <c r="AU1106" s="20">
        <f t="shared" si="5358"/>
        <v>6.3161166905786714E-2</v>
      </c>
      <c r="AV1106" s="20">
        <f t="shared" si="5358"/>
        <v>6.3161166905786714E-2</v>
      </c>
      <c r="AW1106" s="20">
        <f t="shared" si="5358"/>
        <v>6.3161166905786714E-2</v>
      </c>
      <c r="AX1106" s="20">
        <f t="shared" si="5358"/>
        <v>6.3161166905786714E-2</v>
      </c>
      <c r="AY1106" s="20">
        <f t="shared" si="5358"/>
        <v>6.3161166905786714E-2</v>
      </c>
      <c r="AZ1106" s="20">
        <f t="shared" si="5358"/>
        <v>6.3161166905786714E-2</v>
      </c>
      <c r="BA1106" s="20">
        <f t="shared" si="5358"/>
        <v>6.3161166905786714E-2</v>
      </c>
      <c r="BB1106" s="20">
        <f t="shared" si="5358"/>
        <v>6.3161166905786714E-2</v>
      </c>
      <c r="BC1106" s="20">
        <f t="shared" si="5358"/>
        <v>6.3161166905786714E-2</v>
      </c>
      <c r="BD1106" s="20">
        <f t="shared" si="5358"/>
        <v>6.3161166905786714E-2</v>
      </c>
      <c r="BE1106" s="20">
        <f t="shared" si="5358"/>
        <v>6.3161166905786714E-2</v>
      </c>
      <c r="BF1106" s="20">
        <f t="shared" si="5358"/>
        <v>6.3161166905786714E-2</v>
      </c>
      <c r="BG1106" s="20">
        <f t="shared" si="5358"/>
        <v>6.3161166905786714E-2</v>
      </c>
      <c r="BH1106" s="20">
        <f t="shared" si="5358"/>
        <v>6.3161166905786714E-2</v>
      </c>
      <c r="BI1106" s="20">
        <f t="shared" si="5358"/>
        <v>6.3161166905786714E-2</v>
      </c>
      <c r="BJ1106" s="20">
        <f t="shared" si="5358"/>
        <v>6.3161166905786714E-2</v>
      </c>
      <c r="BK1106" s="20">
        <f t="shared" si="5358"/>
        <v>6.3161166905786714E-2</v>
      </c>
      <c r="BL1106" s="20">
        <f t="shared" si="5358"/>
        <v>6.3161166905786714E-2</v>
      </c>
      <c r="BM1106" s="20">
        <f t="shared" si="5358"/>
        <v>6.3161166905786714E-2</v>
      </c>
      <c r="BN1106" s="20">
        <f t="shared" si="5358"/>
        <v>6.3161166905786714E-2</v>
      </c>
      <c r="BO1106" s="20">
        <f t="shared" si="5358"/>
        <v>6.3161166905786714E-2</v>
      </c>
      <c r="BP1106" s="20">
        <f t="shared" si="5358"/>
        <v>6.3161166905786714E-2</v>
      </c>
      <c r="BQ1106" s="20">
        <f t="shared" si="5358"/>
        <v>6.3161166905786714E-2</v>
      </c>
      <c r="BR1106" s="20">
        <f t="shared" si="5358"/>
        <v>6.3161166905786714E-2</v>
      </c>
    </row>
    <row r="1107" spans="2:70" outlineLevel="2">
      <c r="B1107" s="5"/>
      <c r="C1107" s="84" t="s">
        <v>90</v>
      </c>
      <c r="D1107" s="31" t="s">
        <v>58</v>
      </c>
      <c r="E1107" s="793">
        <f>200*H260</f>
        <v>174.29924242424241</v>
      </c>
      <c r="I1107" s="36">
        <v>0</v>
      </c>
      <c r="J1107" s="172">
        <f>I1107</f>
        <v>0</v>
      </c>
      <c r="K1107" s="135">
        <v>25</v>
      </c>
      <c r="L1107" s="135">
        <v>50</v>
      </c>
      <c r="M1107" s="136">
        <f>K1107+L1107</f>
        <v>75</v>
      </c>
      <c r="N1107" s="135">
        <v>50</v>
      </c>
      <c r="O1107" s="135">
        <v>50</v>
      </c>
      <c r="P1107" s="136">
        <f>N1107+O1107</f>
        <v>100</v>
      </c>
      <c r="Q1107" s="135">
        <v>0</v>
      </c>
      <c r="R1107" s="135">
        <v>0</v>
      </c>
      <c r="S1107" s="136">
        <f>Q1107+R1107</f>
        <v>0</v>
      </c>
      <c r="T1107" s="135">
        <v>0</v>
      </c>
      <c r="U1107" s="135">
        <v>0</v>
      </c>
      <c r="V1107" s="136">
        <f>T1107+U1107</f>
        <v>0</v>
      </c>
      <c r="W1107" s="135">
        <v>0</v>
      </c>
      <c r="X1107" s="135">
        <v>0</v>
      </c>
      <c r="Y1107" s="136">
        <f>W1107+X1107</f>
        <v>0</v>
      </c>
      <c r="Z1107" s="135">
        <v>0</v>
      </c>
      <c r="AA1107" s="135">
        <v>0</v>
      </c>
      <c r="AB1107" s="136">
        <f>Z1107+AA1107</f>
        <v>0</v>
      </c>
      <c r="AC1107" s="135">
        <v>0</v>
      </c>
      <c r="AD1107" s="135">
        <v>0</v>
      </c>
      <c r="AE1107" s="847">
        <f>AC1107+AD1107</f>
        <v>0</v>
      </c>
      <c r="AF1107" s="170">
        <v>0</v>
      </c>
      <c r="AG1107" s="1039">
        <v>0</v>
      </c>
      <c r="AH1107" s="136">
        <f>AF1107+AG1107</f>
        <v>0</v>
      </c>
      <c r="AI1107" s="135">
        <v>0</v>
      </c>
      <c r="AJ1107" s="135">
        <v>0</v>
      </c>
      <c r="AK1107" s="136">
        <f>AI1107+AJ1107</f>
        <v>0</v>
      </c>
      <c r="AL1107" s="135">
        <v>0</v>
      </c>
      <c r="AM1107" s="135">
        <v>0</v>
      </c>
      <c r="AN1107" s="136">
        <f>AL1107+AM1107</f>
        <v>0</v>
      </c>
      <c r="AO1107" s="135">
        <v>0</v>
      </c>
      <c r="AP1107" s="135">
        <v>0</v>
      </c>
      <c r="AQ1107" s="136">
        <f>AO1107+AP1107</f>
        <v>0</v>
      </c>
      <c r="AR1107" s="135">
        <v>0</v>
      </c>
      <c r="AS1107" s="135">
        <v>0</v>
      </c>
      <c r="AT1107" s="136">
        <f>AR1107+AS1107</f>
        <v>0</v>
      </c>
      <c r="AU1107" s="135">
        <v>0</v>
      </c>
      <c r="AV1107" s="135">
        <v>0</v>
      </c>
      <c r="AW1107" s="136">
        <f>AU1107+AV1107</f>
        <v>0</v>
      </c>
      <c r="AX1107" s="135">
        <v>0</v>
      </c>
      <c r="AY1107" s="135">
        <v>0</v>
      </c>
      <c r="AZ1107" s="136">
        <f>AX1107+AY1107</f>
        <v>0</v>
      </c>
      <c r="BA1107" s="135">
        <v>0</v>
      </c>
      <c r="BB1107" s="135">
        <v>0</v>
      </c>
      <c r="BC1107" s="136">
        <f>BA1107+BB1107</f>
        <v>0</v>
      </c>
      <c r="BD1107" s="135">
        <v>0</v>
      </c>
      <c r="BE1107" s="135">
        <v>0</v>
      </c>
      <c r="BF1107" s="136">
        <f>BD1107+BE1107</f>
        <v>0</v>
      </c>
      <c r="BG1107" s="135">
        <v>0</v>
      </c>
      <c r="BH1107" s="135">
        <v>0</v>
      </c>
      <c r="BI1107" s="136">
        <f>BG1107+BH1107</f>
        <v>0</v>
      </c>
      <c r="BJ1107" s="135">
        <v>0</v>
      </c>
      <c r="BK1107" s="135">
        <v>0</v>
      </c>
      <c r="BL1107" s="136">
        <f>BJ1107+BK1107</f>
        <v>0</v>
      </c>
      <c r="BM1107" s="135">
        <v>0</v>
      </c>
      <c r="BN1107" s="135">
        <v>0</v>
      </c>
      <c r="BO1107" s="136">
        <f>BM1107+BN1107</f>
        <v>0</v>
      </c>
      <c r="BP1107" s="135">
        <v>0</v>
      </c>
      <c r="BQ1107" s="135">
        <v>0</v>
      </c>
      <c r="BR1107" s="136">
        <f>BP1107+BQ1107</f>
        <v>0</v>
      </c>
    </row>
    <row r="1108" spans="2:70" outlineLevel="2">
      <c r="B1108" s="5"/>
      <c r="C1108" s="84" t="s">
        <v>89</v>
      </c>
      <c r="D1108" s="31"/>
      <c r="E1108" s="772">
        <f>E1107*H260/E1101</f>
        <v>3.7049055987396128E-2</v>
      </c>
      <c r="I1108" s="24">
        <f>I1107*I260/I1101</f>
        <v>0</v>
      </c>
      <c r="J1108" s="156">
        <f>G1108+J1107</f>
        <v>0</v>
      </c>
      <c r="K1108" s="156">
        <f>K1107</f>
        <v>25</v>
      </c>
      <c r="L1108" s="156">
        <f>I1108+L1107</f>
        <v>50</v>
      </c>
      <c r="M1108" s="156">
        <f>K1108+L1108</f>
        <v>75</v>
      </c>
      <c r="N1108" s="156">
        <f>K1108+N1107</f>
        <v>75</v>
      </c>
      <c r="O1108" s="156">
        <f>L1108+O1107</f>
        <v>100</v>
      </c>
      <c r="P1108" s="156">
        <f>N1108+O1108</f>
        <v>175</v>
      </c>
      <c r="Q1108" s="156">
        <f>N1108+Q1107</f>
        <v>75</v>
      </c>
      <c r="R1108" s="156">
        <f>O1108+R1107</f>
        <v>100</v>
      </c>
      <c r="S1108" s="156">
        <f>Q1108+R1108</f>
        <v>175</v>
      </c>
      <c r="T1108" s="156">
        <f>Q1108+T1107</f>
        <v>75</v>
      </c>
      <c r="U1108" s="156">
        <f>R1108+U1107</f>
        <v>100</v>
      </c>
      <c r="V1108" s="156">
        <f>T1108+U1108</f>
        <v>175</v>
      </c>
      <c r="W1108" s="156">
        <f>T1108+W1107</f>
        <v>75</v>
      </c>
      <c r="X1108" s="156">
        <f>U1108+X1107</f>
        <v>100</v>
      </c>
      <c r="Y1108" s="156">
        <f>W1108+X1108</f>
        <v>175</v>
      </c>
      <c r="Z1108" s="156">
        <f>W1108+Z1107</f>
        <v>75</v>
      </c>
      <c r="AA1108" s="156">
        <f>X1108+AA1107</f>
        <v>100</v>
      </c>
      <c r="AB1108" s="156">
        <f>Z1108+AA1108</f>
        <v>175</v>
      </c>
      <c r="AC1108" s="156">
        <f>Z1108+AC1107</f>
        <v>75</v>
      </c>
      <c r="AD1108" s="156">
        <f>AA1108+AD1107</f>
        <v>100</v>
      </c>
      <c r="AE1108" s="157">
        <f>AC1108+AD1108</f>
        <v>175</v>
      </c>
      <c r="AF1108" s="157">
        <f>AC1108+AF1107</f>
        <v>75</v>
      </c>
      <c r="AG1108" s="1031">
        <f>AD1108+AG1107</f>
        <v>100</v>
      </c>
      <c r="AH1108" s="156">
        <f>AF1108+AG1108</f>
        <v>175</v>
      </c>
      <c r="AI1108" s="156">
        <f>AF1108+AI1107</f>
        <v>75</v>
      </c>
      <c r="AJ1108" s="156">
        <f>AG1108+AJ1107</f>
        <v>100</v>
      </c>
      <c r="AK1108" s="156">
        <f>AI1108+AJ1108</f>
        <v>175</v>
      </c>
      <c r="AL1108" s="156">
        <f>AI1108+AL1107</f>
        <v>75</v>
      </c>
      <c r="AM1108" s="156">
        <f>AJ1108+AM1107</f>
        <v>100</v>
      </c>
      <c r="AN1108" s="156">
        <f>AL1108+AM1108</f>
        <v>175</v>
      </c>
      <c r="AO1108" s="156">
        <f>AL1108+AO1107</f>
        <v>75</v>
      </c>
      <c r="AP1108" s="156">
        <f>AM1108+AP1107</f>
        <v>100</v>
      </c>
      <c r="AQ1108" s="156">
        <f>AO1108+AP1108</f>
        <v>175</v>
      </c>
      <c r="AR1108" s="156">
        <f>AO1108+AR1107</f>
        <v>75</v>
      </c>
      <c r="AS1108" s="156">
        <f>AP1108+AS1107</f>
        <v>100</v>
      </c>
      <c r="AT1108" s="156">
        <f>AR1108+AS1108</f>
        <v>175</v>
      </c>
      <c r="AU1108" s="156">
        <f>AR1108+AU1107</f>
        <v>75</v>
      </c>
      <c r="AV1108" s="156">
        <f>AS1108+AV1107</f>
        <v>100</v>
      </c>
      <c r="AW1108" s="156">
        <f>AU1108+AV1108</f>
        <v>175</v>
      </c>
      <c r="AX1108" s="156">
        <f>AU1108+AX1107</f>
        <v>75</v>
      </c>
      <c r="AY1108" s="156">
        <f>AV1108+AY1107</f>
        <v>100</v>
      </c>
      <c r="AZ1108" s="156">
        <f>AX1108+AY1108</f>
        <v>175</v>
      </c>
      <c r="BA1108" s="156">
        <f>AX1108+BA1107</f>
        <v>75</v>
      </c>
      <c r="BB1108" s="156">
        <f>AY1108+BB1107</f>
        <v>100</v>
      </c>
      <c r="BC1108" s="156">
        <f>BA1108+BB1108</f>
        <v>175</v>
      </c>
      <c r="BD1108" s="156">
        <f>BA1108+BD1107</f>
        <v>75</v>
      </c>
      <c r="BE1108" s="156">
        <f>BB1108+BE1107</f>
        <v>100</v>
      </c>
      <c r="BF1108" s="156">
        <f>BD1108+BE1108</f>
        <v>175</v>
      </c>
      <c r="BG1108" s="156">
        <f>BD1108+BG1107</f>
        <v>75</v>
      </c>
      <c r="BH1108" s="156">
        <f>BE1108+BH1107</f>
        <v>100</v>
      </c>
      <c r="BI1108" s="156">
        <f>BG1108+BH1108</f>
        <v>175</v>
      </c>
      <c r="BJ1108" s="156">
        <f>BG1108+BJ1107</f>
        <v>75</v>
      </c>
      <c r="BK1108" s="156">
        <f>BH1108+BK1107</f>
        <v>100</v>
      </c>
      <c r="BL1108" s="156">
        <f>BJ1108+BK1108</f>
        <v>175</v>
      </c>
      <c r="BM1108" s="156">
        <f>BJ1108+BM1107</f>
        <v>75</v>
      </c>
      <c r="BN1108" s="156">
        <f>BK1108+BN1107</f>
        <v>100</v>
      </c>
      <c r="BO1108" s="156">
        <f>BM1108+BN1108</f>
        <v>175</v>
      </c>
      <c r="BP1108" s="156">
        <f>BM1108+BP1107</f>
        <v>75</v>
      </c>
      <c r="BQ1108" s="156">
        <f>BN1108+BQ1107</f>
        <v>100</v>
      </c>
      <c r="BR1108" s="156">
        <f>BP1108+BQ1108</f>
        <v>175</v>
      </c>
    </row>
    <row r="1109" spans="2:70" outlineLevel="2">
      <c r="B1109" s="5"/>
      <c r="C1109" s="84" t="s">
        <v>264</v>
      </c>
      <c r="D1109" s="31" t="s">
        <v>66</v>
      </c>
      <c r="E1109" s="771"/>
      <c r="J1109" s="130"/>
      <c r="K1109" s="156"/>
      <c r="L1109" s="156"/>
      <c r="M1109" s="156"/>
      <c r="N1109" s="156"/>
      <c r="O1109" s="156"/>
      <c r="P1109" s="156"/>
      <c r="Q1109" s="156"/>
      <c r="R1109" s="156"/>
      <c r="S1109" s="156"/>
      <c r="T1109" s="156"/>
      <c r="U1109" s="156"/>
      <c r="V1109" s="156"/>
      <c r="W1109" s="156"/>
      <c r="X1109" s="156"/>
      <c r="Y1109" s="156"/>
      <c r="Z1109" s="156"/>
      <c r="AA1109" s="156"/>
      <c r="AB1109" s="156"/>
      <c r="AC1109" s="156"/>
      <c r="AD1109" s="156"/>
      <c r="AE1109" s="157"/>
      <c r="AF1109" s="157"/>
      <c r="AG1109" s="1031"/>
      <c r="AH1109" s="156"/>
      <c r="AI1109" s="156"/>
      <c r="AJ1109" s="156"/>
      <c r="AK1109" s="156"/>
      <c r="AL1109" s="156"/>
      <c r="AM1109" s="156"/>
      <c r="AN1109" s="156"/>
      <c r="AO1109" s="156"/>
      <c r="AP1109" s="156"/>
      <c r="AQ1109" s="156"/>
      <c r="AR1109" s="156"/>
      <c r="AS1109" s="156"/>
      <c r="AT1109" s="156"/>
      <c r="AU1109" s="156"/>
      <c r="AV1109" s="156"/>
      <c r="AW1109" s="156"/>
      <c r="AX1109" s="156"/>
      <c r="AY1109" s="156"/>
      <c r="AZ1109" s="156"/>
      <c r="BA1109" s="156"/>
      <c r="BB1109" s="156"/>
      <c r="BC1109" s="156"/>
      <c r="BD1109" s="156"/>
      <c r="BE1109" s="156"/>
      <c r="BF1109" s="156"/>
      <c r="BG1109" s="156"/>
      <c r="BH1109" s="156"/>
      <c r="BI1109" s="156"/>
      <c r="BJ1109" s="156"/>
      <c r="BK1109" s="156"/>
      <c r="BL1109" s="156"/>
      <c r="BM1109" s="156"/>
      <c r="BN1109" s="156"/>
      <c r="BO1109" s="156"/>
      <c r="BP1109" s="156"/>
      <c r="BQ1109" s="156"/>
      <c r="BR1109" s="156"/>
    </row>
    <row r="1110" spans="2:70" outlineLevel="2">
      <c r="B1110" s="5"/>
      <c r="C1110" s="84" t="s">
        <v>79</v>
      </c>
      <c r="D1110" s="31" t="s">
        <v>58</v>
      </c>
      <c r="E1110" s="794">
        <f>E1105+E1107</f>
        <v>433.26002673796791</v>
      </c>
      <c r="I1110" s="13">
        <f>I1108+I1105</f>
        <v>107.90032679738565</v>
      </c>
      <c r="J1110" s="13">
        <f t="shared" ref="J1110:Q1110" si="5359">J1108+J1105</f>
        <v>107.90032679738565</v>
      </c>
      <c r="K1110" s="13">
        <f t="shared" si="5359"/>
        <v>154.48039215686276</v>
      </c>
      <c r="L1110" s="13">
        <f>L1108+L1105</f>
        <v>179.48039215686276</v>
      </c>
      <c r="M1110" s="13">
        <f>M1108+M1105</f>
        <v>333.96078431372553</v>
      </c>
      <c r="N1110" s="13">
        <f t="shared" si="5359"/>
        <v>204.48039215686276</v>
      </c>
      <c r="O1110" s="13">
        <f>O1108+O1105</f>
        <v>229.48039215686276</v>
      </c>
      <c r="P1110" s="13">
        <f>P1108+P1105</f>
        <v>433.96078431372553</v>
      </c>
      <c r="Q1110" s="13">
        <f t="shared" si="5359"/>
        <v>204.48039215686276</v>
      </c>
      <c r="R1110" s="13">
        <f>R1108+R1105</f>
        <v>229.48039215686276</v>
      </c>
      <c r="S1110" s="13">
        <f>S1108+S1105</f>
        <v>433.96078431372553</v>
      </c>
      <c r="T1110" s="13">
        <f t="shared" ref="T1110:AL1110" si="5360">T1108+T1105</f>
        <v>204.48039215686276</v>
      </c>
      <c r="U1110" s="13">
        <f>U1108+U1105</f>
        <v>229.48039215686276</v>
      </c>
      <c r="V1110" s="13">
        <f>V1108+V1105</f>
        <v>433.96078431372553</v>
      </c>
      <c r="W1110" s="13">
        <f t="shared" si="5360"/>
        <v>204.48039215686276</v>
      </c>
      <c r="X1110" s="13">
        <f>X1108+X1105</f>
        <v>229.48039215686276</v>
      </c>
      <c r="Y1110" s="13">
        <f>Y1108+Y1105</f>
        <v>433.96078431372553</v>
      </c>
      <c r="Z1110" s="13">
        <f t="shared" si="5360"/>
        <v>204.48039215686276</v>
      </c>
      <c r="AA1110" s="13">
        <f>AA1108+AA1105</f>
        <v>229.48039215686276</v>
      </c>
      <c r="AB1110" s="13">
        <f>AB1108+AB1105</f>
        <v>433.96078431372553</v>
      </c>
      <c r="AC1110" s="13">
        <f t="shared" si="5360"/>
        <v>204.48039215686276</v>
      </c>
      <c r="AD1110" s="13">
        <f>AD1108+AD1105</f>
        <v>229.48039215686276</v>
      </c>
      <c r="AE1110" s="164">
        <f>AE1108+AE1105</f>
        <v>433.96078431372553</v>
      </c>
      <c r="AF1110" s="164">
        <f t="shared" si="5360"/>
        <v>204.48039215686276</v>
      </c>
      <c r="AG1110" s="1018">
        <f>AG1108+AG1105</f>
        <v>229.48039215686276</v>
      </c>
      <c r="AH1110" s="13">
        <f>AH1108+AH1105</f>
        <v>433.96078431372553</v>
      </c>
      <c r="AI1110" s="13">
        <f t="shared" si="5360"/>
        <v>204.48039215686276</v>
      </c>
      <c r="AJ1110" s="13">
        <f>AJ1108+AJ1105</f>
        <v>229.48039215686276</v>
      </c>
      <c r="AK1110" s="13">
        <f>AK1108+AK1105</f>
        <v>433.96078431372553</v>
      </c>
      <c r="AL1110" s="13">
        <f t="shared" si="5360"/>
        <v>204.48039215686276</v>
      </c>
      <c r="AM1110" s="13">
        <f>AM1108+AM1105</f>
        <v>229.48039215686276</v>
      </c>
      <c r="AN1110" s="13">
        <f>AN1108+AN1105</f>
        <v>433.96078431372553</v>
      </c>
      <c r="AO1110" s="13">
        <f t="shared" ref="AO1110" si="5361">AO1108+AO1105</f>
        <v>204.48039215686276</v>
      </c>
      <c r="AP1110" s="13">
        <f>AP1108+AP1105</f>
        <v>229.48039215686276</v>
      </c>
      <c r="AQ1110" s="13">
        <f>AQ1108+AQ1105</f>
        <v>433.96078431372553</v>
      </c>
      <c r="AR1110" s="13">
        <f t="shared" ref="AR1110" si="5362">AR1108+AR1105</f>
        <v>204.48039215686276</v>
      </c>
      <c r="AS1110" s="13">
        <f>AS1108+AS1105</f>
        <v>229.48039215686276</v>
      </c>
      <c r="AT1110" s="13">
        <f>AT1108+AT1105</f>
        <v>433.96078431372553</v>
      </c>
      <c r="AU1110" s="13">
        <f t="shared" ref="AU1110" si="5363">AU1108+AU1105</f>
        <v>204.48039215686276</v>
      </c>
      <c r="AV1110" s="13">
        <f>AV1108+AV1105</f>
        <v>229.48039215686276</v>
      </c>
      <c r="AW1110" s="13">
        <f>AW1108+AW1105</f>
        <v>433.96078431372553</v>
      </c>
      <c r="AX1110" s="13">
        <f t="shared" ref="AX1110" si="5364">AX1108+AX1105</f>
        <v>204.48039215686276</v>
      </c>
      <c r="AY1110" s="13">
        <f>AY1108+AY1105</f>
        <v>229.48039215686276</v>
      </c>
      <c r="AZ1110" s="13">
        <f>AZ1108+AZ1105</f>
        <v>433.96078431372553</v>
      </c>
      <c r="BA1110" s="13">
        <f t="shared" ref="BA1110" si="5365">BA1108+BA1105</f>
        <v>204.48039215686276</v>
      </c>
      <c r="BB1110" s="13">
        <f>BB1108+BB1105</f>
        <v>229.48039215686276</v>
      </c>
      <c r="BC1110" s="13">
        <f>BC1108+BC1105</f>
        <v>433.96078431372553</v>
      </c>
      <c r="BD1110" s="13">
        <f t="shared" ref="BD1110" si="5366">BD1108+BD1105</f>
        <v>204.48039215686276</v>
      </c>
      <c r="BE1110" s="13">
        <f>BE1108+BE1105</f>
        <v>229.48039215686276</v>
      </c>
      <c r="BF1110" s="13">
        <f>BF1108+BF1105</f>
        <v>433.96078431372553</v>
      </c>
      <c r="BG1110" s="13">
        <f t="shared" ref="BG1110" si="5367">BG1108+BG1105</f>
        <v>204.48039215686276</v>
      </c>
      <c r="BH1110" s="13">
        <f>BH1108+BH1105</f>
        <v>229.48039215686276</v>
      </c>
      <c r="BI1110" s="13">
        <f>BI1108+BI1105</f>
        <v>433.96078431372553</v>
      </c>
      <c r="BJ1110" s="13">
        <f t="shared" ref="BJ1110" si="5368">BJ1108+BJ1105</f>
        <v>204.48039215686276</v>
      </c>
      <c r="BK1110" s="13">
        <f>BK1108+BK1105</f>
        <v>229.48039215686276</v>
      </c>
      <c r="BL1110" s="13">
        <f>BL1108+BL1105</f>
        <v>433.96078431372553</v>
      </c>
      <c r="BM1110" s="13">
        <f t="shared" ref="BM1110" si="5369">BM1108+BM1105</f>
        <v>204.48039215686276</v>
      </c>
      <c r="BN1110" s="13">
        <f>BN1108+BN1105</f>
        <v>229.48039215686276</v>
      </c>
      <c r="BO1110" s="13">
        <f>BO1108+BO1105</f>
        <v>433.96078431372553</v>
      </c>
      <c r="BP1110" s="13">
        <f t="shared" ref="BP1110" si="5370">BP1108+BP1105</f>
        <v>204.48039215686276</v>
      </c>
      <c r="BQ1110" s="13">
        <f>BQ1108+BQ1105</f>
        <v>229.48039215686276</v>
      </c>
      <c r="BR1110" s="13">
        <f>BR1108+BR1105</f>
        <v>433.96078431372553</v>
      </c>
    </row>
    <row r="1111" spans="2:70" outlineLevel="2">
      <c r="B1111" s="5"/>
      <c r="C1111" s="84" t="s">
        <v>75</v>
      </c>
      <c r="D1111" s="31" t="s">
        <v>66</v>
      </c>
      <c r="E1111" s="773">
        <f>E1110/E1099</f>
        <v>0.22241274473201639</v>
      </c>
      <c r="I1111" s="20">
        <f>I1110/$E$1099*2</f>
        <v>0.11078062299526246</v>
      </c>
      <c r="J1111" s="372">
        <f>J1110/E1099</f>
        <v>5.5390311497631232E-2</v>
      </c>
      <c r="K1111" s="20">
        <f>K1110/$E$1099*2</f>
        <v>0.15860409872367839</v>
      </c>
      <c r="L1111" s="20">
        <f>L1110/$E$1099*2</f>
        <v>0.18427144985304186</v>
      </c>
      <c r="M1111" s="372">
        <f>M1110/$E$1099</f>
        <v>0.17143777428836013</v>
      </c>
      <c r="N1111" s="20">
        <f>N1110/$E$1099*2</f>
        <v>0.2099388009824053</v>
      </c>
      <c r="O1111" s="20">
        <f>O1110/$E$1099*2</f>
        <v>0.23560615211176875</v>
      </c>
      <c r="P1111" s="372">
        <f>P1110/$E$1099</f>
        <v>0.22277247654708704</v>
      </c>
      <c r="Q1111" s="20">
        <f>Q1110/$E$1099*2</f>
        <v>0.2099388009824053</v>
      </c>
      <c r="R1111" s="20">
        <f>R1110/$E$1099*2</f>
        <v>0.23560615211176875</v>
      </c>
      <c r="S1111" s="372">
        <f>S1110/$E$1099</f>
        <v>0.22277247654708704</v>
      </c>
      <c r="T1111" s="20">
        <f>T1110/$E$1099*2</f>
        <v>0.2099388009824053</v>
      </c>
      <c r="U1111" s="20">
        <f>U1110/$E$1099*2</f>
        <v>0.23560615211176875</v>
      </c>
      <c r="V1111" s="372">
        <f>V1110/$E$1099</f>
        <v>0.22277247654708704</v>
      </c>
      <c r="W1111" s="20">
        <f>W1110/$E$1099*2</f>
        <v>0.2099388009824053</v>
      </c>
      <c r="X1111" s="20">
        <f>X1110/$E$1099*2</f>
        <v>0.23560615211176875</v>
      </c>
      <c r="Y1111" s="372">
        <f>Y1110/$E$1099</f>
        <v>0.22277247654708704</v>
      </c>
      <c r="Z1111" s="20">
        <f>Z1110/$E$1099*2</f>
        <v>0.2099388009824053</v>
      </c>
      <c r="AA1111" s="20">
        <f>AA1110/$E$1099*2</f>
        <v>0.23560615211176875</v>
      </c>
      <c r="AB1111" s="372">
        <f>AB1110/$E$1099</f>
        <v>0.22277247654708704</v>
      </c>
      <c r="AC1111" s="20">
        <f>AC1110/$E$1099*2</f>
        <v>0.2099388009824053</v>
      </c>
      <c r="AD1111" s="20">
        <f>AD1110/$E$1099*2</f>
        <v>0.23560615211176875</v>
      </c>
      <c r="AE1111" s="387">
        <f>AE1110/$E$1099</f>
        <v>0.22277247654708704</v>
      </c>
      <c r="AF1111" s="133">
        <f>AF1110/$E$1099*2</f>
        <v>0.2099388009824053</v>
      </c>
      <c r="AG1111" s="938">
        <f>AG1110/$E$1099*2</f>
        <v>0.23560615211176875</v>
      </c>
      <c r="AH1111" s="372">
        <f>AH1110/$E$1099</f>
        <v>0.22277247654708704</v>
      </c>
      <c r="AI1111" s="20">
        <f>AI1110/$E$1099*2</f>
        <v>0.2099388009824053</v>
      </c>
      <c r="AJ1111" s="20">
        <f>AJ1110/$E$1099*2</f>
        <v>0.23560615211176875</v>
      </c>
      <c r="AK1111" s="372">
        <f>AK1110/$E$1099</f>
        <v>0.22277247654708704</v>
      </c>
      <c r="AL1111" s="20">
        <f>AL1110/$E$1099*2</f>
        <v>0.2099388009824053</v>
      </c>
      <c r="AM1111" s="20">
        <f>AM1110/$E$1099*2</f>
        <v>0.23560615211176875</v>
      </c>
      <c r="AN1111" s="372">
        <f>AN1110/$E$1099</f>
        <v>0.22277247654708704</v>
      </c>
      <c r="AO1111" s="20">
        <f>AO1110/$E$1099*2</f>
        <v>0.2099388009824053</v>
      </c>
      <c r="AP1111" s="20">
        <f>AP1110/$E$1099*2</f>
        <v>0.23560615211176875</v>
      </c>
      <c r="AQ1111" s="372">
        <f>AQ1110/$E$1099</f>
        <v>0.22277247654708704</v>
      </c>
      <c r="AR1111" s="20">
        <f>AR1110/$E$1099*2</f>
        <v>0.2099388009824053</v>
      </c>
      <c r="AS1111" s="20">
        <f>AS1110/$E$1099*2</f>
        <v>0.23560615211176875</v>
      </c>
      <c r="AT1111" s="372">
        <f>AT1110/$E$1099</f>
        <v>0.22277247654708704</v>
      </c>
      <c r="AU1111" s="20">
        <f>AU1110/$E$1099*2</f>
        <v>0.2099388009824053</v>
      </c>
      <c r="AV1111" s="20">
        <f>AV1110/$E$1099*2</f>
        <v>0.23560615211176875</v>
      </c>
      <c r="AW1111" s="372">
        <f>AW1110/$E$1099</f>
        <v>0.22277247654708704</v>
      </c>
      <c r="AX1111" s="20">
        <f>AX1110/$E$1099*2</f>
        <v>0.2099388009824053</v>
      </c>
      <c r="AY1111" s="20">
        <f>AY1110/$E$1099*2</f>
        <v>0.23560615211176875</v>
      </c>
      <c r="AZ1111" s="372">
        <f>AZ1110/$E$1099</f>
        <v>0.22277247654708704</v>
      </c>
      <c r="BA1111" s="20">
        <f>BA1110/$E$1099*2</f>
        <v>0.2099388009824053</v>
      </c>
      <c r="BB1111" s="20">
        <f>BB1110/$E$1099*2</f>
        <v>0.23560615211176875</v>
      </c>
      <c r="BC1111" s="372">
        <f>BC1110/$E$1099</f>
        <v>0.22277247654708704</v>
      </c>
      <c r="BD1111" s="20">
        <f>BD1110/$E$1099*2</f>
        <v>0.2099388009824053</v>
      </c>
      <c r="BE1111" s="20">
        <f>BE1110/$E$1099*2</f>
        <v>0.23560615211176875</v>
      </c>
      <c r="BF1111" s="372">
        <f>BF1110/$E$1099</f>
        <v>0.22277247654708704</v>
      </c>
      <c r="BG1111" s="20">
        <f>BG1110/$E$1099*2</f>
        <v>0.2099388009824053</v>
      </c>
      <c r="BH1111" s="20">
        <f>BH1110/$E$1099*2</f>
        <v>0.23560615211176875</v>
      </c>
      <c r="BI1111" s="372">
        <f>BI1110/$E$1099</f>
        <v>0.22277247654708704</v>
      </c>
      <c r="BJ1111" s="20">
        <f>BJ1110/$E$1099*2</f>
        <v>0.2099388009824053</v>
      </c>
      <c r="BK1111" s="20">
        <f>BK1110/$E$1099*2</f>
        <v>0.23560615211176875</v>
      </c>
      <c r="BL1111" s="372">
        <f>BL1110/$E$1099</f>
        <v>0.22277247654708704</v>
      </c>
      <c r="BM1111" s="20">
        <f>BM1110/$E$1099*2</f>
        <v>0.2099388009824053</v>
      </c>
      <c r="BN1111" s="20">
        <f>BN1110/$E$1099*2</f>
        <v>0.23560615211176875</v>
      </c>
      <c r="BO1111" s="372">
        <f>BO1110/$E$1099</f>
        <v>0.22277247654708704</v>
      </c>
      <c r="BP1111" s="20">
        <f>BP1110/$E$1099*2</f>
        <v>0.2099388009824053</v>
      </c>
      <c r="BQ1111" s="20">
        <f>BQ1110/$E$1099*2</f>
        <v>0.23560615211176875</v>
      </c>
      <c r="BR1111" s="372">
        <f>BR1110/$E$1099</f>
        <v>0.22277247654708704</v>
      </c>
    </row>
    <row r="1112" spans="2:70" outlineLevel="2">
      <c r="B1112" s="5"/>
      <c r="C1112" s="30" t="s">
        <v>57</v>
      </c>
      <c r="D1112" s="7" t="s">
        <v>85</v>
      </c>
      <c r="E1112" s="781"/>
      <c r="I1112" s="18">
        <f>I1110/I$261</f>
        <v>147.77441907303105</v>
      </c>
      <c r="J1112" s="18">
        <f t="shared" ref="J1112:Q1112" si="5371">J1110/J$261</f>
        <v>158.25954388078137</v>
      </c>
      <c r="K1112" s="18">
        <f t="shared" si="5371"/>
        <v>209.87628309728657</v>
      </c>
      <c r="L1112" s="18">
        <f>L1110/L$261</f>
        <v>246.01923697352569</v>
      </c>
      <c r="M1112" s="18">
        <f>M1110/M$261</f>
        <v>455.74382663891686</v>
      </c>
      <c r="N1112" s="18">
        <f t="shared" si="5371"/>
        <v>282.36068979761359</v>
      </c>
      <c r="O1112" s="18">
        <f>O1110/O$261</f>
        <v>299.37711975698704</v>
      </c>
      <c r="P1112" s="18">
        <f>P1110/P$261</f>
        <v>582.69133883111442</v>
      </c>
      <c r="Q1112" s="18">
        <f t="shared" si="5371"/>
        <v>258.73163297713387</v>
      </c>
      <c r="R1112" s="18">
        <f>R1110/R$261</f>
        <v>305.92943270610954</v>
      </c>
      <c r="S1112" s="18">
        <f>S1110/S$261</f>
        <v>563.81322730223906</v>
      </c>
      <c r="T1112" s="18">
        <f t="shared" ref="T1112:AL1112" si="5372">T1110/T$261</f>
        <v>286.71230487752837</v>
      </c>
      <c r="U1112" s="18">
        <f>U1110/U$261</f>
        <v>344.93596552764666</v>
      </c>
      <c r="V1112" s="18">
        <f>V1110/V$261</f>
        <v>630.38618569107257</v>
      </c>
      <c r="W1112" s="18">
        <f t="shared" si="5372"/>
        <v>292.49851281882604</v>
      </c>
      <c r="X1112" s="18">
        <f>X1110/X$261</f>
        <v>316.19091186206879</v>
      </c>
      <c r="Y1112" s="18">
        <f>Y1110/Y$261</f>
        <v>609.34682257973134</v>
      </c>
      <c r="Z1112" s="18">
        <f t="shared" si="5372"/>
        <v>298.21403294552312</v>
      </c>
      <c r="AA1112" s="18">
        <f>AA1110/AA$261</f>
        <v>340.43262065241925</v>
      </c>
      <c r="AB1112" s="18">
        <f>AB1110/AB$261</f>
        <v>638.33297709183159</v>
      </c>
      <c r="AC1112" s="18">
        <f t="shared" si="5372"/>
        <v>295.86736632740582</v>
      </c>
      <c r="AD1112" s="18">
        <f>AD1110/AD$261</f>
        <v>331.40723726377831</v>
      </c>
      <c r="AE1112" s="26">
        <f>AE1110/AE$261</f>
        <v>627.30909466933201</v>
      </c>
      <c r="AF1112" s="26">
        <f t="shared" si="5372"/>
        <v>295.86736632740582</v>
      </c>
      <c r="AG1112" s="933">
        <f>AG1110/AG$261</f>
        <v>331.40723726377831</v>
      </c>
      <c r="AH1112" s="18">
        <f>AH1110/AH$261</f>
        <v>627.3085232526571</v>
      </c>
      <c r="AI1112" s="18">
        <f t="shared" si="5372"/>
        <v>295.86736632740582</v>
      </c>
      <c r="AJ1112" s="18">
        <f>AJ1110/AJ$261</f>
        <v>331.40723726377831</v>
      </c>
      <c r="AK1112" s="18">
        <f>AK1110/AK$261</f>
        <v>627.3085232526571</v>
      </c>
      <c r="AL1112" s="18">
        <f t="shared" si="5372"/>
        <v>295.86736632740582</v>
      </c>
      <c r="AM1112" s="18">
        <f>AM1110/AM$261</f>
        <v>331.40723726377831</v>
      </c>
      <c r="AN1112" s="18">
        <f>AN1110/AN$261</f>
        <v>627.3085232526571</v>
      </c>
      <c r="AO1112" s="18">
        <f t="shared" ref="AO1112" si="5373">AO1110/AO$261</f>
        <v>295.86736632740582</v>
      </c>
      <c r="AP1112" s="18">
        <f>AP1110/AP$261</f>
        <v>331.40723726377831</v>
      </c>
      <c r="AQ1112" s="18">
        <f>AQ1110/AQ$261</f>
        <v>627.3085232526571</v>
      </c>
      <c r="AR1112" s="18">
        <f t="shared" ref="AR1112" si="5374">AR1110/AR$261</f>
        <v>295.86736632740582</v>
      </c>
      <c r="AS1112" s="18">
        <f>AS1110/AS$261</f>
        <v>331.40723726377831</v>
      </c>
      <c r="AT1112" s="18">
        <f>AT1110/AT$261</f>
        <v>627.3085232526571</v>
      </c>
      <c r="AU1112" s="18">
        <f t="shared" ref="AU1112" si="5375">AU1110/AU$261</f>
        <v>295.86736632740582</v>
      </c>
      <c r="AV1112" s="18">
        <f>AV1110/AV$261</f>
        <v>331.40723726377831</v>
      </c>
      <c r="AW1112" s="18">
        <f>AW1110/AW$261</f>
        <v>627.3085232526571</v>
      </c>
      <c r="AX1112" s="18">
        <f t="shared" ref="AX1112" si="5376">AX1110/AX$261</f>
        <v>295.86736632740582</v>
      </c>
      <c r="AY1112" s="18">
        <f>AY1110/AY$261</f>
        <v>331.40723726377831</v>
      </c>
      <c r="AZ1112" s="18">
        <f>AZ1110/AZ$261</f>
        <v>627.3085232526571</v>
      </c>
      <c r="BA1112" s="18">
        <f t="shared" ref="BA1112" si="5377">BA1110/BA$261</f>
        <v>295.86736632740582</v>
      </c>
      <c r="BB1112" s="18">
        <f>BB1110/BB$261</f>
        <v>331.40723726377831</v>
      </c>
      <c r="BC1112" s="18">
        <f>BC1110/BC$261</f>
        <v>627.3085232526571</v>
      </c>
      <c r="BD1112" s="18">
        <f t="shared" ref="BD1112" si="5378">BD1110/BD$261</f>
        <v>295.86736632740582</v>
      </c>
      <c r="BE1112" s="18">
        <f>BE1110/BE$261</f>
        <v>331.40723726377831</v>
      </c>
      <c r="BF1112" s="18">
        <f>BF1110/BF$261</f>
        <v>627.3085232526571</v>
      </c>
      <c r="BG1112" s="18">
        <f t="shared" ref="BG1112" si="5379">BG1110/BG$261</f>
        <v>295.86736632740582</v>
      </c>
      <c r="BH1112" s="18">
        <f>BH1110/BH$261</f>
        <v>331.40723726377831</v>
      </c>
      <c r="BI1112" s="18">
        <f>BI1110/BI$261</f>
        <v>627.3085232526571</v>
      </c>
      <c r="BJ1112" s="18">
        <f t="shared" ref="BJ1112" si="5380">BJ1110/BJ$261</f>
        <v>295.86736632740582</v>
      </c>
      <c r="BK1112" s="18">
        <f>BK1110/BK$261</f>
        <v>331.40723726377831</v>
      </c>
      <c r="BL1112" s="18">
        <f>BL1110/BL$261</f>
        <v>627.3085232526571</v>
      </c>
      <c r="BM1112" s="18">
        <f t="shared" ref="BM1112" si="5381">BM1110/BM$261</f>
        <v>295.86736632740582</v>
      </c>
      <c r="BN1112" s="18">
        <f>BN1110/BN$261</f>
        <v>331.40723726377831</v>
      </c>
      <c r="BO1112" s="18">
        <f>BO1110/BO$261</f>
        <v>627.3085232526571</v>
      </c>
      <c r="BP1112" s="18">
        <f t="shared" ref="BP1112" si="5382">BP1110/BP$261</f>
        <v>295.86736632740582</v>
      </c>
      <c r="BQ1112" s="18">
        <f>BQ1110/BQ$261</f>
        <v>331.40723726377831</v>
      </c>
      <c r="BR1112" s="18">
        <f>BR1110/BR$261</f>
        <v>627.3085232526571</v>
      </c>
    </row>
    <row r="1113" spans="2:70" outlineLevel="2">
      <c r="B1113" s="5"/>
      <c r="C1113" s="511" t="s">
        <v>267</v>
      </c>
      <c r="D1113" s="512" t="s">
        <v>85</v>
      </c>
      <c r="E1113" s="512"/>
      <c r="F1113" s="512"/>
      <c r="G1113" s="512"/>
      <c r="H1113" s="512"/>
      <c r="I1113" s="748">
        <f>(I1101-F1101)/I$259</f>
        <v>1286.1858270001578</v>
      </c>
      <c r="J1113" s="748">
        <f>SUM(H1113:I1113)</f>
        <v>1286.1858270001578</v>
      </c>
      <c r="K1113" s="748">
        <f>(K1101-H1101)/K$259</f>
        <v>1546.5649797334831</v>
      </c>
      <c r="L1113" s="748">
        <f>(L1101-I1101)/L$259</f>
        <v>243.22909509173516</v>
      </c>
      <c r="M1113" s="748">
        <f>SUM(K1113:L1113)</f>
        <v>1789.7940748252183</v>
      </c>
      <c r="N1113" s="748">
        <f>(N1101-K1101)/N$259</f>
        <v>0</v>
      </c>
      <c r="O1113" s="748">
        <f>(O1101-L1101)/O$259</f>
        <v>0</v>
      </c>
      <c r="P1113" s="748">
        <f>SUM(N1113:O1113)</f>
        <v>0</v>
      </c>
      <c r="Q1113" s="748">
        <f>(Q1101-N1101)/Q$259</f>
        <v>0</v>
      </c>
      <c r="R1113" s="748">
        <f>(R1101-O1101)/R$259</f>
        <v>0</v>
      </c>
      <c r="S1113" s="748">
        <f>SUM(Q1113:R1113)</f>
        <v>0</v>
      </c>
      <c r="T1113" s="748">
        <f t="shared" ref="T1113" si="5383">(T1101-Q1101)/T$259</f>
        <v>0</v>
      </c>
      <c r="U1113" s="748">
        <f t="shared" ref="U1113" si="5384">(U1101-R1101)/U$259</f>
        <v>0</v>
      </c>
      <c r="V1113" s="748">
        <f t="shared" ref="V1113:V1114" si="5385">SUM(T1113:U1113)</f>
        <v>0</v>
      </c>
      <c r="W1113" s="748">
        <f t="shared" ref="W1113" si="5386">(W1101-T1101)/W$259</f>
        <v>0</v>
      </c>
      <c r="X1113" s="748">
        <f t="shared" ref="X1113" si="5387">(X1101-U1101)/X$259</f>
        <v>0</v>
      </c>
      <c r="Y1113" s="748">
        <f t="shared" ref="Y1113:Y1114" si="5388">SUM(W1113:X1113)</f>
        <v>0</v>
      </c>
      <c r="Z1113" s="748">
        <f t="shared" ref="Z1113" si="5389">(Z1101-W1101)/Z$259</f>
        <v>0</v>
      </c>
      <c r="AA1113" s="748">
        <f t="shared" ref="AA1113" si="5390">(AA1101-X1101)/AA$259</f>
        <v>0</v>
      </c>
      <c r="AB1113" s="748">
        <f t="shared" ref="AB1113:AB1114" si="5391">SUM(Z1113:AA1113)</f>
        <v>0</v>
      </c>
      <c r="AC1113" s="748">
        <f t="shared" ref="AC1113" si="5392">(AC1101-Z1101)/AC$259</f>
        <v>0</v>
      </c>
      <c r="AD1113" s="748">
        <f t="shared" ref="AD1113" si="5393">(AD1101-AA1101)/AD$259</f>
        <v>0</v>
      </c>
      <c r="AE1113" s="748">
        <f t="shared" ref="AE1113:AE1114" si="5394">SUM(AC1113:AD1113)</f>
        <v>0</v>
      </c>
      <c r="AF1113" s="748">
        <f t="shared" ref="AF1113" si="5395">(AF1101-AC1101)/AF$259</f>
        <v>0</v>
      </c>
      <c r="AG1113" s="1033">
        <f t="shared" ref="AG1113" si="5396">(AG1101-AD1101)/AG$259</f>
        <v>0</v>
      </c>
      <c r="AH1113" s="748">
        <f t="shared" ref="AH1113:AH1114" si="5397">SUM(AF1113:AG1113)</f>
        <v>0</v>
      </c>
      <c r="AI1113" s="748">
        <f t="shared" ref="AI1113" si="5398">(AI1101-AF1101)/AI$259</f>
        <v>0</v>
      </c>
      <c r="AJ1113" s="748">
        <f t="shared" ref="AJ1113" si="5399">(AJ1101-AG1101)/AJ$259</f>
        <v>0</v>
      </c>
      <c r="AK1113" s="748">
        <f t="shared" ref="AK1113:AK1114" si="5400">SUM(AI1113:AJ1113)</f>
        <v>0</v>
      </c>
      <c r="AL1113" s="748">
        <f t="shared" ref="AL1113" si="5401">(AL1101-AI1101)/AL$259</f>
        <v>0</v>
      </c>
      <c r="AM1113" s="748">
        <f t="shared" ref="AM1113" si="5402">(AM1101-AJ1101)/AM$259</f>
        <v>0</v>
      </c>
      <c r="AN1113" s="748">
        <f t="shared" ref="AN1113:AN1114" si="5403">SUM(AL1113:AM1113)</f>
        <v>0</v>
      </c>
      <c r="AO1113" s="748">
        <f t="shared" ref="AO1113" si="5404">(AO1101-AL1101)/AO$259</f>
        <v>0</v>
      </c>
      <c r="AP1113" s="748">
        <f t="shared" ref="AP1113" si="5405">(AP1101-AM1101)/AP$259</f>
        <v>0</v>
      </c>
      <c r="AQ1113" s="748">
        <f t="shared" ref="AQ1113:AQ1114" si="5406">SUM(AO1113:AP1113)</f>
        <v>0</v>
      </c>
      <c r="AR1113" s="748">
        <f t="shared" ref="AR1113" si="5407">(AR1101-AO1101)/AR$259</f>
        <v>0</v>
      </c>
      <c r="AS1113" s="748">
        <f t="shared" ref="AS1113" si="5408">(AS1101-AP1101)/AS$259</f>
        <v>0</v>
      </c>
      <c r="AT1113" s="748">
        <f t="shared" ref="AT1113:AT1114" si="5409">SUM(AR1113:AS1113)</f>
        <v>0</v>
      </c>
      <c r="AU1113" s="748">
        <f t="shared" ref="AU1113" si="5410">(AU1101-AR1101)/AU$259</f>
        <v>0</v>
      </c>
      <c r="AV1113" s="748">
        <f t="shared" ref="AV1113" si="5411">(AV1101-AS1101)/AV$259</f>
        <v>0</v>
      </c>
      <c r="AW1113" s="748">
        <f t="shared" ref="AW1113:AW1114" si="5412">SUM(AU1113:AV1113)</f>
        <v>0</v>
      </c>
      <c r="AX1113" s="748">
        <f t="shared" ref="AX1113" si="5413">(AX1101-AU1101)/AX$259</f>
        <v>0</v>
      </c>
      <c r="AY1113" s="748">
        <f t="shared" ref="AY1113" si="5414">(AY1101-AV1101)/AY$259</f>
        <v>0</v>
      </c>
      <c r="AZ1113" s="748">
        <f t="shared" ref="AZ1113:AZ1114" si="5415">SUM(AX1113:AY1113)</f>
        <v>0</v>
      </c>
      <c r="BA1113" s="748">
        <f t="shared" ref="BA1113" si="5416">(BA1101-AX1101)/BA$259</f>
        <v>0</v>
      </c>
      <c r="BB1113" s="748">
        <f t="shared" ref="BB1113" si="5417">(BB1101-AY1101)/BB$259</f>
        <v>0</v>
      </c>
      <c r="BC1113" s="748">
        <f t="shared" ref="BC1113:BC1114" si="5418">SUM(BA1113:BB1113)</f>
        <v>0</v>
      </c>
      <c r="BD1113" s="748">
        <f t="shared" ref="BD1113" si="5419">(BD1101-BA1101)/BD$259</f>
        <v>0</v>
      </c>
      <c r="BE1113" s="748">
        <f t="shared" ref="BE1113" si="5420">(BE1101-BB1101)/BE$259</f>
        <v>0</v>
      </c>
      <c r="BF1113" s="748">
        <f t="shared" ref="BF1113:BF1114" si="5421">SUM(BD1113:BE1113)</f>
        <v>0</v>
      </c>
      <c r="BG1113" s="748">
        <f t="shared" ref="BG1113" si="5422">(BG1101-BD1101)/BG$259</f>
        <v>0</v>
      </c>
      <c r="BH1113" s="748">
        <f t="shared" ref="BH1113" si="5423">(BH1101-BE1101)/BH$259</f>
        <v>0</v>
      </c>
      <c r="BI1113" s="748">
        <f t="shared" ref="BI1113:BI1114" si="5424">SUM(BG1113:BH1113)</f>
        <v>0</v>
      </c>
      <c r="BJ1113" s="748">
        <f t="shared" ref="BJ1113" si="5425">(BJ1101-BG1101)/BJ$259</f>
        <v>0</v>
      </c>
      <c r="BK1113" s="748">
        <f t="shared" ref="BK1113" si="5426">(BK1101-BH1101)/BK$259</f>
        <v>0</v>
      </c>
      <c r="BL1113" s="748">
        <f t="shared" ref="BL1113:BL1114" si="5427">SUM(BJ1113:BK1113)</f>
        <v>0</v>
      </c>
      <c r="BM1113" s="748">
        <f t="shared" ref="BM1113" si="5428">(BM1101-BJ1101)/BM$259</f>
        <v>0</v>
      </c>
      <c r="BN1113" s="748">
        <f t="shared" ref="BN1113" si="5429">(BN1101-BK1101)/BN$259</f>
        <v>0</v>
      </c>
      <c r="BO1113" s="748">
        <f t="shared" ref="BO1113:BO1114" si="5430">SUM(BM1113:BN1113)</f>
        <v>0</v>
      </c>
      <c r="BP1113" s="748">
        <f t="shared" ref="BP1113" si="5431">(BP1101-BM1101)/BP$259</f>
        <v>0</v>
      </c>
      <c r="BQ1113" s="748">
        <f t="shared" ref="BQ1113" si="5432">(BQ1101-BN1101)/BQ$259</f>
        <v>0</v>
      </c>
      <c r="BR1113" s="787">
        <f t="shared" ref="BR1113:BR1114" si="5433">SUM(BP1113:BQ1113)</f>
        <v>0</v>
      </c>
    </row>
    <row r="1114" spans="2:70" outlineLevel="2">
      <c r="B1114" s="5"/>
      <c r="C1114" s="516" t="s">
        <v>268</v>
      </c>
      <c r="D1114" s="401" t="s">
        <v>85</v>
      </c>
      <c r="E1114" s="401"/>
      <c r="F1114" s="401"/>
      <c r="G1114" s="401"/>
      <c r="H1114" s="401"/>
      <c r="I1114" s="360">
        <f>(I1104-F1104)/I$259</f>
        <v>-38.585574810004729</v>
      </c>
      <c r="J1114" s="360">
        <f>SUM(H1114:I1114)</f>
        <v>-38.585574810004729</v>
      </c>
      <c r="K1114" s="360">
        <f>(K1104-H1104)/K$259</f>
        <v>-46.396949392004494</v>
      </c>
      <c r="L1114" s="360">
        <f>(L1104-I1104)/L$259</f>
        <v>-7.2968728527520579</v>
      </c>
      <c r="M1114" s="360">
        <f>SUM(K1114:L1114)</f>
        <v>-53.693822244756554</v>
      </c>
      <c r="N1114" s="360">
        <f>(N1104-K1104)/N$259</f>
        <v>0</v>
      </c>
      <c r="O1114" s="360">
        <f>(O1104-L1104)/O$259</f>
        <v>0</v>
      </c>
      <c r="P1114" s="360">
        <f>SUM(N1114:O1114)</f>
        <v>0</v>
      </c>
      <c r="Q1114" s="360">
        <f>(Q1104-N1104)/Q$259</f>
        <v>0</v>
      </c>
      <c r="R1114" s="360">
        <f>(R1104-O1104)/R$259</f>
        <v>0</v>
      </c>
      <c r="S1114" s="360">
        <f>SUM(Q1114:R1114)</f>
        <v>0</v>
      </c>
      <c r="T1114" s="360">
        <f t="shared" ref="T1114" si="5434">(T1104-Q1104)/T$259</f>
        <v>0</v>
      </c>
      <c r="U1114" s="360">
        <f t="shared" ref="U1114" si="5435">(U1104-R1104)/U$259</f>
        <v>0</v>
      </c>
      <c r="V1114" s="360">
        <f t="shared" si="5385"/>
        <v>0</v>
      </c>
      <c r="W1114" s="360">
        <f t="shared" ref="W1114" si="5436">(W1104-T1104)/W$259</f>
        <v>0</v>
      </c>
      <c r="X1114" s="360">
        <f t="shared" ref="X1114" si="5437">(X1104-U1104)/X$259</f>
        <v>0</v>
      </c>
      <c r="Y1114" s="360">
        <f t="shared" si="5388"/>
        <v>0</v>
      </c>
      <c r="Z1114" s="360">
        <f t="shared" ref="Z1114" si="5438">(Z1104-W1104)/Z$259</f>
        <v>0</v>
      </c>
      <c r="AA1114" s="360">
        <f t="shared" ref="AA1114" si="5439">(AA1104-X1104)/AA$259</f>
        <v>0</v>
      </c>
      <c r="AB1114" s="360">
        <f t="shared" si="5391"/>
        <v>0</v>
      </c>
      <c r="AC1114" s="360">
        <f t="shared" ref="AC1114" si="5440">(AC1104-Z1104)/AC$259</f>
        <v>0</v>
      </c>
      <c r="AD1114" s="360">
        <f t="shared" ref="AD1114" si="5441">(AD1104-AA1104)/AD$259</f>
        <v>0</v>
      </c>
      <c r="AE1114" s="360">
        <f t="shared" si="5394"/>
        <v>0</v>
      </c>
      <c r="AF1114" s="360">
        <f t="shared" ref="AF1114" si="5442">(AF1104-AC1104)/AF$259</f>
        <v>0</v>
      </c>
      <c r="AG1114" s="942">
        <f t="shared" ref="AG1114" si="5443">(AG1104-AD1104)/AG$259</f>
        <v>0</v>
      </c>
      <c r="AH1114" s="360">
        <f t="shared" si="5397"/>
        <v>0</v>
      </c>
      <c r="AI1114" s="360">
        <f t="shared" ref="AI1114" si="5444">(AI1104-AF1104)/AI$259</f>
        <v>0</v>
      </c>
      <c r="AJ1114" s="360">
        <f t="shared" ref="AJ1114" si="5445">(AJ1104-AG1104)/AJ$259</f>
        <v>0</v>
      </c>
      <c r="AK1114" s="360">
        <f t="shared" si="5400"/>
        <v>0</v>
      </c>
      <c r="AL1114" s="360">
        <f t="shared" ref="AL1114" si="5446">(AL1104-AI1104)/AL$259</f>
        <v>0</v>
      </c>
      <c r="AM1114" s="360">
        <f t="shared" ref="AM1114" si="5447">(AM1104-AJ1104)/AM$259</f>
        <v>0</v>
      </c>
      <c r="AN1114" s="360">
        <f t="shared" si="5403"/>
        <v>0</v>
      </c>
      <c r="AO1114" s="360">
        <f t="shared" ref="AO1114" si="5448">(AO1104-AL1104)/AO$259</f>
        <v>0</v>
      </c>
      <c r="AP1114" s="360">
        <f t="shared" ref="AP1114" si="5449">(AP1104-AM1104)/AP$259</f>
        <v>0</v>
      </c>
      <c r="AQ1114" s="360">
        <f t="shared" si="5406"/>
        <v>0</v>
      </c>
      <c r="AR1114" s="360">
        <f t="shared" ref="AR1114" si="5450">(AR1104-AO1104)/AR$259</f>
        <v>0</v>
      </c>
      <c r="AS1114" s="360">
        <f t="shared" ref="AS1114" si="5451">(AS1104-AP1104)/AS$259</f>
        <v>0</v>
      </c>
      <c r="AT1114" s="360">
        <f t="shared" si="5409"/>
        <v>0</v>
      </c>
      <c r="AU1114" s="360">
        <f t="shared" ref="AU1114" si="5452">(AU1104-AR1104)/AU$259</f>
        <v>0</v>
      </c>
      <c r="AV1114" s="360">
        <f t="shared" ref="AV1114" si="5453">(AV1104-AS1104)/AV$259</f>
        <v>0</v>
      </c>
      <c r="AW1114" s="360">
        <f t="shared" si="5412"/>
        <v>0</v>
      </c>
      <c r="AX1114" s="360">
        <f t="shared" ref="AX1114" si="5454">(AX1104-AU1104)/AX$259</f>
        <v>0</v>
      </c>
      <c r="AY1114" s="360">
        <f t="shared" ref="AY1114" si="5455">(AY1104-AV1104)/AY$259</f>
        <v>0</v>
      </c>
      <c r="AZ1114" s="360">
        <f t="shared" si="5415"/>
        <v>0</v>
      </c>
      <c r="BA1114" s="360">
        <f t="shared" ref="BA1114" si="5456">(BA1104-AX1104)/BA$259</f>
        <v>0</v>
      </c>
      <c r="BB1114" s="360">
        <f t="shared" ref="BB1114" si="5457">(BB1104-AY1104)/BB$259</f>
        <v>0</v>
      </c>
      <c r="BC1114" s="360">
        <f t="shared" si="5418"/>
        <v>0</v>
      </c>
      <c r="BD1114" s="360">
        <f t="shared" ref="BD1114" si="5458">(BD1104-BA1104)/BD$259</f>
        <v>0</v>
      </c>
      <c r="BE1114" s="360">
        <f t="shared" ref="BE1114" si="5459">(BE1104-BB1104)/BE$259</f>
        <v>0</v>
      </c>
      <c r="BF1114" s="360">
        <f t="shared" si="5421"/>
        <v>0</v>
      </c>
      <c r="BG1114" s="360">
        <f t="shared" ref="BG1114" si="5460">(BG1104-BD1104)/BG$259</f>
        <v>0</v>
      </c>
      <c r="BH1114" s="360">
        <f t="shared" ref="BH1114" si="5461">(BH1104-BE1104)/BH$259</f>
        <v>0</v>
      </c>
      <c r="BI1114" s="360">
        <f t="shared" si="5424"/>
        <v>0</v>
      </c>
      <c r="BJ1114" s="360">
        <f t="shared" ref="BJ1114" si="5462">(BJ1104-BG1104)/BJ$259</f>
        <v>0</v>
      </c>
      <c r="BK1114" s="360">
        <f t="shared" ref="BK1114" si="5463">(BK1104-BH1104)/BK$259</f>
        <v>0</v>
      </c>
      <c r="BL1114" s="360">
        <f t="shared" si="5427"/>
        <v>0</v>
      </c>
      <c r="BM1114" s="360">
        <f t="shared" ref="BM1114" si="5464">(BM1104-BJ1104)/BM$259</f>
        <v>0</v>
      </c>
      <c r="BN1114" s="360">
        <f t="shared" ref="BN1114" si="5465">(BN1104-BK1104)/BN$259</f>
        <v>0</v>
      </c>
      <c r="BO1114" s="360">
        <f t="shared" si="5430"/>
        <v>0</v>
      </c>
      <c r="BP1114" s="360">
        <f t="shared" ref="BP1114" si="5466">(BP1104-BM1104)/BP$259</f>
        <v>0</v>
      </c>
      <c r="BQ1114" s="360">
        <f t="shared" ref="BQ1114" si="5467">(BQ1104-BN1104)/BQ$259</f>
        <v>0</v>
      </c>
      <c r="BR1114" s="788">
        <f t="shared" si="5433"/>
        <v>0</v>
      </c>
    </row>
    <row r="1115" spans="2:70" outlineLevel="2">
      <c r="B1115" s="5"/>
      <c r="C1115" s="518" t="s">
        <v>269</v>
      </c>
      <c r="D1115" s="519" t="s">
        <v>85</v>
      </c>
      <c r="E1115" s="519"/>
      <c r="F1115" s="519"/>
      <c r="G1115" s="519"/>
      <c r="H1115" s="519"/>
      <c r="I1115" s="749">
        <f>(I1110-F1110)/I$259</f>
        <v>81.236997691014281</v>
      </c>
      <c r="J1115" s="749">
        <f>SUM(H1115:I1115)</f>
        <v>81.236997691014281</v>
      </c>
      <c r="K1115" s="749">
        <f>(K1110-H1110)/K$259</f>
        <v>116.54339734892633</v>
      </c>
      <c r="L1115" s="749">
        <f>(L1110-I1110)/L$259</f>
        <v>50.957135192174299</v>
      </c>
      <c r="M1115" s="749">
        <f>SUM(K1115:L1115)</f>
        <v>167.50053254110063</v>
      </c>
      <c r="N1115" s="749">
        <f>(N1110-K1110)/N$259</f>
        <v>36.228976658421935</v>
      </c>
      <c r="O1115" s="749">
        <f>(O1110-L1110)/O$259</f>
        <v>38.534092000441071</v>
      </c>
      <c r="P1115" s="749">
        <f>SUM(N1115:O1115)</f>
        <v>74.763068658863006</v>
      </c>
      <c r="Q1115" s="749">
        <f>(Q1110-N1110)/Q$259</f>
        <v>0</v>
      </c>
      <c r="R1115" s="749">
        <f>(R1110-O1110)/R$259</f>
        <v>0</v>
      </c>
      <c r="S1115" s="749">
        <f>SUM(Q1115:R1115)</f>
        <v>0</v>
      </c>
      <c r="T1115" s="749">
        <f t="shared" ref="T1115" si="5468">(T1110-Q1110)/T$259</f>
        <v>0</v>
      </c>
      <c r="U1115" s="749">
        <f>(U1110-R1110)/U$259</f>
        <v>0</v>
      </c>
      <c r="V1115" s="749">
        <f>SUM(T1115:U1115)</f>
        <v>0</v>
      </c>
      <c r="W1115" s="749">
        <f t="shared" ref="W1115" si="5469">(W1110-T1110)/W$259</f>
        <v>0</v>
      </c>
      <c r="X1115" s="749">
        <f>(X1110-U1110)/X$259</f>
        <v>0</v>
      </c>
      <c r="Y1115" s="749">
        <f>SUM(W1115:X1115)</f>
        <v>0</v>
      </c>
      <c r="Z1115" s="749">
        <f t="shared" ref="Z1115" si="5470">(Z1110-W1110)/Z$259</f>
        <v>0</v>
      </c>
      <c r="AA1115" s="749">
        <f>(AA1110-X1110)/AA$259</f>
        <v>0</v>
      </c>
      <c r="AB1115" s="749">
        <f>SUM(Z1115:AA1115)</f>
        <v>0</v>
      </c>
      <c r="AC1115" s="749">
        <f t="shared" ref="AC1115" si="5471">(AC1110-Z1110)/AC$259</f>
        <v>0</v>
      </c>
      <c r="AD1115" s="749">
        <f>(AD1110-AA1110)/AD$259</f>
        <v>0</v>
      </c>
      <c r="AE1115" s="749">
        <f>SUM(AC1115:AD1115)</f>
        <v>0</v>
      </c>
      <c r="AF1115" s="749">
        <f t="shared" ref="AF1115" si="5472">(AF1110-AC1110)/AF$259</f>
        <v>0</v>
      </c>
      <c r="AG1115" s="1034">
        <f>(AG1110-AD1110)/AG$259</f>
        <v>0</v>
      </c>
      <c r="AH1115" s="749">
        <f>SUM(AF1115:AG1115)</f>
        <v>0</v>
      </c>
      <c r="AI1115" s="749">
        <f t="shared" ref="AI1115" si="5473">(AI1110-AF1110)/AI$259</f>
        <v>0</v>
      </c>
      <c r="AJ1115" s="749">
        <f>(AJ1110-AG1110)/AJ$259</f>
        <v>0</v>
      </c>
      <c r="AK1115" s="749">
        <f>SUM(AI1115:AJ1115)</f>
        <v>0</v>
      </c>
      <c r="AL1115" s="749">
        <f t="shared" ref="AL1115" si="5474">(AL1110-AI1110)/AL$259</f>
        <v>0</v>
      </c>
      <c r="AM1115" s="749">
        <f>(AM1110-AJ1110)/AM$259</f>
        <v>0</v>
      </c>
      <c r="AN1115" s="749">
        <f>SUM(AL1115:AM1115)</f>
        <v>0</v>
      </c>
      <c r="AO1115" s="749">
        <f t="shared" ref="AO1115" si="5475">(AO1110-AL1110)/AO$259</f>
        <v>0</v>
      </c>
      <c r="AP1115" s="749">
        <f>(AP1110-AM1110)/AP$259</f>
        <v>0</v>
      </c>
      <c r="AQ1115" s="749">
        <f>SUM(AO1115:AP1115)</f>
        <v>0</v>
      </c>
      <c r="AR1115" s="749">
        <f t="shared" ref="AR1115" si="5476">(AR1110-AO1110)/AR$259</f>
        <v>0</v>
      </c>
      <c r="AS1115" s="749">
        <f>(AS1110-AP1110)/AS$259</f>
        <v>0</v>
      </c>
      <c r="AT1115" s="749">
        <f>SUM(AR1115:AS1115)</f>
        <v>0</v>
      </c>
      <c r="AU1115" s="749">
        <f t="shared" ref="AU1115" si="5477">(AU1110-AR1110)/AU$259</f>
        <v>0</v>
      </c>
      <c r="AV1115" s="749">
        <f>(AV1110-AS1110)/AV$259</f>
        <v>0</v>
      </c>
      <c r="AW1115" s="749">
        <f>SUM(AU1115:AV1115)</f>
        <v>0</v>
      </c>
      <c r="AX1115" s="749">
        <f t="shared" ref="AX1115" si="5478">(AX1110-AU1110)/AX$259</f>
        <v>0</v>
      </c>
      <c r="AY1115" s="749">
        <f>(AY1110-AV1110)/AY$259</f>
        <v>0</v>
      </c>
      <c r="AZ1115" s="749">
        <f>SUM(AX1115:AY1115)</f>
        <v>0</v>
      </c>
      <c r="BA1115" s="749">
        <f t="shared" ref="BA1115" si="5479">(BA1110-AX1110)/BA$259</f>
        <v>0</v>
      </c>
      <c r="BB1115" s="749">
        <f>(BB1110-AY1110)/BB$259</f>
        <v>0</v>
      </c>
      <c r="BC1115" s="749">
        <f>SUM(BA1115:BB1115)</f>
        <v>0</v>
      </c>
      <c r="BD1115" s="749">
        <f t="shared" ref="BD1115" si="5480">(BD1110-BA1110)/BD$259</f>
        <v>0</v>
      </c>
      <c r="BE1115" s="749">
        <f>(BE1110-BB1110)/BE$259</f>
        <v>0</v>
      </c>
      <c r="BF1115" s="749">
        <f>SUM(BD1115:BE1115)</f>
        <v>0</v>
      </c>
      <c r="BG1115" s="749">
        <f t="shared" ref="BG1115" si="5481">(BG1110-BD1110)/BG$259</f>
        <v>0</v>
      </c>
      <c r="BH1115" s="749">
        <f>(BH1110-BE1110)/BH$259</f>
        <v>0</v>
      </c>
      <c r="BI1115" s="749">
        <f>SUM(BG1115:BH1115)</f>
        <v>0</v>
      </c>
      <c r="BJ1115" s="749">
        <f t="shared" ref="BJ1115" si="5482">(BJ1110-BG1110)/BJ$259</f>
        <v>0</v>
      </c>
      <c r="BK1115" s="749">
        <f>(BK1110-BH1110)/BK$259</f>
        <v>0</v>
      </c>
      <c r="BL1115" s="749">
        <f>SUM(BJ1115:BK1115)</f>
        <v>0</v>
      </c>
      <c r="BM1115" s="749">
        <f t="shared" ref="BM1115" si="5483">(BM1110-BJ1110)/BM$259</f>
        <v>0</v>
      </c>
      <c r="BN1115" s="749">
        <f>(BN1110-BK1110)/BN$259</f>
        <v>0</v>
      </c>
      <c r="BO1115" s="749">
        <f>SUM(BM1115:BN1115)</f>
        <v>0</v>
      </c>
      <c r="BP1115" s="749">
        <f t="shared" ref="BP1115" si="5484">(BP1110-BM1110)/BP$259</f>
        <v>0</v>
      </c>
      <c r="BQ1115" s="749">
        <f>(BQ1110-BN1110)/BQ$259</f>
        <v>0</v>
      </c>
      <c r="BR1115" s="789">
        <f>SUM(BP1115:BQ1115)</f>
        <v>0</v>
      </c>
    </row>
    <row r="1116" spans="2:70" outlineLevel="2">
      <c r="B1116" s="5"/>
      <c r="C1116" s="30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30"/>
      <c r="U1116" s="30"/>
      <c r="V1116" s="30"/>
      <c r="W1116" s="30"/>
      <c r="X1116" s="30"/>
      <c r="Y1116" s="30"/>
      <c r="Z1116" s="30"/>
      <c r="AA1116" s="30"/>
      <c r="AB1116" s="30"/>
      <c r="AC1116" s="30"/>
      <c r="AD1116" s="30"/>
      <c r="AE1116" s="168"/>
      <c r="AF1116" s="176"/>
      <c r="AG1116" s="1037"/>
      <c r="AH1116" s="347"/>
      <c r="AI1116" s="178"/>
      <c r="AJ1116" s="178"/>
      <c r="AK1116" s="347"/>
      <c r="AL1116" s="178"/>
      <c r="AM1116" s="178"/>
      <c r="AN1116" s="347"/>
    </row>
    <row r="1117" spans="2:70" outlineLevel="1">
      <c r="C1117" s="539" t="s">
        <v>662</v>
      </c>
      <c r="D1117" s="31"/>
      <c r="E1117" s="31"/>
      <c r="F1117" s="31"/>
      <c r="G1117" s="31"/>
      <c r="H1117" s="31"/>
      <c r="I1117" s="31"/>
      <c r="J1117" s="31"/>
      <c r="K1117" s="31"/>
      <c r="L1117" s="31"/>
      <c r="M1117" s="31"/>
      <c r="N1117" s="31"/>
      <c r="O1117" s="31"/>
      <c r="AF1117" s="360"/>
      <c r="AG1117" s="942"/>
      <c r="AH1117" s="24"/>
      <c r="AI1117" s="24"/>
      <c r="AJ1117" s="24"/>
      <c r="AK1117" s="24"/>
      <c r="AL1117" s="24"/>
      <c r="AM1117" s="24"/>
      <c r="AN1117" s="24"/>
    </row>
    <row r="1118" spans="2:70" outlineLevel="1">
      <c r="C1118" s="95" t="s">
        <v>597</v>
      </c>
      <c r="D1118" s="31"/>
      <c r="E1118" s="31"/>
      <c r="F1118" s="31"/>
      <c r="G1118" s="31"/>
      <c r="H1118" s="31"/>
      <c r="I1118" s="31"/>
      <c r="J1118" s="31"/>
      <c r="K1118" s="31"/>
      <c r="L1118" s="31"/>
      <c r="M1118" s="31"/>
      <c r="N1118" s="31"/>
      <c r="O1118" s="31"/>
      <c r="AF1118" s="360"/>
      <c r="AG1118" s="942"/>
      <c r="AH1118" s="24"/>
      <c r="AI1118" s="24"/>
      <c r="AJ1118" s="24"/>
      <c r="AK1118" s="24"/>
      <c r="AL1118" s="24"/>
      <c r="AM1118" s="24"/>
      <c r="AN1118" s="24"/>
    </row>
    <row r="1119" spans="2:70" outlineLevel="1">
      <c r="C1119" s="108" t="s">
        <v>55</v>
      </c>
      <c r="D1119" s="31"/>
      <c r="E1119" s="31"/>
      <c r="F1119" s="31"/>
      <c r="G1119" s="31"/>
      <c r="H1119" s="31"/>
      <c r="I1119" s="31"/>
      <c r="J1119" s="31"/>
      <c r="K1119" s="31"/>
      <c r="L1119" s="31"/>
      <c r="M1119" s="31"/>
      <c r="N1119" s="31"/>
      <c r="O1119" s="31"/>
      <c r="AF1119" s="360"/>
      <c r="AG1119" s="942"/>
      <c r="AH1119" s="24"/>
      <c r="AI1119" s="24"/>
      <c r="AJ1119" s="24"/>
      <c r="AK1119" s="24"/>
      <c r="AL1119" s="24"/>
      <c r="AM1119" s="24"/>
      <c r="AN1119" s="24"/>
    </row>
    <row r="1120" spans="2:70" outlineLevel="1">
      <c r="C1120" s="383" t="s">
        <v>607</v>
      </c>
      <c r="D1120" s="31"/>
      <c r="E1120" s="31"/>
      <c r="F1120" s="31"/>
      <c r="G1120" s="31"/>
      <c r="H1120" s="31"/>
      <c r="I1120" s="31"/>
      <c r="J1120" s="31"/>
      <c r="K1120" s="31"/>
      <c r="L1120" s="31"/>
      <c r="M1120" s="31"/>
      <c r="N1120" s="31"/>
      <c r="O1120" s="31"/>
      <c r="AC1120" s="17">
        <f t="shared" ref="AC1120:AM1120" si="5485">+AC636/(AC669-AC668)</f>
        <v>0.46968103750438134</v>
      </c>
      <c r="AD1120" s="17">
        <f t="shared" si="5485"/>
        <v>0.48449744463373084</v>
      </c>
      <c r="AE1120" s="343">
        <f t="shared" si="5485"/>
        <v>0.47719419488597098</v>
      </c>
      <c r="AF1120" s="343">
        <f>+AF636/(AF669-AF668)</f>
        <v>0.49236522281084444</v>
      </c>
      <c r="AG1120" s="960">
        <f t="shared" si="5485"/>
        <v>0.51393100938760372</v>
      </c>
      <c r="AH1120" s="17">
        <f>+AH636/(AH669-AH668)</f>
        <v>0.50338565368161314</v>
      </c>
      <c r="AI1120" s="17">
        <f>+AI636/(AI669-AI668)</f>
        <v>0.49572539094115509</v>
      </c>
      <c r="AJ1120" s="17">
        <f t="shared" si="5485"/>
        <v>0.52368603841203754</v>
      </c>
      <c r="AK1120" s="17">
        <f>+AK636/(AK669-AK668)</f>
        <v>0.50983562315520203</v>
      </c>
      <c r="AL1120" s="17">
        <f>+AL636/(AL669-AL668)</f>
        <v>0.51036243530679604</v>
      </c>
      <c r="AM1120" s="17">
        <f t="shared" si="5485"/>
        <v>0.52627289701391899</v>
      </c>
      <c r="AN1120" s="17">
        <f>+AN636/(AN669-AN668)</f>
        <v>0.51848719893614736</v>
      </c>
      <c r="AO1120" s="17">
        <f>+AO636/(AO669-AO668)</f>
        <v>0.51016317963814017</v>
      </c>
      <c r="AP1120" s="17">
        <f t="shared" ref="AP1120" si="5486">+AP636/(AP669-AP668)</f>
        <v>0.52603757886528457</v>
      </c>
      <c r="AQ1120" s="17">
        <f>+AQ636/(AQ669-AQ668)</f>
        <v>0.5182623262496614</v>
      </c>
      <c r="AR1120" s="17">
        <f>+AR636/(AR669-AR668)</f>
        <v>0.50940452996296226</v>
      </c>
      <c r="AS1120" s="17">
        <f t="shared" ref="AS1120" si="5487">+AS636/(AS669-AS668)</f>
        <v>0.52496264280384441</v>
      </c>
      <c r="AT1120" s="17">
        <f>+AT636/(AT669-AT668)</f>
        <v>0.51734413284236069</v>
      </c>
      <c r="AU1120" s="17">
        <f>+AU636/(AU669-AU668)</f>
        <v>0.50852985820325336</v>
      </c>
      <c r="AV1120" s="17">
        <f t="shared" ref="AV1120" si="5488">+AV636/(AV669-AV668)</f>
        <v>0.52377587792877534</v>
      </c>
      <c r="AW1120" s="17">
        <f>+AW636/(AW669-AW668)</f>
        <v>0.51631193260453745</v>
      </c>
      <c r="AX1120" s="17">
        <f>+AX636/(AX669-AX668)</f>
        <v>0.50753982192653169</v>
      </c>
      <c r="AY1120" s="17">
        <f t="shared" ref="AY1120" si="5489">+AY636/(AY669-AY668)</f>
        <v>0.52247801117046411</v>
      </c>
      <c r="AZ1120" s="17">
        <f>+AZ636/(AZ669-AZ668)</f>
        <v>0.51516642378892186</v>
      </c>
      <c r="BA1120" s="17">
        <f>+BA636/(BA669-BA668)</f>
        <v>0.50643514908978826</v>
      </c>
      <c r="BB1120" s="17">
        <f t="shared" ref="BB1120" si="5490">+BB636/(BB669-BB668)</f>
        <v>0.52106983029096177</v>
      </c>
      <c r="BC1120" s="17">
        <f>+BC636/(BC669-BC668)</f>
        <v>0.51390837006158085</v>
      </c>
      <c r="BD1120" s="17">
        <f>+BD636/(BD669-BD668)</f>
        <v>0.50521663768770486</v>
      </c>
      <c r="BE1120" s="17">
        <f t="shared" ref="BE1120" si="5491">+BE636/(BE669-BE668)</f>
        <v>0.51955218385244661</v>
      </c>
      <c r="BF1120" s="17">
        <f>+BF636/(BF669-BF668)</f>
        <v>0.51253860030567688</v>
      </c>
      <c r="BG1120" s="17">
        <f>+BG636/(BG669-BG668)</f>
        <v>0.50388515537839573</v>
      </c>
      <c r="BH1120" s="17">
        <f t="shared" ref="BH1120" si="5492">+BH636/(BH669-BH668)</f>
        <v>0.51792598117360611</v>
      </c>
      <c r="BI1120" s="17">
        <f>+BI636/(BI669-BI668)</f>
        <v>0.5110580084090085</v>
      </c>
      <c r="BJ1120" s="17">
        <f>+BJ636/(BJ669-BJ668)</f>
        <v>0.50244163908326944</v>
      </c>
      <c r="BK1120" s="17">
        <f t="shared" ref="BK1120" si="5493">+BK636/(BK669-BK668)</f>
        <v>0.51619219226916091</v>
      </c>
      <c r="BL1120" s="17">
        <f>+BL636/(BL669-BL668)</f>
        <v>0.50946755303118962</v>
      </c>
      <c r="BM1120" s="17">
        <f>+BM636/(BM669-BM668)</f>
        <v>0.50088709455736469</v>
      </c>
      <c r="BN1120" s="17">
        <f t="shared" ref="BN1120" si="5494">+BN636/(BN669-BN668)</f>
        <v>0.51435184776754717</v>
      </c>
      <c r="BO1120" s="17">
        <f>+BO636/(BO669-BO668)</f>
        <v>0.50776825734609876</v>
      </c>
      <c r="BP1120" s="17">
        <f>+BP636/(BP669-BP668)</f>
        <v>0.49922259592630119</v>
      </c>
      <c r="BQ1120" s="17">
        <f t="shared" ref="BQ1120" si="5495">+BQ636/(BQ669-BQ668)</f>
        <v>0.51240603880160662</v>
      </c>
      <c r="BR1120" s="17">
        <f>+BR636/(BR669-BR668)</f>
        <v>0.50596120875503592</v>
      </c>
    </row>
    <row r="1121" spans="3:70" outlineLevel="1">
      <c r="C1121" s="477" t="s">
        <v>599</v>
      </c>
      <c r="D1121" s="31"/>
      <c r="E1121" s="31"/>
      <c r="F1121" s="31"/>
      <c r="G1121" s="31"/>
      <c r="H1121" s="31"/>
      <c r="I1121" s="31"/>
      <c r="J1121" s="31"/>
      <c r="K1121" s="31"/>
      <c r="L1121" s="31"/>
      <c r="M1121" s="31"/>
      <c r="N1121" s="31"/>
      <c r="O1121" s="31"/>
      <c r="AC1121" s="51">
        <f t="shared" ref="AC1121:BR1121" si="5496">+AC279</f>
        <v>0.2</v>
      </c>
      <c r="AD1121" s="51">
        <f t="shared" si="5496"/>
        <v>0.2</v>
      </c>
      <c r="AE1121" s="334">
        <f t="shared" si="5496"/>
        <v>0.2</v>
      </c>
      <c r="AF1121" s="334">
        <f t="shared" si="5496"/>
        <v>0.20453768478117698</v>
      </c>
      <c r="AG1121" s="980">
        <f t="shared" si="5496"/>
        <v>0.20257625251684702</v>
      </c>
      <c r="AH1121" s="51">
        <f t="shared" si="5496"/>
        <v>0.20360759155120989</v>
      </c>
      <c r="AI1121" s="51">
        <f t="shared" si="5496"/>
        <v>0.21061648118451734</v>
      </c>
      <c r="AJ1121" s="51">
        <f t="shared" si="5496"/>
        <v>0.20201363417912407</v>
      </c>
      <c r="AK1121" s="51">
        <f t="shared" si="5496"/>
        <v>0.20637809465059415</v>
      </c>
      <c r="AL1121" s="51">
        <f t="shared" si="5496"/>
        <v>0.21219523353333325</v>
      </c>
      <c r="AM1121" s="51">
        <f t="shared" si="5496"/>
        <v>0.20640780172197648</v>
      </c>
      <c r="AN1121" s="51">
        <f t="shared" si="5496"/>
        <v>0.20938773959800158</v>
      </c>
      <c r="AO1121" s="51">
        <f t="shared" si="5496"/>
        <v>0.21497352808315978</v>
      </c>
      <c r="AP1121" s="51">
        <f t="shared" si="5496"/>
        <v>0.20866740754387128</v>
      </c>
      <c r="AQ1121" s="51">
        <f t="shared" si="5496"/>
        <v>0.21190559885642798</v>
      </c>
      <c r="AR1121" s="51">
        <f t="shared" si="5496"/>
        <v>0.21730122890084116</v>
      </c>
      <c r="AS1121" s="51">
        <f t="shared" si="5496"/>
        <v>0.2109451746854889</v>
      </c>
      <c r="AT1121" s="51">
        <f t="shared" si="5496"/>
        <v>0.21420915229286616</v>
      </c>
      <c r="AU1121" s="51">
        <f t="shared" si="5496"/>
        <v>0.21964708174036535</v>
      </c>
      <c r="AV1121" s="51">
        <f t="shared" si="5496"/>
        <v>0.2132411054111428</v>
      </c>
      <c r="AW1121" s="51">
        <f t="shared" si="5496"/>
        <v>0.21653086679133368</v>
      </c>
      <c r="AX1121" s="51">
        <f t="shared" si="5496"/>
        <v>0.22201107576771245</v>
      </c>
      <c r="AY1121" s="51">
        <f t="shared" si="5496"/>
        <v>0.2155551985655762</v>
      </c>
      <c r="AZ1121" s="51">
        <f t="shared" si="5496"/>
        <v>0.21887073625077808</v>
      </c>
      <c r="BA1121" s="51">
        <f t="shared" si="5496"/>
        <v>0.22439319652992201</v>
      </c>
      <c r="BB1121" s="51">
        <f t="shared" si="5496"/>
        <v>0.21788744951979699</v>
      </c>
      <c r="BC1121" s="51">
        <f t="shared" si="5496"/>
        <v>0.22122875102066841</v>
      </c>
      <c r="BD1121" s="51">
        <f t="shared" si="5496"/>
        <v>0.2267934259037872</v>
      </c>
      <c r="BE1121" s="51">
        <f t="shared" si="5496"/>
        <v>0.22023785011760266</v>
      </c>
      <c r="BF1121" s="51">
        <f t="shared" si="5496"/>
        <v>0.22360489784858883</v>
      </c>
      <c r="BG1121" s="51">
        <f t="shared" si="5496"/>
        <v>0.22921174204543834</v>
      </c>
      <c r="BH1121" s="51">
        <f t="shared" si="5496"/>
        <v>0.22260638862284782</v>
      </c>
      <c r="BI1121" s="51">
        <f t="shared" si="5496"/>
        <v>0.2259991598286491</v>
      </c>
      <c r="BJ1121" s="51">
        <f t="shared" si="5496"/>
        <v>0.23164811934086996</v>
      </c>
      <c r="BK1121" s="51">
        <f t="shared" si="5496"/>
        <v>0.22499304966750763</v>
      </c>
      <c r="BL1121" s="51">
        <f t="shared" si="5496"/>
        <v>0.2284115163507674</v>
      </c>
      <c r="BM1121" s="51">
        <f t="shared" si="5496"/>
        <v>0.23410252835746567</v>
      </c>
      <c r="BN1121" s="51">
        <f t="shared" si="5496"/>
        <v>0.22739781420058972</v>
      </c>
      <c r="BO1121" s="51">
        <f t="shared" si="5496"/>
        <v>0.23084194305087816</v>
      </c>
      <c r="BP1121" s="51">
        <f t="shared" si="5496"/>
        <v>0.2365749357965771</v>
      </c>
      <c r="BQ1121" s="51">
        <f t="shared" si="5496"/>
        <v>0.22982065943794908</v>
      </c>
      <c r="BR1121" s="51">
        <f t="shared" si="5496"/>
        <v>0.23329041176212026</v>
      </c>
    </row>
    <row r="1122" spans="3:70" outlineLevel="1">
      <c r="C1122" s="477" t="s">
        <v>600</v>
      </c>
      <c r="D1122" s="31"/>
      <c r="E1122" s="31"/>
      <c r="F1122" s="31"/>
      <c r="G1122" s="31"/>
      <c r="H1122" s="31"/>
      <c r="I1122" s="31"/>
      <c r="J1122" s="31"/>
      <c r="K1122" s="31"/>
      <c r="L1122" s="31"/>
      <c r="M1122" s="31"/>
      <c r="N1122" s="31"/>
      <c r="O1122" s="31"/>
      <c r="AC1122" s="51">
        <f t="shared" ref="AC1122:BR1122" si="5497">+AC278</f>
        <v>0.8</v>
      </c>
      <c r="AD1122" s="51">
        <f t="shared" si="5497"/>
        <v>0.8</v>
      </c>
      <c r="AE1122" s="334">
        <f t="shared" si="5497"/>
        <v>0.8</v>
      </c>
      <c r="AF1122" s="334">
        <f t="shared" si="5497"/>
        <v>0.79546231521882316</v>
      </c>
      <c r="AG1122" s="980">
        <f t="shared" si="5497"/>
        <v>0.79742374748315292</v>
      </c>
      <c r="AH1122" s="51">
        <f t="shared" si="5497"/>
        <v>0.79639240844879011</v>
      </c>
      <c r="AI1122" s="51">
        <f t="shared" si="5497"/>
        <v>0.78938351881548263</v>
      </c>
      <c r="AJ1122" s="51">
        <f t="shared" si="5497"/>
        <v>0.7979863658208759</v>
      </c>
      <c r="AK1122" s="51">
        <f t="shared" si="5497"/>
        <v>0.7936219053494058</v>
      </c>
      <c r="AL1122" s="51">
        <f t="shared" si="5497"/>
        <v>0.78780476646666664</v>
      </c>
      <c r="AM1122" s="51">
        <f t="shared" si="5497"/>
        <v>0.79359219827802352</v>
      </c>
      <c r="AN1122" s="51">
        <f t="shared" si="5497"/>
        <v>0.79061226040199828</v>
      </c>
      <c r="AO1122" s="51">
        <f t="shared" si="5497"/>
        <v>0.78502647191684027</v>
      </c>
      <c r="AP1122" s="51">
        <f t="shared" si="5497"/>
        <v>0.79133259245612886</v>
      </c>
      <c r="AQ1122" s="51">
        <f t="shared" si="5497"/>
        <v>0.7880944011435721</v>
      </c>
      <c r="AR1122" s="51">
        <f t="shared" si="5497"/>
        <v>0.78269877109915886</v>
      </c>
      <c r="AS1122" s="51">
        <f t="shared" si="5497"/>
        <v>0.7890548253145111</v>
      </c>
      <c r="AT1122" s="51">
        <f t="shared" si="5497"/>
        <v>0.78579084770713381</v>
      </c>
      <c r="AU1122" s="51">
        <f t="shared" si="5497"/>
        <v>0.7803529182596346</v>
      </c>
      <c r="AV1122" s="51">
        <f t="shared" si="5497"/>
        <v>0.78675889458885728</v>
      </c>
      <c r="AW1122" s="51">
        <f t="shared" si="5497"/>
        <v>0.78346913320866629</v>
      </c>
      <c r="AX1122" s="51">
        <f t="shared" si="5497"/>
        <v>0.77798892423228749</v>
      </c>
      <c r="AY1122" s="51">
        <f t="shared" si="5497"/>
        <v>0.78444480143442374</v>
      </c>
      <c r="AZ1122" s="51">
        <f t="shared" si="5497"/>
        <v>0.78112926374922198</v>
      </c>
      <c r="BA1122" s="51">
        <f t="shared" si="5497"/>
        <v>0.77560680347007804</v>
      </c>
      <c r="BB1122" s="51">
        <f t="shared" si="5497"/>
        <v>0.78211255048020289</v>
      </c>
      <c r="BC1122" s="51">
        <f t="shared" si="5497"/>
        <v>0.77877124897933148</v>
      </c>
      <c r="BD1122" s="51">
        <f t="shared" si="5497"/>
        <v>0.77320657409621285</v>
      </c>
      <c r="BE1122" s="51">
        <f t="shared" si="5497"/>
        <v>0.77976214988239734</v>
      </c>
      <c r="BF1122" s="51">
        <f t="shared" si="5497"/>
        <v>0.77639510215141117</v>
      </c>
      <c r="BG1122" s="51">
        <f t="shared" si="5497"/>
        <v>0.77078825795456152</v>
      </c>
      <c r="BH1122" s="51">
        <f t="shared" si="5497"/>
        <v>0.77739361137715224</v>
      </c>
      <c r="BI1122" s="51">
        <f t="shared" si="5497"/>
        <v>0.77400084017135085</v>
      </c>
      <c r="BJ1122" s="51">
        <f t="shared" si="5497"/>
        <v>0.76835188065913007</v>
      </c>
      <c r="BK1122" s="51">
        <f t="shared" si="5497"/>
        <v>0.77500695033249245</v>
      </c>
      <c r="BL1122" s="51">
        <f t="shared" si="5497"/>
        <v>0.7715884836492326</v>
      </c>
      <c r="BM1122" s="51">
        <f t="shared" si="5497"/>
        <v>0.7658974716425343</v>
      </c>
      <c r="BN1122" s="51">
        <f t="shared" si="5497"/>
        <v>0.77260218579941031</v>
      </c>
      <c r="BO1122" s="51">
        <f t="shared" si="5497"/>
        <v>0.76915805694912187</v>
      </c>
      <c r="BP1122" s="51">
        <f t="shared" si="5497"/>
        <v>0.76342506420342293</v>
      </c>
      <c r="BQ1122" s="51">
        <f t="shared" si="5497"/>
        <v>0.77017934056205095</v>
      </c>
      <c r="BR1122" s="51">
        <f t="shared" si="5497"/>
        <v>0.76670958823787982</v>
      </c>
    </row>
    <row r="1123" spans="3:70" outlineLevel="1">
      <c r="C1123" s="383" t="s">
        <v>608</v>
      </c>
      <c r="D1123" s="31"/>
      <c r="E1123" s="31"/>
      <c r="F1123" s="31"/>
      <c r="G1123" s="31"/>
      <c r="H1123" s="31"/>
      <c r="I1123" s="31"/>
      <c r="J1123" s="31"/>
      <c r="K1123" s="31"/>
      <c r="L1123" s="31"/>
      <c r="M1123" s="31"/>
      <c r="N1123" s="31"/>
      <c r="O1123" s="31"/>
      <c r="AC1123" s="17">
        <f t="shared" ref="AC1123:AM1123" si="5498">+AC644/(AC669-AC668)</f>
        <v>0.12828601472134596</v>
      </c>
      <c r="AD1123" s="17">
        <f t="shared" si="5498"/>
        <v>0.13696763202725723</v>
      </c>
      <c r="AE1123" s="343">
        <f t="shared" si="5498"/>
        <v>0.13268832066344161</v>
      </c>
      <c r="AF1123" s="343">
        <f>+AF644/(AF669-AF668)</f>
        <v>0.1290121533187909</v>
      </c>
      <c r="AG1123" s="960">
        <f t="shared" si="5498"/>
        <v>0.13051973797765043</v>
      </c>
      <c r="AH1123" s="17">
        <f>+AH644/(AH669-AH668)</f>
        <v>0.12978255102516056</v>
      </c>
      <c r="AI1123" s="17">
        <f>+AI644/(AI669-AI668)</f>
        <v>0.13036376631270652</v>
      </c>
      <c r="AJ1123" s="17">
        <f t="shared" si="5498"/>
        <v>0.13045652063594879</v>
      </c>
      <c r="AK1123" s="17">
        <f>+AK644/(AK669-AK668)</f>
        <v>0.13041057442189527</v>
      </c>
      <c r="AL1123" s="17">
        <f>+AL644/(AL669-AL668)</f>
        <v>0.12597763556916186</v>
      </c>
      <c r="AM1123" s="17">
        <f t="shared" si="5498"/>
        <v>0.12923562511529169</v>
      </c>
      <c r="AN1123" s="17">
        <f>+AN644/(AN669-AN668)</f>
        <v>0.12764134561456877</v>
      </c>
      <c r="AO1123" s="17">
        <f>+AO644/(AO669-AO668)</f>
        <v>0.12697668139789617</v>
      </c>
      <c r="AP1123" s="17">
        <f t="shared" ref="AP1123" si="5499">+AP644/(AP669-AP668)</f>
        <v>0.1300976706746306</v>
      </c>
      <c r="AQ1123" s="17">
        <f>+AQ644/(AQ669-AQ668)</f>
        <v>0.12856901565657067</v>
      </c>
      <c r="AR1123" s="17">
        <f>+AR644/(AR669-AR668)</f>
        <v>0.12769110049044405</v>
      </c>
      <c r="AS1123" s="17">
        <f t="shared" ref="AS1123" si="5500">+AS644/(AS669-AS668)</f>
        <v>0.13076692601523313</v>
      </c>
      <c r="AT1123" s="17">
        <f>+AT644/(AT669-AT668)</f>
        <v>0.12926075314966448</v>
      </c>
      <c r="AU1123" s="17">
        <f>+AU644/(AU669-AU668)</f>
        <v>0.12839028628434779</v>
      </c>
      <c r="AV1123" s="17">
        <f t="shared" ref="AV1123" si="5501">+AV644/(AV669-AV668)</f>
        <v>0.13142167058273868</v>
      </c>
      <c r="AW1123" s="17">
        <f>+AW644/(AW669-AW668)</f>
        <v>0.12993760542558383</v>
      </c>
      <c r="AX1123" s="17">
        <f>+AX644/(AX669-AX668)</f>
        <v>0.12907394169403213</v>
      </c>
      <c r="AY1123" s="17">
        <f t="shared" ref="AY1123" si="5502">+AY644/(AY669-AY668)</f>
        <v>0.13206162402986835</v>
      </c>
      <c r="AZ1123" s="17">
        <f>+AZ644/(AZ669-AZ668)</f>
        <v>0.13059928477910346</v>
      </c>
      <c r="BA1123" s="17">
        <f>+BA644/(BA669-BA668)</f>
        <v>0.12974176974317089</v>
      </c>
      <c r="BB1123" s="17">
        <f t="shared" ref="BB1123" si="5503">+BB644/(BB669-BB668)</f>
        <v>0.13268650433187354</v>
      </c>
      <c r="BC1123" s="17">
        <f>+BC644/(BC669-BC668)</f>
        <v>0.13124550268973426</v>
      </c>
      <c r="BD1123" s="17">
        <f>+BD644/(BD669-BD668)</f>
        <v>0.13039347375467375</v>
      </c>
      <c r="BE1123" s="17">
        <f t="shared" ref="BE1123" si="5504">+BE644/(BE669-BE668)</f>
        <v>0.1332960280004141</v>
      </c>
      <c r="BF1123" s="17">
        <f>+BF644/(BF669-BF668)</f>
        <v>0.13187597002232326</v>
      </c>
      <c r="BG1123" s="17">
        <f>+BG644/(BG669-BG668)</f>
        <v>0.13102875756575755</v>
      </c>
      <c r="BH1123" s="17">
        <f t="shared" ref="BH1123" si="5505">+BH644/(BH669-BH668)</f>
        <v>0.13388991032489933</v>
      </c>
      <c r="BI1123" s="17">
        <f>+BI644/(BI669-BI668)</f>
        <v>0.1324903972541053</v>
      </c>
      <c r="BJ1123" s="17">
        <f>+BJ644/(BJ669-BJ668)</f>
        <v>0.13164732576809468</v>
      </c>
      <c r="BK1123" s="17">
        <f t="shared" ref="BK1123" si="5506">+BK644/(BK669-BK668)</f>
        <v>0.13446786564116928</v>
      </c>
      <c r="BL1123" s="17">
        <f>+BL644/(BL669-BL668)</f>
        <v>0.13308849472813569</v>
      </c>
      <c r="BM1123" s="17">
        <f>+BM644/(BM669-BM668)</f>
        <v>0.13224888397290535</v>
      </c>
      <c r="BN1123" s="17">
        <f t="shared" ref="BN1123" si="5507">+BN644/(BN669-BN668)</f>
        <v>0.13502960762727603</v>
      </c>
      <c r="BO1123" s="17">
        <f>+BO644/(BO669-BO668)</f>
        <v>0.13366997293291227</v>
      </c>
      <c r="BP1123" s="17">
        <f>+BP644/(BP669-BP668)</f>
        <v>0.1328331391007346</v>
      </c>
      <c r="BQ1123" s="17">
        <f t="shared" ref="BQ1123" si="5508">+BQ644/(BQ669-BQ668)</f>
        <v>0.13557484962600336</v>
      </c>
      <c r="BR1123" s="17">
        <f>+BR644/(BR669-BR668)</f>
        <v>0.13423454280786939</v>
      </c>
    </row>
    <row r="1124" spans="3:70" outlineLevel="1">
      <c r="C1124" s="477" t="s">
        <v>601</v>
      </c>
      <c r="D1124" s="31"/>
      <c r="E1124" s="31"/>
      <c r="F1124" s="31"/>
      <c r="G1124" s="31"/>
      <c r="H1124" s="31"/>
      <c r="I1124" s="31"/>
      <c r="J1124" s="31"/>
      <c r="K1124" s="31"/>
      <c r="L1124" s="31"/>
      <c r="M1124" s="31"/>
      <c r="N1124" s="31"/>
      <c r="O1124" s="31"/>
      <c r="AC1124" s="51">
        <f t="shared" ref="AC1124:BR1124" si="5509">+AC282</f>
        <v>0.45</v>
      </c>
      <c r="AD1124" s="51">
        <f t="shared" si="5509"/>
        <v>0.45</v>
      </c>
      <c r="AE1124" s="334">
        <f t="shared" si="5509"/>
        <v>0.45</v>
      </c>
      <c r="AF1124" s="334">
        <f t="shared" si="5509"/>
        <v>0.44525773960257337</v>
      </c>
      <c r="AG1124" s="980">
        <f t="shared" si="5509"/>
        <v>0.44096354567013163</v>
      </c>
      <c r="AH1124" s="51">
        <f t="shared" si="5509"/>
        <v>0.44316764406115888</v>
      </c>
      <c r="AI1124" s="51">
        <f t="shared" si="5509"/>
        <v>0.43868922760412132</v>
      </c>
      <c r="AJ1124" s="51">
        <f t="shared" si="5509"/>
        <v>0.44468620417982968</v>
      </c>
      <c r="AK1124" s="51">
        <f t="shared" si="5509"/>
        <v>0.44165435861268559</v>
      </c>
      <c r="AL1124" s="51">
        <f t="shared" si="5509"/>
        <v>0.45701179200915398</v>
      </c>
      <c r="AM1124" s="51">
        <f t="shared" si="5509"/>
        <v>0.45754580559385594</v>
      </c>
      <c r="AN1124" s="51">
        <f t="shared" si="5509"/>
        <v>0.45716422304870175</v>
      </c>
      <c r="AO1124" s="51">
        <f t="shared" si="5509"/>
        <v>0.46329058603984641</v>
      </c>
      <c r="AP1124" s="51">
        <f t="shared" si="5509"/>
        <v>0.4628286366378988</v>
      </c>
      <c r="AQ1124" s="51">
        <f t="shared" si="5509"/>
        <v>0.46294624300623383</v>
      </c>
      <c r="AR1124" s="51">
        <f t="shared" si="5509"/>
        <v>0.46858244985201941</v>
      </c>
      <c r="AS1124" s="51">
        <f t="shared" si="5509"/>
        <v>0.4681198261261405</v>
      </c>
      <c r="AT1124" s="51">
        <f t="shared" si="5509"/>
        <v>0.46823760681848525</v>
      </c>
      <c r="AU1124" s="51">
        <f t="shared" si="5509"/>
        <v>0.47388138950467351</v>
      </c>
      <c r="AV1124" s="51">
        <f t="shared" si="5509"/>
        <v>0.47341819480243091</v>
      </c>
      <c r="AW1124" s="51">
        <f t="shared" si="5509"/>
        <v>0.47353612351289937</v>
      </c>
      <c r="AX1124" s="51">
        <f t="shared" si="5509"/>
        <v>0.47918621877538492</v>
      </c>
      <c r="AY1124" s="51">
        <f t="shared" si="5509"/>
        <v>0.47872255695809401</v>
      </c>
      <c r="AZ1124" s="51">
        <f t="shared" si="5509"/>
        <v>0.47884060724762445</v>
      </c>
      <c r="BA1124" s="51">
        <f t="shared" si="5509"/>
        <v>0.48449574613757124</v>
      </c>
      <c r="BB1124" s="51">
        <f t="shared" si="5509"/>
        <v>0.48403172148755186</v>
      </c>
      <c r="BC1124" s="51">
        <f t="shared" si="5509"/>
        <v>0.4841498668075106</v>
      </c>
      <c r="BD1124" s="51">
        <f t="shared" si="5509"/>
        <v>0.48980877582723026</v>
      </c>
      <c r="BE1124" s="51">
        <f t="shared" si="5509"/>
        <v>0.4893444929542578</v>
      </c>
      <c r="BF1124" s="51">
        <f t="shared" si="5509"/>
        <v>0.4894627066702516</v>
      </c>
      <c r="BG1124" s="51">
        <f t="shared" si="5509"/>
        <v>0.49512410891778996</v>
      </c>
      <c r="BH1124" s="51">
        <f t="shared" si="5509"/>
        <v>0.49465967266491989</v>
      </c>
      <c r="BI1124" s="51">
        <f t="shared" si="5509"/>
        <v>0.49477792808077331</v>
      </c>
      <c r="BJ1124" s="51">
        <f t="shared" si="5509"/>
        <v>0.5004405444010227</v>
      </c>
      <c r="BK1124" s="51">
        <f t="shared" si="5509"/>
        <v>0.49997605974996656</v>
      </c>
      <c r="BL1124" s="51">
        <f t="shared" si="5509"/>
        <v>0.50009433013181803</v>
      </c>
      <c r="BM1124" s="51">
        <f t="shared" si="5509"/>
        <v>0.5057568802719552</v>
      </c>
      <c r="BN1124" s="51">
        <f t="shared" si="5509"/>
        <v>0.50529245224819119</v>
      </c>
      <c r="BO1124" s="51">
        <f t="shared" si="5509"/>
        <v>0.5054107108486604</v>
      </c>
      <c r="BP1124" s="51">
        <f t="shared" si="5509"/>
        <v>0.5110719146156929</v>
      </c>
      <c r="BQ1124" s="51">
        <f t="shared" si="5509"/>
        <v>0.5106076481934918</v>
      </c>
      <c r="BR1124" s="51">
        <f t="shared" si="5509"/>
        <v>0.51072586827587441</v>
      </c>
    </row>
    <row r="1125" spans="3:70" outlineLevel="1">
      <c r="C1125" s="477" t="s">
        <v>602</v>
      </c>
      <c r="D1125" s="31"/>
      <c r="E1125" s="31"/>
      <c r="F1125" s="31"/>
      <c r="G1125" s="31"/>
      <c r="H1125" s="31"/>
      <c r="I1125" s="31"/>
      <c r="J1125" s="31"/>
      <c r="K1125" s="31"/>
      <c r="L1125" s="31"/>
      <c r="M1125" s="31"/>
      <c r="N1125" s="31"/>
      <c r="O1125" s="31"/>
      <c r="AC1125" s="51">
        <f t="shared" ref="AC1125:BR1125" si="5510">+AC281</f>
        <v>0.55000000000000004</v>
      </c>
      <c r="AD1125" s="51">
        <f t="shared" si="5510"/>
        <v>0.55000000000000004</v>
      </c>
      <c r="AE1125" s="334">
        <f t="shared" si="5510"/>
        <v>0.55000000000000004</v>
      </c>
      <c r="AF1125" s="334">
        <f t="shared" si="5510"/>
        <v>0.55474226039742658</v>
      </c>
      <c r="AG1125" s="980">
        <f t="shared" si="5510"/>
        <v>0.55903645432986837</v>
      </c>
      <c r="AH1125" s="51">
        <f t="shared" si="5510"/>
        <v>0.55683235593884106</v>
      </c>
      <c r="AI1125" s="51">
        <f t="shared" si="5510"/>
        <v>0.56131077239587857</v>
      </c>
      <c r="AJ1125" s="51">
        <f t="shared" si="5510"/>
        <v>0.55531379582017026</v>
      </c>
      <c r="AK1125" s="51">
        <f t="shared" si="5510"/>
        <v>0.55834564138731435</v>
      </c>
      <c r="AL1125" s="51">
        <f t="shared" si="5510"/>
        <v>0.54298820799084591</v>
      </c>
      <c r="AM1125" s="51">
        <f t="shared" si="5510"/>
        <v>0.54245419440614417</v>
      </c>
      <c r="AN1125" s="51">
        <f t="shared" si="5510"/>
        <v>0.54283577695129825</v>
      </c>
      <c r="AO1125" s="51">
        <f t="shared" si="5510"/>
        <v>0.53670941396015359</v>
      </c>
      <c r="AP1125" s="51">
        <f t="shared" si="5510"/>
        <v>0.53717136336210114</v>
      </c>
      <c r="AQ1125" s="51">
        <f t="shared" si="5510"/>
        <v>0.53705375699376623</v>
      </c>
      <c r="AR1125" s="51">
        <f t="shared" si="5510"/>
        <v>0.53141755014798064</v>
      </c>
      <c r="AS1125" s="51">
        <f t="shared" si="5510"/>
        <v>0.53188017387385955</v>
      </c>
      <c r="AT1125" s="51">
        <f t="shared" si="5510"/>
        <v>0.53176239318151475</v>
      </c>
      <c r="AU1125" s="51">
        <f t="shared" si="5510"/>
        <v>0.52611861049532638</v>
      </c>
      <c r="AV1125" s="51">
        <f t="shared" si="5510"/>
        <v>0.52658180519756903</v>
      </c>
      <c r="AW1125" s="51">
        <f t="shared" si="5510"/>
        <v>0.52646387648710058</v>
      </c>
      <c r="AX1125" s="51">
        <f t="shared" si="5510"/>
        <v>0.52081378122461508</v>
      </c>
      <c r="AY1125" s="51">
        <f t="shared" si="5510"/>
        <v>0.52127744304190604</v>
      </c>
      <c r="AZ1125" s="51">
        <f t="shared" si="5510"/>
        <v>0.52115939275237544</v>
      </c>
      <c r="BA1125" s="51">
        <f t="shared" si="5510"/>
        <v>0.51550425386242871</v>
      </c>
      <c r="BB1125" s="51">
        <f t="shared" si="5510"/>
        <v>0.51596827851244831</v>
      </c>
      <c r="BC1125" s="51">
        <f t="shared" si="5510"/>
        <v>0.51585013319248951</v>
      </c>
      <c r="BD1125" s="51">
        <f t="shared" si="5510"/>
        <v>0.51019122417276974</v>
      </c>
      <c r="BE1125" s="51">
        <f t="shared" si="5510"/>
        <v>0.51065550704574214</v>
      </c>
      <c r="BF1125" s="51">
        <f t="shared" si="5510"/>
        <v>0.5105372933297484</v>
      </c>
      <c r="BG1125" s="51">
        <f t="shared" si="5510"/>
        <v>0.50487589108220998</v>
      </c>
      <c r="BH1125" s="51">
        <f t="shared" si="5510"/>
        <v>0.50534032733508016</v>
      </c>
      <c r="BI1125" s="51">
        <f t="shared" si="5510"/>
        <v>0.50522207191922663</v>
      </c>
      <c r="BJ1125" s="51">
        <f t="shared" si="5510"/>
        <v>0.49955945559897724</v>
      </c>
      <c r="BK1125" s="51">
        <f t="shared" si="5510"/>
        <v>0.50002394025003349</v>
      </c>
      <c r="BL1125" s="51">
        <f t="shared" si="5510"/>
        <v>0.49990566986818202</v>
      </c>
      <c r="BM1125" s="51">
        <f t="shared" si="5510"/>
        <v>0.49424311972804486</v>
      </c>
      <c r="BN1125" s="51">
        <f t="shared" si="5510"/>
        <v>0.49470754775180892</v>
      </c>
      <c r="BO1125" s="51">
        <f t="shared" si="5510"/>
        <v>0.4945892891513396</v>
      </c>
      <c r="BP1125" s="51">
        <f t="shared" si="5510"/>
        <v>0.48892808538430704</v>
      </c>
      <c r="BQ1125" s="51">
        <f t="shared" si="5510"/>
        <v>0.48939235180650831</v>
      </c>
      <c r="BR1125" s="51">
        <f t="shared" si="5510"/>
        <v>0.4892741317241257</v>
      </c>
    </row>
    <row r="1126" spans="3:70" outlineLevel="1">
      <c r="C1126" s="383" t="s">
        <v>609</v>
      </c>
      <c r="D1126" s="31"/>
      <c r="E1126" s="31"/>
      <c r="F1126" s="31"/>
      <c r="G1126" s="31"/>
      <c r="H1126" s="31"/>
      <c r="I1126" s="31"/>
      <c r="J1126" s="31"/>
      <c r="K1126" s="31"/>
      <c r="L1126" s="31"/>
      <c r="M1126" s="31"/>
      <c r="N1126" s="31"/>
      <c r="O1126" s="31"/>
      <c r="AC1126" s="17">
        <f t="shared" ref="AC1126:AM1126" si="5511">+AC660/(AC669-AC668)</f>
        <v>0.20855240098142305</v>
      </c>
      <c r="AD1126" s="17">
        <f t="shared" si="5511"/>
        <v>0.19045996592844974</v>
      </c>
      <c r="AE1126" s="343">
        <f t="shared" si="5511"/>
        <v>0.19937802349689013</v>
      </c>
      <c r="AF1126" s="343">
        <f>+AF660/(AF669-AF668)</f>
        <v>0.18853225303832968</v>
      </c>
      <c r="AG1126" s="960">
        <f t="shared" si="5511"/>
        <v>0.16838327915663476</v>
      </c>
      <c r="AH1126" s="17">
        <f>+AH660/(AH669-AH668)</f>
        <v>0.17823583407907695</v>
      </c>
      <c r="AI1126" s="17">
        <f>+AI660/(AI669-AI668)</f>
        <v>0.18474704238373768</v>
      </c>
      <c r="AJ1126" s="17">
        <f t="shared" si="5511"/>
        <v>0.16368625321098684</v>
      </c>
      <c r="AK1126" s="17">
        <f>+AK660/(AK669-AK668)</f>
        <v>0.17411879687733198</v>
      </c>
      <c r="AL1126" s="17">
        <f>+AL660/(AL669-AL668)</f>
        <v>0.17910307207868767</v>
      </c>
      <c r="AM1126" s="17">
        <f t="shared" si="5511"/>
        <v>0.16012165216454863</v>
      </c>
      <c r="AN1126" s="17">
        <f>+AN660/(AN669-AN668)</f>
        <v>0.16941010697241429</v>
      </c>
      <c r="AO1126" s="17">
        <f>+AO660/(AO669-AO668)</f>
        <v>0.17379505196530842</v>
      </c>
      <c r="AP1126" s="17">
        <f t="shared" ref="AP1126" si="5512">+AP660/(AP669-AP668)</f>
        <v>0.15517587635608251</v>
      </c>
      <c r="AQ1126" s="17">
        <f>+AQ660/(AQ669-AQ668)</f>
        <v>0.16429551558052846</v>
      </c>
      <c r="AR1126" s="17">
        <f>+AR660/(AR669-AR668)</f>
        <v>0.16964654018244363</v>
      </c>
      <c r="AS1126" s="17">
        <f t="shared" ref="AS1126" si="5513">+AS660/(AS669-AS668)</f>
        <v>0.1514557751191099</v>
      </c>
      <c r="AT1126" s="17">
        <f>+AT660/(AT669-AT668)</f>
        <v>0.16036344446560394</v>
      </c>
      <c r="AU1126" s="17">
        <f>+AU660/(AU669-AU668)</f>
        <v>0.16556770713288549</v>
      </c>
      <c r="AV1126" s="17">
        <f t="shared" ref="AV1126" si="5514">+AV660/(AV669-AV668)</f>
        <v>0.14780049499564851</v>
      </c>
      <c r="AW1126" s="17">
        <f>+AW660/(AW669-AW668)</f>
        <v>0.15649873245984877</v>
      </c>
      <c r="AX1126" s="17">
        <f>+AX660/(AX669-AX668)</f>
        <v>0.1615582514558962</v>
      </c>
      <c r="AY1126" s="17">
        <f t="shared" ref="AY1126" si="5515">+AY660/(AY669-AY668)</f>
        <v>0.14420957735154596</v>
      </c>
      <c r="AZ1126" s="17">
        <f>+AZ660/(AZ669-AZ668)</f>
        <v>0.15270099117664376</v>
      </c>
      <c r="BA1126" s="17">
        <f>+BA660/(BA669-BA668)</f>
        <v>0.15761784201373996</v>
      </c>
      <c r="BB1126" s="17">
        <f t="shared" ref="BB1126" si="5516">+BB660/(BB669-BB668)</f>
        <v>0.14068254477158051</v>
      </c>
      <c r="BC1126" s="17">
        <f>+BC660/(BC669-BC668)</f>
        <v>0.14896980815677424</v>
      </c>
      <c r="BD1126" s="17">
        <f>+BD660/(BD669-BD668)</f>
        <v>0.15374611932484403</v>
      </c>
      <c r="BE1126" s="17">
        <f t="shared" ref="BE1126" si="5517">+BE660/(BE669-BE668)</f>
        <v>0.13721890225953512</v>
      </c>
      <c r="BF1126" s="17">
        <f>+BF660/(BF669-BF668)</f>
        <v>0.14530474819460198</v>
      </c>
      <c r="BG1126" s="17">
        <f>+BG660/(BG669-BG668)</f>
        <v>0.14994269696245002</v>
      </c>
      <c r="BH1126" s="17">
        <f t="shared" ref="BH1126" si="5518">+BH660/(BH669-BH668)</f>
        <v>0.13381813839331111</v>
      </c>
      <c r="BI1126" s="17">
        <f>+BI660/(BI669-BI668)</f>
        <v>0.14170535462326977</v>
      </c>
      <c r="BJ1126" s="17">
        <f>+BJ660/(BJ669-BJ668)</f>
        <v>0.14620716291691604</v>
      </c>
      <c r="BK1126" s="17">
        <f t="shared" ref="BK1126" si="5519">+BK660/(BK669-BK668)</f>
        <v>0.13047972643461175</v>
      </c>
      <c r="BL1126" s="17">
        <f>+BL660/(BL669-BL668)</f>
        <v>0.13817115055783324</v>
      </c>
      <c r="BM1126" s="17">
        <f>+BM660/(BM669-BM668)</f>
        <v>0.14253908092010675</v>
      </c>
      <c r="BN1126" s="17">
        <f t="shared" ref="BN1126" si="5520">+BN660/(BN669-BN668)</f>
        <v>0.12720312539293502</v>
      </c>
      <c r="BO1126" s="17">
        <f>+BO660/(BO669-BO668)</f>
        <v>0.13470164009546168</v>
      </c>
      <c r="BP1126" s="17">
        <f>+BP660/(BP669-BP668)</f>
        <v>0.13893799173057911</v>
      </c>
      <c r="BQ1126" s="17">
        <f t="shared" ref="BQ1126" si="5521">+BQ660/(BQ669-BQ668)</f>
        <v>0.12398778104381493</v>
      </c>
      <c r="BR1126" s="17">
        <f>+BR660/(BR669-BR668)</f>
        <v>0.13129630947208315</v>
      </c>
    </row>
    <row r="1127" spans="3:70" outlineLevel="1">
      <c r="C1127" s="477" t="s">
        <v>603</v>
      </c>
      <c r="D1127" s="31"/>
      <c r="E1127" s="31"/>
      <c r="F1127" s="31"/>
      <c r="G1127" s="31"/>
      <c r="H1127" s="31"/>
      <c r="I1127" s="31"/>
      <c r="J1127" s="31"/>
      <c r="K1127" s="31"/>
      <c r="L1127" s="31"/>
      <c r="M1127" s="31"/>
      <c r="N1127" s="31"/>
      <c r="O1127" s="31"/>
      <c r="AC1127" s="51">
        <f t="shared" ref="AC1127:BR1127" si="5522">+AC289</f>
        <v>0.55000000000000004</v>
      </c>
      <c r="AD1127" s="51">
        <f t="shared" si="5522"/>
        <v>0.55000000000000004</v>
      </c>
      <c r="AE1127" s="334">
        <f t="shared" si="5522"/>
        <v>0.55000000000000004</v>
      </c>
      <c r="AF1127" s="334">
        <f t="shared" si="5522"/>
        <v>0.53438162816742774</v>
      </c>
      <c r="AG1127" s="980">
        <f t="shared" si="5522"/>
        <v>0.54749779487960926</v>
      </c>
      <c r="AH1127" s="51">
        <f t="shared" si="5522"/>
        <v>0.54072608417028156</v>
      </c>
      <c r="AI1127" s="51">
        <f t="shared" si="5522"/>
        <v>0.54630851532674307</v>
      </c>
      <c r="AJ1127" s="51">
        <f t="shared" si="5522"/>
        <v>0.56513544938964633</v>
      </c>
      <c r="AK1127" s="51">
        <f t="shared" si="5522"/>
        <v>0.55546921937397564</v>
      </c>
      <c r="AL1127" s="51">
        <f t="shared" si="5522"/>
        <v>0.55145266564424744</v>
      </c>
      <c r="AM1127" s="51">
        <f t="shared" si="5522"/>
        <v>0.56932202047674119</v>
      </c>
      <c r="AN1127" s="51">
        <f t="shared" si="5522"/>
        <v>0.56012818750624205</v>
      </c>
      <c r="AO1127" s="51">
        <f t="shared" si="5522"/>
        <v>0.55057645525865906</v>
      </c>
      <c r="AP1127" s="51">
        <f t="shared" si="5522"/>
        <v>0.57018417934563603</v>
      </c>
      <c r="AQ1127" s="51">
        <f t="shared" si="5522"/>
        <v>0.56012309433049745</v>
      </c>
      <c r="AR1127" s="51">
        <f t="shared" si="5522"/>
        <v>0.55518012686284957</v>
      </c>
      <c r="AS1127" s="51">
        <f t="shared" si="5522"/>
        <v>0.57474213438752231</v>
      </c>
      <c r="AT1127" s="51">
        <f t="shared" si="5522"/>
        <v>0.56470629005920925</v>
      </c>
      <c r="AU1127" s="51">
        <f t="shared" si="5522"/>
        <v>0.55977434675002513</v>
      </c>
      <c r="AV1127" s="51">
        <f t="shared" si="5522"/>
        <v>0.57928741871237865</v>
      </c>
      <c r="AW1127" s="51">
        <f t="shared" si="5522"/>
        <v>0.56927845359951712</v>
      </c>
      <c r="AX1127" s="51">
        <f t="shared" si="5522"/>
        <v>0.56435834987750688</v>
      </c>
      <c r="AY1127" s="51">
        <f t="shared" si="5522"/>
        <v>0.58381930027585882</v>
      </c>
      <c r="AZ1127" s="51">
        <f t="shared" si="5522"/>
        <v>0.57383883484803411</v>
      </c>
      <c r="BA1127" s="51">
        <f t="shared" si="5522"/>
        <v>0.5689313781361901</v>
      </c>
      <c r="BB1127" s="51">
        <f t="shared" si="5522"/>
        <v>0.58833705597806851</v>
      </c>
      <c r="BC1127" s="51">
        <f t="shared" si="5522"/>
        <v>0.5783866916372763</v>
      </c>
      <c r="BD1127" s="51">
        <f t="shared" si="5522"/>
        <v>0.57349268083905358</v>
      </c>
      <c r="BE1127" s="51">
        <f t="shared" si="5522"/>
        <v>0.59283997210269523</v>
      </c>
      <c r="BF1127" s="51">
        <f t="shared" si="5522"/>
        <v>0.58292129020154027</v>
      </c>
      <c r="BG1127" s="51">
        <f t="shared" si="5522"/>
        <v>0.57804151519910218</v>
      </c>
      <c r="BH1127" s="51">
        <f t="shared" si="5522"/>
        <v>0.59732734474310534</v>
      </c>
      <c r="BI1127" s="51">
        <f t="shared" si="5522"/>
        <v>0.58744190563095244</v>
      </c>
      <c r="BJ1127" s="51">
        <f t="shared" si="5522"/>
        <v>0.58257714679611972</v>
      </c>
      <c r="BK1127" s="51">
        <f t="shared" si="5522"/>
        <v>0.60179848021490856</v>
      </c>
      <c r="BL1127" s="51">
        <f t="shared" si="5522"/>
        <v>0.59194782231312237</v>
      </c>
      <c r="BM1127" s="51">
        <f t="shared" si="5522"/>
        <v>0.58709885003163742</v>
      </c>
      <c r="BN1127" s="51">
        <f t="shared" si="5522"/>
        <v>0.60625269545452087</v>
      </c>
      <c r="BO1127" s="51">
        <f t="shared" si="5522"/>
        <v>0.59643833436186688</v>
      </c>
      <c r="BP1127" s="51">
        <f t="shared" si="5522"/>
        <v>0.59160590857154782</v>
      </c>
      <c r="BQ1127" s="51">
        <f t="shared" si="5522"/>
        <v>0.61068931840329121</v>
      </c>
      <c r="BR1127" s="51">
        <f t="shared" si="5522"/>
        <v>0.60091274603249767</v>
      </c>
    </row>
    <row r="1128" spans="3:70" outlineLevel="1">
      <c r="C1128" s="477" t="s">
        <v>604</v>
      </c>
      <c r="D1128" s="31"/>
      <c r="E1128" s="31"/>
      <c r="F1128" s="31"/>
      <c r="G1128" s="31"/>
      <c r="H1128" s="31"/>
      <c r="I1128" s="31"/>
      <c r="J1128" s="31"/>
      <c r="K1128" s="31"/>
      <c r="L1128" s="31"/>
      <c r="M1128" s="31"/>
      <c r="N1128" s="31"/>
      <c r="O1128" s="31"/>
      <c r="AC1128" s="51">
        <f t="shared" ref="AC1128:BR1128" si="5523">+AC288</f>
        <v>0.45</v>
      </c>
      <c r="AD1128" s="51">
        <f t="shared" si="5523"/>
        <v>0.45</v>
      </c>
      <c r="AE1128" s="334">
        <f t="shared" si="5523"/>
        <v>0.45</v>
      </c>
      <c r="AF1128" s="334">
        <f t="shared" si="5523"/>
        <v>0.46561837183257226</v>
      </c>
      <c r="AG1128" s="980">
        <f t="shared" si="5523"/>
        <v>0.45250220512039063</v>
      </c>
      <c r="AH1128" s="51">
        <f t="shared" si="5523"/>
        <v>0.45927391582971849</v>
      </c>
      <c r="AI1128" s="51">
        <f t="shared" si="5523"/>
        <v>0.45369148467325687</v>
      </c>
      <c r="AJ1128" s="51">
        <f t="shared" si="5523"/>
        <v>0.43486455061035362</v>
      </c>
      <c r="AK1128" s="51">
        <f t="shared" si="5523"/>
        <v>0.4445307806260243</v>
      </c>
      <c r="AL1128" s="51">
        <f t="shared" si="5523"/>
        <v>0.44854733435575256</v>
      </c>
      <c r="AM1128" s="51">
        <f t="shared" si="5523"/>
        <v>0.43067797952325881</v>
      </c>
      <c r="AN1128" s="51">
        <f t="shared" si="5523"/>
        <v>0.43987181249375801</v>
      </c>
      <c r="AO1128" s="51">
        <f t="shared" si="5523"/>
        <v>0.44942354474134094</v>
      </c>
      <c r="AP1128" s="51">
        <f t="shared" si="5523"/>
        <v>0.42981582065436408</v>
      </c>
      <c r="AQ1128" s="51">
        <f t="shared" si="5523"/>
        <v>0.4398769056695026</v>
      </c>
      <c r="AR1128" s="51">
        <f t="shared" si="5523"/>
        <v>0.44481987313715038</v>
      </c>
      <c r="AS1128" s="51">
        <f t="shared" si="5523"/>
        <v>0.42525786561247758</v>
      </c>
      <c r="AT1128" s="51">
        <f t="shared" si="5523"/>
        <v>0.43529370994079075</v>
      </c>
      <c r="AU1128" s="51">
        <f t="shared" si="5523"/>
        <v>0.44022565324997492</v>
      </c>
      <c r="AV1128" s="51">
        <f t="shared" si="5523"/>
        <v>0.42071258128762135</v>
      </c>
      <c r="AW1128" s="51">
        <f t="shared" si="5523"/>
        <v>0.43072154640048294</v>
      </c>
      <c r="AX1128" s="51">
        <f t="shared" si="5523"/>
        <v>0.43564165012249306</v>
      </c>
      <c r="AY1128" s="51">
        <f t="shared" si="5523"/>
        <v>0.41618069972414118</v>
      </c>
      <c r="AZ1128" s="51">
        <f t="shared" si="5523"/>
        <v>0.42616116515196595</v>
      </c>
      <c r="BA1128" s="51">
        <f t="shared" si="5523"/>
        <v>0.43106862186380984</v>
      </c>
      <c r="BB1128" s="51">
        <f t="shared" si="5523"/>
        <v>0.41166294402193154</v>
      </c>
      <c r="BC1128" s="51">
        <f t="shared" si="5523"/>
        <v>0.42161330836272376</v>
      </c>
      <c r="BD1128" s="51">
        <f t="shared" si="5523"/>
        <v>0.42650731916094642</v>
      </c>
      <c r="BE1128" s="51">
        <f t="shared" si="5523"/>
        <v>0.40716002789730482</v>
      </c>
      <c r="BF1128" s="51">
        <f t="shared" si="5523"/>
        <v>0.41707870979845962</v>
      </c>
      <c r="BG1128" s="51">
        <f t="shared" si="5523"/>
        <v>0.42195848480089787</v>
      </c>
      <c r="BH1128" s="51">
        <f t="shared" si="5523"/>
        <v>0.40267265525689461</v>
      </c>
      <c r="BI1128" s="51">
        <f t="shared" si="5523"/>
        <v>0.41255809436904756</v>
      </c>
      <c r="BJ1128" s="51">
        <f t="shared" si="5523"/>
        <v>0.41742285320388017</v>
      </c>
      <c r="BK1128" s="51">
        <f t="shared" si="5523"/>
        <v>0.39820151978509138</v>
      </c>
      <c r="BL1128" s="51">
        <f t="shared" si="5523"/>
        <v>0.40805217768687768</v>
      </c>
      <c r="BM1128" s="51">
        <f t="shared" si="5523"/>
        <v>0.41290114996836269</v>
      </c>
      <c r="BN1128" s="51">
        <f t="shared" si="5523"/>
        <v>0.39374730454547907</v>
      </c>
      <c r="BO1128" s="51">
        <f t="shared" si="5523"/>
        <v>0.40356166563813306</v>
      </c>
      <c r="BP1128" s="51">
        <f t="shared" si="5523"/>
        <v>0.40839409142845223</v>
      </c>
      <c r="BQ1128" s="51">
        <f t="shared" si="5523"/>
        <v>0.38931068159670873</v>
      </c>
      <c r="BR1128" s="51">
        <f t="shared" si="5523"/>
        <v>0.39908725396750233</v>
      </c>
    </row>
    <row r="1129" spans="3:70" outlineLevel="1">
      <c r="C1129" s="383" t="s">
        <v>610</v>
      </c>
      <c r="D1129" s="31"/>
      <c r="E1129" s="31"/>
      <c r="F1129" s="31"/>
      <c r="G1129" s="31"/>
      <c r="H1129" s="31"/>
      <c r="I1129" s="31"/>
      <c r="J1129" s="31"/>
      <c r="K1129" s="31"/>
      <c r="L1129" s="31"/>
      <c r="M1129" s="31"/>
      <c r="N1129" s="31"/>
      <c r="O1129" s="31"/>
      <c r="AC1129" s="17">
        <f t="shared" ref="AC1129:AM1129" si="5524">AC652/(AC669-AC668)</f>
        <v>0.19348054679284962</v>
      </c>
      <c r="AD1129" s="17">
        <f t="shared" si="5524"/>
        <v>0.18807495741056218</v>
      </c>
      <c r="AE1129" s="343">
        <f t="shared" si="5524"/>
        <v>0.19073946095369732</v>
      </c>
      <c r="AF1129" s="343">
        <f>AF652/(AF669-AF668)</f>
        <v>0.19009037083203489</v>
      </c>
      <c r="AG1129" s="960">
        <f t="shared" si="5524"/>
        <v>0.18716597347811106</v>
      </c>
      <c r="AH1129" s="17">
        <f>AH652/(AH669-AH668)</f>
        <v>0.18859596121414934</v>
      </c>
      <c r="AI1129" s="17">
        <f>AI652/(AI669-AI668)</f>
        <v>0.18916380036240071</v>
      </c>
      <c r="AJ1129" s="17">
        <f t="shared" si="5524"/>
        <v>0.18217118774102695</v>
      </c>
      <c r="AK1129" s="17">
        <f>AK652/(AK669-AK668)</f>
        <v>0.18563500554557075</v>
      </c>
      <c r="AL1129" s="17">
        <f>AL652/(AL669-AL668)</f>
        <v>0.18455685704535463</v>
      </c>
      <c r="AM1129" s="17">
        <f t="shared" si="5524"/>
        <v>0.18436982570624072</v>
      </c>
      <c r="AN1129" s="17">
        <f>AN652/(AN669-AN668)</f>
        <v>0.18446134847686971</v>
      </c>
      <c r="AO1129" s="17">
        <f>AO652/(AO669-AO668)</f>
        <v>0.18906508699865526</v>
      </c>
      <c r="AP1129" s="17">
        <f t="shared" ref="AP1129" si="5525">AP652/(AP669-AP668)</f>
        <v>0.18868887410400229</v>
      </c>
      <c r="AQ1129" s="17">
        <f>AQ652/(AQ669-AQ668)</f>
        <v>0.18887314251323947</v>
      </c>
      <c r="AR1129" s="17">
        <f>AR652/(AR669-AR668)</f>
        <v>0.19325782936415001</v>
      </c>
      <c r="AS1129" s="17">
        <f t="shared" ref="AS1129" si="5526">AS652/(AS669-AS668)</f>
        <v>0.1928146560618125</v>
      </c>
      <c r="AT1129" s="17">
        <f>AT652/(AT669-AT668)</f>
        <v>0.19303166954237105</v>
      </c>
      <c r="AU1129" s="17">
        <f>AU652/(AU669-AU668)</f>
        <v>0.19751214837951342</v>
      </c>
      <c r="AV1129" s="17">
        <f t="shared" ref="AV1129" si="5527">AV652/(AV669-AV668)</f>
        <v>0.19700195649283742</v>
      </c>
      <c r="AW1129" s="17">
        <f>AW652/(AW669-AW668)</f>
        <v>0.19725172951002984</v>
      </c>
      <c r="AX1129" s="17">
        <f>AX652/(AX669-AX668)</f>
        <v>0.20182798492353998</v>
      </c>
      <c r="AY1129" s="17">
        <f t="shared" ref="AY1129" si="5528">AY652/(AY669-AY668)</f>
        <v>0.20125078744812155</v>
      </c>
      <c r="AZ1129" s="17">
        <f>AZ652/(AZ669-AZ668)</f>
        <v>0.20153330025533089</v>
      </c>
      <c r="BA1129" s="17">
        <f>BA652/(BA669-BA668)</f>
        <v>0.20620523915330097</v>
      </c>
      <c r="BB1129" s="17">
        <f t="shared" ref="BB1129" si="5529">BB652/(BB669-BB668)</f>
        <v>0.20556112060558418</v>
      </c>
      <c r="BC1129" s="17">
        <f>BC652/(BC669-BC668)</f>
        <v>0.20587631909191065</v>
      </c>
      <c r="BD1129" s="17">
        <f>BD652/(BD669-BD668)</f>
        <v>0.21064376923277742</v>
      </c>
      <c r="BE1129" s="17">
        <f t="shared" ref="BE1129" si="5530">BE652/(BE669-BE668)</f>
        <v>0.2099328858876042</v>
      </c>
      <c r="BF1129" s="17">
        <f>BF652/(BF669-BF668)</f>
        <v>0.21028068147739776</v>
      </c>
      <c r="BG1129" s="17">
        <f>BG652/(BG669-BG668)</f>
        <v>0.21514339009339661</v>
      </c>
      <c r="BH1129" s="17">
        <f t="shared" ref="BH1129" si="5531">BH652/(BH669-BH668)</f>
        <v>0.21436597010818337</v>
      </c>
      <c r="BI1129" s="17">
        <f>BI652/(BI669-BI668)</f>
        <v>0.21474623971361639</v>
      </c>
      <c r="BJ1129" s="17">
        <f>BJ652/(BJ669-BJ668)</f>
        <v>0.21970387223171994</v>
      </c>
      <c r="BK1129" s="17">
        <f t="shared" ref="BK1129" si="5532">BK652/(BK669-BK668)</f>
        <v>0.21886021565505803</v>
      </c>
      <c r="BL1129" s="17">
        <f>BL652/(BL669-BL668)</f>
        <v>0.21927280168284161</v>
      </c>
      <c r="BM1129" s="17">
        <f>BM652/(BM669-BM668)</f>
        <v>0.22432494054962326</v>
      </c>
      <c r="BN1129" s="17">
        <f t="shared" ref="BN1129" si="5533">BN652/(BN669-BN668)</f>
        <v>0.22341541921224187</v>
      </c>
      <c r="BO1129" s="17">
        <f>BO652/(BO669-BO668)</f>
        <v>0.22386012962552734</v>
      </c>
      <c r="BP1129" s="17">
        <f>BP652/(BP669-BP668)</f>
        <v>0.22900627324238498</v>
      </c>
      <c r="BQ1129" s="17">
        <f t="shared" ref="BQ1129" si="5534">BQ652/(BQ669-BQ668)</f>
        <v>0.22803133052857508</v>
      </c>
      <c r="BR1129" s="17">
        <f>BR652/(BR669-BR668)</f>
        <v>0.22850793896501143</v>
      </c>
    </row>
    <row r="1130" spans="3:70" outlineLevel="1">
      <c r="C1130" s="477" t="s">
        <v>605</v>
      </c>
      <c r="D1130" s="31"/>
      <c r="E1130" s="31"/>
      <c r="F1130" s="31"/>
      <c r="G1130" s="31"/>
      <c r="H1130" s="31"/>
      <c r="I1130" s="31"/>
      <c r="J1130" s="31"/>
      <c r="K1130" s="31"/>
      <c r="L1130" s="31"/>
      <c r="M1130" s="31"/>
      <c r="N1130" s="31"/>
      <c r="O1130" s="31"/>
      <c r="AC1130" s="51">
        <f t="shared" ref="AC1130:BR1130" si="5535">+AC284+AC285</f>
        <v>0.6</v>
      </c>
      <c r="AD1130" s="51">
        <f t="shared" si="5535"/>
        <v>0.6</v>
      </c>
      <c r="AE1130" s="334">
        <f t="shared" si="5535"/>
        <v>0.6</v>
      </c>
      <c r="AF1130" s="334">
        <f t="shared" si="5535"/>
        <v>0.59908024087375678</v>
      </c>
      <c r="AG1130" s="980">
        <f t="shared" si="5535"/>
        <v>0.61305160745806675</v>
      </c>
      <c r="AH1130" s="51">
        <f t="shared" si="5535"/>
        <v>0.60621552691053204</v>
      </c>
      <c r="AI1130" s="51">
        <f t="shared" si="5535"/>
        <v>0.63195713571672241</v>
      </c>
      <c r="AJ1130" s="51">
        <f t="shared" si="5535"/>
        <v>0.6506714565762699</v>
      </c>
      <c r="AK1130" s="51">
        <f t="shared" si="5535"/>
        <v>0.64147332365439058</v>
      </c>
      <c r="AL1130" s="51">
        <f t="shared" si="5535"/>
        <v>0.64802661574818154</v>
      </c>
      <c r="AM1130" s="51">
        <f t="shared" si="5535"/>
        <v>0.65495106196328567</v>
      </c>
      <c r="AN1130" s="51">
        <f t="shared" si="5535"/>
        <v>0.65139747407313475</v>
      </c>
      <c r="AO1130" s="51">
        <f t="shared" si="5535"/>
        <v>0.65292442854309363</v>
      </c>
      <c r="AP1130" s="51">
        <f t="shared" si="5535"/>
        <v>0.65920287822770618</v>
      </c>
      <c r="AQ1130" s="51">
        <f t="shared" si="5535"/>
        <v>0.65597212802582527</v>
      </c>
      <c r="AR1130" s="51">
        <f t="shared" si="5535"/>
        <v>0.65718002050707236</v>
      </c>
      <c r="AS1130" s="51">
        <f t="shared" si="5535"/>
        <v>0.66343727107488049</v>
      </c>
      <c r="AT1130" s="51">
        <f t="shared" si="5535"/>
        <v>0.66021796887308082</v>
      </c>
      <c r="AU1130" s="51">
        <f t="shared" si="5535"/>
        <v>0.66141857960574224</v>
      </c>
      <c r="AV1130" s="51">
        <f t="shared" si="5535"/>
        <v>0.66765355344142985</v>
      </c>
      <c r="AW1130" s="51">
        <f t="shared" si="5535"/>
        <v>0.6644462477580575</v>
      </c>
      <c r="AX1130" s="51">
        <f t="shared" si="5535"/>
        <v>0.6656394162228676</v>
      </c>
      <c r="AY1130" s="51">
        <f t="shared" si="5535"/>
        <v>0.67185104779030924</v>
      </c>
      <c r="AZ1130" s="51">
        <f t="shared" si="5535"/>
        <v>0.66865628063853855</v>
      </c>
      <c r="BA1130" s="51">
        <f t="shared" si="5535"/>
        <v>0.66984184997360618</v>
      </c>
      <c r="BB1130" s="51">
        <f t="shared" si="5535"/>
        <v>0.6760290865771843</v>
      </c>
      <c r="BC1130" s="51">
        <f t="shared" si="5535"/>
        <v>0.67284739308079089</v>
      </c>
      <c r="BD1130" s="51">
        <f t="shared" si="5535"/>
        <v>0.67402521017493755</v>
      </c>
      <c r="BE1130" s="51">
        <f t="shared" si="5535"/>
        <v>0.68018701270420712</v>
      </c>
      <c r="BF1130" s="51">
        <f t="shared" si="5535"/>
        <v>0.67701892072226599</v>
      </c>
      <c r="BG1130" s="51">
        <f t="shared" si="5535"/>
        <v>0.67818883630395277</v>
      </c>
      <c r="BH1130" s="51">
        <f t="shared" si="5535"/>
        <v>0.68432417996053341</v>
      </c>
      <c r="BI1130" s="51">
        <f t="shared" si="5535"/>
        <v>0.68117020972160169</v>
      </c>
      <c r="BJ1130" s="51">
        <f t="shared" si="5535"/>
        <v>0.68233207844332699</v>
      </c>
      <c r="BK1130" s="51">
        <f t="shared" si="5535"/>
        <v>0.6884399534489456</v>
      </c>
      <c r="BL1130" s="51">
        <f t="shared" si="5535"/>
        <v>0.68530061719526758</v>
      </c>
      <c r="BM1130" s="51">
        <f t="shared" si="5535"/>
        <v>0.68645429771333277</v>
      </c>
      <c r="BN1130" s="51">
        <f t="shared" si="5535"/>
        <v>0.69253370999798136</v>
      </c>
      <c r="BO1130" s="51">
        <f t="shared" si="5535"/>
        <v>0.68940951164023034</v>
      </c>
      <c r="BP1130" s="51">
        <f t="shared" si="5535"/>
        <v>0.69055486668978006</v>
      </c>
      <c r="BQ1130" s="51">
        <f t="shared" si="5535"/>
        <v>0.69660483855900468</v>
      </c>
      <c r="BR1130" s="51">
        <f t="shared" si="5535"/>
        <v>0.69349627334205033</v>
      </c>
    </row>
    <row r="1131" spans="3:70" outlineLevel="1">
      <c r="C1131" s="477" t="s">
        <v>606</v>
      </c>
      <c r="D1131" s="31"/>
      <c r="E1131" s="31"/>
      <c r="F1131" s="31"/>
      <c r="G1131" s="31"/>
      <c r="H1131" s="31"/>
      <c r="I1131" s="31"/>
      <c r="J1131" s="31"/>
      <c r="K1131" s="31"/>
      <c r="L1131" s="31"/>
      <c r="M1131" s="31"/>
      <c r="N1131" s="31"/>
      <c r="O1131" s="31"/>
      <c r="AC1131" s="51">
        <f t="shared" ref="AC1131:BR1131" si="5536">+AC286</f>
        <v>0.4</v>
      </c>
      <c r="AD1131" s="51">
        <f t="shared" si="5536"/>
        <v>0.4</v>
      </c>
      <c r="AE1131" s="334">
        <f t="shared" si="5536"/>
        <v>0.4</v>
      </c>
      <c r="AF1131" s="334">
        <f t="shared" si="5536"/>
        <v>0.40091975912624311</v>
      </c>
      <c r="AG1131" s="980">
        <f t="shared" si="5536"/>
        <v>0.38694839254193331</v>
      </c>
      <c r="AH1131" s="51">
        <f t="shared" si="5536"/>
        <v>0.39378447308946801</v>
      </c>
      <c r="AI1131" s="51">
        <f t="shared" si="5536"/>
        <v>0.36804286428327748</v>
      </c>
      <c r="AJ1131" s="51">
        <f t="shared" si="5536"/>
        <v>0.34932854342373015</v>
      </c>
      <c r="AK1131" s="51">
        <f t="shared" si="5536"/>
        <v>0.35852667634560942</v>
      </c>
      <c r="AL1131" s="51">
        <f t="shared" si="5536"/>
        <v>0.35197338425181851</v>
      </c>
      <c r="AM1131" s="51">
        <f t="shared" si="5536"/>
        <v>0.34504893803671433</v>
      </c>
      <c r="AN1131" s="51">
        <f t="shared" si="5536"/>
        <v>0.34860252592686525</v>
      </c>
      <c r="AO1131" s="51">
        <f t="shared" si="5536"/>
        <v>0.34707557145690621</v>
      </c>
      <c r="AP1131" s="51">
        <f t="shared" si="5536"/>
        <v>0.34079712177229377</v>
      </c>
      <c r="AQ1131" s="51">
        <f t="shared" si="5536"/>
        <v>0.34402787197417461</v>
      </c>
      <c r="AR1131" s="51">
        <f t="shared" si="5536"/>
        <v>0.34281997949292764</v>
      </c>
      <c r="AS1131" s="51">
        <f t="shared" si="5536"/>
        <v>0.33656272892511951</v>
      </c>
      <c r="AT1131" s="51">
        <f t="shared" si="5536"/>
        <v>0.33978203112691924</v>
      </c>
      <c r="AU1131" s="51">
        <f t="shared" si="5536"/>
        <v>0.33858142039425781</v>
      </c>
      <c r="AV1131" s="51">
        <f t="shared" si="5536"/>
        <v>0.33234644655857026</v>
      </c>
      <c r="AW1131" s="51">
        <f t="shared" si="5536"/>
        <v>0.33555375224194267</v>
      </c>
      <c r="AX1131" s="51">
        <f t="shared" si="5536"/>
        <v>0.33436058377713235</v>
      </c>
      <c r="AY1131" s="51">
        <f t="shared" si="5536"/>
        <v>0.32814895220969065</v>
      </c>
      <c r="AZ1131" s="51">
        <f t="shared" si="5536"/>
        <v>0.3313437193614614</v>
      </c>
      <c r="BA1131" s="51">
        <f t="shared" si="5536"/>
        <v>0.33015815002639382</v>
      </c>
      <c r="BB1131" s="51">
        <f t="shared" si="5536"/>
        <v>0.3239709134228157</v>
      </c>
      <c r="BC1131" s="51">
        <f t="shared" si="5536"/>
        <v>0.327152606919209</v>
      </c>
      <c r="BD1131" s="51">
        <f t="shared" si="5536"/>
        <v>0.32597478982506245</v>
      </c>
      <c r="BE1131" s="51">
        <f t="shared" si="5536"/>
        <v>0.31981298729579299</v>
      </c>
      <c r="BF1131" s="51">
        <f t="shared" si="5536"/>
        <v>0.3229810792777339</v>
      </c>
      <c r="BG1131" s="51">
        <f t="shared" si="5536"/>
        <v>0.32181116369604723</v>
      </c>
      <c r="BH1131" s="51">
        <f t="shared" si="5536"/>
        <v>0.31567582003946665</v>
      </c>
      <c r="BI1131" s="51">
        <f t="shared" si="5536"/>
        <v>0.31882979027839825</v>
      </c>
      <c r="BJ1131" s="51">
        <f t="shared" si="5536"/>
        <v>0.31766792155667301</v>
      </c>
      <c r="BK1131" s="51">
        <f t="shared" si="5536"/>
        <v>0.31156004655105451</v>
      </c>
      <c r="BL1131" s="51">
        <f t="shared" si="5536"/>
        <v>0.31469938280473247</v>
      </c>
      <c r="BM1131" s="51">
        <f t="shared" si="5536"/>
        <v>0.31354570228666712</v>
      </c>
      <c r="BN1131" s="51">
        <f t="shared" si="5536"/>
        <v>0.30746629000201858</v>
      </c>
      <c r="BO1131" s="51">
        <f t="shared" si="5536"/>
        <v>0.31059048835976949</v>
      </c>
      <c r="BP1131" s="51">
        <f t="shared" si="5536"/>
        <v>0.30944513331022</v>
      </c>
      <c r="BQ1131" s="51">
        <f t="shared" si="5536"/>
        <v>0.30339516144099521</v>
      </c>
      <c r="BR1131" s="51">
        <f t="shared" si="5536"/>
        <v>0.30650372665794962</v>
      </c>
    </row>
    <row r="1132" spans="3:70" outlineLevel="1">
      <c r="C1132" s="9" t="s">
        <v>611</v>
      </c>
      <c r="D1132" s="31"/>
      <c r="E1132" s="31"/>
      <c r="F1132" s="31"/>
      <c r="G1132" s="31"/>
      <c r="H1132" s="31"/>
      <c r="I1132" s="31"/>
      <c r="J1132" s="31"/>
      <c r="K1132" s="31"/>
      <c r="L1132" s="31"/>
      <c r="M1132" s="31"/>
      <c r="N1132" s="31"/>
      <c r="O1132" s="31"/>
      <c r="AC1132" s="51">
        <f>(AC1121*AC1120)+(AC1124*AC1123)+(AC1127*AC1126)+(AC1130*AC1129)</f>
        <v>0.38245706274097446</v>
      </c>
      <c r="AD1132" s="51">
        <f t="shared" ref="AD1132:AM1132" si="5537">(AD1121*AD1120)+(AD1124*AD1123)+(AD1127*AD1126)+(AD1130*AD1129)</f>
        <v>0.37613287904599657</v>
      </c>
      <c r="AE1132" s="334">
        <f t="shared" si="5537"/>
        <v>0.37925017277125089</v>
      </c>
      <c r="AF1132" s="334">
        <f>(AF1121*AF1120)+(AF1124*AF1123)+(AF1127*AF1126)+(AF1130*AF1129)</f>
        <v>0.37277845999501724</v>
      </c>
      <c r="AG1132" s="980">
        <f t="shared" si="5537"/>
        <v>0.36859653930756764</v>
      </c>
      <c r="AH1132" s="51">
        <f>(AH1121*AH1120)+(AH1124*AH1123)+(AH1127*AH1126)+(AH1130*AH1129)</f>
        <v>0.37071513256664934</v>
      </c>
      <c r="AI1132" s="51">
        <f>(AI1121*AI1120)+(AI1124*AI1123)+(AI1127*AI1126)+(AI1130*AI1129)</f>
        <v>0.38206941331910993</v>
      </c>
      <c r="AJ1132" s="51">
        <f t="shared" si="5537"/>
        <v>0.37484243110157339</v>
      </c>
      <c r="AK1132" s="51">
        <f>(AK1121*AK1120)+(AK1124*AK1123)+(AK1127*AK1126)+(AK1130*AK1129)</f>
        <v>0.37861283926808892</v>
      </c>
      <c r="AL1132" s="51">
        <f>(AL1121*AL1120)+(AL1124*AL1123)+(AL1127*AL1126)+(AL1130*AL1129)</f>
        <v>0.38423436313819326</v>
      </c>
      <c r="AM1132" s="51">
        <f t="shared" si="5537"/>
        <v>0.37967204565598384</v>
      </c>
      <c r="AN1132" s="51">
        <f>(AN1121*AN1120)+(AN1124*AN1123)+(AN1127*AN1126)+(AN1130*AN1129)</f>
        <v>0.38196695181816864</v>
      </c>
      <c r="AO1132" s="51">
        <f>(AO1121*AO1120)+(AO1124*AO1123)+(AO1127*AO1126)+(AO1130*AO1129)</f>
        <v>0.38763135730176124</v>
      </c>
      <c r="AP1132" s="51">
        <f t="shared" ref="AP1132" si="5538">(AP1121*AP1120)+(AP1124*AP1123)+(AP1127*AP1126)+(AP1130*AP1129)</f>
        <v>0.38284290401381565</v>
      </c>
      <c r="AQ1132" s="51">
        <f>(AQ1121*AQ1120)+(AQ1124*AQ1123)+(AQ1127*AQ1126)+(AQ1130*AQ1129)</f>
        <v>0.38526446116680374</v>
      </c>
      <c r="AR1132" s="51">
        <f>(AR1121*AR1120)+(AR1124*AR1123)+(AR1127*AR1126)+(AR1130*AR1129)</f>
        <v>0.39171761102573666</v>
      </c>
      <c r="AS1132" s="51">
        <f t="shared" ref="AS1132" si="5539">(AS1121*AS1120)+(AS1124*AS1123)+(AS1127*AS1126)+(AS1130*AS1129)</f>
        <v>0.38692137175707808</v>
      </c>
      <c r="AT1132" s="51">
        <f>(AT1121*AT1120)+(AT1124*AT1123)+(AT1127*AT1126)+(AT1130*AT1129)</f>
        <v>0.38934581642893507</v>
      </c>
      <c r="AU1132" s="51">
        <f>(AU1121*AU1120)+(AU1124*AU1123)+(AU1127*AU1126)+(AU1130*AU1129)</f>
        <v>0.39585762633478272</v>
      </c>
      <c r="AV1132" s="51">
        <f t="shared" ref="AV1132" si="5540">(AV1121*AV1120)+(AV1124*AV1123)+(AV1127*AV1126)+(AV1130*AV1129)</f>
        <v>0.39105598076022163</v>
      </c>
      <c r="AW1132" s="51">
        <f>(AW1121*AW1120)+(AW1124*AW1123)+(AW1127*AW1126)+(AW1130*AW1129)</f>
        <v>0.39348214821510263</v>
      </c>
      <c r="AX1132" s="51">
        <f>(AX1121*AX1120)+(AX1124*AX1123)+(AX1127*AX1126)+(AX1130*AX1129)</f>
        <v>0.40005132618634798</v>
      </c>
      <c r="AY1132" s="51">
        <f t="shared" ref="AY1132" si="5541">(AY1121*AY1120)+(AY1124*AY1123)+(AY1127*AY1126)+(AY1130*AY1129)</f>
        <v>0.39524661673371597</v>
      </c>
      <c r="AZ1132" s="51">
        <f>(AZ1121*AZ1120)+(AZ1124*AZ1123)+(AZ1127*AZ1126)+(AZ1130*AZ1129)</f>
        <v>0.39767336112657758</v>
      </c>
      <c r="BA1132" s="51">
        <f>(BA1121*BA1120)+(BA1124*BA1123)+(BA1127*BA1126)+(BA1130*BA1129)</f>
        <v>0.40429857242071815</v>
      </c>
      <c r="BB1132" s="51">
        <f t="shared" ref="BB1132" si="5542">(BB1121*BB1120)+(BB1124*BB1123)+(BB1127*BB1126)+(BB1130*BB1129)</f>
        <v>0.39949310427092338</v>
      </c>
      <c r="BC1132" s="51">
        <f>(BC1121*BC1120)+(BC1124*BC1123)+(BC1127*BC1126)+(BC1130*BC1129)</f>
        <v>0.40191929858580816</v>
      </c>
      <c r="BD1132" s="51">
        <f>(BD1121*BD1120)+(BD1124*BD1123)+(BD1127*BD1126)+(BD1130*BD1129)</f>
        <v>0.40859916480979352</v>
      </c>
      <c r="BE1132" s="51">
        <f t="shared" ref="BE1132" si="5543">(BE1121*BE1120)+(BE1124*BE1123)+(BE1127*BE1126)+(BE1130*BE1129)</f>
        <v>0.40379520593801543</v>
      </c>
      <c r="BF1132" s="51">
        <f>(BF1121*BF1120)+(BF1124*BF1123)+(BF1127*BF1126)+(BF1130*BF1129)</f>
        <v>0.40621974190927868</v>
      </c>
      <c r="BG1132" s="51">
        <f>(BG1121*BG1120)+(BG1124*BG1123)+(BG1127*BG1126)+(BG1130*BG1129)</f>
        <v>0.41295284019861178</v>
      </c>
      <c r="BH1132" s="51">
        <f t="shared" ref="BH1132" si="5544">(BH1121*BH1120)+(BH1124*BH1123)+(BH1127*BH1126)+(BH1130*BH1129)</f>
        <v>0.40815262144812042</v>
      </c>
      <c r="BI1132" s="51">
        <f>(BI1121*BI1120)+(BI1124*BI1123)+(BI1127*BI1126)+(BI1130*BI1129)</f>
        <v>0.41057440946877638</v>
      </c>
      <c r="BJ1132" s="51">
        <f>(BJ1121*BJ1120)+(BJ1124*BJ1123)+(BJ1127*BJ1126)+(BJ1130*BJ1129)</f>
        <v>0.41735927174371662</v>
      </c>
      <c r="BK1132" s="51">
        <f t="shared" ref="BK1132" si="5545">(BK1121*BK1120)+(BK1124*BK1123)+(BK1127*BK1126)+(BK1130*BK1129)</f>
        <v>0.41256498692405541</v>
      </c>
      <c r="BL1132" s="51">
        <f>(BL1121*BL1120)+(BL1124*BL1123)+(BL1127*BL1126)+(BL1130*BL1129)</f>
        <v>0.41498295594528284</v>
      </c>
      <c r="BM1132" s="51">
        <f>(BM1121*BM1120)+(BM1124*BM1123)+(BM1127*BM1126)+(BM1130*BM1129)</f>
        <v>0.4218180682524264</v>
      </c>
      <c r="BN1132" s="51">
        <f t="shared" ref="BN1132" si="5546">(BN1121*BN1120)+(BN1124*BN1123)+(BN1127*BN1126)+(BN1130*BN1129)</f>
        <v>0.41703187425398647</v>
      </c>
      <c r="BO1132" s="51">
        <f>(BO1121*BO1120)+(BO1124*BO1123)+(BO1127*BO1126)+(BO1130*BO1129)</f>
        <v>0.41944497167967842</v>
      </c>
      <c r="BP1132" s="51">
        <f>(BP1121*BP1120)+(BP1124*BP1123)+(BP1127*BP1126)+(BP1130*BP1129)</f>
        <v>0.42632877362698435</v>
      </c>
      <c r="BQ1132" s="51">
        <f t="shared" ref="BQ1132" si="5547">(BQ1121*BQ1120)+(BQ1124*BQ1123)+(BQ1127*BQ1126)+(BQ1130*BQ1129)</f>
        <v>0.42155279054432937</v>
      </c>
      <c r="BR1132" s="51">
        <f>(BR1121*BR1120)+(BR1124*BR1123)+(BR1127*BR1126)+(BR1130*BR1129)</f>
        <v>0.42395998212439678</v>
      </c>
    </row>
    <row r="1133" spans="3:70" outlineLevel="1">
      <c r="C1133" s="538" t="s">
        <v>612</v>
      </c>
      <c r="D1133" s="31"/>
      <c r="E1133" s="31"/>
      <c r="F1133" s="31"/>
      <c r="G1133" s="31"/>
      <c r="H1133" s="31"/>
      <c r="I1133" s="31"/>
      <c r="J1133" s="31"/>
      <c r="K1133" s="31"/>
      <c r="L1133" s="31"/>
      <c r="M1133" s="31"/>
      <c r="N1133" s="31"/>
      <c r="O1133" s="31"/>
      <c r="AC1133" s="51">
        <f>SUM(AC1122*AC1120)+(AC1125*AC1123)+(AC1128*AC1126)+(AC1131*AC1129)</f>
        <v>0.61754293725902565</v>
      </c>
      <c r="AD1133" s="51">
        <f t="shared" ref="AD1133:AM1133" si="5548">SUM(AD1122*AD1120)+(AD1125*AD1123)+(AD1128*AD1126)+(AD1131*AD1129)</f>
        <v>0.62386712095400343</v>
      </c>
      <c r="AE1133" s="334">
        <f t="shared" si="5548"/>
        <v>0.62074982722874905</v>
      </c>
      <c r="AF1133" s="334">
        <f>SUM(AF1122*AF1120)+(AF1125*AF1123)+(AF1128*AF1126)+(AF1131*AF1129)</f>
        <v>0.62722154000498265</v>
      </c>
      <c r="AG1133" s="980">
        <f t="shared" si="5548"/>
        <v>0.63140346069243225</v>
      </c>
      <c r="AH1133" s="51">
        <f>SUM(AH1122*AH1120)+(AH1125*AH1123)+(AH1128*AH1126)+(AH1131*AH1129)</f>
        <v>0.62928486743335066</v>
      </c>
      <c r="AI1133" s="51">
        <f>SUM(AI1122*AI1120)+(AI1125*AI1123)+(AI1128*AI1126)+(AI1131*AI1129)</f>
        <v>0.61793058668088996</v>
      </c>
      <c r="AJ1133" s="51">
        <f t="shared" si="5548"/>
        <v>0.62515756889842677</v>
      </c>
      <c r="AK1133" s="51">
        <f>SUM(AK1122*AK1120)+(AK1125*AK1123)+(AK1128*AK1126)+(AK1131*AK1129)</f>
        <v>0.62138716073191103</v>
      </c>
      <c r="AL1133" s="51">
        <f>SUM(AL1122*AL1120)+(AL1125*AL1123)+(AL1128*AL1126)+(AL1131*AL1129)</f>
        <v>0.61576563686180696</v>
      </c>
      <c r="AM1133" s="51">
        <f t="shared" si="5548"/>
        <v>0.62032795434401611</v>
      </c>
      <c r="AN1133" s="51">
        <f>SUM(AN1122*AN1120)+(AN1125*AN1123)+(AN1128*AN1126)+(AN1131*AN1129)</f>
        <v>0.61803304818183147</v>
      </c>
      <c r="AO1133" s="51">
        <f>SUM(AO1122*AO1120)+(AO1125*AO1123)+(AO1128*AO1126)+(AO1131*AO1129)</f>
        <v>0.61236864269823887</v>
      </c>
      <c r="AP1133" s="51">
        <f t="shared" ref="AP1133" si="5549">SUM(AP1122*AP1120)+(AP1125*AP1123)+(AP1128*AP1126)+(AP1131*AP1129)</f>
        <v>0.6171570959861844</v>
      </c>
      <c r="AQ1133" s="51">
        <f>SUM(AQ1122*AQ1120)+(AQ1125*AQ1123)+(AQ1128*AQ1126)+(AQ1131*AQ1129)</f>
        <v>0.61473553883319632</v>
      </c>
      <c r="AR1133" s="51">
        <f>SUM(AR1122*AR1120)+(AR1125*AR1123)+(AR1128*AR1126)+(AR1131*AR1129)</f>
        <v>0.60828238897426323</v>
      </c>
      <c r="AS1133" s="51">
        <f t="shared" ref="AS1133" si="5550">SUM(AS1122*AS1120)+(AS1125*AS1123)+(AS1128*AS1126)+(AS1131*AS1129)</f>
        <v>0.61307862824292181</v>
      </c>
      <c r="AT1133" s="51">
        <f>SUM(AT1122*AT1120)+(AT1125*AT1123)+(AT1128*AT1126)+(AT1131*AT1129)</f>
        <v>0.61065418357106505</v>
      </c>
      <c r="AU1133" s="51">
        <f>SUM(AU1122*AU1120)+(AU1125*AU1123)+(AU1128*AU1126)+(AU1131*AU1129)</f>
        <v>0.60414237366521739</v>
      </c>
      <c r="AV1133" s="51">
        <f t="shared" ref="AV1133" si="5551">SUM(AV1122*AV1120)+(AV1125*AV1123)+(AV1128*AV1126)+(AV1131*AV1129)</f>
        <v>0.60894401923977837</v>
      </c>
      <c r="AW1133" s="51">
        <f>SUM(AW1122*AW1120)+(AW1125*AW1123)+(AW1128*AW1126)+(AW1131*AW1129)</f>
        <v>0.60651785178489726</v>
      </c>
      <c r="AX1133" s="51">
        <f>SUM(AX1122*AX1120)+(AX1125*AX1123)+(AX1128*AX1126)+(AX1131*AX1129)</f>
        <v>0.59994867381365191</v>
      </c>
      <c r="AY1133" s="51">
        <f t="shared" ref="AY1133" si="5552">SUM(AY1122*AY1120)+(AY1125*AY1123)+(AY1128*AY1126)+(AY1131*AY1129)</f>
        <v>0.60475338326628403</v>
      </c>
      <c r="AZ1133" s="51">
        <f>SUM(AZ1122*AZ1120)+(AZ1125*AZ1123)+(AZ1128*AZ1126)+(AZ1131*AZ1129)</f>
        <v>0.60232663887342253</v>
      </c>
      <c r="BA1133" s="51">
        <f>SUM(BA1122*BA1120)+(BA1125*BA1123)+(BA1128*BA1126)+(BA1131*BA1129)</f>
        <v>0.59570142757928202</v>
      </c>
      <c r="BB1133" s="51">
        <f t="shared" ref="BB1133" si="5553">SUM(BB1122*BB1120)+(BB1125*BB1123)+(BB1128*BB1126)+(BB1131*BB1129)</f>
        <v>0.60050689572907667</v>
      </c>
      <c r="BC1133" s="51">
        <f>SUM(BC1122*BC1120)+(BC1125*BC1123)+(BC1128*BC1126)+(BC1131*BC1129)</f>
        <v>0.59808070141419178</v>
      </c>
      <c r="BD1133" s="51">
        <f>SUM(BD1122*BD1120)+(BD1125*BD1123)+(BD1128*BD1126)+(BD1131*BD1129)</f>
        <v>0.59140083519020648</v>
      </c>
      <c r="BE1133" s="51">
        <f t="shared" ref="BE1133" si="5554">SUM(BE1122*BE1120)+(BE1125*BE1123)+(BE1128*BE1126)+(BE1131*BE1129)</f>
        <v>0.59620479406198468</v>
      </c>
      <c r="BF1133" s="51">
        <f>SUM(BF1122*BF1120)+(BF1125*BF1123)+(BF1128*BF1126)+(BF1131*BF1129)</f>
        <v>0.59378025809072121</v>
      </c>
      <c r="BG1133" s="51">
        <f>SUM(BG1122*BG1120)+(BG1125*BG1123)+(BG1128*BG1126)+(BG1131*BG1129)</f>
        <v>0.58704715980138811</v>
      </c>
      <c r="BH1133" s="51">
        <f t="shared" ref="BH1133" si="5555">SUM(BH1122*BH1120)+(BH1125*BH1123)+(BH1128*BH1126)+(BH1131*BH1129)</f>
        <v>0.59184737855187963</v>
      </c>
      <c r="BI1133" s="51">
        <f>SUM(BI1122*BI1120)+(BI1125*BI1123)+(BI1128*BI1126)+(BI1131*BI1129)</f>
        <v>0.58942559053122356</v>
      </c>
      <c r="BJ1133" s="51">
        <f>SUM(BJ1122*BJ1120)+(BJ1125*BJ1123)+(BJ1128*BJ1126)+(BJ1131*BJ1129)</f>
        <v>0.58264072825628355</v>
      </c>
      <c r="BK1133" s="51">
        <f t="shared" ref="BK1133" si="5556">SUM(BK1122*BK1120)+(BK1125*BK1123)+(BK1128*BK1126)+(BK1131*BK1129)</f>
        <v>0.58743501307594459</v>
      </c>
      <c r="BL1133" s="51">
        <f>SUM(BL1122*BL1120)+(BL1125*BL1123)+(BL1128*BL1126)+(BL1131*BL1129)</f>
        <v>0.58501704405471733</v>
      </c>
      <c r="BM1133" s="51">
        <f>SUM(BM1122*BM1120)+(BM1125*BM1123)+(BM1128*BM1126)+(BM1131*BM1129)</f>
        <v>0.5781819317475736</v>
      </c>
      <c r="BN1133" s="51">
        <f t="shared" ref="BN1133" si="5557">SUM(BN1122*BN1120)+(BN1125*BN1123)+(BN1128*BN1126)+(BN1131*BN1129)</f>
        <v>0.58296812574601353</v>
      </c>
      <c r="BO1133" s="51">
        <f>SUM(BO1122*BO1120)+(BO1125*BO1123)+(BO1128*BO1126)+(BO1131*BO1129)</f>
        <v>0.58055502832032158</v>
      </c>
      <c r="BP1133" s="51">
        <f>SUM(BP1122*BP1120)+(BP1125*BP1123)+(BP1128*BP1126)+(BP1131*BP1129)</f>
        <v>0.57367122637301571</v>
      </c>
      <c r="BQ1133" s="51">
        <f t="shared" ref="BQ1133" si="5558">SUM(BQ1122*BQ1120)+(BQ1125*BQ1123)+(BQ1128*BQ1126)+(BQ1131*BQ1129)</f>
        <v>0.57844720945567063</v>
      </c>
      <c r="BR1133" s="51">
        <f>SUM(BR1122*BR1120)+(BR1125*BR1123)+(BR1128*BR1126)+(BR1131*BR1129)</f>
        <v>0.57604001787560311</v>
      </c>
    </row>
    <row r="1134" spans="3:70" outlineLevel="1">
      <c r="C1134" s="538" t="s">
        <v>293</v>
      </c>
      <c r="D1134" s="31"/>
      <c r="E1134" s="31"/>
      <c r="F1134" s="31"/>
      <c r="G1134" s="31"/>
      <c r="H1134" s="31"/>
      <c r="I1134" s="31"/>
      <c r="J1134" s="31"/>
      <c r="K1134" s="31"/>
      <c r="L1134" s="31"/>
      <c r="M1134" s="31"/>
      <c r="N1134" s="31"/>
      <c r="O1134" s="31"/>
      <c r="AC1134" s="51"/>
      <c r="AD1134" s="51"/>
      <c r="AE1134" s="334"/>
      <c r="AF1134" s="334"/>
      <c r="AG1134" s="980"/>
      <c r="AH1134" s="51"/>
      <c r="AI1134" s="51"/>
      <c r="AJ1134" s="51"/>
      <c r="AK1134" s="51"/>
      <c r="AL1134" s="51"/>
      <c r="AM1134" s="51"/>
      <c r="AN1134" s="51"/>
      <c r="AO1134" s="51"/>
      <c r="AP1134" s="51"/>
      <c r="AQ1134" s="51"/>
      <c r="AR1134" s="51"/>
      <c r="AS1134" s="51"/>
      <c r="AT1134" s="51"/>
      <c r="AU1134" s="51"/>
      <c r="AV1134" s="51"/>
      <c r="AW1134" s="51"/>
      <c r="AX1134" s="51"/>
      <c r="AY1134" s="51"/>
      <c r="AZ1134" s="51"/>
      <c r="BA1134" s="51"/>
      <c r="BB1134" s="51"/>
      <c r="BC1134" s="51"/>
      <c r="BD1134" s="51"/>
      <c r="BE1134" s="51"/>
      <c r="BF1134" s="51"/>
      <c r="BG1134" s="51"/>
      <c r="BH1134" s="51"/>
      <c r="BI1134" s="51"/>
      <c r="BJ1134" s="51"/>
      <c r="BK1134" s="51"/>
      <c r="BL1134" s="51"/>
      <c r="BM1134" s="51"/>
      <c r="BN1134" s="51"/>
      <c r="BO1134" s="51"/>
      <c r="BP1134" s="51"/>
      <c r="BQ1134" s="51"/>
      <c r="BR1134" s="51"/>
    </row>
    <row r="1135" spans="3:70" outlineLevel="1">
      <c r="C1135" s="547" t="s">
        <v>644</v>
      </c>
      <c r="D1135" s="31"/>
      <c r="E1135" s="31"/>
      <c r="F1135" s="31"/>
      <c r="G1135" s="31"/>
      <c r="H1135" s="31"/>
      <c r="I1135" s="31"/>
      <c r="J1135" s="31"/>
      <c r="K1135" s="31"/>
      <c r="L1135" s="31"/>
      <c r="M1135" s="31"/>
      <c r="N1135" s="31"/>
      <c r="O1135" s="31"/>
      <c r="AB1135" s="130"/>
      <c r="AC1135" s="334">
        <f t="shared" ref="AC1135:AM1135" si="5559">((AC1121*AC1120/AC1132)*1)</f>
        <v>0.24561242725564769</v>
      </c>
      <c r="AD1135" s="334">
        <f t="shared" si="5559"/>
        <v>0.25762036324108883</v>
      </c>
      <c r="AE1135" s="334">
        <f t="shared" si="5559"/>
        <v>0.2516514054029429</v>
      </c>
      <c r="AF1135" s="334">
        <f>((AF1121*AF1120/AF1132)*1)</f>
        <v>0.27015306287236818</v>
      </c>
      <c r="AG1135" s="980">
        <f t="shared" si="5559"/>
        <v>0.28245034022706522</v>
      </c>
      <c r="AH1135" s="334">
        <f>((AH1121*AH1120/AH1132)*1)</f>
        <v>0.27647412140403488</v>
      </c>
      <c r="AI1135" s="334">
        <f>((AI1121*AI1120/AI1132)*1)</f>
        <v>0.27326955216549159</v>
      </c>
      <c r="AJ1135" s="334">
        <f t="shared" si="5559"/>
        <v>0.28222984115642186</v>
      </c>
      <c r="AK1135" s="334">
        <f>((AK1121*AK1120/AK1132)*1)</f>
        <v>0.27790632957712597</v>
      </c>
      <c r="AL1135" s="334">
        <f>((AL1121*AL1120/AL1132)*1)</f>
        <v>0.28185005438364835</v>
      </c>
      <c r="AM1135" s="334">
        <f t="shared" si="5559"/>
        <v>0.28610700477254669</v>
      </c>
      <c r="AN1135" s="334">
        <f>((AN1121*AN1120/AN1132)*1)</f>
        <v>0.2842258003708667</v>
      </c>
      <c r="AO1135" s="334">
        <f>((AO1121*AO1120/AO1132)*1)</f>
        <v>0.28292752007561983</v>
      </c>
      <c r="AP1135" s="334">
        <f t="shared" ref="AP1135" si="5560">((AP1121*AP1120/AP1132)*1)</f>
        <v>0.28671524717227748</v>
      </c>
      <c r="AQ1135" s="334">
        <f>((AQ1121*AQ1120/AQ1132)*1)</f>
        <v>0.28505792690053294</v>
      </c>
      <c r="AR1135" s="334">
        <f>((AR1121*AR1120/AR1132)*1)</f>
        <v>0.28258681063316865</v>
      </c>
      <c r="AS1135" s="334">
        <f t="shared" ref="AS1135" si="5561">((AS1121*AS1120/AS1132)*1)</f>
        <v>0.28620372115070974</v>
      </c>
      <c r="AT1135" s="334">
        <f>((AT1121*AT1120/AT1132)*1)</f>
        <v>0.2846308948591908</v>
      </c>
      <c r="AU1135" s="334">
        <f>((AU1121*AU1120/AU1132)*1)</f>
        <v>0.28216482871981474</v>
      </c>
      <c r="AV1135" s="334">
        <f t="shared" ref="AV1135" si="5562">((AV1121*AV1120/AV1132)*1)</f>
        <v>0.28561268128439032</v>
      </c>
      <c r="AW1135" s="334">
        <f>((AW1121*AW1120/AW1132)*1)</f>
        <v>0.28412336063707133</v>
      </c>
      <c r="AX1135" s="334">
        <f>((AX1121*AX1120/AX1132)*1)</f>
        <v>0.28166251299558315</v>
      </c>
      <c r="AY1135" s="334">
        <f t="shared" ref="AY1135" si="5563">((AY1121*AY1120/AY1132)*1)</f>
        <v>0.28494323967831092</v>
      </c>
      <c r="AZ1135" s="334">
        <f>((AZ1121*AZ1120/AZ1132)*1)</f>
        <v>0.28353635291772117</v>
      </c>
      <c r="BA1135" s="334">
        <f>((BA1121*BA1120/BA1132)*1)</f>
        <v>0.28108088846059387</v>
      </c>
      <c r="BB1135" s="334">
        <f t="shared" ref="BB1135" si="5564">((BB1121*BB1120/BB1132)*1)</f>
        <v>0.28419658594861658</v>
      </c>
      <c r="BC1135" s="334">
        <f>((BC1121*BC1120/BC1132)*1)</f>
        <v>0.28287098242812631</v>
      </c>
      <c r="BD1135" s="334">
        <f>((BD1121*BD1120/BD1132)*1)</f>
        <v>0.28042106287252178</v>
      </c>
      <c r="BE1135" s="334">
        <f t="shared" ref="BE1135" si="5565">((BE1121*BE1120/BE1132)*1)</f>
        <v>0.28337398342746323</v>
      </c>
      <c r="BF1135" s="334">
        <f>((BF1121*BF1120/BF1132)*1)</f>
        <v>0.28212843823431072</v>
      </c>
      <c r="BG1135" s="334">
        <f>((BG1121*BG1120/BG1132)*1)</f>
        <v>0.27968422302064777</v>
      </c>
      <c r="BH1135" s="334">
        <f t="shared" ref="BH1135" si="5566">((BH1121*BH1120/BH1132)*1)</f>
        <v>0.2824767652696708</v>
      </c>
      <c r="BI1135" s="334">
        <f>((BI1121*BI1120/BI1132)*1)</f>
        <v>0.28130998391637979</v>
      </c>
      <c r="BJ1135" s="334">
        <f>((BJ1121*BJ1120/BJ1132)*1)</f>
        <v>0.27887163087550543</v>
      </c>
      <c r="BK1135" s="334">
        <f t="shared" ref="BK1135" si="5567">((BK1121*BK1120/BK1132)*1)</f>
        <v>0.28150633047921214</v>
      </c>
      <c r="BL1135" s="334">
        <f>((BL1121*BL1120/BL1132)*1)</f>
        <v>0.28041695364161567</v>
      </c>
      <c r="BM1135" s="334">
        <f>((BM1121*BM1120/BM1132)*1)</f>
        <v>0.27798461963306276</v>
      </c>
      <c r="BN1135" s="334">
        <f t="shared" ref="BN1135" si="5568">((BN1121*BN1120/BN1132)*1)</f>
        <v>0.28046413987325247</v>
      </c>
      <c r="BO1135" s="334">
        <f>((BO1121*BO1120/BO1132)*1)</f>
        <v>0.27945074815402932</v>
      </c>
      <c r="BP1135" s="334">
        <f>((BP1121*BP1120/BP1132)*1)</f>
        <v>0.27702458967219457</v>
      </c>
      <c r="BQ1135" s="334">
        <f t="shared" ref="BQ1135" si="5569">((BQ1121*BQ1120/BQ1132)*1)</f>
        <v>0.27935171200103603</v>
      </c>
      <c r="BR1135" s="334">
        <f>((BR1121*BR1120/BR1132)*1)</f>
        <v>0.2784128306984614</v>
      </c>
    </row>
    <row r="1136" spans="3:70" outlineLevel="1">
      <c r="C1136" s="547" t="s">
        <v>645</v>
      </c>
      <c r="D1136" s="31"/>
      <c r="E1136" s="31"/>
      <c r="F1136" s="31"/>
      <c r="G1136" s="31"/>
      <c r="H1136" s="31"/>
      <c r="I1136" s="31"/>
      <c r="J1136" s="31"/>
      <c r="K1136" s="31"/>
      <c r="L1136" s="31"/>
      <c r="M1136" s="31"/>
      <c r="N1136" s="31"/>
      <c r="O1136" s="31"/>
      <c r="AB1136" s="130"/>
      <c r="AC1136" s="334">
        <f t="shared" ref="AC1136:AM1136" si="5570">((AC1124*AC1123/AC1132)*1)</f>
        <v>0.15094166704852677</v>
      </c>
      <c r="AD1136" s="334">
        <f t="shared" si="5570"/>
        <v>0.16386611712486979</v>
      </c>
      <c r="AE1136" s="334">
        <f t="shared" si="5570"/>
        <v>0.15744157441574413</v>
      </c>
      <c r="AF1136" s="334">
        <f>((AF1124*AF1123/AF1132)*1)</f>
        <v>0.15409597370178871</v>
      </c>
      <c r="AG1136" s="980">
        <f t="shared" si="5570"/>
        <v>0.1561448367005317</v>
      </c>
      <c r="AH1136" s="334">
        <f>((AH1124*AH1123/AH1132)*1)</f>
        <v>0.1551472338878076</v>
      </c>
      <c r="AI1136" s="334">
        <f>((AI1124*AI1123/AI1132)*1)</f>
        <v>0.14968269627885697</v>
      </c>
      <c r="AJ1136" s="334">
        <f t="shared" si="5570"/>
        <v>0.15476426935345469</v>
      </c>
      <c r="AK1136" s="334">
        <f>((AK1124*AK1123/AK1132)*1)</f>
        <v>0.1521247898353259</v>
      </c>
      <c r="AL1136" s="334">
        <f>((AL1124*AL1123/AL1132)*1)</f>
        <v>0.14983892776875885</v>
      </c>
      <c r="AM1136" s="334">
        <f t="shared" si="5570"/>
        <v>0.15574288094515065</v>
      </c>
      <c r="AN1136" s="334">
        <f>((AN1124*AN1123/AN1132)*1)</f>
        <v>0.15276990933119655</v>
      </c>
      <c r="AO1136" s="334">
        <f>((AO1124*AO1123/AO1132)*1)</f>
        <v>0.1517604291554534</v>
      </c>
      <c r="AP1136" s="334">
        <f t="shared" ref="AP1136" si="5571">((AP1124*AP1123/AP1132)*1)</f>
        <v>0.15727842129714054</v>
      </c>
      <c r="AQ1136" s="334">
        <f>((AQ1124*AQ1123/AQ1132)*1)</f>
        <v>0.15449268947609751</v>
      </c>
      <c r="AR1136" s="334">
        <f>((AR1124*AR1123/AR1132)*1)</f>
        <v>0.15274730317953833</v>
      </c>
      <c r="AS1136" s="334">
        <f t="shared" ref="AS1136" si="5572">((AS1124*AS1123/AS1132)*1)</f>
        <v>0.15820938086545744</v>
      </c>
      <c r="AT1136" s="334">
        <f>((AT1124*AT1123/AT1132)*1)</f>
        <v>0.15545241057290543</v>
      </c>
      <c r="AU1136" s="334">
        <f>((AU1124*AU1123/AU1132)*1)</f>
        <v>0.15369608469251711</v>
      </c>
      <c r="AV1136" s="334">
        <f t="shared" ref="AV1136" si="5573">((AV1124*AV1123/AV1132)*1)</f>
        <v>0.159101031837559</v>
      </c>
      <c r="AW1136" s="334">
        <f>((AW1124*AW1123/AW1132)*1)</f>
        <v>0.15637342189700387</v>
      </c>
      <c r="AX1136" s="334">
        <f>((AX1124*AX1123/AX1132)*1)</f>
        <v>0.15460629677799689</v>
      </c>
      <c r="AY1136" s="334">
        <f t="shared" ref="AY1136" si="5574">((AY1124*AY1123/AY1132)*1)</f>
        <v>0.15995299050013115</v>
      </c>
      <c r="AZ1136" s="334">
        <f>((AZ1124*AZ1123/AZ1132)*1)</f>
        <v>0.1572552927673381</v>
      </c>
      <c r="BA1136" s="334">
        <f>((BA1124*BA1123/BA1132)*1)</f>
        <v>0.15547751049566985</v>
      </c>
      <c r="BB1136" s="334">
        <f t="shared" ref="BB1136" si="5575">((BB1124*BB1123/BB1132)*1)</f>
        <v>0.16076492040365051</v>
      </c>
      <c r="BC1136" s="334">
        <f>((BC1124*BC1123/BC1132)*1)</f>
        <v>0.15809764017279093</v>
      </c>
      <c r="BD1136" s="334">
        <f>((BD1124*BD1123/BD1132)*1)</f>
        <v>0.15630934484500936</v>
      </c>
      <c r="BE1136" s="334">
        <f t="shared" ref="BE1136" si="5576">((BE1124*BE1123/BE1132)*1)</f>
        <v>0.1615365320723792</v>
      </c>
      <c r="BF1136" s="334">
        <f>((BF1124*BF1123/BF1132)*1)</f>
        <v>0.15890012860651892</v>
      </c>
      <c r="BG1136" s="334">
        <f>((BG1124*BG1123/BG1132)*1)</f>
        <v>0.15710146660124344</v>
      </c>
      <c r="BH1136" s="334">
        <f t="shared" ref="BH1136" si="5577">((BH1124*BH1123/BH1132)*1)</f>
        <v>0.16226758260051641</v>
      </c>
      <c r="BI1136" s="334">
        <f>((BI1124*BI1123/BI1132)*1)</f>
        <v>0.15966246977935444</v>
      </c>
      <c r="BJ1136" s="334">
        <f>((BJ1124*BJ1123/BJ1132)*1)</f>
        <v>0.15785359002825591</v>
      </c>
      <c r="BK1136" s="334">
        <f t="shared" ref="BK1136" si="5578">((BK1124*BK1123/BK1132)*1)</f>
        <v>0.16295787513988794</v>
      </c>
      <c r="BL1136" s="334">
        <f>((BL1124*BL1123/BL1132)*1)</f>
        <v>0.16038442221731822</v>
      </c>
      <c r="BM1136" s="334">
        <f>((BM1124*BM1123/BM1132)*1)</f>
        <v>0.15856547647351674</v>
      </c>
      <c r="BN1136" s="334">
        <f t="shared" ref="BN1136" si="5579">((BN1124*BN1123/BN1132)*1)</f>
        <v>0.16360725828487474</v>
      </c>
      <c r="BO1136" s="334">
        <f>((BO1124*BO1123/BO1132)*1)</f>
        <v>0.16106579074867833</v>
      </c>
      <c r="BP1136" s="334">
        <f>((BP1124*BP1123/BP1132)*1)</f>
        <v>0.15923693385054735</v>
      </c>
      <c r="BQ1136" s="334">
        <f t="shared" ref="BQ1136" si="5580">((BQ1124*BQ1123/BQ1132)*1)</f>
        <v>0.16421562536054499</v>
      </c>
      <c r="BR1136" s="334">
        <f>((BR1124*BR1123/BR1132)*1)</f>
        <v>0.16170642588631953</v>
      </c>
    </row>
    <row r="1137" spans="3:70" outlineLevel="1">
      <c r="C1137" s="547" t="s">
        <v>646</v>
      </c>
      <c r="D1137" s="31"/>
      <c r="E1137" s="31"/>
      <c r="F1137" s="31"/>
      <c r="G1137" s="31"/>
      <c r="H1137" s="31"/>
      <c r="I1137" s="31"/>
      <c r="J1137" s="31"/>
      <c r="K1137" s="31"/>
      <c r="L1137" s="31"/>
      <c r="M1137" s="31"/>
      <c r="N1137" s="31"/>
      <c r="O1137" s="31"/>
      <c r="AB1137" s="130"/>
      <c r="AC1137" s="334">
        <f t="shared" ref="AC1137:AM1137" si="5581">((AC1127*AC1126/AC1132)*1)</f>
        <v>0.29991293589332352</v>
      </c>
      <c r="AD1137" s="334">
        <f t="shared" si="5581"/>
        <v>0.27849993206214058</v>
      </c>
      <c r="AE1137" s="334">
        <f t="shared" si="5581"/>
        <v>0.28914400255113665</v>
      </c>
      <c r="AF1137" s="334">
        <f>((AF1127*AF1126/AF1132)*1)</f>
        <v>0.27026285891637286</v>
      </c>
      <c r="AG1137" s="980">
        <f t="shared" si="5581"/>
        <v>0.2501094400019031</v>
      </c>
      <c r="AH1137" s="334">
        <f>((AH1127*AH1126/AH1132)*1)</f>
        <v>0.25997526443859459</v>
      </c>
      <c r="AI1137" s="334">
        <f>((AI1127*AI1126/AI1132)*1)</f>
        <v>0.26416373286434564</v>
      </c>
      <c r="AJ1137" s="334">
        <f t="shared" si="5581"/>
        <v>0.24678343909852579</v>
      </c>
      <c r="AK1137" s="334">
        <f>((AK1127*AK1126/AK1132)*1)</f>
        <v>0.25545259470533543</v>
      </c>
      <c r="AL1137" s="334">
        <f>((AL1127*AL1126/AL1132)*1)</f>
        <v>0.25704849955688042</v>
      </c>
      <c r="AM1137" s="334">
        <f t="shared" si="5581"/>
        <v>0.24010401496610168</v>
      </c>
      <c r="AN1137" s="334">
        <f>((AN1127*AN1126/AN1132)*1)</f>
        <v>0.2484282362963931</v>
      </c>
      <c r="AO1137" s="334">
        <f>((AO1127*AO1126/AO1132)*1)</f>
        <v>0.24685171065266445</v>
      </c>
      <c r="AP1137" s="334">
        <f t="shared" ref="AP1137" si="5582">((AP1127*AP1126/AP1132)*1)</f>
        <v>0.23111001611026297</v>
      </c>
      <c r="AQ1137" s="334">
        <f>((AQ1127*AQ1126/AQ1132)*1)</f>
        <v>0.23886374645842742</v>
      </c>
      <c r="AR1137" s="334">
        <f>((AR1127*AR1126/AR1132)*1)</f>
        <v>0.24043950297180908</v>
      </c>
      <c r="AS1137" s="334">
        <f t="shared" ref="AS1137" si="5583">((AS1127*AS1126/AS1132)*1)</f>
        <v>0.22497598171425232</v>
      </c>
      <c r="AT1137" s="334">
        <f>((AT1127*AT1126/AT1132)*1)</f>
        <v>0.23259077653866683</v>
      </c>
      <c r="AU1137" s="334">
        <f>((AU1127*AU1126/AU1132)*1)</f>
        <v>0.23412598100315268</v>
      </c>
      <c r="AV1137" s="334">
        <f t="shared" ref="AV1137" si="5584">((AV1127*AV1126/AV1132)*1)</f>
        <v>0.21894299395190392</v>
      </c>
      <c r="AW1137" s="334">
        <f>((AW1127*AW1126/AW1132)*1)</f>
        <v>0.22641778492152634</v>
      </c>
      <c r="AX1137" s="334">
        <f>((AX1127*AX1126/AX1132)*1)</f>
        <v>0.22791262578710672</v>
      </c>
      <c r="AY1137" s="334">
        <f t="shared" ref="AY1137" si="5585">((AY1127*AY1126/AY1132)*1)</f>
        <v>0.21301215741760199</v>
      </c>
      <c r="AZ1137" s="334">
        <f>((AZ1127*AZ1126/AZ1132)*1)</f>
        <v>0.2203460614226416</v>
      </c>
      <c r="BA1137" s="334">
        <f>((BA1127*BA1126/BA1132)*1)</f>
        <v>0.22180077346999322</v>
      </c>
      <c r="BB1137" s="334">
        <f t="shared" ref="BB1137" si="5586">((BB1127*BB1126/BB1132)*1)</f>
        <v>0.2071844378126822</v>
      </c>
      <c r="BC1137" s="334">
        <f>((BC1127*BC1126/BC1132)*1)</f>
        <v>0.21437675373341425</v>
      </c>
      <c r="BD1137" s="334">
        <f>((BD1127*BD1126/BD1132)*1)</f>
        <v>0.21579161617046083</v>
      </c>
      <c r="BE1137" s="334">
        <f t="shared" ref="BE1137" si="5587">((BE1127*BE1126/BE1132)*1)</f>
        <v>0.2014606637008779</v>
      </c>
      <c r="BF1137" s="334">
        <f>((BF1127*BF1126/BF1132)*1)</f>
        <v>0.20851086875271485</v>
      </c>
      <c r="BG1137" s="334">
        <f>((BG1127*BG1126/BG1132)*1)</f>
        <v>0.20988620323698115</v>
      </c>
      <c r="BH1137" s="334">
        <f t="shared" ref="BH1137" si="5588">((BH1127*BH1126/BH1132)*1)</f>
        <v>0.19584152859618983</v>
      </c>
      <c r="BI1137" s="334">
        <f>((BI1127*BI1126/BI1132)*1)</f>
        <v>0.20274927428065648</v>
      </c>
      <c r="BJ1137" s="334">
        <f>((BJ1127*BJ1126/BJ1132)*1)</f>
        <v>0.2040854428785665</v>
      </c>
      <c r="BK1137" s="334">
        <f t="shared" ref="BK1137" si="5589">((BK1127*BK1126/BK1132)*1)</f>
        <v>0.19032759336327476</v>
      </c>
      <c r="BL1137" s="334">
        <f>((BL1127*BL1126/BL1132)*1)</f>
        <v>0.19709270105539542</v>
      </c>
      <c r="BM1137" s="334">
        <f>((BM1127*BM1126/BM1132)*1)</f>
        <v>0.19839010414955077</v>
      </c>
      <c r="BN1137" s="334">
        <f t="shared" ref="BN1137" si="5590">((BN1127*BN1126/BN1132)*1)</f>
        <v>0.18491928890965123</v>
      </c>
      <c r="BO1137" s="334">
        <f>((BO1127*BO1126/BO1132)*1)</f>
        <v>0.19154174511288166</v>
      </c>
      <c r="BP1137" s="334">
        <f>((BP1127*BP1126/BP1132)*1)</f>
        <v>0.19280081926816689</v>
      </c>
      <c r="BQ1137" s="334">
        <f t="shared" ref="BQ1137" si="5591">((BQ1127*BQ1126/BQ1132)*1)</f>
        <v>0.17961691914840153</v>
      </c>
      <c r="BR1137" s="334">
        <f>((BR1127*BR1126/BR1132)*1)</f>
        <v>0.18609687044861767</v>
      </c>
    </row>
    <row r="1138" spans="3:70" outlineLevel="1">
      <c r="C1138" s="547" t="s">
        <v>647</v>
      </c>
      <c r="D1138" s="31"/>
      <c r="E1138" s="31"/>
      <c r="F1138" s="31"/>
      <c r="G1138" s="31"/>
      <c r="H1138" s="31"/>
      <c r="I1138" s="31"/>
      <c r="J1138" s="31"/>
      <c r="K1138" s="31"/>
      <c r="L1138" s="31"/>
      <c r="M1138" s="31"/>
      <c r="N1138" s="31"/>
      <c r="O1138" s="31"/>
      <c r="AB1138" s="130"/>
      <c r="AC1138" s="334">
        <f t="shared" ref="AC1138:AM1138" si="5592">((AC1130*AC1129/AC1132)*1)</f>
        <v>0.30353296980250188</v>
      </c>
      <c r="AD1138" s="334">
        <f t="shared" si="5592"/>
        <v>0.30001358757190089</v>
      </c>
      <c r="AE1138" s="334">
        <f t="shared" si="5592"/>
        <v>0.30176301763017627</v>
      </c>
      <c r="AF1138" s="334">
        <f>((AF1130*AF1129/AF1132)*1)</f>
        <v>0.30548810450947028</v>
      </c>
      <c r="AG1138" s="980">
        <f t="shared" si="5592"/>
        <v>0.31129538307049998</v>
      </c>
      <c r="AH1138" s="334">
        <f>((AH1130*AH1129/AH1132)*1)</f>
        <v>0.30840338026956299</v>
      </c>
      <c r="AI1138" s="334">
        <f>((AI1130*AI1129/AI1132)*1)</f>
        <v>0.31288401869130583</v>
      </c>
      <c r="AJ1138" s="334">
        <f t="shared" si="5592"/>
        <v>0.31622245039159758</v>
      </c>
      <c r="AK1138" s="334">
        <f>((AK1130*AK1129/AK1132)*1)</f>
        <v>0.3145162858822127</v>
      </c>
      <c r="AL1138" s="334">
        <f>((AL1130*AL1129/AL1132)*1)</f>
        <v>0.31126251829071233</v>
      </c>
      <c r="AM1138" s="334">
        <f t="shared" si="5592"/>
        <v>0.31804609931620104</v>
      </c>
      <c r="AN1138" s="334">
        <f>((AN1130*AN1129/AN1132)*1)</f>
        <v>0.31457605400154359</v>
      </c>
      <c r="AO1138" s="334">
        <f>((AO1130*AO1129/AO1132)*1)</f>
        <v>0.31846034011626223</v>
      </c>
      <c r="AP1138" s="334">
        <f t="shared" ref="AP1138" si="5593">((AP1130*AP1129/AP1132)*1)</f>
        <v>0.3248963154203191</v>
      </c>
      <c r="AQ1138" s="334">
        <f>((AQ1130*AQ1129/AQ1132)*1)</f>
        <v>0.3215856371649421</v>
      </c>
      <c r="AR1138" s="334">
        <f>((AR1130*AR1129/AR1132)*1)</f>
        <v>0.32422638321548403</v>
      </c>
      <c r="AS1138" s="334">
        <f t="shared" ref="AS1138" si="5594">((AS1130*AS1129/AS1132)*1)</f>
        <v>0.33061091626958045</v>
      </c>
      <c r="AT1138" s="334">
        <f>((AT1130*AT1129/AT1132)*1)</f>
        <v>0.327325918029237</v>
      </c>
      <c r="AU1138" s="334">
        <f>((AU1130*AU1129/AU1132)*1)</f>
        <v>0.33001310558451563</v>
      </c>
      <c r="AV1138" s="334">
        <f t="shared" ref="AV1138" si="5595">((AV1130*AV1129/AV1132)*1)</f>
        <v>0.33634329292614684</v>
      </c>
      <c r="AW1138" s="334">
        <f>((AW1130*AW1129/AW1132)*1)</f>
        <v>0.3330854325443986</v>
      </c>
      <c r="AX1138" s="334">
        <f>((AX1130*AX1129/AX1132)*1)</f>
        <v>0.33581856443931335</v>
      </c>
      <c r="AY1138" s="334">
        <f t="shared" ref="AY1138" si="5596">((AY1130*AY1129/AY1132)*1)</f>
        <v>0.34209161240395591</v>
      </c>
      <c r="AZ1138" s="334">
        <f>((AZ1130*AZ1129/AZ1132)*1)</f>
        <v>0.33886229289229913</v>
      </c>
      <c r="BA1138" s="334">
        <f>((BA1130*BA1129/BA1132)*1)</f>
        <v>0.34164082757374298</v>
      </c>
      <c r="BB1138" s="334">
        <f t="shared" ref="BB1138" si="5597">((BB1130*BB1129/BB1132)*1)</f>
        <v>0.34785405583505064</v>
      </c>
      <c r="BC1138" s="334">
        <f>((BC1130*BC1129/BC1132)*1)</f>
        <v>0.34465462366566846</v>
      </c>
      <c r="BD1138" s="334">
        <f>((BD1130*BD1129/BD1132)*1)</f>
        <v>0.34747797611200798</v>
      </c>
      <c r="BE1138" s="334">
        <f t="shared" ref="BE1138" si="5598">((BE1130*BE1129/BE1132)*1)</f>
        <v>0.35362882079927971</v>
      </c>
      <c r="BF1138" s="334">
        <f>((BF1130*BF1129/BF1132)*1)</f>
        <v>0.35046056440645529</v>
      </c>
      <c r="BG1138" s="334">
        <f>((BG1130*BG1129/BG1132)*1)</f>
        <v>0.3533281071411275</v>
      </c>
      <c r="BH1138" s="334">
        <f t="shared" ref="BH1138" si="5599">((BH1130*BH1129/BH1132)*1)</f>
        <v>0.35941412353362295</v>
      </c>
      <c r="BI1138" s="334">
        <f>((BI1130*BI1129/BI1132)*1)</f>
        <v>0.35627827202360923</v>
      </c>
      <c r="BJ1138" s="334">
        <f>((BJ1130*BJ1129/BJ1132)*1)</f>
        <v>0.35918933621767218</v>
      </c>
      <c r="BK1138" s="334">
        <f t="shared" ref="BK1138" si="5600">((BK1130*BK1129/BK1132)*1)</f>
        <v>0.36520820101762524</v>
      </c>
      <c r="BL1138" s="334">
        <f>((BL1130*BL1129/BL1132)*1)</f>
        <v>0.36210592308567069</v>
      </c>
      <c r="BM1138" s="334">
        <f>((BM1130*BM1129/BM1132)*1)</f>
        <v>0.36505979974386976</v>
      </c>
      <c r="BN1138" s="334">
        <f t="shared" ref="BN1138" si="5601">((BN1130*BN1129/BN1132)*1)</f>
        <v>0.37100931293222156</v>
      </c>
      <c r="BO1138" s="334">
        <f>((BO1130*BO1129/BO1132)*1)</f>
        <v>0.36794171598441078</v>
      </c>
      <c r="BP1138" s="334">
        <f>((BP1130*BP1129/BP1132)*1)</f>
        <v>0.37093765720909111</v>
      </c>
      <c r="BQ1138" s="334">
        <f t="shared" ref="BQ1138" si="5602">((BQ1130*BQ1129/BQ1132)*1)</f>
        <v>0.37681574349001745</v>
      </c>
      <c r="BR1138" s="334">
        <f>((BR1130*BR1129/BR1132)*1)</f>
        <v>0.37378387296660137</v>
      </c>
    </row>
    <row r="1139" spans="3:70" outlineLevel="1">
      <c r="C1139" s="596" t="s">
        <v>648</v>
      </c>
      <c r="D1139" s="31"/>
      <c r="E1139" s="31"/>
      <c r="F1139" s="31"/>
      <c r="G1139" s="31"/>
      <c r="H1139" s="31"/>
      <c r="I1139" s="31"/>
      <c r="J1139" s="31"/>
      <c r="K1139" s="31"/>
      <c r="L1139" s="31"/>
      <c r="M1139" s="31"/>
      <c r="N1139" s="31"/>
      <c r="O1139" s="31"/>
      <c r="AB1139" s="130"/>
      <c r="AC1139" s="334">
        <f t="shared" ref="AC1139:BR1139" si="5603">((AC284*AC1129/AC1132)*1)</f>
        <v>0.17706089905145941</v>
      </c>
      <c r="AD1139" s="334">
        <f t="shared" si="5603"/>
        <v>0.17500792608360885</v>
      </c>
      <c r="AE1139" s="334">
        <f t="shared" si="5603"/>
        <v>0.17602842695093615</v>
      </c>
      <c r="AF1139" s="334">
        <f t="shared" si="5603"/>
        <v>0.17790575063303005</v>
      </c>
      <c r="AG1139" s="980">
        <f t="shared" si="5603"/>
        <v>0.18296978342147485</v>
      </c>
      <c r="AH1139" s="334">
        <f t="shared" si="5603"/>
        <v>0.18045810413942615</v>
      </c>
      <c r="AI1139" s="334">
        <f t="shared" si="5603"/>
        <v>0.1828236008462325</v>
      </c>
      <c r="AJ1139" s="334">
        <f t="shared" si="5603"/>
        <v>0.18701003473980293</v>
      </c>
      <c r="AK1139" s="334">
        <f t="shared" si="5603"/>
        <v>0.1849071065512454</v>
      </c>
      <c r="AL1139" s="334">
        <f t="shared" si="5603"/>
        <v>0.18283240351463631</v>
      </c>
      <c r="AM1139" s="334">
        <f t="shared" si="5603"/>
        <v>0.18858841849050639</v>
      </c>
      <c r="AN1139" s="334">
        <f t="shared" si="5603"/>
        <v>0.18566649468461496</v>
      </c>
      <c r="AO1139" s="334">
        <f t="shared" si="5603"/>
        <v>0.1878939586249328</v>
      </c>
      <c r="AP1139" s="334">
        <f t="shared" si="5603"/>
        <v>0.19360842673635667</v>
      </c>
      <c r="AQ1139" s="334">
        <f t="shared" si="5603"/>
        <v>0.19069879555601418</v>
      </c>
      <c r="AR1139" s="334">
        <f t="shared" si="5603"/>
        <v>0.19225427368203882</v>
      </c>
      <c r="AS1139" s="334">
        <f t="shared" si="5603"/>
        <v>0.19798648070700803</v>
      </c>
      <c r="AT1139" s="334">
        <f t="shared" si="5603"/>
        <v>0.19506799711486905</v>
      </c>
      <c r="AU1139" s="334">
        <f t="shared" si="5603"/>
        <v>0.19665878114829691</v>
      </c>
      <c r="AV1139" s="334">
        <f t="shared" si="5603"/>
        <v>0.20240646725824954</v>
      </c>
      <c r="AW1139" s="334">
        <f t="shared" si="5603"/>
        <v>0.19948026950162434</v>
      </c>
      <c r="AX1139" s="334">
        <f t="shared" si="5603"/>
        <v>0.20110631780570584</v>
      </c>
      <c r="AY1139" s="334">
        <f t="shared" si="5603"/>
        <v>0.20686724622528047</v>
      </c>
      <c r="AZ1139" s="334">
        <f t="shared" si="5603"/>
        <v>0.20393446080050906</v>
      </c>
      <c r="BA1139" s="334">
        <f t="shared" si="5603"/>
        <v>0.20559569923593585</v>
      </c>
      <c r="BB1139" s="334">
        <f t="shared" si="5603"/>
        <v>0.2113676601120828</v>
      </c>
      <c r="BC1139" s="334">
        <f t="shared" si="5603"/>
        <v>0.20842939986375347</v>
      </c>
      <c r="BD1139" s="334">
        <f t="shared" si="5603"/>
        <v>0.21012572181444658</v>
      </c>
      <c r="BE1139" s="334">
        <f t="shared" si="5603"/>
        <v>0.21590653590118281</v>
      </c>
      <c r="BF1139" s="334">
        <f t="shared" si="5603"/>
        <v>0.21296389821379275</v>
      </c>
      <c r="BG1139" s="334">
        <f t="shared" si="5603"/>
        <v>0.214695164688053</v>
      </c>
      <c r="BH1139" s="334">
        <f t="shared" si="5603"/>
        <v>0.22048268683704464</v>
      </c>
      <c r="BI1139" s="334">
        <f t="shared" si="5603"/>
        <v>0.21753675192368968</v>
      </c>
      <c r="BJ1139" s="334">
        <f t="shared" si="5603"/>
        <v>0.21930279172926762</v>
      </c>
      <c r="BK1139" s="334">
        <f t="shared" si="5603"/>
        <v>0.22509491417782398</v>
      </c>
      <c r="BL1139" s="334">
        <f t="shared" si="5603"/>
        <v>0.22214674346981855</v>
      </c>
      <c r="BM1139" s="334">
        <f t="shared" si="5603"/>
        <v>0.2239473534611586</v>
      </c>
      <c r="BN1139" s="334">
        <f t="shared" si="5603"/>
        <v>0.22974200891062452</v>
      </c>
      <c r="BO1139" s="334">
        <f t="shared" si="5603"/>
        <v>0.22679264355126486</v>
      </c>
      <c r="BP1139" s="334">
        <f t="shared" si="5603"/>
        <v>0.22862758894690116</v>
      </c>
      <c r="BQ1139" s="334">
        <f t="shared" si="5603"/>
        <v>0.23442275342582602</v>
      </c>
      <c r="BR1139" s="334">
        <f t="shared" si="5603"/>
        <v>0.23147321287083195</v>
      </c>
    </row>
    <row r="1140" spans="3:70" outlineLevel="1">
      <c r="C1140" s="596" t="s">
        <v>649</v>
      </c>
      <c r="D1140" s="31"/>
      <c r="E1140" s="31"/>
      <c r="F1140" s="31"/>
      <c r="G1140" s="31"/>
      <c r="H1140" s="31"/>
      <c r="I1140" s="31"/>
      <c r="J1140" s="31"/>
      <c r="K1140" s="31"/>
      <c r="L1140" s="31"/>
      <c r="M1140" s="31"/>
      <c r="N1140" s="31"/>
      <c r="O1140" s="31"/>
      <c r="AB1140" s="130"/>
      <c r="AC1140" s="334">
        <f t="shared" ref="AC1140:BR1140" si="5604">((AC285*AC1129/AC1132)*1)</f>
        <v>0.12647207075104244</v>
      </c>
      <c r="AD1140" s="334">
        <f t="shared" si="5604"/>
        <v>0.12500566148829206</v>
      </c>
      <c r="AE1140" s="334">
        <f t="shared" si="5604"/>
        <v>0.12573459067924012</v>
      </c>
      <c r="AF1140" s="334">
        <f t="shared" si="5604"/>
        <v>0.12758235387644026</v>
      </c>
      <c r="AG1140" s="980">
        <f t="shared" si="5604"/>
        <v>0.12832559964902512</v>
      </c>
      <c r="AH1140" s="334">
        <f t="shared" si="5604"/>
        <v>0.12794527613013684</v>
      </c>
      <c r="AI1140" s="334">
        <f t="shared" si="5604"/>
        <v>0.13006041784507336</v>
      </c>
      <c r="AJ1140" s="334">
        <f t="shared" si="5604"/>
        <v>0.12921241565179464</v>
      </c>
      <c r="AK1140" s="334">
        <f t="shared" si="5604"/>
        <v>0.1296091793309673</v>
      </c>
      <c r="AL1140" s="334">
        <f t="shared" si="5604"/>
        <v>0.12843011477607602</v>
      </c>
      <c r="AM1140" s="334">
        <f t="shared" si="5604"/>
        <v>0.12945768082569462</v>
      </c>
      <c r="AN1140" s="334">
        <f t="shared" si="5604"/>
        <v>0.1289095593169286</v>
      </c>
      <c r="AO1140" s="334">
        <f t="shared" si="5604"/>
        <v>0.13056638149132946</v>
      </c>
      <c r="AP1140" s="334">
        <f t="shared" si="5604"/>
        <v>0.13128788868396246</v>
      </c>
      <c r="AQ1140" s="334">
        <f t="shared" si="5604"/>
        <v>0.13088684160892788</v>
      </c>
      <c r="AR1140" s="334">
        <f t="shared" si="5604"/>
        <v>0.13197210953344518</v>
      </c>
      <c r="AS1140" s="334">
        <f t="shared" si="5604"/>
        <v>0.13262443556257239</v>
      </c>
      <c r="AT1140" s="334">
        <f t="shared" si="5604"/>
        <v>0.13225792091436794</v>
      </c>
      <c r="AU1140" s="334">
        <f t="shared" si="5604"/>
        <v>0.13335432443621867</v>
      </c>
      <c r="AV1140" s="334">
        <f t="shared" si="5604"/>
        <v>0.13393682566789725</v>
      </c>
      <c r="AW1140" s="334">
        <f t="shared" si="5604"/>
        <v>0.13360516304277423</v>
      </c>
      <c r="AX1140" s="334">
        <f t="shared" si="5604"/>
        <v>0.13471224663360756</v>
      </c>
      <c r="AY1140" s="334">
        <f t="shared" si="5604"/>
        <v>0.13522436617867545</v>
      </c>
      <c r="AZ1140" s="334">
        <f t="shared" si="5604"/>
        <v>0.13492783209179013</v>
      </c>
      <c r="BA1140" s="334">
        <f t="shared" si="5604"/>
        <v>0.13604512833780716</v>
      </c>
      <c r="BB1140" s="334">
        <f t="shared" si="5604"/>
        <v>0.13648639572296786</v>
      </c>
      <c r="BC1140" s="334">
        <f t="shared" si="5604"/>
        <v>0.13622522380191496</v>
      </c>
      <c r="BD1140" s="334">
        <f t="shared" si="5604"/>
        <v>0.13735225429756143</v>
      </c>
      <c r="BE1140" s="334">
        <f t="shared" si="5604"/>
        <v>0.13772228489809688</v>
      </c>
      <c r="BF1140" s="334">
        <f t="shared" si="5604"/>
        <v>0.13749666619266257</v>
      </c>
      <c r="BG1140" s="334">
        <f t="shared" si="5604"/>
        <v>0.13863294245307453</v>
      </c>
      <c r="BH1140" s="334">
        <f t="shared" si="5604"/>
        <v>0.13893143669657831</v>
      </c>
      <c r="BI1140" s="334">
        <f t="shared" si="5604"/>
        <v>0.13874152009991958</v>
      </c>
      <c r="BJ1140" s="334">
        <f t="shared" si="5604"/>
        <v>0.13988654448840451</v>
      </c>
      <c r="BK1140" s="334">
        <f t="shared" si="5604"/>
        <v>0.1401132868398012</v>
      </c>
      <c r="BL1140" s="334">
        <f t="shared" si="5604"/>
        <v>0.13995917961585216</v>
      </c>
      <c r="BM1140" s="334">
        <f t="shared" si="5604"/>
        <v>0.14111244628271116</v>
      </c>
      <c r="BN1140" s="334">
        <f t="shared" si="5604"/>
        <v>0.14126730402159712</v>
      </c>
      <c r="BO1140" s="334">
        <f t="shared" si="5604"/>
        <v>0.14114907243314595</v>
      </c>
      <c r="BP1140" s="334">
        <f t="shared" si="5604"/>
        <v>0.14231006826218995</v>
      </c>
      <c r="BQ1140" s="334">
        <f t="shared" si="5604"/>
        <v>0.14239299006419148</v>
      </c>
      <c r="BR1140" s="334">
        <f t="shared" si="5604"/>
        <v>0.14231066009576943</v>
      </c>
    </row>
    <row r="1141" spans="3:70" outlineLevel="1">
      <c r="C1141" s="538" t="s">
        <v>292</v>
      </c>
      <c r="D1141" s="31"/>
      <c r="E1141" s="31"/>
      <c r="F1141" s="31"/>
      <c r="G1141" s="31"/>
      <c r="H1141" s="31"/>
      <c r="I1141" s="31"/>
      <c r="J1141" s="31"/>
      <c r="K1141" s="31"/>
      <c r="L1141" s="31"/>
      <c r="M1141" s="31"/>
      <c r="N1141" s="31"/>
      <c r="O1141" s="31"/>
      <c r="AB1141" s="130"/>
      <c r="AC1141" s="334"/>
      <c r="AD1141" s="334"/>
      <c r="AE1141" s="334"/>
      <c r="AF1141" s="334"/>
      <c r="AG1141" s="980"/>
      <c r="AH1141" s="334"/>
      <c r="AI1141" s="334"/>
      <c r="AJ1141" s="334"/>
      <c r="AK1141" s="334"/>
      <c r="AL1141" s="334"/>
      <c r="AM1141" s="334"/>
      <c r="AN1141" s="334"/>
      <c r="AO1141" s="334"/>
      <c r="AP1141" s="334"/>
      <c r="AQ1141" s="334"/>
      <c r="AR1141" s="334"/>
      <c r="AS1141" s="334"/>
      <c r="AT1141" s="334"/>
      <c r="AU1141" s="334"/>
      <c r="AV1141" s="334"/>
      <c r="AW1141" s="334"/>
      <c r="AX1141" s="334"/>
      <c r="AY1141" s="334"/>
      <c r="AZ1141" s="334"/>
      <c r="BA1141" s="334"/>
      <c r="BB1141" s="334"/>
      <c r="BC1141" s="334"/>
      <c r="BD1141" s="334"/>
      <c r="BE1141" s="334"/>
      <c r="BF1141" s="334"/>
      <c r="BG1141" s="334"/>
      <c r="BH1141" s="334"/>
      <c r="BI1141" s="334"/>
      <c r="BJ1141" s="334"/>
      <c r="BK1141" s="334"/>
      <c r="BL1141" s="334"/>
      <c r="BM1141" s="334"/>
      <c r="BN1141" s="334"/>
      <c r="BO1141" s="334"/>
      <c r="BP1141" s="334"/>
      <c r="BQ1141" s="334"/>
      <c r="BR1141" s="334"/>
    </row>
    <row r="1142" spans="3:70" outlineLevel="1">
      <c r="C1142" s="547" t="s">
        <v>650</v>
      </c>
      <c r="D1142" s="31"/>
      <c r="E1142" s="31"/>
      <c r="F1142" s="31"/>
      <c r="G1142" s="31"/>
      <c r="H1142" s="31"/>
      <c r="I1142" s="31"/>
      <c r="J1142" s="31"/>
      <c r="K1142" s="31"/>
      <c r="L1142" s="31"/>
      <c r="M1142" s="31"/>
      <c r="N1142" s="31"/>
      <c r="O1142" s="31"/>
      <c r="AB1142" s="130"/>
      <c r="AC1142" s="334">
        <f t="shared" ref="AC1142:AM1142" si="5605">((AC1122*AC1120/AC1133)*1)</f>
        <v>0.60845134375798171</v>
      </c>
      <c r="AD1142" s="334">
        <f t="shared" si="5605"/>
        <v>0.62128287048414843</v>
      </c>
      <c r="AE1142" s="334">
        <f t="shared" si="5605"/>
        <v>0.61499067605555413</v>
      </c>
      <c r="AF1142" s="334">
        <f>((AF1122*AF1120/AF1133)*1)</f>
        <v>0.62443324262625721</v>
      </c>
      <c r="AG1142" s="980">
        <f t="shared" si="5605"/>
        <v>0.64906326456340624</v>
      </c>
      <c r="AH1142" s="334">
        <f>((AH1122*AH1120/AH1133)*1)</f>
        <v>0.63706046952817941</v>
      </c>
      <c r="AI1142" s="334">
        <f>((AI1122*AI1120/AI1133)*1)</f>
        <v>0.63327089142682769</v>
      </c>
      <c r="AJ1142" s="334">
        <f t="shared" si="5605"/>
        <v>0.66846238358741095</v>
      </c>
      <c r="AK1142" s="334">
        <f>((AK1122*AK1120/AK1133)*1)</f>
        <v>0.65115075468705963</v>
      </c>
      <c r="AL1142" s="334">
        <f>((AL1122*AL1120/AL1133)*1)</f>
        <v>0.65295290138196393</v>
      </c>
      <c r="AM1142" s="334">
        <f t="shared" si="5605"/>
        <v>0.67326655571579375</v>
      </c>
      <c r="AN1142" s="334">
        <f>((AN1122*AN1120/AN1133)*1)</f>
        <v>0.66326928235689564</v>
      </c>
      <c r="AO1142" s="334">
        <f>((AO1122*AO1120/AO1133)*1)</f>
        <v>0.6540040966966354</v>
      </c>
      <c r="AP1142" s="334">
        <f t="shared" ref="AP1142" si="5606">((AP1122*AP1120/AP1133)*1)</f>
        <v>0.67449711543481883</v>
      </c>
      <c r="AQ1142" s="334">
        <f>((AQ1122*AQ1120/AQ1133)*1)</f>
        <v>0.6644152027004061</v>
      </c>
      <c r="AR1142" s="334">
        <f>((AR1122*AR1120/AR1133)*1)</f>
        <v>0.65546908281644312</v>
      </c>
      <c r="AS1142" s="334">
        <f t="shared" ref="AS1142" si="5607">((AS1122*AS1120/AS1133)*1)</f>
        <v>0.67564629940109788</v>
      </c>
      <c r="AT1142" s="334">
        <f>((AT1122*AT1120/AT1133)*1)</f>
        <v>0.6657193148586712</v>
      </c>
      <c r="AU1142" s="334">
        <f>((AU1122*AU1120/AU1133)*1)</f>
        <v>0.65685304684648704</v>
      </c>
      <c r="AV1142" s="334">
        <f t="shared" ref="AV1142" si="5608">((AV1122*AV1120/AV1133)*1)</f>
        <v>0.67672120541722314</v>
      </c>
      <c r="AW1142" s="334">
        <f>((AW1122*AW1120/AW1133)*1)</f>
        <v>0.66694568199854098</v>
      </c>
      <c r="AX1142" s="334">
        <f>((AX1122*AX1120/AX1133)*1)</f>
        <v>0.65815690124904824</v>
      </c>
      <c r="AY1142" s="334">
        <f t="shared" ref="AY1142" si="5609">((AY1122*AY1120/AY1133)*1)</f>
        <v>0.67772280580363553</v>
      </c>
      <c r="AZ1142" s="334">
        <f>((AZ1122*AZ1120/AZ1133)*1)</f>
        <v>0.66809525488565691</v>
      </c>
      <c r="BA1142" s="334">
        <f>((BA1122*BA1120/BA1133)*1)</f>
        <v>0.65938157769169681</v>
      </c>
      <c r="BB1142" s="334">
        <f t="shared" ref="BB1142" si="5610">((BB1122*BB1120/BB1133)*1)</f>
        <v>0.67865208017696643</v>
      </c>
      <c r="BC1142" s="334">
        <f>((BC1122*BC1120/BC1133)*1)</f>
        <v>0.66916899720632439</v>
      </c>
      <c r="BD1142" s="334">
        <f>((BD1122*BD1120/BD1133)*1)</f>
        <v>0.66052802491778895</v>
      </c>
      <c r="BE1142" s="334">
        <f t="shared" ref="BE1142" si="5611">((BE1122*BE1120/BE1133)*1)</f>
        <v>0.67951001382716003</v>
      </c>
      <c r="BF1142" s="334">
        <f>((BF1122*BF1120/BF1133)*1)</f>
        <v>0.6701678836888324</v>
      </c>
      <c r="BG1142" s="334">
        <f>((BG1122*BG1120/BG1133)*1)</f>
        <v>0.66159720669575894</v>
      </c>
      <c r="BH1142" s="334">
        <f t="shared" ref="BH1142" si="5612">((BH1122*BH1120/BH1133)*1)</f>
        <v>0.68029759617379304</v>
      </c>
      <c r="BI1142" s="334">
        <f>((BI1122*BI1120/BI1133)*1)</f>
        <v>0.67109289830522878</v>
      </c>
      <c r="BJ1142" s="334">
        <f>((BJ1122*BJ1120/BJ1133)*1)</f>
        <v>0.6625900998484181</v>
      </c>
      <c r="BK1142" s="334">
        <f t="shared" ref="BK1142" si="5613">((BK1122*BK1120/BK1133)*1)</f>
        <v>0.68101581930092836</v>
      </c>
      <c r="BL1142" s="334">
        <f>((BL1122*BL1120/BL1133)*1)</f>
        <v>0.67194503255370719</v>
      </c>
      <c r="BM1142" s="334">
        <f>((BM1122*BM1120/BM1133)*1)</f>
        <v>0.66350769236308038</v>
      </c>
      <c r="BN1142" s="334">
        <f t="shared" ref="BN1142" si="5614">((BN1122*BN1120/BN1133)*1)</f>
        <v>0.68166567656960775</v>
      </c>
      <c r="BO1142" s="334">
        <f>((BO1122*BO1120/BO1133)*1)</f>
        <v>0.67272528382146501</v>
      </c>
      <c r="BP1142" s="334">
        <f>((BP1122*BP1120/BP1133)*1)</f>
        <v>0.66435098158299932</v>
      </c>
      <c r="BQ1142" s="334">
        <f t="shared" ref="BQ1142" si="5615">((BQ1122*BQ1120/BQ1133)*1)</f>
        <v>0.68224816130689225</v>
      </c>
      <c r="BR1142" s="334">
        <f>((BR1122*BR1120/BR1133)*1)</f>
        <v>0.67343465382762124</v>
      </c>
    </row>
    <row r="1143" spans="3:70" outlineLevel="1">
      <c r="C1143" s="547" t="s">
        <v>651</v>
      </c>
      <c r="D1143" s="31"/>
      <c r="E1143" s="31"/>
      <c r="F1143" s="31"/>
      <c r="G1143" s="31"/>
      <c r="H1143" s="31"/>
      <c r="I1143" s="31"/>
      <c r="J1143" s="31"/>
      <c r="K1143" s="31"/>
      <c r="L1143" s="31"/>
      <c r="M1143" s="31"/>
      <c r="N1143" s="31"/>
      <c r="O1143" s="31"/>
      <c r="AB1143" s="130"/>
      <c r="AC1143" s="334">
        <f t="shared" ref="AC1143:AM1143" si="5616">((AC1125*AC1123/AC1133)*1)</f>
        <v>0.11425490251724041</v>
      </c>
      <c r="AD1143" s="334">
        <f t="shared" si="5616"/>
        <v>0.12075038912099614</v>
      </c>
      <c r="AE1143" s="334">
        <f t="shared" si="5616"/>
        <v>0.11756519802944698</v>
      </c>
      <c r="AF1143" s="334">
        <f>((AF1125*AF1123/AF1133)*1)</f>
        <v>0.11410401108073694</v>
      </c>
      <c r="AG1143" s="980">
        <f t="shared" si="5616"/>
        <v>0.11556048720270136</v>
      </c>
      <c r="AH1143" s="334">
        <f>((AH1125*AH1123/AH1133)*1)</f>
        <v>0.11484007861470945</v>
      </c>
      <c r="AI1143" s="334">
        <f>((AI1125*AI1123/AI1133)*1)</f>
        <v>0.11841878026214252</v>
      </c>
      <c r="AJ1143" s="334">
        <f t="shared" si="5616"/>
        <v>0.11588167410576704</v>
      </c>
      <c r="AK1143" s="334">
        <f>((AK1125*AK1123/AK1133)*1)</f>
        <v>0.11718004558304011</v>
      </c>
      <c r="AL1143" s="334">
        <f>((AL1125*AL1123/AL1133)*1)</f>
        <v>0.1110883207663871</v>
      </c>
      <c r="AM1143" s="334">
        <f t="shared" si="5616"/>
        <v>0.11301184545942954</v>
      </c>
      <c r="AN1143" s="334">
        <f>((AN1125*AN1123/AN1133)*1)</f>
        <v>0.11211097727157193</v>
      </c>
      <c r="AO1143" s="334">
        <f>((AO1125*AO1123/AO1133)*1)</f>
        <v>0.11128848786147356</v>
      </c>
      <c r="AP1143" s="334">
        <f t="shared" ref="AP1143" si="5617">((AP1125*AP1123/AP1133)*1)</f>
        <v>0.11323655448675161</v>
      </c>
      <c r="AQ1143" s="334">
        <f>((AQ1125*AQ1123/AQ1133)*1)</f>
        <v>0.11232224026352801</v>
      </c>
      <c r="AR1143" s="334">
        <f>((AR1125*AR1123/AR1133)*1)</f>
        <v>0.11155557522018357</v>
      </c>
      <c r="AS1143" s="334">
        <f t="shared" ref="AS1143" si="5618">((AS1125*AS1123/AS1133)*1)</f>
        <v>0.11344765930802175</v>
      </c>
      <c r="AT1143" s="334">
        <f>((AT1125*AT1123/AT1133)*1)</f>
        <v>0.11256126509663293</v>
      </c>
      <c r="AU1143" s="334">
        <f>((AU1125*AU1123/AU1133)*1)</f>
        <v>0.11180894101371196</v>
      </c>
      <c r="AV1143" s="334">
        <f t="shared" ref="AV1143" si="5619">((AV1125*AV1123/AV1133)*1)</f>
        <v>0.11364634244036949</v>
      </c>
      <c r="AW1143" s="334">
        <f>((AW1125*AW1123/AW1133)*1)</f>
        <v>0.11278720857513197</v>
      </c>
      <c r="AX1143" s="334">
        <f>((AX1125*AX1123/AX1133)*1)</f>
        <v>0.11204873110881221</v>
      </c>
      <c r="AY1143" s="334">
        <f t="shared" ref="AY1143" si="5620">((AY1125*AY1123/AY1133)*1)</f>
        <v>0.11383275828312227</v>
      </c>
      <c r="AZ1143" s="334">
        <f>((AZ1125*AZ1123/AZ1133)*1)</f>
        <v>0.11300022206667734</v>
      </c>
      <c r="BA1143" s="334">
        <f>((BA1125*BA1123/BA1133)*1)</f>
        <v>0.11227509471990135</v>
      </c>
      <c r="BB1143" s="334">
        <f t="shared" ref="BB1143" si="5621">((BB1125*BB1123/BB1133)*1)</f>
        <v>0.11400706254810182</v>
      </c>
      <c r="BC1143" s="334">
        <f>((BC1125*BC1123/BC1133)*1)</f>
        <v>0.1132004592078084</v>
      </c>
      <c r="BD1143" s="334">
        <f>((BD1125*BD1123/BD1133)*1)</f>
        <v>0.11248818405479753</v>
      </c>
      <c r="BE1143" s="334">
        <f t="shared" ref="BE1143" si="5622">((BE1125*BE1123/BE1133)*1)</f>
        <v>0.11416941199345364</v>
      </c>
      <c r="BF1143" s="334">
        <f>((BF1125*BF1123/BF1133)*1)</f>
        <v>0.11338807559369085</v>
      </c>
      <c r="BG1143" s="334">
        <f>((BG1125*BG1123/BG1133)*1)</f>
        <v>0.11268815397350344</v>
      </c>
      <c r="BH1143" s="334">
        <f t="shared" ref="BH1143" si="5623">((BH1125*BH1123/BH1133)*1)</f>
        <v>0.11431996417048974</v>
      </c>
      <c r="BI1143" s="334">
        <f>((BI1125*BI1123/BI1133)*1)</f>
        <v>0.11356322848112692</v>
      </c>
      <c r="BJ1143" s="334">
        <f>((BJ1125*BJ1123/BJ1133)*1)</f>
        <v>0.1128751616602445</v>
      </c>
      <c r="BK1143" s="334">
        <f t="shared" ref="BK1143" si="5624">((BK1125*BK1123/BK1133)*1)</f>
        <v>0.11445887718343581</v>
      </c>
      <c r="BL1143" s="334">
        <f>((BL1125*BL1123/BL1133)*1)</f>
        <v>0.11372607650486487</v>
      </c>
      <c r="BM1143" s="334">
        <f>((BM1125*BM1123/BM1133)*1)</f>
        <v>0.11304936630890364</v>
      </c>
      <c r="BN1143" s="334">
        <f t="shared" ref="BN1143" si="5625">((BN1125*BN1123/BN1133)*1)</f>
        <v>0.11458630946193797</v>
      </c>
      <c r="BO1143" s="334">
        <f>((BO1125*BO1123/BO1133)*1)</f>
        <v>0.11387677940718945</v>
      </c>
      <c r="BP1143" s="334">
        <f>((BP1125*BP1123/BP1133)*1)</f>
        <v>0.11321092882193824</v>
      </c>
      <c r="BQ1143" s="334">
        <f t="shared" ref="BQ1143" si="5626">((BQ1125*BQ1123/BQ1133)*1)</f>
        <v>0.11470241954614906</v>
      </c>
      <c r="BR1143" s="334">
        <f>((BR1125*BR1123/BR1133)*1)</f>
        <v>0.11401549778072617</v>
      </c>
    </row>
    <row r="1144" spans="3:70" outlineLevel="1">
      <c r="C1144" s="547" t="s">
        <v>652</v>
      </c>
      <c r="D1144" s="31"/>
      <c r="E1144" s="31"/>
      <c r="F1144" s="31"/>
      <c r="G1144" s="31"/>
      <c r="H1144" s="31"/>
      <c r="I1144" s="31"/>
      <c r="J1144" s="31"/>
      <c r="K1144" s="31"/>
      <c r="L1144" s="31"/>
      <c r="M1144" s="31"/>
      <c r="N1144" s="31"/>
      <c r="O1144" s="31"/>
      <c r="AB1144" s="130"/>
      <c r="AC1144" s="334">
        <f t="shared" ref="AC1144:AM1144" si="5627">((AC1128*AC1126/AC1133)*1)</f>
        <v>0.15197093963731304</v>
      </c>
      <c r="AD1144" s="334">
        <f t="shared" si="5627"/>
        <v>0.13738019169329072</v>
      </c>
      <c r="AE1144" s="334">
        <f t="shared" si="5627"/>
        <v>0.14453505524784996</v>
      </c>
      <c r="AF1144" s="334">
        <f>((AF1128*AF1126/AF1133)*1)</f>
        <v>0.13995705679517356</v>
      </c>
      <c r="AG1144" s="980">
        <f t="shared" si="5627"/>
        <v>0.12067372111046264</v>
      </c>
      <c r="AH1144" s="334">
        <f>((AH1128*AH1126/AH1133)*1)</f>
        <v>0.13008269179036566</v>
      </c>
      <c r="AI1144" s="334">
        <f>((AI1128*AI1126/AI1133)*1)</f>
        <v>0.13564332589245368</v>
      </c>
      <c r="AJ1144" s="334">
        <f t="shared" si="5627"/>
        <v>0.11386145267202806</v>
      </c>
      <c r="AK1144" s="334">
        <f>((AK1128*AK1126/AK1133)*1)</f>
        <v>0.12456189890756081</v>
      </c>
      <c r="AL1144" s="334">
        <f>((AL1128*AL1126/AL1133)*1)</f>
        <v>0.13046555498817319</v>
      </c>
      <c r="AM1144" s="334">
        <f t="shared" si="5627"/>
        <v>0.11116840559777535</v>
      </c>
      <c r="AN1144" s="334">
        <f>((AN1128*AN1126/AN1133)*1)</f>
        <v>0.1205740227451286</v>
      </c>
      <c r="AO1144" s="334">
        <f>((AO1128*AO1126/AO1133)*1)</f>
        <v>0.1275499476403531</v>
      </c>
      <c r="AP1144" s="334">
        <f t="shared" ref="AP1144" si="5628">((AP1128*AP1126/AP1133)*1)</f>
        <v>0.1080714247239941</v>
      </c>
      <c r="AQ1144" s="334">
        <f>((AQ1128*AQ1126/AQ1133)*1)</f>
        <v>0.11756242879029036</v>
      </c>
      <c r="AR1144" s="334">
        <f>((AR1128*AR1126/AR1133)*1)</f>
        <v>0.12405776305534946</v>
      </c>
      <c r="AS1144" s="334">
        <f t="shared" ref="AS1144" si="5629">((AS1128*AS1126/AS1133)*1)</f>
        <v>0.10505627939833453</v>
      </c>
      <c r="AT1144" s="334">
        <f>((AT1128*AT1126/AT1133)*1)</f>
        <v>0.11431215990710249</v>
      </c>
      <c r="AU1144" s="334">
        <f>((AU1128*AU1126/AU1133)*1)</f>
        <v>0.12064565441335046</v>
      </c>
      <c r="AV1144" s="334">
        <f t="shared" ref="AV1144" si="5630">((AV1128*AV1126/AV1133)*1)</f>
        <v>0.10211370142502835</v>
      </c>
      <c r="AW1144" s="334">
        <f>((AW1128*AW1126/AW1133)*1)</f>
        <v>0.11113832157858343</v>
      </c>
      <c r="AX1144" s="334">
        <f>((AX1128*AX1126/AX1133)*1)</f>
        <v>0.11731254076746614</v>
      </c>
      <c r="AY1144" s="334">
        <f t="shared" ref="AY1144" si="5631">((AY1128*AY1126/AY1133)*1)</f>
        <v>9.9242508549410413E-2</v>
      </c>
      <c r="AZ1144" s="334">
        <f>((AZ1128*AZ1126/AZ1133)*1)</f>
        <v>0.10803977131314291</v>
      </c>
      <c r="BA1144" s="334">
        <f>((BA1128*BA1126/BA1133)*1)</f>
        <v>0.11405731595123279</v>
      </c>
      <c r="BB1144" s="334">
        <f t="shared" ref="BB1144" si="5632">((BB1128*BB1126/BB1133)*1)</f>
        <v>9.6441507941141577E-2</v>
      </c>
      <c r="BC1144" s="334">
        <f>((BC1128*BC1126/BC1133)*1)</f>
        <v>0.1050153491236651</v>
      </c>
      <c r="BD1144" s="334">
        <f>((BD1128*BD1126/BD1133)*1)</f>
        <v>0.11087885116622861</v>
      </c>
      <c r="BE1144" s="334">
        <f t="shared" ref="BE1144" si="5633">((BE1128*BE1126/BE1133)*1)</f>
        <v>9.3709498193369628E-2</v>
      </c>
      <c r="BF1144" s="334">
        <f>((BF1128*BF1126/BF1133)*1)</f>
        <v>0.10206387982561604</v>
      </c>
      <c r="BG1144" s="334">
        <f>((BG1128*BG1126/BG1133)*1)</f>
        <v>0.10777599748313441</v>
      </c>
      <c r="BH1144" s="334">
        <f t="shared" ref="BH1144" si="5634">((BH1128*BH1126/BH1133)*1)</f>
        <v>9.1045271232278985E-2</v>
      </c>
      <c r="BI1144" s="334">
        <f>((BI1128*BI1126/BI1133)*1)</f>
        <v>9.9184175245220205E-2</v>
      </c>
      <c r="BJ1144" s="334">
        <f>((BJ1128*BJ1126/BJ1133)*1)</f>
        <v>0.10474758825438402</v>
      </c>
      <c r="BK1144" s="334">
        <f t="shared" ref="BK1144" si="5635">((BK1128*BK1126/BK1133)*1)</f>
        <v>8.8447614137511829E-2</v>
      </c>
      <c r="BL1144" s="334">
        <f>((BL1128*BL1126/BL1133)*1)</f>
        <v>9.6375036337149722E-2</v>
      </c>
      <c r="BM1144" s="334">
        <f>((BM1128*BM1126/BM1133)*1)</f>
        <v>0.10179244143699856</v>
      </c>
      <c r="BN1144" s="334">
        <f t="shared" ref="BN1144" si="5636">((BN1128*BN1126/BN1133)*1)</f>
        <v>8.5915310874217624E-2</v>
      </c>
      <c r="BO1144" s="334">
        <f>((BO1128*BO1126/BO1133)*1)</f>
        <v>9.3635255211534318E-2</v>
      </c>
      <c r="BP1144" s="334">
        <f>((BP1128*BP1126/BP1133)*1)</f>
        <v>9.8909361824622732E-2</v>
      </c>
      <c r="BQ1144" s="334">
        <f t="shared" ref="BQ1144" si="5637">((BQ1128*BQ1126/BQ1133)*1)</f>
        <v>8.3447143937739457E-2</v>
      </c>
      <c r="BR1144" s="334">
        <f>((BR1128*BR1126/BR1133)*1)</f>
        <v>9.0963617070431768E-2</v>
      </c>
    </row>
    <row r="1145" spans="3:70" outlineLevel="1">
      <c r="C1145" s="547" t="s">
        <v>653</v>
      </c>
      <c r="D1145" s="31"/>
      <c r="E1145" s="31"/>
      <c r="F1145" s="31"/>
      <c r="G1145" s="31"/>
      <c r="H1145" s="31"/>
      <c r="I1145" s="31"/>
      <c r="J1145" s="31"/>
      <c r="K1145" s="31"/>
      <c r="L1145" s="31"/>
      <c r="M1145" s="31"/>
      <c r="N1145" s="31"/>
      <c r="O1145" s="31"/>
      <c r="AB1145" s="130"/>
      <c r="AC1145" s="334">
        <f t="shared" ref="AC1145:AM1145" si="5638">((AC1131*AC1129/AC1133)*1)</f>
        <v>0.12532281408746487</v>
      </c>
      <c r="AD1145" s="334">
        <f t="shared" si="5638"/>
        <v>0.12058654870156468</v>
      </c>
      <c r="AE1145" s="334">
        <f t="shared" si="5638"/>
        <v>0.12290907066714914</v>
      </c>
      <c r="AF1145" s="334">
        <f>((AF1131*AF1129/AF1133)*1)</f>
        <v>0.12150568949783237</v>
      </c>
      <c r="AG1145" s="980">
        <f t="shared" si="5638"/>
        <v>0.11470252712342986</v>
      </c>
      <c r="AH1145" s="334">
        <f>((AH1131*AH1129/AH1133)*1)</f>
        <v>0.11801676006674559</v>
      </c>
      <c r="AI1145" s="334">
        <f>((AI1131*AI1129/AI1133)*1)</f>
        <v>0.11266700241857622</v>
      </c>
      <c r="AJ1145" s="334">
        <f t="shared" si="5638"/>
        <v>0.10179448963479384</v>
      </c>
      <c r="AK1145" s="334">
        <f>((AK1131*AK1129/AK1133)*1)</f>
        <v>0.10710730082233956</v>
      </c>
      <c r="AL1145" s="334">
        <f>((AL1131*AL1129/AL1133)*1)</f>
        <v>0.10549322286347554</v>
      </c>
      <c r="AM1145" s="334">
        <f t="shared" si="5638"/>
        <v>0.10255319322700153</v>
      </c>
      <c r="AN1145" s="334">
        <f>((AN1131*AN1129/AN1133)*1)</f>
        <v>0.10404571762640387</v>
      </c>
      <c r="AO1145" s="334">
        <f>((AO1131*AO1129/AO1133)*1)</f>
        <v>0.10715746780153784</v>
      </c>
      <c r="AP1145" s="334">
        <f t="shared" ref="AP1145" si="5639">((AP1131*AP1129/AP1133)*1)</f>
        <v>0.10419490535443539</v>
      </c>
      <c r="AQ1145" s="334">
        <f>((AQ1131*AQ1129/AQ1133)*1)</f>
        <v>0.10570012824577556</v>
      </c>
      <c r="AR1145" s="334">
        <f>((AR1131*AR1129/AR1133)*1)</f>
        <v>0.10891757890802392</v>
      </c>
      <c r="AS1145" s="334">
        <f t="shared" ref="AS1145" si="5640">((AS1131*AS1129/AS1133)*1)</f>
        <v>0.10584976189254593</v>
      </c>
      <c r="AT1145" s="334">
        <f>((AT1131*AT1129/AT1133)*1)</f>
        <v>0.10740726013759341</v>
      </c>
      <c r="AU1145" s="334">
        <f>((AU1131*AU1129/AU1133)*1)</f>
        <v>0.11069235772645032</v>
      </c>
      <c r="AV1145" s="334">
        <f t="shared" ref="AV1145" si="5641">((AV1131*AV1129/AV1133)*1)</f>
        <v>0.10751875071737901</v>
      </c>
      <c r="AW1145" s="334">
        <f>((AW1131*AW1129/AW1133)*1)</f>
        <v>0.10912878784774359</v>
      </c>
      <c r="AX1145" s="334">
        <f>((AX1131*AX1129/AX1133)*1)</f>
        <v>0.1124818268746734</v>
      </c>
      <c r="AY1145" s="334">
        <f t="shared" ref="AY1145" si="5642">((AY1131*AY1129/AY1133)*1)</f>
        <v>0.10920192736383175</v>
      </c>
      <c r="AZ1145" s="334">
        <f>((AZ1131*AZ1129/AZ1133)*1)</f>
        <v>0.11086475173452269</v>
      </c>
      <c r="BA1145" s="334">
        <f>((BA1131*BA1129/BA1133)*1)</f>
        <v>0.11428601163716891</v>
      </c>
      <c r="BB1145" s="334">
        <f t="shared" ref="BB1145" si="5643">((BB1131*BB1129/BB1133)*1)</f>
        <v>0.11089934933379002</v>
      </c>
      <c r="BC1145" s="334">
        <f>((BC1131*BC1129/BC1133)*1)</f>
        <v>0.11261519446220218</v>
      </c>
      <c r="BD1145" s="334">
        <f>((BD1131*BD1129/BD1133)*1)</f>
        <v>0.11610493986118511</v>
      </c>
      <c r="BE1145" s="334">
        <f t="shared" ref="BE1145" si="5644">((BE1131*BE1129/BE1133)*1)</f>
        <v>0.11261107598601658</v>
      </c>
      <c r="BF1145" s="334">
        <f>((BF1131*BF1129/BF1133)*1)</f>
        <v>0.1143801608918608</v>
      </c>
      <c r="BG1145" s="334">
        <f>((BG1131*BG1129/BG1133)*1)</f>
        <v>0.11793864184760322</v>
      </c>
      <c r="BH1145" s="334">
        <f t="shared" ref="BH1145" si="5645">((BH1131*BH1129/BH1133)*1)</f>
        <v>0.11433716842343808</v>
      </c>
      <c r="BI1145" s="334">
        <f>((BI1131*BI1129/BI1133)*1)</f>
        <v>0.11615969796842412</v>
      </c>
      <c r="BJ1145" s="334">
        <f>((BJ1131*BJ1129/BJ1133)*1)</f>
        <v>0.11978715023695331</v>
      </c>
      <c r="BK1145" s="334">
        <f t="shared" ref="BK1145" si="5646">((BK1131*BK1129/BK1133)*1)</f>
        <v>0.11607768937812402</v>
      </c>
      <c r="BL1145" s="334">
        <f>((BL1131*BL1129/BL1133)*1)</f>
        <v>0.11795385460427822</v>
      </c>
      <c r="BM1145" s="334">
        <f>((BM1131*BM1129/BM1133)*1)</f>
        <v>0.12165049989101748</v>
      </c>
      <c r="BN1145" s="334">
        <f t="shared" ref="BN1145" si="5647">((BN1131*BN1129/BN1133)*1)</f>
        <v>0.1178327030942368</v>
      </c>
      <c r="BO1145" s="334">
        <f>((BO1131*BO1129/BO1133)*1)</f>
        <v>0.11976268155981119</v>
      </c>
      <c r="BP1145" s="334">
        <f>((BP1131*BP1129/BP1133)*1)</f>
        <v>0.12352872777043959</v>
      </c>
      <c r="BQ1145" s="334">
        <f t="shared" ref="BQ1145" si="5648">((BQ1131*BQ1129/BQ1133)*1)</f>
        <v>0.11960227520921918</v>
      </c>
      <c r="BR1145" s="334">
        <f>((BR1131*BR1129/BR1133)*1)</f>
        <v>0.1215862313212209</v>
      </c>
    </row>
    <row r="1146" spans="3:70" outlineLevel="1">
      <c r="C1146" s="113" t="s">
        <v>286</v>
      </c>
      <c r="D1146" s="31"/>
      <c r="E1146" s="31"/>
      <c r="F1146" s="31"/>
      <c r="G1146" s="31"/>
      <c r="H1146" s="31"/>
      <c r="I1146" s="31"/>
      <c r="J1146" s="31"/>
      <c r="K1146" s="31"/>
      <c r="L1146" s="31"/>
      <c r="M1146" s="31"/>
      <c r="N1146" s="31"/>
      <c r="O1146" s="31"/>
      <c r="AC1146" s="51"/>
      <c r="AD1146" s="51"/>
      <c r="AE1146" s="334"/>
      <c r="AF1146" s="548">
        <f t="shared" ref="AF1146:AM1146" si="5649">+AF671</f>
        <v>-4.8916527393026342E-2</v>
      </c>
      <c r="AG1146" s="991">
        <f t="shared" si="5649"/>
        <v>-2.8796894944312351E-2</v>
      </c>
      <c r="AH1146" s="548">
        <f>+AH671</f>
        <v>-3.8529512006512598E-2</v>
      </c>
      <c r="AI1146" s="548">
        <f>+AI671</f>
        <v>2.5043470304185474E-2</v>
      </c>
      <c r="AJ1146" s="548">
        <f t="shared" si="5649"/>
        <v>-1.0858674847796608E-3</v>
      </c>
      <c r="AK1146" s="548">
        <f>+AK671</f>
        <v>1.1526551212713843E-2</v>
      </c>
      <c r="AL1146" s="548">
        <f>+AL671</f>
        <v>-1.0311026482210814E-2</v>
      </c>
      <c r="AM1146" s="548">
        <f t="shared" si="5649"/>
        <v>1.4091736045602389E-2</v>
      </c>
      <c r="AN1146" s="548">
        <f>+AN671</f>
        <v>1.9872640802622854E-3</v>
      </c>
      <c r="AO1146" s="548">
        <f>+AO671</f>
        <v>1.7454288493785334E-2</v>
      </c>
      <c r="AP1146" s="548">
        <f t="shared" ref="AP1146" si="5650">+AP671</f>
        <v>1.5571621141688589E-2</v>
      </c>
      <c r="AQ1146" s="548">
        <f>+AQ671</f>
        <v>1.6274993506298019E-2</v>
      </c>
      <c r="AR1146" s="548">
        <f>+AR671</f>
        <v>1.6778833819964246E-2</v>
      </c>
      <c r="AS1146" s="548">
        <f t="shared" ref="AS1146" si="5651">+AS671</f>
        <v>1.7248938440391808E-2</v>
      </c>
      <c r="AT1146" s="548">
        <f>+AT671</f>
        <v>1.6794756076797368E-2</v>
      </c>
      <c r="AU1146" s="548">
        <f>+AU671</f>
        <v>1.7049596484067366E-2</v>
      </c>
      <c r="AV1146" s="548">
        <f t="shared" ref="AV1146" si="5652">+AV671</f>
        <v>1.7505846704649951E-2</v>
      </c>
      <c r="AW1146" s="548">
        <f>+AW671</f>
        <v>1.7054976454891291E-2</v>
      </c>
      <c r="AX1146" s="548">
        <f>+AX671</f>
        <v>1.7320576275270498E-2</v>
      </c>
      <c r="AY1146" s="548">
        <f t="shared" ref="AY1146" si="5653">+AY671</f>
        <v>1.776316091986575E-2</v>
      </c>
      <c r="AZ1146" s="548">
        <f>+AZ671</f>
        <v>1.7315499291288283E-2</v>
      </c>
      <c r="BA1146" s="548">
        <f>+BA671</f>
        <v>1.7591788811764368E-2</v>
      </c>
      <c r="BB1146" s="548">
        <f t="shared" ref="BB1146" si="5654">+BB671</f>
        <v>1.8020901537051541E-2</v>
      </c>
      <c r="BC1146" s="548">
        <f>+BC671</f>
        <v>1.7576342612286133E-2</v>
      </c>
      <c r="BD1146" s="548">
        <f>+BD671</f>
        <v>1.7863248737165001E-2</v>
      </c>
      <c r="BE1146" s="548">
        <f t="shared" ref="BE1146" si="5655">+BE671</f>
        <v>1.8279087714642497E-2</v>
      </c>
      <c r="BF1146" s="548">
        <f>+BF671</f>
        <v>1.7837523317950854E-2</v>
      </c>
      <c r="BG1146" s="548">
        <f>+BG671</f>
        <v>1.8134969626335054E-2</v>
      </c>
      <c r="BH1146" s="548">
        <f t="shared" ref="BH1146" si="5656">+BH671</f>
        <v>1.8537737230828921E-2</v>
      </c>
      <c r="BI1146" s="548">
        <f>+BI671</f>
        <v>1.8099057092141102E-2</v>
      </c>
      <c r="BJ1146" s="548">
        <f>+BJ671</f>
        <v>1.8406963894209604E-2</v>
      </c>
      <c r="BK1146" s="548">
        <f t="shared" ref="BK1146" si="5657">+BK671</f>
        <v>1.8796866398979185E-2</v>
      </c>
      <c r="BL1146" s="548">
        <f>+BL671</f>
        <v>1.8360958315573939E-2</v>
      </c>
      <c r="BM1146" s="548">
        <f>+BM671</f>
        <v>1.8679242707862507E-2</v>
      </c>
      <c r="BN1146" s="548">
        <f t="shared" ref="BN1146" si="5658">+BN671</f>
        <v>1.9056489986354119E-2</v>
      </c>
      <c r="BO1146" s="548">
        <f>+BO671</f>
        <v>1.8623239982149098E-2</v>
      </c>
      <c r="BP1146" s="548">
        <f>+BP671</f>
        <v>1.8951815902043891E-2</v>
      </c>
      <c r="BQ1146" s="548">
        <f t="shared" ref="BQ1146" si="5659">+BQ671</f>
        <v>1.9316621136310982E-2</v>
      </c>
      <c r="BR1146" s="548">
        <f>+BR671</f>
        <v>1.8885913618742922E-2</v>
      </c>
    </row>
    <row r="1147" spans="3:70" outlineLevel="1">
      <c r="C1147" s="383" t="s">
        <v>80</v>
      </c>
      <c r="D1147" s="31"/>
      <c r="E1147" s="31"/>
      <c r="F1147" s="31"/>
      <c r="G1147" s="31"/>
      <c r="H1147" s="31"/>
      <c r="I1147" s="31"/>
      <c r="J1147" s="31"/>
      <c r="K1147" s="31"/>
      <c r="L1147" s="31"/>
      <c r="M1147" s="31"/>
      <c r="N1147" s="31"/>
      <c r="O1147" s="31"/>
      <c r="AC1147" s="51"/>
      <c r="AD1147" s="51"/>
      <c r="AE1147" s="334"/>
      <c r="AF1147" s="429">
        <f t="shared" ref="AF1147:AN1147" si="5660">+AF638</f>
        <v>2.5953899855559737E-3</v>
      </c>
      <c r="AG1147" s="974">
        <f t="shared" si="5660"/>
        <v>3.0589466707388852E-2</v>
      </c>
      <c r="AH1147" s="429">
        <f t="shared" si="5660"/>
        <v>1.700798125943237E-2</v>
      </c>
      <c r="AI1147" s="429">
        <f t="shared" si="5660"/>
        <v>3.1701056590592566E-2</v>
      </c>
      <c r="AJ1147" s="429">
        <f t="shared" si="5660"/>
        <v>1.7888668427606762E-2</v>
      </c>
      <c r="AK1147" s="429">
        <f t="shared" si="5660"/>
        <v>2.4494861175995641E-2</v>
      </c>
      <c r="AL1147" s="429">
        <f t="shared" si="5660"/>
        <v>1.905333414986907E-2</v>
      </c>
      <c r="AM1147" s="429">
        <f t="shared" si="5660"/>
        <v>1.8922602452273757E-2</v>
      </c>
      <c r="AN1147" s="429">
        <f t="shared" si="5660"/>
        <v>1.8985568648425488E-2</v>
      </c>
      <c r="AO1147" s="429">
        <f t="shared" ref="AO1147:BR1147" si="5661">+AO638</f>
        <v>1.6823217259243788E-2</v>
      </c>
      <c r="AP1147" s="429">
        <f t="shared" si="5661"/>
        <v>1.4921343705614199E-2</v>
      </c>
      <c r="AQ1147" s="429">
        <f t="shared" si="5661"/>
        <v>1.5837431459452267E-2</v>
      </c>
      <c r="AR1147" s="429">
        <f t="shared" si="5661"/>
        <v>1.5042217204611776E-2</v>
      </c>
      <c r="AS1147" s="429">
        <f t="shared" si="5661"/>
        <v>1.4953232445596844E-2</v>
      </c>
      <c r="AT1147" s="429">
        <f t="shared" si="5661"/>
        <v>1.4996135904742358E-2</v>
      </c>
      <c r="AU1147" s="429">
        <f t="shared" si="5661"/>
        <v>1.5075059144365115E-2</v>
      </c>
      <c r="AV1147" s="429">
        <f t="shared" si="5661"/>
        <v>1.4985375475755999E-2</v>
      </c>
      <c r="AW1147" s="429">
        <f t="shared" si="5661"/>
        <v>1.5028617873038108E-2</v>
      </c>
      <c r="AX1147" s="429">
        <f t="shared" si="5661"/>
        <v>1.5108155060747974E-2</v>
      </c>
      <c r="AY1147" s="429">
        <f t="shared" si="5661"/>
        <v>1.5017772779918066E-2</v>
      </c>
      <c r="AZ1147" s="429">
        <f t="shared" si="5661"/>
        <v>1.5061354018025996E-2</v>
      </c>
      <c r="BA1147" s="429">
        <f t="shared" si="5661"/>
        <v>1.514150475141891E-2</v>
      </c>
      <c r="BB1147" s="429">
        <f t="shared" si="5661"/>
        <v>1.5050424293277158E-2</v>
      </c>
      <c r="BC1147" s="429">
        <f t="shared" si="5661"/>
        <v>1.509434420891087E-2</v>
      </c>
      <c r="BD1147" s="429">
        <f t="shared" si="5661"/>
        <v>1.5175107962653023E-2</v>
      </c>
      <c r="BE1147" s="429">
        <f t="shared" si="5661"/>
        <v>1.5083329901646438E-2</v>
      </c>
      <c r="BF1147" s="429">
        <f t="shared" si="5661"/>
        <v>1.5127588264533864E-2</v>
      </c>
      <c r="BG1147" s="429">
        <f t="shared" si="5661"/>
        <v>1.5208964388636136E-2</v>
      </c>
      <c r="BH1147" s="429">
        <f t="shared" si="5661"/>
        <v>1.5116489440719871E-2</v>
      </c>
      <c r="BI1147" s="429">
        <f t="shared" si="5661"/>
        <v>1.5161085952651199E-2</v>
      </c>
      <c r="BJ1147" s="429">
        <f t="shared" si="5661"/>
        <v>1.524307367077218E-2</v>
      </c>
      <c r="BK1147" s="429">
        <f t="shared" si="5661"/>
        <v>1.5149902695345108E-2</v>
      </c>
      <c r="BL1147" s="429">
        <f t="shared" si="5661"/>
        <v>1.5194836989222082E-2</v>
      </c>
      <c r="BM1147" s="429">
        <f t="shared" si="5661"/>
        <v>1.5277435397004518E-2</v>
      </c>
      <c r="BN1147" s="429">
        <f t="shared" si="5661"/>
        <v>1.5183569398808255E-2</v>
      </c>
      <c r="BO1147" s="429">
        <f t="shared" si="5661"/>
        <v>1.5228841037709495E-2</v>
      </c>
      <c r="BP1147" s="429">
        <f t="shared" si="5661"/>
        <v>1.5312049101152081E-2</v>
      </c>
      <c r="BQ1147" s="429">
        <f t="shared" si="5661"/>
        <v>1.5217489232131287E-2</v>
      </c>
      <c r="BR1147" s="429">
        <f t="shared" si="5661"/>
        <v>1.5263097708398288E-2</v>
      </c>
    </row>
    <row r="1148" spans="3:70" outlineLevel="1">
      <c r="C1148" s="477" t="s">
        <v>293</v>
      </c>
      <c r="D1148" s="31"/>
      <c r="E1148" s="31"/>
      <c r="F1148" s="31"/>
      <c r="G1148" s="31"/>
      <c r="H1148" s="31"/>
      <c r="I1148" s="31"/>
      <c r="J1148" s="31"/>
      <c r="K1148" s="31"/>
      <c r="L1148" s="31"/>
      <c r="M1148" s="31"/>
      <c r="N1148" s="31"/>
      <c r="O1148" s="31"/>
      <c r="AC1148" s="51"/>
      <c r="AD1148" s="51"/>
      <c r="AE1148" s="334"/>
      <c r="AF1148" s="429">
        <f t="shared" ref="AF1148:BR1148" si="5662">+AF296+AF297+AF323+AF640+AF642</f>
        <v>5.5246499687299638E-2</v>
      </c>
      <c r="AG1148" s="974">
        <f t="shared" si="5662"/>
        <v>4.3821460723087666E-2</v>
      </c>
      <c r="AH1148" s="429">
        <f t="shared" si="5662"/>
        <v>3.5217726841392613E-2</v>
      </c>
      <c r="AI1148" s="429">
        <f t="shared" si="5662"/>
        <v>6.2121669467863884E-2</v>
      </c>
      <c r="AJ1148" s="429">
        <f t="shared" si="5662"/>
        <v>1.5059680557452743E-2</v>
      </c>
      <c r="AK1148" s="429">
        <f t="shared" si="5662"/>
        <v>3.802625506710236E-2</v>
      </c>
      <c r="AL1148" s="429">
        <f t="shared" si="5662"/>
        <v>2.6676627112109549E-2</v>
      </c>
      <c r="AM1148" s="429">
        <f t="shared" si="5662"/>
        <v>4.0961356040834375E-2</v>
      </c>
      <c r="AN1148" s="429">
        <f t="shared" si="5662"/>
        <v>3.3793678346313125E-2</v>
      </c>
      <c r="AO1148" s="429">
        <f t="shared" si="5662"/>
        <v>3.0089026915113858E-2</v>
      </c>
      <c r="AP1148" s="429">
        <f t="shared" si="5662"/>
        <v>2.5999999999999999E-2</v>
      </c>
      <c r="AQ1148" s="429">
        <f t="shared" si="5662"/>
        <v>2.7996775144099224E-2</v>
      </c>
      <c r="AR1148" s="429">
        <f t="shared" si="5662"/>
        <v>2.5999999999999999E-2</v>
      </c>
      <c r="AS1148" s="429">
        <f t="shared" si="5662"/>
        <v>2.5999999999999999E-2</v>
      </c>
      <c r="AT1148" s="429">
        <f t="shared" si="5662"/>
        <v>2.5996806913433194E-2</v>
      </c>
      <c r="AU1148" s="429">
        <f t="shared" si="5662"/>
        <v>2.5999999999999999E-2</v>
      </c>
      <c r="AV1148" s="429">
        <f t="shared" si="5662"/>
        <v>2.5999999999999999E-2</v>
      </c>
      <c r="AW1148" s="429">
        <f t="shared" si="5662"/>
        <v>2.5996791923565674E-2</v>
      </c>
      <c r="AX1148" s="429">
        <f t="shared" si="5662"/>
        <v>2.5999999999999999E-2</v>
      </c>
      <c r="AY1148" s="429">
        <f t="shared" si="5662"/>
        <v>2.5999999999999999E-2</v>
      </c>
      <c r="AZ1148" s="429">
        <f t="shared" si="5662"/>
        <v>2.5996777094577404E-2</v>
      </c>
      <c r="BA1148" s="429">
        <f t="shared" si="5662"/>
        <v>2.5999999999999999E-2</v>
      </c>
      <c r="BB1148" s="429">
        <f t="shared" si="5662"/>
        <v>2.5999999999999999E-2</v>
      </c>
      <c r="BC1148" s="429">
        <f t="shared" si="5662"/>
        <v>2.5996762429759405E-2</v>
      </c>
      <c r="BD1148" s="429">
        <f t="shared" si="5662"/>
        <v>2.5999999999999999E-2</v>
      </c>
      <c r="BE1148" s="429">
        <f t="shared" si="5662"/>
        <v>2.5999999999999999E-2</v>
      </c>
      <c r="BF1148" s="429">
        <f t="shared" si="5662"/>
        <v>2.5996747932383005E-2</v>
      </c>
      <c r="BG1148" s="429">
        <f t="shared" si="5662"/>
        <v>2.5999999999999999E-2</v>
      </c>
      <c r="BH1148" s="429">
        <f t="shared" si="5662"/>
        <v>2.5999999999999999E-2</v>
      </c>
      <c r="BI1148" s="429">
        <f t="shared" si="5662"/>
        <v>2.5996733605701091E-2</v>
      </c>
      <c r="BJ1148" s="429">
        <f t="shared" si="5662"/>
        <v>2.5999999999999999E-2</v>
      </c>
      <c r="BK1148" s="429">
        <f t="shared" si="5662"/>
        <v>2.5999999999999999E-2</v>
      </c>
      <c r="BL1148" s="429">
        <f t="shared" si="5662"/>
        <v>2.59967194529463E-2</v>
      </c>
      <c r="BM1148" s="429">
        <f t="shared" si="5662"/>
        <v>2.5999999999999999E-2</v>
      </c>
      <c r="BN1148" s="429">
        <f t="shared" si="5662"/>
        <v>2.5999999999999999E-2</v>
      </c>
      <c r="BO1148" s="429">
        <f t="shared" si="5662"/>
        <v>2.5996705477329254E-2</v>
      </c>
      <c r="BP1148" s="429">
        <f t="shared" si="5662"/>
        <v>2.5999999999999999E-2</v>
      </c>
      <c r="BQ1148" s="429">
        <f t="shared" si="5662"/>
        <v>2.5999999999999999E-2</v>
      </c>
      <c r="BR1148" s="429">
        <f t="shared" si="5662"/>
        <v>2.5996691682040406E-2</v>
      </c>
    </row>
    <row r="1149" spans="3:70" outlineLevel="1">
      <c r="C1149" s="477" t="s">
        <v>292</v>
      </c>
      <c r="D1149" s="31"/>
      <c r="E1149" s="31"/>
      <c r="F1149" s="31"/>
      <c r="G1149" s="31"/>
      <c r="H1149" s="31"/>
      <c r="I1149" s="31"/>
      <c r="J1149" s="31"/>
      <c r="K1149" s="31"/>
      <c r="L1149" s="31"/>
      <c r="M1149" s="31"/>
      <c r="N1149" s="31"/>
      <c r="O1149" s="31"/>
      <c r="AC1149" s="51"/>
      <c r="AD1149" s="51"/>
      <c r="AE1149" s="334"/>
      <c r="AF1149" s="429">
        <f t="shared" ref="AF1149:BR1149" si="5663">+AF294+AF295+AF322+AF648+AF650</f>
        <v>2.5983090433742449E-2</v>
      </c>
      <c r="AG1149" s="974">
        <f t="shared" si="5663"/>
        <v>2.7228032125730318E-2</v>
      </c>
      <c r="AH1149" s="429">
        <f t="shared" si="5663"/>
        <v>3.0298790352699067E-2</v>
      </c>
      <c r="AI1149" s="429">
        <f t="shared" si="5663"/>
        <v>2.3584491844850831E-2</v>
      </c>
      <c r="AJ1149" s="429">
        <f t="shared" si="5663"/>
        <v>1.8604838709677416E-2</v>
      </c>
      <c r="AK1149" s="429">
        <f t="shared" si="5663"/>
        <v>1.9721954090150085E-2</v>
      </c>
      <c r="AL1149" s="429">
        <f t="shared" si="5663"/>
        <v>1.7000000000000001E-2</v>
      </c>
      <c r="AM1149" s="429">
        <f t="shared" si="5663"/>
        <v>1.3190476190476195E-2</v>
      </c>
      <c r="AN1149" s="429">
        <f t="shared" si="5663"/>
        <v>1.6136408199403124E-2</v>
      </c>
      <c r="AO1149" s="429">
        <f t="shared" si="5663"/>
        <v>1.3190476190476195E-2</v>
      </c>
      <c r="AP1149" s="429">
        <f t="shared" si="5663"/>
        <v>1.2E-2</v>
      </c>
      <c r="AQ1149" s="429">
        <f t="shared" si="5663"/>
        <v>1.2506465238497542E-2</v>
      </c>
      <c r="AR1149" s="429">
        <f t="shared" si="5663"/>
        <v>1.2E-2</v>
      </c>
      <c r="AS1149" s="429">
        <f t="shared" si="5663"/>
        <v>1.2E-2</v>
      </c>
      <c r="AT1149" s="429">
        <f t="shared" si="5663"/>
        <v>1.1999654858164798E-2</v>
      </c>
      <c r="AU1149" s="429">
        <f t="shared" si="5663"/>
        <v>1.2E-2</v>
      </c>
      <c r="AV1149" s="429">
        <f t="shared" si="5663"/>
        <v>1.2E-2</v>
      </c>
      <c r="AW1149" s="429">
        <f t="shared" si="5663"/>
        <v>1.1999655369976134E-2</v>
      </c>
      <c r="AX1149" s="429">
        <f t="shared" si="5663"/>
        <v>1.2E-2</v>
      </c>
      <c r="AY1149" s="429">
        <f t="shared" si="5663"/>
        <v>1.2E-2</v>
      </c>
      <c r="AZ1149" s="429">
        <f t="shared" si="5663"/>
        <v>1.1999655958686326E-2</v>
      </c>
      <c r="BA1149" s="429">
        <f t="shared" si="5663"/>
        <v>1.2E-2</v>
      </c>
      <c r="BB1149" s="429">
        <f t="shared" si="5663"/>
        <v>1.2E-2</v>
      </c>
      <c r="BC1149" s="429">
        <f t="shared" si="5663"/>
        <v>1.199965662381737E-2</v>
      </c>
      <c r="BD1149" s="429">
        <f t="shared" si="5663"/>
        <v>1.2E-2</v>
      </c>
      <c r="BE1149" s="429">
        <f t="shared" si="5663"/>
        <v>1.2E-2</v>
      </c>
      <c r="BF1149" s="429">
        <f t="shared" si="5663"/>
        <v>1.1999657364823575E-2</v>
      </c>
      <c r="BG1149" s="429">
        <f t="shared" si="5663"/>
        <v>1.2E-2</v>
      </c>
      <c r="BH1149" s="429">
        <f t="shared" si="5663"/>
        <v>1.2E-2</v>
      </c>
      <c r="BI1149" s="429">
        <f t="shared" si="5663"/>
        <v>1.1999658181092807E-2</v>
      </c>
      <c r="BJ1149" s="429">
        <f t="shared" si="5663"/>
        <v>1.2E-2</v>
      </c>
      <c r="BK1149" s="429">
        <f t="shared" si="5663"/>
        <v>1.2E-2</v>
      </c>
      <c r="BL1149" s="429">
        <f t="shared" si="5663"/>
        <v>1.1999659071946674E-2</v>
      </c>
      <c r="BM1149" s="429">
        <f t="shared" si="5663"/>
        <v>1.2E-2</v>
      </c>
      <c r="BN1149" s="429">
        <f t="shared" si="5663"/>
        <v>1.2E-2</v>
      </c>
      <c r="BO1149" s="429">
        <f t="shared" si="5663"/>
        <v>1.1999660036642937E-2</v>
      </c>
      <c r="BP1149" s="429">
        <f t="shared" si="5663"/>
        <v>1.2E-2</v>
      </c>
      <c r="BQ1149" s="429">
        <f t="shared" si="5663"/>
        <v>1.2E-2</v>
      </c>
      <c r="BR1149" s="429">
        <f t="shared" si="5663"/>
        <v>1.1999661074376274E-2</v>
      </c>
    </row>
    <row r="1150" spans="3:70" outlineLevel="1">
      <c r="C1150" s="383" t="s">
        <v>81</v>
      </c>
      <c r="D1150" s="31"/>
      <c r="E1150" s="31"/>
      <c r="F1150" s="31"/>
      <c r="G1150" s="31"/>
      <c r="H1150" s="31"/>
      <c r="I1150" s="31"/>
      <c r="J1150" s="31"/>
      <c r="K1150" s="31"/>
      <c r="L1150" s="31"/>
      <c r="M1150" s="31"/>
      <c r="N1150" s="31"/>
      <c r="O1150" s="31"/>
      <c r="AC1150" s="51"/>
      <c r="AD1150" s="51"/>
      <c r="AE1150" s="334"/>
      <c r="AF1150" s="429">
        <f t="shared" ref="AF1150:AN1150" si="5664">+AF646</f>
        <v>-3.8182509254362729E-2</v>
      </c>
      <c r="AG1150" s="974">
        <f t="shared" si="5664"/>
        <v>-7.4171356067326166E-2</v>
      </c>
      <c r="AH1150" s="429">
        <f t="shared" si="5664"/>
        <v>-5.7020421258023313E-2</v>
      </c>
      <c r="AI1150" s="429">
        <f t="shared" si="5664"/>
        <v>3.5443381094161328E-2</v>
      </c>
      <c r="AJ1150" s="429">
        <f t="shared" si="5664"/>
        <v>-1.5560151437144717E-3</v>
      </c>
      <c r="AK1150" s="429">
        <f t="shared" si="5664"/>
        <v>1.6428754740745344E-2</v>
      </c>
      <c r="AL1150" s="429">
        <f t="shared" si="5664"/>
        <v>-4.3475868609909089E-2</v>
      </c>
      <c r="AM1150" s="429">
        <f t="shared" si="5664"/>
        <v>4.4253008767418424E-3</v>
      </c>
      <c r="AN1150" s="429">
        <f t="shared" si="5664"/>
        <v>-1.9294212688702128E-2</v>
      </c>
      <c r="AO1150" s="429">
        <f t="shared" ref="AO1150:BR1150" si="5665">+AO646</f>
        <v>2.5287266474551373E-2</v>
      </c>
      <c r="AP1150" s="429">
        <f t="shared" si="5665"/>
        <v>2.2148258454261688E-2</v>
      </c>
      <c r="AQ1150" s="429">
        <f t="shared" si="5665"/>
        <v>2.3664293636141084E-2</v>
      </c>
      <c r="AR1150" s="429">
        <f t="shared" si="5665"/>
        <v>2.2273425468468364E-2</v>
      </c>
      <c r="AS1150" s="429">
        <f t="shared" si="5665"/>
        <v>2.226336166759153E-2</v>
      </c>
      <c r="AT1150" s="429">
        <f t="shared" si="5665"/>
        <v>2.2268229850625598E-2</v>
      </c>
      <c r="AU1150" s="429">
        <f t="shared" si="5665"/>
        <v>2.2388697276937288E-2</v>
      </c>
      <c r="AV1150" s="429">
        <f t="shared" si="5665"/>
        <v>2.237862105518338E-2</v>
      </c>
      <c r="AW1150" s="429">
        <f t="shared" si="5665"/>
        <v>2.2383495271366405E-2</v>
      </c>
      <c r="AX1150" s="429">
        <f t="shared" si="5665"/>
        <v>2.2504097206685027E-2</v>
      </c>
      <c r="AY1150" s="429">
        <f t="shared" si="5665"/>
        <v>2.2494010823427134E-2</v>
      </c>
      <c r="AZ1150" s="429">
        <f t="shared" si="5665"/>
        <v>2.2498889979905901E-2</v>
      </c>
      <c r="BA1150" s="429">
        <f t="shared" si="5665"/>
        <v>2.2619599337540187E-2</v>
      </c>
      <c r="BB1150" s="429">
        <f t="shared" si="5665"/>
        <v>2.2609505061309831E-2</v>
      </c>
      <c r="BC1150" s="429">
        <f t="shared" si="5665"/>
        <v>2.2614388060778534E-2</v>
      </c>
      <c r="BD1150" s="429">
        <f t="shared" si="5665"/>
        <v>2.2735177657151606E-2</v>
      </c>
      <c r="BE1150" s="429">
        <f t="shared" si="5665"/>
        <v>2.2725077763603684E-2</v>
      </c>
      <c r="BF1150" s="429">
        <f t="shared" si="5665"/>
        <v>2.272996350528822E-2</v>
      </c>
      <c r="BG1150" s="429">
        <f t="shared" si="5665"/>
        <v>2.285080608437037E-2</v>
      </c>
      <c r="BH1150" s="429">
        <f t="shared" si="5665"/>
        <v>2.28407028542345E-2</v>
      </c>
      <c r="BI1150" s="429">
        <f t="shared" si="5665"/>
        <v>2.2845590234883639E-2</v>
      </c>
      <c r="BJ1150" s="429">
        <f t="shared" si="5665"/>
        <v>2.2966458492763745E-2</v>
      </c>
      <c r="BK1150" s="429">
        <f t="shared" si="5665"/>
        <v>2.2956354209785836E-2</v>
      </c>
      <c r="BL1150" s="429">
        <f t="shared" si="5665"/>
        <v>2.2961242124666326E-2</v>
      </c>
      <c r="BM1150" s="429">
        <f t="shared" si="5665"/>
        <v>2.3082108734216043E-2</v>
      </c>
      <c r="BN1150" s="429">
        <f t="shared" si="5665"/>
        <v>2.3072005683094088E-2</v>
      </c>
      <c r="BO1150" s="429">
        <f t="shared" si="5665"/>
        <v>2.3076893026989787E-2</v>
      </c>
      <c r="BP1150" s="429">
        <f t="shared" si="5665"/>
        <v>2.3197730662571126E-2</v>
      </c>
      <c r="BQ1150" s="429">
        <f t="shared" si="5665"/>
        <v>2.3187631126889173E-2</v>
      </c>
      <c r="BR1150" s="429">
        <f t="shared" si="5665"/>
        <v>2.3192516795100593E-2</v>
      </c>
    </row>
    <row r="1151" spans="3:70" outlineLevel="1">
      <c r="C1151" s="477" t="s">
        <v>293</v>
      </c>
      <c r="D1151" s="31"/>
      <c r="E1151" s="31"/>
      <c r="F1151" s="31"/>
      <c r="G1151" s="31"/>
      <c r="H1151" s="31"/>
      <c r="I1151" s="31"/>
      <c r="J1151" s="31"/>
      <c r="K1151" s="31"/>
      <c r="L1151" s="31"/>
      <c r="M1151" s="31"/>
      <c r="N1151" s="31"/>
      <c r="O1151" s="31"/>
      <c r="AF1151" s="429">
        <f t="shared" ref="AF1151:BR1151" si="5666">+AF301+AF302+AF326+AF648+AF650</f>
        <v>-5.8310238515355016E-2</v>
      </c>
      <c r="AG1151" s="974">
        <f t="shared" si="5666"/>
        <v>-9.3062155361331125E-2</v>
      </c>
      <c r="AH1151" s="429">
        <f t="shared" si="5666"/>
        <v>-7.1992967865380397E-2</v>
      </c>
      <c r="AI1151" s="429">
        <f t="shared" si="5666"/>
        <v>1.9990190963943513E-2</v>
      </c>
      <c r="AJ1151" s="429">
        <f t="shared" si="5666"/>
        <v>6.8163495225544973E-3</v>
      </c>
      <c r="AK1151" s="429">
        <f t="shared" si="5666"/>
        <v>1.2030559056134964E-2</v>
      </c>
      <c r="AL1151" s="429">
        <f t="shared" si="5666"/>
        <v>-4.8818021573574719E-3</v>
      </c>
      <c r="AM1151" s="429">
        <f t="shared" si="5666"/>
        <v>3.2780021072287141E-2</v>
      </c>
      <c r="AN1151" s="429">
        <f t="shared" si="5666"/>
        <v>1.4990279561629863E-2</v>
      </c>
      <c r="AO1151" s="429">
        <f t="shared" si="5666"/>
        <v>3.9208387829893027E-2</v>
      </c>
      <c r="AP1151" s="429">
        <f t="shared" si="5666"/>
        <v>3.3833749999999996E-2</v>
      </c>
      <c r="AQ1151" s="429">
        <f t="shared" si="5666"/>
        <v>3.6432296058205964E-2</v>
      </c>
      <c r="AR1151" s="429">
        <f t="shared" si="5666"/>
        <v>3.3833749999999996E-2</v>
      </c>
      <c r="AS1151" s="429">
        <f t="shared" si="5666"/>
        <v>3.3833749999999996E-2</v>
      </c>
      <c r="AT1151" s="429">
        <f t="shared" si="5666"/>
        <v>3.3833404858164794E-2</v>
      </c>
      <c r="AU1151" s="429">
        <f t="shared" si="5666"/>
        <v>3.3833749999999996E-2</v>
      </c>
      <c r="AV1151" s="429">
        <f t="shared" si="5666"/>
        <v>3.3833749999999996E-2</v>
      </c>
      <c r="AW1151" s="429">
        <f t="shared" si="5666"/>
        <v>3.383340536997613E-2</v>
      </c>
      <c r="AX1151" s="429">
        <f t="shared" si="5666"/>
        <v>3.3833749999999996E-2</v>
      </c>
      <c r="AY1151" s="429">
        <f t="shared" si="5666"/>
        <v>3.3833749999999996E-2</v>
      </c>
      <c r="AZ1151" s="429">
        <f t="shared" si="5666"/>
        <v>3.3833405958686322E-2</v>
      </c>
      <c r="BA1151" s="429">
        <f t="shared" si="5666"/>
        <v>3.3833749999999996E-2</v>
      </c>
      <c r="BB1151" s="429">
        <f t="shared" si="5666"/>
        <v>3.3833749999999996E-2</v>
      </c>
      <c r="BC1151" s="429">
        <f t="shared" si="5666"/>
        <v>3.3833406623817369E-2</v>
      </c>
      <c r="BD1151" s="429">
        <f t="shared" si="5666"/>
        <v>3.3833749999999996E-2</v>
      </c>
      <c r="BE1151" s="429">
        <f t="shared" si="5666"/>
        <v>3.3833749999999996E-2</v>
      </c>
      <c r="BF1151" s="429">
        <f t="shared" si="5666"/>
        <v>3.383340736482357E-2</v>
      </c>
      <c r="BG1151" s="429">
        <f t="shared" si="5666"/>
        <v>3.3833749999999996E-2</v>
      </c>
      <c r="BH1151" s="429">
        <f t="shared" si="5666"/>
        <v>3.3833749999999996E-2</v>
      </c>
      <c r="BI1151" s="429">
        <f t="shared" si="5666"/>
        <v>3.3833408181092803E-2</v>
      </c>
      <c r="BJ1151" s="429">
        <f t="shared" si="5666"/>
        <v>3.3833749999999996E-2</v>
      </c>
      <c r="BK1151" s="429">
        <f t="shared" si="5666"/>
        <v>3.3833749999999996E-2</v>
      </c>
      <c r="BL1151" s="429">
        <f t="shared" si="5666"/>
        <v>3.3833409071946666E-2</v>
      </c>
      <c r="BM1151" s="429">
        <f t="shared" si="5666"/>
        <v>3.3833749999999996E-2</v>
      </c>
      <c r="BN1151" s="429">
        <f t="shared" si="5666"/>
        <v>3.3833749999999996E-2</v>
      </c>
      <c r="BO1151" s="429">
        <f t="shared" si="5666"/>
        <v>3.3833410036642933E-2</v>
      </c>
      <c r="BP1151" s="429">
        <f t="shared" si="5666"/>
        <v>3.3833749999999996E-2</v>
      </c>
      <c r="BQ1151" s="429">
        <f t="shared" si="5666"/>
        <v>3.3833749999999996E-2</v>
      </c>
      <c r="BR1151" s="429">
        <f t="shared" si="5666"/>
        <v>3.383341107437627E-2</v>
      </c>
    </row>
    <row r="1152" spans="3:70" outlineLevel="1">
      <c r="C1152" s="477" t="s">
        <v>292</v>
      </c>
      <c r="D1152" s="31"/>
      <c r="E1152" s="31"/>
      <c r="F1152" s="31"/>
      <c r="G1152" s="31"/>
      <c r="H1152" s="31"/>
      <c r="I1152" s="31"/>
      <c r="J1152" s="31"/>
      <c r="K1152" s="31"/>
      <c r="L1152" s="31"/>
      <c r="M1152" s="31"/>
      <c r="N1152" s="31"/>
      <c r="O1152" s="31"/>
      <c r="AF1152" s="429">
        <f t="shared" ref="AF1152:BR1152" si="5667">+AF299+AF300+AF325+AF648+AF650</f>
        <v>-4.0074679584162429E-2</v>
      </c>
      <c r="AG1152" s="974">
        <f t="shared" si="5667"/>
        <v>-5.9270442588950575E-2</v>
      </c>
      <c r="AH1152" s="429">
        <f t="shared" si="5667"/>
        <v>-4.5979332013593818E-2</v>
      </c>
      <c r="AI1152" s="429">
        <f t="shared" si="5667"/>
        <v>4.7520733562044705E-2</v>
      </c>
      <c r="AJ1152" s="429">
        <f t="shared" si="5667"/>
        <v>-8.2604678179969051E-3</v>
      </c>
      <c r="AK1152" s="429">
        <f t="shared" si="5667"/>
        <v>1.8257421684909861E-2</v>
      </c>
      <c r="AL1152" s="429">
        <f t="shared" si="5667"/>
        <v>-7.5958974524242953E-2</v>
      </c>
      <c r="AM1152" s="429">
        <f t="shared" si="5667"/>
        <v>-1.949115774417836E-2</v>
      </c>
      <c r="AN1152" s="429">
        <f t="shared" si="5667"/>
        <v>-4.6683896030045635E-2</v>
      </c>
      <c r="AO1152" s="429">
        <f t="shared" si="5667"/>
        <v>1.3270476190476195E-2</v>
      </c>
      <c r="AP1152" s="429">
        <f t="shared" si="5667"/>
        <v>1.208E-2</v>
      </c>
      <c r="AQ1152" s="429">
        <f t="shared" si="5667"/>
        <v>1.2586465238497543E-2</v>
      </c>
      <c r="AR1152" s="429">
        <f t="shared" si="5667"/>
        <v>1.208E-2</v>
      </c>
      <c r="AS1152" s="429">
        <f t="shared" si="5667"/>
        <v>1.208E-2</v>
      </c>
      <c r="AT1152" s="429">
        <f t="shared" si="5667"/>
        <v>1.2079654858164798E-2</v>
      </c>
      <c r="AU1152" s="429">
        <f t="shared" si="5667"/>
        <v>1.208E-2</v>
      </c>
      <c r="AV1152" s="429">
        <f t="shared" si="5667"/>
        <v>1.208E-2</v>
      </c>
      <c r="AW1152" s="429">
        <f t="shared" si="5667"/>
        <v>1.2079655369976135E-2</v>
      </c>
      <c r="AX1152" s="429">
        <f t="shared" si="5667"/>
        <v>1.208E-2</v>
      </c>
      <c r="AY1152" s="429">
        <f t="shared" si="5667"/>
        <v>1.208E-2</v>
      </c>
      <c r="AZ1152" s="429">
        <f t="shared" si="5667"/>
        <v>1.2079655958686326E-2</v>
      </c>
      <c r="BA1152" s="429">
        <f t="shared" si="5667"/>
        <v>1.208E-2</v>
      </c>
      <c r="BB1152" s="429">
        <f t="shared" si="5667"/>
        <v>1.208E-2</v>
      </c>
      <c r="BC1152" s="429">
        <f t="shared" si="5667"/>
        <v>1.207965662381737E-2</v>
      </c>
      <c r="BD1152" s="429">
        <f t="shared" si="5667"/>
        <v>1.208E-2</v>
      </c>
      <c r="BE1152" s="429">
        <f t="shared" si="5667"/>
        <v>1.208E-2</v>
      </c>
      <c r="BF1152" s="429">
        <f t="shared" si="5667"/>
        <v>1.2079657364823575E-2</v>
      </c>
      <c r="BG1152" s="429">
        <f t="shared" si="5667"/>
        <v>1.208E-2</v>
      </c>
      <c r="BH1152" s="429">
        <f t="shared" si="5667"/>
        <v>1.208E-2</v>
      </c>
      <c r="BI1152" s="429">
        <f t="shared" si="5667"/>
        <v>1.2079658181092807E-2</v>
      </c>
      <c r="BJ1152" s="429">
        <f t="shared" si="5667"/>
        <v>1.208E-2</v>
      </c>
      <c r="BK1152" s="429">
        <f t="shared" si="5667"/>
        <v>1.208E-2</v>
      </c>
      <c r="BL1152" s="429">
        <f t="shared" si="5667"/>
        <v>1.2079659071946674E-2</v>
      </c>
      <c r="BM1152" s="429">
        <f t="shared" si="5667"/>
        <v>1.208E-2</v>
      </c>
      <c r="BN1152" s="429">
        <f t="shared" si="5667"/>
        <v>1.208E-2</v>
      </c>
      <c r="BO1152" s="429">
        <f t="shared" si="5667"/>
        <v>1.2079660036642938E-2</v>
      </c>
      <c r="BP1152" s="429">
        <f t="shared" si="5667"/>
        <v>1.208E-2</v>
      </c>
      <c r="BQ1152" s="429">
        <f t="shared" si="5667"/>
        <v>1.208E-2</v>
      </c>
      <c r="BR1152" s="429">
        <f t="shared" si="5667"/>
        <v>1.2079661074376274E-2</v>
      </c>
    </row>
    <row r="1153" spans="1:70" outlineLevel="1">
      <c r="C1153" s="383" t="s">
        <v>609</v>
      </c>
      <c r="D1153" s="31"/>
      <c r="E1153" s="31"/>
      <c r="F1153" s="31"/>
      <c r="G1153" s="31"/>
      <c r="H1153" s="31"/>
      <c r="I1153" s="31"/>
      <c r="J1153" s="31"/>
      <c r="K1153" s="31"/>
      <c r="L1153" s="31"/>
      <c r="M1153" s="31"/>
      <c r="N1153" s="31"/>
      <c r="O1153" s="31"/>
      <c r="AF1153" s="133">
        <f t="shared" ref="AF1153:AN1153" si="5668">+AF662</f>
        <v>-0.13540678368121439</v>
      </c>
      <c r="AG1153" s="938">
        <f t="shared" si="5668"/>
        <v>-0.14105050641289524</v>
      </c>
      <c r="AH1153" s="133">
        <f t="shared" si="5668"/>
        <v>-0.13814061470981887</v>
      </c>
      <c r="AI1153" s="133">
        <f t="shared" si="5668"/>
        <v>4.1345679209222408E-3</v>
      </c>
      <c r="AJ1153" s="133">
        <f t="shared" si="5668"/>
        <v>-2.893712304940959E-2</v>
      </c>
      <c r="AK1153" s="133">
        <f t="shared" si="5668"/>
        <v>-1.1831339729886703E-2</v>
      </c>
      <c r="AL1153" s="133">
        <f t="shared" si="5668"/>
        <v>-4.0411758152931757E-2</v>
      </c>
      <c r="AM1153" s="133">
        <f t="shared" si="5668"/>
        <v>-8.1658849874887418E-3</v>
      </c>
      <c r="AN1153" s="133">
        <f t="shared" si="5668"/>
        <v>-2.5114005707494114E-2</v>
      </c>
      <c r="AO1153" s="133">
        <f t="shared" ref="AO1153:BR1153" si="5669">+AO662</f>
        <v>-1.2926672121571815E-2</v>
      </c>
      <c r="AP1153" s="133">
        <f t="shared" si="5669"/>
        <v>-1.59871627394641E-2</v>
      </c>
      <c r="AQ1153" s="133">
        <f t="shared" si="5669"/>
        <v>-1.4403839644929639E-2</v>
      </c>
      <c r="AR1153" s="133">
        <f t="shared" si="5669"/>
        <v>-7.7113748581117943E-3</v>
      </c>
      <c r="AS1153" s="133">
        <f t="shared" si="5669"/>
        <v>-7.3502601992063345E-3</v>
      </c>
      <c r="AT1153" s="133">
        <f t="shared" si="5669"/>
        <v>-7.5373603020464364E-3</v>
      </c>
      <c r="AU1153" s="133">
        <f t="shared" si="5669"/>
        <v>-7.6265655589945356E-3</v>
      </c>
      <c r="AV1153" s="133">
        <f t="shared" si="5669"/>
        <v>-7.2663542505694888E-3</v>
      </c>
      <c r="AW1153" s="133">
        <f t="shared" si="5669"/>
        <v>-7.4529535876776132E-3</v>
      </c>
      <c r="AX1153" s="133">
        <f t="shared" si="5669"/>
        <v>-7.5419448612612195E-3</v>
      </c>
      <c r="AY1153" s="133">
        <f t="shared" si="5669"/>
        <v>-7.1826957169076446E-3</v>
      </c>
      <c r="AZ1153" s="133">
        <f t="shared" si="5669"/>
        <v>-7.3687640746840088E-3</v>
      </c>
      <c r="BA1153" s="133">
        <f t="shared" si="5669"/>
        <v>-7.4575267596059284E-3</v>
      </c>
      <c r="BB1153" s="133">
        <f t="shared" si="5669"/>
        <v>-7.0992979466448546E-3</v>
      </c>
      <c r="BC1153" s="133">
        <f t="shared" si="5669"/>
        <v>-7.2848054667543627E-3</v>
      </c>
      <c r="BD1153" s="133">
        <f t="shared" si="5669"/>
        <v>-7.3733251117110692E-3</v>
      </c>
      <c r="BE1153" s="133">
        <f t="shared" si="5669"/>
        <v>-7.0161741149842452E-3</v>
      </c>
      <c r="BF1153" s="133">
        <f t="shared" si="5669"/>
        <v>-7.201091312666108E-3</v>
      </c>
      <c r="BG1153" s="133">
        <f t="shared" si="5669"/>
        <v>-7.2893536294245725E-3</v>
      </c>
      <c r="BH1153" s="133">
        <f t="shared" si="5669"/>
        <v>-6.933337216042273E-3</v>
      </c>
      <c r="BI1153" s="133">
        <f t="shared" si="5669"/>
        <v>-7.1176349978969711E-3</v>
      </c>
      <c r="BJ1153" s="133">
        <f t="shared" si="5669"/>
        <v>-7.2056258701436266E-3</v>
      </c>
      <c r="BK1153" s="133">
        <f t="shared" si="5669"/>
        <v>-6.850800055232786E-3</v>
      </c>
      <c r="BL1153" s="133">
        <f t="shared" si="5669"/>
        <v>-7.0344497364688285E-3</v>
      </c>
      <c r="BM1153" s="133">
        <f t="shared" si="5669"/>
        <v>-7.1221552284159734E-3</v>
      </c>
      <c r="BN1153" s="133">
        <f t="shared" si="5669"/>
        <v>-6.7685752419095416E-3</v>
      </c>
      <c r="BO1153" s="133">
        <f t="shared" si="5669"/>
        <v>-6.9515485630273766E-3</v>
      </c>
      <c r="BP1153" s="133">
        <f t="shared" si="5669"/>
        <v>-7.0389549277692269E-3</v>
      </c>
      <c r="BQ1153" s="133">
        <f t="shared" si="5669"/>
        <v>-6.6866751822752413E-3</v>
      </c>
      <c r="BR1153" s="133">
        <f t="shared" si="5669"/>
        <v>-6.8689443251700455E-3</v>
      </c>
    </row>
    <row r="1154" spans="1:70" outlineLevel="1">
      <c r="C1154" s="477" t="s">
        <v>293</v>
      </c>
      <c r="D1154" s="31"/>
      <c r="E1154" s="31"/>
      <c r="F1154" s="31"/>
      <c r="G1154" s="31"/>
      <c r="H1154" s="31"/>
      <c r="I1154" s="31"/>
      <c r="J1154" s="31"/>
      <c r="K1154" s="31"/>
      <c r="L1154" s="31"/>
      <c r="M1154" s="31"/>
      <c r="N1154" s="31"/>
      <c r="O1154" s="31"/>
      <c r="AF1154" s="133">
        <f t="shared" ref="AF1154:BR1154" si="5670">+AF313+AF314+AF664+AF666+AF333</f>
        <v>-0.13686888500895245</v>
      </c>
      <c r="AG1154" s="938">
        <f t="shared" si="5670"/>
        <v>-0.14499923735734044</v>
      </c>
      <c r="AH1154" s="133">
        <f t="shared" si="5670"/>
        <v>-0.15368801994642939</v>
      </c>
      <c r="AI1154" s="133">
        <f t="shared" si="5670"/>
        <v>2.6048120858596938E-2</v>
      </c>
      <c r="AJ1154" s="133">
        <f t="shared" si="5670"/>
        <v>1.1073467361628377E-3</v>
      </c>
      <c r="AK1154" s="133">
        <f t="shared" si="5670"/>
        <v>1.3301354503282854E-2</v>
      </c>
      <c r="AL1154" s="133">
        <f t="shared" si="5670"/>
        <v>-3.1479487262121478E-2</v>
      </c>
      <c r="AM1154" s="133">
        <f t="shared" si="5670"/>
        <v>-8.8081696732727685E-4</v>
      </c>
      <c r="AN1154" s="133">
        <f t="shared" si="5670"/>
        <v>-1.644609926824591E-2</v>
      </c>
      <c r="AO1154" s="133">
        <f t="shared" si="5670"/>
        <v>-1.4499999999999999E-2</v>
      </c>
      <c r="AP1154" s="133">
        <f t="shared" si="5670"/>
        <v>-1.4499999999999999E-2</v>
      </c>
      <c r="AQ1154" s="133">
        <f t="shared" si="5670"/>
        <v>-1.4502373013966867E-2</v>
      </c>
      <c r="AR1154" s="133">
        <f t="shared" si="5670"/>
        <v>5.0000000000000044E-4</v>
      </c>
      <c r="AS1154" s="133">
        <f t="shared" si="5670"/>
        <v>5.0000000000000044E-4</v>
      </c>
      <c r="AT1154" s="133">
        <f t="shared" si="5670"/>
        <v>4.9996719459260465E-4</v>
      </c>
      <c r="AU1154" s="133">
        <f t="shared" si="5670"/>
        <v>5.0000000000000044E-4</v>
      </c>
      <c r="AV1154" s="133">
        <f t="shared" si="5670"/>
        <v>5.0000000000000044E-4</v>
      </c>
      <c r="AW1154" s="133">
        <f t="shared" si="5670"/>
        <v>4.9996736086323386E-4</v>
      </c>
      <c r="AX1154" s="133">
        <f t="shared" si="5670"/>
        <v>5.0000000000000044E-4</v>
      </c>
      <c r="AY1154" s="133">
        <f t="shared" si="5670"/>
        <v>5.0000000000000044E-4</v>
      </c>
      <c r="AZ1154" s="133">
        <f t="shared" si="5670"/>
        <v>4.999675373255387E-4</v>
      </c>
      <c r="BA1154" s="133">
        <f t="shared" si="5670"/>
        <v>5.0000000000000044E-4</v>
      </c>
      <c r="BB1154" s="133">
        <f t="shared" si="5670"/>
        <v>5.0000000000000044E-4</v>
      </c>
      <c r="BC1154" s="133">
        <f t="shared" si="5670"/>
        <v>4.9996772377530578E-4</v>
      </c>
      <c r="BD1154" s="133">
        <f t="shared" si="5670"/>
        <v>5.0000000000000044E-4</v>
      </c>
      <c r="BE1154" s="133">
        <f t="shared" si="5670"/>
        <v>5.0000000000000044E-4</v>
      </c>
      <c r="BF1154" s="133">
        <f t="shared" si="5670"/>
        <v>4.9996791999736868E-4</v>
      </c>
      <c r="BG1154" s="133">
        <f t="shared" si="5670"/>
        <v>5.0000000000000044E-4</v>
      </c>
      <c r="BH1154" s="133">
        <f t="shared" si="5670"/>
        <v>5.0000000000000044E-4</v>
      </c>
      <c r="BI1154" s="133">
        <f t="shared" si="5670"/>
        <v>4.999681257678891E-4</v>
      </c>
      <c r="BJ1154" s="133">
        <f t="shared" si="5670"/>
        <v>5.0000000000000044E-4</v>
      </c>
      <c r="BK1154" s="133">
        <f t="shared" si="5670"/>
        <v>5.0000000000000044E-4</v>
      </c>
      <c r="BL1154" s="133">
        <f t="shared" si="5670"/>
        <v>4.9996834085297079E-4</v>
      </c>
      <c r="BM1154" s="133">
        <f t="shared" si="5670"/>
        <v>5.0000000000000044E-4</v>
      </c>
      <c r="BN1154" s="133">
        <f t="shared" si="5670"/>
        <v>5.0000000000000044E-4</v>
      </c>
      <c r="BO1154" s="133">
        <f t="shared" si="5670"/>
        <v>4.9996856500994676E-4</v>
      </c>
      <c r="BP1154" s="133">
        <f t="shared" si="5670"/>
        <v>5.0000000000000044E-4</v>
      </c>
      <c r="BQ1154" s="133">
        <f t="shared" si="5670"/>
        <v>5.0000000000000044E-4</v>
      </c>
      <c r="BR1154" s="133">
        <f t="shared" si="5670"/>
        <v>4.9996879798830211E-4</v>
      </c>
    </row>
    <row r="1155" spans="1:70" outlineLevel="1">
      <c r="C1155" s="477" t="s">
        <v>292</v>
      </c>
      <c r="D1155" s="31"/>
      <c r="E1155" s="31"/>
      <c r="F1155" s="31"/>
      <c r="G1155" s="31"/>
      <c r="H1155" s="31"/>
      <c r="I1155" s="31"/>
      <c r="J1155" s="31"/>
      <c r="K1155" s="31"/>
      <c r="L1155" s="31"/>
      <c r="M1155" s="31"/>
      <c r="N1155" s="31"/>
      <c r="O1155" s="31"/>
      <c r="AF1155" s="133">
        <f t="shared" ref="AF1155:BR1155" si="5671">+AF311+AF312+AF332+AF664+AF666</f>
        <v>-8.0809478174665564E-2</v>
      </c>
      <c r="AG1155" s="938">
        <f t="shared" si="5671"/>
        <v>-0.13627280265765843</v>
      </c>
      <c r="AH1155" s="133">
        <f t="shared" si="5671"/>
        <v>-0.12129509917944495</v>
      </c>
      <c r="AI1155" s="133">
        <f t="shared" si="5671"/>
        <v>-2.2252439495663558E-2</v>
      </c>
      <c r="AJ1155" s="133">
        <f t="shared" si="5671"/>
        <v>-6.7981912766373193E-2</v>
      </c>
      <c r="AK1155" s="133">
        <f t="shared" si="5671"/>
        <v>-4.5393555425115403E-2</v>
      </c>
      <c r="AL1155" s="133">
        <f t="shared" si="5671"/>
        <v>-5.1393262702654804E-2</v>
      </c>
      <c r="AM1155" s="133">
        <f t="shared" si="5671"/>
        <v>-1.7796165247324566E-2</v>
      </c>
      <c r="AN1155" s="133">
        <f t="shared" si="5671"/>
        <v>-3.4860661128511217E-2</v>
      </c>
      <c r="AO1155" s="133">
        <f t="shared" si="5671"/>
        <v>-1.0999231300100908E-2</v>
      </c>
      <c r="AP1155" s="133">
        <f t="shared" si="5671"/>
        <v>-1.7959999999999997E-2</v>
      </c>
      <c r="AQ1155" s="133">
        <f t="shared" si="5671"/>
        <v>-1.448198866401732E-2</v>
      </c>
      <c r="AR1155" s="133">
        <f t="shared" si="5671"/>
        <v>-1.7959999999999997E-2</v>
      </c>
      <c r="AS1155" s="133">
        <f t="shared" si="5671"/>
        <v>-1.7959999999999997E-2</v>
      </c>
      <c r="AT1155" s="133">
        <f t="shared" si="5671"/>
        <v>-1.7960032805407394E-2</v>
      </c>
      <c r="AU1155" s="133">
        <f t="shared" si="5671"/>
        <v>-1.7959999999999997E-2</v>
      </c>
      <c r="AV1155" s="133">
        <f t="shared" si="5671"/>
        <v>-1.7959999999999997E-2</v>
      </c>
      <c r="AW1155" s="133">
        <f t="shared" si="5671"/>
        <v>-1.7960032639136765E-2</v>
      </c>
      <c r="AX1155" s="133">
        <f t="shared" si="5671"/>
        <v>-1.7959999999999997E-2</v>
      </c>
      <c r="AY1155" s="133">
        <f t="shared" si="5671"/>
        <v>-1.7959999999999997E-2</v>
      </c>
      <c r="AZ1155" s="133">
        <f t="shared" si="5671"/>
        <v>-1.7960032462674459E-2</v>
      </c>
      <c r="BA1155" s="133">
        <f t="shared" si="5671"/>
        <v>-1.7959999999999997E-2</v>
      </c>
      <c r="BB1155" s="133">
        <f t="shared" si="5671"/>
        <v>-1.7959999999999997E-2</v>
      </c>
      <c r="BC1155" s="133">
        <f t="shared" si="5671"/>
        <v>-1.796003227622469E-2</v>
      </c>
      <c r="BD1155" s="133">
        <f t="shared" si="5671"/>
        <v>-1.7959999999999997E-2</v>
      </c>
      <c r="BE1155" s="133">
        <f t="shared" si="5671"/>
        <v>-1.7959999999999997E-2</v>
      </c>
      <c r="BF1155" s="133">
        <f t="shared" si="5671"/>
        <v>-1.796003208000263E-2</v>
      </c>
      <c r="BG1155" s="133">
        <f t="shared" si="5671"/>
        <v>-1.7959999999999997E-2</v>
      </c>
      <c r="BH1155" s="133">
        <f t="shared" si="5671"/>
        <v>-1.7959999999999997E-2</v>
      </c>
      <c r="BI1155" s="133">
        <f t="shared" si="5671"/>
        <v>-1.7960031874232108E-2</v>
      </c>
      <c r="BJ1155" s="133">
        <f t="shared" si="5671"/>
        <v>-1.7959999999999997E-2</v>
      </c>
      <c r="BK1155" s="133">
        <f t="shared" si="5671"/>
        <v>-1.7959999999999997E-2</v>
      </c>
      <c r="BL1155" s="133">
        <f t="shared" si="5671"/>
        <v>-1.7960031659147026E-2</v>
      </c>
      <c r="BM1155" s="133">
        <f t="shared" si="5671"/>
        <v>-1.7959999999999997E-2</v>
      </c>
      <c r="BN1155" s="133">
        <f t="shared" si="5671"/>
        <v>-1.7959999999999997E-2</v>
      </c>
      <c r="BO1155" s="133">
        <f t="shared" si="5671"/>
        <v>-1.7960031434990052E-2</v>
      </c>
      <c r="BP1155" s="133">
        <f t="shared" si="5671"/>
        <v>-1.7959999999999997E-2</v>
      </c>
      <c r="BQ1155" s="133">
        <f t="shared" si="5671"/>
        <v>-1.7959999999999997E-2</v>
      </c>
      <c r="BR1155" s="133">
        <f t="shared" si="5671"/>
        <v>-1.7960031202011693E-2</v>
      </c>
    </row>
    <row r="1156" spans="1:70" outlineLevel="1">
      <c r="C1156" s="383" t="s">
        <v>83</v>
      </c>
      <c r="D1156" s="31"/>
      <c r="E1156" s="31"/>
      <c r="F1156" s="31"/>
      <c r="G1156" s="31"/>
      <c r="H1156" s="31"/>
      <c r="I1156" s="31"/>
      <c r="J1156" s="31"/>
      <c r="K1156" s="31"/>
      <c r="L1156" s="31"/>
      <c r="M1156" s="31"/>
      <c r="N1156" s="31"/>
      <c r="O1156" s="31"/>
      <c r="AF1156" s="133">
        <f t="shared" ref="AF1156:AM1156" si="5672">+AF654</f>
        <v>-8.1919851566152446E-2</v>
      </c>
      <c r="AG1156" s="938">
        <f t="shared" si="5672"/>
        <v>-3.3129538012048168E-2</v>
      </c>
      <c r="AH1156" s="133">
        <f>+AH654</f>
        <v>-5.7524694789100383E-2</v>
      </c>
      <c r="AI1156" s="133">
        <f t="shared" si="5672"/>
        <v>1.9713088860285596E-2</v>
      </c>
      <c r="AJ1156" s="133">
        <f t="shared" si="5672"/>
        <v>-2.7729969330401297E-2</v>
      </c>
      <c r="AK1156" s="133">
        <f>+AK654</f>
        <v>-4.3471789475776346E-3</v>
      </c>
      <c r="AL1156" s="133">
        <f t="shared" si="5672"/>
        <v>-3.4279318472108002E-2</v>
      </c>
      <c r="AM1156" s="133">
        <f t="shared" si="5672"/>
        <v>2.6151165093529213E-2</v>
      </c>
      <c r="AN1156" s="133">
        <f>+AN654</f>
        <v>-4.3523434489904922E-3</v>
      </c>
      <c r="AO1156" s="133">
        <f t="shared" ref="AO1156:AP1156" si="5673">+AO654</f>
        <v>4.2068330639801151E-2</v>
      </c>
      <c r="AP1156" s="133">
        <f t="shared" si="5673"/>
        <v>3.9161547494551543E-2</v>
      </c>
      <c r="AQ1156" s="133">
        <f>+AQ654</f>
        <v>4.0584702535056527E-2</v>
      </c>
      <c r="AR1156" s="133">
        <f t="shared" ref="AR1156:AS1156" si="5674">+AR654</f>
        <v>3.9097194243395889E-2</v>
      </c>
      <c r="AS1156" s="133">
        <f t="shared" si="5674"/>
        <v>3.9269425432336171E-2</v>
      </c>
      <c r="AT1156" s="133">
        <f>+AT654</f>
        <v>3.9184981170828248E-2</v>
      </c>
      <c r="AU1156" s="133">
        <f t="shared" ref="AU1156:AV1156" si="5675">+AU654</f>
        <v>3.920497671822544E-2</v>
      </c>
      <c r="AV1156" s="133">
        <f t="shared" si="5675"/>
        <v>3.9377205028480619E-2</v>
      </c>
      <c r="AW1156" s="133">
        <f>+AW654</f>
        <v>3.9292769311834341E-2</v>
      </c>
      <c r="AX1156" s="133">
        <f t="shared" ref="AX1156:AY1156" si="5676">+AX654</f>
        <v>3.9312672044747671E-2</v>
      </c>
      <c r="AY1156" s="133">
        <f t="shared" si="5676"/>
        <v>3.9484868092724543E-2</v>
      </c>
      <c r="AZ1156" s="133">
        <f>+AZ654</f>
        <v>3.9400455324043904E-2</v>
      </c>
      <c r="BA1156" s="133">
        <f t="shared" ref="BA1156:BB1156" si="5677">+BA654</f>
        <v>3.9420262058978008E-2</v>
      </c>
      <c r="BB1156" s="133">
        <f t="shared" si="5677"/>
        <v>3.9592396517219776E-2</v>
      </c>
      <c r="BC1156" s="133">
        <f>+BC654</f>
        <v>3.9508021067226284E-2</v>
      </c>
      <c r="BD1156" s="133">
        <f t="shared" ref="BD1156:BE1156" si="5678">+BD654</f>
        <v>3.9527728671145991E-2</v>
      </c>
      <c r="BE1156" s="133">
        <f t="shared" si="5678"/>
        <v>3.9699772289413952E-2</v>
      </c>
      <c r="BF1156" s="133">
        <f>+BF654</f>
        <v>3.9615448486130189E-2</v>
      </c>
      <c r="BG1156" s="133">
        <f t="shared" ref="BG1156:BH1156" si="5679">+BG654</f>
        <v>3.9635053878580601E-2</v>
      </c>
      <c r="BH1156" s="133">
        <f t="shared" si="5679"/>
        <v>3.9806977504786567E-2</v>
      </c>
      <c r="BI1156" s="133">
        <f>+BI654</f>
        <v>3.9722719623298985E-2</v>
      </c>
      <c r="BJ1156" s="133">
        <f t="shared" ref="BJ1156:BK1156" si="5680">+BJ654</f>
        <v>3.9742219778460736E-2</v>
      </c>
      <c r="BK1156" s="133">
        <f t="shared" si="5680"/>
        <v>3.9913994379418075E-2</v>
      </c>
      <c r="BL1156" s="133">
        <f>+BL654</f>
        <v>3.9829816631737236E-2</v>
      </c>
      <c r="BM1156" s="133">
        <f t="shared" ref="BM1156:BN1156" si="5681">+BM654</f>
        <v>3.9849208580411445E-2</v>
      </c>
      <c r="BN1156" s="133">
        <f t="shared" si="5681"/>
        <v>4.0020805262373213E-2</v>
      </c>
      <c r="BO1156" s="133">
        <f>+BO654</f>
        <v>3.9936721787403595E-2</v>
      </c>
      <c r="BP1156" s="133">
        <f t="shared" ref="BP1156:BQ1156" si="5682">+BP654</f>
        <v>3.9956002618927004E-2</v>
      </c>
      <c r="BQ1156" s="133">
        <f t="shared" si="5682"/>
        <v>4.012739264788024E-2</v>
      </c>
      <c r="BR1156" s="133">
        <f>+BR654</f>
        <v>4.0043417501518297E-2</v>
      </c>
    </row>
    <row r="1157" spans="1:70" outlineLevel="1">
      <c r="C1157" s="477" t="s">
        <v>293</v>
      </c>
      <c r="D1157" s="31"/>
      <c r="E1157" s="31"/>
      <c r="F1157" s="31"/>
      <c r="G1157" s="31"/>
      <c r="H1157" s="31"/>
      <c r="I1157" s="31"/>
      <c r="J1157" s="31"/>
      <c r="K1157" s="31"/>
      <c r="L1157" s="31"/>
      <c r="M1157" s="31"/>
      <c r="N1157" s="31"/>
      <c r="O1157" s="31"/>
      <c r="AF1157" s="133">
        <f t="shared" ref="AF1157:BR1157" si="5683">((AF284/(AF284+AF285))*(AF304+AF305+AF328))+((AF285/(AF284+AF285))*(AF306+AF307+AF329))+AF656+AF658</f>
        <v>-2.1901298902262691E-2</v>
      </c>
      <c r="AG1157" s="938">
        <f t="shared" si="5683"/>
        <v>-1.2768309048543973E-2</v>
      </c>
      <c r="AH1157" s="133">
        <f t="shared" si="5683"/>
        <v>-4.8365853871729057E-2</v>
      </c>
      <c r="AI1157" s="133">
        <f t="shared" si="5683"/>
        <v>7.0860373489006229E-2</v>
      </c>
      <c r="AJ1157" s="133">
        <f t="shared" si="5683"/>
        <v>2.583064722542136E-2</v>
      </c>
      <c r="AK1157" s="133">
        <f t="shared" si="5683"/>
        <v>4.6870524942286863E-2</v>
      </c>
      <c r="AL1157" s="133">
        <f t="shared" si="5683"/>
        <v>-1.0808163643414418E-2</v>
      </c>
      <c r="AM1157" s="133">
        <f t="shared" si="5683"/>
        <v>3.2820757904824895E-2</v>
      </c>
      <c r="AN1157" s="133">
        <f t="shared" si="5683"/>
        <v>1.1753849082778888E-2</v>
      </c>
      <c r="AO1157" s="133">
        <f t="shared" si="5683"/>
        <v>4.9844071170012945E-2</v>
      </c>
      <c r="AP1157" s="133">
        <f t="shared" si="5683"/>
        <v>4.5836606674510845E-2</v>
      </c>
      <c r="AQ1157" s="133">
        <f t="shared" si="5683"/>
        <v>4.7777335069277053E-2</v>
      </c>
      <c r="AR1157" s="133">
        <f t="shared" si="5683"/>
        <v>4.5798972644486582E-2</v>
      </c>
      <c r="AS1157" s="133">
        <f t="shared" si="5683"/>
        <v>4.5874199604044708E-2</v>
      </c>
      <c r="AT1157" s="133">
        <f t="shared" si="5683"/>
        <v>4.5841841571858777E-2</v>
      </c>
      <c r="AU1157" s="133">
        <f t="shared" si="5683"/>
        <v>4.5836653773692934E-2</v>
      </c>
      <c r="AV1157" s="133">
        <f t="shared" si="5683"/>
        <v>4.5911701732607044E-2</v>
      </c>
      <c r="AW1157" s="133">
        <f t="shared" si="5683"/>
        <v>4.5879424686218327E-2</v>
      </c>
      <c r="AX1157" s="133">
        <f t="shared" si="5683"/>
        <v>4.5874246591151482E-2</v>
      </c>
      <c r="AY1157" s="133">
        <f t="shared" si="5683"/>
        <v>4.5949110593417226E-2</v>
      </c>
      <c r="AZ1157" s="133">
        <f t="shared" si="5683"/>
        <v>4.5916916200800524E-2</v>
      </c>
      <c r="BA1157" s="133">
        <f t="shared" si="5683"/>
        <v>4.5911748604535466E-2</v>
      </c>
      <c r="BB1157" s="133">
        <f t="shared" si="5683"/>
        <v>4.5986423745868567E-2</v>
      </c>
      <c r="BC1157" s="133">
        <f t="shared" si="5683"/>
        <v>4.5954313656332554E-2</v>
      </c>
      <c r="BD1157" s="133">
        <f t="shared" si="5683"/>
        <v>4.5949157347096654E-2</v>
      </c>
      <c r="BE1157" s="133">
        <f t="shared" si="5683"/>
        <v>4.6023638776109432E-2</v>
      </c>
      <c r="BF1157" s="133">
        <f t="shared" si="5683"/>
        <v>4.5991614620218897E-2</v>
      </c>
      <c r="BG1157" s="133">
        <f t="shared" si="5683"/>
        <v>4.5986470378261493E-2</v>
      </c>
      <c r="BH1157" s="133">
        <f t="shared" si="5683"/>
        <v>4.6060753297608781E-2</v>
      </c>
      <c r="BI1157" s="133">
        <f t="shared" si="5683"/>
        <v>4.6028816687109203E-2</v>
      </c>
      <c r="BJ1157" s="133">
        <f t="shared" si="5683"/>
        <v>4.602368528421219E-2</v>
      </c>
      <c r="BK1157" s="133">
        <f t="shared" si="5683"/>
        <v>4.6097764951705963E-2</v>
      </c>
      <c r="BL1157" s="133">
        <f t="shared" si="5683"/>
        <v>4.6065917479452455E-2</v>
      </c>
      <c r="BM1157" s="133">
        <f t="shared" si="5683"/>
        <v>4.6060799678452238E-2</v>
      </c>
      <c r="BN1157" s="133">
        <f t="shared" si="5683"/>
        <v>4.6134671408144673E-2</v>
      </c>
      <c r="BO1157" s="133">
        <f t="shared" si="5683"/>
        <v>4.6102914648031762E-2</v>
      </c>
      <c r="BP1157" s="133">
        <f t="shared" si="5683"/>
        <v>4.6097811202356183E-2</v>
      </c>
      <c r="BQ1157" s="133">
        <f t="shared" si="5683"/>
        <v>4.6171470365590613E-2</v>
      </c>
      <c r="BR1157" s="133">
        <f t="shared" si="5683"/>
        <v>4.613980587248611E-2</v>
      </c>
    </row>
    <row r="1158" spans="1:70" outlineLevel="1">
      <c r="C1158" s="477" t="s">
        <v>292</v>
      </c>
      <c r="D1158" s="31"/>
      <c r="E1158" s="31"/>
      <c r="F1158" s="31"/>
      <c r="G1158" s="31"/>
      <c r="H1158" s="31"/>
      <c r="I1158" s="31"/>
      <c r="J1158" s="31"/>
      <c r="K1158" s="31"/>
      <c r="L1158" s="31"/>
      <c r="M1158" s="31"/>
      <c r="N1158" s="31"/>
      <c r="O1158" s="31"/>
      <c r="AF1158" s="133">
        <f t="shared" ref="AF1158:BR1158" si="5684">+AF308+AF309+AF330+AF656+AF658</f>
        <v>-1.8150930796703987E-2</v>
      </c>
      <c r="AG1158" s="938">
        <f t="shared" si="5684"/>
        <v>-6.5388320801914077E-2</v>
      </c>
      <c r="AH1158" s="133">
        <f t="shared" si="5684"/>
        <v>-7.2771567932609235E-2</v>
      </c>
      <c r="AI1158" s="133">
        <f t="shared" si="5684"/>
        <v>-6.8110625794797999E-2</v>
      </c>
      <c r="AJ1158" s="133">
        <f t="shared" si="5684"/>
        <v>-0.12749383073129245</v>
      </c>
      <c r="AK1158" s="133">
        <f t="shared" si="5684"/>
        <v>-9.9266007202779907E-2</v>
      </c>
      <c r="AL1158" s="133">
        <f t="shared" si="5684"/>
        <v>-7.7492622977138353E-2</v>
      </c>
      <c r="AM1158" s="133">
        <f t="shared" si="5684"/>
        <v>1.3491346693636013E-2</v>
      </c>
      <c r="AN1158" s="133">
        <f t="shared" si="5684"/>
        <v>-3.1261511322355551E-2</v>
      </c>
      <c r="AO1158" s="133">
        <f t="shared" si="5684"/>
        <v>2.7440476190476196E-2</v>
      </c>
      <c r="AP1158" s="133">
        <f t="shared" si="5684"/>
        <v>2.6250000000000002E-2</v>
      </c>
      <c r="AQ1158" s="133">
        <f t="shared" si="5684"/>
        <v>2.6783905047949134E-2</v>
      </c>
      <c r="AR1158" s="133">
        <f t="shared" si="5684"/>
        <v>2.6250000000000002E-2</v>
      </c>
      <c r="AS1158" s="133">
        <f t="shared" si="5684"/>
        <v>2.6250000000000002E-2</v>
      </c>
      <c r="AT1158" s="133">
        <f t="shared" si="5684"/>
        <v>2.6254776218065899E-2</v>
      </c>
      <c r="AU1158" s="133">
        <f t="shared" si="5684"/>
        <v>2.6250000000000002E-2</v>
      </c>
      <c r="AV1158" s="133">
        <f t="shared" si="5684"/>
        <v>2.6250000000000002E-2</v>
      </c>
      <c r="AW1158" s="133">
        <f t="shared" si="5684"/>
        <v>2.625476766589601E-2</v>
      </c>
      <c r="AX1158" s="133">
        <f t="shared" si="5684"/>
        <v>2.6250000000000002E-2</v>
      </c>
      <c r="AY1158" s="133">
        <f t="shared" si="5684"/>
        <v>2.6250000000000002E-2</v>
      </c>
      <c r="AZ1158" s="133">
        <f t="shared" si="5684"/>
        <v>2.6254758343963291E-2</v>
      </c>
      <c r="BA1158" s="133">
        <f t="shared" si="5684"/>
        <v>2.6250000000000002E-2</v>
      </c>
      <c r="BB1158" s="133">
        <f t="shared" si="5684"/>
        <v>2.6250000000000002E-2</v>
      </c>
      <c r="BC1158" s="133">
        <f t="shared" si="5684"/>
        <v>2.6254748259401835E-2</v>
      </c>
      <c r="BD1158" s="133">
        <f t="shared" si="5684"/>
        <v>2.6250000000000002E-2</v>
      </c>
      <c r="BE1158" s="133">
        <f t="shared" si="5684"/>
        <v>2.6250000000000002E-2</v>
      </c>
      <c r="BF1158" s="133">
        <f t="shared" si="5684"/>
        <v>2.6254737419843001E-2</v>
      </c>
      <c r="BG1158" s="133">
        <f t="shared" si="5684"/>
        <v>2.6250000000000002E-2</v>
      </c>
      <c r="BH1158" s="133">
        <f t="shared" si="5684"/>
        <v>2.6250000000000002E-2</v>
      </c>
      <c r="BI1158" s="133">
        <f t="shared" si="5684"/>
        <v>2.6254725833402527E-2</v>
      </c>
      <c r="BJ1158" s="133">
        <f t="shared" si="5684"/>
        <v>2.6250000000000002E-2</v>
      </c>
      <c r="BK1158" s="133">
        <f t="shared" si="5684"/>
        <v>2.6250000000000002E-2</v>
      </c>
      <c r="BL1158" s="133">
        <f t="shared" si="5684"/>
        <v>2.6254713508669383E-2</v>
      </c>
      <c r="BM1158" s="133">
        <f t="shared" si="5684"/>
        <v>2.6250000000000002E-2</v>
      </c>
      <c r="BN1158" s="133">
        <f t="shared" si="5684"/>
        <v>2.6250000000000002E-2</v>
      </c>
      <c r="BO1158" s="133">
        <f t="shared" si="5684"/>
        <v>2.6254700454690909E-2</v>
      </c>
      <c r="BP1158" s="133">
        <f t="shared" si="5684"/>
        <v>2.6250000000000002E-2</v>
      </c>
      <c r="BQ1158" s="133">
        <f t="shared" si="5684"/>
        <v>2.6250000000000002E-2</v>
      </c>
      <c r="BR1158" s="133">
        <f t="shared" si="5684"/>
        <v>2.6254686680960933E-2</v>
      </c>
    </row>
    <row r="1159" spans="1:70" outlineLevel="1">
      <c r="C1159" s="108" t="s">
        <v>559</v>
      </c>
      <c r="D1159" s="31"/>
      <c r="E1159" s="31"/>
      <c r="F1159" s="31"/>
      <c r="G1159" s="31"/>
      <c r="H1159" s="31"/>
      <c r="I1159" s="31"/>
      <c r="J1159" s="31"/>
      <c r="K1159" s="31"/>
      <c r="L1159" s="31"/>
      <c r="M1159" s="31"/>
      <c r="N1159" s="31"/>
      <c r="O1159" s="31"/>
      <c r="AF1159" s="162">
        <f t="shared" ref="AF1159:BR1159" si="5685">((AF1121*AF1120/AF1132)*(AF296+AF297+AF323+AF640+AF642))+((AF1124*AF1123/AF1132)*(AF301+AF302+AF326+AF648+AF650))+((AF1127*AF1126/AF1132)*(AF313+AF314+AF333+AF664+AF666))+((AF284*AF1129/AF1132)*(AF304+AF305+AF328+AF656+AF658))+((AF285*AF1129/AF1132)*(AF306+AF307+AF329+AF656+AF658))</f>
        <v>-3.7741524324469193E-2</v>
      </c>
      <c r="AG1159" s="984">
        <f t="shared" si="5685"/>
        <v>-4.2394182273987939E-2</v>
      </c>
      <c r="AH1159" s="162">
        <f t="shared" si="5685"/>
        <v>-5.6303996187648225E-2</v>
      </c>
      <c r="AI1159" s="162">
        <f t="shared" si="5685"/>
        <v>4.9020193741183896E-2</v>
      </c>
      <c r="AJ1159" s="162">
        <f t="shared" si="5685"/>
        <v>1.3746724001760715E-2</v>
      </c>
      <c r="AK1159" s="162">
        <f t="shared" si="5685"/>
        <v>3.0537292184434791E-2</v>
      </c>
      <c r="AL1159" s="162">
        <f t="shared" si="5685"/>
        <v>-4.6686063998128205E-3</v>
      </c>
      <c r="AM1159" s="162">
        <f t="shared" si="5685"/>
        <v>2.7051612145431114E-2</v>
      </c>
      <c r="AN1159" s="162">
        <f t="shared" si="5685"/>
        <v>1.150690295356047E-2</v>
      </c>
      <c r="AO1159" s="162">
        <f t="shared" si="5685"/>
        <v>2.6757305583257635E-2</v>
      </c>
      <c r="AP1159" s="162">
        <f t="shared" si="5685"/>
        <v>2.4316964599361508E-2</v>
      </c>
      <c r="AQ1159" s="162">
        <f t="shared" si="5685"/>
        <v>2.5509639673941632E-2</v>
      </c>
      <c r="AR1159" s="162">
        <f t="shared" si="5685"/>
        <v>2.748472615240577E-2</v>
      </c>
      <c r="AS1159" s="162">
        <f t="shared" si="5685"/>
        <v>2.8073112544859096E-2</v>
      </c>
      <c r="AT1159" s="162">
        <f t="shared" si="5685"/>
        <v>2.7780489393036522E-2</v>
      </c>
      <c r="AU1159" s="162">
        <f t="shared" si="5685"/>
        <v>2.778015990414082E-2</v>
      </c>
      <c r="AV1159" s="162">
        <f t="shared" si="5685"/>
        <v>2.8360478690892248E-2</v>
      </c>
      <c r="AW1159" s="162">
        <f t="shared" si="5685"/>
        <v>2.8071910778114693E-2</v>
      </c>
      <c r="AX1159" s="162">
        <f t="shared" si="5685"/>
        <v>2.8073516079366818E-2</v>
      </c>
      <c r="AY1159" s="162">
        <f t="shared" si="5685"/>
        <v>2.8645645134108486E-2</v>
      </c>
      <c r="AZ1159" s="162">
        <f t="shared" si="5685"/>
        <v>2.8361190908396533E-2</v>
      </c>
      <c r="BA1159" s="162">
        <f t="shared" si="5685"/>
        <v>2.8364718496054445E-2</v>
      </c>
      <c r="BB1159" s="162">
        <f t="shared" si="5685"/>
        <v>2.8928547592627044E-2</v>
      </c>
      <c r="BC1159" s="162">
        <f t="shared" si="5685"/>
        <v>2.8648259611320465E-2</v>
      </c>
      <c r="BD1159" s="162">
        <f t="shared" si="5685"/>
        <v>2.8653694937941978E-2</v>
      </c>
      <c r="BE1159" s="162">
        <f t="shared" si="5685"/>
        <v>2.9209125652255925E-2</v>
      </c>
      <c r="BF1159" s="162">
        <f t="shared" si="5685"/>
        <v>2.8933050637914709E-2</v>
      </c>
      <c r="BG1159" s="162">
        <f t="shared" si="5685"/>
        <v>2.8940377178627814E-2</v>
      </c>
      <c r="BH1159" s="162">
        <f t="shared" si="5685"/>
        <v>2.948732275987825E-2</v>
      </c>
      <c r="BI1159" s="162">
        <f t="shared" si="5685"/>
        <v>2.9215501670982108E-2</v>
      </c>
      <c r="BJ1159" s="162">
        <f t="shared" si="5685"/>
        <v>2.9224700993348146E-2</v>
      </c>
      <c r="BK1159" s="162">
        <f t="shared" si="5685"/>
        <v>2.9763086206101207E-2</v>
      </c>
      <c r="BL1159" s="162">
        <f t="shared" si="5685"/>
        <v>2.9495554321743628E-2</v>
      </c>
      <c r="BM1159" s="162">
        <f t="shared" si="5685"/>
        <v>2.9506606158828521E-2</v>
      </c>
      <c r="BN1159" s="162">
        <f t="shared" si="5685"/>
        <v>3.0036367097644838E-2</v>
      </c>
      <c r="BO1159" s="162">
        <f t="shared" si="5685"/>
        <v>2.9773154115379001E-2</v>
      </c>
      <c r="BP1159" s="162">
        <f t="shared" si="5685"/>
        <v>2.9786036441646097E-2</v>
      </c>
      <c r="BQ1159" s="162">
        <f t="shared" si="5685"/>
        <v>3.0307120319980813E-2</v>
      </c>
      <c r="BR1159" s="162">
        <f t="shared" si="5685"/>
        <v>3.0048250465944601E-2</v>
      </c>
    </row>
    <row r="1160" spans="1:70" outlineLevel="1">
      <c r="C1160" s="547" t="s">
        <v>558</v>
      </c>
      <c r="D1160" s="31"/>
      <c r="E1160" s="31"/>
      <c r="F1160" s="31"/>
      <c r="G1160" s="31"/>
      <c r="H1160" s="31"/>
      <c r="I1160" s="31"/>
      <c r="J1160" s="31"/>
      <c r="K1160" s="31"/>
      <c r="L1160" s="31"/>
      <c r="M1160" s="31"/>
      <c r="N1160" s="31"/>
      <c r="O1160" s="31"/>
      <c r="AF1160" s="162">
        <f t="shared" ref="AF1160:BR1160" si="5686">((AF1122*AF1120/AF1133)*(AF294+AF295+AF322+AF640+AF642))+((AF1125*AF1123/AF1133)*(AF299+AF300+AF325+AF648+AF650))+((AF1128*AF1126/AF1133)*(AF311+AF312+AF332+AF664+AF666))+((AF1131*AF1129/AF1133)*(AF308+AF309+AF330+AF656+AF658))</f>
        <v>-1.8632743582961365E-3</v>
      </c>
      <c r="AG1160" s="984">
        <f t="shared" si="5686"/>
        <v>-1.3121357626323514E-2</v>
      </c>
      <c r="AH1160" s="162">
        <f t="shared" si="5686"/>
        <v>-2.1817895506615996E-2</v>
      </c>
      <c r="AI1160" s="162">
        <f t="shared" si="5686"/>
        <v>9.870504536451382E-3</v>
      </c>
      <c r="AJ1160" s="162">
        <f t="shared" si="5686"/>
        <v>-9.2392907833950492E-3</v>
      </c>
      <c r="AK1160" s="162">
        <f t="shared" si="5686"/>
        <v>-7.7873130989987438E-4</v>
      </c>
      <c r="AL1160" s="162">
        <f t="shared" si="5686"/>
        <v>-1.2217952690698922E-2</v>
      </c>
      <c r="AM1160" s="162">
        <f t="shared" si="5686"/>
        <v>6.0831841342679554E-3</v>
      </c>
      <c r="AN1160" s="162">
        <f t="shared" si="5686"/>
        <v>-2.6942754837791837E-3</v>
      </c>
      <c r="AO1160" s="162">
        <f t="shared" si="5686"/>
        <v>1.164097726181846E-2</v>
      </c>
      <c r="AP1160" s="162">
        <f t="shared" si="5686"/>
        <v>1.0256016440928781E-2</v>
      </c>
      <c r="AQ1160" s="162">
        <f t="shared" si="5686"/>
        <v>1.0879014020917555E-2</v>
      </c>
      <c r="AR1160" s="162">
        <f t="shared" si="5686"/>
        <v>9.8442293643186893E-3</v>
      </c>
      <c r="AS1160" s="162">
        <f t="shared" si="5686"/>
        <v>1.036994878893932E-2</v>
      </c>
      <c r="AT1160" s="162">
        <f t="shared" si="5686"/>
        <v>1.0113110748787804E-2</v>
      </c>
      <c r="AU1160" s="162">
        <f t="shared" si="5686"/>
        <v>9.9717670066590321E-3</v>
      </c>
      <c r="AV1160" s="162">
        <f t="shared" si="5686"/>
        <v>1.048190741042403E-2</v>
      </c>
      <c r="AW1160" s="162">
        <f t="shared" si="5686"/>
        <v>1.0232742268579436E-2</v>
      </c>
      <c r="AX1160" s="162">
        <f t="shared" si="5686"/>
        <v>1.0097146210059514E-2</v>
      </c>
      <c r="AY1160" s="162">
        <f t="shared" si="5686"/>
        <v>1.0591928529456916E-2</v>
      </c>
      <c r="AZ1160" s="162">
        <f t="shared" si="5686"/>
        <v>1.0350323122238126E-2</v>
      </c>
      <c r="BA1160" s="162">
        <f t="shared" si="5686"/>
        <v>1.0220400487508313E-2</v>
      </c>
      <c r="BB1160" s="162">
        <f t="shared" si="5686"/>
        <v>1.0700048715093752E-2</v>
      </c>
      <c r="BC1160" s="162">
        <f t="shared" si="5686"/>
        <v>1.0465888682762053E-2</v>
      </c>
      <c r="BD1160" s="162">
        <f t="shared" si="5686"/>
        <v>1.0341564066806067E-2</v>
      </c>
      <c r="BE1160" s="162">
        <f t="shared" si="5686"/>
        <v>1.0806304819886857E-2</v>
      </c>
      <c r="BF1160" s="162">
        <f t="shared" si="5686"/>
        <v>1.0579474809799597E-2</v>
      </c>
      <c r="BG1160" s="162">
        <f t="shared" si="5686"/>
        <v>1.046067181405152E-2</v>
      </c>
      <c r="BH1160" s="162">
        <f t="shared" si="5686"/>
        <v>1.0910733921048552E-2</v>
      </c>
      <c r="BI1160" s="162">
        <f t="shared" si="5686"/>
        <v>1.0691117781867283E-2</v>
      </c>
      <c r="BJ1160" s="162">
        <f t="shared" si="5686"/>
        <v>1.0577759159708058E-2</v>
      </c>
      <c r="BK1160" s="162">
        <f t="shared" si="5686"/>
        <v>1.101337326425309E-2</v>
      </c>
      <c r="BL1160" s="162">
        <f t="shared" si="5686"/>
        <v>1.0800854231228502E-2</v>
      </c>
      <c r="BM1160" s="162">
        <f t="shared" si="5686"/>
        <v>1.0692862027299237E-2</v>
      </c>
      <c r="BN1160" s="162">
        <f t="shared" si="5686"/>
        <v>1.1114260210058272E-2</v>
      </c>
      <c r="BO1160" s="162">
        <f t="shared" si="5686"/>
        <v>1.0908721081446382E-2</v>
      </c>
      <c r="BP1160" s="162">
        <f t="shared" si="5686"/>
        <v>1.0806016764768823E-2</v>
      </c>
      <c r="BQ1160" s="162">
        <f t="shared" si="5686"/>
        <v>1.1213432182920391E-2</v>
      </c>
      <c r="BR1160" s="162">
        <f t="shared" si="5686"/>
        <v>1.1014755487613753E-2</v>
      </c>
    </row>
    <row r="1161" spans="1:70" s="8" customFormat="1" outlineLevel="1">
      <c r="C1161" s="113" t="s">
        <v>654</v>
      </c>
      <c r="D1161" s="445"/>
      <c r="E1161" s="445"/>
      <c r="F1161" s="445"/>
      <c r="G1161" s="445"/>
      <c r="H1161" s="445"/>
      <c r="I1161" s="445"/>
      <c r="J1161" s="445"/>
      <c r="K1161" s="445"/>
      <c r="L1161" s="445"/>
      <c r="M1161" s="445"/>
      <c r="N1161" s="445"/>
      <c r="O1161" s="445"/>
      <c r="AB1161" s="6"/>
      <c r="AC1161" s="6"/>
      <c r="AD1161" s="6"/>
      <c r="AE1161" s="130"/>
      <c r="AF1161" s="544">
        <f>+AF672</f>
        <v>4.2243555255385883E-3</v>
      </c>
      <c r="AG1161" s="971">
        <f t="shared" ref="AG1161:AM1161" si="5687">+AG672</f>
        <v>0</v>
      </c>
      <c r="AH1161" s="544">
        <f>+AH672</f>
        <v>2.0826161425765819E-3</v>
      </c>
      <c r="AI1161" s="544">
        <f>+AI672</f>
        <v>0</v>
      </c>
      <c r="AJ1161" s="544">
        <f t="shared" si="5687"/>
        <v>0</v>
      </c>
      <c r="AK1161" s="544">
        <f>+AK672</f>
        <v>0</v>
      </c>
      <c r="AL1161" s="544">
        <f>+AL672</f>
        <v>0</v>
      </c>
      <c r="AM1161" s="544">
        <f t="shared" si="5687"/>
        <v>0</v>
      </c>
      <c r="AN1161" s="544">
        <f>+AN672</f>
        <v>0</v>
      </c>
      <c r="AO1161" s="544">
        <f>+AO672</f>
        <v>0</v>
      </c>
      <c r="AP1161" s="544">
        <f t="shared" ref="AP1161" si="5688">+AP672</f>
        <v>0</v>
      </c>
      <c r="AQ1161" s="544">
        <f>+AQ672</f>
        <v>0</v>
      </c>
      <c r="AR1161" s="544">
        <f>+AR672</f>
        <v>0</v>
      </c>
      <c r="AS1161" s="544">
        <f t="shared" ref="AS1161" si="5689">+AS672</f>
        <v>0</v>
      </c>
      <c r="AT1161" s="544">
        <f>+AT672</f>
        <v>0</v>
      </c>
      <c r="AU1161" s="544">
        <f>+AU672</f>
        <v>0</v>
      </c>
      <c r="AV1161" s="544">
        <f t="shared" ref="AV1161" si="5690">+AV672</f>
        <v>0</v>
      </c>
      <c r="AW1161" s="544">
        <f>+AW672</f>
        <v>0</v>
      </c>
      <c r="AX1161" s="544">
        <f>+AX672</f>
        <v>0</v>
      </c>
      <c r="AY1161" s="544">
        <f t="shared" ref="AY1161" si="5691">+AY672</f>
        <v>0</v>
      </c>
      <c r="AZ1161" s="544">
        <f>+AZ672</f>
        <v>0</v>
      </c>
      <c r="BA1161" s="544">
        <f>+BA672</f>
        <v>0</v>
      </c>
      <c r="BB1161" s="544">
        <f t="shared" ref="BB1161" si="5692">+BB672</f>
        <v>0</v>
      </c>
      <c r="BC1161" s="544">
        <f>+BC672</f>
        <v>0</v>
      </c>
      <c r="BD1161" s="544">
        <f>+BD672</f>
        <v>0</v>
      </c>
      <c r="BE1161" s="544">
        <f t="shared" ref="BE1161" si="5693">+BE672</f>
        <v>0</v>
      </c>
      <c r="BF1161" s="544">
        <f>+BF672</f>
        <v>0</v>
      </c>
      <c r="BG1161" s="544">
        <f>+BG672</f>
        <v>0</v>
      </c>
      <c r="BH1161" s="544">
        <f t="shared" ref="BH1161" si="5694">+BH672</f>
        <v>0</v>
      </c>
      <c r="BI1161" s="544">
        <f>+BI672</f>
        <v>0</v>
      </c>
      <c r="BJ1161" s="544">
        <f>+BJ672</f>
        <v>0</v>
      </c>
      <c r="BK1161" s="544">
        <f t="shared" ref="BK1161" si="5695">+BK672</f>
        <v>0</v>
      </c>
      <c r="BL1161" s="544">
        <f>+BL672</f>
        <v>0</v>
      </c>
      <c r="BM1161" s="544">
        <f>+BM672</f>
        <v>0</v>
      </c>
      <c r="BN1161" s="544">
        <f t="shared" ref="BN1161" si="5696">+BN672</f>
        <v>0</v>
      </c>
      <c r="BO1161" s="544">
        <f>+BO672</f>
        <v>0</v>
      </c>
      <c r="BP1161" s="544">
        <f>+BP672</f>
        <v>0</v>
      </c>
      <c r="BQ1161" s="544">
        <f t="shared" ref="BQ1161" si="5697">+BQ672</f>
        <v>0</v>
      </c>
      <c r="BR1161" s="544">
        <f>+BR672</f>
        <v>0</v>
      </c>
    </row>
    <row r="1162" spans="1:70" s="8" customFormat="1" outlineLevel="1">
      <c r="C1162" s="113" t="s">
        <v>584</v>
      </c>
      <c r="D1162" s="445"/>
      <c r="E1162" s="445"/>
      <c r="F1162" s="445"/>
      <c r="G1162" s="445"/>
      <c r="H1162" s="445"/>
      <c r="I1162" s="445"/>
      <c r="J1162" s="445"/>
      <c r="K1162" s="445"/>
      <c r="L1162" s="445"/>
      <c r="M1162" s="445"/>
      <c r="N1162" s="445"/>
      <c r="O1162" s="445"/>
      <c r="AE1162" s="409"/>
      <c r="AF1162" s="548">
        <f>+AF1161+AF1146</f>
        <v>-4.4692171867487751E-2</v>
      </c>
      <c r="AG1162" s="991">
        <f t="shared" ref="AG1162:AM1162" si="5698">+AG1161+AG1146</f>
        <v>-2.8796894944312351E-2</v>
      </c>
      <c r="AH1162" s="548">
        <f>+AH1161+AH1146</f>
        <v>-3.6446895863936013E-2</v>
      </c>
      <c r="AI1162" s="548">
        <f>+AI1161+AI1146</f>
        <v>2.5043470304185474E-2</v>
      </c>
      <c r="AJ1162" s="548">
        <f t="shared" si="5698"/>
        <v>-1.0858674847796608E-3</v>
      </c>
      <c r="AK1162" s="548">
        <f>+AK1161+AK1146</f>
        <v>1.1526551212713843E-2</v>
      </c>
      <c r="AL1162" s="548">
        <f>+AL1161+AL1146</f>
        <v>-1.0311026482210814E-2</v>
      </c>
      <c r="AM1162" s="548">
        <f t="shared" si="5698"/>
        <v>1.4091736045602389E-2</v>
      </c>
      <c r="AN1162" s="548">
        <f>+AN1161+AN1146</f>
        <v>1.9872640802622854E-3</v>
      </c>
      <c r="AO1162" s="548">
        <f>+AO1161+AO1146</f>
        <v>1.7454288493785334E-2</v>
      </c>
      <c r="AP1162" s="548">
        <f t="shared" ref="AP1162" si="5699">+AP1161+AP1146</f>
        <v>1.5571621141688589E-2</v>
      </c>
      <c r="AQ1162" s="548">
        <f>+AQ1161+AQ1146</f>
        <v>1.6274993506298019E-2</v>
      </c>
      <c r="AR1162" s="548">
        <f>+AR1161+AR1146</f>
        <v>1.6778833819964246E-2</v>
      </c>
      <c r="AS1162" s="548">
        <f t="shared" ref="AS1162" si="5700">+AS1161+AS1146</f>
        <v>1.7248938440391808E-2</v>
      </c>
      <c r="AT1162" s="548">
        <f>+AT1161+AT1146</f>
        <v>1.6794756076797368E-2</v>
      </c>
      <c r="AU1162" s="548">
        <f>+AU1161+AU1146</f>
        <v>1.7049596484067366E-2</v>
      </c>
      <c r="AV1162" s="548">
        <f t="shared" ref="AV1162" si="5701">+AV1161+AV1146</f>
        <v>1.7505846704649951E-2</v>
      </c>
      <c r="AW1162" s="548">
        <f>+AW1161+AW1146</f>
        <v>1.7054976454891291E-2</v>
      </c>
      <c r="AX1162" s="548">
        <f>+AX1161+AX1146</f>
        <v>1.7320576275270498E-2</v>
      </c>
      <c r="AY1162" s="548">
        <f t="shared" ref="AY1162" si="5702">+AY1161+AY1146</f>
        <v>1.776316091986575E-2</v>
      </c>
      <c r="AZ1162" s="548">
        <f>+AZ1161+AZ1146</f>
        <v>1.7315499291288283E-2</v>
      </c>
      <c r="BA1162" s="548">
        <f>+BA1161+BA1146</f>
        <v>1.7591788811764368E-2</v>
      </c>
      <c r="BB1162" s="548">
        <f t="shared" ref="BB1162" si="5703">+BB1161+BB1146</f>
        <v>1.8020901537051541E-2</v>
      </c>
      <c r="BC1162" s="548">
        <f>+BC1161+BC1146</f>
        <v>1.7576342612286133E-2</v>
      </c>
      <c r="BD1162" s="548">
        <f>+BD1161+BD1146</f>
        <v>1.7863248737165001E-2</v>
      </c>
      <c r="BE1162" s="548">
        <f t="shared" ref="BE1162" si="5704">+BE1161+BE1146</f>
        <v>1.8279087714642497E-2</v>
      </c>
      <c r="BF1162" s="548">
        <f>+BF1161+BF1146</f>
        <v>1.7837523317950854E-2</v>
      </c>
      <c r="BG1162" s="548">
        <f>+BG1161+BG1146</f>
        <v>1.8134969626335054E-2</v>
      </c>
      <c r="BH1162" s="548">
        <f t="shared" ref="BH1162" si="5705">+BH1161+BH1146</f>
        <v>1.8537737230828921E-2</v>
      </c>
      <c r="BI1162" s="548">
        <f>+BI1161+BI1146</f>
        <v>1.8099057092141102E-2</v>
      </c>
      <c r="BJ1162" s="548">
        <f>+BJ1161+BJ1146</f>
        <v>1.8406963894209604E-2</v>
      </c>
      <c r="BK1162" s="548">
        <f t="shared" ref="BK1162" si="5706">+BK1161+BK1146</f>
        <v>1.8796866398979185E-2</v>
      </c>
      <c r="BL1162" s="548">
        <f>+BL1161+BL1146</f>
        <v>1.8360958315573939E-2</v>
      </c>
      <c r="BM1162" s="548">
        <f>+BM1161+BM1146</f>
        <v>1.8679242707862507E-2</v>
      </c>
      <c r="BN1162" s="548">
        <f t="shared" ref="BN1162" si="5707">+BN1161+BN1146</f>
        <v>1.9056489986354119E-2</v>
      </c>
      <c r="BO1162" s="548">
        <f>+BO1161+BO1146</f>
        <v>1.8623239982149098E-2</v>
      </c>
      <c r="BP1162" s="548">
        <f>+BP1161+BP1146</f>
        <v>1.8951815902043891E-2</v>
      </c>
      <c r="BQ1162" s="548">
        <f t="shared" ref="BQ1162" si="5708">+BQ1161+BQ1146</f>
        <v>1.9316621136310982E-2</v>
      </c>
      <c r="BR1162" s="548">
        <f>+BR1161+BR1146</f>
        <v>1.8885913618742922E-2</v>
      </c>
    </row>
    <row r="1163" spans="1:70" outlineLevel="1">
      <c r="C1163" s="648" t="s">
        <v>576</v>
      </c>
      <c r="D1163" s="31"/>
      <c r="E1163" s="31"/>
      <c r="F1163" s="31"/>
      <c r="G1163" s="31"/>
      <c r="H1163" s="31"/>
      <c r="I1163" s="31"/>
      <c r="J1163" s="31"/>
      <c r="K1163" s="31"/>
      <c r="L1163" s="31"/>
      <c r="M1163" s="31"/>
      <c r="N1163" s="31"/>
      <c r="O1163" s="31"/>
      <c r="AF1163" s="549">
        <f>+AF1162-AF670</f>
        <v>0</v>
      </c>
      <c r="AG1163" s="992">
        <f t="shared" ref="AG1163:AM1163" si="5709">+AG1162-AG670</f>
        <v>-3.6766221978610722E-4</v>
      </c>
      <c r="AH1163" s="549">
        <f>+AH1162-AH670</f>
        <v>0</v>
      </c>
      <c r="AI1163" s="549">
        <f>+AI1162-AI670</f>
        <v>3.4013557267215805E-4</v>
      </c>
      <c r="AJ1163" s="549">
        <f t="shared" si="5709"/>
        <v>-1.3858486232791282E-5</v>
      </c>
      <c r="AK1163" s="549">
        <f>+AK1162-AK670</f>
        <v>0</v>
      </c>
      <c r="AL1163" s="549">
        <f>+AL1162-AL670</f>
        <v>-1.4008885357551237E-4</v>
      </c>
      <c r="AM1163" s="549">
        <f t="shared" si="5709"/>
        <v>1.7984461584192972E-4</v>
      </c>
      <c r="AN1163" s="549">
        <f>+AN1162-AN670</f>
        <v>0</v>
      </c>
      <c r="AO1163" s="549">
        <f>+AO1162-AO670</f>
        <v>2.3710589931219897E-4</v>
      </c>
      <c r="AP1163" s="549">
        <f t="shared" ref="AP1163" si="5710">+AP1162-AP670</f>
        <v>1.9876677738378881E-4</v>
      </c>
      <c r="AQ1163" s="549">
        <f>+AQ1162-AQ670</f>
        <v>0</v>
      </c>
      <c r="AR1163" s="549">
        <f>+AR1162-AR670</f>
        <v>2.2798338703388168E-4</v>
      </c>
      <c r="AS1163" s="549">
        <f t="shared" ref="AS1163" si="5711">+AS1162-AS670</f>
        <v>2.202202990518147E-4</v>
      </c>
      <c r="AT1163" s="549">
        <f>+AT1162-AT670</f>
        <v>0</v>
      </c>
      <c r="AU1163" s="549">
        <f>+AU1162-AU670</f>
        <v>2.3171434585991454E-4</v>
      </c>
      <c r="AV1163" s="549">
        <f t="shared" ref="AV1163" si="5712">+AV1162-AV670</f>
        <v>2.2354868825592497E-4</v>
      </c>
      <c r="AW1163" s="549">
        <f>+AW1162-AW670</f>
        <v>0</v>
      </c>
      <c r="AX1163" s="549">
        <f>+AX1162-AX670</f>
        <v>2.3545076813135529E-4</v>
      </c>
      <c r="AY1163" s="549">
        <f t="shared" ref="AY1163" si="5713">+AY1162-AY670</f>
        <v>2.2688442356523161E-4</v>
      </c>
      <c r="AZ1163" s="549">
        <f>+AZ1162-AZ670</f>
        <v>0</v>
      </c>
      <c r="BA1163" s="549">
        <f>+BA1162-BA670</f>
        <v>2.3919291007767213E-4</v>
      </c>
      <c r="BB1163" s="549">
        <f t="shared" ref="BB1163" si="5714">+BB1162-BB670</f>
        <v>2.3022780361341838E-4</v>
      </c>
      <c r="BC1163" s="549">
        <f>+BC1162-BC670</f>
        <v>0</v>
      </c>
      <c r="BD1163" s="549">
        <f>+BD1162-BD670</f>
        <v>2.4294101509431815E-4</v>
      </c>
      <c r="BE1163" s="549">
        <f t="shared" ref="BE1163" si="5715">+BE1162-BE670</f>
        <v>2.3357911103162599E-4</v>
      </c>
      <c r="BF1163" s="549">
        <f>+BF1162-BF670</f>
        <v>0</v>
      </c>
      <c r="BG1163" s="549">
        <f>+BG1162-BG670</f>
        <v>2.4669531245731513E-4</v>
      </c>
      <c r="BH1163" s="549">
        <f t="shared" ref="BH1163" si="5716">+BH1162-BH670</f>
        <v>2.3693861131774893E-4</v>
      </c>
      <c r="BI1163" s="549">
        <f>+BI1162-BI670</f>
        <v>0</v>
      </c>
      <c r="BJ1163" s="549">
        <f>+BJ1162-BJ670</f>
        <v>2.5045601607421794E-4</v>
      </c>
      <c r="BK1163" s="549">
        <f t="shared" ref="BK1163" si="5717">+BK1162-BK670</f>
        <v>2.40306551744153E-4</v>
      </c>
      <c r="BL1163" s="549">
        <f>+BL1162-BL670</f>
        <v>0</v>
      </c>
      <c r="BM1163" s="549">
        <f>+BM1162-BM670</f>
        <v>2.5422332327465838E-4</v>
      </c>
      <c r="BN1163" s="549">
        <f t="shared" ref="BN1163" si="5718">+BN1162-BN670</f>
        <v>2.4368316030520809E-4</v>
      </c>
      <c r="BO1163" s="549">
        <f>+BO1162-BO670</f>
        <v>0</v>
      </c>
      <c r="BP1163" s="549">
        <f>+BP1162-BP670</f>
        <v>2.579974136474282E-4</v>
      </c>
      <c r="BQ1163" s="549">
        <f t="shared" ref="BQ1163" si="5719">+BQ1162-BQ670</f>
        <v>2.4706864470451506E-4</v>
      </c>
      <c r="BR1163" s="549">
        <f>+BR1162-BR670</f>
        <v>0</v>
      </c>
    </row>
    <row r="1165" spans="1:70">
      <c r="A1165" s="4" t="s">
        <v>54</v>
      </c>
    </row>
    <row r="1166" spans="1:70" outlineLevel="1">
      <c r="B1166" s="5" t="s">
        <v>279</v>
      </c>
    </row>
    <row r="1167" spans="1:70" outlineLevel="1">
      <c r="C1167" s="6" t="s">
        <v>55</v>
      </c>
      <c r="D1167" s="7" t="s">
        <v>58</v>
      </c>
      <c r="E1167" s="119">
        <v>1272</v>
      </c>
      <c r="F1167" s="119">
        <v>1203</v>
      </c>
      <c r="G1167" s="150">
        <f>SUM(E1167:F1167)</f>
        <v>2475</v>
      </c>
      <c r="H1167" s="119">
        <v>1064</v>
      </c>
      <c r="I1167" s="119">
        <v>1194</v>
      </c>
      <c r="J1167" s="150">
        <f>SUM(H1167:I1167)</f>
        <v>2258</v>
      </c>
      <c r="K1167" s="119">
        <v>1417</v>
      </c>
      <c r="L1167" s="119">
        <v>1693</v>
      </c>
      <c r="M1167" s="150">
        <f>SUM(K1167:L1167)</f>
        <v>3110</v>
      </c>
      <c r="N1167" s="119">
        <v>1625</v>
      </c>
      <c r="O1167" s="119">
        <v>1740</v>
      </c>
      <c r="P1167" s="150">
        <f>SUM(N1167:O1167)</f>
        <v>3365</v>
      </c>
      <c r="Q1167" s="19">
        <f t="shared" ref="Q1167:AN1167" si="5720">Q1285</f>
        <v>1497</v>
      </c>
      <c r="R1167" s="19">
        <f t="shared" si="5720"/>
        <v>1682</v>
      </c>
      <c r="S1167" s="19">
        <f t="shared" si="5720"/>
        <v>3179</v>
      </c>
      <c r="T1167" s="19">
        <f t="shared" si="5720"/>
        <v>1490</v>
      </c>
      <c r="U1167" s="19">
        <f t="shared" si="5720"/>
        <v>1702</v>
      </c>
      <c r="V1167" s="19">
        <f t="shared" si="5720"/>
        <v>3192</v>
      </c>
      <c r="W1167" s="19">
        <f t="shared" si="5720"/>
        <v>1563</v>
      </c>
      <c r="X1167" s="19">
        <f t="shared" si="5720"/>
        <v>1754</v>
      </c>
      <c r="Y1167" s="19">
        <f t="shared" si="5720"/>
        <v>3317</v>
      </c>
      <c r="Z1167" s="19">
        <f t="shared" si="5720"/>
        <v>1562</v>
      </c>
      <c r="AA1167" s="19">
        <f t="shared" si="5720"/>
        <v>1795</v>
      </c>
      <c r="AB1167" s="19">
        <f t="shared" si="5720"/>
        <v>3357</v>
      </c>
      <c r="AC1167" s="19">
        <f t="shared" si="5720"/>
        <v>1377</v>
      </c>
      <c r="AD1167" s="19">
        <f t="shared" si="5720"/>
        <v>1500</v>
      </c>
      <c r="AE1167" s="19">
        <f t="shared" si="5720"/>
        <v>2877</v>
      </c>
      <c r="AF1167" s="19">
        <f t="shared" si="5720"/>
        <v>1336</v>
      </c>
      <c r="AG1167" s="943">
        <f t="shared" si="5720"/>
        <v>1560.7699308044057</v>
      </c>
      <c r="AH1167" s="19">
        <f t="shared" si="5720"/>
        <v>2896.7699308044057</v>
      </c>
      <c r="AI1167" s="19">
        <f t="shared" si="5720"/>
        <v>1331.6945978352519</v>
      </c>
      <c r="AJ1167" s="19">
        <f t="shared" si="5720"/>
        <v>1618.2543291489803</v>
      </c>
      <c r="AK1167" s="19">
        <f t="shared" si="5720"/>
        <v>2949.9489269842325</v>
      </c>
      <c r="AL1167" s="19">
        <f t="shared" si="5720"/>
        <v>1383.3246743240722</v>
      </c>
      <c r="AM1167" s="19">
        <f t="shared" si="5720"/>
        <v>1674.2012426605336</v>
      </c>
      <c r="AN1167" s="19">
        <f t="shared" si="5720"/>
        <v>3057.5259169846058</v>
      </c>
      <c r="AO1167" s="19">
        <f t="shared" ref="AO1167:BR1167" si="5721">AO1285</f>
        <v>1421.7991152486165</v>
      </c>
      <c r="AP1167" s="19">
        <f t="shared" si="5721"/>
        <v>1706.0149054234887</v>
      </c>
      <c r="AQ1167" s="19">
        <f t="shared" si="5721"/>
        <v>3127.8140206721055</v>
      </c>
      <c r="AR1167" s="19">
        <f t="shared" si="5721"/>
        <v>1448.7637593938452</v>
      </c>
      <c r="AS1167" s="19">
        <f t="shared" si="5721"/>
        <v>1738.7821755640202</v>
      </c>
      <c r="AT1167" s="19">
        <f t="shared" si="5721"/>
        <v>3187.5459349578655</v>
      </c>
      <c r="AU1167" s="19">
        <f t="shared" si="5721"/>
        <v>1476.5424847097484</v>
      </c>
      <c r="AV1167" s="19">
        <f t="shared" si="5721"/>
        <v>1772.5326751700331</v>
      </c>
      <c r="AW1167" s="19">
        <f t="shared" si="5721"/>
        <v>3249.0751598797815</v>
      </c>
      <c r="AX1167" s="19">
        <f t="shared" si="5721"/>
        <v>1505.1607486348719</v>
      </c>
      <c r="AY1167" s="19">
        <f t="shared" si="5721"/>
        <v>1807.2969794419098</v>
      </c>
      <c r="AZ1167" s="19">
        <f t="shared" si="5721"/>
        <v>3312.4577280767817</v>
      </c>
      <c r="BA1167" s="19">
        <f t="shared" si="5721"/>
        <v>1534.6448332254904</v>
      </c>
      <c r="BB1167" s="19">
        <f t="shared" si="5721"/>
        <v>1843.1066477365175</v>
      </c>
      <c r="BC1167" s="19">
        <f t="shared" si="5721"/>
        <v>3377.7514809620079</v>
      </c>
      <c r="BD1167" s="19">
        <f t="shared" si="5721"/>
        <v>1565.0218721924409</v>
      </c>
      <c r="BE1167" s="19">
        <f t="shared" si="5721"/>
        <v>1879.9942556276158</v>
      </c>
      <c r="BF1167" s="19">
        <f t="shared" si="5721"/>
        <v>3445.0161278200567</v>
      </c>
      <c r="BG1167" s="19">
        <f t="shared" si="5721"/>
        <v>1596.3198788289728</v>
      </c>
      <c r="BH1167" s="19">
        <f t="shared" si="5721"/>
        <v>1917.9934280160178</v>
      </c>
      <c r="BI1167" s="19">
        <f t="shared" si="5721"/>
        <v>3514.3133068449906</v>
      </c>
      <c r="BJ1167" s="19">
        <f t="shared" si="5721"/>
        <v>1628.5677748590429</v>
      </c>
      <c r="BK1167" s="19">
        <f t="shared" si="5721"/>
        <v>1957.1388733239569</v>
      </c>
      <c r="BL1167" s="19">
        <f t="shared" si="5721"/>
        <v>3585.7066481829997</v>
      </c>
      <c r="BM1167" s="19">
        <f t="shared" si="5721"/>
        <v>1661.7954202364624</v>
      </c>
      <c r="BN1167" s="19">
        <f t="shared" si="5721"/>
        <v>1997.4664188092424</v>
      </c>
      <c r="BO1167" s="19">
        <f t="shared" si="5721"/>
        <v>3659.2618390457046</v>
      </c>
      <c r="BP1167" s="19">
        <f t="shared" si="5721"/>
        <v>1696.0336439263117</v>
      </c>
      <c r="BQ1167" s="19">
        <f t="shared" si="5721"/>
        <v>2039.0130470359595</v>
      </c>
      <c r="BR1167" s="19">
        <f t="shared" si="5721"/>
        <v>3735.046690962271</v>
      </c>
    </row>
    <row r="1168" spans="1:70" outlineLevel="1">
      <c r="C1168" s="6" t="s">
        <v>56</v>
      </c>
      <c r="D1168" s="7" t="s">
        <v>58</v>
      </c>
      <c r="E1168" s="19">
        <f t="shared" ref="E1168:S1168" si="5722">E1289</f>
        <v>153.4</v>
      </c>
      <c r="F1168" s="19">
        <f t="shared" si="5722"/>
        <v>172.4</v>
      </c>
      <c r="G1168" s="19">
        <f t="shared" si="5722"/>
        <v>325.8</v>
      </c>
      <c r="H1168" s="19">
        <f t="shared" si="5722"/>
        <v>153.19999999999999</v>
      </c>
      <c r="I1168" s="19">
        <f t="shared" si="5722"/>
        <v>175.60000000000002</v>
      </c>
      <c r="J1168" s="19">
        <f t="shared" si="5722"/>
        <v>328.8</v>
      </c>
      <c r="K1168" s="19">
        <f t="shared" si="5722"/>
        <v>184.9</v>
      </c>
      <c r="L1168" s="19">
        <f t="shared" si="5722"/>
        <v>221.70000000000002</v>
      </c>
      <c r="M1168" s="19">
        <f t="shared" si="5722"/>
        <v>406.6</v>
      </c>
      <c r="N1168" s="19">
        <f t="shared" si="5722"/>
        <v>200.5</v>
      </c>
      <c r="O1168" s="19">
        <f t="shared" si="5722"/>
        <v>234.3</v>
      </c>
      <c r="P1168" s="19">
        <f t="shared" si="5722"/>
        <v>434.8</v>
      </c>
      <c r="Q1168" s="19">
        <f t="shared" si="5722"/>
        <v>205.4</v>
      </c>
      <c r="R1168" s="19">
        <f t="shared" si="5722"/>
        <v>229.99999999999997</v>
      </c>
      <c r="S1168" s="19">
        <f t="shared" si="5722"/>
        <v>435.4</v>
      </c>
      <c r="T1168" s="19">
        <f t="shared" ref="T1168:AB1168" si="5723">T1289</f>
        <v>199.6</v>
      </c>
      <c r="U1168" s="19">
        <f t="shared" si="5723"/>
        <v>243.4</v>
      </c>
      <c r="V1168" s="19">
        <f t="shared" si="5723"/>
        <v>443</v>
      </c>
      <c r="W1168" s="19">
        <f t="shared" si="5723"/>
        <v>207.1</v>
      </c>
      <c r="X1168" s="19">
        <f t="shared" si="5723"/>
        <v>247.29999999999998</v>
      </c>
      <c r="Y1168" s="19">
        <f t="shared" si="5723"/>
        <v>454.4</v>
      </c>
      <c r="Z1168" s="19">
        <f t="shared" si="5723"/>
        <v>220</v>
      </c>
      <c r="AA1168" s="19">
        <f t="shared" si="5723"/>
        <v>267.8</v>
      </c>
      <c r="AB1168" s="19">
        <f t="shared" si="5723"/>
        <v>487.8</v>
      </c>
      <c r="AC1168" s="19">
        <f>AC1289</f>
        <v>209</v>
      </c>
      <c r="AD1168" s="23">
        <f>AD1289</f>
        <v>262.7</v>
      </c>
      <c r="AE1168" s="19">
        <f>AE1289</f>
        <v>471.7</v>
      </c>
      <c r="AF1168" s="19">
        <f t="shared" ref="AF1168:AN1168" si="5724">AF1289</f>
        <v>205.7</v>
      </c>
      <c r="AG1168" s="943">
        <f t="shared" si="5724"/>
        <v>266.05108014993471</v>
      </c>
      <c r="AH1168" s="19">
        <f t="shared" si="5724"/>
        <v>471.75108014993475</v>
      </c>
      <c r="AI1168" s="19">
        <f t="shared" si="5724"/>
        <v>221.26646827140959</v>
      </c>
      <c r="AJ1168" s="19">
        <f t="shared" si="5724"/>
        <v>280.07523259418008</v>
      </c>
      <c r="AK1168" s="19">
        <f t="shared" si="5724"/>
        <v>501.3417008655897</v>
      </c>
      <c r="AL1168" s="19">
        <f t="shared" si="5724"/>
        <v>231.00842483740371</v>
      </c>
      <c r="AM1168" s="19">
        <f t="shared" si="5724"/>
        <v>288.96917043847833</v>
      </c>
      <c r="AN1168" s="19">
        <f t="shared" si="5724"/>
        <v>519.97759527588209</v>
      </c>
      <c r="AO1168" s="19">
        <f t="shared" ref="AO1168:BR1168" si="5725">AO1289</f>
        <v>237.3329152193264</v>
      </c>
      <c r="AP1168" s="19">
        <f t="shared" si="5725"/>
        <v>295.66936709718868</v>
      </c>
      <c r="AQ1168" s="19">
        <f t="shared" si="5725"/>
        <v>533.00228231651511</v>
      </c>
      <c r="AR1168" s="19">
        <f t="shared" si="5725"/>
        <v>241.26128906959957</v>
      </c>
      <c r="AS1168" s="19">
        <f t="shared" si="5725"/>
        <v>300.53790771055731</v>
      </c>
      <c r="AT1168" s="19">
        <f t="shared" si="5725"/>
        <v>541.79919678015676</v>
      </c>
      <c r="AU1168" s="19">
        <f t="shared" si="5725"/>
        <v>245.29536568928575</v>
      </c>
      <c r="AV1168" s="19">
        <f t="shared" si="5725"/>
        <v>305.54139227520517</v>
      </c>
      <c r="AW1168" s="19">
        <f t="shared" si="5725"/>
        <v>550.83675796449097</v>
      </c>
      <c r="AX1168" s="19">
        <f t="shared" si="5725"/>
        <v>249.43831467074759</v>
      </c>
      <c r="AY1168" s="19">
        <f t="shared" si="5725"/>
        <v>310.68384088426376</v>
      </c>
      <c r="AZ1168" s="19">
        <f t="shared" si="5725"/>
        <v>560.12215555501132</v>
      </c>
      <c r="BA1168" s="19">
        <f t="shared" si="5725"/>
        <v>253.69340684545892</v>
      </c>
      <c r="BB1168" s="19">
        <f t="shared" si="5725"/>
        <v>315.96940188678803</v>
      </c>
      <c r="BC1168" s="19">
        <f t="shared" si="5725"/>
        <v>569.66280873224696</v>
      </c>
      <c r="BD1168" s="19">
        <f t="shared" si="5725"/>
        <v>258.06401758878656</v>
      </c>
      <c r="BE1168" s="19">
        <f t="shared" si="5725"/>
        <v>321.40235605800058</v>
      </c>
      <c r="BF1168" s="19">
        <f t="shared" si="5725"/>
        <v>579.46637364678713</v>
      </c>
      <c r="BG1168" s="19">
        <f t="shared" si="5725"/>
        <v>262.55363023353686</v>
      </c>
      <c r="BH1168" s="19">
        <f t="shared" si="5725"/>
        <v>326.98712090565857</v>
      </c>
      <c r="BI1168" s="19">
        <f t="shared" si="5725"/>
        <v>589.54075113919544</v>
      </c>
      <c r="BJ1168" s="19">
        <f t="shared" si="5725"/>
        <v>267.1658395958579</v>
      </c>
      <c r="BK1168" s="19">
        <f t="shared" si="5725"/>
        <v>332.7282551170008</v>
      </c>
      <c r="BL1168" s="19">
        <f t="shared" si="5725"/>
        <v>599.89409471285865</v>
      </c>
      <c r="BM1168" s="19">
        <f t="shared" si="5725"/>
        <v>271.90435561720665</v>
      </c>
      <c r="BN1168" s="19">
        <f t="shared" si="5725"/>
        <v>338.63046315088218</v>
      </c>
      <c r="BO1168" s="19">
        <f t="shared" si="5725"/>
        <v>610.53481876808883</v>
      </c>
      <c r="BP1168" s="19">
        <f t="shared" si="5725"/>
        <v>276.77300712621565</v>
      </c>
      <c r="BQ1168" s="19">
        <f t="shared" si="5725"/>
        <v>344.69859997985139</v>
      </c>
      <c r="BR1168" s="19">
        <f t="shared" si="5725"/>
        <v>621.47160710606704</v>
      </c>
    </row>
    <row r="1169" spans="2:70" s="99" customFormat="1" outlineLevel="1">
      <c r="C1169" s="538" t="s">
        <v>73</v>
      </c>
      <c r="D1169" s="7" t="s">
        <v>66</v>
      </c>
      <c r="E1169" s="585">
        <f t="shared" ref="E1169:S1169" si="5726">E1168/E1167</f>
        <v>0.12059748427672956</v>
      </c>
      <c r="F1169" s="585">
        <f t="shared" si="5726"/>
        <v>0.143308395677473</v>
      </c>
      <c r="G1169" s="585">
        <f t="shared" si="5726"/>
        <v>0.13163636363636363</v>
      </c>
      <c r="H1169" s="585">
        <f t="shared" si="5726"/>
        <v>0.14398496240601502</v>
      </c>
      <c r="I1169" s="585">
        <f t="shared" si="5726"/>
        <v>0.14706867671691795</v>
      </c>
      <c r="J1169" s="585">
        <f t="shared" si="5726"/>
        <v>0.14561558901682906</v>
      </c>
      <c r="K1169" s="585">
        <f t="shared" si="5726"/>
        <v>0.13048694424841215</v>
      </c>
      <c r="L1169" s="585">
        <f t="shared" si="5726"/>
        <v>0.13095097460129948</v>
      </c>
      <c r="M1169" s="585">
        <f t="shared" si="5726"/>
        <v>0.13073954983922831</v>
      </c>
      <c r="N1169" s="585">
        <f t="shared" si="5726"/>
        <v>0.12338461538461538</v>
      </c>
      <c r="O1169" s="585">
        <f t="shared" si="5726"/>
        <v>0.1346551724137931</v>
      </c>
      <c r="P1169" s="585">
        <f t="shared" si="5726"/>
        <v>0.12921248142644873</v>
      </c>
      <c r="Q1169" s="585">
        <f t="shared" si="5726"/>
        <v>0.13720774883099532</v>
      </c>
      <c r="R1169" s="585">
        <f t="shared" si="5726"/>
        <v>0.13674197384066586</v>
      </c>
      <c r="S1169" s="585">
        <f t="shared" si="5726"/>
        <v>0.13696130858760616</v>
      </c>
      <c r="T1169" s="585">
        <f t="shared" ref="T1169:AB1169" si="5727">T1168/T1167</f>
        <v>0.13395973154362414</v>
      </c>
      <c r="U1169" s="585">
        <f t="shared" si="5727"/>
        <v>0.14300822561692128</v>
      </c>
      <c r="V1169" s="585">
        <f t="shared" si="5727"/>
        <v>0.1387844611528822</v>
      </c>
      <c r="W1169" s="585">
        <f t="shared" si="5727"/>
        <v>0.13250159948816378</v>
      </c>
      <c r="X1169" s="585">
        <f t="shared" si="5727"/>
        <v>0.14099201824401367</v>
      </c>
      <c r="Y1169" s="585">
        <f t="shared" si="5727"/>
        <v>0.1369912571600844</v>
      </c>
      <c r="Z1169" s="585">
        <f t="shared" si="5727"/>
        <v>0.14084507042253522</v>
      </c>
      <c r="AA1169" s="585">
        <f t="shared" si="5727"/>
        <v>0.14919220055710308</v>
      </c>
      <c r="AB1169" s="585">
        <f t="shared" si="5727"/>
        <v>0.1453083109919571</v>
      </c>
      <c r="AC1169" s="585">
        <f t="shared" ref="AC1169:AN1169" si="5728">AC1168/AC1167</f>
        <v>0.15177923021060277</v>
      </c>
      <c r="AD1169" s="586">
        <f t="shared" si="5728"/>
        <v>0.17513333333333334</v>
      </c>
      <c r="AE1169" s="585">
        <f t="shared" si="5728"/>
        <v>0.16395550921098365</v>
      </c>
      <c r="AF1169" s="587">
        <f t="shared" si="5728"/>
        <v>0.15396706586826348</v>
      </c>
      <c r="AG1169" s="1040">
        <f t="shared" si="5728"/>
        <v>0.17046143374431524</v>
      </c>
      <c r="AH1169" s="587">
        <f t="shared" si="5728"/>
        <v>0.16285417600248769</v>
      </c>
      <c r="AI1169" s="587">
        <f t="shared" si="5728"/>
        <v>0.16615406312460176</v>
      </c>
      <c r="AJ1169" s="587">
        <f t="shared" si="5728"/>
        <v>0.17307244451585563</v>
      </c>
      <c r="AK1169" s="587">
        <f t="shared" si="5728"/>
        <v>0.16994928158912814</v>
      </c>
      <c r="AL1169" s="587">
        <f t="shared" si="5728"/>
        <v>0.16699508736102053</v>
      </c>
      <c r="AM1169" s="587">
        <f t="shared" si="5728"/>
        <v>0.17260121607559376</v>
      </c>
      <c r="AN1169" s="587">
        <f t="shared" si="5728"/>
        <v>0.17006482018268371</v>
      </c>
      <c r="AO1169" s="587">
        <f t="shared" ref="AO1169:BR1169" si="5729">AO1168/AO1167</f>
        <v>0.16692436552671946</v>
      </c>
      <c r="AP1169" s="587">
        <f t="shared" si="5729"/>
        <v>0.1733099553569222</v>
      </c>
      <c r="AQ1169" s="587">
        <f t="shared" si="5729"/>
        <v>0.1704072808657541</v>
      </c>
      <c r="AR1169" s="587">
        <f t="shared" si="5729"/>
        <v>0.16652907522379076</v>
      </c>
      <c r="AS1169" s="587">
        <f t="shared" si="5729"/>
        <v>0.17284390876221736</v>
      </c>
      <c r="AT1169" s="587">
        <f t="shared" si="5729"/>
        <v>0.16997376911128922</v>
      </c>
      <c r="AU1169" s="587">
        <f t="shared" si="5729"/>
        <v>0.16612821387086923</v>
      </c>
      <c r="AV1169" s="587">
        <f t="shared" si="5729"/>
        <v>0.172375605005925</v>
      </c>
      <c r="AW1169" s="587">
        <f t="shared" si="5729"/>
        <v>0.16953647756947315</v>
      </c>
      <c r="AX1169" s="587">
        <f t="shared" si="5729"/>
        <v>0.16572204324154707</v>
      </c>
      <c r="AY1169" s="587">
        <f t="shared" si="5729"/>
        <v>0.17190525100097406</v>
      </c>
      <c r="AZ1169" s="587">
        <f t="shared" si="5729"/>
        <v>0.16909563880841405</v>
      </c>
      <c r="BA1169" s="587">
        <f t="shared" si="5729"/>
        <v>0.16531082720439649</v>
      </c>
      <c r="BB1169" s="587">
        <f t="shared" si="5729"/>
        <v>0.17143305422658192</v>
      </c>
      <c r="BC1169" s="587">
        <f t="shared" si="5729"/>
        <v>0.16865148663039084</v>
      </c>
      <c r="BD1169" s="587">
        <f t="shared" si="5729"/>
        <v>0.16489483129540189</v>
      </c>
      <c r="BE1169" s="587">
        <f t="shared" si="5729"/>
        <v>0.17095922239970029</v>
      </c>
      <c r="BF1169" s="587">
        <f t="shared" si="5729"/>
        <v>0.16820425569777023</v>
      </c>
      <c r="BG1169" s="587">
        <f t="shared" si="5729"/>
        <v>0.16447432229318648</v>
      </c>
      <c r="BH1169" s="587">
        <f t="shared" si="5729"/>
        <v>0.17048396315095601</v>
      </c>
      <c r="BI1169" s="587">
        <f t="shared" si="5729"/>
        <v>0.16775418116276647</v>
      </c>
      <c r="BJ1169" s="587">
        <f t="shared" si="5729"/>
        <v>0.16404956779829558</v>
      </c>
      <c r="BK1169" s="587">
        <f t="shared" si="5729"/>
        <v>0.1700074837059995</v>
      </c>
      <c r="BL1169" s="587">
        <f t="shared" si="5729"/>
        <v>0.16730149830211166</v>
      </c>
      <c r="BM1169" s="587">
        <f t="shared" si="5729"/>
        <v>0.16362083581775455</v>
      </c>
      <c r="BN1169" s="587">
        <f t="shared" si="5729"/>
        <v>0.16952999057313378</v>
      </c>
      <c r="BO1169" s="587">
        <f t="shared" si="5729"/>
        <v>0.16684644215766467</v>
      </c>
      <c r="BP1169" s="587">
        <f t="shared" si="5729"/>
        <v>0.16318839435607371</v>
      </c>
      <c r="BQ1169" s="587">
        <f t="shared" si="5729"/>
        <v>0.16905168923804947</v>
      </c>
      <c r="BR1169" s="587">
        <f t="shared" si="5729"/>
        <v>0.16638924718393694</v>
      </c>
    </row>
    <row r="1170" spans="2:70" outlineLevel="1">
      <c r="C1170" s="6" t="s">
        <v>65</v>
      </c>
      <c r="D1170" s="7" t="s">
        <v>58</v>
      </c>
      <c r="E1170" s="19">
        <f t="shared" ref="E1170:S1170" si="5730">E1291</f>
        <v>-71.7</v>
      </c>
      <c r="F1170" s="19">
        <f t="shared" si="5730"/>
        <v>-69.3</v>
      </c>
      <c r="G1170" s="19">
        <f t="shared" si="5730"/>
        <v>-141</v>
      </c>
      <c r="H1170" s="19">
        <f t="shared" si="5730"/>
        <v>-70.899999999999991</v>
      </c>
      <c r="I1170" s="19">
        <f t="shared" si="5730"/>
        <v>-71.500000000000014</v>
      </c>
      <c r="J1170" s="19">
        <f t="shared" si="5730"/>
        <v>-142.4</v>
      </c>
      <c r="K1170" s="19">
        <f t="shared" si="5730"/>
        <v>-83.5</v>
      </c>
      <c r="L1170" s="19">
        <f t="shared" si="5730"/>
        <v>-82.800000000000011</v>
      </c>
      <c r="M1170" s="19">
        <f t="shared" si="5730"/>
        <v>-166.3</v>
      </c>
      <c r="N1170" s="19">
        <f t="shared" si="5730"/>
        <v>-83.9</v>
      </c>
      <c r="O1170" s="19">
        <f t="shared" si="5730"/>
        <v>-78.400000000000006</v>
      </c>
      <c r="P1170" s="19">
        <f t="shared" si="5730"/>
        <v>-162.30000000000001</v>
      </c>
      <c r="Q1170" s="19">
        <f t="shared" si="5730"/>
        <v>-77.7</v>
      </c>
      <c r="R1170" s="19">
        <f t="shared" si="5730"/>
        <v>-70.899999999999963</v>
      </c>
      <c r="S1170" s="19">
        <f t="shared" si="5730"/>
        <v>-148.59999999999997</v>
      </c>
      <c r="T1170" s="19">
        <f t="shared" ref="T1170:AB1170" si="5731">T1291</f>
        <v>-71.3</v>
      </c>
      <c r="U1170" s="19">
        <f t="shared" si="5731"/>
        <v>-73.500000000000014</v>
      </c>
      <c r="V1170" s="19">
        <f t="shared" si="5731"/>
        <v>-144.80000000000001</v>
      </c>
      <c r="W1170" s="19">
        <f t="shared" si="5731"/>
        <v>-68</v>
      </c>
      <c r="X1170" s="19">
        <f t="shared" si="5731"/>
        <v>-65.099999999999994</v>
      </c>
      <c r="Y1170" s="19">
        <f t="shared" si="5731"/>
        <v>-133.1</v>
      </c>
      <c r="Z1170" s="19">
        <f t="shared" si="5731"/>
        <v>-66.5</v>
      </c>
      <c r="AA1170" s="19">
        <f t="shared" si="5731"/>
        <v>-68.800000000000011</v>
      </c>
      <c r="AB1170" s="19">
        <f t="shared" si="5731"/>
        <v>-135.30000000000001</v>
      </c>
      <c r="AC1170" s="19">
        <f>AC1291</f>
        <v>-65.5</v>
      </c>
      <c r="AD1170" s="23">
        <f>AD1291</f>
        <v>-63.5</v>
      </c>
      <c r="AE1170" s="19">
        <f>AE1291</f>
        <v>-129</v>
      </c>
      <c r="AF1170" s="19">
        <f>AF1291</f>
        <v>-62</v>
      </c>
      <c r="AG1170" s="943">
        <f t="shared" ref="AG1170:AN1170" si="5732">AG1291</f>
        <v>-64.343333333333334</v>
      </c>
      <c r="AH1170" s="19">
        <f t="shared" si="5732"/>
        <v>-126.34333333333333</v>
      </c>
      <c r="AI1170" s="19">
        <f t="shared" si="5732"/>
        <v>-62.62</v>
      </c>
      <c r="AJ1170" s="19">
        <f t="shared" si="5732"/>
        <v>-64.986766666666668</v>
      </c>
      <c r="AK1170" s="19">
        <f t="shared" si="5732"/>
        <v>-127.60676666666666</v>
      </c>
      <c r="AL1170" s="19">
        <f t="shared" si="5732"/>
        <v>-63.246199999999995</v>
      </c>
      <c r="AM1170" s="19">
        <f t="shared" si="5732"/>
        <v>-65.636634333333333</v>
      </c>
      <c r="AN1170" s="19">
        <f t="shared" si="5732"/>
        <v>-128.88283433333334</v>
      </c>
      <c r="AO1170" s="19">
        <f t="shared" ref="AO1170:BR1170" si="5733">AO1291</f>
        <v>-63.878661999999998</v>
      </c>
      <c r="AP1170" s="19">
        <f t="shared" si="5733"/>
        <v>-66.293000676666665</v>
      </c>
      <c r="AQ1170" s="19">
        <f t="shared" si="5733"/>
        <v>-130.17166267666667</v>
      </c>
      <c r="AR1170" s="19">
        <f t="shared" si="5733"/>
        <v>-64.517448619999996</v>
      </c>
      <c r="AS1170" s="19">
        <f t="shared" si="5733"/>
        <v>-66.955930683433337</v>
      </c>
      <c r="AT1170" s="19">
        <f t="shared" si="5733"/>
        <v>-131.47337930343332</v>
      </c>
      <c r="AU1170" s="19">
        <f t="shared" si="5733"/>
        <v>-65.162623106200002</v>
      </c>
      <c r="AV1170" s="19">
        <f t="shared" si="5733"/>
        <v>-67.625489990267667</v>
      </c>
      <c r="AW1170" s="19">
        <f t="shared" si="5733"/>
        <v>-132.78811309646767</v>
      </c>
      <c r="AX1170" s="19">
        <f t="shared" si="5733"/>
        <v>-65.814249337261998</v>
      </c>
      <c r="AY1170" s="19">
        <f t="shared" si="5733"/>
        <v>-68.30174489017034</v>
      </c>
      <c r="AZ1170" s="19">
        <f t="shared" si="5733"/>
        <v>-134.11599422743234</v>
      </c>
      <c r="BA1170" s="19">
        <f t="shared" si="5733"/>
        <v>-66.472391830634621</v>
      </c>
      <c r="BB1170" s="19">
        <f t="shared" si="5733"/>
        <v>-68.984762339072049</v>
      </c>
      <c r="BC1170" s="19">
        <f t="shared" si="5733"/>
        <v>-135.45715416970666</v>
      </c>
      <c r="BD1170" s="19">
        <f t="shared" si="5733"/>
        <v>-67.137115748940971</v>
      </c>
      <c r="BE1170" s="19">
        <f t="shared" si="5733"/>
        <v>-69.674609962462767</v>
      </c>
      <c r="BF1170" s="19">
        <f t="shared" si="5733"/>
        <v>-136.81172571140374</v>
      </c>
      <c r="BG1170" s="19">
        <f t="shared" si="5733"/>
        <v>-67.808486906430375</v>
      </c>
      <c r="BH1170" s="19">
        <f t="shared" si="5733"/>
        <v>-70.371356062087401</v>
      </c>
      <c r="BI1170" s="19">
        <f t="shared" si="5733"/>
        <v>-138.17984296851779</v>
      </c>
      <c r="BJ1170" s="19">
        <f t="shared" si="5733"/>
        <v>-68.486571775494681</v>
      </c>
      <c r="BK1170" s="19">
        <f t="shared" si="5733"/>
        <v>-71.07506962270827</v>
      </c>
      <c r="BL1170" s="19">
        <f t="shared" si="5733"/>
        <v>-139.56164139820294</v>
      </c>
      <c r="BM1170" s="19">
        <f t="shared" si="5733"/>
        <v>-69.171437493249627</v>
      </c>
      <c r="BN1170" s="19">
        <f t="shared" si="5733"/>
        <v>-71.78582031893535</v>
      </c>
      <c r="BO1170" s="19">
        <f t="shared" si="5733"/>
        <v>-140.95725781218499</v>
      </c>
      <c r="BP1170" s="19">
        <f t="shared" si="5733"/>
        <v>-69.863151868182129</v>
      </c>
      <c r="BQ1170" s="19">
        <f t="shared" si="5733"/>
        <v>-72.503678522124702</v>
      </c>
      <c r="BR1170" s="19">
        <f t="shared" si="5733"/>
        <v>-142.36683039030683</v>
      </c>
    </row>
    <row r="1171" spans="2:70" outlineLevel="1">
      <c r="C1171" s="6" t="s">
        <v>57</v>
      </c>
      <c r="D1171" s="7" t="s">
        <v>58</v>
      </c>
      <c r="E1171" s="23">
        <f t="shared" ref="E1171:S1171" si="5734">E1168+E1170</f>
        <v>81.7</v>
      </c>
      <c r="F1171" s="23">
        <f t="shared" si="5734"/>
        <v>103.10000000000001</v>
      </c>
      <c r="G1171" s="23">
        <f t="shared" si="5734"/>
        <v>184.8</v>
      </c>
      <c r="H1171" s="23">
        <f t="shared" si="5734"/>
        <v>82.3</v>
      </c>
      <c r="I1171" s="23">
        <f t="shared" si="5734"/>
        <v>104.10000000000001</v>
      </c>
      <c r="J1171" s="23">
        <f t="shared" si="5734"/>
        <v>186.4</v>
      </c>
      <c r="K1171" s="23">
        <f t="shared" si="5734"/>
        <v>101.4</v>
      </c>
      <c r="L1171" s="23">
        <f t="shared" si="5734"/>
        <v>138.9</v>
      </c>
      <c r="M1171" s="23">
        <f t="shared" si="5734"/>
        <v>240.3</v>
      </c>
      <c r="N1171" s="23">
        <f t="shared" si="5734"/>
        <v>116.6</v>
      </c>
      <c r="O1171" s="23">
        <f t="shared" si="5734"/>
        <v>155.9</v>
      </c>
      <c r="P1171" s="23">
        <f t="shared" si="5734"/>
        <v>272.5</v>
      </c>
      <c r="Q1171" s="23">
        <f t="shared" si="5734"/>
        <v>127.7</v>
      </c>
      <c r="R1171" s="23">
        <f t="shared" si="5734"/>
        <v>159.10000000000002</v>
      </c>
      <c r="S1171" s="23">
        <f t="shared" si="5734"/>
        <v>286.8</v>
      </c>
      <c r="T1171" s="23">
        <f t="shared" ref="T1171:AB1171" si="5735">T1168+T1170</f>
        <v>128.30000000000001</v>
      </c>
      <c r="U1171" s="23">
        <f t="shared" si="5735"/>
        <v>169.89999999999998</v>
      </c>
      <c r="V1171" s="23">
        <f t="shared" si="5735"/>
        <v>298.2</v>
      </c>
      <c r="W1171" s="23">
        <f t="shared" si="5735"/>
        <v>139.1</v>
      </c>
      <c r="X1171" s="23">
        <f t="shared" si="5735"/>
        <v>182.2</v>
      </c>
      <c r="Y1171" s="23">
        <f t="shared" si="5735"/>
        <v>321.29999999999995</v>
      </c>
      <c r="Z1171" s="23">
        <f t="shared" si="5735"/>
        <v>153.5</v>
      </c>
      <c r="AA1171" s="23">
        <f t="shared" si="5735"/>
        <v>199</v>
      </c>
      <c r="AB1171" s="23">
        <f t="shared" si="5735"/>
        <v>352.5</v>
      </c>
      <c r="AC1171" s="23">
        <f>AC1168+AC1170</f>
        <v>143.5</v>
      </c>
      <c r="AD1171" s="23">
        <f>AD1168+AD1170</f>
        <v>199.2</v>
      </c>
      <c r="AE1171" s="19">
        <f>AE1168+AE1170</f>
        <v>342.7</v>
      </c>
      <c r="AF1171" s="19">
        <f>AF1168+AF1170</f>
        <v>143.69999999999999</v>
      </c>
      <c r="AG1171" s="943">
        <f t="shared" ref="AG1171:AN1171" si="5736">AG1168+AG1170</f>
        <v>201.70774681660137</v>
      </c>
      <c r="AH1171" s="19">
        <f t="shared" si="5736"/>
        <v>345.40774681660139</v>
      </c>
      <c r="AI1171" s="19">
        <f t="shared" si="5736"/>
        <v>158.64646827140959</v>
      </c>
      <c r="AJ1171" s="19">
        <f t="shared" si="5736"/>
        <v>215.08846592751343</v>
      </c>
      <c r="AK1171" s="19">
        <f t="shared" si="5736"/>
        <v>373.73493419892304</v>
      </c>
      <c r="AL1171" s="19">
        <f t="shared" si="5736"/>
        <v>167.76222483740372</v>
      </c>
      <c r="AM1171" s="19">
        <f t="shared" si="5736"/>
        <v>223.33253610514498</v>
      </c>
      <c r="AN1171" s="19">
        <f t="shared" si="5736"/>
        <v>391.09476094254876</v>
      </c>
      <c r="AO1171" s="19">
        <f t="shared" ref="AO1171:BR1171" si="5737">AO1168+AO1170</f>
        <v>173.4542532193264</v>
      </c>
      <c r="AP1171" s="19">
        <f t="shared" si="5737"/>
        <v>229.376366420522</v>
      </c>
      <c r="AQ1171" s="19">
        <f t="shared" si="5737"/>
        <v>402.83061963984846</v>
      </c>
      <c r="AR1171" s="19">
        <f t="shared" si="5737"/>
        <v>176.74384044959959</v>
      </c>
      <c r="AS1171" s="19">
        <f t="shared" si="5737"/>
        <v>233.58197702712397</v>
      </c>
      <c r="AT1171" s="19">
        <f t="shared" si="5737"/>
        <v>410.32581747672344</v>
      </c>
      <c r="AU1171" s="19">
        <f t="shared" si="5737"/>
        <v>180.13274258308576</v>
      </c>
      <c r="AV1171" s="19">
        <f t="shared" si="5737"/>
        <v>237.91590228493749</v>
      </c>
      <c r="AW1171" s="19">
        <f t="shared" si="5737"/>
        <v>418.0486448680233</v>
      </c>
      <c r="AX1171" s="19">
        <f t="shared" si="5737"/>
        <v>183.62406533348559</v>
      </c>
      <c r="AY1171" s="19">
        <f t="shared" si="5737"/>
        <v>242.38209599409342</v>
      </c>
      <c r="AZ1171" s="19">
        <f t="shared" si="5737"/>
        <v>426.00616132757898</v>
      </c>
      <c r="BA1171" s="19">
        <f t="shared" si="5737"/>
        <v>187.2210150148243</v>
      </c>
      <c r="BB1171" s="19">
        <f t="shared" si="5737"/>
        <v>246.98463954771597</v>
      </c>
      <c r="BC1171" s="19">
        <f t="shared" si="5737"/>
        <v>434.2056545625403</v>
      </c>
      <c r="BD1171" s="19">
        <f t="shared" si="5737"/>
        <v>190.92690183984558</v>
      </c>
      <c r="BE1171" s="19">
        <f t="shared" si="5737"/>
        <v>251.72774609553781</v>
      </c>
      <c r="BF1171" s="19">
        <f t="shared" si="5737"/>
        <v>442.65464793538342</v>
      </c>
      <c r="BG1171" s="19">
        <f t="shared" si="5737"/>
        <v>194.74514332710649</v>
      </c>
      <c r="BH1171" s="19">
        <f t="shared" si="5737"/>
        <v>256.61576484357118</v>
      </c>
      <c r="BI1171" s="19">
        <f t="shared" si="5737"/>
        <v>451.36090817067765</v>
      </c>
      <c r="BJ1171" s="19">
        <f t="shared" si="5737"/>
        <v>198.67926782036324</v>
      </c>
      <c r="BK1171" s="19">
        <f t="shared" si="5737"/>
        <v>261.65318549429253</v>
      </c>
      <c r="BL1171" s="19">
        <f t="shared" si="5737"/>
        <v>460.33245331465571</v>
      </c>
      <c r="BM1171" s="19">
        <f t="shared" si="5737"/>
        <v>202.73291812395701</v>
      </c>
      <c r="BN1171" s="19">
        <f t="shared" si="5737"/>
        <v>266.84464283194683</v>
      </c>
      <c r="BO1171" s="19">
        <f t="shared" si="5737"/>
        <v>469.57756095590383</v>
      </c>
      <c r="BP1171" s="19">
        <f t="shared" si="5737"/>
        <v>206.90985525803353</v>
      </c>
      <c r="BQ1171" s="19">
        <f t="shared" si="5737"/>
        <v>272.19492145772671</v>
      </c>
      <c r="BR1171" s="19">
        <f t="shared" si="5737"/>
        <v>479.10477671576018</v>
      </c>
    </row>
    <row r="1172" spans="2:70" s="557" customFormat="1" outlineLevel="1">
      <c r="C1172" s="538" t="s">
        <v>74</v>
      </c>
      <c r="D1172" s="7" t="s">
        <v>66</v>
      </c>
      <c r="E1172" s="586">
        <f t="shared" ref="E1172:S1172" si="5738">E1171/E1167</f>
        <v>6.4229559748427673E-2</v>
      </c>
      <c r="F1172" s="586">
        <f t="shared" si="5738"/>
        <v>8.5702410640066506E-2</v>
      </c>
      <c r="G1172" s="586">
        <f t="shared" si="5738"/>
        <v>7.4666666666666673E-2</v>
      </c>
      <c r="H1172" s="586">
        <f t="shared" si="5738"/>
        <v>7.7349624060150377E-2</v>
      </c>
      <c r="I1172" s="586">
        <f t="shared" si="5738"/>
        <v>8.718592964824122E-2</v>
      </c>
      <c r="J1172" s="586">
        <f t="shared" si="5738"/>
        <v>8.2550930026572183E-2</v>
      </c>
      <c r="K1172" s="586">
        <f t="shared" si="5738"/>
        <v>7.155963302752294E-2</v>
      </c>
      <c r="L1172" s="586">
        <f t="shared" si="5738"/>
        <v>8.2043709391612527E-2</v>
      </c>
      <c r="M1172" s="586">
        <f t="shared" si="5738"/>
        <v>7.7266881028938916E-2</v>
      </c>
      <c r="N1172" s="586">
        <f t="shared" si="5738"/>
        <v>7.1753846153846154E-2</v>
      </c>
      <c r="O1172" s="586">
        <f t="shared" si="5738"/>
        <v>8.9597701149425293E-2</v>
      </c>
      <c r="P1172" s="586">
        <f t="shared" si="5738"/>
        <v>8.0980683506686482E-2</v>
      </c>
      <c r="Q1172" s="586">
        <f t="shared" si="5738"/>
        <v>8.5303941215764859E-2</v>
      </c>
      <c r="R1172" s="586">
        <f t="shared" si="5738"/>
        <v>9.4589774078478017E-2</v>
      </c>
      <c r="S1172" s="586">
        <f t="shared" si="5738"/>
        <v>9.0217049386599565E-2</v>
      </c>
      <c r="T1172" s="586">
        <f t="shared" ref="T1172:AB1172" si="5739">T1171/T1167</f>
        <v>8.6107382550335579E-2</v>
      </c>
      <c r="U1172" s="586">
        <f t="shared" si="5739"/>
        <v>9.9823736780258507E-2</v>
      </c>
      <c r="V1172" s="586">
        <f t="shared" si="5739"/>
        <v>9.3421052631578946E-2</v>
      </c>
      <c r="W1172" s="586">
        <f t="shared" si="5739"/>
        <v>8.8995521433141392E-2</v>
      </c>
      <c r="X1172" s="586">
        <f t="shared" si="5739"/>
        <v>0.10387685290763968</v>
      </c>
      <c r="Y1172" s="586">
        <f t="shared" si="5739"/>
        <v>9.6864636719927635E-2</v>
      </c>
      <c r="Z1172" s="586">
        <f t="shared" si="5739"/>
        <v>9.8271446862996159E-2</v>
      </c>
      <c r="AA1172" s="586">
        <f t="shared" si="5739"/>
        <v>0.11086350974930362</v>
      </c>
      <c r="AB1172" s="586">
        <f t="shared" si="5739"/>
        <v>0.10500446827524576</v>
      </c>
      <c r="AC1172" s="586">
        <f t="shared" ref="AC1172:AN1172" si="5740">AC1171/AC1167</f>
        <v>0.10421205519244735</v>
      </c>
      <c r="AD1172" s="586">
        <f t="shared" si="5740"/>
        <v>0.1328</v>
      </c>
      <c r="AE1172" s="585">
        <f t="shared" si="5740"/>
        <v>0.11911713590545707</v>
      </c>
      <c r="AF1172" s="585">
        <f t="shared" si="5740"/>
        <v>0.10755988023952096</v>
      </c>
      <c r="AG1172" s="1041">
        <f t="shared" si="5740"/>
        <v>0.12923605384468367</v>
      </c>
      <c r="AH1172" s="585">
        <f t="shared" si="5740"/>
        <v>0.11923892993486193</v>
      </c>
      <c r="AI1172" s="585">
        <f t="shared" si="5740"/>
        <v>0.11913126968397918</v>
      </c>
      <c r="AJ1172" s="585">
        <f t="shared" si="5740"/>
        <v>0.13291388260374731</v>
      </c>
      <c r="AK1172" s="585">
        <f t="shared" si="5740"/>
        <v>0.12669200160729449</v>
      </c>
      <c r="AL1172" s="585">
        <f t="shared" si="5740"/>
        <v>0.12127465659453854</v>
      </c>
      <c r="AM1172" s="585">
        <f t="shared" si="5740"/>
        <v>0.13339647015805531</v>
      </c>
      <c r="AN1172" s="585">
        <f t="shared" si="5740"/>
        <v>0.127912165443966</v>
      </c>
      <c r="AO1172" s="585">
        <f t="shared" ref="AO1172:BR1172" si="5741">AO1171/AO1167</f>
        <v>0.12199631534374397</v>
      </c>
      <c r="AP1172" s="585">
        <f t="shared" si="5741"/>
        <v>0.13445156058796759</v>
      </c>
      <c r="AQ1172" s="585">
        <f t="shared" si="5741"/>
        <v>0.12878982477138717</v>
      </c>
      <c r="AR1172" s="585">
        <f t="shared" si="5741"/>
        <v>0.12199631534374399</v>
      </c>
      <c r="AS1172" s="585">
        <f t="shared" si="5741"/>
        <v>0.13433653755471436</v>
      </c>
      <c r="AT1172" s="585">
        <f t="shared" si="5741"/>
        <v>0.12872781313570225</v>
      </c>
      <c r="AU1172" s="585">
        <f t="shared" si="5741"/>
        <v>0.121996315343744</v>
      </c>
      <c r="AV1172" s="585">
        <f t="shared" si="5741"/>
        <v>0.1342237046558902</v>
      </c>
      <c r="AW1172" s="585">
        <f t="shared" si="5741"/>
        <v>0.12866696653563761</v>
      </c>
      <c r="AX1172" s="585">
        <f t="shared" si="5741"/>
        <v>0.12199631534374397</v>
      </c>
      <c r="AY1172" s="585">
        <f t="shared" si="5741"/>
        <v>0.13411304215698994</v>
      </c>
      <c r="AZ1172" s="585">
        <f t="shared" si="5741"/>
        <v>0.12860727480888304</v>
      </c>
      <c r="BA1172" s="585">
        <f t="shared" si="5741"/>
        <v>0.12199631534374397</v>
      </c>
      <c r="BB1172" s="585">
        <f t="shared" si="5741"/>
        <v>0.13400452971673282</v>
      </c>
      <c r="BC1172" s="585">
        <f t="shared" si="5741"/>
        <v>0.12854872746258864</v>
      </c>
      <c r="BD1172" s="585">
        <f t="shared" si="5741"/>
        <v>0.12199631534374396</v>
      </c>
      <c r="BE1172" s="585">
        <f t="shared" si="5741"/>
        <v>0.13389814641295339</v>
      </c>
      <c r="BF1172" s="585">
        <f t="shared" si="5741"/>
        <v>0.1284913136866756</v>
      </c>
      <c r="BG1172" s="585">
        <f t="shared" si="5741"/>
        <v>0.12199631534374394</v>
      </c>
      <c r="BH1172" s="585">
        <f t="shared" si="5741"/>
        <v>0.13379387076889823</v>
      </c>
      <c r="BI1172" s="585">
        <f t="shared" si="5741"/>
        <v>0.12843502236739709</v>
      </c>
      <c r="BJ1172" s="585">
        <f t="shared" si="5741"/>
        <v>0.12199631534374397</v>
      </c>
      <c r="BK1172" s="585">
        <f t="shared" si="5741"/>
        <v>0.13369168077986573</v>
      </c>
      <c r="BL1172" s="585">
        <f t="shared" si="5741"/>
        <v>0.12837984210111608</v>
      </c>
      <c r="BM1172" s="585">
        <f t="shared" si="5741"/>
        <v>0.12199631534374397</v>
      </c>
      <c r="BN1172" s="585">
        <f t="shared" si="5741"/>
        <v>0.13359155394012681</v>
      </c>
      <c r="BO1172" s="585">
        <f t="shared" si="5741"/>
        <v>0.12832576120826722</v>
      </c>
      <c r="BP1172" s="585">
        <f t="shared" si="5741"/>
        <v>0.12199631534374399</v>
      </c>
      <c r="BQ1172" s="585">
        <f t="shared" si="5741"/>
        <v>0.1334934672700632</v>
      </c>
      <c r="BR1172" s="585">
        <f t="shared" si="5741"/>
        <v>0.12827276774747012</v>
      </c>
    </row>
    <row r="1173" spans="2:70" s="99" customFormat="1" outlineLevel="1">
      <c r="C1173" s="6" t="s">
        <v>296</v>
      </c>
      <c r="D1173" s="7" t="s">
        <v>58</v>
      </c>
      <c r="E1173" s="119">
        <v>1655</v>
      </c>
      <c r="F1173" s="119">
        <v>1601</v>
      </c>
      <c r="G1173" s="150">
        <f>+G1171/G1174</f>
        <v>1606.9565217391305</v>
      </c>
      <c r="H1173" s="119">
        <v>1453</v>
      </c>
      <c r="I1173" s="119">
        <v>1460</v>
      </c>
      <c r="J1173" s="150">
        <f>+J1171/J1174</f>
        <v>1456.25</v>
      </c>
      <c r="K1173" s="119">
        <v>1786</v>
      </c>
      <c r="L1173" s="119">
        <v>1804</v>
      </c>
      <c r="M1173" s="150">
        <f>+M1171/M1174</f>
        <v>1806.7669172932331</v>
      </c>
      <c r="N1173" s="119">
        <v>1798</v>
      </c>
      <c r="O1173" s="119">
        <v>1753</v>
      </c>
      <c r="P1173" s="150">
        <f>+P1171/P1174</f>
        <v>1758.0645161290322</v>
      </c>
      <c r="Q1173" s="117">
        <v>1738</v>
      </c>
      <c r="R1173" s="551"/>
      <c r="S1173" s="117">
        <v>1699</v>
      </c>
      <c r="T1173" s="117">
        <v>1649</v>
      </c>
      <c r="U1173" s="551"/>
      <c r="V1173" s="117">
        <v>1630</v>
      </c>
      <c r="W1173" s="117">
        <v>1599</v>
      </c>
      <c r="X1173" s="551"/>
      <c r="Y1173" s="117">
        <v>1582</v>
      </c>
      <c r="Z1173" s="117">
        <v>1513</v>
      </c>
      <c r="AA1173" s="118">
        <f>AB1173*2-Z1173</f>
        <v>1511.1999999999998</v>
      </c>
      <c r="AB1173" s="117">
        <v>1512.1</v>
      </c>
      <c r="AC1173" s="117">
        <v>1567</v>
      </c>
      <c r="AD1173" s="551"/>
      <c r="AE1173" s="835">
        <v>1690</v>
      </c>
      <c r="AF1173" s="835">
        <v>1846.4</v>
      </c>
      <c r="AG1173" s="1042"/>
      <c r="AH1173" s="120"/>
      <c r="AI1173" s="120"/>
      <c r="AJ1173" s="120"/>
      <c r="AK1173" s="120"/>
      <c r="AL1173" s="120"/>
      <c r="AM1173" s="120"/>
      <c r="AN1173" s="120"/>
      <c r="AO1173" s="120"/>
      <c r="AP1173" s="120"/>
      <c r="AQ1173" s="120"/>
      <c r="AR1173" s="120"/>
      <c r="AS1173" s="120"/>
      <c r="AT1173" s="120"/>
      <c r="AU1173" s="120"/>
      <c r="AV1173" s="120"/>
      <c r="AW1173" s="120"/>
      <c r="AX1173" s="120"/>
      <c r="AY1173" s="120"/>
      <c r="AZ1173" s="120"/>
      <c r="BA1173" s="120"/>
      <c r="BB1173" s="120"/>
      <c r="BC1173" s="120"/>
      <c r="BD1173" s="120"/>
      <c r="BE1173" s="120"/>
      <c r="BF1173" s="120"/>
      <c r="BG1173" s="120"/>
      <c r="BH1173" s="120"/>
      <c r="BI1173" s="120"/>
      <c r="BJ1173" s="120"/>
      <c r="BK1173" s="120"/>
      <c r="BL1173" s="120"/>
      <c r="BM1173" s="120"/>
      <c r="BN1173" s="120"/>
      <c r="BO1173" s="120"/>
      <c r="BP1173" s="120"/>
      <c r="BQ1173" s="120"/>
      <c r="BR1173" s="120"/>
    </row>
    <row r="1174" spans="2:70" s="99" customFormat="1" outlineLevel="1">
      <c r="C1174" s="6" t="s">
        <v>265</v>
      </c>
      <c r="D1174" s="100" t="s">
        <v>66</v>
      </c>
      <c r="E1174" s="116">
        <v>9.9000000000000005E-2</v>
      </c>
      <c r="F1174" s="552"/>
      <c r="G1174" s="116">
        <v>0.115</v>
      </c>
      <c r="H1174" s="116">
        <v>0.113</v>
      </c>
      <c r="I1174" s="552"/>
      <c r="J1174" s="116">
        <v>0.128</v>
      </c>
      <c r="K1174" s="116">
        <v>0.114</v>
      </c>
      <c r="L1174" s="552"/>
      <c r="M1174" s="116">
        <v>0.13300000000000001</v>
      </c>
      <c r="N1174" s="116">
        <v>0.13</v>
      </c>
      <c r="O1174" s="552"/>
      <c r="P1174" s="116">
        <v>0.155</v>
      </c>
      <c r="Q1174" s="116">
        <v>0.14699999999999999</v>
      </c>
      <c r="R1174" s="552"/>
      <c r="S1174" s="116">
        <v>0.16900000000000001</v>
      </c>
      <c r="T1174" s="116">
        <v>0.156</v>
      </c>
      <c r="U1174" s="552"/>
      <c r="V1174" s="116">
        <v>0.183</v>
      </c>
      <c r="W1174" s="116">
        <v>0.17399999999999999</v>
      </c>
      <c r="X1174" s="552"/>
      <c r="Y1174" s="116">
        <v>0.20300000000000001</v>
      </c>
      <c r="Z1174" s="116">
        <v>0.20799999999999999</v>
      </c>
      <c r="AA1174" s="92">
        <f>AA1171/AVERAGE(Z1173,AA1173)*2</f>
        <v>0.26321010515177568</v>
      </c>
      <c r="AB1174" s="116">
        <v>0.23300000000000001</v>
      </c>
      <c r="AC1174" s="116">
        <v>0.183</v>
      </c>
      <c r="AD1174" s="552"/>
      <c r="AE1174" s="830">
        <v>0.20300000000000001</v>
      </c>
      <c r="AF1174" s="836">
        <v>0.187</v>
      </c>
      <c r="AG1174" s="1042"/>
      <c r="AH1174" s="120"/>
      <c r="AI1174" s="120"/>
      <c r="AJ1174" s="120"/>
      <c r="AK1174" s="120"/>
      <c r="AL1174" s="120"/>
      <c r="AM1174" s="120"/>
      <c r="AN1174" s="120"/>
      <c r="AO1174" s="120"/>
      <c r="AP1174" s="120"/>
      <c r="AQ1174" s="120"/>
      <c r="AR1174" s="120"/>
      <c r="AS1174" s="120"/>
      <c r="AT1174" s="120"/>
      <c r="AU1174" s="120"/>
      <c r="AV1174" s="120"/>
      <c r="AW1174" s="120"/>
      <c r="AX1174" s="120"/>
      <c r="AY1174" s="120"/>
      <c r="AZ1174" s="120"/>
      <c r="BA1174" s="120"/>
      <c r="BB1174" s="120"/>
      <c r="BC1174" s="120"/>
      <c r="BD1174" s="120"/>
      <c r="BE1174" s="120"/>
      <c r="BF1174" s="120"/>
      <c r="BG1174" s="120"/>
      <c r="BH1174" s="120"/>
      <c r="BI1174" s="120"/>
      <c r="BJ1174" s="120"/>
      <c r="BK1174" s="120"/>
      <c r="BL1174" s="120"/>
      <c r="BM1174" s="120"/>
      <c r="BN1174" s="120"/>
      <c r="BO1174" s="120"/>
      <c r="BP1174" s="120"/>
      <c r="BQ1174" s="120"/>
      <c r="BR1174" s="120"/>
    </row>
    <row r="1175" spans="2:70" s="99" customFormat="1" outlineLevel="1">
      <c r="C1175" s="6" t="s">
        <v>297</v>
      </c>
      <c r="D1175" s="7" t="s">
        <v>58</v>
      </c>
      <c r="E1175" s="117">
        <v>46.3</v>
      </c>
      <c r="F1175" s="18">
        <f>G1175-E1175</f>
        <v>204.7</v>
      </c>
      <c r="G1175" s="117">
        <v>251</v>
      </c>
      <c r="H1175" s="117">
        <v>57.4</v>
      </c>
      <c r="I1175" s="18">
        <f>J1175-H1175</f>
        <v>188.1</v>
      </c>
      <c r="J1175" s="117">
        <v>245.5</v>
      </c>
      <c r="K1175" s="117">
        <v>-1</v>
      </c>
      <c r="L1175" s="18">
        <f>M1175-K1175</f>
        <v>245.3</v>
      </c>
      <c r="M1175" s="117">
        <v>244.3</v>
      </c>
      <c r="N1175" s="117">
        <v>35.1</v>
      </c>
      <c r="O1175" s="18">
        <f>P1175-N1175</f>
        <v>279.79999999999995</v>
      </c>
      <c r="P1175" s="117">
        <v>314.89999999999998</v>
      </c>
      <c r="Q1175" s="117">
        <v>-22.2</v>
      </c>
      <c r="R1175" s="18">
        <f>S1175-Q1175</f>
        <v>297.5</v>
      </c>
      <c r="S1175" s="117">
        <v>275.3</v>
      </c>
      <c r="T1175" s="12">
        <v>-54.3</v>
      </c>
      <c r="U1175" s="18">
        <f>V1175-T1175</f>
        <v>387.8</v>
      </c>
      <c r="V1175" s="117">
        <v>333.5</v>
      </c>
      <c r="W1175" s="12">
        <v>-21</v>
      </c>
      <c r="X1175" s="18">
        <f>Y1175-W1175</f>
        <v>333.8</v>
      </c>
      <c r="Y1175" s="117">
        <v>312.8</v>
      </c>
      <c r="Z1175" s="12">
        <v>-45.8</v>
      </c>
      <c r="AA1175" s="18">
        <f>AB1175-Z1175</f>
        <v>346.8</v>
      </c>
      <c r="AB1175" s="117">
        <v>301</v>
      </c>
      <c r="AC1175" s="12">
        <v>-46.5</v>
      </c>
      <c r="AD1175" s="18">
        <f>AE1175-AC1175</f>
        <v>419.9</v>
      </c>
      <c r="AE1175" s="400">
        <v>373.4</v>
      </c>
      <c r="AF1175" s="400">
        <v>-5.0999999999999996</v>
      </c>
      <c r="AG1175" s="1043"/>
      <c r="AH1175" s="459"/>
      <c r="AI1175" s="459"/>
      <c r="AJ1175" s="459"/>
      <c r="AK1175" s="459"/>
      <c r="AL1175" s="459"/>
      <c r="AM1175" s="459"/>
      <c r="AN1175" s="459"/>
      <c r="AO1175" s="459"/>
      <c r="AP1175" s="459"/>
      <c r="AQ1175" s="459"/>
      <c r="AR1175" s="459"/>
      <c r="AS1175" s="459"/>
      <c r="AT1175" s="459"/>
      <c r="AU1175" s="459"/>
      <c r="AV1175" s="459"/>
      <c r="AW1175" s="459"/>
      <c r="AX1175" s="459"/>
      <c r="AY1175" s="459"/>
      <c r="AZ1175" s="459"/>
      <c r="BA1175" s="459"/>
      <c r="BB1175" s="459"/>
      <c r="BC1175" s="459"/>
      <c r="BD1175" s="459"/>
      <c r="BE1175" s="459"/>
      <c r="BF1175" s="459"/>
      <c r="BG1175" s="459"/>
      <c r="BH1175" s="459"/>
      <c r="BI1175" s="459"/>
      <c r="BJ1175" s="459"/>
      <c r="BK1175" s="459"/>
      <c r="BL1175" s="459"/>
      <c r="BM1175" s="459"/>
      <c r="BN1175" s="459"/>
      <c r="BO1175" s="459"/>
      <c r="BP1175" s="459"/>
      <c r="BQ1175" s="459"/>
      <c r="BR1175" s="459"/>
    </row>
    <row r="1176" spans="2:70" s="99" customFormat="1" outlineLevel="1">
      <c r="C1176" s="9" t="s">
        <v>298</v>
      </c>
      <c r="D1176" s="7" t="s">
        <v>58</v>
      </c>
      <c r="E1176" s="588"/>
      <c r="F1176" s="588"/>
      <c r="G1176" s="588"/>
      <c r="H1176" s="588"/>
      <c r="I1176" s="588"/>
      <c r="J1176" s="588"/>
      <c r="K1176" s="588"/>
      <c r="L1176" s="588"/>
      <c r="M1176" s="588"/>
      <c r="N1176" s="588"/>
      <c r="O1176" s="588"/>
      <c r="P1176" s="589"/>
      <c r="Q1176" s="589"/>
      <c r="R1176" s="589"/>
      <c r="S1176" s="589"/>
      <c r="T1176" s="12">
        <v>353.7</v>
      </c>
      <c r="U1176" s="18">
        <f>V1176</f>
        <v>349.4</v>
      </c>
      <c r="V1176" s="12">
        <v>349.4</v>
      </c>
      <c r="W1176" s="12">
        <v>388.4</v>
      </c>
      <c r="X1176" s="18">
        <f>Y1176</f>
        <v>388.4</v>
      </c>
      <c r="Y1176" s="12">
        <v>388.4</v>
      </c>
      <c r="Z1176" s="12">
        <v>318.39999999999998</v>
      </c>
      <c r="AA1176" s="18">
        <f>AB1176</f>
        <v>318.39999999999998</v>
      </c>
      <c r="AB1176" s="12">
        <v>318.39999999999998</v>
      </c>
      <c r="AC1176" s="12">
        <v>385.5</v>
      </c>
      <c r="AD1176" s="18">
        <f>AE1176</f>
        <v>304</v>
      </c>
      <c r="AE1176" s="400">
        <v>304</v>
      </c>
      <c r="AF1176" s="400">
        <v>338.6</v>
      </c>
      <c r="AG1176" s="1043"/>
      <c r="AH1176" s="459"/>
      <c r="AI1176" s="459"/>
      <c r="AJ1176" s="459"/>
      <c r="AK1176" s="459"/>
      <c r="AL1176" s="459"/>
      <c r="AM1176" s="459"/>
      <c r="AN1176" s="459"/>
      <c r="AO1176" s="459"/>
      <c r="AP1176" s="459"/>
      <c r="AQ1176" s="459"/>
      <c r="AR1176" s="459"/>
      <c r="AS1176" s="459"/>
      <c r="AT1176" s="459"/>
      <c r="AU1176" s="459"/>
      <c r="AV1176" s="459"/>
      <c r="AW1176" s="459"/>
      <c r="AX1176" s="459"/>
      <c r="AY1176" s="459"/>
      <c r="AZ1176" s="459"/>
      <c r="BA1176" s="459"/>
      <c r="BB1176" s="459"/>
      <c r="BC1176" s="459"/>
      <c r="BD1176" s="459"/>
      <c r="BE1176" s="459"/>
      <c r="BF1176" s="459"/>
      <c r="BG1176" s="459"/>
      <c r="BH1176" s="459"/>
      <c r="BI1176" s="459"/>
      <c r="BJ1176" s="459"/>
      <c r="BK1176" s="459"/>
      <c r="BL1176" s="459"/>
      <c r="BM1176" s="459"/>
      <c r="BN1176" s="459"/>
      <c r="BO1176" s="459"/>
      <c r="BP1176" s="459"/>
      <c r="BQ1176" s="459"/>
      <c r="BR1176" s="459"/>
    </row>
    <row r="1177" spans="2:70" s="99" customFormat="1" outlineLevel="1">
      <c r="C1177" s="9" t="s">
        <v>299</v>
      </c>
      <c r="D1177" s="7" t="s">
        <v>58</v>
      </c>
      <c r="E1177" s="588"/>
      <c r="F1177" s="588"/>
      <c r="G1177" s="588"/>
      <c r="H1177" s="588"/>
      <c r="I1177" s="588"/>
      <c r="J1177" s="588"/>
      <c r="K1177" s="588"/>
      <c r="L1177" s="588"/>
      <c r="M1177" s="588"/>
      <c r="N1177" s="588"/>
      <c r="O1177" s="588"/>
      <c r="P1177" s="589"/>
      <c r="Q1177" s="589"/>
      <c r="R1177" s="589"/>
      <c r="S1177" s="589"/>
      <c r="T1177" s="12">
        <v>514</v>
      </c>
      <c r="U1177" s="18">
        <f>V1177</f>
        <v>480.8</v>
      </c>
      <c r="V1177" s="12">
        <v>480.8</v>
      </c>
      <c r="W1177" s="12">
        <v>451.5</v>
      </c>
      <c r="X1177" s="18">
        <f>Y1177</f>
        <v>451.5</v>
      </c>
      <c r="Y1177" s="12">
        <v>451.5</v>
      </c>
      <c r="Z1177" s="12">
        <v>402.9</v>
      </c>
      <c r="AA1177" s="18">
        <f>AB1177</f>
        <v>402.9</v>
      </c>
      <c r="AB1177" s="12">
        <v>402.9</v>
      </c>
      <c r="AC1177" s="12">
        <v>432.3</v>
      </c>
      <c r="AD1177" s="18">
        <f>AE1177</f>
        <v>436</v>
      </c>
      <c r="AE1177" s="400">
        <v>436</v>
      </c>
      <c r="AF1177" s="400">
        <v>429.3</v>
      </c>
      <c r="AG1177" s="1043"/>
      <c r="AH1177" s="459"/>
      <c r="AI1177" s="120"/>
      <c r="AJ1177" s="459"/>
      <c r="AK1177" s="459"/>
      <c r="AL1177" s="459"/>
      <c r="AM1177" s="459"/>
      <c r="AN1177" s="459"/>
      <c r="AO1177" s="459"/>
      <c r="AP1177" s="459"/>
      <c r="AQ1177" s="459"/>
      <c r="AR1177" s="459"/>
      <c r="AS1177" s="459"/>
      <c r="AT1177" s="459"/>
      <c r="AU1177" s="459"/>
      <c r="AV1177" s="459"/>
      <c r="AW1177" s="459"/>
      <c r="AX1177" s="459"/>
      <c r="AY1177" s="459"/>
      <c r="AZ1177" s="459"/>
      <c r="BA1177" s="459"/>
      <c r="BB1177" s="459"/>
      <c r="BC1177" s="459"/>
      <c r="BD1177" s="459"/>
      <c r="BE1177" s="459"/>
      <c r="BF1177" s="459"/>
      <c r="BG1177" s="459"/>
      <c r="BH1177" s="459"/>
      <c r="BI1177" s="459"/>
      <c r="BJ1177" s="459"/>
      <c r="BK1177" s="459"/>
      <c r="BL1177" s="459"/>
      <c r="BM1177" s="459"/>
      <c r="BN1177" s="459"/>
      <c r="BO1177" s="459"/>
      <c r="BP1177" s="459"/>
      <c r="BQ1177" s="459"/>
      <c r="BR1177" s="459"/>
    </row>
    <row r="1178" spans="2:70" s="99" customFormat="1" outlineLevel="1">
      <c r="C1178" s="9" t="s">
        <v>300</v>
      </c>
      <c r="D1178" s="7" t="s">
        <v>58</v>
      </c>
      <c r="E1178" s="588"/>
      <c r="F1178" s="588"/>
      <c r="G1178" s="588"/>
      <c r="H1178" s="588"/>
      <c r="I1178" s="588"/>
      <c r="J1178" s="588"/>
      <c r="K1178" s="588"/>
      <c r="L1178" s="588"/>
      <c r="M1178" s="588"/>
      <c r="N1178" s="588"/>
      <c r="O1178" s="588"/>
      <c r="P1178" s="589"/>
      <c r="Q1178" s="589"/>
      <c r="R1178" s="589"/>
      <c r="S1178" s="589"/>
      <c r="T1178" s="12">
        <v>-721.4</v>
      </c>
      <c r="U1178" s="18">
        <f>V1178</f>
        <v>-868</v>
      </c>
      <c r="V1178" s="12">
        <v>-868</v>
      </c>
      <c r="W1178" s="12">
        <v>-864.6</v>
      </c>
      <c r="X1178" s="18">
        <f>Y1178</f>
        <v>-864.6</v>
      </c>
      <c r="Y1178" s="12">
        <v>-864.6</v>
      </c>
      <c r="Z1178" s="12">
        <v>-679</v>
      </c>
      <c r="AA1178" s="16">
        <f>AB1178</f>
        <v>-767.9</v>
      </c>
      <c r="AB1178" s="12">
        <v>-767.9</v>
      </c>
      <c r="AC1178" s="12">
        <v>-679</v>
      </c>
      <c r="AD1178" s="16">
        <f>AE1178</f>
        <v>-811.7</v>
      </c>
      <c r="AE1178" s="400">
        <v>-811.7</v>
      </c>
      <c r="AF1178" s="400">
        <v>-689.4</v>
      </c>
      <c r="AG1178" s="1043"/>
      <c r="AH1178" s="459"/>
      <c r="AI1178" s="459"/>
      <c r="AJ1178" s="459"/>
      <c r="AK1178" s="459"/>
      <c r="AL1178" s="459"/>
      <c r="AM1178" s="459"/>
      <c r="AN1178" s="459"/>
      <c r="AO1178" s="459"/>
      <c r="AP1178" s="459"/>
      <c r="AQ1178" s="459"/>
      <c r="AR1178" s="459"/>
      <c r="AS1178" s="459"/>
      <c r="AT1178" s="459"/>
      <c r="AU1178" s="459"/>
      <c r="AV1178" s="459"/>
      <c r="AW1178" s="459"/>
      <c r="AX1178" s="459"/>
      <c r="AY1178" s="459"/>
      <c r="AZ1178" s="459"/>
      <c r="BA1178" s="459"/>
      <c r="BB1178" s="459"/>
      <c r="BC1178" s="459"/>
      <c r="BD1178" s="459"/>
      <c r="BE1178" s="459"/>
      <c r="BF1178" s="459"/>
      <c r="BG1178" s="459"/>
      <c r="BH1178" s="459"/>
      <c r="BI1178" s="459"/>
      <c r="BJ1178" s="459"/>
      <c r="BK1178" s="459"/>
      <c r="BL1178" s="459"/>
      <c r="BM1178" s="459"/>
      <c r="BN1178" s="459"/>
      <c r="BO1178" s="459"/>
      <c r="BP1178" s="459"/>
      <c r="BQ1178" s="459"/>
      <c r="BR1178" s="459"/>
    </row>
    <row r="1179" spans="2:70" s="99" customFormat="1" outlineLevel="1">
      <c r="C1179" s="6" t="s">
        <v>301</v>
      </c>
      <c r="D1179" s="7" t="s">
        <v>58</v>
      </c>
      <c r="E1179" s="588"/>
      <c r="F1179" s="588"/>
      <c r="G1179" s="588"/>
      <c r="H1179" s="588"/>
      <c r="I1179" s="588"/>
      <c r="J1179" s="588"/>
      <c r="K1179" s="588"/>
      <c r="L1179" s="588"/>
      <c r="M1179" s="588"/>
      <c r="N1179" s="588"/>
      <c r="O1179" s="588"/>
      <c r="P1179" s="589"/>
      <c r="Q1179" s="589"/>
      <c r="R1179" s="589"/>
      <c r="S1179" s="589"/>
      <c r="T1179" s="16">
        <f>SUM(T1176:T1178)</f>
        <v>146.30000000000007</v>
      </c>
      <c r="U1179" s="16">
        <f>V1179-T1179</f>
        <v>-184.10000000000002</v>
      </c>
      <c r="V1179" s="16">
        <f>SUM(V1176:V1178)</f>
        <v>-37.799999999999955</v>
      </c>
      <c r="W1179" s="16">
        <f>SUM(W1176:W1178)</f>
        <v>-24.700000000000045</v>
      </c>
      <c r="X1179" s="16">
        <f>Y1179-W1179</f>
        <v>0</v>
      </c>
      <c r="Y1179" s="16">
        <f>SUM(Y1176:Y1178)</f>
        <v>-24.700000000000045</v>
      </c>
      <c r="Z1179" s="16">
        <f>SUM(Z1176:Z1178)</f>
        <v>42.299999999999955</v>
      </c>
      <c r="AA1179" s="16">
        <f>AB1179-Z1179</f>
        <v>-88.899999999999977</v>
      </c>
      <c r="AB1179" s="16">
        <f>SUM(AB1176:AB1178)</f>
        <v>-46.600000000000023</v>
      </c>
      <c r="AC1179" s="16">
        <f>SUM(AC1176:AC1178)</f>
        <v>138.79999999999995</v>
      </c>
      <c r="AD1179" s="16">
        <f>AE1179-AC1179</f>
        <v>-210.5</v>
      </c>
      <c r="AE1179" s="121">
        <f>SUM(AE1176:AE1178)</f>
        <v>-71.700000000000045</v>
      </c>
      <c r="AF1179" s="121">
        <f>SUM(AF1176:AF1178)</f>
        <v>78.500000000000114</v>
      </c>
      <c r="AG1179" s="1013"/>
      <c r="AH1179" s="121"/>
      <c r="AI1179" s="121"/>
      <c r="AJ1179" s="121"/>
      <c r="AK1179" s="121"/>
      <c r="AL1179" s="121"/>
      <c r="AM1179" s="121"/>
      <c r="AN1179" s="121"/>
      <c r="AO1179" s="121"/>
      <c r="AP1179" s="121"/>
      <c r="AQ1179" s="121"/>
      <c r="AR1179" s="121"/>
      <c r="AS1179" s="121"/>
      <c r="AT1179" s="121"/>
      <c r="AU1179" s="121"/>
      <c r="AV1179" s="121"/>
      <c r="AW1179" s="121"/>
      <c r="AX1179" s="121"/>
      <c r="AY1179" s="121"/>
      <c r="AZ1179" s="121"/>
      <c r="BA1179" s="121"/>
      <c r="BB1179" s="121"/>
      <c r="BC1179" s="121"/>
      <c r="BD1179" s="121"/>
      <c r="BE1179" s="121"/>
      <c r="BF1179" s="121"/>
      <c r="BG1179" s="121"/>
      <c r="BH1179" s="121"/>
      <c r="BI1179" s="121"/>
      <c r="BJ1179" s="121"/>
      <c r="BK1179" s="121"/>
      <c r="BL1179" s="121"/>
      <c r="BM1179" s="121"/>
      <c r="BN1179" s="121"/>
      <c r="BO1179" s="121"/>
      <c r="BP1179" s="121"/>
      <c r="BQ1179" s="121"/>
      <c r="BR1179" s="121"/>
    </row>
    <row r="1180" spans="2:70" outlineLevel="1">
      <c r="C1180" s="9" t="s">
        <v>549</v>
      </c>
      <c r="D1180" s="7" t="s">
        <v>58</v>
      </c>
      <c r="E1180" s="572"/>
      <c r="F1180" s="572"/>
      <c r="G1180" s="572"/>
      <c r="H1180" s="572"/>
      <c r="I1180" s="572"/>
      <c r="J1180" s="572"/>
      <c r="K1180" s="572"/>
      <c r="L1180" s="572"/>
      <c r="M1180" s="572"/>
      <c r="N1180" s="573"/>
      <c r="O1180" s="572"/>
      <c r="P1180" s="574"/>
      <c r="Q1180" s="574"/>
      <c r="R1180" s="574"/>
      <c r="S1180" s="574"/>
      <c r="T1180" s="574"/>
      <c r="U1180" s="574"/>
      <c r="V1180" s="574"/>
      <c r="W1180" s="574"/>
      <c r="X1180" s="574"/>
      <c r="Y1180" s="575"/>
      <c r="Z1180" s="576"/>
      <c r="AA1180" s="574"/>
      <c r="AB1180" s="575"/>
      <c r="AC1180" s="576"/>
      <c r="AD1180" s="576"/>
      <c r="AE1180" s="575"/>
      <c r="AF1180" s="662">
        <f>+AF1183*AF1170</f>
        <v>-73</v>
      </c>
      <c r="AG1180" s="1002">
        <f>+AG1183*AG1170</f>
        <v>-64.343333333333334</v>
      </c>
      <c r="AH1180" s="26">
        <f>AF1180+AG1180</f>
        <v>-137.34333333333333</v>
      </c>
      <c r="AI1180" s="19">
        <f>+AI1183*AI1170</f>
        <v>-62.62</v>
      </c>
      <c r="AJ1180" s="19">
        <f>+AJ1183*AJ1170</f>
        <v>-64.986766666666668</v>
      </c>
      <c r="AK1180" s="26">
        <f>AI1180+AJ1180</f>
        <v>-127.60676666666666</v>
      </c>
      <c r="AL1180" s="19">
        <f>+AL1183*AL1170</f>
        <v>-63.246199999999995</v>
      </c>
      <c r="AM1180" s="19">
        <f>+AM1183*AM1170</f>
        <v>-65.636634333333333</v>
      </c>
      <c r="AN1180" s="26">
        <f>AL1180+AM1180</f>
        <v>-128.88283433333334</v>
      </c>
      <c r="AO1180" s="19">
        <f>+AO1183*AO1170</f>
        <v>-63.878661999999998</v>
      </c>
      <c r="AP1180" s="19">
        <f>+AP1183*AP1170</f>
        <v>-66.293000676666665</v>
      </c>
      <c r="AQ1180" s="26">
        <f>AO1180+AP1180</f>
        <v>-130.17166267666667</v>
      </c>
      <c r="AR1180" s="19">
        <f>+AR1183*AR1170</f>
        <v>-64.517448619999996</v>
      </c>
      <c r="AS1180" s="19">
        <f>+AS1183*AS1170</f>
        <v>-66.955930683433337</v>
      </c>
      <c r="AT1180" s="26">
        <f>AR1180+AS1180</f>
        <v>-131.47337930343332</v>
      </c>
      <c r="AU1180" s="19">
        <f>+AU1183*AU1170</f>
        <v>-65.162623106200002</v>
      </c>
      <c r="AV1180" s="19">
        <f>+AV1183*AV1170</f>
        <v>-67.625489990267667</v>
      </c>
      <c r="AW1180" s="26">
        <f>AU1180+AV1180</f>
        <v>-132.78811309646767</v>
      </c>
      <c r="AX1180" s="19">
        <f>+AX1183*AX1170</f>
        <v>-65.814249337261998</v>
      </c>
      <c r="AY1180" s="19">
        <f>+AY1183*AY1170</f>
        <v>-68.30174489017034</v>
      </c>
      <c r="AZ1180" s="26">
        <f>AX1180+AY1180</f>
        <v>-134.11599422743234</v>
      </c>
      <c r="BA1180" s="19">
        <f>+BA1183*BA1170</f>
        <v>-66.472391830634621</v>
      </c>
      <c r="BB1180" s="19">
        <f>+BB1183*BB1170</f>
        <v>-68.984762339072049</v>
      </c>
      <c r="BC1180" s="26">
        <f>BA1180+BB1180</f>
        <v>-135.45715416970666</v>
      </c>
      <c r="BD1180" s="19">
        <f>+BD1183*BD1170</f>
        <v>-67.137115748940971</v>
      </c>
      <c r="BE1180" s="19">
        <f>+BE1183*BE1170</f>
        <v>-69.674609962462767</v>
      </c>
      <c r="BF1180" s="26">
        <f>BD1180+BE1180</f>
        <v>-136.81172571140374</v>
      </c>
      <c r="BG1180" s="19">
        <f>+BG1183*BG1170</f>
        <v>-67.808486906430375</v>
      </c>
      <c r="BH1180" s="19">
        <f>+BH1183*BH1170</f>
        <v>-70.371356062087401</v>
      </c>
      <c r="BI1180" s="26">
        <f>BG1180+BH1180</f>
        <v>-138.17984296851779</v>
      </c>
      <c r="BJ1180" s="19">
        <f>+BJ1183*BJ1170</f>
        <v>-68.486571775494681</v>
      </c>
      <c r="BK1180" s="19">
        <f>+BK1183*BK1170</f>
        <v>-71.07506962270827</v>
      </c>
      <c r="BL1180" s="26">
        <f>BJ1180+BK1180</f>
        <v>-139.56164139820294</v>
      </c>
      <c r="BM1180" s="19">
        <f>+BM1183*BM1170</f>
        <v>-69.171437493249627</v>
      </c>
      <c r="BN1180" s="19">
        <f>+BN1183*BN1170</f>
        <v>-71.78582031893535</v>
      </c>
      <c r="BO1180" s="26">
        <f>BM1180+BN1180</f>
        <v>-140.95725781218499</v>
      </c>
      <c r="BP1180" s="19">
        <f>+BP1183*BP1170</f>
        <v>-69.863151868182129</v>
      </c>
      <c r="BQ1180" s="19">
        <f>+BQ1183*BQ1170</f>
        <v>-72.503678522124702</v>
      </c>
      <c r="BR1180" s="26">
        <f>BP1180+BQ1180</f>
        <v>-142.36683039030683</v>
      </c>
    </row>
    <row r="1181" spans="2:70" outlineLevel="1">
      <c r="C1181" s="9" t="s">
        <v>550</v>
      </c>
      <c r="D1181" s="7" t="s">
        <v>58</v>
      </c>
      <c r="E1181" s="572"/>
      <c r="F1181" s="572"/>
      <c r="G1181" s="572"/>
      <c r="H1181" s="572"/>
      <c r="I1181" s="572"/>
      <c r="J1181" s="572"/>
      <c r="K1181" s="572"/>
      <c r="L1181" s="572"/>
      <c r="M1181" s="572"/>
      <c r="N1181" s="573"/>
      <c r="O1181" s="572"/>
      <c r="P1181" s="574"/>
      <c r="Q1181" s="574"/>
      <c r="R1181" s="574"/>
      <c r="S1181" s="574"/>
      <c r="T1181" s="574"/>
      <c r="U1181" s="574"/>
      <c r="V1181" s="574"/>
      <c r="W1181" s="574"/>
      <c r="X1181" s="574"/>
      <c r="Y1181" s="575"/>
      <c r="Z1181" s="576"/>
      <c r="AA1181" s="574"/>
      <c r="AB1181" s="575"/>
      <c r="AC1181" s="576"/>
      <c r="AD1181" s="576"/>
      <c r="AE1181" s="575"/>
      <c r="AF1181" s="909">
        <v>0</v>
      </c>
      <c r="AG1181" s="1003">
        <v>0</v>
      </c>
      <c r="AH1181" s="347">
        <f>AF1181+AG1181</f>
        <v>0</v>
      </c>
      <c r="AI1181" s="405">
        <v>0</v>
      </c>
      <c r="AJ1181" s="405">
        <v>0</v>
      </c>
      <c r="AK1181" s="171">
        <f>AI1181+AJ1181</f>
        <v>0</v>
      </c>
      <c r="AL1181" s="405">
        <v>0</v>
      </c>
      <c r="AM1181" s="407">
        <v>0</v>
      </c>
      <c r="AN1181" s="347">
        <f>AL1181+AM1181</f>
        <v>0</v>
      </c>
      <c r="AO1181" s="405">
        <v>0</v>
      </c>
      <c r="AP1181" s="407">
        <v>0</v>
      </c>
      <c r="AQ1181" s="347">
        <f>AO1181+AP1181</f>
        <v>0</v>
      </c>
      <c r="AR1181" s="405">
        <v>0</v>
      </c>
      <c r="AS1181" s="407">
        <v>0</v>
      </c>
      <c r="AT1181" s="347">
        <f>AR1181+AS1181</f>
        <v>0</v>
      </c>
      <c r="AU1181" s="405">
        <v>0</v>
      </c>
      <c r="AV1181" s="407">
        <v>0</v>
      </c>
      <c r="AW1181" s="347">
        <f>AU1181+AV1181</f>
        <v>0</v>
      </c>
      <c r="AX1181" s="405">
        <v>0</v>
      </c>
      <c r="AY1181" s="407">
        <v>0</v>
      </c>
      <c r="AZ1181" s="347">
        <f>AX1181+AY1181</f>
        <v>0</v>
      </c>
      <c r="BA1181" s="405">
        <v>0</v>
      </c>
      <c r="BB1181" s="407">
        <v>0</v>
      </c>
      <c r="BC1181" s="347">
        <f>BA1181+BB1181</f>
        <v>0</v>
      </c>
      <c r="BD1181" s="405">
        <v>0</v>
      </c>
      <c r="BE1181" s="407">
        <v>0</v>
      </c>
      <c r="BF1181" s="347">
        <f>BD1181+BE1181</f>
        <v>0</v>
      </c>
      <c r="BG1181" s="405">
        <v>0</v>
      </c>
      <c r="BH1181" s="407">
        <v>0</v>
      </c>
      <c r="BI1181" s="347">
        <f>BG1181+BH1181</f>
        <v>0</v>
      </c>
      <c r="BJ1181" s="405">
        <v>0</v>
      </c>
      <c r="BK1181" s="407">
        <v>0</v>
      </c>
      <c r="BL1181" s="347">
        <f>BJ1181+BK1181</f>
        <v>0</v>
      </c>
      <c r="BM1181" s="405">
        <v>0</v>
      </c>
      <c r="BN1181" s="407">
        <v>0</v>
      </c>
      <c r="BO1181" s="347">
        <f>BM1181+BN1181</f>
        <v>0</v>
      </c>
      <c r="BP1181" s="405">
        <v>0</v>
      </c>
      <c r="BQ1181" s="407">
        <v>0</v>
      </c>
      <c r="BR1181" s="347">
        <f>BP1181+BQ1181</f>
        <v>0</v>
      </c>
    </row>
    <row r="1182" spans="2:70" outlineLevel="1">
      <c r="B1182" s="55"/>
      <c r="C1182" s="6" t="s">
        <v>190</v>
      </c>
      <c r="D1182" s="58" t="s">
        <v>58</v>
      </c>
      <c r="E1182" s="337">
        <v>-57.6</v>
      </c>
      <c r="F1182" s="18">
        <f>G1182-E1182</f>
        <v>-39.6</v>
      </c>
      <c r="G1182" s="337">
        <v>-97.2</v>
      </c>
      <c r="H1182" s="337">
        <v>-37.5</v>
      </c>
      <c r="I1182" s="18">
        <f>J1182-H1182</f>
        <v>-49.8</v>
      </c>
      <c r="J1182" s="337">
        <v>-87.3</v>
      </c>
      <c r="K1182" s="337">
        <v>-85.5</v>
      </c>
      <c r="L1182" s="18">
        <f>M1182-K1182</f>
        <v>-77.5</v>
      </c>
      <c r="M1182" s="337">
        <v>-163</v>
      </c>
      <c r="N1182" s="337">
        <v>-82.1</v>
      </c>
      <c r="O1182" s="18">
        <f>P1182-N1182</f>
        <v>-91.9</v>
      </c>
      <c r="P1182" s="337">
        <v>-174</v>
      </c>
      <c r="Q1182" s="337">
        <v>-60.2</v>
      </c>
      <c r="R1182" s="18">
        <f>S1182-Q1182</f>
        <v>-68.399999999999991</v>
      </c>
      <c r="S1182" s="337">
        <v>-128.6</v>
      </c>
      <c r="T1182" s="337">
        <v>-70.599999999999994</v>
      </c>
      <c r="U1182" s="18">
        <f>V1182-T1182</f>
        <v>-54.900000000000006</v>
      </c>
      <c r="V1182" s="337">
        <v>-125.5</v>
      </c>
      <c r="W1182" s="337">
        <v>-75.7</v>
      </c>
      <c r="X1182" s="18">
        <f>Y1182-W1182</f>
        <v>-58.499999999999986</v>
      </c>
      <c r="Y1182" s="337">
        <v>-134.19999999999999</v>
      </c>
      <c r="Z1182" s="337">
        <v>-53.2</v>
      </c>
      <c r="AA1182" s="18">
        <f>AB1182-Z1182</f>
        <v>-71.8</v>
      </c>
      <c r="AB1182" s="337">
        <v>-125</v>
      </c>
      <c r="AC1182" s="337">
        <v>-97.8</v>
      </c>
      <c r="AD1182" s="18">
        <f>AE1182-AC1182</f>
        <v>-59.8</v>
      </c>
      <c r="AE1182" s="25">
        <v>-157.6</v>
      </c>
      <c r="AF1182" s="25">
        <v>-73</v>
      </c>
      <c r="AG1182" s="943">
        <f>AG1180+AG1181</f>
        <v>-64.343333333333334</v>
      </c>
      <c r="AH1182" s="19">
        <f>AF1182+AG1182</f>
        <v>-137.34333333333333</v>
      </c>
      <c r="AI1182" s="19">
        <f>AI1180+AI1181</f>
        <v>-62.62</v>
      </c>
      <c r="AJ1182" s="19">
        <f>AJ1180+AJ1181</f>
        <v>-64.986766666666668</v>
      </c>
      <c r="AK1182" s="19">
        <f>AI1182+AJ1182</f>
        <v>-127.60676666666666</v>
      </c>
      <c r="AL1182" s="19">
        <f>AL1180+AL1181</f>
        <v>-63.246199999999995</v>
      </c>
      <c r="AM1182" s="19">
        <f>AM1180+AM1181</f>
        <v>-65.636634333333333</v>
      </c>
      <c r="AN1182" s="19">
        <f>AL1182+AM1182</f>
        <v>-128.88283433333334</v>
      </c>
      <c r="AO1182" s="19">
        <f>AO1180+AO1181</f>
        <v>-63.878661999999998</v>
      </c>
      <c r="AP1182" s="19">
        <f>AP1180+AP1181</f>
        <v>-66.293000676666665</v>
      </c>
      <c r="AQ1182" s="19">
        <f>AO1182+AP1182</f>
        <v>-130.17166267666667</v>
      </c>
      <c r="AR1182" s="19">
        <f>AR1180+AR1181</f>
        <v>-64.517448619999996</v>
      </c>
      <c r="AS1182" s="19">
        <f>AS1180+AS1181</f>
        <v>-66.955930683433337</v>
      </c>
      <c r="AT1182" s="19">
        <f>AR1182+AS1182</f>
        <v>-131.47337930343332</v>
      </c>
      <c r="AU1182" s="19">
        <f>AU1180+AU1181</f>
        <v>-65.162623106200002</v>
      </c>
      <c r="AV1182" s="19">
        <f>AV1180+AV1181</f>
        <v>-67.625489990267667</v>
      </c>
      <c r="AW1182" s="19">
        <f>AU1182+AV1182</f>
        <v>-132.78811309646767</v>
      </c>
      <c r="AX1182" s="19">
        <f>AX1180+AX1181</f>
        <v>-65.814249337261998</v>
      </c>
      <c r="AY1182" s="19">
        <f>AY1180+AY1181</f>
        <v>-68.30174489017034</v>
      </c>
      <c r="AZ1182" s="19">
        <f>AX1182+AY1182</f>
        <v>-134.11599422743234</v>
      </c>
      <c r="BA1182" s="19">
        <f>BA1180+BA1181</f>
        <v>-66.472391830634621</v>
      </c>
      <c r="BB1182" s="19">
        <f>BB1180+BB1181</f>
        <v>-68.984762339072049</v>
      </c>
      <c r="BC1182" s="19">
        <f>BA1182+BB1182</f>
        <v>-135.45715416970666</v>
      </c>
      <c r="BD1182" s="19">
        <f>BD1180+BD1181</f>
        <v>-67.137115748940971</v>
      </c>
      <c r="BE1182" s="19">
        <f>BE1180+BE1181</f>
        <v>-69.674609962462767</v>
      </c>
      <c r="BF1182" s="19">
        <f>BD1182+BE1182</f>
        <v>-136.81172571140374</v>
      </c>
      <c r="BG1182" s="19">
        <f>BG1180+BG1181</f>
        <v>-67.808486906430375</v>
      </c>
      <c r="BH1182" s="19">
        <f>BH1180+BH1181</f>
        <v>-70.371356062087401</v>
      </c>
      <c r="BI1182" s="19">
        <f>BG1182+BH1182</f>
        <v>-138.17984296851779</v>
      </c>
      <c r="BJ1182" s="19">
        <f>BJ1180+BJ1181</f>
        <v>-68.486571775494681</v>
      </c>
      <c r="BK1182" s="19">
        <f>BK1180+BK1181</f>
        <v>-71.07506962270827</v>
      </c>
      <c r="BL1182" s="19">
        <f>BJ1182+BK1182</f>
        <v>-139.56164139820294</v>
      </c>
      <c r="BM1182" s="19">
        <f>BM1180+BM1181</f>
        <v>-69.171437493249627</v>
      </c>
      <c r="BN1182" s="19">
        <f>BN1180+BN1181</f>
        <v>-71.78582031893535</v>
      </c>
      <c r="BO1182" s="19">
        <f>BM1182+BN1182</f>
        <v>-140.95725781218499</v>
      </c>
      <c r="BP1182" s="19">
        <f>BP1180+BP1181</f>
        <v>-69.863151868182129</v>
      </c>
      <c r="BQ1182" s="19">
        <f>BQ1180+BQ1181</f>
        <v>-72.503678522124702</v>
      </c>
      <c r="BR1182" s="19">
        <f>BP1182+BQ1182</f>
        <v>-142.36683039030683</v>
      </c>
    </row>
    <row r="1183" spans="2:70" outlineLevel="1">
      <c r="B1183" s="55"/>
      <c r="C1183" s="9" t="s">
        <v>578</v>
      </c>
      <c r="D1183" s="58" t="s">
        <v>66</v>
      </c>
      <c r="E1183" s="47">
        <f>+E1182/E1170</f>
        <v>0.80334728033472802</v>
      </c>
      <c r="F1183" s="47">
        <f t="shared" ref="F1183:AF1183" si="5742">+F1182/F1170</f>
        <v>0.57142857142857151</v>
      </c>
      <c r="G1183" s="47">
        <f t="shared" si="5742"/>
        <v>0.68936170212765957</v>
      </c>
      <c r="H1183" s="47">
        <f t="shared" si="5742"/>
        <v>0.52891396332863194</v>
      </c>
      <c r="I1183" s="47">
        <f t="shared" si="5742"/>
        <v>0.6965034965034963</v>
      </c>
      <c r="J1183" s="47">
        <f t="shared" si="5742"/>
        <v>0.61306179775280889</v>
      </c>
      <c r="K1183" s="47">
        <f t="shared" si="5742"/>
        <v>1.0239520958083832</v>
      </c>
      <c r="L1183" s="47">
        <f t="shared" si="5742"/>
        <v>0.93599033816425103</v>
      </c>
      <c r="M1183" s="47">
        <f t="shared" si="5742"/>
        <v>0.9801563439567047</v>
      </c>
      <c r="N1183" s="47">
        <f t="shared" si="5742"/>
        <v>0.97854588796185926</v>
      </c>
      <c r="O1183" s="47">
        <f t="shared" si="5742"/>
        <v>1.1721938775510203</v>
      </c>
      <c r="P1183" s="47">
        <f t="shared" si="5742"/>
        <v>1.0720887245841035</v>
      </c>
      <c r="Q1183" s="47">
        <f t="shared" si="5742"/>
        <v>0.77477477477477474</v>
      </c>
      <c r="R1183" s="47">
        <f t="shared" si="5742"/>
        <v>0.96473906911142493</v>
      </c>
      <c r="S1183" s="47">
        <f t="shared" si="5742"/>
        <v>0.86541049798115766</v>
      </c>
      <c r="T1183" s="47">
        <f t="shared" si="5742"/>
        <v>0.99018232819074326</v>
      </c>
      <c r="U1183" s="47">
        <f t="shared" si="5742"/>
        <v>0.74693877551020404</v>
      </c>
      <c r="V1183" s="47">
        <f t="shared" si="5742"/>
        <v>0.86671270718232041</v>
      </c>
      <c r="W1183" s="47">
        <f t="shared" si="5742"/>
        <v>1.1132352941176471</v>
      </c>
      <c r="X1183" s="47">
        <f t="shared" si="5742"/>
        <v>0.89861751152073721</v>
      </c>
      <c r="Y1183" s="47">
        <f t="shared" si="5742"/>
        <v>1.0082644628099173</v>
      </c>
      <c r="Z1183" s="47">
        <f t="shared" si="5742"/>
        <v>0.8</v>
      </c>
      <c r="AA1183" s="47">
        <f t="shared" si="5742"/>
        <v>1.0436046511627906</v>
      </c>
      <c r="AB1183" s="47">
        <f t="shared" si="5742"/>
        <v>0.92387287509238725</v>
      </c>
      <c r="AC1183" s="47">
        <f t="shared" si="5742"/>
        <v>1.4931297709923663</v>
      </c>
      <c r="AD1183" s="47">
        <f t="shared" si="5742"/>
        <v>0.94173228346456683</v>
      </c>
      <c r="AE1183" s="386">
        <f t="shared" si="5742"/>
        <v>1.2217054263565892</v>
      </c>
      <c r="AF1183" s="585">
        <f t="shared" si="5742"/>
        <v>1.1774193548387097</v>
      </c>
      <c r="AG1183" s="975">
        <v>1</v>
      </c>
      <c r="AH1183" s="47">
        <f t="shared" ref="AH1183" si="5743">+AH1182/AH1170</f>
        <v>1.087064348468459</v>
      </c>
      <c r="AI1183" s="591">
        <v>1</v>
      </c>
      <c r="AJ1183" s="591">
        <v>1</v>
      </c>
      <c r="AK1183" s="386">
        <f t="shared" ref="AK1183" si="5744">+AK1182/AK1170</f>
        <v>1</v>
      </c>
      <c r="AL1183" s="591">
        <v>1</v>
      </c>
      <c r="AM1183" s="134">
        <v>1</v>
      </c>
      <c r="AN1183" s="47">
        <f t="shared" ref="AN1183" si="5745">+AN1182/AN1170</f>
        <v>1</v>
      </c>
      <c r="AO1183" s="591">
        <v>1</v>
      </c>
      <c r="AP1183" s="134">
        <v>1</v>
      </c>
      <c r="AQ1183" s="47">
        <f t="shared" ref="AQ1183" si="5746">+AQ1182/AQ1170</f>
        <v>1</v>
      </c>
      <c r="AR1183" s="591">
        <v>1</v>
      </c>
      <c r="AS1183" s="134">
        <v>1</v>
      </c>
      <c r="AT1183" s="47">
        <f t="shared" ref="AT1183" si="5747">+AT1182/AT1170</f>
        <v>1</v>
      </c>
      <c r="AU1183" s="591">
        <v>1</v>
      </c>
      <c r="AV1183" s="134">
        <v>1</v>
      </c>
      <c r="AW1183" s="47">
        <f t="shared" ref="AW1183" si="5748">+AW1182/AW1170</f>
        <v>1</v>
      </c>
      <c r="AX1183" s="591">
        <v>1</v>
      </c>
      <c r="AY1183" s="134">
        <v>1</v>
      </c>
      <c r="AZ1183" s="47">
        <f t="shared" ref="AZ1183" si="5749">+AZ1182/AZ1170</f>
        <v>1</v>
      </c>
      <c r="BA1183" s="591">
        <v>1</v>
      </c>
      <c r="BB1183" s="134">
        <v>1</v>
      </c>
      <c r="BC1183" s="47">
        <f t="shared" ref="BC1183" si="5750">+BC1182/BC1170</f>
        <v>1</v>
      </c>
      <c r="BD1183" s="591">
        <v>1</v>
      </c>
      <c r="BE1183" s="134">
        <v>1</v>
      </c>
      <c r="BF1183" s="47">
        <f t="shared" ref="BF1183" si="5751">+BF1182/BF1170</f>
        <v>1</v>
      </c>
      <c r="BG1183" s="591">
        <v>1</v>
      </c>
      <c r="BH1183" s="134">
        <v>1</v>
      </c>
      <c r="BI1183" s="47">
        <f t="shared" ref="BI1183" si="5752">+BI1182/BI1170</f>
        <v>1</v>
      </c>
      <c r="BJ1183" s="591">
        <v>1</v>
      </c>
      <c r="BK1183" s="134">
        <v>1</v>
      </c>
      <c r="BL1183" s="47">
        <f t="shared" ref="BL1183" si="5753">+BL1182/BL1170</f>
        <v>1</v>
      </c>
      <c r="BM1183" s="591">
        <v>1</v>
      </c>
      <c r="BN1183" s="134">
        <v>1</v>
      </c>
      <c r="BO1183" s="47">
        <f t="shared" ref="BO1183" si="5754">+BO1182/BO1170</f>
        <v>1</v>
      </c>
      <c r="BP1183" s="591">
        <v>1</v>
      </c>
      <c r="BQ1183" s="134">
        <v>1</v>
      </c>
      <c r="BR1183" s="47">
        <f t="shared" ref="BR1183" si="5755">+BR1182/BR1170</f>
        <v>1</v>
      </c>
    </row>
    <row r="1184" spans="2:70" outlineLevel="1">
      <c r="C1184" s="9" t="s">
        <v>577</v>
      </c>
      <c r="D1184" s="31" t="s">
        <v>66</v>
      </c>
      <c r="E1184" s="47">
        <f t="shared" ref="E1184:AH1184" si="5756">E1182/E1167</f>
        <v>-4.5283018867924532E-2</v>
      </c>
      <c r="F1184" s="47">
        <f t="shared" si="5756"/>
        <v>-3.291770573566085E-2</v>
      </c>
      <c r="G1184" s="47">
        <f t="shared" si="5756"/>
        <v>-3.9272727272727272E-2</v>
      </c>
      <c r="H1184" s="47">
        <f t="shared" si="5756"/>
        <v>-3.5244360902255641E-2</v>
      </c>
      <c r="I1184" s="47">
        <f t="shared" si="5756"/>
        <v>-4.1708542713567838E-2</v>
      </c>
      <c r="J1184" s="47">
        <f t="shared" si="5756"/>
        <v>-3.8662533215234718E-2</v>
      </c>
      <c r="K1184" s="47">
        <f t="shared" si="5756"/>
        <v>-6.033874382498236E-2</v>
      </c>
      <c r="L1184" s="47">
        <f t="shared" si="5756"/>
        <v>-4.57767277023036E-2</v>
      </c>
      <c r="M1184" s="47">
        <f t="shared" si="5756"/>
        <v>-5.2411575562700964E-2</v>
      </c>
      <c r="N1184" s="47">
        <f t="shared" si="5756"/>
        <v>-5.0523076923076921E-2</v>
      </c>
      <c r="O1184" s="47">
        <f t="shared" si="5756"/>
        <v>-5.2816091954022995E-2</v>
      </c>
      <c r="P1184" s="47">
        <f t="shared" si="5756"/>
        <v>-5.1708766716196133E-2</v>
      </c>
      <c r="Q1184" s="47">
        <f t="shared" si="5756"/>
        <v>-4.0213760855043419E-2</v>
      </c>
      <c r="R1184" s="47">
        <f t="shared" si="5756"/>
        <v>-4.0665873959571934E-2</v>
      </c>
      <c r="S1184" s="47">
        <f t="shared" si="5756"/>
        <v>-4.0452972632903428E-2</v>
      </c>
      <c r="T1184" s="47">
        <f t="shared" si="5756"/>
        <v>-4.7382550335570463E-2</v>
      </c>
      <c r="U1184" s="47">
        <f t="shared" si="5756"/>
        <v>-3.2256169212690956E-2</v>
      </c>
      <c r="V1184" s="47">
        <f t="shared" si="5756"/>
        <v>-3.9317042606516292E-2</v>
      </c>
      <c r="W1184" s="47">
        <f t="shared" si="5756"/>
        <v>-4.8432501599488163E-2</v>
      </c>
      <c r="X1184" s="47">
        <f t="shared" si="5756"/>
        <v>-3.3352337514253129E-2</v>
      </c>
      <c r="Y1184" s="47">
        <f t="shared" si="5756"/>
        <v>-4.0458245402472108E-2</v>
      </c>
      <c r="Z1184" s="47">
        <f t="shared" si="5756"/>
        <v>-3.4058898847631247E-2</v>
      </c>
      <c r="AA1184" s="47">
        <f t="shared" si="5756"/>
        <v>-0.04</v>
      </c>
      <c r="AB1184" s="47">
        <f t="shared" si="5756"/>
        <v>-3.7235627047959491E-2</v>
      </c>
      <c r="AC1184" s="47">
        <f t="shared" si="5756"/>
        <v>-7.1023965141612203E-2</v>
      </c>
      <c r="AD1184" s="47">
        <f t="shared" si="5756"/>
        <v>-3.9866666666666661E-2</v>
      </c>
      <c r="AE1184" s="386">
        <f t="shared" si="5756"/>
        <v>-5.4779283976364265E-2</v>
      </c>
      <c r="AF1184" s="585">
        <f t="shared" si="5756"/>
        <v>-5.4640718562874252E-2</v>
      </c>
      <c r="AG1184" s="977">
        <f t="shared" si="5756"/>
        <v>-4.1225379899631591E-2</v>
      </c>
      <c r="AH1184" s="386">
        <f t="shared" si="5756"/>
        <v>-4.7412579049795088E-2</v>
      </c>
      <c r="AI1184" s="585">
        <f t="shared" ref="AI1184:AN1184" si="5757">AI1182/AI1167</f>
        <v>-4.7022793440622573E-2</v>
      </c>
      <c r="AJ1184" s="386">
        <f t="shared" si="5757"/>
        <v>-4.0158561912108336E-2</v>
      </c>
      <c r="AK1184" s="386">
        <f t="shared" si="5757"/>
        <v>-4.3257279981833638E-2</v>
      </c>
      <c r="AL1184" s="585">
        <f t="shared" si="5757"/>
        <v>-4.5720430766481995E-2</v>
      </c>
      <c r="AM1184" s="47">
        <f t="shared" si="5757"/>
        <v>-3.920474591753844E-2</v>
      </c>
      <c r="AN1184" s="386">
        <f t="shared" si="5757"/>
        <v>-4.2152654738717703E-2</v>
      </c>
      <c r="AO1184" s="585">
        <f t="shared" ref="AO1184:BR1184" si="5758">AO1182/AO1167</f>
        <v>-4.4928050182975493E-2</v>
      </c>
      <c r="AP1184" s="47">
        <f t="shared" si="5758"/>
        <v>-3.8858394768954599E-2</v>
      </c>
      <c r="AQ1184" s="386">
        <f t="shared" si="5758"/>
        <v>-4.1617456094366935E-2</v>
      </c>
      <c r="AR1184" s="585">
        <f t="shared" si="5758"/>
        <v>-4.4532759880046791E-2</v>
      </c>
      <c r="AS1184" s="47">
        <f t="shared" si="5758"/>
        <v>-3.8507371207502979E-2</v>
      </c>
      <c r="AT1184" s="386">
        <f t="shared" si="5758"/>
        <v>-4.1245955975586966E-2</v>
      </c>
      <c r="AU1184" s="585">
        <f t="shared" si="5758"/>
        <v>-4.4131898527125249E-2</v>
      </c>
      <c r="AV1184" s="47">
        <f t="shared" si="5758"/>
        <v>-3.8151900350034774E-2</v>
      </c>
      <c r="AW1184" s="386">
        <f t="shared" si="5758"/>
        <v>-4.0869511033835529E-2</v>
      </c>
      <c r="AX1184" s="585">
        <f t="shared" si="5758"/>
        <v>-4.3725727897803088E-2</v>
      </c>
      <c r="AY1184" s="47">
        <f t="shared" si="5758"/>
        <v>-3.7792208843984126E-2</v>
      </c>
      <c r="AZ1184" s="386">
        <f t="shared" si="5758"/>
        <v>-4.0488363999531041E-2</v>
      </c>
      <c r="BA1184" s="585">
        <f t="shared" si="5758"/>
        <v>-4.3314511860652528E-2</v>
      </c>
      <c r="BB1184" s="47">
        <f t="shared" si="5758"/>
        <v>-3.7428524509849098E-2</v>
      </c>
      <c r="BC1184" s="386">
        <f t="shared" si="5758"/>
        <v>-4.0102759167802211E-2</v>
      </c>
      <c r="BD1184" s="585">
        <f t="shared" si="5758"/>
        <v>-4.2898515951657924E-2</v>
      </c>
      <c r="BE1184" s="47">
        <f t="shared" si="5758"/>
        <v>-3.7061075986746912E-2</v>
      </c>
      <c r="BF1184" s="386">
        <f t="shared" si="5758"/>
        <v>-3.9712942011094647E-2</v>
      </c>
      <c r="BG1184" s="585">
        <f t="shared" si="5758"/>
        <v>-4.2478006949442537E-2</v>
      </c>
      <c r="BH1184" s="47">
        <f t="shared" si="5758"/>
        <v>-3.6690092382057789E-2</v>
      </c>
      <c r="BI1184" s="386">
        <f t="shared" si="5758"/>
        <v>-3.9319158795369361E-2</v>
      </c>
      <c r="BJ1184" s="585">
        <f t="shared" si="5758"/>
        <v>-4.2053252454551597E-2</v>
      </c>
      <c r="BK1184" s="47">
        <f t="shared" si="5758"/>
        <v>-3.6315802926133754E-2</v>
      </c>
      <c r="BL1184" s="386">
        <f t="shared" si="5758"/>
        <v>-3.892165620099558E-2</v>
      </c>
      <c r="BM1184" s="585">
        <f t="shared" si="5758"/>
        <v>-4.1624520474010572E-2</v>
      </c>
      <c r="BN1184" s="47">
        <f t="shared" si="5758"/>
        <v>-3.5938436633006984E-2</v>
      </c>
      <c r="BO1184" s="386">
        <f t="shared" si="5758"/>
        <v>-3.8520680949397458E-2</v>
      </c>
      <c r="BP1184" s="585">
        <f t="shared" si="5758"/>
        <v>-4.1192079012329727E-2</v>
      </c>
      <c r="BQ1184" s="47">
        <f t="shared" si="5758"/>
        <v>-3.5558221967986282E-2</v>
      </c>
      <c r="BR1184" s="386">
        <f t="shared" si="5758"/>
        <v>-3.8116479436466816E-2</v>
      </c>
    </row>
    <row r="1185" spans="2:70" outlineLevel="1">
      <c r="B1185" s="5" t="s">
        <v>689</v>
      </c>
      <c r="AF1185" s="334"/>
    </row>
    <row r="1186" spans="2:70" outlineLevel="1">
      <c r="B1186" s="646" t="s">
        <v>59</v>
      </c>
      <c r="C1186" s="102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</row>
    <row r="1187" spans="2:70" outlineLevel="1">
      <c r="C1187" s="30" t="s">
        <v>284</v>
      </c>
      <c r="D1187" s="31"/>
      <c r="E1187" s="31"/>
      <c r="F1187" s="31"/>
      <c r="G1187" s="31"/>
      <c r="H1187" s="31"/>
      <c r="I1187" s="31"/>
      <c r="J1187" s="31"/>
      <c r="K1187" s="31"/>
      <c r="L1187" s="31"/>
      <c r="M1187" s="31"/>
      <c r="N1187" s="31"/>
      <c r="O1187" s="31"/>
      <c r="P1187" s="30"/>
      <c r="Q1187" s="30"/>
      <c r="R1187" s="30"/>
      <c r="S1187" s="30"/>
      <c r="T1187" s="30"/>
      <c r="U1187" s="30"/>
      <c r="V1187" s="30"/>
      <c r="W1187" s="30"/>
      <c r="X1187" s="30"/>
      <c r="Y1187" s="30"/>
      <c r="Z1187" s="30"/>
      <c r="AA1187" s="30"/>
      <c r="AB1187" s="30"/>
      <c r="AC1187" s="30"/>
      <c r="AD1187" s="30"/>
      <c r="AE1187" s="168"/>
      <c r="AF1187" s="168"/>
      <c r="AG1187" s="964"/>
      <c r="AH1187" s="30"/>
      <c r="AI1187" s="30"/>
      <c r="AJ1187" s="30"/>
      <c r="AK1187" s="30"/>
      <c r="AL1187" s="30"/>
      <c r="AM1187" s="30"/>
      <c r="AN1187" s="30"/>
      <c r="AO1187" s="30"/>
      <c r="AP1187" s="30"/>
      <c r="AQ1187" s="30"/>
      <c r="AR1187" s="30"/>
      <c r="AS1187" s="30"/>
      <c r="AT1187" s="30"/>
      <c r="AU1187" s="30"/>
      <c r="AV1187" s="30"/>
      <c r="AW1187" s="30"/>
      <c r="AX1187" s="30"/>
      <c r="AY1187" s="30"/>
      <c r="AZ1187" s="30"/>
      <c r="BA1187" s="30"/>
      <c r="BB1187" s="30"/>
      <c r="BC1187" s="30"/>
      <c r="BD1187" s="30"/>
      <c r="BE1187" s="30"/>
      <c r="BF1187" s="30"/>
      <c r="BG1187" s="30"/>
      <c r="BH1187" s="30"/>
      <c r="BI1187" s="30"/>
      <c r="BJ1187" s="30"/>
      <c r="BK1187" s="30"/>
      <c r="BL1187" s="30"/>
      <c r="BM1187" s="30"/>
      <c r="BN1187" s="30"/>
      <c r="BO1187" s="30"/>
      <c r="BP1187" s="30"/>
      <c r="BQ1187" s="30"/>
      <c r="BR1187" s="30"/>
    </row>
    <row r="1188" spans="2:70" outlineLevel="1">
      <c r="C1188" s="93" t="s">
        <v>60</v>
      </c>
      <c r="D1188" s="31" t="s">
        <v>283</v>
      </c>
      <c r="E1188" s="31"/>
      <c r="F1188" s="31"/>
      <c r="G1188" s="655"/>
      <c r="H1188" s="655"/>
      <c r="I1188" s="655"/>
      <c r="J1188" s="151"/>
      <c r="K1188" s="151"/>
      <c r="L1188" s="171"/>
      <c r="M1188" s="151"/>
      <c r="N1188" s="119"/>
      <c r="O1188" s="347"/>
      <c r="P1188" s="119"/>
      <c r="Q1188" s="119"/>
      <c r="R1188" s="347"/>
      <c r="S1188" s="405">
        <f>S1189/S1202*S1201</f>
        <v>11075.157894736843</v>
      </c>
      <c r="T1188" s="119"/>
      <c r="U1188" s="714"/>
      <c r="V1188" s="405">
        <f>V1189/V1202*V1201</f>
        <v>21225</v>
      </c>
      <c r="W1188" s="405">
        <f>W1189/W1202*W1201</f>
        <v>5309.0270270270266</v>
      </c>
      <c r="X1188" s="714">
        <f>Y1188-W1188</f>
        <v>3587.5285285285299</v>
      </c>
      <c r="Y1188" s="405">
        <f>Y1189/Y1202*Y1201</f>
        <v>8896.5555555555566</v>
      </c>
      <c r="Z1188" s="405">
        <f>Z1189/Z1202*Z1201</f>
        <v>6197.2857142857156</v>
      </c>
      <c r="AA1188" s="714">
        <f>AB1188-Z1188</f>
        <v>5402.2142857142844</v>
      </c>
      <c r="AB1188" s="405">
        <f>AB1189/AB1202*AB1201</f>
        <v>11599.5</v>
      </c>
      <c r="AC1188" s="405">
        <f>AC1189/AC1202*AC1201</f>
        <v>6108.6315789473683</v>
      </c>
      <c r="AD1188" s="714">
        <f>AE1188-AC1188</f>
        <v>8849.5906432748543</v>
      </c>
      <c r="AE1188" s="405">
        <f>AE1189/AE1202*AE1201</f>
        <v>14958.222222222223</v>
      </c>
      <c r="AF1188" s="919">
        <f>AF1190-AF1189</f>
        <v>5887.5368421052626</v>
      </c>
      <c r="AG1188" s="1044">
        <f>AD1188*(1+AG1213+AG1215)</f>
        <v>8818.6170760233927</v>
      </c>
      <c r="AH1188" s="714">
        <f>AF1188+AG1188</f>
        <v>14706.153918128655</v>
      </c>
      <c r="AI1188" s="714">
        <f>AF1188*(1+AI1213+AI1215)</f>
        <v>5930.7513625263146</v>
      </c>
      <c r="AJ1188" s="714">
        <f>AG1188*(1+AJ1213+AJ1215)</f>
        <v>8862.0046720374285</v>
      </c>
      <c r="AK1188" s="714">
        <f>AI1188+AJ1188</f>
        <v>14792.756034563743</v>
      </c>
      <c r="AL1188" s="714">
        <f>AI1188*(1+AL1213+AL1215)</f>
        <v>5948.5436166138943</v>
      </c>
      <c r="AM1188" s="714">
        <f>AJ1188*(1+AM1213+AM1215)</f>
        <v>8836.1276183950795</v>
      </c>
      <c r="AN1188" s="714">
        <f>AL1188+AM1188</f>
        <v>14784.671235008973</v>
      </c>
      <c r="AO1188" s="714">
        <f>AL1188*(1+AO1213+AO1215)</f>
        <v>5931.1738692533818</v>
      </c>
      <c r="AP1188" s="714">
        <f>AM1188*(1+AP1213+AP1215)</f>
        <v>8810.326125749365</v>
      </c>
      <c r="AQ1188" s="714">
        <f>AO1188+AP1188</f>
        <v>14741.499995002747</v>
      </c>
      <c r="AR1188" s="714">
        <f>AO1188*(1+AR1213+AR1215)</f>
        <v>5913.8548415551613</v>
      </c>
      <c r="AS1188" s="714">
        <f>AP1188*(1+AS1213+AS1215)</f>
        <v>8784.5999734621764</v>
      </c>
      <c r="AT1188" s="714">
        <f>AR1188+AS1188</f>
        <v>14698.454815017338</v>
      </c>
      <c r="AU1188" s="714">
        <f>AR1188*(1+AU1213+AU1215)</f>
        <v>5896.5863854178197</v>
      </c>
      <c r="AV1188" s="714">
        <f>AS1188*(1+AV1213+AV1215)</f>
        <v>8758.9489415396674</v>
      </c>
      <c r="AW1188" s="714">
        <f>AU1188+AV1188</f>
        <v>14655.535326957488</v>
      </c>
      <c r="AX1188" s="714">
        <f>AU1188*(1+AX1213+AX1215)</f>
        <v>5879.3683531723991</v>
      </c>
      <c r="AY1188" s="714">
        <f>AV1188*(1+AY1213+AY1215)</f>
        <v>8733.3728106303715</v>
      </c>
      <c r="AZ1188" s="714">
        <f>AX1188+AY1188</f>
        <v>14612.74116380277</v>
      </c>
      <c r="BA1188" s="714">
        <f>AX1188*(1+BA1213+BA1215)</f>
        <v>5862.2005975811353</v>
      </c>
      <c r="BB1188" s="714">
        <f>AY1188*(1+BB1213+BB1215)</f>
        <v>8707.8713620233302</v>
      </c>
      <c r="BC1188" s="714">
        <f>BA1188+BB1188</f>
        <v>14570.071959604466</v>
      </c>
      <c r="BD1188" s="714">
        <f>BA1188*(1+BD1213+BD1215)</f>
        <v>5845.0829718361983</v>
      </c>
      <c r="BE1188" s="714">
        <f>BB1188*(1+BE1213+BE1215)</f>
        <v>8682.4443776462213</v>
      </c>
      <c r="BF1188" s="714">
        <f>BD1188+BE1188</f>
        <v>14527.52734948242</v>
      </c>
      <c r="BG1188" s="714">
        <f>BD1188*(1+BG1213+BG1215)</f>
        <v>5828.0153295584369</v>
      </c>
      <c r="BH1188" s="714">
        <f>BE1188*(1+BH1213+BH1215)</f>
        <v>8657.0916400634942</v>
      </c>
      <c r="BI1188" s="714">
        <f>BG1188+BH1188</f>
        <v>14485.106969621931</v>
      </c>
      <c r="BJ1188" s="714">
        <f>BG1188*(1+BJ1213+BJ1215)</f>
        <v>5810.9975247961256</v>
      </c>
      <c r="BK1188" s="714">
        <f>BH1188*(1+BK1213+BK1215)</f>
        <v>8631.8129324745078</v>
      </c>
      <c r="BL1188" s="714">
        <f>BJ1188+BK1188</f>
        <v>14442.810457270632</v>
      </c>
      <c r="BM1188" s="714">
        <f>BJ1188*(1+BM1213+BM1215)</f>
        <v>5794.0294120237204</v>
      </c>
      <c r="BN1188" s="714">
        <f>BK1188*(1+BN1213+BN1215)</f>
        <v>8606.6080387116817</v>
      </c>
      <c r="BO1188" s="714">
        <f>BM1188+BN1188</f>
        <v>14400.637450735401</v>
      </c>
      <c r="BP1188" s="714">
        <f>BM1188*(1+BP1213+BP1215)</f>
        <v>5777.1108461406111</v>
      </c>
      <c r="BQ1188" s="714">
        <f>BN1188*(1+BQ1213+BQ1215)</f>
        <v>8581.4767432386434</v>
      </c>
      <c r="BR1188" s="714">
        <f>BP1188+BQ1188</f>
        <v>14358.587589379254</v>
      </c>
    </row>
    <row r="1189" spans="2:70" outlineLevel="1">
      <c r="C1189" s="93" t="s">
        <v>61</v>
      </c>
      <c r="D1189" s="31" t="s">
        <v>283</v>
      </c>
      <c r="E1189" s="31"/>
      <c r="F1189" s="31"/>
      <c r="G1189" s="655"/>
      <c r="H1189" s="655"/>
      <c r="I1189" s="655"/>
      <c r="J1189" s="151">
        <v>5668</v>
      </c>
      <c r="K1189" s="151">
        <v>3158</v>
      </c>
      <c r="L1189" s="171">
        <f>M1189-K1189</f>
        <v>4063</v>
      </c>
      <c r="M1189" s="151">
        <v>7221</v>
      </c>
      <c r="N1189" s="119">
        <v>2939</v>
      </c>
      <c r="O1189" s="347">
        <f>P1189-N1189</f>
        <v>4198</v>
      </c>
      <c r="P1189" s="119">
        <v>7137</v>
      </c>
      <c r="Q1189" s="119">
        <v>2900</v>
      </c>
      <c r="R1189" s="347">
        <f>S1189-Q1189</f>
        <v>3888</v>
      </c>
      <c r="S1189" s="119">
        <v>6788</v>
      </c>
      <c r="T1189" s="119">
        <v>2952</v>
      </c>
      <c r="U1189" s="714">
        <f>V1189-T1189</f>
        <v>4123</v>
      </c>
      <c r="V1189" s="119">
        <v>7075</v>
      </c>
      <c r="W1189" s="119">
        <v>3118</v>
      </c>
      <c r="X1189" s="714">
        <f>Y1189-W1189</f>
        <v>4161</v>
      </c>
      <c r="Y1189" s="119">
        <v>7279</v>
      </c>
      <c r="Z1189" s="119">
        <v>3337</v>
      </c>
      <c r="AA1189" s="714">
        <f>AB1189-Z1189</f>
        <v>4396</v>
      </c>
      <c r="AB1189" s="119">
        <v>7733</v>
      </c>
      <c r="AC1189" s="119">
        <v>3744</v>
      </c>
      <c r="AD1189" s="714">
        <f>AE1189-AC1189</f>
        <v>4670</v>
      </c>
      <c r="AE1189" s="151">
        <v>8414</v>
      </c>
      <c r="AF1189" s="920">
        <v>3236</v>
      </c>
      <c r="AG1189" s="1044">
        <f>AD1189*(1+AG1220+AG1222)</f>
        <v>4513.5550000000003</v>
      </c>
      <c r="AH1189" s="714">
        <f>AF1189+AG1189</f>
        <v>7749.5550000000003</v>
      </c>
      <c r="AI1189" s="714">
        <f>AF1189*(1+AI1220+AI1222)</f>
        <v>3437.7322400000003</v>
      </c>
      <c r="AJ1189" s="714">
        <f>AG1189*(1+AJ1220+AJ1222)</f>
        <v>4784.0072156000006</v>
      </c>
      <c r="AK1189" s="714">
        <f>AI1189+AJ1189</f>
        <v>8221.7394555999999</v>
      </c>
      <c r="AL1189" s="714">
        <f>AI1189*(1+AL1220+AL1222)</f>
        <v>3568.3660651200003</v>
      </c>
      <c r="AM1189" s="714">
        <f>AJ1189*(1+AM1220+AM1222)</f>
        <v>4937.4781670764487</v>
      </c>
      <c r="AN1189" s="714">
        <f>AL1189+AM1189</f>
        <v>8505.8442321964485</v>
      </c>
      <c r="AO1189" s="714">
        <f>AL1189*(1+AO1220+AO1222)</f>
        <v>3682.8392484890501</v>
      </c>
      <c r="AP1189" s="714">
        <f>AM1189*(1+AP1220+AP1222)</f>
        <v>5095.8724666762619</v>
      </c>
      <c r="AQ1189" s="714">
        <f>AO1189+AP1189</f>
        <v>8778.711715165311</v>
      </c>
      <c r="AR1189" s="714">
        <f>AO1189*(1+AR1220+AR1222)</f>
        <v>3800.9847315805791</v>
      </c>
      <c r="AS1189" s="714">
        <f>AP1189*(1+AS1220+AS1222)</f>
        <v>5259.3480554072366</v>
      </c>
      <c r="AT1189" s="714">
        <f>AR1189+AS1189</f>
        <v>9060.3327869878158</v>
      </c>
      <c r="AU1189" s="714">
        <f>AR1189*(1+AU1220+AU1222)</f>
        <v>3922.9203217696845</v>
      </c>
      <c r="AV1189" s="714">
        <f>AS1189*(1+AV1220+AV1222)</f>
        <v>5428.0679410247012</v>
      </c>
      <c r="AW1189" s="714">
        <f>AU1189+AV1189</f>
        <v>9350.9882627943862</v>
      </c>
      <c r="AX1189" s="714">
        <f>AU1189*(1+AX1220+AX1222)</f>
        <v>4048.7676056920563</v>
      </c>
      <c r="AY1189" s="714">
        <f>AV1189*(1+AY1220+AY1222)</f>
        <v>5602.2003605727741</v>
      </c>
      <c r="AZ1189" s="714">
        <f>AX1189+AY1189</f>
        <v>9650.9679662648305</v>
      </c>
      <c r="BA1189" s="714">
        <f>AX1189*(1+BA1220+BA1222)</f>
        <v>4178.652070482658</v>
      </c>
      <c r="BB1189" s="714">
        <f>AY1189*(1+BB1220+BB1222)</f>
        <v>5781.918948139949</v>
      </c>
      <c r="BC1189" s="714">
        <f>BA1189+BB1189</f>
        <v>9960.5710186226061</v>
      </c>
      <c r="BD1189" s="714">
        <f>BA1189*(1+BD1220+BD1222)</f>
        <v>4312.7032289037425</v>
      </c>
      <c r="BE1189" s="714">
        <f>BB1189*(1+BE1220+BE1222)</f>
        <v>5967.4029079962793</v>
      </c>
      <c r="BF1189" s="714">
        <f>BD1189+BE1189</f>
        <v>10280.106136900022</v>
      </c>
      <c r="BG1189" s="714">
        <f>BD1189*(1+BG1220+BG1222)</f>
        <v>4451.0547484869749</v>
      </c>
      <c r="BH1189" s="714">
        <f>BE1189*(1+BH1220+BH1222)</f>
        <v>6158.8371932848004</v>
      </c>
      <c r="BI1189" s="714">
        <f>BG1189+BH1189</f>
        <v>10609.891941771775</v>
      </c>
      <c r="BJ1189" s="714">
        <f>BG1189*(1+BJ1220+BJ1222)</f>
        <v>4593.8445848184374</v>
      </c>
      <c r="BK1189" s="714">
        <f>BH1189*(1+BK1220+BK1222)</f>
        <v>6356.4126904453778</v>
      </c>
      <c r="BL1189" s="714">
        <f>BJ1189+BK1189</f>
        <v>10950.257275263815</v>
      </c>
      <c r="BM1189" s="714">
        <f>BJ1189*(1+BM1220+BM1222)</f>
        <v>4741.2151190994136</v>
      </c>
      <c r="BN1189" s="714">
        <f>BK1189*(1+BN1220+BN1222)</f>
        <v>6560.3264095548666</v>
      </c>
      <c r="BO1189" s="714">
        <f>BM1189+BN1189</f>
        <v>11301.541528654281</v>
      </c>
      <c r="BP1189" s="714">
        <f>BM1189*(1+BP1220+BP1222)</f>
        <v>4893.3133001201231</v>
      </c>
      <c r="BQ1189" s="714">
        <f>BN1189*(1+BQ1220+BQ1222)</f>
        <v>6770.7816807733871</v>
      </c>
      <c r="BR1189" s="714">
        <f>BP1189+BQ1189</f>
        <v>11664.094980893511</v>
      </c>
    </row>
    <row r="1190" spans="2:70" outlineLevel="1">
      <c r="C1190" s="84" t="s">
        <v>543</v>
      </c>
      <c r="D1190" s="31" t="s">
        <v>283</v>
      </c>
      <c r="E1190" s="31"/>
      <c r="F1190" s="31"/>
      <c r="G1190" s="655"/>
      <c r="H1190" s="655"/>
      <c r="I1190" s="655"/>
      <c r="J1190" s="151"/>
      <c r="K1190" s="151"/>
      <c r="L1190" s="171"/>
      <c r="M1190" s="151"/>
      <c r="N1190" s="119"/>
      <c r="O1190" s="347"/>
      <c r="P1190" s="119"/>
      <c r="Q1190" s="119"/>
      <c r="R1190" s="347"/>
      <c r="S1190" s="149">
        <f>SUM(S1188:S1189)</f>
        <v>17863.157894736843</v>
      </c>
      <c r="T1190" s="119"/>
      <c r="U1190" s="714"/>
      <c r="V1190" s="149">
        <f>SUM(V1188:V1189)</f>
        <v>28300</v>
      </c>
      <c r="W1190" s="149">
        <f>SUM(W1188:W1189)</f>
        <v>8427.0270270270266</v>
      </c>
      <c r="X1190" s="715">
        <f>Y1190-W1190</f>
        <v>7748.5285285285299</v>
      </c>
      <c r="Y1190" s="149">
        <f>SUM(Y1188:Y1189)</f>
        <v>16175.555555555557</v>
      </c>
      <c r="Z1190" s="149">
        <f>SUM(Z1188:Z1189)</f>
        <v>9534.2857142857156</v>
      </c>
      <c r="AA1190" s="715">
        <f>AB1190-Z1190</f>
        <v>9798.2142857142844</v>
      </c>
      <c r="AB1190" s="149">
        <f>SUM(AB1188:AB1189)</f>
        <v>19332.5</v>
      </c>
      <c r="AC1190" s="150">
        <f>SUM(AC1188:AC1189)</f>
        <v>9852.6315789473683</v>
      </c>
      <c r="AD1190" s="714">
        <f>AE1190-AC1190</f>
        <v>13519.590643274854</v>
      </c>
      <c r="AE1190" s="149">
        <f>SUM(AE1188:AE1189)</f>
        <v>23372.222222222223</v>
      </c>
      <c r="AF1190" s="715">
        <f>AC1190*(1+AF1196)</f>
        <v>9123.5368421052626</v>
      </c>
      <c r="AG1190" s="1044">
        <f t="shared" ref="AG1190:AI1190" si="5759">AG1189+AG1188</f>
        <v>13332.172076023393</v>
      </c>
      <c r="AH1190" s="714">
        <f t="shared" ref="AH1190:AN1190" si="5760">AH1189+AH1188</f>
        <v>22455.708918128657</v>
      </c>
      <c r="AI1190" s="714">
        <f t="shared" si="5759"/>
        <v>9368.4836025263139</v>
      </c>
      <c r="AJ1190" s="714">
        <f t="shared" ref="AJ1190" si="5761">AJ1189+AJ1188</f>
        <v>13646.011887637429</v>
      </c>
      <c r="AK1190" s="714">
        <f t="shared" si="5760"/>
        <v>23014.495490163743</v>
      </c>
      <c r="AL1190" s="714">
        <f t="shared" si="5760"/>
        <v>9516.9096817338941</v>
      </c>
      <c r="AM1190" s="714">
        <f t="shared" si="5760"/>
        <v>13773.605785471529</v>
      </c>
      <c r="AN1190" s="714">
        <f t="shared" si="5760"/>
        <v>23290.51546720542</v>
      </c>
      <c r="AO1190" s="714">
        <f t="shared" ref="AO1190:BR1190" si="5762">AO1189+AO1188</f>
        <v>9614.0131177424319</v>
      </c>
      <c r="AP1190" s="714">
        <f t="shared" si="5762"/>
        <v>13906.198592425626</v>
      </c>
      <c r="AQ1190" s="714">
        <f t="shared" si="5762"/>
        <v>23520.211710168056</v>
      </c>
      <c r="AR1190" s="714">
        <f t="shared" si="5762"/>
        <v>9714.8395731357414</v>
      </c>
      <c r="AS1190" s="714">
        <f t="shared" si="5762"/>
        <v>14043.948028869414</v>
      </c>
      <c r="AT1190" s="714">
        <f t="shared" si="5762"/>
        <v>23758.787602005155</v>
      </c>
      <c r="AU1190" s="714">
        <f t="shared" si="5762"/>
        <v>9819.5067071875037</v>
      </c>
      <c r="AV1190" s="714">
        <f t="shared" si="5762"/>
        <v>14187.016882564369</v>
      </c>
      <c r="AW1190" s="714">
        <f t="shared" si="5762"/>
        <v>24006.523589751872</v>
      </c>
      <c r="AX1190" s="714">
        <f t="shared" si="5762"/>
        <v>9928.1359588644555</v>
      </c>
      <c r="AY1190" s="714">
        <f t="shared" si="5762"/>
        <v>14335.573171203145</v>
      </c>
      <c r="AZ1190" s="714">
        <f t="shared" si="5762"/>
        <v>24263.7091300676</v>
      </c>
      <c r="BA1190" s="714">
        <f t="shared" si="5762"/>
        <v>10040.852668063793</v>
      </c>
      <c r="BB1190" s="714">
        <f t="shared" si="5762"/>
        <v>14489.79031016328</v>
      </c>
      <c r="BC1190" s="714">
        <f t="shared" si="5762"/>
        <v>24530.642978227072</v>
      </c>
      <c r="BD1190" s="714">
        <f t="shared" si="5762"/>
        <v>10157.786200739942</v>
      </c>
      <c r="BE1190" s="714">
        <f t="shared" si="5762"/>
        <v>14649.8472856425</v>
      </c>
      <c r="BF1190" s="714">
        <f t="shared" si="5762"/>
        <v>24807.633486382441</v>
      </c>
      <c r="BG1190" s="714">
        <f t="shared" si="5762"/>
        <v>10279.070078045412</v>
      </c>
      <c r="BH1190" s="714">
        <f t="shared" si="5762"/>
        <v>14815.928833348295</v>
      </c>
      <c r="BI1190" s="714">
        <f t="shared" si="5762"/>
        <v>25094.998911393704</v>
      </c>
      <c r="BJ1190" s="714">
        <f t="shared" si="5762"/>
        <v>10404.842109614563</v>
      </c>
      <c r="BK1190" s="714">
        <f t="shared" si="5762"/>
        <v>14988.225622919887</v>
      </c>
      <c r="BL1190" s="714">
        <f t="shared" si="5762"/>
        <v>25393.067732534448</v>
      </c>
      <c r="BM1190" s="714">
        <f t="shared" si="5762"/>
        <v>10535.244531123135</v>
      </c>
      <c r="BN1190" s="714">
        <f t="shared" si="5762"/>
        <v>15166.934448266547</v>
      </c>
      <c r="BO1190" s="714">
        <f t="shared" si="5762"/>
        <v>25702.178979389682</v>
      </c>
      <c r="BP1190" s="714">
        <f t="shared" si="5762"/>
        <v>10670.424146260735</v>
      </c>
      <c r="BQ1190" s="714">
        <f t="shared" si="5762"/>
        <v>15352.25842401203</v>
      </c>
      <c r="BR1190" s="714">
        <f t="shared" si="5762"/>
        <v>26022.682570272766</v>
      </c>
    </row>
    <row r="1191" spans="2:70" outlineLevel="1">
      <c r="C1191" s="84" t="s">
        <v>100</v>
      </c>
      <c r="D1191" s="31" t="s">
        <v>283</v>
      </c>
      <c r="E1191" s="31"/>
      <c r="F1191" s="31"/>
      <c r="G1191" s="655"/>
      <c r="H1191" s="655"/>
      <c r="I1191" s="655"/>
      <c r="J1191" s="655"/>
      <c r="K1191" s="655"/>
      <c r="L1191" s="655"/>
      <c r="M1191" s="655"/>
      <c r="N1191" s="31"/>
      <c r="O1191" s="31"/>
      <c r="P1191" s="30"/>
      <c r="Q1191" s="30"/>
      <c r="R1191" s="30"/>
      <c r="S1191" s="119"/>
      <c r="T1191" s="119"/>
      <c r="U1191" s="714"/>
      <c r="V1191" s="119"/>
      <c r="W1191" s="119"/>
      <c r="X1191" s="714"/>
      <c r="Y1191" s="119"/>
      <c r="Z1191" s="119">
        <v>235</v>
      </c>
      <c r="AA1191" s="714">
        <f>AB1191-Z1191</f>
        <v>249</v>
      </c>
      <c r="AB1191" s="119">
        <v>484</v>
      </c>
      <c r="AC1191" s="119">
        <v>280</v>
      </c>
      <c r="AD1191" s="714">
        <f>AE1191-AC1191</f>
        <v>362</v>
      </c>
      <c r="AE1191" s="151">
        <v>642</v>
      </c>
      <c r="AF1191" s="920">
        <v>338</v>
      </c>
      <c r="AG1191" s="1044">
        <f t="shared" ref="AG1191:BR1191" si="5763">AD1191*(1+AG349)</f>
        <v>371.59299999999996</v>
      </c>
      <c r="AH1191" s="715">
        <f t="shared" si="5763"/>
        <v>658.74977999999999</v>
      </c>
      <c r="AI1191" s="715">
        <f t="shared" si="5763"/>
        <v>345.55092000000002</v>
      </c>
      <c r="AJ1191" s="715">
        <f t="shared" si="5763"/>
        <v>378.99513255999994</v>
      </c>
      <c r="AK1191" s="715">
        <f t="shared" si="5763"/>
        <v>672.66916285140007</v>
      </c>
      <c r="AL1191" s="715">
        <f t="shared" si="5763"/>
        <v>351.77083656000002</v>
      </c>
      <c r="AM1191" s="715">
        <f t="shared" si="5763"/>
        <v>383.57339376132478</v>
      </c>
      <c r="AN1191" s="715">
        <f t="shared" si="5763"/>
        <v>682.78610706068514</v>
      </c>
      <c r="AO1191" s="715">
        <f t="shared" si="5763"/>
        <v>356.02022826564485</v>
      </c>
      <c r="AP1191" s="715">
        <f t="shared" si="5763"/>
        <v>388.20696035796163</v>
      </c>
      <c r="AQ1191" s="715">
        <f t="shared" si="5763"/>
        <v>691.03416323397823</v>
      </c>
      <c r="AR1191" s="715">
        <f t="shared" si="5763"/>
        <v>360.32095262309389</v>
      </c>
      <c r="AS1191" s="715">
        <f t="shared" si="5763"/>
        <v>392.89650043908586</v>
      </c>
      <c r="AT1191" s="715">
        <f t="shared" si="5763"/>
        <v>699.38185592584477</v>
      </c>
      <c r="AU1191" s="715">
        <f t="shared" si="5763"/>
        <v>364.67362973078087</v>
      </c>
      <c r="AV1191" s="715">
        <f t="shared" si="5763"/>
        <v>397.64269016439005</v>
      </c>
      <c r="AW1191" s="715">
        <f t="shared" si="5763"/>
        <v>707.83038874542899</v>
      </c>
      <c r="AX1191" s="715">
        <f t="shared" si="5763"/>
        <v>369.07888717792872</v>
      </c>
      <c r="AY1191" s="715">
        <f t="shared" si="5763"/>
        <v>402.44621386157593</v>
      </c>
      <c r="AZ1191" s="715">
        <f t="shared" si="5763"/>
        <v>716.38097984147385</v>
      </c>
      <c r="BA1191" s="715">
        <f t="shared" si="5763"/>
        <v>373.53736013503811</v>
      </c>
      <c r="BB1191" s="715">
        <f t="shared" si="5763"/>
        <v>407.30776412502382</v>
      </c>
      <c r="BC1191" s="715">
        <f t="shared" si="5763"/>
        <v>725.03486207795891</v>
      </c>
      <c r="BD1191" s="715">
        <f t="shared" si="5763"/>
        <v>378.04969144546942</v>
      </c>
      <c r="BE1191" s="715">
        <f t="shared" si="5763"/>
        <v>412.22804191565416</v>
      </c>
      <c r="BF1191" s="715">
        <f t="shared" si="5763"/>
        <v>733.79328321186074</v>
      </c>
      <c r="BG1191" s="715">
        <f t="shared" si="5763"/>
        <v>382.61653171813072</v>
      </c>
      <c r="BH1191" s="715">
        <f t="shared" si="5763"/>
        <v>417.20775666199529</v>
      </c>
      <c r="BI1191" s="715">
        <f t="shared" si="5763"/>
        <v>742.65750607306006</v>
      </c>
      <c r="BJ1191" s="715">
        <f t="shared" si="5763"/>
        <v>387.23853942128579</v>
      </c>
      <c r="BK1191" s="715">
        <f t="shared" si="5763"/>
        <v>422.2476263624722</v>
      </c>
      <c r="BL1191" s="715">
        <f t="shared" si="5763"/>
        <v>751.62880874642269</v>
      </c>
      <c r="BM1191" s="715">
        <f t="shared" si="5763"/>
        <v>391.91638097749495</v>
      </c>
      <c r="BN1191" s="715">
        <f t="shared" si="5763"/>
        <v>427.3483776889309</v>
      </c>
      <c r="BO1191" s="715">
        <f t="shared" si="5763"/>
        <v>760.70848475607954</v>
      </c>
      <c r="BP1191" s="715">
        <f t="shared" si="5763"/>
        <v>396.65073085970312</v>
      </c>
      <c r="BQ1191" s="715">
        <f t="shared" si="5763"/>
        <v>432.51074609141324</v>
      </c>
      <c r="BR1191" s="715">
        <f t="shared" si="5763"/>
        <v>769.89784325193307</v>
      </c>
    </row>
    <row r="1192" spans="2:70" outlineLevel="1">
      <c r="C1192" s="820" t="s">
        <v>747</v>
      </c>
      <c r="D1192" s="31" t="s">
        <v>283</v>
      </c>
      <c r="E1192" s="31"/>
      <c r="F1192" s="31"/>
      <c r="G1192" s="655"/>
      <c r="H1192" s="655"/>
      <c r="I1192" s="655"/>
      <c r="J1192" s="655"/>
      <c r="K1192" s="655"/>
      <c r="L1192" s="655"/>
      <c r="M1192" s="655"/>
      <c r="N1192" s="31"/>
      <c r="O1192" s="31"/>
      <c r="P1192" s="30"/>
      <c r="Q1192" s="30"/>
      <c r="R1192" s="30"/>
      <c r="S1192" s="119"/>
      <c r="T1192" s="119"/>
      <c r="U1192" s="714"/>
      <c r="V1192" s="119"/>
      <c r="W1192" s="119"/>
      <c r="X1192" s="714"/>
      <c r="Y1192" s="119"/>
      <c r="Z1192" s="150">
        <f>Z1190+Z1191</f>
        <v>9769.2857142857156</v>
      </c>
      <c r="AA1192" s="150">
        <f t="shared" ref="AA1192:AE1192" si="5764">AA1190+AA1191</f>
        <v>10047.214285714284</v>
      </c>
      <c r="AB1192" s="150">
        <f t="shared" si="5764"/>
        <v>19816.5</v>
      </c>
      <c r="AC1192" s="150">
        <f t="shared" si="5764"/>
        <v>10132.631578947368</v>
      </c>
      <c r="AD1192" s="150">
        <f t="shared" si="5764"/>
        <v>13881.590643274854</v>
      </c>
      <c r="AE1192" s="150">
        <f t="shared" si="5764"/>
        <v>24014.222222222223</v>
      </c>
      <c r="AF1192" s="149">
        <f>AF1190+AF1191</f>
        <v>9461.5368421052626</v>
      </c>
      <c r="AG1192" s="956">
        <f t="shared" ref="AG1192:BR1192" si="5765">AG1190+AG1191</f>
        <v>13703.765076023394</v>
      </c>
      <c r="AH1192" s="150">
        <f t="shared" si="5765"/>
        <v>23114.458698128656</v>
      </c>
      <c r="AI1192" s="150">
        <f t="shared" si="5765"/>
        <v>9714.0345225263136</v>
      </c>
      <c r="AJ1192" s="150">
        <f t="shared" si="5765"/>
        <v>14025.007020197429</v>
      </c>
      <c r="AK1192" s="150">
        <f t="shared" si="5765"/>
        <v>23687.164653015145</v>
      </c>
      <c r="AL1192" s="150">
        <f t="shared" si="5765"/>
        <v>9868.6805182938933</v>
      </c>
      <c r="AM1192" s="150">
        <f t="shared" si="5765"/>
        <v>14157.179179232853</v>
      </c>
      <c r="AN1192" s="150">
        <f t="shared" si="5765"/>
        <v>23973.301574266105</v>
      </c>
      <c r="AO1192" s="150">
        <f t="shared" si="5765"/>
        <v>9970.0333460080765</v>
      </c>
      <c r="AP1192" s="150">
        <f t="shared" si="5765"/>
        <v>14294.405552783588</v>
      </c>
      <c r="AQ1192" s="150">
        <f t="shared" si="5765"/>
        <v>24211.245873402033</v>
      </c>
      <c r="AR1192" s="150">
        <f t="shared" si="5765"/>
        <v>10075.160525758834</v>
      </c>
      <c r="AS1192" s="150">
        <f t="shared" si="5765"/>
        <v>14436.844529308501</v>
      </c>
      <c r="AT1192" s="150">
        <f t="shared" si="5765"/>
        <v>24458.169457930999</v>
      </c>
      <c r="AU1192" s="150">
        <f t="shared" si="5765"/>
        <v>10184.180336918285</v>
      </c>
      <c r="AV1192" s="150">
        <f t="shared" si="5765"/>
        <v>14584.659572728759</v>
      </c>
      <c r="AW1192" s="150">
        <f t="shared" si="5765"/>
        <v>24714.3539784973</v>
      </c>
      <c r="AX1192" s="150">
        <f t="shared" si="5765"/>
        <v>10297.214846042385</v>
      </c>
      <c r="AY1192" s="150">
        <f t="shared" si="5765"/>
        <v>14738.019385064721</v>
      </c>
      <c r="AZ1192" s="150">
        <f t="shared" si="5765"/>
        <v>24980.090109909073</v>
      </c>
      <c r="BA1192" s="150">
        <f t="shared" si="5765"/>
        <v>10414.390028198832</v>
      </c>
      <c r="BB1192" s="150">
        <f t="shared" si="5765"/>
        <v>14897.098074288304</v>
      </c>
      <c r="BC1192" s="150">
        <f t="shared" si="5765"/>
        <v>25255.67784030503</v>
      </c>
      <c r="BD1192" s="150">
        <f t="shared" si="5765"/>
        <v>10535.835892185411</v>
      </c>
      <c r="BE1192" s="150">
        <f t="shared" si="5765"/>
        <v>15062.075327558154</v>
      </c>
      <c r="BF1192" s="150">
        <f t="shared" si="5765"/>
        <v>25541.426769594302</v>
      </c>
      <c r="BG1192" s="150">
        <f t="shared" si="5765"/>
        <v>10661.686609763543</v>
      </c>
      <c r="BH1192" s="150">
        <f t="shared" si="5765"/>
        <v>15233.13659001029</v>
      </c>
      <c r="BI1192" s="150">
        <f t="shared" si="5765"/>
        <v>25837.656417466766</v>
      </c>
      <c r="BJ1192" s="150">
        <f t="shared" si="5765"/>
        <v>10792.080649035848</v>
      </c>
      <c r="BK1192" s="150">
        <f t="shared" si="5765"/>
        <v>15410.473249282359</v>
      </c>
      <c r="BL1192" s="150">
        <f t="shared" si="5765"/>
        <v>26144.696541280871</v>
      </c>
      <c r="BM1192" s="150">
        <f t="shared" si="5765"/>
        <v>10927.16091210063</v>
      </c>
      <c r="BN1192" s="150">
        <f t="shared" si="5765"/>
        <v>15594.282825955479</v>
      </c>
      <c r="BO1192" s="150">
        <f t="shared" si="5765"/>
        <v>26462.887464145762</v>
      </c>
      <c r="BP1192" s="150">
        <f t="shared" si="5765"/>
        <v>11067.074877120438</v>
      </c>
      <c r="BQ1192" s="150">
        <f t="shared" si="5765"/>
        <v>15784.769170103444</v>
      </c>
      <c r="BR1192" s="150">
        <f t="shared" si="5765"/>
        <v>26792.580413524698</v>
      </c>
    </row>
    <row r="1193" spans="2:70" outlineLevel="1">
      <c r="C1193" s="30" t="s">
        <v>284</v>
      </c>
      <c r="D1193" s="31"/>
      <c r="E1193" s="31"/>
      <c r="F1193" s="31"/>
      <c r="G1193" s="655"/>
      <c r="H1193" s="655"/>
      <c r="I1193" s="655"/>
      <c r="J1193" s="655"/>
      <c r="K1193" s="655"/>
      <c r="L1193" s="655"/>
      <c r="M1193" s="655"/>
      <c r="N1193" s="31"/>
      <c r="O1193" s="31"/>
      <c r="P1193" s="30"/>
      <c r="Q1193" s="30"/>
      <c r="R1193" s="30"/>
      <c r="S1193" s="119"/>
      <c r="T1193" s="119"/>
      <c r="U1193" s="714"/>
      <c r="V1193" s="119"/>
      <c r="W1193" s="119"/>
      <c r="X1193" s="714"/>
      <c r="Y1193" s="119"/>
      <c r="Z1193" s="119"/>
      <c r="AA1193" s="714"/>
      <c r="AB1193" s="119"/>
      <c r="AC1193" s="119"/>
      <c r="AD1193" s="714"/>
      <c r="AE1193" s="151"/>
      <c r="AF1193" s="715"/>
      <c r="AG1193" s="1044"/>
      <c r="AH1193" s="714"/>
      <c r="AI1193" s="714"/>
      <c r="AJ1193" s="714"/>
      <c r="AK1193" s="714"/>
      <c r="AL1193" s="714"/>
      <c r="AM1193" s="714"/>
      <c r="AN1193" s="714"/>
      <c r="AO1193" s="714"/>
      <c r="AP1193" s="714"/>
      <c r="AQ1193" s="714"/>
      <c r="AR1193" s="714"/>
      <c r="AS1193" s="714"/>
      <c r="AT1193" s="714"/>
      <c r="AU1193" s="714"/>
      <c r="AV1193" s="714"/>
      <c r="AW1193" s="714"/>
      <c r="AX1193" s="714"/>
      <c r="AY1193" s="714"/>
      <c r="AZ1193" s="714"/>
      <c r="BA1193" s="714"/>
      <c r="BB1193" s="714"/>
      <c r="BC1193" s="714"/>
      <c r="BD1193" s="714"/>
      <c r="BE1193" s="714"/>
      <c r="BF1193" s="714"/>
      <c r="BG1193" s="714"/>
      <c r="BH1193" s="714"/>
      <c r="BI1193" s="714"/>
      <c r="BJ1193" s="714"/>
      <c r="BK1193" s="714"/>
      <c r="BL1193" s="714"/>
      <c r="BM1193" s="714"/>
      <c r="BN1193" s="714"/>
      <c r="BO1193" s="714"/>
      <c r="BP1193" s="714"/>
      <c r="BQ1193" s="714"/>
      <c r="BR1193" s="714"/>
    </row>
    <row r="1194" spans="2:70" outlineLevel="1">
      <c r="C1194" s="93" t="s">
        <v>60</v>
      </c>
      <c r="D1194" s="31" t="s">
        <v>66</v>
      </c>
      <c r="E1194" s="31"/>
      <c r="F1194" s="31"/>
      <c r="G1194" s="655"/>
      <c r="H1194" s="655"/>
      <c r="I1194" s="655"/>
      <c r="J1194" s="655"/>
      <c r="K1194" s="655"/>
      <c r="L1194" s="655"/>
      <c r="M1194" s="655"/>
      <c r="N1194" s="31"/>
      <c r="O1194" s="31"/>
      <c r="P1194" s="30"/>
      <c r="Q1194" s="30"/>
      <c r="R1194" s="30"/>
      <c r="S1194" s="796"/>
      <c r="T1194" s="796"/>
      <c r="U1194" s="388"/>
      <c r="V1194" s="46">
        <f>V1188/S1188-1</f>
        <v>0.91645123272568263</v>
      </c>
      <c r="W1194" s="796"/>
      <c r="X1194" s="388"/>
      <c r="Y1194" s="46">
        <f t="shared" ref="Y1194:AH1196" si="5766">Y1188/V1188-1</f>
        <v>-0.5808454390786546</v>
      </c>
      <c r="Z1194" s="159">
        <f t="shared" si="5766"/>
        <v>0.16731101249565494</v>
      </c>
      <c r="AA1194" s="443">
        <f t="shared" si="5766"/>
        <v>0.5058317286552898</v>
      </c>
      <c r="AB1194" s="46">
        <f t="shared" si="5766"/>
        <v>0.30381920593488099</v>
      </c>
      <c r="AC1194" s="159">
        <f t="shared" si="5766"/>
        <v>-1.430531678311775E-2</v>
      </c>
      <c r="AD1194" s="443">
        <f t="shared" si="5766"/>
        <v>0.63814135745723299</v>
      </c>
      <c r="AE1194" s="46">
        <f t="shared" si="5766"/>
        <v>0.28955750008381598</v>
      </c>
      <c r="AF1194" s="162">
        <f t="shared" si="5766"/>
        <v>-3.6193824097049965E-2</v>
      </c>
      <c r="AG1194" s="984">
        <f t="shared" si="5766"/>
        <v>-3.4999999999999476E-3</v>
      </c>
      <c r="AH1194" s="162">
        <f t="shared" si="5766"/>
        <v>-1.685148812130155E-2</v>
      </c>
      <c r="AI1194" s="162">
        <f t="shared" ref="AI1194:AR1196" si="5767">AI1188/AF1188-1</f>
        <v>7.3399999999999022E-3</v>
      </c>
      <c r="AJ1194" s="162">
        <f t="shared" si="5767"/>
        <v>4.9200000000000355E-3</v>
      </c>
      <c r="AK1194" s="162">
        <f t="shared" si="5767"/>
        <v>5.8888351718073828E-3</v>
      </c>
      <c r="AL1194" s="162">
        <f t="shared" si="5767"/>
        <v>3.0000000000001137E-3</v>
      </c>
      <c r="AM1194" s="162">
        <f t="shared" si="5767"/>
        <v>-2.9199999999999227E-3</v>
      </c>
      <c r="AN1194" s="162">
        <f t="shared" si="5767"/>
        <v>-5.4653774698099067E-4</v>
      </c>
      <c r="AO1194" s="162">
        <f t="shared" si="5767"/>
        <v>-2.9200000000000337E-3</v>
      </c>
      <c r="AP1194" s="162">
        <f t="shared" si="5767"/>
        <v>-2.9200000000001447E-3</v>
      </c>
      <c r="AQ1194" s="162">
        <f t="shared" si="5767"/>
        <v>-2.9200000000000337E-3</v>
      </c>
      <c r="AR1194" s="162">
        <f t="shared" si="5767"/>
        <v>-2.9200000000001447E-3</v>
      </c>
      <c r="AS1194" s="162">
        <f t="shared" ref="AS1194:BB1196" si="5768">AS1188/AP1188-1</f>
        <v>-2.9200000000000337E-3</v>
      </c>
      <c r="AT1194" s="162">
        <f t="shared" si="5768"/>
        <v>-2.9200000000000337E-3</v>
      </c>
      <c r="AU1194" s="162">
        <f t="shared" si="5768"/>
        <v>-2.9200000000001447E-3</v>
      </c>
      <c r="AV1194" s="162">
        <f t="shared" si="5768"/>
        <v>-2.9199999999999227E-3</v>
      </c>
      <c r="AW1194" s="162">
        <f t="shared" si="5768"/>
        <v>-2.9199999999999227E-3</v>
      </c>
      <c r="AX1194" s="162">
        <f t="shared" si="5768"/>
        <v>-2.9200000000000337E-3</v>
      </c>
      <c r="AY1194" s="162">
        <f t="shared" si="5768"/>
        <v>-2.9200000000000337E-3</v>
      </c>
      <c r="AZ1194" s="162">
        <f t="shared" si="5768"/>
        <v>-2.9200000000001447E-3</v>
      </c>
      <c r="BA1194" s="162">
        <f t="shared" si="5768"/>
        <v>-2.9200000000000337E-3</v>
      </c>
      <c r="BB1194" s="162">
        <f t="shared" si="5768"/>
        <v>-2.9200000000000337E-3</v>
      </c>
      <c r="BC1194" s="162">
        <f t="shared" ref="BC1194:BL1196" si="5769">BC1188/AZ1188-1</f>
        <v>-2.9200000000000337E-3</v>
      </c>
      <c r="BD1194" s="162">
        <f t="shared" si="5769"/>
        <v>-2.9200000000000337E-3</v>
      </c>
      <c r="BE1194" s="162">
        <f t="shared" si="5769"/>
        <v>-2.9200000000001447E-3</v>
      </c>
      <c r="BF1194" s="162">
        <f t="shared" si="5769"/>
        <v>-2.9200000000000337E-3</v>
      </c>
      <c r="BG1194" s="162">
        <f t="shared" si="5769"/>
        <v>-2.9199999999999227E-3</v>
      </c>
      <c r="BH1194" s="162">
        <f t="shared" si="5769"/>
        <v>-2.9200000000000337E-3</v>
      </c>
      <c r="BI1194" s="162">
        <f t="shared" si="5769"/>
        <v>-2.9200000000000337E-3</v>
      </c>
      <c r="BJ1194" s="162">
        <f t="shared" si="5769"/>
        <v>-2.9200000000001447E-3</v>
      </c>
      <c r="BK1194" s="162">
        <f t="shared" si="5769"/>
        <v>-2.9200000000001447E-3</v>
      </c>
      <c r="BL1194" s="162">
        <f t="shared" si="5769"/>
        <v>-2.9200000000001447E-3</v>
      </c>
      <c r="BM1194" s="162">
        <f t="shared" ref="BM1194:BR1196" si="5770">BM1188/BJ1188-1</f>
        <v>-2.9200000000001447E-3</v>
      </c>
      <c r="BN1194" s="162">
        <f t="shared" si="5770"/>
        <v>-2.9200000000000337E-3</v>
      </c>
      <c r="BO1194" s="162">
        <f t="shared" si="5770"/>
        <v>-2.9200000000000337E-3</v>
      </c>
      <c r="BP1194" s="162">
        <f t="shared" si="5770"/>
        <v>-2.9200000000000337E-3</v>
      </c>
      <c r="BQ1194" s="162">
        <f t="shared" si="5770"/>
        <v>-2.9200000000000337E-3</v>
      </c>
      <c r="BR1194" s="162">
        <f t="shared" si="5770"/>
        <v>-2.9199999999999227E-3</v>
      </c>
    </row>
    <row r="1195" spans="2:70" outlineLevel="1">
      <c r="C1195" s="93" t="s">
        <v>61</v>
      </c>
      <c r="D1195" s="31" t="s">
        <v>66</v>
      </c>
      <c r="E1195" s="31"/>
      <c r="F1195" s="31"/>
      <c r="G1195" s="655"/>
      <c r="H1195" s="655"/>
      <c r="I1195" s="655"/>
      <c r="J1195" s="655"/>
      <c r="K1195" s="655"/>
      <c r="L1195" s="655"/>
      <c r="M1195" s="655"/>
      <c r="N1195" s="31"/>
      <c r="O1195" s="31"/>
      <c r="P1195" s="30"/>
      <c r="Q1195" s="30"/>
      <c r="R1195" s="30"/>
      <c r="S1195" s="796"/>
      <c r="T1195" s="796"/>
      <c r="U1195" s="388"/>
      <c r="V1195" s="46">
        <f>V1189/S1189-1</f>
        <v>4.2280494991160822E-2</v>
      </c>
      <c r="W1195" s="796"/>
      <c r="X1195" s="388"/>
      <c r="Y1195" s="46">
        <f t="shared" si="5766"/>
        <v>2.8833922261484179E-2</v>
      </c>
      <c r="Z1195" s="159">
        <f t="shared" si="5766"/>
        <v>7.0237331622835075E-2</v>
      </c>
      <c r="AA1195" s="443">
        <f t="shared" si="5766"/>
        <v>5.6476808459504868E-2</v>
      </c>
      <c r="AB1195" s="46">
        <f t="shared" si="5766"/>
        <v>6.2371204835829142E-2</v>
      </c>
      <c r="AC1195" s="159">
        <f t="shared" si="5766"/>
        <v>0.12196583757866342</v>
      </c>
      <c r="AD1195" s="443">
        <f t="shared" si="5766"/>
        <v>6.2329390354868064E-2</v>
      </c>
      <c r="AE1195" s="46">
        <f t="shared" si="5766"/>
        <v>8.8064140695719662E-2</v>
      </c>
      <c r="AF1195" s="162">
        <f t="shared" si="5766"/>
        <v>-0.13568376068376065</v>
      </c>
      <c r="AG1195" s="984">
        <f t="shared" si="5766"/>
        <v>-3.3499999999999974E-2</v>
      </c>
      <c r="AH1195" s="162">
        <f t="shared" si="5766"/>
        <v>-7.8968980270976874E-2</v>
      </c>
      <c r="AI1195" s="162">
        <f t="shared" si="5767"/>
        <v>6.2340000000000062E-2</v>
      </c>
      <c r="AJ1195" s="162">
        <f t="shared" si="5767"/>
        <v>5.9919999999999973E-2</v>
      </c>
      <c r="AK1195" s="162">
        <f t="shared" si="5767"/>
        <v>6.0930525120474588E-2</v>
      </c>
      <c r="AL1195" s="162">
        <f t="shared" si="5767"/>
        <v>3.8000000000000034E-2</v>
      </c>
      <c r="AM1195" s="162">
        <f t="shared" si="5767"/>
        <v>3.2080000000000108E-2</v>
      </c>
      <c r="AN1195" s="162">
        <f t="shared" si="5767"/>
        <v>3.4555312550428541E-2</v>
      </c>
      <c r="AO1195" s="162">
        <f t="shared" si="5767"/>
        <v>3.2080000000000108E-2</v>
      </c>
      <c r="AP1195" s="162">
        <f t="shared" si="5767"/>
        <v>3.2080000000000108E-2</v>
      </c>
      <c r="AQ1195" s="162">
        <f t="shared" si="5767"/>
        <v>3.2080000000000108E-2</v>
      </c>
      <c r="AR1195" s="162">
        <f t="shared" si="5767"/>
        <v>3.2080000000000108E-2</v>
      </c>
      <c r="AS1195" s="162">
        <f t="shared" si="5768"/>
        <v>3.2080000000000108E-2</v>
      </c>
      <c r="AT1195" s="162">
        <f t="shared" si="5768"/>
        <v>3.2080000000000108E-2</v>
      </c>
      <c r="AU1195" s="162">
        <f t="shared" si="5768"/>
        <v>3.2080000000000108E-2</v>
      </c>
      <c r="AV1195" s="162">
        <f t="shared" si="5768"/>
        <v>3.2080000000000108E-2</v>
      </c>
      <c r="AW1195" s="162">
        <f t="shared" si="5768"/>
        <v>3.2080000000000108E-2</v>
      </c>
      <c r="AX1195" s="162">
        <f t="shared" si="5768"/>
        <v>3.2080000000000108E-2</v>
      </c>
      <c r="AY1195" s="162">
        <f t="shared" si="5768"/>
        <v>3.2080000000000108E-2</v>
      </c>
      <c r="AZ1195" s="162">
        <f t="shared" si="5768"/>
        <v>3.2080000000000108E-2</v>
      </c>
      <c r="BA1195" s="162">
        <f t="shared" si="5768"/>
        <v>3.2080000000000108E-2</v>
      </c>
      <c r="BB1195" s="162">
        <f t="shared" si="5768"/>
        <v>3.2080000000000108E-2</v>
      </c>
      <c r="BC1195" s="162">
        <f t="shared" si="5769"/>
        <v>3.2079999999999886E-2</v>
      </c>
      <c r="BD1195" s="162">
        <f t="shared" si="5769"/>
        <v>3.2080000000000108E-2</v>
      </c>
      <c r="BE1195" s="162">
        <f t="shared" si="5769"/>
        <v>3.2080000000000108E-2</v>
      </c>
      <c r="BF1195" s="162">
        <f t="shared" si="5769"/>
        <v>3.208000000000033E-2</v>
      </c>
      <c r="BG1195" s="162">
        <f t="shared" si="5769"/>
        <v>3.2080000000000108E-2</v>
      </c>
      <c r="BH1195" s="162">
        <f t="shared" si="5769"/>
        <v>3.2080000000000108E-2</v>
      </c>
      <c r="BI1195" s="162">
        <f t="shared" si="5769"/>
        <v>3.2080000000000108E-2</v>
      </c>
      <c r="BJ1195" s="162">
        <f t="shared" si="5769"/>
        <v>3.2080000000000108E-2</v>
      </c>
      <c r="BK1195" s="162">
        <f t="shared" si="5769"/>
        <v>3.2080000000000108E-2</v>
      </c>
      <c r="BL1195" s="162">
        <f t="shared" si="5769"/>
        <v>3.2080000000000108E-2</v>
      </c>
      <c r="BM1195" s="162">
        <f t="shared" si="5770"/>
        <v>3.2080000000000108E-2</v>
      </c>
      <c r="BN1195" s="162">
        <f t="shared" si="5770"/>
        <v>3.2080000000000108E-2</v>
      </c>
      <c r="BO1195" s="162">
        <f t="shared" si="5770"/>
        <v>3.208000000000033E-2</v>
      </c>
      <c r="BP1195" s="162">
        <f t="shared" si="5770"/>
        <v>3.2080000000000108E-2</v>
      </c>
      <c r="BQ1195" s="162">
        <f t="shared" si="5770"/>
        <v>3.2080000000000108E-2</v>
      </c>
      <c r="BR1195" s="162">
        <f t="shared" si="5770"/>
        <v>3.2080000000000108E-2</v>
      </c>
    </row>
    <row r="1196" spans="2:70" outlineLevel="1">
      <c r="C1196" s="84" t="s">
        <v>543</v>
      </c>
      <c r="D1196" s="31" t="s">
        <v>66</v>
      </c>
      <c r="E1196" s="31"/>
      <c r="F1196" s="31"/>
      <c r="G1196" s="655"/>
      <c r="H1196" s="655"/>
      <c r="I1196" s="655"/>
      <c r="J1196" s="655"/>
      <c r="K1196" s="655"/>
      <c r="L1196" s="655"/>
      <c r="M1196" s="655"/>
      <c r="N1196" s="31"/>
      <c r="O1196" s="31"/>
      <c r="P1196" s="30"/>
      <c r="Q1196" s="30"/>
      <c r="R1196" s="30"/>
      <c r="S1196" s="796"/>
      <c r="T1196" s="796"/>
      <c r="U1196" s="388"/>
      <c r="V1196" s="46">
        <f>V1190/S1190-1</f>
        <v>0.58426635238656432</v>
      </c>
      <c r="W1196" s="796"/>
      <c r="X1196" s="388"/>
      <c r="Y1196" s="46">
        <f t="shared" si="5766"/>
        <v>-0.42842559874361996</v>
      </c>
      <c r="Z1196" s="159">
        <f t="shared" si="5766"/>
        <v>0.13139375057271163</v>
      </c>
      <c r="AA1196" s="443">
        <f t="shared" si="5766"/>
        <v>0.26452580636945733</v>
      </c>
      <c r="AB1196" s="46">
        <f t="shared" si="5766"/>
        <v>0.19516760544030776</v>
      </c>
      <c r="AC1196" s="159">
        <f t="shared" si="5766"/>
        <v>3.3389587243505714E-2</v>
      </c>
      <c r="AD1196" s="443">
        <f t="shared" si="5766"/>
        <v>0.37980148719408047</v>
      </c>
      <c r="AE1196" s="46">
        <f t="shared" si="5766"/>
        <v>0.20896015632857745</v>
      </c>
      <c r="AF1196" s="838">
        <v>-7.3999999999999996E-2</v>
      </c>
      <c r="AG1196" s="984">
        <f t="shared" si="5766"/>
        <v>-1.3862739797132151E-2</v>
      </c>
      <c r="AH1196" s="162">
        <f t="shared" si="5766"/>
        <v>-3.92137852951846E-2</v>
      </c>
      <c r="AI1196" s="162">
        <f t="shared" si="5767"/>
        <v>2.6847785531003421E-2</v>
      </c>
      <c r="AJ1196" s="162">
        <f t="shared" si="5767"/>
        <v>2.3540036073975257E-2</v>
      </c>
      <c r="AK1196" s="162">
        <f t="shared" si="5767"/>
        <v>2.4883942612204724E-2</v>
      </c>
      <c r="AL1196" s="162">
        <f t="shared" si="5767"/>
        <v>1.584312739444349E-2</v>
      </c>
      <c r="AM1196" s="162">
        <f t="shared" si="5767"/>
        <v>9.3502701657246501E-3</v>
      </c>
      <c r="AN1196" s="162">
        <f t="shared" si="5767"/>
        <v>1.1993309918944206E-2</v>
      </c>
      <c r="AO1196" s="162">
        <f t="shared" si="5767"/>
        <v>1.0203252868408619E-2</v>
      </c>
      <c r="AP1196" s="162">
        <f t="shared" si="5767"/>
        <v>9.6265864595861395E-3</v>
      </c>
      <c r="AQ1196" s="162">
        <f t="shared" si="5767"/>
        <v>9.8622223834445855E-3</v>
      </c>
      <c r="AR1196" s="162">
        <f t="shared" si="5767"/>
        <v>1.0487447245857817E-2</v>
      </c>
      <c r="AS1196" s="162">
        <f t="shared" si="5768"/>
        <v>9.9056140704631979E-3</v>
      </c>
      <c r="AT1196" s="162">
        <f t="shared" si="5768"/>
        <v>1.014344151221902E-2</v>
      </c>
      <c r="AU1196" s="162">
        <f t="shared" si="5768"/>
        <v>1.0773943641971817E-2</v>
      </c>
      <c r="AV1196" s="162">
        <f t="shared" si="5768"/>
        <v>1.0187224660818783E-2</v>
      </c>
      <c r="AW1196" s="162">
        <f t="shared" si="5768"/>
        <v>1.042713087454894E-2</v>
      </c>
      <c r="AX1196" s="162">
        <f t="shared" si="5768"/>
        <v>1.1062597635117299E-2</v>
      </c>
      <c r="AY1196" s="162">
        <f t="shared" si="5768"/>
        <v>1.0471284405205061E-2</v>
      </c>
      <c r="AZ1196" s="162">
        <f t="shared" si="5768"/>
        <v>1.0713152171083928E-2</v>
      </c>
      <c r="BA1196" s="162">
        <f t="shared" si="5768"/>
        <v>1.1353260034548285E-2</v>
      </c>
      <c r="BB1196" s="162">
        <f t="shared" si="5768"/>
        <v>1.0757654201781097E-2</v>
      </c>
      <c r="BC1196" s="162">
        <f t="shared" si="5769"/>
        <v>1.1001362022951655E-2</v>
      </c>
      <c r="BD1196" s="162">
        <f t="shared" si="5769"/>
        <v>1.1645777160745663E-2</v>
      </c>
      <c r="BE1196" s="162">
        <f t="shared" si="5769"/>
        <v>1.1046189907037762E-2</v>
      </c>
      <c r="BF1196" s="162">
        <f t="shared" si="5769"/>
        <v>1.1291612225624137E-2</v>
      </c>
      <c r="BG1196" s="162">
        <f t="shared" si="5769"/>
        <v>1.1939991146558526E-2</v>
      </c>
      <c r="BH1196" s="162">
        <f t="shared" si="5769"/>
        <v>1.1336742593116567E-2</v>
      </c>
      <c r="BI1196" s="162">
        <f t="shared" si="5769"/>
        <v>1.1583750024725559E-2</v>
      </c>
      <c r="BJ1196" s="162">
        <f t="shared" si="5769"/>
        <v>1.2235740258039751E-2</v>
      </c>
      <c r="BK1196" s="162">
        <f t="shared" si="5769"/>
        <v>1.1629158826936381E-2</v>
      </c>
      <c r="BL1196" s="162">
        <f t="shared" si="5769"/>
        <v>1.1877618412862834E-2</v>
      </c>
      <c r="BM1196" s="162">
        <f t="shared" si="5770"/>
        <v>1.2532859233690186E-2</v>
      </c>
      <c r="BN1196" s="162">
        <f t="shared" si="5770"/>
        <v>1.1923280970189021E-2</v>
      </c>
      <c r="BO1196" s="162">
        <f t="shared" si="5770"/>
        <v>1.2173056446393549E-2</v>
      </c>
      <c r="BP1196" s="162">
        <f t="shared" si="5770"/>
        <v>1.2831179640705459E-2</v>
      </c>
      <c r="BQ1196" s="162">
        <f t="shared" si="5770"/>
        <v>1.2218947499088362E-2</v>
      </c>
      <c r="BR1196" s="162">
        <f t="shared" si="5770"/>
        <v>1.2469899580891175E-2</v>
      </c>
    </row>
    <row r="1197" spans="2:70" outlineLevel="1">
      <c r="C1197" s="84" t="s">
        <v>100</v>
      </c>
      <c r="D1197" s="31" t="s">
        <v>66</v>
      </c>
      <c r="E1197" s="31"/>
      <c r="F1197" s="31"/>
      <c r="G1197" s="655"/>
      <c r="H1197" s="655"/>
      <c r="I1197" s="655"/>
      <c r="J1197" s="655"/>
      <c r="K1197" s="655"/>
      <c r="L1197" s="655"/>
      <c r="M1197" s="655"/>
      <c r="N1197" s="31"/>
      <c r="O1197" s="31"/>
      <c r="P1197" s="30"/>
      <c r="Q1197" s="30"/>
      <c r="R1197" s="30"/>
      <c r="S1197" s="119"/>
      <c r="T1197" s="119"/>
      <c r="U1197" s="714"/>
      <c r="V1197" s="119"/>
      <c r="W1197" s="119"/>
      <c r="X1197" s="714"/>
      <c r="Y1197" s="119"/>
      <c r="Z1197" s="119"/>
      <c r="AA1197" s="714"/>
      <c r="AB1197" s="119"/>
      <c r="AC1197" s="159">
        <f t="shared" ref="AC1197" si="5771">AC1191/Z1191-1</f>
        <v>0.1914893617021276</v>
      </c>
      <c r="AD1197" s="443">
        <f t="shared" ref="AD1197" si="5772">AD1191/AA1191-1</f>
        <v>0.4538152610441768</v>
      </c>
      <c r="AE1197" s="46">
        <f t="shared" ref="AE1197" si="5773">AE1191/AB1191-1</f>
        <v>0.32644628099173545</v>
      </c>
      <c r="AF1197" s="162">
        <f t="shared" ref="AF1197" si="5774">AF1191/AC1191-1</f>
        <v>0.20714285714285707</v>
      </c>
      <c r="AG1197" s="984">
        <f t="shared" ref="AG1197" si="5775">AG1191/AD1191-1</f>
        <v>2.6499999999999968E-2</v>
      </c>
      <c r="AH1197" s="162">
        <f t="shared" ref="AH1197" si="5776">AH1191/AE1191-1</f>
        <v>2.6089999999999947E-2</v>
      </c>
      <c r="AI1197" s="162">
        <f t="shared" ref="AI1197" si="5777">AI1191/AF1191-1</f>
        <v>2.2340000000000027E-2</v>
      </c>
      <c r="AJ1197" s="162">
        <f t="shared" ref="AJ1197" si="5778">AJ1191/AG1191-1</f>
        <v>1.9919999999999938E-2</v>
      </c>
      <c r="AK1197" s="162">
        <f t="shared" ref="AK1197" si="5779">AK1191/AH1191-1</f>
        <v>2.1130000000000093E-2</v>
      </c>
      <c r="AL1197" s="162">
        <f t="shared" ref="AL1197" si="5780">AL1191/AI1191-1</f>
        <v>1.8000000000000016E-2</v>
      </c>
      <c r="AM1197" s="162">
        <f t="shared" ref="AM1197" si="5781">AM1191/AJ1191-1</f>
        <v>1.2080000000000091E-2</v>
      </c>
      <c r="AN1197" s="162">
        <f t="shared" ref="AN1197" si="5782">AN1191/AK1191-1</f>
        <v>1.5039999999999942E-2</v>
      </c>
      <c r="AO1197" s="162">
        <f t="shared" ref="AO1197" si="5783">AO1191/AL1191-1</f>
        <v>1.2080000000000091E-2</v>
      </c>
      <c r="AP1197" s="162">
        <f t="shared" ref="AP1197" si="5784">AP1191/AM1191-1</f>
        <v>1.2080000000000091E-2</v>
      </c>
      <c r="AQ1197" s="162">
        <f t="shared" ref="AQ1197" si="5785">AQ1191/AN1191-1</f>
        <v>1.2080000000000091E-2</v>
      </c>
      <c r="AR1197" s="162">
        <f t="shared" ref="AR1197" si="5786">AR1191/AO1191-1</f>
        <v>1.2080000000000091E-2</v>
      </c>
      <c r="AS1197" s="162">
        <f t="shared" ref="AS1197" si="5787">AS1191/AP1191-1</f>
        <v>1.2080000000000091E-2</v>
      </c>
      <c r="AT1197" s="162">
        <f t="shared" ref="AT1197" si="5788">AT1191/AQ1191-1</f>
        <v>1.2080000000000091E-2</v>
      </c>
      <c r="AU1197" s="162">
        <f t="shared" ref="AU1197" si="5789">AU1191/AR1191-1</f>
        <v>1.2080000000000091E-2</v>
      </c>
      <c r="AV1197" s="162">
        <f t="shared" ref="AV1197" si="5790">AV1191/AS1191-1</f>
        <v>1.2080000000000091E-2</v>
      </c>
      <c r="AW1197" s="162">
        <f t="shared" ref="AW1197" si="5791">AW1191/AT1191-1</f>
        <v>1.2080000000000091E-2</v>
      </c>
      <c r="AX1197" s="162">
        <f t="shared" ref="AX1197" si="5792">AX1191/AU1191-1</f>
        <v>1.2080000000000091E-2</v>
      </c>
      <c r="AY1197" s="162">
        <f t="shared" ref="AY1197" si="5793">AY1191/AV1191-1</f>
        <v>1.2080000000000091E-2</v>
      </c>
      <c r="AZ1197" s="162">
        <f t="shared" ref="AZ1197" si="5794">AZ1191/AW1191-1</f>
        <v>1.2080000000000091E-2</v>
      </c>
      <c r="BA1197" s="162">
        <f t="shared" ref="BA1197" si="5795">BA1191/AX1191-1</f>
        <v>1.2080000000000091E-2</v>
      </c>
      <c r="BB1197" s="162">
        <f t="shared" ref="BB1197" si="5796">BB1191/AY1191-1</f>
        <v>1.2080000000000091E-2</v>
      </c>
      <c r="BC1197" s="162">
        <f t="shared" ref="BC1197" si="5797">BC1191/AZ1191-1</f>
        <v>1.2080000000000091E-2</v>
      </c>
      <c r="BD1197" s="162">
        <f t="shared" ref="BD1197" si="5798">BD1191/BA1191-1</f>
        <v>1.2080000000000091E-2</v>
      </c>
      <c r="BE1197" s="162">
        <f t="shared" ref="BE1197" si="5799">BE1191/BB1191-1</f>
        <v>1.2080000000000091E-2</v>
      </c>
      <c r="BF1197" s="162">
        <f t="shared" ref="BF1197" si="5800">BF1191/BC1191-1</f>
        <v>1.2080000000000091E-2</v>
      </c>
      <c r="BG1197" s="162">
        <f t="shared" ref="BG1197" si="5801">BG1191/BD1191-1</f>
        <v>1.2080000000000091E-2</v>
      </c>
      <c r="BH1197" s="162">
        <f t="shared" ref="BH1197" si="5802">BH1191/BE1191-1</f>
        <v>1.2080000000000091E-2</v>
      </c>
      <c r="BI1197" s="162">
        <f t="shared" ref="BI1197" si="5803">BI1191/BF1191-1</f>
        <v>1.2080000000000091E-2</v>
      </c>
      <c r="BJ1197" s="162">
        <f t="shared" ref="BJ1197" si="5804">BJ1191/BG1191-1</f>
        <v>1.2080000000000091E-2</v>
      </c>
      <c r="BK1197" s="162">
        <f t="shared" ref="BK1197" si="5805">BK1191/BH1191-1</f>
        <v>1.2080000000000091E-2</v>
      </c>
      <c r="BL1197" s="162">
        <f t="shared" ref="BL1197" si="5806">BL1191/BI1191-1</f>
        <v>1.2080000000000091E-2</v>
      </c>
      <c r="BM1197" s="162">
        <f t="shared" ref="BM1197" si="5807">BM1191/BJ1191-1</f>
        <v>1.2080000000000091E-2</v>
      </c>
      <c r="BN1197" s="162">
        <f t="shared" ref="BN1197" si="5808">BN1191/BK1191-1</f>
        <v>1.2080000000000091E-2</v>
      </c>
      <c r="BO1197" s="162">
        <f t="shared" ref="BO1197" si="5809">BO1191/BL1191-1</f>
        <v>1.2080000000000091E-2</v>
      </c>
      <c r="BP1197" s="162">
        <f t="shared" ref="BP1197" si="5810">BP1191/BM1191-1</f>
        <v>1.2080000000000091E-2</v>
      </c>
      <c r="BQ1197" s="162">
        <f t="shared" ref="BQ1197" si="5811">BQ1191/BN1191-1</f>
        <v>1.2080000000000091E-2</v>
      </c>
      <c r="BR1197" s="162">
        <f t="shared" ref="BR1197" si="5812">BR1191/BO1191-1</f>
        <v>1.2080000000000091E-2</v>
      </c>
    </row>
    <row r="1198" spans="2:70" outlineLevel="1">
      <c r="C1198" s="820" t="s">
        <v>746</v>
      </c>
      <c r="D1198" s="31" t="s">
        <v>66</v>
      </c>
      <c r="E1198" s="31"/>
      <c r="F1198" s="31"/>
      <c r="G1198" s="655"/>
      <c r="H1198" s="655"/>
      <c r="I1198" s="655"/>
      <c r="J1198" s="655"/>
      <c r="K1198" s="655"/>
      <c r="L1198" s="655"/>
      <c r="M1198" s="655"/>
      <c r="N1198" s="31"/>
      <c r="O1198" s="31"/>
      <c r="P1198" s="30"/>
      <c r="Q1198" s="30"/>
      <c r="R1198" s="30"/>
      <c r="S1198" s="119"/>
      <c r="T1198" s="119"/>
      <c r="U1198" s="714"/>
      <c r="V1198" s="119"/>
      <c r="W1198" s="119"/>
      <c r="X1198" s="714"/>
      <c r="Y1198" s="119"/>
      <c r="Z1198" s="119"/>
      <c r="AA1198" s="714"/>
      <c r="AB1198" s="119"/>
      <c r="AC1198" s="159">
        <f t="shared" ref="AC1198" si="5813">AC1192/Z1192-1</f>
        <v>3.7192674601616904E-2</v>
      </c>
      <c r="AD1198" s="443">
        <f t="shared" ref="AD1198" si="5814">AD1192/AA1192-1</f>
        <v>0.38163576972897939</v>
      </c>
      <c r="AE1198" s="46">
        <f t="shared" ref="AE1198" si="5815">AE1192/AB1192-1</f>
        <v>0.21182964813272886</v>
      </c>
      <c r="AF1198" s="162">
        <f t="shared" ref="AF1198" si="5816">AF1192/AC1192-1</f>
        <v>-6.6231040930812446E-2</v>
      </c>
      <c r="AG1198" s="984">
        <f t="shared" ref="AG1198" si="5817">AG1192/AD1192-1</f>
        <v>-1.2810172250513063E-2</v>
      </c>
      <c r="AH1198" s="162">
        <f t="shared" ref="AH1198" si="5818">AH1192/AE1192-1</f>
        <v>-3.7467943611388166E-2</v>
      </c>
      <c r="AI1198" s="162">
        <f t="shared" ref="AI1198" si="5819">AI1192/AF1192-1</f>
        <v>2.6686751278861776E-2</v>
      </c>
      <c r="AJ1198" s="162">
        <f t="shared" ref="AJ1198" si="5820">AJ1192/AG1192-1</f>
        <v>2.3441874725077749E-2</v>
      </c>
      <c r="AK1198" s="162">
        <f t="shared" ref="AK1198" si="5821">AK1192/AH1192-1</f>
        <v>2.4776957244205589E-2</v>
      </c>
      <c r="AL1198" s="162">
        <f t="shared" ref="AL1198" si="5822">AL1192/AI1192-1</f>
        <v>1.591985239592919E-2</v>
      </c>
      <c r="AM1198" s="162">
        <f t="shared" ref="AM1198" si="5823">AM1192/AJ1192-1</f>
        <v>9.424035142733489E-3</v>
      </c>
      <c r="AN1198" s="162">
        <f t="shared" ref="AN1198" si="5824">AN1192/AK1192-1</f>
        <v>1.2079829960338406E-2</v>
      </c>
      <c r="AO1198" s="162">
        <f t="shared" ref="AO1198" si="5825">AO1192/AL1192-1</f>
        <v>1.0270149846912435E-2</v>
      </c>
      <c r="AP1198" s="162">
        <f t="shared" ref="AP1198" si="5826">AP1192/AM1192-1</f>
        <v>9.6930590348134338E-3</v>
      </c>
      <c r="AQ1198" s="162">
        <f t="shared" ref="AQ1198" si="5827">AQ1192/AN1192-1</f>
        <v>9.9253871394728854E-3</v>
      </c>
      <c r="AR1198" s="162">
        <f t="shared" ref="AR1198" si="5828">AR1192/AO1192-1</f>
        <v>1.054431576127568E-2</v>
      </c>
      <c r="AS1198" s="162">
        <f t="shared" ref="AS1198" si="5829">AS1192/AP1192-1</f>
        <v>9.9646659666217108E-3</v>
      </c>
      <c r="AT1198" s="162">
        <f t="shared" ref="AT1198" si="5830">AT1192/AQ1192-1</f>
        <v>1.0198714507303919E-2</v>
      </c>
      <c r="AU1198" s="162">
        <f t="shared" ref="AU1198" si="5831">AU1192/AR1192-1</f>
        <v>1.0820652522679275E-2</v>
      </c>
      <c r="AV1198" s="162">
        <f t="shared" ref="AV1198" si="5832">AV1192/AS1192-1</f>
        <v>1.0238736250167024E-2</v>
      </c>
      <c r="AW1198" s="162">
        <f t="shared" ref="AW1198" si="5833">AW1192/AT1192-1</f>
        <v>1.0474394700999534E-2</v>
      </c>
      <c r="AX1198" s="162">
        <f t="shared" ref="AX1198" si="5834">AX1192/AU1192-1</f>
        <v>1.1099028629171226E-2</v>
      </c>
      <c r="AY1198" s="162">
        <f t="shared" ref="AY1198" si="5835">AY1192/AV1192-1</f>
        <v>1.0515145147626415E-2</v>
      </c>
      <c r="AZ1198" s="162">
        <f t="shared" ref="AZ1198" si="5836">AZ1192/AW1192-1</f>
        <v>1.0752299317351222E-2</v>
      </c>
      <c r="BA1198" s="162">
        <f t="shared" ref="BA1198" si="5837">BA1192/AX1192-1</f>
        <v>1.1379308279799716E-2</v>
      </c>
      <c r="BB1198" s="162">
        <f t="shared" ref="BB1198" si="5838">BB1192/AY1192-1</f>
        <v>1.0793763060509276E-2</v>
      </c>
      <c r="BC1198" s="162">
        <f t="shared" ref="BC1198" si="5839">BC1192/AZ1192-1</f>
        <v>1.1032295287303207E-2</v>
      </c>
      <c r="BD1198" s="162">
        <f t="shared" ref="BD1198" si="5840">BD1192/BA1192-1</f>
        <v>1.166135161615256E-2</v>
      </c>
      <c r="BE1198" s="162">
        <f t="shared" ref="BE1198" si="5841">BE1192/BB1192-1</f>
        <v>1.1074455739443101E-2</v>
      </c>
      <c r="BF1198" s="162">
        <f t="shared" ref="BF1198" si="5842">BF1192/BC1192-1</f>
        <v>1.1314245101481823E-2</v>
      </c>
      <c r="BG1198" s="162">
        <f t="shared" ref="BG1198" si="5843">BG1192/BD1192-1</f>
        <v>1.1945014981818103E-2</v>
      </c>
      <c r="BH1198" s="162">
        <f t="shared" ref="BH1198" si="5844">BH1192/BE1192-1</f>
        <v>1.1357084514054705E-2</v>
      </c>
      <c r="BI1198" s="162">
        <f t="shared" ref="BI1198" si="5845">BI1192/BF1192-1</f>
        <v>1.1598007055154458E-2</v>
      </c>
      <c r="BJ1198" s="162">
        <f t="shared" ref="BJ1198" si="5846">BJ1192/BG1192-1</f>
        <v>1.2230151198863393E-2</v>
      </c>
      <c r="BK1198" s="162">
        <f t="shared" ref="BK1198" si="5847">BK1192/BH1192-1</f>
        <v>1.1641506542281244E-2</v>
      </c>
      <c r="BL1198" s="162">
        <f t="shared" ref="BL1198" si="5848">BL1192/BI1192-1</f>
        <v>1.1883435511842233E-2</v>
      </c>
      <c r="BM1198" s="162">
        <f t="shared" ref="BM1198" si="5849">BM1192/BJ1192-1</f>
        <v>1.251660986029135E-2</v>
      </c>
      <c r="BN1198" s="162">
        <f t="shared" ref="BN1198" si="5850">BN1192/BK1192-1</f>
        <v>1.1927575078311214E-2</v>
      </c>
      <c r="BO1198" s="162">
        <f t="shared" ref="BO1198" si="5851">BO1192/BL1192-1</f>
        <v>1.2170381184669177E-2</v>
      </c>
      <c r="BP1198" s="162">
        <f t="shared" ref="BP1198" si="5852">BP1192/BM1192-1</f>
        <v>1.2804237637323412E-2</v>
      </c>
      <c r="BQ1198" s="162">
        <f t="shared" ref="BQ1198" si="5853">BQ1192/BN1192-1</f>
        <v>1.2215139758201321E-2</v>
      </c>
      <c r="BR1198" s="162">
        <f t="shared" ref="BR1198" si="5854">BR1192/BO1192-1</f>
        <v>1.2458691434395819E-2</v>
      </c>
    </row>
    <row r="1199" spans="2:70" outlineLevel="1">
      <c r="C1199" s="84"/>
      <c r="D1199" s="31"/>
      <c r="E1199" s="31"/>
      <c r="F1199" s="31"/>
      <c r="G1199" s="655"/>
      <c r="H1199" s="655"/>
      <c r="I1199" s="655"/>
      <c r="J1199" s="655"/>
      <c r="K1199" s="655"/>
      <c r="L1199" s="655"/>
      <c r="M1199" s="655"/>
      <c r="N1199" s="31"/>
      <c r="O1199" s="31"/>
      <c r="P1199" s="30"/>
      <c r="Q1199" s="30"/>
      <c r="R1199" s="30"/>
      <c r="S1199" s="119"/>
      <c r="T1199" s="119"/>
      <c r="U1199" s="714"/>
      <c r="V1199" s="119"/>
      <c r="W1199" s="119"/>
      <c r="X1199" s="714"/>
      <c r="Y1199" s="119"/>
      <c r="Z1199" s="119"/>
      <c r="AA1199" s="714"/>
      <c r="AB1199" s="119"/>
      <c r="AC1199" s="119"/>
      <c r="AD1199" s="714"/>
      <c r="AE1199" s="151"/>
      <c r="AF1199" s="715"/>
      <c r="AG1199" s="1044"/>
      <c r="AH1199" s="714"/>
      <c r="AI1199" s="714"/>
      <c r="AJ1199" s="714"/>
      <c r="AK1199" s="714"/>
      <c r="AL1199" s="714"/>
      <c r="AM1199" s="714"/>
      <c r="AN1199" s="714"/>
      <c r="AO1199" s="714"/>
      <c r="AP1199" s="714"/>
      <c r="AQ1199" s="714"/>
      <c r="AR1199" s="714"/>
      <c r="AS1199" s="714"/>
      <c r="AT1199" s="714"/>
      <c r="AU1199" s="714"/>
      <c r="AV1199" s="714"/>
      <c r="AW1199" s="714"/>
      <c r="AX1199" s="714"/>
      <c r="AY1199" s="714"/>
      <c r="AZ1199" s="714"/>
      <c r="BA1199" s="714"/>
      <c r="BB1199" s="714"/>
      <c r="BC1199" s="714"/>
      <c r="BD1199" s="714"/>
      <c r="BE1199" s="714"/>
      <c r="BF1199" s="714"/>
      <c r="BG1199" s="714"/>
      <c r="BH1199" s="714"/>
      <c r="BI1199" s="714"/>
      <c r="BJ1199" s="714"/>
      <c r="BK1199" s="714"/>
      <c r="BL1199" s="714"/>
      <c r="BM1199" s="714"/>
      <c r="BN1199" s="714"/>
      <c r="BO1199" s="714"/>
      <c r="BP1199" s="714"/>
      <c r="BQ1199" s="714"/>
      <c r="BR1199" s="714"/>
    </row>
    <row r="1200" spans="2:70" outlineLevel="1">
      <c r="C1200" s="30" t="s">
        <v>544</v>
      </c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  <c r="Z1200" s="30"/>
      <c r="AA1200" s="30"/>
      <c r="AB1200" s="30"/>
      <c r="AC1200" s="30"/>
      <c r="AD1200" s="30"/>
      <c r="AE1200" s="168"/>
      <c r="AF1200" s="168"/>
      <c r="AG1200" s="964"/>
      <c r="AH1200" s="30"/>
      <c r="AI1200" s="30"/>
      <c r="AJ1200" s="30"/>
      <c r="AK1200" s="30"/>
      <c r="AL1200" s="30"/>
      <c r="AM1200" s="30"/>
      <c r="AN1200" s="30"/>
      <c r="AO1200" s="30"/>
      <c r="AP1200" s="30"/>
      <c r="AQ1200" s="30"/>
      <c r="AR1200" s="30"/>
      <c r="AS1200" s="30"/>
      <c r="AT1200" s="30"/>
      <c r="AU1200" s="30"/>
      <c r="AV1200" s="30"/>
      <c r="AW1200" s="30"/>
      <c r="AX1200" s="30"/>
      <c r="AY1200" s="30"/>
      <c r="AZ1200" s="30"/>
      <c r="BA1200" s="30"/>
      <c r="BB1200" s="30"/>
      <c r="BC1200" s="30"/>
      <c r="BD1200" s="30"/>
      <c r="BE1200" s="30"/>
      <c r="BF1200" s="30"/>
      <c r="BG1200" s="30"/>
      <c r="BH1200" s="30"/>
      <c r="BI1200" s="30"/>
      <c r="BJ1200" s="30"/>
      <c r="BK1200" s="30"/>
      <c r="BL1200" s="30"/>
      <c r="BM1200" s="30"/>
      <c r="BN1200" s="30"/>
      <c r="BO1200" s="30"/>
      <c r="BP1200" s="30"/>
      <c r="BQ1200" s="30"/>
      <c r="BR1200" s="30"/>
    </row>
    <row r="1201" spans="3:70" outlineLevel="1">
      <c r="C1201" s="684" t="s">
        <v>60</v>
      </c>
      <c r="D1201" s="31" t="s">
        <v>66</v>
      </c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0"/>
      <c r="Q1201" s="30"/>
      <c r="R1201" s="30"/>
      <c r="S1201" s="213">
        <v>0.62</v>
      </c>
      <c r="T1201" s="30"/>
      <c r="U1201" s="30"/>
      <c r="V1201" s="213">
        <v>0.75</v>
      </c>
      <c r="W1201" s="213">
        <v>0.63</v>
      </c>
      <c r="X1201" s="388">
        <f>X1188/X$1190</f>
        <v>0.46299481447606067</v>
      </c>
      <c r="Y1201" s="213">
        <v>0.55000000000000004</v>
      </c>
      <c r="Z1201" s="213">
        <v>0.65</v>
      </c>
      <c r="AA1201" s="388">
        <f>AA1188/AA$1190</f>
        <v>0.55134681975578637</v>
      </c>
      <c r="AB1201" s="213">
        <v>0.6</v>
      </c>
      <c r="AC1201" s="213">
        <v>0.62</v>
      </c>
      <c r="AD1201" s="388">
        <f>AD1188/AD$1190</f>
        <v>0.65457534009559448</v>
      </c>
      <c r="AE1201" s="393">
        <v>0.64</v>
      </c>
      <c r="AF1201" s="393">
        <v>0.66</v>
      </c>
      <c r="AG1201" s="969">
        <f t="shared" ref="AG1201:BR1201" si="5855">AG1188/AG1190</f>
        <v>0.66145388956408779</v>
      </c>
      <c r="AH1201" s="48">
        <f t="shared" si="5855"/>
        <v>0.65489599868549553</v>
      </c>
      <c r="AI1201" s="48">
        <f t="shared" si="5855"/>
        <v>0.63305350301590135</v>
      </c>
      <c r="AJ1201" s="48">
        <f t="shared" si="5855"/>
        <v>0.64942085240787017</v>
      </c>
      <c r="AK1201" s="48">
        <f t="shared" si="5855"/>
        <v>0.64275821474713957</v>
      </c>
      <c r="AL1201" s="48">
        <f t="shared" si="5855"/>
        <v>0.62504991804546828</v>
      </c>
      <c r="AM1201" s="48">
        <f t="shared" si="5855"/>
        <v>0.64152610115467901</v>
      </c>
      <c r="AN1201" s="48">
        <f t="shared" si="5855"/>
        <v>0.63479364618729728</v>
      </c>
      <c r="AO1201" s="48">
        <f t="shared" si="5855"/>
        <v>0.61693007868977645</v>
      </c>
      <c r="AP1201" s="48">
        <f t="shared" si="5855"/>
        <v>0.63355388370105248</v>
      </c>
      <c r="AQ1201" s="48">
        <f t="shared" si="5855"/>
        <v>0.6267588139366036</v>
      </c>
      <c r="AR1201" s="48">
        <f t="shared" si="5855"/>
        <v>0.6087444673722282</v>
      </c>
      <c r="AS1201" s="48">
        <f t="shared" si="5855"/>
        <v>0.62550786683375148</v>
      </c>
      <c r="AT1201" s="48">
        <f t="shared" si="5855"/>
        <v>0.61865340358431598</v>
      </c>
      <c r="AU1201" s="48">
        <f t="shared" si="5855"/>
        <v>0.60049721042521853</v>
      </c>
      <c r="AV1201" s="48">
        <f t="shared" si="5855"/>
        <v>0.61739187413699947</v>
      </c>
      <c r="AW1201" s="48">
        <f t="shared" si="5855"/>
        <v>0.61048136654045904</v>
      </c>
      <c r="AX1201" s="48">
        <f t="shared" si="5855"/>
        <v>0.59219257044147688</v>
      </c>
      <c r="AY1201" s="48">
        <f t="shared" si="5855"/>
        <v>0.60920987994911147</v>
      </c>
      <c r="AZ1201" s="48">
        <f t="shared" si="5855"/>
        <v>0.60224679934423764</v>
      </c>
      <c r="BA1201" s="48">
        <f t="shared" si="5855"/>
        <v>0.58383493826441735</v>
      </c>
      <c r="BB1201" s="48">
        <f t="shared" si="5855"/>
        <v>0.60096600265605948</v>
      </c>
      <c r="BC1201" s="48">
        <f t="shared" si="5855"/>
        <v>0.59395393641074068</v>
      </c>
      <c r="BD1201" s="48">
        <f t="shared" si="5855"/>
        <v>0.57542882438403897</v>
      </c>
      <c r="BE1201" s="48">
        <f t="shared" si="5855"/>
        <v>0.59266449733953208</v>
      </c>
      <c r="BF1201" s="48">
        <f t="shared" si="5855"/>
        <v>0.58560714215069964</v>
      </c>
      <c r="BG1201" s="48">
        <f t="shared" si="5855"/>
        <v>0.56697884977029434</v>
      </c>
      <c r="BH1201" s="48">
        <f t="shared" si="5855"/>
        <v>0.58430974780182265</v>
      </c>
      <c r="BI1201" s="48">
        <f t="shared" si="5855"/>
        <v>0.57721090248963358</v>
      </c>
      <c r="BJ1201" s="48">
        <f t="shared" si="5855"/>
        <v>0.55848973618028197</v>
      </c>
      <c r="BK1201" s="48">
        <f t="shared" si="5855"/>
        <v>0.57590625799459561</v>
      </c>
      <c r="BL1201" s="48">
        <f t="shared" si="5855"/>
        <v>0.5687698158173311</v>
      </c>
      <c r="BM1201" s="48">
        <f t="shared" si="5855"/>
        <v>0.54996629597984603</v>
      </c>
      <c r="BN1201" s="48">
        <f t="shared" si="5855"/>
        <v>0.56745864288319281</v>
      </c>
      <c r="BO1201" s="48">
        <f t="shared" si="5855"/>
        <v>0.56028858340310861</v>
      </c>
      <c r="BP1201" s="48">
        <f t="shared" si="5855"/>
        <v>0.54141342152411998</v>
      </c>
      <c r="BQ1201" s="48">
        <f t="shared" si="5855"/>
        <v>0.55897161878258905</v>
      </c>
      <c r="BR1201" s="48">
        <f t="shared" si="5855"/>
        <v>0.55177199931654664</v>
      </c>
    </row>
    <row r="1202" spans="3:70" outlineLevel="1">
      <c r="C1202" s="684" t="s">
        <v>733</v>
      </c>
      <c r="D1202" s="31" t="s">
        <v>66</v>
      </c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0"/>
      <c r="Q1202" s="30"/>
      <c r="R1202" s="30"/>
      <c r="S1202" s="213">
        <v>0.38</v>
      </c>
      <c r="T1202" s="30"/>
      <c r="U1202" s="30"/>
      <c r="V1202" s="213">
        <v>0.25</v>
      </c>
      <c r="W1202" s="213">
        <v>0.37</v>
      </c>
      <c r="X1202" s="388">
        <f>X1189/X$1190</f>
        <v>0.53700518552393939</v>
      </c>
      <c r="Y1202" s="213">
        <v>0.45</v>
      </c>
      <c r="Z1202" s="213">
        <v>0.35</v>
      </c>
      <c r="AA1202" s="388">
        <f>AA1189/AA$1190</f>
        <v>0.44865318024421363</v>
      </c>
      <c r="AB1202" s="213">
        <v>0.4</v>
      </c>
      <c r="AC1202" s="213">
        <v>0.38</v>
      </c>
      <c r="AD1202" s="388">
        <f>AD1189/AD$1190</f>
        <v>0.34542465990440557</v>
      </c>
      <c r="AE1202" s="393">
        <v>0.36</v>
      </c>
      <c r="AF1202" s="393">
        <f>1-AF1201</f>
        <v>0.33999999999999997</v>
      </c>
      <c r="AG1202" s="969">
        <f t="shared" ref="AG1202:BR1202" si="5856">AG1189/AG1190</f>
        <v>0.33854611043591221</v>
      </c>
      <c r="AH1202" s="48">
        <f t="shared" si="5856"/>
        <v>0.34510400131450442</v>
      </c>
      <c r="AI1202" s="48">
        <f t="shared" si="5856"/>
        <v>0.3669464969840987</v>
      </c>
      <c r="AJ1202" s="48">
        <f t="shared" si="5856"/>
        <v>0.35057914759212983</v>
      </c>
      <c r="AK1202" s="48">
        <f t="shared" si="5856"/>
        <v>0.35724178525286038</v>
      </c>
      <c r="AL1202" s="48">
        <f t="shared" si="5856"/>
        <v>0.37495008195453172</v>
      </c>
      <c r="AM1202" s="48">
        <f t="shared" si="5856"/>
        <v>0.35847389884532099</v>
      </c>
      <c r="AN1202" s="48">
        <f t="shared" si="5856"/>
        <v>0.36520635381270278</v>
      </c>
      <c r="AO1202" s="48">
        <f t="shared" si="5856"/>
        <v>0.38306992131022355</v>
      </c>
      <c r="AP1202" s="48">
        <f t="shared" si="5856"/>
        <v>0.36644611629894758</v>
      </c>
      <c r="AQ1202" s="48">
        <f t="shared" si="5856"/>
        <v>0.37324118606339646</v>
      </c>
      <c r="AR1202" s="48">
        <f t="shared" si="5856"/>
        <v>0.39125553262777174</v>
      </c>
      <c r="AS1202" s="48">
        <f t="shared" si="5856"/>
        <v>0.37449213316624841</v>
      </c>
      <c r="AT1202" s="48">
        <f t="shared" si="5856"/>
        <v>0.38134659641568397</v>
      </c>
      <c r="AU1202" s="48">
        <f t="shared" si="5856"/>
        <v>0.39950278957478147</v>
      </c>
      <c r="AV1202" s="48">
        <f t="shared" si="5856"/>
        <v>0.38260812586300053</v>
      </c>
      <c r="AW1202" s="48">
        <f t="shared" si="5856"/>
        <v>0.38951863345954107</v>
      </c>
      <c r="AX1202" s="48">
        <f t="shared" si="5856"/>
        <v>0.40780742955852306</v>
      </c>
      <c r="AY1202" s="48">
        <f t="shared" si="5856"/>
        <v>0.39079012005088853</v>
      </c>
      <c r="AZ1202" s="48">
        <f t="shared" si="5856"/>
        <v>0.39775320065576231</v>
      </c>
      <c r="BA1202" s="48">
        <f t="shared" si="5856"/>
        <v>0.4161650617355826</v>
      </c>
      <c r="BB1202" s="48">
        <f t="shared" si="5856"/>
        <v>0.39903399734394052</v>
      </c>
      <c r="BC1202" s="48">
        <f t="shared" si="5856"/>
        <v>0.40604606358925927</v>
      </c>
      <c r="BD1202" s="48">
        <f t="shared" si="5856"/>
        <v>0.42457117561596092</v>
      </c>
      <c r="BE1202" s="48">
        <f t="shared" si="5856"/>
        <v>0.40733550266046792</v>
      </c>
      <c r="BF1202" s="48">
        <f t="shared" si="5856"/>
        <v>0.41439285784930036</v>
      </c>
      <c r="BG1202" s="48">
        <f t="shared" si="5856"/>
        <v>0.43302115022970572</v>
      </c>
      <c r="BH1202" s="48">
        <f t="shared" si="5856"/>
        <v>0.41569025219817735</v>
      </c>
      <c r="BI1202" s="48">
        <f t="shared" si="5856"/>
        <v>0.42278909751036653</v>
      </c>
      <c r="BJ1202" s="48">
        <f t="shared" si="5856"/>
        <v>0.44151026381971803</v>
      </c>
      <c r="BK1202" s="48">
        <f t="shared" si="5856"/>
        <v>0.42409374200540439</v>
      </c>
      <c r="BL1202" s="48">
        <f t="shared" si="5856"/>
        <v>0.43123018418266884</v>
      </c>
      <c r="BM1202" s="48">
        <f t="shared" si="5856"/>
        <v>0.45003370402015386</v>
      </c>
      <c r="BN1202" s="48">
        <f t="shared" si="5856"/>
        <v>0.43254135711680725</v>
      </c>
      <c r="BO1202" s="48">
        <f t="shared" si="5856"/>
        <v>0.43971141659689139</v>
      </c>
      <c r="BP1202" s="48">
        <f t="shared" si="5856"/>
        <v>0.45858657847587997</v>
      </c>
      <c r="BQ1202" s="48">
        <f t="shared" si="5856"/>
        <v>0.441028381217411</v>
      </c>
      <c r="BR1202" s="48">
        <f t="shared" si="5856"/>
        <v>0.44822800068345336</v>
      </c>
    </row>
    <row r="1203" spans="3:70" outlineLevel="1">
      <c r="C1203" s="684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0"/>
      <c r="Q1203" s="30"/>
      <c r="R1203" s="30"/>
      <c r="S1203" s="213"/>
      <c r="T1203" s="30"/>
      <c r="U1203" s="30"/>
      <c r="V1203" s="213"/>
      <c r="W1203" s="213"/>
      <c r="X1203" s="388"/>
      <c r="Y1203" s="213"/>
      <c r="Z1203" s="213"/>
      <c r="AA1203" s="388"/>
      <c r="AB1203" s="213"/>
      <c r="AC1203" s="213"/>
      <c r="AD1203" s="388"/>
      <c r="AE1203" s="393"/>
      <c r="AF1203" s="359"/>
      <c r="AG1203" s="969"/>
      <c r="AH1203" s="48"/>
      <c r="AI1203" s="48"/>
      <c r="AJ1203" s="48"/>
      <c r="AK1203" s="48"/>
      <c r="AL1203" s="48"/>
      <c r="AM1203" s="48"/>
      <c r="AN1203" s="48"/>
      <c r="AO1203" s="48"/>
      <c r="AP1203" s="48"/>
      <c r="AQ1203" s="48"/>
      <c r="AR1203" s="48"/>
      <c r="AS1203" s="48"/>
      <c r="AT1203" s="48"/>
      <c r="AU1203" s="48"/>
      <c r="AV1203" s="48"/>
      <c r="AW1203" s="48"/>
      <c r="AX1203" s="48"/>
      <c r="AY1203" s="48"/>
      <c r="AZ1203" s="48"/>
      <c r="BA1203" s="48"/>
      <c r="BB1203" s="48"/>
      <c r="BC1203" s="48"/>
      <c r="BD1203" s="48"/>
      <c r="BE1203" s="48"/>
      <c r="BF1203" s="48"/>
      <c r="BG1203" s="48"/>
      <c r="BH1203" s="48"/>
      <c r="BI1203" s="48"/>
      <c r="BJ1203" s="48"/>
      <c r="BK1203" s="48"/>
      <c r="BL1203" s="48"/>
      <c r="BM1203" s="48"/>
      <c r="BN1203" s="48"/>
      <c r="BO1203" s="48"/>
      <c r="BP1203" s="48"/>
      <c r="BQ1203" s="48"/>
      <c r="BR1203" s="48"/>
    </row>
    <row r="1204" spans="3:70" outlineLevel="1">
      <c r="C1204" s="8" t="s">
        <v>64</v>
      </c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</row>
    <row r="1205" spans="3:70" outlineLevel="1">
      <c r="C1205" s="9" t="s">
        <v>60</v>
      </c>
      <c r="D1205" s="31" t="s">
        <v>66</v>
      </c>
      <c r="E1205" s="374"/>
      <c r="F1205" s="48"/>
      <c r="G1205" s="374"/>
      <c r="H1205" s="374">
        <v>0.42</v>
      </c>
      <c r="I1205" s="48">
        <f>I1210/I$1231</f>
        <v>0.31236809815950911</v>
      </c>
      <c r="J1205" s="374">
        <v>0.36</v>
      </c>
      <c r="K1205" s="374">
        <v>0.36</v>
      </c>
      <c r="L1205" s="48">
        <f>L1210/L$1231</f>
        <v>0.39632585203657522</v>
      </c>
      <c r="M1205" s="374">
        <v>0.38</v>
      </c>
      <c r="N1205" s="374">
        <v>0.37</v>
      </c>
      <c r="O1205" s="48">
        <f>O1210/O$1231</f>
        <v>0.38886746987951804</v>
      </c>
      <c r="P1205" s="374">
        <v>0.38</v>
      </c>
      <c r="Q1205" s="374">
        <v>0.37</v>
      </c>
      <c r="R1205" s="48">
        <f>R1210/R$1231</f>
        <v>0.35148464163822518</v>
      </c>
      <c r="S1205" s="374">
        <v>0.36</v>
      </c>
      <c r="T1205" s="374">
        <v>0.37</v>
      </c>
      <c r="U1205" s="48">
        <f>U1210/U$1231</f>
        <v>0.33325217391304346</v>
      </c>
      <c r="V1205" s="374">
        <v>0.35</v>
      </c>
      <c r="W1205" s="374">
        <v>0.35</v>
      </c>
      <c r="X1205" s="48">
        <f>X1210/X$1231</f>
        <v>0.35</v>
      </c>
      <c r="Y1205" s="374">
        <v>0.35</v>
      </c>
      <c r="Z1205" s="374">
        <v>0.37</v>
      </c>
      <c r="AA1205" s="48">
        <f>AA1210/AA$1231</f>
        <v>0.3507749766573296</v>
      </c>
      <c r="AB1205" s="374">
        <v>0.36</v>
      </c>
      <c r="AC1205" s="14">
        <v>0.36</v>
      </c>
      <c r="AD1205" s="48">
        <f>AD1210/AD$1231</f>
        <v>0.28901117798796216</v>
      </c>
      <c r="AE1205" s="374">
        <v>0.3</v>
      </c>
      <c r="AF1205" s="374">
        <v>0.3</v>
      </c>
      <c r="AG1205" s="960">
        <f t="shared" ref="AG1205:AN1205" si="5857">AG1210/AG$1240</f>
        <v>0.26884857633277504</v>
      </c>
      <c r="AH1205" s="17">
        <f t="shared" si="5857"/>
        <v>0.27352520485083104</v>
      </c>
      <c r="AI1205" s="17">
        <f t="shared" si="5857"/>
        <v>0.29228869375218708</v>
      </c>
      <c r="AJ1205" s="17">
        <f t="shared" si="5857"/>
        <v>0.26222380415574159</v>
      </c>
      <c r="AK1205" s="17">
        <f t="shared" si="5857"/>
        <v>0.27536452294316438</v>
      </c>
      <c r="AL1205" s="17">
        <f t="shared" si="5857"/>
        <v>0.28742357382445</v>
      </c>
      <c r="AM1205" s="17">
        <f t="shared" si="5857"/>
        <v>0.25747528368157763</v>
      </c>
      <c r="AN1205" s="17">
        <f t="shared" si="5857"/>
        <v>0.27053926938831019</v>
      </c>
      <c r="AO1205" s="17">
        <f t="shared" ref="AO1205:BR1205" si="5858">AO1210/AO$1240</f>
        <v>0.28259761072123091</v>
      </c>
      <c r="AP1205" s="17">
        <f t="shared" si="5858"/>
        <v>0.25272869713270985</v>
      </c>
      <c r="AQ1205" s="17">
        <f t="shared" si="5858"/>
        <v>0.26580401607887483</v>
      </c>
      <c r="AR1205" s="17">
        <f t="shared" si="5858"/>
        <v>0.27776478343481514</v>
      </c>
      <c r="AS1205" s="17">
        <f t="shared" si="5858"/>
        <v>0.24802254691915537</v>
      </c>
      <c r="AT1205" s="17">
        <f t="shared" si="5858"/>
        <v>0.26103108463342556</v>
      </c>
      <c r="AU1205" s="17">
        <f t="shared" si="5858"/>
        <v>0.27296425554170961</v>
      </c>
      <c r="AV1205" s="17">
        <f t="shared" si="5858"/>
        <v>0.24335789282731046</v>
      </c>
      <c r="AW1205" s="17">
        <f t="shared" si="5858"/>
        <v>0.25629569163030747</v>
      </c>
      <c r="AX1205" s="17">
        <f t="shared" si="5858"/>
        <v>0.26819716650313252</v>
      </c>
      <c r="AY1205" s="17">
        <f t="shared" si="5858"/>
        <v>0.23873576156966378</v>
      </c>
      <c r="AZ1205" s="17">
        <f t="shared" si="5858"/>
        <v>0.25159892730728795</v>
      </c>
      <c r="BA1205" s="17">
        <f t="shared" si="5858"/>
        <v>0.26346463338359105</v>
      </c>
      <c r="BB1205" s="17">
        <f t="shared" si="5858"/>
        <v>0.23415714567307735</v>
      </c>
      <c r="BC1205" s="17">
        <f t="shared" si="5858"/>
        <v>0.24694185271315222</v>
      </c>
      <c r="BD1205" s="17">
        <f t="shared" si="5858"/>
        <v>0.25876774955577053</v>
      </c>
      <c r="BE1205" s="17">
        <f t="shared" si="5858"/>
        <v>0.22962300243444089</v>
      </c>
      <c r="BF1205" s="17">
        <f t="shared" si="5858"/>
        <v>0.24232549851534882</v>
      </c>
      <c r="BG1205" s="17">
        <f t="shared" si="5858"/>
        <v>0.25410758344380902</v>
      </c>
      <c r="BH1205" s="17">
        <f t="shared" si="5858"/>
        <v>0.22513425294621947</v>
      </c>
      <c r="BI1205" s="17">
        <f t="shared" si="5858"/>
        <v>0.23775086386446276</v>
      </c>
      <c r="BJ1205" s="17">
        <f t="shared" si="5858"/>
        <v>0.24948517730827435</v>
      </c>
      <c r="BK1205" s="17">
        <f t="shared" si="5858"/>
        <v>0.22069178119415506</v>
      </c>
      <c r="BL1205" s="17">
        <f t="shared" si="5858"/>
        <v>0.23321891531841454</v>
      </c>
      <c r="BM1205" s="17">
        <f t="shared" si="5858"/>
        <v>0.24490154607603506</v>
      </c>
      <c r="BN1205" s="17">
        <f t="shared" si="5858"/>
        <v>0.21629643322911349</v>
      </c>
      <c r="BO1205" s="17">
        <f t="shared" si="5858"/>
        <v>0.22873058582907066</v>
      </c>
      <c r="BP1205" s="17">
        <f t="shared" si="5858"/>
        <v>0.24035767621806897</v>
      </c>
      <c r="BQ1205" s="17">
        <f t="shared" si="5858"/>
        <v>0.21194901641479275</v>
      </c>
      <c r="BR1205" s="17">
        <f t="shared" si="5858"/>
        <v>0.22428677379372572</v>
      </c>
    </row>
    <row r="1206" spans="3:70" outlineLevel="1">
      <c r="C1206" s="9" t="s">
        <v>61</v>
      </c>
      <c r="D1206" s="31" t="s">
        <v>66</v>
      </c>
      <c r="E1206" s="374"/>
      <c r="F1206" s="48"/>
      <c r="G1206" s="374"/>
      <c r="H1206" s="374">
        <v>0.44</v>
      </c>
      <c r="I1206" s="48">
        <f>I1217/I$1231</f>
        <v>0.49381595092024538</v>
      </c>
      <c r="J1206" s="374">
        <v>0.47</v>
      </c>
      <c r="K1206" s="374">
        <v>0.48</v>
      </c>
      <c r="L1206" s="48">
        <f>L1217/L$1231</f>
        <v>0.37102244389027428</v>
      </c>
      <c r="M1206" s="374">
        <v>0.42</v>
      </c>
      <c r="N1206" s="374">
        <v>0.42</v>
      </c>
      <c r="O1206" s="48">
        <f>O1217/O$1231</f>
        <v>0.41999999999999987</v>
      </c>
      <c r="P1206" s="374">
        <v>0.42</v>
      </c>
      <c r="Q1206" s="374">
        <v>0.4</v>
      </c>
      <c r="R1206" s="48">
        <f>R1217/R$1231</f>
        <v>0.43703071672354943</v>
      </c>
      <c r="S1206" s="374">
        <v>0.42</v>
      </c>
      <c r="T1206" s="374">
        <v>0.4</v>
      </c>
      <c r="U1206" s="48">
        <f>U1217/U$1231</f>
        <v>0.45512173913043474</v>
      </c>
      <c r="V1206" s="374">
        <v>0.43</v>
      </c>
      <c r="W1206" s="374">
        <v>0.42</v>
      </c>
      <c r="X1206" s="48">
        <f>X1217/X$1231</f>
        <v>0.42</v>
      </c>
      <c r="Y1206" s="374">
        <v>0.42</v>
      </c>
      <c r="Z1206" s="374">
        <v>0.39</v>
      </c>
      <c r="AA1206" s="48">
        <f>AA1217/AA$1231</f>
        <v>0.40922502334267041</v>
      </c>
      <c r="AB1206" s="374">
        <v>0.4</v>
      </c>
      <c r="AC1206" s="14">
        <v>0.37</v>
      </c>
      <c r="AD1206" s="48">
        <f>AD1217/AD$1231</f>
        <v>0.40188306104901123</v>
      </c>
      <c r="AE1206" s="374">
        <v>0.36</v>
      </c>
      <c r="AF1206" s="374">
        <v>0.31</v>
      </c>
      <c r="AG1206" s="960">
        <f t="shared" ref="AG1206:AN1206" si="5859">AG1217/AG$1240</f>
        <v>0.36306765165001426</v>
      </c>
      <c r="AH1206" s="17">
        <f t="shared" si="5859"/>
        <v>0.32968104651408525</v>
      </c>
      <c r="AI1206" s="17">
        <f t="shared" si="5859"/>
        <v>0.31808831301209139</v>
      </c>
      <c r="AJ1206" s="17">
        <f t="shared" si="5859"/>
        <v>0.37342505415191851</v>
      </c>
      <c r="AK1206" s="17">
        <f t="shared" si="5859"/>
        <v>0.34923855076902072</v>
      </c>
      <c r="AL1206" s="17">
        <f t="shared" si="5859"/>
        <v>0.32370879717561285</v>
      </c>
      <c r="AM1206" s="17">
        <f t="shared" si="5859"/>
        <v>0.37943197107097776</v>
      </c>
      <c r="AN1206" s="17">
        <f t="shared" si="5859"/>
        <v>0.35512451499151687</v>
      </c>
      <c r="AO1206" s="17">
        <f t="shared" ref="AO1206:BR1206" si="5860">AO1217/AO$1240</f>
        <v>0.32935756266672672</v>
      </c>
      <c r="AP1206" s="17">
        <f t="shared" si="5860"/>
        <v>0.3855105719285698</v>
      </c>
      <c r="AQ1206" s="17">
        <f t="shared" si="5860"/>
        <v>0.36092921232506137</v>
      </c>
      <c r="AR1206" s="17">
        <f t="shared" si="5860"/>
        <v>0.33508863180482018</v>
      </c>
      <c r="AS1206" s="17">
        <f t="shared" si="5860"/>
        <v>0.39161223686264746</v>
      </c>
      <c r="AT1206" s="17">
        <f t="shared" si="5860"/>
        <v>0.3668901737537042</v>
      </c>
      <c r="AU1206" s="17">
        <f t="shared" si="5860"/>
        <v>0.34085655401767145</v>
      </c>
      <c r="AV1206" s="17">
        <f t="shared" si="5860"/>
        <v>0.3977350683690874</v>
      </c>
      <c r="AW1206" s="17">
        <f t="shared" si="5860"/>
        <v>0.37287950667815073</v>
      </c>
      <c r="AX1206" s="17">
        <f t="shared" si="5860"/>
        <v>0.34665974344040068</v>
      </c>
      <c r="AY1206" s="17">
        <f t="shared" si="5860"/>
        <v>0.40387715162909343</v>
      </c>
      <c r="AZ1206" s="17">
        <f t="shared" si="5860"/>
        <v>0.37889541683842359</v>
      </c>
      <c r="BA1206" s="17">
        <f t="shared" si="5860"/>
        <v>0.35249658059430222</v>
      </c>
      <c r="BB1206" s="17">
        <f t="shared" si="5860"/>
        <v>0.41003655695701013</v>
      </c>
      <c r="BC1206" s="17">
        <f t="shared" si="5860"/>
        <v>0.38493608610954966</v>
      </c>
      <c r="BD1206" s="17">
        <f t="shared" si="5860"/>
        <v>0.35836541422078427</v>
      </c>
      <c r="BE1206" s="17">
        <f t="shared" si="5860"/>
        <v>0.41621134227304207</v>
      </c>
      <c r="BF1206" s="17">
        <f t="shared" si="5860"/>
        <v>0.39099967475294439</v>
      </c>
      <c r="BG1206" s="17">
        <f t="shared" si="5860"/>
        <v>0.36426456318317985</v>
      </c>
      <c r="BH1206" s="17">
        <f t="shared" si="5860"/>
        <v>0.42239955559413417</v>
      </c>
      <c r="BI1206" s="17">
        <f t="shared" si="5860"/>
        <v>0.39708432371062469</v>
      </c>
      <c r="BJ1206" s="17">
        <f t="shared" si="5860"/>
        <v>0.37019231843178618</v>
      </c>
      <c r="BK1206" s="17">
        <f t="shared" si="5860"/>
        <v>0.42859923753623114</v>
      </c>
      <c r="BL1206" s="17">
        <f t="shared" si="5860"/>
        <v>0.40318815693614285</v>
      </c>
      <c r="BM1206" s="17">
        <f t="shared" si="5860"/>
        <v>0.37614694502724666</v>
      </c>
      <c r="BN1206" s="17">
        <f t="shared" si="5860"/>
        <v>0.43480842382112261</v>
      </c>
      <c r="BO1206" s="17">
        <f t="shared" si="5860"/>
        <v>0.40930928375600301</v>
      </c>
      <c r="BP1206" s="17">
        <f t="shared" si="5860"/>
        <v>0.38212668421716917</v>
      </c>
      <c r="BQ1206" s="17">
        <f t="shared" si="5860"/>
        <v>0.4410251477811058</v>
      </c>
      <c r="BR1206" s="17">
        <f t="shared" si="5860"/>
        <v>0.41544580125522818</v>
      </c>
    </row>
    <row r="1207" spans="3:70" outlineLevel="1">
      <c r="C1207" s="9" t="s">
        <v>62</v>
      </c>
      <c r="D1207" s="31" t="s">
        <v>66</v>
      </c>
      <c r="E1207" s="374"/>
      <c r="F1207" s="48"/>
      <c r="G1207" s="374"/>
      <c r="H1207" s="374">
        <v>0.14000000000000001</v>
      </c>
      <c r="I1207" s="48">
        <f>I1224/I$1231</f>
        <v>0.19381595092024542</v>
      </c>
      <c r="J1207" s="374">
        <v>0.17</v>
      </c>
      <c r="K1207" s="374">
        <v>0.16</v>
      </c>
      <c r="L1207" s="48">
        <f>L1224/L$1231</f>
        <v>0.23265170407315044</v>
      </c>
      <c r="M1207" s="374">
        <v>0.2</v>
      </c>
      <c r="N1207" s="374">
        <v>0.21</v>
      </c>
      <c r="O1207" s="48">
        <f>O1224/O$1231</f>
        <v>0.19113253012048192</v>
      </c>
      <c r="P1207" s="374">
        <v>0.2</v>
      </c>
      <c r="Q1207" s="374">
        <v>0.23</v>
      </c>
      <c r="R1207" s="48">
        <f>R1224/R$1231</f>
        <v>0.21148464163822522</v>
      </c>
      <c r="S1207" s="374">
        <v>0.22</v>
      </c>
      <c r="T1207" s="374">
        <v>0.23</v>
      </c>
      <c r="U1207" s="48">
        <f>U1224/U$1231</f>
        <v>0.21162608695652174</v>
      </c>
      <c r="V1207" s="374">
        <v>0.22</v>
      </c>
      <c r="W1207" s="374">
        <v>0.23</v>
      </c>
      <c r="X1207" s="48">
        <f>X1224/X$1231</f>
        <v>0.22999999999999998</v>
      </c>
      <c r="Y1207" s="374">
        <v>0.23</v>
      </c>
      <c r="Z1207" s="374">
        <v>0.24</v>
      </c>
      <c r="AA1207" s="48">
        <f>AA1224/AA$1231</f>
        <v>0.23999999999999996</v>
      </c>
      <c r="AB1207" s="374">
        <v>0.24</v>
      </c>
      <c r="AC1207" s="14">
        <v>0.27</v>
      </c>
      <c r="AD1207" s="48">
        <f>AD1224/AD$1231</f>
        <v>0.30807394668959587</v>
      </c>
      <c r="AE1207" s="374">
        <v>0.27</v>
      </c>
      <c r="AF1207" s="374">
        <v>0.32</v>
      </c>
      <c r="AG1207" s="960">
        <f t="shared" ref="AG1207:AN1207" si="5861">AG1224/AG$1240</f>
        <v>0.2948439148562374</v>
      </c>
      <c r="AH1207" s="17">
        <f t="shared" si="5861"/>
        <v>0.29621376620562107</v>
      </c>
      <c r="AI1207" s="17">
        <f t="shared" si="5861"/>
        <v>0.31629495748701664</v>
      </c>
      <c r="AJ1207" s="17">
        <f t="shared" si="5861"/>
        <v>0.29185398859117906</v>
      </c>
      <c r="AK1207" s="17">
        <f t="shared" si="5861"/>
        <v>0.30253661219177669</v>
      </c>
      <c r="AL1207" s="17">
        <f t="shared" si="5861"/>
        <v>0.31568175471666554</v>
      </c>
      <c r="AM1207" s="17">
        <f t="shared" si="5861"/>
        <v>0.29084598290752511</v>
      </c>
      <c r="AN1207" s="17">
        <f t="shared" si="5861"/>
        <v>0.3016797956688691</v>
      </c>
      <c r="AO1207" s="17">
        <f t="shared" ref="AO1207:BR1207" si="5862">AO1224/AO$1240</f>
        <v>0.31501380582551286</v>
      </c>
      <c r="AP1207" s="17">
        <f t="shared" si="5862"/>
        <v>0.28977900755222374</v>
      </c>
      <c r="AQ1207" s="17">
        <f t="shared" si="5862"/>
        <v>0.30082571117562545</v>
      </c>
      <c r="AR1207" s="17">
        <f t="shared" si="5862"/>
        <v>0.31428461536904112</v>
      </c>
      <c r="AS1207" s="17">
        <f t="shared" si="5862"/>
        <v>0.28866116684660476</v>
      </c>
      <c r="AT1207" s="17">
        <f t="shared" si="5862"/>
        <v>0.29986824592077838</v>
      </c>
      <c r="AU1207" s="17">
        <f t="shared" si="5862"/>
        <v>0.31349928711442232</v>
      </c>
      <c r="AV1207" s="17">
        <f t="shared" si="5862"/>
        <v>0.28749313182262642</v>
      </c>
      <c r="AW1207" s="17">
        <f t="shared" si="5862"/>
        <v>0.2988576620775068</v>
      </c>
      <c r="AX1207" s="17">
        <f t="shared" si="5862"/>
        <v>0.31265818345101642</v>
      </c>
      <c r="AY1207" s="17">
        <f t="shared" si="5862"/>
        <v>0.28627561387470601</v>
      </c>
      <c r="AZ1207" s="17">
        <f t="shared" si="5862"/>
        <v>0.29779452703620829</v>
      </c>
      <c r="BA1207" s="17">
        <f t="shared" si="5862"/>
        <v>0.31176171223739535</v>
      </c>
      <c r="BB1207" s="17">
        <f t="shared" si="5862"/>
        <v>0.28500936368947649</v>
      </c>
      <c r="BC1207" s="17">
        <f t="shared" si="5862"/>
        <v>0.29667945094490572</v>
      </c>
      <c r="BD1207" s="17">
        <f t="shared" si="5862"/>
        <v>0.31081032636392286</v>
      </c>
      <c r="BE1207" s="17">
        <f t="shared" si="5862"/>
        <v>0.2836951701016252</v>
      </c>
      <c r="BF1207" s="17">
        <f t="shared" si="5862"/>
        <v>0.29551308585574648</v>
      </c>
      <c r="BG1207" s="17">
        <f t="shared" si="5862"/>
        <v>0.30980452322907548</v>
      </c>
      <c r="BH1207" s="17">
        <f t="shared" si="5862"/>
        <v>0.28233385887919854</v>
      </c>
      <c r="BI1207" s="17">
        <f t="shared" si="5862"/>
        <v>0.29429612479118572</v>
      </c>
      <c r="BJ1207" s="17">
        <f t="shared" si="5862"/>
        <v>0.3087448441305809</v>
      </c>
      <c r="BK1207" s="17">
        <f t="shared" si="5862"/>
        <v>0.28092629144199499</v>
      </c>
      <c r="BL1207" s="17">
        <f t="shared" si="5862"/>
        <v>0.29302930073244166</v>
      </c>
      <c r="BM1207" s="17">
        <f t="shared" si="5862"/>
        <v>0.3076318735727509</v>
      </c>
      <c r="BN1207" s="17">
        <f t="shared" si="5862"/>
        <v>0.27947336351689267</v>
      </c>
      <c r="BO1207" s="17">
        <f t="shared" si="5862"/>
        <v>0.2917133855330844</v>
      </c>
      <c r="BP1207" s="17">
        <f t="shared" si="5862"/>
        <v>0.30646623849167831</v>
      </c>
      <c r="BQ1207" s="17">
        <f t="shared" si="5862"/>
        <v>0.27797600373415793</v>
      </c>
      <c r="BR1207" s="17">
        <f t="shared" si="5862"/>
        <v>0.29034918876087967</v>
      </c>
    </row>
    <row r="1208" spans="3:70" outlineLevel="1">
      <c r="C1208" s="9" t="s">
        <v>69</v>
      </c>
      <c r="D1208" s="31" t="s">
        <v>66</v>
      </c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AC1208" s="14"/>
      <c r="AD1208" s="14"/>
      <c r="AE1208" s="374">
        <v>7.0000000000000007E-2</v>
      </c>
      <c r="AF1208" s="374">
        <v>7.0000000000000007E-2</v>
      </c>
      <c r="AG1208" s="960">
        <f t="shared" ref="AG1208:AN1208" si="5863">AG1232/AG$1240</f>
        <v>7.323985716097331E-2</v>
      </c>
      <c r="AH1208" s="17">
        <f t="shared" si="5863"/>
        <v>7.1367633557414129E-2</v>
      </c>
      <c r="AI1208" s="17">
        <f t="shared" si="5863"/>
        <v>7.3328035748704959E-2</v>
      </c>
      <c r="AJ1208" s="17">
        <f t="shared" si="5863"/>
        <v>7.2497153101160894E-2</v>
      </c>
      <c r="AK1208" s="17">
        <f t="shared" si="5863"/>
        <v>7.2860314096038339E-2</v>
      </c>
      <c r="AL1208" s="17">
        <f t="shared" si="5863"/>
        <v>7.3185874283271668E-2</v>
      </c>
      <c r="AM1208" s="17">
        <f t="shared" si="5863"/>
        <v>7.2246762339919446E-2</v>
      </c>
      <c r="AN1208" s="17">
        <f t="shared" si="5863"/>
        <v>7.2656419951303827E-2</v>
      </c>
      <c r="AO1208" s="17">
        <f t="shared" ref="AO1208:BR1208" si="5864">AO1232/AO$1240</f>
        <v>7.3031020786529594E-2</v>
      </c>
      <c r="AP1208" s="17">
        <f t="shared" si="5864"/>
        <v>7.1981723386496721E-2</v>
      </c>
      <c r="AQ1208" s="17">
        <f t="shared" si="5864"/>
        <v>7.2441060420438394E-2</v>
      </c>
      <c r="AR1208" s="17">
        <f t="shared" si="5864"/>
        <v>7.286196939132368E-2</v>
      </c>
      <c r="AS1208" s="17">
        <f t="shared" si="5864"/>
        <v>7.1704049371592346E-2</v>
      </c>
      <c r="AT1208" s="17">
        <f t="shared" si="5864"/>
        <v>7.2210495692091911E-2</v>
      </c>
      <c r="AU1208" s="17">
        <f t="shared" si="5864"/>
        <v>7.267990332619674E-2</v>
      </c>
      <c r="AV1208" s="17">
        <f t="shared" si="5864"/>
        <v>7.1413906980975619E-2</v>
      </c>
      <c r="AW1208" s="17">
        <f t="shared" si="5864"/>
        <v>7.1967139614035086E-2</v>
      </c>
      <c r="AX1208" s="17">
        <f t="shared" si="5864"/>
        <v>7.2484906605450317E-2</v>
      </c>
      <c r="AY1208" s="17">
        <f t="shared" si="5864"/>
        <v>7.1111472926536731E-2</v>
      </c>
      <c r="AZ1208" s="17">
        <f t="shared" si="5864"/>
        <v>7.1711128818080117E-2</v>
      </c>
      <c r="BA1208" s="17">
        <f t="shared" si="5864"/>
        <v>7.2277073784711168E-2</v>
      </c>
      <c r="BB1208" s="17">
        <f t="shared" si="5864"/>
        <v>7.0796933680436006E-2</v>
      </c>
      <c r="BC1208" s="17">
        <f t="shared" si="5864"/>
        <v>7.144261023239222E-2</v>
      </c>
      <c r="BD1208" s="17">
        <f t="shared" si="5864"/>
        <v>7.205650985952225E-2</v>
      </c>
      <c r="BE1208" s="17">
        <f t="shared" si="5864"/>
        <v>7.0470485190891871E-2</v>
      </c>
      <c r="BF1208" s="17">
        <f t="shared" si="5864"/>
        <v>7.1161740875960292E-2</v>
      </c>
      <c r="BG1208" s="17">
        <f t="shared" si="5864"/>
        <v>7.1823330143935799E-2</v>
      </c>
      <c r="BH1208" s="17">
        <f t="shared" si="5864"/>
        <v>7.013233258044789E-2</v>
      </c>
      <c r="BI1208" s="17">
        <f t="shared" si="5864"/>
        <v>7.0868687633726959E-2</v>
      </c>
      <c r="BJ1208" s="17">
        <f t="shared" si="5864"/>
        <v>7.1577660129358497E-2</v>
      </c>
      <c r="BK1208" s="17">
        <f t="shared" si="5864"/>
        <v>6.9782689827618857E-2</v>
      </c>
      <c r="BL1208" s="17">
        <f t="shared" si="5864"/>
        <v>7.0563627013001048E-2</v>
      </c>
      <c r="BM1208" s="17">
        <f t="shared" si="5864"/>
        <v>7.1319635323967262E-2</v>
      </c>
      <c r="BN1208" s="17">
        <f t="shared" si="5864"/>
        <v>6.9421779432871297E-2</v>
      </c>
      <c r="BO1208" s="17">
        <f t="shared" si="5864"/>
        <v>7.0246744881841877E-2</v>
      </c>
      <c r="BP1208" s="17">
        <f t="shared" si="5864"/>
        <v>7.104940107308344E-2</v>
      </c>
      <c r="BQ1208" s="17">
        <f t="shared" si="5864"/>
        <v>6.9049832069943529E-2</v>
      </c>
      <c r="BR1208" s="17">
        <f t="shared" si="5864"/>
        <v>6.9918236190166405E-2</v>
      </c>
    </row>
    <row r="1209" spans="3:70" outlineLevel="1">
      <c r="C1209" s="8" t="s">
        <v>63</v>
      </c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AE1209" s="693"/>
    </row>
    <row r="1210" spans="3:70" outlineLevel="1">
      <c r="C1210" s="95" t="s">
        <v>60</v>
      </c>
      <c r="D1210" s="96" t="s">
        <v>58</v>
      </c>
      <c r="E1210" s="562"/>
      <c r="F1210" s="562"/>
      <c r="G1210" s="562"/>
      <c r="H1210" s="468">
        <f>H1205*H$1231</f>
        <v>271.74</v>
      </c>
      <c r="I1210" s="341">
        <f>J1210-H1210</f>
        <v>254.57999999999993</v>
      </c>
      <c r="J1210" s="468">
        <f>J1205*J$1231</f>
        <v>526.31999999999994</v>
      </c>
      <c r="K1210" s="468">
        <f>K1205*K$1231</f>
        <v>353.52</v>
      </c>
      <c r="L1210" s="341">
        <f>M1210-K1210</f>
        <v>476.78</v>
      </c>
      <c r="M1210" s="468">
        <f>M1205*M$1231</f>
        <v>830.3</v>
      </c>
      <c r="N1210" s="468">
        <f>N1205*N$1231</f>
        <v>408.48</v>
      </c>
      <c r="O1210" s="341">
        <f>P1210-N1210</f>
        <v>484.14</v>
      </c>
      <c r="P1210" s="468">
        <f>P1205*P$1231</f>
        <v>892.62</v>
      </c>
      <c r="Q1210" s="468">
        <f>Q1205*Q$1231</f>
        <v>369.26</v>
      </c>
      <c r="R1210" s="341">
        <f>S1210-Q1210</f>
        <v>411.93999999999994</v>
      </c>
      <c r="S1210" s="468">
        <f>S1205*S$1231</f>
        <v>781.19999999999993</v>
      </c>
      <c r="T1210" s="468">
        <f>T1205*T$1231</f>
        <v>356.31</v>
      </c>
      <c r="U1210" s="341">
        <f>V1210-T1210</f>
        <v>383.23999999999995</v>
      </c>
      <c r="V1210" s="468">
        <f>V1205*V$1231</f>
        <v>739.55</v>
      </c>
      <c r="W1210" s="468">
        <f>W1205*W$1231</f>
        <v>337.75</v>
      </c>
      <c r="X1210" s="341">
        <f>Y1210-W1210</f>
        <v>389.54999999999995</v>
      </c>
      <c r="Y1210" s="468">
        <f>Y1205*Y$1231</f>
        <v>727.3</v>
      </c>
      <c r="Z1210" s="468">
        <f>Z1205*Z$1231</f>
        <v>365.56</v>
      </c>
      <c r="AA1210" s="341">
        <f>AB1210-Z1210</f>
        <v>375.68</v>
      </c>
      <c r="AB1210" s="468">
        <f>AB1205*AB$1231</f>
        <v>741.24</v>
      </c>
      <c r="AC1210" s="468">
        <f>AC1205*AC$1231</f>
        <v>371.88</v>
      </c>
      <c r="AD1210" s="64">
        <f>AE1210-AC1210</f>
        <v>336.12</v>
      </c>
      <c r="AE1210" s="468">
        <f>AE1205*AE$1240</f>
        <v>708</v>
      </c>
      <c r="AF1210" s="468">
        <f>AF1205*AF$1231</f>
        <v>295.2</v>
      </c>
      <c r="AG1210" s="1045">
        <f>(AD1210*(1+AG1212))+AG1216</f>
        <v>349.74697748021327</v>
      </c>
      <c r="AH1210" s="341">
        <f>+AG1210+AF1210</f>
        <v>644.94697748021326</v>
      </c>
      <c r="AI1210" s="468">
        <f>AF1210*(1+AI1213+AI1215+AI1214)</f>
        <v>305.40504795066636</v>
      </c>
      <c r="AJ1210" s="468">
        <f>AG1210*(1+AJ1213+AJ1215+AJ1214)</f>
        <v>352.8780026799007</v>
      </c>
      <c r="AK1210" s="341">
        <f>AI1210+AJ1210</f>
        <v>658.283050630567</v>
      </c>
      <c r="AL1210" s="468">
        <f>AI1210*(1+AL1213+AL1215+AL1214)</f>
        <v>306.32126309451837</v>
      </c>
      <c r="AM1210" s="468">
        <f>AJ1210*(1+AM1213+AM1215+AM1214)</f>
        <v>354.64821798096347</v>
      </c>
      <c r="AN1210" s="341">
        <f>AL1210+AM1210</f>
        <v>660.96948107548178</v>
      </c>
      <c r="AO1210" s="468">
        <f>AL1210*(1+AO1213+AO1215+AO1214)</f>
        <v>307.85792614195316</v>
      </c>
      <c r="AP1210" s="468">
        <f>AM1210*(1+AP1213+AP1215+AP1214)</f>
        <v>353.61264518445904</v>
      </c>
      <c r="AQ1210" s="341">
        <f>AO1210+AP1210</f>
        <v>661.47057132641226</v>
      </c>
      <c r="AR1210" s="468">
        <f>AO1210*(1+AR1213+AR1215+AR1214)</f>
        <v>306.95898099761865</v>
      </c>
      <c r="AS1210" s="468">
        <f>AP1210*(1+AS1213+AS1215+AS1214)</f>
        <v>352.58009626052041</v>
      </c>
      <c r="AT1210" s="341">
        <f>AR1210+AS1210</f>
        <v>659.53907725813906</v>
      </c>
      <c r="AU1210" s="468">
        <f>AR1210*(1+AU1213+AU1215+AU1214)</f>
        <v>306.06266077310562</v>
      </c>
      <c r="AV1210" s="468">
        <f>AS1210*(1+AV1213+AV1215+AV1214)</f>
        <v>351.55056237943967</v>
      </c>
      <c r="AW1210" s="341">
        <f>AU1210+AV1210</f>
        <v>657.61322315254529</v>
      </c>
      <c r="AX1210" s="468">
        <f>AU1210*(1+AX1213+AX1215+AX1214)</f>
        <v>305.16895780364814</v>
      </c>
      <c r="AY1210" s="468">
        <f>AV1210*(1+AY1213+AY1215+AY1214)</f>
        <v>350.52403473729169</v>
      </c>
      <c r="AZ1210" s="341">
        <f>AX1210+AY1210</f>
        <v>655.69299254093983</v>
      </c>
      <c r="BA1210" s="468">
        <f>AX1210*(1+BA1213+BA1215+BA1214)</f>
        <v>304.27786444686149</v>
      </c>
      <c r="BB1210" s="468">
        <f>AY1210*(1+BB1213+BB1215+BB1214)</f>
        <v>349.50050455585875</v>
      </c>
      <c r="BC1210" s="341">
        <f>BA1210+BB1210</f>
        <v>653.77836900272018</v>
      </c>
      <c r="BD1210" s="468">
        <f>BA1210*(1+BD1213+BD1215+BD1214)</f>
        <v>303.38937308267663</v>
      </c>
      <c r="BE1210" s="468">
        <f>BB1210*(1+BE1213+BE1215+BE1214)</f>
        <v>348.47996308255563</v>
      </c>
      <c r="BF1210" s="341">
        <f>BD1210+BE1210</f>
        <v>651.8693361652322</v>
      </c>
      <c r="BG1210" s="468">
        <f>BD1210*(1+BG1213+BG1215+BG1214)</f>
        <v>302.50347611327521</v>
      </c>
      <c r="BH1210" s="468">
        <f>BE1210*(1+BH1213+BH1215+BH1214)</f>
        <v>347.46240159035455</v>
      </c>
      <c r="BI1210" s="341">
        <f>BG1210+BH1210</f>
        <v>649.96587770362976</v>
      </c>
      <c r="BJ1210" s="468">
        <f>BG1210*(1+BJ1213+BJ1215+BJ1214)</f>
        <v>301.62016596302442</v>
      </c>
      <c r="BK1210" s="468">
        <f>BH1210*(1+BK1213+BK1215+BK1214)</f>
        <v>346.44781137771071</v>
      </c>
      <c r="BL1210" s="341">
        <f>BJ1210+BK1210</f>
        <v>648.06797734073507</v>
      </c>
      <c r="BM1210" s="468">
        <f>BJ1210*(1+BM1213+BM1215+BM1214)</f>
        <v>300.73943507841238</v>
      </c>
      <c r="BN1210" s="468">
        <f>BK1210*(1+BN1213+BN1215+BN1214)</f>
        <v>345.43618376848781</v>
      </c>
      <c r="BO1210" s="341">
        <f>BM1210+BN1210</f>
        <v>646.17561884690019</v>
      </c>
      <c r="BP1210" s="468">
        <f>BM1210*(1+BP1213+BP1215+BP1214)</f>
        <v>299.8612759279834</v>
      </c>
      <c r="BQ1210" s="468">
        <f>BN1210*(1+BQ1213+BQ1215+BQ1214)</f>
        <v>344.42751011188381</v>
      </c>
      <c r="BR1210" s="341">
        <f>BP1210+BQ1210</f>
        <v>644.2887860398672</v>
      </c>
    </row>
    <row r="1211" spans="3:70" outlineLevel="1">
      <c r="C1211" s="547" t="s">
        <v>669</v>
      </c>
      <c r="D1211" s="31" t="s">
        <v>66</v>
      </c>
      <c r="E1211" s="562"/>
      <c r="F1211" s="562"/>
      <c r="G1211" s="562"/>
      <c r="H1211" s="583"/>
      <c r="I1211" s="605"/>
      <c r="J1211" s="583"/>
      <c r="K1211" s="595">
        <f>+K1210/H1210-1</f>
        <v>0.30094943696180154</v>
      </c>
      <c r="L1211" s="595">
        <f t="shared" ref="L1211:AN1211" si="5865">+L1210/I1210-1</f>
        <v>0.87281011862675828</v>
      </c>
      <c r="M1211" s="595">
        <f t="shared" si="5865"/>
        <v>0.57755737954096387</v>
      </c>
      <c r="N1211" s="595">
        <f t="shared" si="5865"/>
        <v>0.15546503733876449</v>
      </c>
      <c r="O1211" s="595">
        <f t="shared" si="5865"/>
        <v>1.5436889131255516E-2</v>
      </c>
      <c r="P1211" s="595">
        <f t="shared" si="5865"/>
        <v>7.5057208237986339E-2</v>
      </c>
      <c r="Q1211" s="595">
        <f t="shared" si="5865"/>
        <v>-9.6014492753623282E-2</v>
      </c>
      <c r="R1211" s="595">
        <f t="shared" si="5865"/>
        <v>-0.14913041682158068</v>
      </c>
      <c r="S1211" s="595">
        <f t="shared" si="5865"/>
        <v>-0.12482355313571292</v>
      </c>
      <c r="T1211" s="595">
        <f t="shared" si="5865"/>
        <v>-3.5070140280561102E-2</v>
      </c>
      <c r="U1211" s="595">
        <f t="shared" si="5865"/>
        <v>-6.9670340340826309E-2</v>
      </c>
      <c r="V1211" s="595">
        <f t="shared" si="5865"/>
        <v>-5.3315412186379918E-2</v>
      </c>
      <c r="W1211" s="595">
        <f t="shared" si="5865"/>
        <v>-5.2089472650220348E-2</v>
      </c>
      <c r="X1211" s="595">
        <f t="shared" si="5865"/>
        <v>1.6464878405176853E-2</v>
      </c>
      <c r="Y1211" s="595">
        <f t="shared" si="5865"/>
        <v>-1.6564126833885418E-2</v>
      </c>
      <c r="Z1211" s="595">
        <f t="shared" si="5865"/>
        <v>8.2339008142116921E-2</v>
      </c>
      <c r="AA1211" s="595">
        <f t="shared" si="5865"/>
        <v>-3.5605185470414469E-2</v>
      </c>
      <c r="AB1211" s="595">
        <f t="shared" si="5865"/>
        <v>1.9166781245703257E-2</v>
      </c>
      <c r="AC1211" s="595">
        <f t="shared" si="5865"/>
        <v>1.7288543604333073E-2</v>
      </c>
      <c r="AD1211" s="595">
        <f t="shared" si="5865"/>
        <v>-0.10530238500851785</v>
      </c>
      <c r="AE1211" s="595">
        <f t="shared" si="5865"/>
        <v>-4.4843775295450916E-2</v>
      </c>
      <c r="AF1211" s="595">
        <f t="shared" si="5865"/>
        <v>-0.20619554695062925</v>
      </c>
      <c r="AG1211" s="1046">
        <f t="shared" si="5865"/>
        <v>4.0542001309690878E-2</v>
      </c>
      <c r="AH1211" s="595">
        <f t="shared" si="5865"/>
        <v>-8.9057941412128194E-2</v>
      </c>
      <c r="AI1211" s="595">
        <f t="shared" si="5865"/>
        <v>3.4569945632338728E-2</v>
      </c>
      <c r="AJ1211" s="595">
        <f t="shared" si="5865"/>
        <v>8.9522580645162719E-3</v>
      </c>
      <c r="AK1211" s="595">
        <f t="shared" si="5865"/>
        <v>2.0677782230187791E-2</v>
      </c>
      <c r="AL1211" s="595">
        <f t="shared" si="5865"/>
        <v>3.0000000000001137E-3</v>
      </c>
      <c r="AM1211" s="595">
        <f t="shared" si="5865"/>
        <v>5.0165079365078746E-3</v>
      </c>
      <c r="AN1211" s="595">
        <f t="shared" si="5865"/>
        <v>4.0809655395828148E-3</v>
      </c>
      <c r="AO1211" s="595">
        <f t="shared" ref="AO1211" si="5866">+AO1210/AL1210-1</f>
        <v>5.0165079365078746E-3</v>
      </c>
      <c r="AP1211" s="595">
        <f t="shared" ref="AP1211" si="5867">+AP1210/AM1210-1</f>
        <v>-2.9200000000000337E-3</v>
      </c>
      <c r="AQ1211" s="595">
        <f t="shared" ref="AQ1211" si="5868">+AQ1210/AN1210-1</f>
        <v>7.5811405106795959E-4</v>
      </c>
      <c r="AR1211" s="595">
        <f t="shared" ref="AR1211" si="5869">+AR1210/AO1210-1</f>
        <v>-2.9200000000000337E-3</v>
      </c>
      <c r="AS1211" s="595">
        <f t="shared" ref="AS1211" si="5870">+AS1210/AP1210-1</f>
        <v>-2.9200000000000337E-3</v>
      </c>
      <c r="AT1211" s="595">
        <f t="shared" ref="AT1211" si="5871">+AT1210/AQ1210-1</f>
        <v>-2.9200000000001447E-3</v>
      </c>
      <c r="AU1211" s="595">
        <f t="shared" ref="AU1211" si="5872">+AU1210/AR1210-1</f>
        <v>-2.9199999999999227E-3</v>
      </c>
      <c r="AV1211" s="595">
        <f t="shared" ref="AV1211" si="5873">+AV1210/AS1210-1</f>
        <v>-2.9200000000000337E-3</v>
      </c>
      <c r="AW1211" s="595">
        <f t="shared" ref="AW1211" si="5874">+AW1210/AT1210-1</f>
        <v>-2.9200000000000337E-3</v>
      </c>
      <c r="AX1211" s="595">
        <f t="shared" ref="AX1211" si="5875">+AX1210/AU1210-1</f>
        <v>-2.9200000000000337E-3</v>
      </c>
      <c r="AY1211" s="595">
        <f t="shared" ref="AY1211" si="5876">+AY1210/AV1210-1</f>
        <v>-2.9200000000000337E-3</v>
      </c>
      <c r="AZ1211" s="595">
        <f t="shared" ref="AZ1211" si="5877">+AZ1210/AW1210-1</f>
        <v>-2.9200000000000337E-3</v>
      </c>
      <c r="BA1211" s="595">
        <f t="shared" ref="BA1211" si="5878">+BA1210/AX1210-1</f>
        <v>-2.9200000000000337E-3</v>
      </c>
      <c r="BB1211" s="595">
        <f t="shared" ref="BB1211" si="5879">+BB1210/AY1210-1</f>
        <v>-2.9200000000001447E-3</v>
      </c>
      <c r="BC1211" s="595">
        <f t="shared" ref="BC1211" si="5880">+BC1210/AZ1210-1</f>
        <v>-2.9200000000001447E-3</v>
      </c>
      <c r="BD1211" s="595">
        <f t="shared" ref="BD1211" si="5881">+BD1210/BA1210-1</f>
        <v>-2.9200000000000337E-3</v>
      </c>
      <c r="BE1211" s="595">
        <f t="shared" ref="BE1211" si="5882">+BE1210/BB1210-1</f>
        <v>-2.9200000000000337E-3</v>
      </c>
      <c r="BF1211" s="595">
        <f t="shared" ref="BF1211" si="5883">+BF1210/BC1210-1</f>
        <v>-2.9200000000000337E-3</v>
      </c>
      <c r="BG1211" s="595">
        <f t="shared" ref="BG1211" si="5884">+BG1210/BD1210-1</f>
        <v>-2.9200000000000337E-3</v>
      </c>
      <c r="BH1211" s="595">
        <f t="shared" ref="BH1211" si="5885">+BH1210/BE1210-1</f>
        <v>-2.9200000000000337E-3</v>
      </c>
      <c r="BI1211" s="595">
        <f t="shared" ref="BI1211" si="5886">+BI1210/BF1210-1</f>
        <v>-2.9199999999999227E-3</v>
      </c>
      <c r="BJ1211" s="595">
        <f t="shared" ref="BJ1211" si="5887">+BJ1210/BG1210-1</f>
        <v>-2.9200000000001447E-3</v>
      </c>
      <c r="BK1211" s="595">
        <f t="shared" ref="BK1211" si="5888">+BK1210/BH1210-1</f>
        <v>-2.9200000000000337E-3</v>
      </c>
      <c r="BL1211" s="595">
        <f t="shared" ref="BL1211" si="5889">+BL1210/BI1210-1</f>
        <v>-2.9200000000001447E-3</v>
      </c>
      <c r="BM1211" s="595">
        <f t="shared" ref="BM1211" si="5890">+BM1210/BJ1210-1</f>
        <v>-2.9200000000000337E-3</v>
      </c>
      <c r="BN1211" s="595">
        <f t="shared" ref="BN1211" si="5891">+BN1210/BK1210-1</f>
        <v>-2.9199999999999227E-3</v>
      </c>
      <c r="BO1211" s="595">
        <f t="shared" ref="BO1211" si="5892">+BO1210/BL1210-1</f>
        <v>-2.9199999999999227E-3</v>
      </c>
      <c r="BP1211" s="595">
        <f t="shared" ref="BP1211" si="5893">+BP1210/BM1210-1</f>
        <v>-2.9200000000000337E-3</v>
      </c>
      <c r="BQ1211" s="595">
        <f t="shared" ref="BQ1211" si="5894">+BQ1210/BN1210-1</f>
        <v>-2.9200000000000337E-3</v>
      </c>
      <c r="BR1211" s="595">
        <f t="shared" ref="BR1211" si="5895">+BR1210/BO1210-1</f>
        <v>-2.9200000000000337E-3</v>
      </c>
    </row>
    <row r="1212" spans="3:70" outlineLevel="1">
      <c r="C1212" s="596" t="s">
        <v>598</v>
      </c>
      <c r="D1212" s="31" t="s">
        <v>66</v>
      </c>
      <c r="E1212" s="562"/>
      <c r="F1212" s="562"/>
      <c r="G1212" s="562"/>
      <c r="H1212" s="583"/>
      <c r="I1212" s="605"/>
      <c r="J1212" s="583"/>
      <c r="K1212" s="604">
        <f t="shared" ref="K1212" si="5896">K1211-(K1216/H1210)</f>
        <v>-0.15904909104290882</v>
      </c>
      <c r="L1212" s="604">
        <f t="shared" ref="L1212" si="5897">L1211-(L1216/I1210)</f>
        <v>0.28360436797863176</v>
      </c>
      <c r="M1212" s="604">
        <f t="shared" ref="M1212" si="5898">M1211-(M1216/J1210)</f>
        <v>5.5061559507524116E-2</v>
      </c>
      <c r="N1212" s="604">
        <f t="shared" ref="N1212" si="5899">N1211-(N1216/K1210)</f>
        <v>8.4747680470694781E-2</v>
      </c>
      <c r="O1212" s="604">
        <f t="shared" ref="O1212" si="5900">O1211-(O1216/L1210)</f>
        <v>1.5436889131255516E-2</v>
      </c>
      <c r="P1212" s="604">
        <f t="shared" ref="P1212" si="5901">P1211-(P1216/M1210)</f>
        <v>4.4947609297844221E-2</v>
      </c>
      <c r="Q1212" s="604">
        <f t="shared" ref="Q1212" si="5902">Q1211-(Q1216/N1210)</f>
        <v>-9.6014492753623282E-2</v>
      </c>
      <c r="R1212" s="604">
        <f t="shared" ref="R1212" si="5903">R1211-(R1216/O1210)</f>
        <v>-0.14913041682158068</v>
      </c>
      <c r="S1212" s="604">
        <f t="shared" ref="S1212" si="5904">S1211-(S1216/P1210)</f>
        <v>-0.12482355313571292</v>
      </c>
      <c r="T1212" s="604">
        <f t="shared" ref="T1212" si="5905">T1211-(T1216/Q1210)</f>
        <v>-3.5070140280561102E-2</v>
      </c>
      <c r="U1212" s="604">
        <f t="shared" ref="U1212" si="5906">U1211-(U1216/R1210)</f>
        <v>-6.9670340340826309E-2</v>
      </c>
      <c r="V1212" s="604">
        <f t="shared" ref="V1212" si="5907">V1211-(V1216/S1210)</f>
        <v>-5.3315412186379918E-2</v>
      </c>
      <c r="W1212" s="604">
        <f t="shared" ref="W1212" si="5908">W1211-(W1216/T1210)</f>
        <v>-5.2089472650220348E-2</v>
      </c>
      <c r="X1212" s="604">
        <f t="shared" ref="X1212" si="5909">X1211-(X1216/U1210)</f>
        <v>1.6464878405176853E-2</v>
      </c>
      <c r="Y1212" s="604">
        <f t="shared" ref="Y1212" si="5910">Y1211-(Y1216/V1210)</f>
        <v>-1.6564126833885418E-2</v>
      </c>
      <c r="Z1212" s="604">
        <f t="shared" ref="Z1212" si="5911">Z1211-(Z1216/W1210)</f>
        <v>8.2339008142116921E-2</v>
      </c>
      <c r="AA1212" s="604">
        <f t="shared" ref="AA1212" si="5912">AA1211-(AA1216/X1210)</f>
        <v>-8.2668035767766115E-2</v>
      </c>
      <c r="AB1212" s="604">
        <f t="shared" ref="AB1212" si="5913">AB1211-(AB1216/Y1210)</f>
        <v>-6.0406068105779663E-3</v>
      </c>
      <c r="AC1212" s="604">
        <f t="shared" ref="AC1212" si="5914">AC1211-(AC1216/Z1210)</f>
        <v>-0.13316555421818579</v>
      </c>
      <c r="AD1212" s="604">
        <f t="shared" ref="AD1212" si="5915">AD1211-(AD1216/AA1210)</f>
        <v>-0.20290318001135715</v>
      </c>
      <c r="AE1212" s="604">
        <f>AE1211-(AE1216/AB1210)</f>
        <v>-0.16851042397424143</v>
      </c>
      <c r="AF1212" s="590">
        <f t="shared" ref="AF1212" si="5916">AF1211-(AF1216/AC1210)</f>
        <v>-0.20619554695062925</v>
      </c>
      <c r="AG1212" s="1047">
        <f>+AG1213+AG1214+AG1215</f>
        <v>4.054200130969083E-2</v>
      </c>
      <c r="AH1212" s="590">
        <f>+AH1213+AH1214+AH1215</f>
        <v>-8.9057941412128194E-2</v>
      </c>
      <c r="AI1212" s="590">
        <f t="shared" ref="AI1212:AN1212" si="5917">+AI1213+AI1214+AI1215</f>
        <v>3.456994563233888E-2</v>
      </c>
      <c r="AJ1212" s="590">
        <f t="shared" si="5917"/>
        <v>8.9522580645161262E-3</v>
      </c>
      <c r="AK1212" s="590">
        <f t="shared" si="5917"/>
        <v>2.0677782230187791E-2</v>
      </c>
      <c r="AL1212" s="590">
        <f t="shared" si="5917"/>
        <v>3.0000000000000027E-3</v>
      </c>
      <c r="AM1212" s="590">
        <f t="shared" si="5917"/>
        <v>5.0165079365079648E-3</v>
      </c>
      <c r="AN1212" s="590">
        <f t="shared" si="5917"/>
        <v>4.0809655395828148E-3</v>
      </c>
      <c r="AO1212" s="590">
        <f t="shared" ref="AO1212:BR1212" si="5918">+AO1213+AO1214+AO1215</f>
        <v>5.0165079365079648E-3</v>
      </c>
      <c r="AP1212" s="590">
        <f t="shared" si="5918"/>
        <v>-2.919999999999999E-3</v>
      </c>
      <c r="AQ1212" s="590">
        <f t="shared" si="5918"/>
        <v>7.5811405106795959E-4</v>
      </c>
      <c r="AR1212" s="590">
        <f t="shared" si="5918"/>
        <v>-2.919999999999999E-3</v>
      </c>
      <c r="AS1212" s="590">
        <f t="shared" si="5918"/>
        <v>-2.919999999999999E-3</v>
      </c>
      <c r="AT1212" s="590">
        <f t="shared" si="5918"/>
        <v>-2.9200000000001447E-3</v>
      </c>
      <c r="AU1212" s="590">
        <f t="shared" si="5918"/>
        <v>-2.919999999999999E-3</v>
      </c>
      <c r="AV1212" s="590">
        <f t="shared" si="5918"/>
        <v>-2.919999999999999E-3</v>
      </c>
      <c r="AW1212" s="590">
        <f t="shared" si="5918"/>
        <v>-2.9200000000000337E-3</v>
      </c>
      <c r="AX1212" s="590">
        <f t="shared" si="5918"/>
        <v>-2.919999999999999E-3</v>
      </c>
      <c r="AY1212" s="590">
        <f t="shared" si="5918"/>
        <v>-2.919999999999999E-3</v>
      </c>
      <c r="AZ1212" s="590">
        <f t="shared" si="5918"/>
        <v>-2.9200000000000337E-3</v>
      </c>
      <c r="BA1212" s="590">
        <f t="shared" si="5918"/>
        <v>-2.919999999999999E-3</v>
      </c>
      <c r="BB1212" s="590">
        <f t="shared" si="5918"/>
        <v>-2.919999999999999E-3</v>
      </c>
      <c r="BC1212" s="590">
        <f t="shared" si="5918"/>
        <v>-2.9200000000001447E-3</v>
      </c>
      <c r="BD1212" s="590">
        <f t="shared" si="5918"/>
        <v>-2.919999999999999E-3</v>
      </c>
      <c r="BE1212" s="590">
        <f t="shared" si="5918"/>
        <v>-2.919999999999999E-3</v>
      </c>
      <c r="BF1212" s="590">
        <f t="shared" si="5918"/>
        <v>-2.9200000000000337E-3</v>
      </c>
      <c r="BG1212" s="590">
        <f t="shared" si="5918"/>
        <v>-2.919999999999999E-3</v>
      </c>
      <c r="BH1212" s="590">
        <f t="shared" si="5918"/>
        <v>-2.919999999999999E-3</v>
      </c>
      <c r="BI1212" s="590">
        <f t="shared" si="5918"/>
        <v>-2.9199999999999227E-3</v>
      </c>
      <c r="BJ1212" s="590">
        <f t="shared" si="5918"/>
        <v>-2.919999999999999E-3</v>
      </c>
      <c r="BK1212" s="590">
        <f t="shared" si="5918"/>
        <v>-2.919999999999999E-3</v>
      </c>
      <c r="BL1212" s="590">
        <f t="shared" si="5918"/>
        <v>-2.9200000000001447E-3</v>
      </c>
      <c r="BM1212" s="590">
        <f t="shared" si="5918"/>
        <v>-2.919999999999999E-3</v>
      </c>
      <c r="BN1212" s="590">
        <f t="shared" si="5918"/>
        <v>-2.919999999999999E-3</v>
      </c>
      <c r="BO1212" s="590">
        <f t="shared" si="5918"/>
        <v>-2.9199999999999227E-3</v>
      </c>
      <c r="BP1212" s="590">
        <f t="shared" si="5918"/>
        <v>-2.919999999999999E-3</v>
      </c>
      <c r="BQ1212" s="590">
        <f t="shared" si="5918"/>
        <v>-2.919999999999999E-3</v>
      </c>
      <c r="BR1212" s="590">
        <f t="shared" si="5918"/>
        <v>-2.9200000000000337E-3</v>
      </c>
    </row>
    <row r="1213" spans="3:70" outlineLevel="1">
      <c r="C1213" s="594" t="s">
        <v>534</v>
      </c>
      <c r="D1213" s="31" t="s">
        <v>66</v>
      </c>
      <c r="E1213" s="564"/>
      <c r="F1213" s="564"/>
      <c r="G1213" s="564"/>
      <c r="H1213" s="592"/>
      <c r="I1213" s="576"/>
      <c r="J1213" s="592"/>
      <c r="K1213" s="592"/>
      <c r="L1213" s="576"/>
      <c r="M1213" s="592"/>
      <c r="N1213" s="592"/>
      <c r="O1213" s="576"/>
      <c r="P1213" s="592"/>
      <c r="Q1213" s="592"/>
      <c r="R1213" s="576"/>
      <c r="S1213" s="592"/>
      <c r="T1213" s="592"/>
      <c r="U1213" s="576"/>
      <c r="V1213" s="592"/>
      <c r="W1213" s="592"/>
      <c r="X1213" s="576"/>
      <c r="Y1213" s="592"/>
      <c r="Z1213" s="592"/>
      <c r="AA1213" s="576"/>
      <c r="AB1213" s="592"/>
      <c r="AC1213" s="592"/>
      <c r="AD1213" s="574"/>
      <c r="AE1213" s="592"/>
      <c r="AF1213" s="921">
        <f>AF341</f>
        <v>-1.4319999999999999E-2</v>
      </c>
      <c r="AG1213" s="1047">
        <f>AG341</f>
        <v>-3.4999999999999962E-3</v>
      </c>
      <c r="AH1213" s="162">
        <f>(AF$1210/AH$1210*AF1213)+(AG$1210/AH$1210*AG1213)</f>
        <v>-8.4524443272516788E-3</v>
      </c>
      <c r="AI1213" s="590">
        <f>AI341</f>
        <v>7.3400000000000028E-3</v>
      </c>
      <c r="AJ1213" s="590">
        <f>AJ341</f>
        <v>4.9200000000000008E-3</v>
      </c>
      <c r="AK1213" s="162">
        <f>(AI$1210/AK$1210*AI1213)+(AJ$1210/AK$1210*AJ1213)</f>
        <v>6.0427392461839206E-3</v>
      </c>
      <c r="AL1213" s="590">
        <f>AL341</f>
        <v>3.0000000000000027E-3</v>
      </c>
      <c r="AM1213" s="590">
        <f>AM341</f>
        <v>-2.919999999999999E-3</v>
      </c>
      <c r="AN1213" s="162">
        <f>(AL$1210/AN$1210*AL1213)+(AM$1210/AN$1210*AM1213)</f>
        <v>-1.7642116702743871E-4</v>
      </c>
      <c r="AO1213" s="590">
        <f>AO341</f>
        <v>-2.919999999999999E-3</v>
      </c>
      <c r="AP1213" s="590">
        <f>AP341</f>
        <v>-2.919999999999999E-3</v>
      </c>
      <c r="AQ1213" s="162">
        <f>(AO$1210/AQ$1210*AO1213)+(AP$1210/AQ$1210*AP1213)</f>
        <v>-2.9199999999999986E-3</v>
      </c>
      <c r="AR1213" s="590">
        <f>AR341</f>
        <v>-2.919999999999999E-3</v>
      </c>
      <c r="AS1213" s="590">
        <f>AS341</f>
        <v>-2.919999999999999E-3</v>
      </c>
      <c r="AT1213" s="162">
        <f>(AR$1210/AT$1210*AR1213)+(AS$1210/AT$1210*AS1213)</f>
        <v>-2.919999999999999E-3</v>
      </c>
      <c r="AU1213" s="590">
        <f>AU341</f>
        <v>-2.919999999999999E-3</v>
      </c>
      <c r="AV1213" s="590">
        <f>AV341</f>
        <v>-2.919999999999999E-3</v>
      </c>
      <c r="AW1213" s="162">
        <f>(AU$1210/AW$1210*AU1213)+(AV$1210/AW$1210*AV1213)</f>
        <v>-2.919999999999999E-3</v>
      </c>
      <c r="AX1213" s="590">
        <f>AX341</f>
        <v>-2.919999999999999E-3</v>
      </c>
      <c r="AY1213" s="590">
        <f>AY341</f>
        <v>-2.919999999999999E-3</v>
      </c>
      <c r="AZ1213" s="162">
        <f>(AX$1210/AZ$1210*AX1213)+(AY$1210/AZ$1210*AY1213)</f>
        <v>-2.919999999999999E-3</v>
      </c>
      <c r="BA1213" s="590">
        <f>BA341</f>
        <v>-2.919999999999999E-3</v>
      </c>
      <c r="BB1213" s="590">
        <f>BB341</f>
        <v>-2.919999999999999E-3</v>
      </c>
      <c r="BC1213" s="162">
        <f>(BA$1210/BC$1210*BA1213)+(BB$1210/BC$1210*BB1213)</f>
        <v>-2.919999999999999E-3</v>
      </c>
      <c r="BD1213" s="590">
        <f>BD341</f>
        <v>-2.919999999999999E-3</v>
      </c>
      <c r="BE1213" s="590">
        <f>BE341</f>
        <v>-2.919999999999999E-3</v>
      </c>
      <c r="BF1213" s="162">
        <f>(BD$1210/BF$1210*BD1213)+(BE$1210/BF$1210*BE1213)</f>
        <v>-2.919999999999999E-3</v>
      </c>
      <c r="BG1213" s="590">
        <f>BG341</f>
        <v>-2.919999999999999E-3</v>
      </c>
      <c r="BH1213" s="590">
        <f>BH341</f>
        <v>-2.919999999999999E-3</v>
      </c>
      <c r="BI1213" s="162">
        <f>(BG$1210/BI$1210*BG1213)+(BH$1210/BI$1210*BH1213)</f>
        <v>-2.919999999999999E-3</v>
      </c>
      <c r="BJ1213" s="590">
        <f>BJ341</f>
        <v>-2.919999999999999E-3</v>
      </c>
      <c r="BK1213" s="590">
        <f>BK341</f>
        <v>-2.919999999999999E-3</v>
      </c>
      <c r="BL1213" s="162">
        <f>(BJ$1210/BL$1210*BJ1213)+(BK$1210/BL$1210*BK1213)</f>
        <v>-2.919999999999999E-3</v>
      </c>
      <c r="BM1213" s="590">
        <f>BM341</f>
        <v>-2.919999999999999E-3</v>
      </c>
      <c r="BN1213" s="590">
        <f>BN341</f>
        <v>-2.919999999999999E-3</v>
      </c>
      <c r="BO1213" s="162">
        <f>(BM$1210/BO$1210*BM1213)+(BN$1210/BO$1210*BN1213)</f>
        <v>-2.919999999999999E-3</v>
      </c>
      <c r="BP1213" s="590">
        <f>BP341</f>
        <v>-2.919999999999999E-3</v>
      </c>
      <c r="BQ1213" s="590">
        <f>BQ341</f>
        <v>-2.919999999999999E-3</v>
      </c>
      <c r="BR1213" s="162">
        <f>(BP$1210/BR$1210*BP1213)+(BQ$1210/BR$1210*BQ1213)</f>
        <v>-2.919999999999999E-3</v>
      </c>
    </row>
    <row r="1214" spans="3:70" outlineLevel="1">
      <c r="C1214" s="594" t="s">
        <v>92</v>
      </c>
      <c r="D1214" s="31" t="s">
        <v>66</v>
      </c>
      <c r="E1214" s="564"/>
      <c r="F1214" s="564"/>
      <c r="G1214" s="564"/>
      <c r="H1214" s="592"/>
      <c r="I1214" s="576"/>
      <c r="J1214" s="592"/>
      <c r="K1214" s="592"/>
      <c r="L1214" s="576"/>
      <c r="M1214" s="592"/>
      <c r="N1214" s="592"/>
      <c r="O1214" s="576"/>
      <c r="P1214" s="592"/>
      <c r="Q1214" s="592"/>
      <c r="R1214" s="576"/>
      <c r="S1214" s="592"/>
      <c r="T1214" s="592"/>
      <c r="U1214" s="576"/>
      <c r="V1214" s="592"/>
      <c r="W1214" s="592"/>
      <c r="X1214" s="576"/>
      <c r="Y1214" s="592"/>
      <c r="Z1214" s="592"/>
      <c r="AA1214" s="576"/>
      <c r="AB1214" s="592"/>
      <c r="AC1214" s="592"/>
      <c r="AD1214" s="574"/>
      <c r="AE1214" s="592"/>
      <c r="AF1214" s="921">
        <f>AF366</f>
        <v>3.9774539116565977E-2</v>
      </c>
      <c r="AG1214" s="1047">
        <f>AG366</f>
        <v>4.4042001309690826E-2</v>
      </c>
      <c r="AH1214" s="162">
        <f>(AF$1210/AH$1210*AF1214)+(AG$1210/AH$1210*AG1214)</f>
        <v>4.2088732462176759E-2</v>
      </c>
      <c r="AI1214" s="590">
        <f>AI366</f>
        <v>2.7229945632338881E-2</v>
      </c>
      <c r="AJ1214" s="590">
        <f>AJ366</f>
        <v>4.0322580645161255E-3</v>
      </c>
      <c r="AK1214" s="162">
        <f>(AI$1210/AK$1210*AI1214)+(AJ$1210/AK$1210*AJ1214)</f>
        <v>1.4794635855056358E-2</v>
      </c>
      <c r="AL1214" s="590">
        <f>AL366</f>
        <v>0</v>
      </c>
      <c r="AM1214" s="590">
        <f>AM366</f>
        <v>7.9365079365079638E-3</v>
      </c>
      <c r="AN1214" s="162">
        <f>(AL$1210/AN$1210*AL1214)+(AM$1210/AN$1210*AM1214)</f>
        <v>4.2583938854400625E-3</v>
      </c>
      <c r="AO1214" s="590">
        <f>AO366</f>
        <v>7.9365079365079638E-3</v>
      </c>
      <c r="AP1214" s="590">
        <f>AP366</f>
        <v>0</v>
      </c>
      <c r="AQ1214" s="162">
        <f>(AO$1210/AQ$1210*AO1214)+(AP$1210/AQ$1210*AP1214)</f>
        <v>3.6937650442151015E-3</v>
      </c>
      <c r="AR1214" s="590">
        <f>AR366</f>
        <v>0</v>
      </c>
      <c r="AS1214" s="590">
        <f>AS366</f>
        <v>0</v>
      </c>
      <c r="AT1214" s="162">
        <f>(AR$1210/AT$1210*AR1214)+(AS$1210/AT$1210*AS1214)</f>
        <v>0</v>
      </c>
      <c r="AU1214" s="590">
        <f>AU366</f>
        <v>0</v>
      </c>
      <c r="AV1214" s="590">
        <f>AV366</f>
        <v>0</v>
      </c>
      <c r="AW1214" s="162">
        <f>(AU$1210/AW$1210*AU1214)+(AV$1210/AW$1210*AV1214)</f>
        <v>0</v>
      </c>
      <c r="AX1214" s="590">
        <f>AX366</f>
        <v>0</v>
      </c>
      <c r="AY1214" s="590">
        <f>AY366</f>
        <v>0</v>
      </c>
      <c r="AZ1214" s="162">
        <f>(AX$1210/AZ$1210*AX1214)+(AY$1210/AZ$1210*AY1214)</f>
        <v>0</v>
      </c>
      <c r="BA1214" s="590">
        <f>BA366</f>
        <v>0</v>
      </c>
      <c r="BB1214" s="590">
        <f>BB366</f>
        <v>0</v>
      </c>
      <c r="BC1214" s="162">
        <f>(BA$1210/BC$1210*BA1214)+(BB$1210/BC$1210*BB1214)</f>
        <v>0</v>
      </c>
      <c r="BD1214" s="590">
        <f>BD366</f>
        <v>0</v>
      </c>
      <c r="BE1214" s="590">
        <f>BE366</f>
        <v>0</v>
      </c>
      <c r="BF1214" s="162">
        <f>(BD$1210/BF$1210*BD1214)+(BE$1210/BF$1210*BE1214)</f>
        <v>0</v>
      </c>
      <c r="BG1214" s="590">
        <f>BG366</f>
        <v>0</v>
      </c>
      <c r="BH1214" s="590">
        <f>BH366</f>
        <v>0</v>
      </c>
      <c r="BI1214" s="162">
        <f>(BG$1210/BI$1210*BG1214)+(BH$1210/BI$1210*BH1214)</f>
        <v>0</v>
      </c>
      <c r="BJ1214" s="590">
        <f>BJ366</f>
        <v>0</v>
      </c>
      <c r="BK1214" s="590">
        <f>BK366</f>
        <v>0</v>
      </c>
      <c r="BL1214" s="162">
        <f>(BJ$1210/BL$1210*BJ1214)+(BK$1210/BL$1210*BK1214)</f>
        <v>0</v>
      </c>
      <c r="BM1214" s="590">
        <f>BM366</f>
        <v>0</v>
      </c>
      <c r="BN1214" s="590">
        <f>BN366</f>
        <v>0</v>
      </c>
      <c r="BO1214" s="162">
        <f>(BM$1210/BO$1210*BM1214)+(BN$1210/BO$1210*BN1214)</f>
        <v>0</v>
      </c>
      <c r="BP1214" s="590">
        <f>BP366</f>
        <v>0</v>
      </c>
      <c r="BQ1214" s="590">
        <f>BQ366</f>
        <v>0</v>
      </c>
      <c r="BR1214" s="162">
        <f>(BP$1210/BR$1210*BP1214)+(BQ$1210/BR$1210*BQ1214)</f>
        <v>0</v>
      </c>
    </row>
    <row r="1215" spans="3:70" outlineLevel="1">
      <c r="C1215" s="594" t="s">
        <v>614</v>
      </c>
      <c r="D1215" s="31" t="s">
        <v>66</v>
      </c>
      <c r="E1215" s="564"/>
      <c r="F1215" s="564"/>
      <c r="G1215" s="564"/>
      <c r="H1215" s="592"/>
      <c r="I1215" s="576"/>
      <c r="J1215" s="592"/>
      <c r="K1215" s="592"/>
      <c r="L1215" s="576"/>
      <c r="M1215" s="592"/>
      <c r="N1215" s="592"/>
      <c r="O1215" s="576"/>
      <c r="P1215" s="592"/>
      <c r="Q1215" s="592"/>
      <c r="R1215" s="576"/>
      <c r="S1215" s="592"/>
      <c r="T1215" s="592"/>
      <c r="U1215" s="576"/>
      <c r="V1215" s="592"/>
      <c r="W1215" s="592"/>
      <c r="X1215" s="576"/>
      <c r="Y1215" s="592"/>
      <c r="Z1215" s="592"/>
      <c r="AA1215" s="576"/>
      <c r="AB1215" s="592"/>
      <c r="AC1215" s="592"/>
      <c r="AD1215" s="574"/>
      <c r="AE1215" s="592"/>
      <c r="AF1215" s="912">
        <v>0</v>
      </c>
      <c r="AG1215" s="975">
        <v>0</v>
      </c>
      <c r="AH1215" s="162">
        <f>(AH1210-AH1216)/AE1210-1-AH1214-AH1213</f>
        <v>-0.12269422954705328</v>
      </c>
      <c r="AI1215" s="591">
        <v>0</v>
      </c>
      <c r="AJ1215" s="591">
        <v>0</v>
      </c>
      <c r="AK1215" s="162">
        <f>(AK1210-AK1216)/AH1210-1-AK1214-AK1213</f>
        <v>-1.5959287105248715E-4</v>
      </c>
      <c r="AL1215" s="591">
        <v>0</v>
      </c>
      <c r="AM1215" s="591">
        <v>0</v>
      </c>
      <c r="AN1215" s="162">
        <f>(AN1210-AN1216)/AK1210-1-AN1214-AN1213</f>
        <v>-1.0071788298089517E-6</v>
      </c>
      <c r="AO1215" s="591">
        <v>0</v>
      </c>
      <c r="AP1215" s="591">
        <v>0</v>
      </c>
      <c r="AQ1215" s="162">
        <f>(AQ1210-AQ1216)/AN1210-1-AQ1214-AQ1213</f>
        <v>-1.5650993147143383E-5</v>
      </c>
      <c r="AR1215" s="591">
        <v>0</v>
      </c>
      <c r="AS1215" s="591">
        <v>0</v>
      </c>
      <c r="AT1215" s="162">
        <f>(AT1210-AT1216)/AQ1210-1-AT1214-AT1213</f>
        <v>-1.457167719820518E-16</v>
      </c>
      <c r="AU1215" s="591">
        <v>0</v>
      </c>
      <c r="AV1215" s="591">
        <v>0</v>
      </c>
      <c r="AW1215" s="162">
        <f>(AW1210-AW1216)/AT1210-1-AW1214-AW1213</f>
        <v>-3.4694469519536142E-17</v>
      </c>
      <c r="AX1215" s="591">
        <v>0</v>
      </c>
      <c r="AY1215" s="591">
        <v>0</v>
      </c>
      <c r="AZ1215" s="162">
        <f>(AZ1210-AZ1216)/AW1210-1-AZ1214-AZ1213</f>
        <v>-3.4694469519536142E-17</v>
      </c>
      <c r="BA1215" s="591">
        <v>0</v>
      </c>
      <c r="BB1215" s="591">
        <v>0</v>
      </c>
      <c r="BC1215" s="162">
        <f>(BC1210-BC1216)/AZ1210-1-BC1214-BC1213</f>
        <v>-1.457167719820518E-16</v>
      </c>
      <c r="BD1215" s="591">
        <v>0</v>
      </c>
      <c r="BE1215" s="591">
        <v>0</v>
      </c>
      <c r="BF1215" s="162">
        <f>(BF1210-BF1216)/BC1210-1-BF1214-BF1213</f>
        <v>-3.4694469519536142E-17</v>
      </c>
      <c r="BG1215" s="591">
        <v>0</v>
      </c>
      <c r="BH1215" s="591">
        <v>0</v>
      </c>
      <c r="BI1215" s="162">
        <f>(BI1210-BI1216)/BF1210-1-BI1214-BI1213</f>
        <v>7.6327832942979512E-17</v>
      </c>
      <c r="BJ1215" s="591">
        <v>0</v>
      </c>
      <c r="BK1215" s="591">
        <v>0</v>
      </c>
      <c r="BL1215" s="162">
        <f>(BL1210-BL1216)/BI1210-1-BL1214-BL1213</f>
        <v>-1.457167719820518E-16</v>
      </c>
      <c r="BM1215" s="591">
        <v>0</v>
      </c>
      <c r="BN1215" s="591">
        <v>0</v>
      </c>
      <c r="BO1215" s="162">
        <f>(BO1210-BO1216)/BL1210-1-BO1214-BO1213</f>
        <v>7.6327832942979512E-17</v>
      </c>
      <c r="BP1215" s="591">
        <v>0</v>
      </c>
      <c r="BQ1215" s="591">
        <v>0</v>
      </c>
      <c r="BR1215" s="162">
        <f>(BR1210-BR1216)/BO1210-1-BR1214-BR1213</f>
        <v>-3.4694469519536142E-17</v>
      </c>
    </row>
    <row r="1216" spans="3:70" outlineLevel="1">
      <c r="C1216" s="384" t="s">
        <v>585</v>
      </c>
      <c r="D1216" s="31" t="s">
        <v>58</v>
      </c>
      <c r="E1216" s="564"/>
      <c r="F1216" s="564"/>
      <c r="G1216" s="564"/>
      <c r="H1216" s="535">
        <f>+H1336</f>
        <v>0</v>
      </c>
      <c r="I1216" s="545">
        <f>+I1336</f>
        <v>0</v>
      </c>
      <c r="J1216" s="167">
        <f>+I1216+H1216</f>
        <v>0</v>
      </c>
      <c r="K1216" s="167">
        <f>+K1336</f>
        <v>125</v>
      </c>
      <c r="L1216" s="171">
        <f>+L1336</f>
        <v>150</v>
      </c>
      <c r="M1216" s="167">
        <f>+L1216+K1216</f>
        <v>275</v>
      </c>
      <c r="N1216" s="167">
        <f>+N1336</f>
        <v>25</v>
      </c>
      <c r="O1216" s="171">
        <f>+O1336</f>
        <v>0</v>
      </c>
      <c r="P1216" s="167">
        <f>+O1216+N1216</f>
        <v>25</v>
      </c>
      <c r="Q1216" s="167">
        <f>+Q1336</f>
        <v>0</v>
      </c>
      <c r="R1216" s="171">
        <f>+R1336</f>
        <v>0</v>
      </c>
      <c r="S1216" s="167">
        <f>+R1216+Q1216</f>
        <v>0</v>
      </c>
      <c r="T1216" s="167">
        <f>+T1336</f>
        <v>0</v>
      </c>
      <c r="U1216" s="171">
        <f>+U1336</f>
        <v>0</v>
      </c>
      <c r="V1216" s="167">
        <f>+U1216+T1216</f>
        <v>0</v>
      </c>
      <c r="W1216" s="167">
        <f>+W1336</f>
        <v>0</v>
      </c>
      <c r="X1216" s="171">
        <f>+X1336</f>
        <v>0</v>
      </c>
      <c r="Y1216" s="167">
        <f>+X1216+W1216</f>
        <v>0</v>
      </c>
      <c r="Z1216" s="167">
        <f>+Z1336</f>
        <v>0</v>
      </c>
      <c r="AA1216" s="171">
        <f>+AA1336</f>
        <v>18.333333333333332</v>
      </c>
      <c r="AB1216" s="167">
        <f>+AA1216+Z1216</f>
        <v>18.333333333333332</v>
      </c>
      <c r="AC1216" s="167">
        <f>+AC1336</f>
        <v>55</v>
      </c>
      <c r="AD1216" s="347">
        <f>+AD1336</f>
        <v>36.666666666666671</v>
      </c>
      <c r="AE1216" s="167">
        <f>+AD1216+AC1216</f>
        <v>91.666666666666671</v>
      </c>
      <c r="AF1216" s="645">
        <f>+AF1336</f>
        <v>0</v>
      </c>
      <c r="AG1216" s="1048">
        <f>+AG1336</f>
        <v>0</v>
      </c>
      <c r="AH1216" s="597">
        <f>+AG1216+AF1216</f>
        <v>0</v>
      </c>
      <c r="AI1216" s="645">
        <f>+AI1336</f>
        <v>0</v>
      </c>
      <c r="AJ1216" s="645">
        <f>+AJ1336</f>
        <v>0</v>
      </c>
      <c r="AK1216" s="598">
        <f>+AJ1216+AI1216</f>
        <v>0</v>
      </c>
      <c r="AL1216" s="645">
        <f>+AL1336</f>
        <v>0</v>
      </c>
      <c r="AM1216" s="645">
        <f>+AM1336</f>
        <v>0</v>
      </c>
      <c r="AN1216" s="598">
        <f>+AM1216+AL1216</f>
        <v>0</v>
      </c>
      <c r="AO1216" s="645">
        <f>+AO1336</f>
        <v>0</v>
      </c>
      <c r="AP1216" s="645">
        <f>+AP1336</f>
        <v>0</v>
      </c>
      <c r="AQ1216" s="598">
        <f>+AP1216+AO1216</f>
        <v>0</v>
      </c>
      <c r="AR1216" s="645">
        <f>+AR1336</f>
        <v>0</v>
      </c>
      <c r="AS1216" s="645">
        <f>+AS1336</f>
        <v>0</v>
      </c>
      <c r="AT1216" s="598">
        <f>+AS1216+AR1216</f>
        <v>0</v>
      </c>
      <c r="AU1216" s="645">
        <f>+AU1336</f>
        <v>0</v>
      </c>
      <c r="AV1216" s="645">
        <f>+AV1336</f>
        <v>0</v>
      </c>
      <c r="AW1216" s="598">
        <f>+AV1216+AU1216</f>
        <v>0</v>
      </c>
      <c r="AX1216" s="645">
        <f>+AX1336</f>
        <v>0</v>
      </c>
      <c r="AY1216" s="645">
        <f>+AY1336</f>
        <v>0</v>
      </c>
      <c r="AZ1216" s="598">
        <f>+AY1216+AX1216</f>
        <v>0</v>
      </c>
      <c r="BA1216" s="645">
        <f>+BA1336</f>
        <v>0</v>
      </c>
      <c r="BB1216" s="645">
        <f>+BB1336</f>
        <v>0</v>
      </c>
      <c r="BC1216" s="598">
        <f>+BB1216+BA1216</f>
        <v>0</v>
      </c>
      <c r="BD1216" s="645">
        <f>+BD1336</f>
        <v>0</v>
      </c>
      <c r="BE1216" s="645">
        <f>+BE1336</f>
        <v>0</v>
      </c>
      <c r="BF1216" s="598">
        <f>+BE1216+BD1216</f>
        <v>0</v>
      </c>
      <c r="BG1216" s="645">
        <f>+BG1336</f>
        <v>0</v>
      </c>
      <c r="BH1216" s="645">
        <f>+BH1336</f>
        <v>0</v>
      </c>
      <c r="BI1216" s="598">
        <f>+BH1216+BG1216</f>
        <v>0</v>
      </c>
      <c r="BJ1216" s="645">
        <f>+BJ1336</f>
        <v>0</v>
      </c>
      <c r="BK1216" s="645">
        <f>+BK1336</f>
        <v>0</v>
      </c>
      <c r="BL1216" s="598">
        <f>+BK1216+BJ1216</f>
        <v>0</v>
      </c>
      <c r="BM1216" s="645">
        <f>+BM1336</f>
        <v>0</v>
      </c>
      <c r="BN1216" s="645">
        <f>+BN1336</f>
        <v>0</v>
      </c>
      <c r="BO1216" s="598">
        <f>+BN1216+BM1216</f>
        <v>0</v>
      </c>
      <c r="BP1216" s="645">
        <f>+BP1336</f>
        <v>0</v>
      </c>
      <c r="BQ1216" s="645">
        <f>+BQ1336</f>
        <v>0</v>
      </c>
      <c r="BR1216" s="598">
        <f>+BQ1216+BP1216</f>
        <v>0</v>
      </c>
    </row>
    <row r="1217" spans="3:70" outlineLevel="1">
      <c r="C1217" s="95" t="s">
        <v>61</v>
      </c>
      <c r="D1217" s="96" t="s">
        <v>58</v>
      </c>
      <c r="E1217" s="562"/>
      <c r="F1217" s="562"/>
      <c r="G1217" s="562"/>
      <c r="H1217" s="468">
        <f>H1206*H$1231</f>
        <v>284.68</v>
      </c>
      <c r="I1217" s="341">
        <f>J1217-H1217</f>
        <v>402.46</v>
      </c>
      <c r="J1217" s="468">
        <f>J1206*J$1231</f>
        <v>687.14</v>
      </c>
      <c r="K1217" s="468">
        <f>K1206*K$1231</f>
        <v>471.35999999999996</v>
      </c>
      <c r="L1217" s="341">
        <f>M1217-K1217</f>
        <v>446.34</v>
      </c>
      <c r="M1217" s="468">
        <f>M1206*M$1231</f>
        <v>917.69999999999993</v>
      </c>
      <c r="N1217" s="468">
        <f>N1206*N$1231</f>
        <v>463.68</v>
      </c>
      <c r="O1217" s="341">
        <f>P1217-N1217</f>
        <v>522.89999999999986</v>
      </c>
      <c r="P1217" s="468">
        <f>P1206*P$1231</f>
        <v>986.57999999999993</v>
      </c>
      <c r="Q1217" s="468">
        <f>Q1206*Q$1231</f>
        <v>399.20000000000005</v>
      </c>
      <c r="R1217" s="341">
        <f>S1217-Q1217</f>
        <v>512.19999999999993</v>
      </c>
      <c r="S1217" s="468">
        <f>S1206*S$1231</f>
        <v>911.4</v>
      </c>
      <c r="T1217" s="468">
        <f>T1206*T$1231</f>
        <v>385.20000000000005</v>
      </c>
      <c r="U1217" s="341">
        <f>V1217-T1217</f>
        <v>523.39</v>
      </c>
      <c r="V1217" s="468">
        <f>V1206*V$1231</f>
        <v>908.59</v>
      </c>
      <c r="W1217" s="468">
        <f>W1206*W$1231</f>
        <v>405.3</v>
      </c>
      <c r="X1217" s="341">
        <f>Y1217-W1217</f>
        <v>467.46</v>
      </c>
      <c r="Y1217" s="468">
        <f>Y1206*Y$1231</f>
        <v>872.76</v>
      </c>
      <c r="Z1217" s="468">
        <f>Z1206*Z$1231</f>
        <v>385.32</v>
      </c>
      <c r="AA1217" s="341">
        <f>AB1217-Z1217</f>
        <v>438.28000000000003</v>
      </c>
      <c r="AB1217" s="468">
        <f>AB1206*AB$1231</f>
        <v>823.6</v>
      </c>
      <c r="AC1217" s="468">
        <f>AC1206*AC$1231</f>
        <v>382.21</v>
      </c>
      <c r="AD1217" s="64">
        <f>AE1217-AC1217</f>
        <v>467.39000000000004</v>
      </c>
      <c r="AE1217" s="468">
        <f>AE1206*AE$1240</f>
        <v>849.6</v>
      </c>
      <c r="AF1217" s="468">
        <f>AF1206*AF$1231</f>
        <v>305.04000000000002</v>
      </c>
      <c r="AG1217" s="1045">
        <f>(AD1217*(1+AG1219))+AG1223</f>
        <v>472.31722599213646</v>
      </c>
      <c r="AH1217" s="341">
        <f>+AG1217+AF1217</f>
        <v>777.35722599213648</v>
      </c>
      <c r="AI1217" s="468">
        <f t="shared" ref="AI1217:AJ1217" si="5919">(AF1217*(1+AI1219))+AI1223</f>
        <v>332.36241621568865</v>
      </c>
      <c r="AJ1217" s="468">
        <f t="shared" si="5919"/>
        <v>502.52297911710201</v>
      </c>
      <c r="AK1217" s="341">
        <f t="shared" ref="AK1217" si="5920">+AJ1217+AI1217</f>
        <v>834.88539533279072</v>
      </c>
      <c r="AL1217" s="468">
        <f t="shared" ref="AL1217:AM1217" si="5921">(AI1217*(1+AL1219))+AL1223</f>
        <v>344.99218803188484</v>
      </c>
      <c r="AM1217" s="468">
        <f t="shared" si="5921"/>
        <v>522.63219389921915</v>
      </c>
      <c r="AN1217" s="341">
        <f t="shared" ref="AN1217" si="5922">+AM1217+AL1217</f>
        <v>867.62438193110393</v>
      </c>
      <c r="AO1217" s="468">
        <f t="shared" ref="AO1217" si="5923">(AL1217*(1+AO1219))+AO1223</f>
        <v>358.79757066229604</v>
      </c>
      <c r="AP1217" s="468">
        <f t="shared" ref="AP1217" si="5924">(AM1217*(1+AP1219))+AP1223</f>
        <v>539.39823467950612</v>
      </c>
      <c r="AQ1217" s="341">
        <f t="shared" ref="AQ1217" si="5925">+AP1217+AO1217</f>
        <v>898.19580534180216</v>
      </c>
      <c r="AR1217" s="468">
        <f t="shared" ref="AR1217" si="5926">(AO1217*(1+AR1219))+AR1223</f>
        <v>370.30779672914252</v>
      </c>
      <c r="AS1217" s="468">
        <f t="shared" ref="AS1217" si="5927">(AP1217*(1+AS1219))+AS1223</f>
        <v>556.70213004802474</v>
      </c>
      <c r="AT1217" s="341">
        <f t="shared" ref="AT1217" si="5928">+AS1217+AR1217</f>
        <v>927.00992677716727</v>
      </c>
      <c r="AU1217" s="468">
        <f t="shared" ref="AU1217" si="5929">(AR1217*(1+AU1219))+AU1223</f>
        <v>382.18727084821347</v>
      </c>
      <c r="AV1217" s="468">
        <f t="shared" ref="AV1217" si="5930">(AS1217*(1+AV1219))+AV1223</f>
        <v>574.56113437996544</v>
      </c>
      <c r="AW1217" s="341">
        <f t="shared" ref="AW1217" si="5931">+AV1217+AU1217</f>
        <v>956.74840522817885</v>
      </c>
      <c r="AX1217" s="468">
        <f t="shared" ref="AX1217" si="5932">(AU1217*(1+AX1219))+AX1223</f>
        <v>394.44783849702418</v>
      </c>
      <c r="AY1217" s="468">
        <f t="shared" ref="AY1217" si="5933">(AV1217*(1+AY1219))+AY1223</f>
        <v>592.99305557087484</v>
      </c>
      <c r="AZ1217" s="341">
        <f t="shared" ref="AZ1217" si="5934">+AY1217+AX1217</f>
        <v>987.44089406789908</v>
      </c>
      <c r="BA1217" s="468">
        <f t="shared" ref="BA1217" si="5935">(AX1217*(1+BA1219))+BA1223</f>
        <v>407.10172515600874</v>
      </c>
      <c r="BB1217" s="468">
        <f t="shared" ref="BB1217" si="5936">(AY1217*(1+BB1219))+BB1223</f>
        <v>612.01627279358854</v>
      </c>
      <c r="BC1217" s="341">
        <f t="shared" ref="BC1217" si="5937">+BB1217+BA1217</f>
        <v>1019.1179979495973</v>
      </c>
      <c r="BD1217" s="468">
        <f t="shared" ref="BD1217" si="5938">(BA1217*(1+BD1219))+BD1223</f>
        <v>420.16154849901352</v>
      </c>
      <c r="BE1217" s="468">
        <f t="shared" ref="BE1217" si="5939">(BB1217*(1+BE1219))+BE1223</f>
        <v>631.64975482480691</v>
      </c>
      <c r="BF1217" s="341">
        <f t="shared" ref="BF1217" si="5940">+BE1217+BD1217</f>
        <v>1051.8113033238205</v>
      </c>
      <c r="BG1217" s="468">
        <f t="shared" ref="BG1217" si="5941">(BD1217*(1+BG1219))+BG1223</f>
        <v>433.64033097486191</v>
      </c>
      <c r="BH1217" s="468">
        <f t="shared" ref="BH1217" si="5942">(BE1217*(1+BH1219))+BH1223</f>
        <v>651.91307895958676</v>
      </c>
      <c r="BI1217" s="341">
        <f t="shared" ref="BI1217" si="5943">+BH1217+BG1217</f>
        <v>1085.5534099344486</v>
      </c>
      <c r="BJ1217" s="468">
        <f t="shared" ref="BJ1217" si="5944">(BG1217*(1+BJ1219))+BJ1223</f>
        <v>447.5515127925355</v>
      </c>
      <c r="BK1217" s="468">
        <f t="shared" ref="BK1217" si="5945">(BH1217*(1+BK1219))+BK1223</f>
        <v>672.82645053261035</v>
      </c>
      <c r="BL1217" s="341">
        <f t="shared" ref="BL1217" si="5946">+BK1217+BJ1217</f>
        <v>1120.3779633251459</v>
      </c>
      <c r="BM1217" s="468">
        <f t="shared" ref="BM1217" si="5947">(BJ1217*(1+BM1219))+BM1223</f>
        <v>461.9089653229201</v>
      </c>
      <c r="BN1217" s="468">
        <f t="shared" ref="BN1217" si="5948">(BK1217*(1+BN1219))+BN1223</f>
        <v>694.41072306569652</v>
      </c>
      <c r="BO1217" s="341">
        <f t="shared" ref="BO1217" si="5949">+BN1217+BM1217</f>
        <v>1156.3196883886167</v>
      </c>
      <c r="BP1217" s="468">
        <f t="shared" ref="BP1217" si="5950">(BM1217*(1+BP1219))+BP1223</f>
        <v>476.72700493047944</v>
      </c>
      <c r="BQ1217" s="468">
        <f t="shared" ref="BQ1217" si="5951">(BN1217*(1+BQ1219))+BQ1223</f>
        <v>716.68741906164416</v>
      </c>
      <c r="BR1217" s="341">
        <f t="shared" ref="BR1217" si="5952">+BQ1217+BP1217</f>
        <v>1193.4144239921236</v>
      </c>
    </row>
    <row r="1218" spans="3:70" outlineLevel="1">
      <c r="C1218" s="547" t="s">
        <v>669</v>
      </c>
      <c r="D1218" s="31" t="s">
        <v>66</v>
      </c>
      <c r="E1218" s="562"/>
      <c r="F1218" s="562"/>
      <c r="G1218" s="562"/>
      <c r="H1218" s="583"/>
      <c r="I1218" s="605"/>
      <c r="J1218" s="583"/>
      <c r="K1218" s="595">
        <f>+K1217/H1217-1</f>
        <v>0.65575382886047473</v>
      </c>
      <c r="L1218" s="595">
        <f t="shared" ref="L1218" si="5953">+L1217/I1217-1</f>
        <v>0.10902946876708253</v>
      </c>
      <c r="M1218" s="595">
        <f t="shared" ref="M1218" si="5954">+M1217/J1217-1</f>
        <v>0.33553569869313371</v>
      </c>
      <c r="N1218" s="595">
        <f t="shared" ref="N1218" si="5955">+N1217/K1217-1</f>
        <v>-1.6293279022403184E-2</v>
      </c>
      <c r="O1218" s="595">
        <f t="shared" ref="O1218" si="5956">+O1217/L1217-1</f>
        <v>0.17152843124075789</v>
      </c>
      <c r="P1218" s="595">
        <f t="shared" ref="P1218" si="5957">+P1217/M1217-1</f>
        <v>7.5057208237986339E-2</v>
      </c>
      <c r="Q1218" s="595">
        <f t="shared" ref="Q1218" si="5958">+Q1217/N1217-1</f>
        <v>-0.13906142167011726</v>
      </c>
      <c r="R1218" s="595">
        <f t="shared" ref="R1218" si="5959">+R1217/O1217-1</f>
        <v>-2.046280359533359E-2</v>
      </c>
      <c r="S1218" s="595">
        <f t="shared" ref="S1218" si="5960">+S1217/P1217-1</f>
        <v>-7.6202639421030227E-2</v>
      </c>
      <c r="T1218" s="595">
        <f t="shared" ref="T1218" si="5961">+T1217/Q1217-1</f>
        <v>-3.5070140280561102E-2</v>
      </c>
      <c r="U1218" s="595">
        <f t="shared" ref="U1218" si="5962">+U1217/R1217-1</f>
        <v>2.1846934791097228E-2</v>
      </c>
      <c r="V1218" s="595">
        <f t="shared" ref="V1218" si="5963">+V1217/S1217-1</f>
        <v>-3.08316875137149E-3</v>
      </c>
      <c r="W1218" s="595">
        <f t="shared" ref="W1218" si="5964">+W1217/T1217-1</f>
        <v>5.2180685358255374E-2</v>
      </c>
      <c r="X1218" s="595">
        <f t="shared" ref="X1218" si="5965">+X1217/U1217-1</f>
        <v>-0.10686104052427448</v>
      </c>
      <c r="Y1218" s="595">
        <f t="shared" ref="Y1218" si="5966">+Y1217/V1217-1</f>
        <v>-3.9434728535423069E-2</v>
      </c>
      <c r="Z1218" s="595">
        <f t="shared" ref="Z1218" si="5967">+Z1217/W1217-1</f>
        <v>-4.9296817172464924E-2</v>
      </c>
      <c r="AA1218" s="595">
        <f t="shared" ref="AA1218" si="5968">+AA1217/X1217-1</f>
        <v>-6.242245325803264E-2</v>
      </c>
      <c r="AB1218" s="595">
        <f t="shared" ref="AB1218" si="5969">+AB1217/Y1217-1</f>
        <v>-5.6327054402126597E-2</v>
      </c>
      <c r="AC1218" s="595">
        <f t="shared" ref="AC1218" si="5970">+AC1217/Z1217-1</f>
        <v>-8.0712135368006255E-3</v>
      </c>
      <c r="AD1218" s="595">
        <f t="shared" ref="AD1218" si="5971">+AD1217/AA1217-1</f>
        <v>6.6418727753947193E-2</v>
      </c>
      <c r="AE1218" s="595">
        <f t="shared" ref="AE1218:AF1218" si="5972">+AE1217/AB1217-1</f>
        <v>3.1568722680913153E-2</v>
      </c>
      <c r="AF1218" s="595">
        <f t="shared" si="5972"/>
        <v>-0.20190471206928118</v>
      </c>
      <c r="AG1218" s="1046">
        <f t="shared" ref="AG1218" si="5973">+AG1217/AD1217-1</f>
        <v>1.0542001309690852E-2</v>
      </c>
      <c r="AH1218" s="595">
        <f t="shared" ref="AH1218" si="5974">+AH1217/AE1217-1</f>
        <v>-8.5031513662739533E-2</v>
      </c>
      <c r="AI1218" s="595">
        <f t="shared" ref="AI1218" si="5975">+AI1217/AF1217-1</f>
        <v>8.9569945632338888E-2</v>
      </c>
      <c r="AJ1218" s="595">
        <f t="shared" ref="AJ1218" si="5976">+AJ1217/AG1217-1</f>
        <v>6.395225806451621E-2</v>
      </c>
      <c r="AK1218" s="595">
        <f t="shared" ref="AK1218" si="5977">+AK1217/AH1217-1</f>
        <v>7.4004804248434697E-2</v>
      </c>
      <c r="AL1218" s="595">
        <f t="shared" ref="AL1218" si="5978">+AL1217/AI1217-1</f>
        <v>3.8000000000000034E-2</v>
      </c>
      <c r="AM1218" s="595">
        <f t="shared" ref="AM1218" si="5979">+AM1217/AJ1217-1</f>
        <v>4.0016507936508017E-2</v>
      </c>
      <c r="AN1218" s="595">
        <f t="shared" ref="AN1218" si="5980">+AN1217/AK1217-1</f>
        <v>3.9213749313776525E-2</v>
      </c>
      <c r="AO1218" s="595">
        <f t="shared" ref="AO1218" si="5981">+AO1217/AL1217-1</f>
        <v>4.0016507936508017E-2</v>
      </c>
      <c r="AP1218" s="595">
        <f t="shared" ref="AP1218" si="5982">+AP1217/AM1217-1</f>
        <v>3.2080000000000108E-2</v>
      </c>
      <c r="AQ1218" s="595">
        <f t="shared" ref="AQ1218" si="5983">+AQ1217/AN1217-1</f>
        <v>3.5235781805317945E-2</v>
      </c>
      <c r="AR1218" s="595">
        <f t="shared" ref="AR1218" si="5984">+AR1217/AO1217-1</f>
        <v>3.2080000000000108E-2</v>
      </c>
      <c r="AS1218" s="595">
        <f t="shared" ref="AS1218" si="5985">+AS1217/AP1217-1</f>
        <v>3.2080000000000108E-2</v>
      </c>
      <c r="AT1218" s="595">
        <f t="shared" ref="AT1218" si="5986">+AT1217/AQ1217-1</f>
        <v>3.2080000000000108E-2</v>
      </c>
      <c r="AU1218" s="595">
        <f t="shared" ref="AU1218" si="5987">+AU1217/AR1217-1</f>
        <v>3.2080000000000108E-2</v>
      </c>
      <c r="AV1218" s="595">
        <f t="shared" ref="AV1218" si="5988">+AV1217/AS1217-1</f>
        <v>3.2080000000000108E-2</v>
      </c>
      <c r="AW1218" s="595">
        <f t="shared" ref="AW1218" si="5989">+AW1217/AT1217-1</f>
        <v>3.2080000000000108E-2</v>
      </c>
      <c r="AX1218" s="595">
        <f t="shared" ref="AX1218" si="5990">+AX1217/AU1217-1</f>
        <v>3.2080000000000108E-2</v>
      </c>
      <c r="AY1218" s="595">
        <f t="shared" ref="AY1218" si="5991">+AY1217/AV1217-1</f>
        <v>3.2080000000000108E-2</v>
      </c>
      <c r="AZ1218" s="595">
        <f t="shared" ref="AZ1218" si="5992">+AZ1217/AW1217-1</f>
        <v>3.208000000000033E-2</v>
      </c>
      <c r="BA1218" s="595">
        <f t="shared" ref="BA1218" si="5993">+BA1217/AX1217-1</f>
        <v>3.2080000000000108E-2</v>
      </c>
      <c r="BB1218" s="595">
        <f t="shared" ref="BB1218" si="5994">+BB1217/AY1217-1</f>
        <v>3.2080000000000108E-2</v>
      </c>
      <c r="BC1218" s="595">
        <f t="shared" ref="BC1218" si="5995">+BC1217/AZ1217-1</f>
        <v>3.2080000000000108E-2</v>
      </c>
      <c r="BD1218" s="595">
        <f t="shared" ref="BD1218" si="5996">+BD1217/BA1217-1</f>
        <v>3.2080000000000108E-2</v>
      </c>
      <c r="BE1218" s="595">
        <f t="shared" ref="BE1218" si="5997">+BE1217/BB1217-1</f>
        <v>3.2080000000000108E-2</v>
      </c>
      <c r="BF1218" s="595">
        <f t="shared" ref="BF1218" si="5998">+BF1217/BC1217-1</f>
        <v>3.2080000000000108E-2</v>
      </c>
      <c r="BG1218" s="595">
        <f t="shared" ref="BG1218" si="5999">+BG1217/BD1217-1</f>
        <v>3.2080000000000108E-2</v>
      </c>
      <c r="BH1218" s="595">
        <f t="shared" ref="BH1218" si="6000">+BH1217/BE1217-1</f>
        <v>3.2080000000000108E-2</v>
      </c>
      <c r="BI1218" s="595">
        <f t="shared" ref="BI1218" si="6001">+BI1217/BF1217-1</f>
        <v>3.2079999999999886E-2</v>
      </c>
      <c r="BJ1218" s="595">
        <f t="shared" ref="BJ1218" si="6002">+BJ1217/BG1217-1</f>
        <v>3.2080000000000108E-2</v>
      </c>
      <c r="BK1218" s="595">
        <f t="shared" ref="BK1218" si="6003">+BK1217/BH1217-1</f>
        <v>3.2080000000000108E-2</v>
      </c>
      <c r="BL1218" s="595">
        <f t="shared" ref="BL1218" si="6004">+BL1217/BI1217-1</f>
        <v>3.2080000000000108E-2</v>
      </c>
      <c r="BM1218" s="595">
        <f t="shared" ref="BM1218" si="6005">+BM1217/BJ1217-1</f>
        <v>3.2080000000000108E-2</v>
      </c>
      <c r="BN1218" s="595">
        <f t="shared" ref="BN1218" si="6006">+BN1217/BK1217-1</f>
        <v>3.2080000000000108E-2</v>
      </c>
      <c r="BO1218" s="595">
        <f t="shared" ref="BO1218" si="6007">+BO1217/BL1217-1</f>
        <v>3.2080000000000108E-2</v>
      </c>
      <c r="BP1218" s="595">
        <f t="shared" ref="BP1218" si="6008">+BP1217/BM1217-1</f>
        <v>3.2080000000000108E-2</v>
      </c>
      <c r="BQ1218" s="595">
        <f t="shared" ref="BQ1218" si="6009">+BQ1217/BN1217-1</f>
        <v>3.2080000000000108E-2</v>
      </c>
      <c r="BR1218" s="595">
        <f t="shared" ref="BR1218" si="6010">+BR1217/BO1217-1</f>
        <v>3.2080000000000108E-2</v>
      </c>
    </row>
    <row r="1219" spans="3:70" outlineLevel="1">
      <c r="C1219" s="596" t="s">
        <v>598</v>
      </c>
      <c r="D1219" s="31" t="s">
        <v>66</v>
      </c>
      <c r="E1219" s="562"/>
      <c r="F1219" s="562"/>
      <c r="G1219" s="562"/>
      <c r="H1219" s="583"/>
      <c r="I1219" s="605"/>
      <c r="J1219" s="583"/>
      <c r="K1219" s="604">
        <f t="shared" ref="K1219" si="6011">K1218-(K1223/H1217)</f>
        <v>0.48011802725867625</v>
      </c>
      <c r="L1219" s="604">
        <f t="shared" ref="L1219" si="6012">L1218-(L1223/I1217)</f>
        <v>-4.0053669929930841E-2</v>
      </c>
      <c r="M1219" s="604">
        <f t="shared" ref="M1219" si="6013">M1218-(M1223/J1217)</f>
        <v>0.17545187298076068</v>
      </c>
      <c r="N1219" s="604">
        <f t="shared" ref="N1219" si="6014">N1218-(N1223/K1217)</f>
        <v>-3.7508486082824095E-2</v>
      </c>
      <c r="O1219" s="604">
        <f t="shared" ref="O1219" si="6015">O1218-(O1223/L1217)</f>
        <v>0.17152843124075789</v>
      </c>
      <c r="P1219" s="604">
        <f t="shared" ref="P1219" si="6016">P1218-(P1223/M1217)</f>
        <v>6.4160401002506334E-2</v>
      </c>
      <c r="Q1219" s="604">
        <f t="shared" ref="Q1219" si="6017">Q1218-(Q1223/N1217)</f>
        <v>-0.13906142167011726</v>
      </c>
      <c r="R1219" s="604">
        <f t="shared" ref="R1219" si="6018">R1218-(R1223/O1217)</f>
        <v>-2.046280359533359E-2</v>
      </c>
      <c r="S1219" s="604">
        <f t="shared" ref="S1219" si="6019">S1218-(S1223/P1217)</f>
        <v>-7.6202639421030227E-2</v>
      </c>
      <c r="T1219" s="604">
        <f t="shared" ref="T1219" si="6020">T1218-(T1223/Q1217)</f>
        <v>-3.5070140280561102E-2</v>
      </c>
      <c r="U1219" s="604">
        <f t="shared" ref="U1219" si="6021">U1218-(U1223/R1217)</f>
        <v>2.1846934791097228E-2</v>
      </c>
      <c r="V1219" s="604">
        <f t="shared" ref="V1219" si="6022">V1218-(V1223/S1217)</f>
        <v>-3.08316875137149E-3</v>
      </c>
      <c r="W1219" s="604">
        <f t="shared" ref="W1219" si="6023">W1218-(W1223/T1217)</f>
        <v>5.2180685358255374E-2</v>
      </c>
      <c r="X1219" s="604">
        <f t="shared" ref="X1219" si="6024">X1218-(X1223/U1217)</f>
        <v>-0.10686104052427448</v>
      </c>
      <c r="Y1219" s="604">
        <f t="shared" ref="Y1219" si="6025">Y1218-(Y1223/V1217)</f>
        <v>-3.9434728535423069E-2</v>
      </c>
      <c r="Z1219" s="604">
        <f t="shared" ref="Z1219" si="6026">Z1218-(Z1223/W1217)</f>
        <v>-4.9296817172464924E-2</v>
      </c>
      <c r="AA1219" s="604">
        <f t="shared" ref="AA1219" si="6027">AA1218-(AA1223/X1217)</f>
        <v>-6.242245325803264E-2</v>
      </c>
      <c r="AB1219" s="604">
        <f t="shared" ref="AB1219" si="6028">AB1218-(AB1223/Y1217)</f>
        <v>-5.6327054402126597E-2</v>
      </c>
      <c r="AC1219" s="604">
        <f t="shared" ref="AC1219" si="6029">AC1218-(AC1223/Z1217)</f>
        <v>-8.0712135368006255E-3</v>
      </c>
      <c r="AD1219" s="604">
        <f t="shared" ref="AD1219" si="6030">AD1218-(AD1223/AA1217)</f>
        <v>6.6418727753947193E-2</v>
      </c>
      <c r="AE1219" s="604">
        <f>AE1218-(AE1223/AB1217)</f>
        <v>3.1568722680913153E-2</v>
      </c>
      <c r="AF1219" s="604">
        <f t="shared" ref="AF1219" si="6031">AF1218-(AF1223/AC1217)</f>
        <v>-0.20190471206928118</v>
      </c>
      <c r="AG1219" s="1047">
        <f>+AG1220+AG1221+AG1222</f>
        <v>1.0542001309690831E-2</v>
      </c>
      <c r="AH1219" s="590">
        <f>+AH1220+AH1221+AH1222</f>
        <v>-8.5031513662739547E-2</v>
      </c>
      <c r="AI1219" s="590">
        <f t="shared" ref="AI1219:AN1219" si="6032">+AI1220+AI1221+AI1222</f>
        <v>8.9569945632338888E-2</v>
      </c>
      <c r="AJ1219" s="590">
        <f t="shared" si="6032"/>
        <v>6.3952258064516126E-2</v>
      </c>
      <c r="AK1219" s="590">
        <f t="shared" si="6032"/>
        <v>7.4004804248434697E-2</v>
      </c>
      <c r="AL1219" s="590">
        <f t="shared" si="6032"/>
        <v>3.8000000000000006E-2</v>
      </c>
      <c r="AM1219" s="590">
        <f t="shared" si="6032"/>
        <v>4.0016507936507961E-2</v>
      </c>
      <c r="AN1219" s="590">
        <f t="shared" si="6032"/>
        <v>3.9213749313776525E-2</v>
      </c>
      <c r="AO1219" s="590">
        <f t="shared" ref="AO1219:BR1219" si="6033">+AO1220+AO1221+AO1222</f>
        <v>4.0016507936507961E-2</v>
      </c>
      <c r="AP1219" s="590">
        <f t="shared" si="6033"/>
        <v>3.2079999999999997E-2</v>
      </c>
      <c r="AQ1219" s="590">
        <f t="shared" si="6033"/>
        <v>3.5235781805317945E-2</v>
      </c>
      <c r="AR1219" s="590">
        <f t="shared" si="6033"/>
        <v>3.2079999999999997E-2</v>
      </c>
      <c r="AS1219" s="590">
        <f t="shared" si="6033"/>
        <v>3.2079999999999997E-2</v>
      </c>
      <c r="AT1219" s="590">
        <f t="shared" si="6033"/>
        <v>3.2080000000000108E-2</v>
      </c>
      <c r="AU1219" s="590">
        <f t="shared" si="6033"/>
        <v>3.2079999999999997E-2</v>
      </c>
      <c r="AV1219" s="590">
        <f t="shared" si="6033"/>
        <v>3.2079999999999997E-2</v>
      </c>
      <c r="AW1219" s="590">
        <f t="shared" si="6033"/>
        <v>3.2080000000000108E-2</v>
      </c>
      <c r="AX1219" s="590">
        <f t="shared" si="6033"/>
        <v>3.2079999999999997E-2</v>
      </c>
      <c r="AY1219" s="590">
        <f t="shared" si="6033"/>
        <v>3.2079999999999997E-2</v>
      </c>
      <c r="AZ1219" s="590">
        <f t="shared" si="6033"/>
        <v>3.208000000000033E-2</v>
      </c>
      <c r="BA1219" s="590">
        <f t="shared" si="6033"/>
        <v>3.2079999999999997E-2</v>
      </c>
      <c r="BB1219" s="590">
        <f t="shared" si="6033"/>
        <v>3.2079999999999997E-2</v>
      </c>
      <c r="BC1219" s="590">
        <f t="shared" si="6033"/>
        <v>3.2080000000000108E-2</v>
      </c>
      <c r="BD1219" s="590">
        <f t="shared" si="6033"/>
        <v>3.2079999999999997E-2</v>
      </c>
      <c r="BE1219" s="590">
        <f t="shared" si="6033"/>
        <v>3.2079999999999997E-2</v>
      </c>
      <c r="BF1219" s="590">
        <f t="shared" si="6033"/>
        <v>3.2080000000000108E-2</v>
      </c>
      <c r="BG1219" s="590">
        <f t="shared" si="6033"/>
        <v>3.2079999999999997E-2</v>
      </c>
      <c r="BH1219" s="590">
        <f t="shared" si="6033"/>
        <v>3.2079999999999997E-2</v>
      </c>
      <c r="BI1219" s="590">
        <f t="shared" si="6033"/>
        <v>3.2079999999999886E-2</v>
      </c>
      <c r="BJ1219" s="590">
        <f t="shared" si="6033"/>
        <v>3.2079999999999997E-2</v>
      </c>
      <c r="BK1219" s="590">
        <f t="shared" si="6033"/>
        <v>3.2079999999999997E-2</v>
      </c>
      <c r="BL1219" s="590">
        <f t="shared" si="6033"/>
        <v>3.2080000000000108E-2</v>
      </c>
      <c r="BM1219" s="590">
        <f t="shared" si="6033"/>
        <v>3.2079999999999997E-2</v>
      </c>
      <c r="BN1219" s="590">
        <f t="shared" si="6033"/>
        <v>3.2079999999999997E-2</v>
      </c>
      <c r="BO1219" s="590">
        <f t="shared" si="6033"/>
        <v>3.2080000000000108E-2</v>
      </c>
      <c r="BP1219" s="590">
        <f t="shared" si="6033"/>
        <v>3.2079999999999997E-2</v>
      </c>
      <c r="BQ1219" s="590">
        <f t="shared" si="6033"/>
        <v>3.2079999999999997E-2</v>
      </c>
      <c r="BR1219" s="590">
        <f t="shared" si="6033"/>
        <v>3.2080000000000108E-2</v>
      </c>
    </row>
    <row r="1220" spans="3:70" outlineLevel="1">
      <c r="C1220" s="594" t="s">
        <v>534</v>
      </c>
      <c r="D1220" s="31" t="s">
        <v>66</v>
      </c>
      <c r="E1220" s="564"/>
      <c r="F1220" s="564"/>
      <c r="G1220" s="564"/>
      <c r="H1220" s="592"/>
      <c r="I1220" s="576"/>
      <c r="J1220" s="592"/>
      <c r="K1220" s="592"/>
      <c r="L1220" s="576"/>
      <c r="M1220" s="592"/>
      <c r="N1220" s="592"/>
      <c r="O1220" s="576"/>
      <c r="P1220" s="592"/>
      <c r="Q1220" s="592"/>
      <c r="R1220" s="576"/>
      <c r="S1220" s="592"/>
      <c r="T1220" s="592"/>
      <c r="U1220" s="576"/>
      <c r="V1220" s="592"/>
      <c r="W1220" s="592"/>
      <c r="X1220" s="576"/>
      <c r="Y1220" s="592"/>
      <c r="Z1220" s="592"/>
      <c r="AA1220" s="576"/>
      <c r="AB1220" s="592"/>
      <c r="AC1220" s="592"/>
      <c r="AD1220" s="574"/>
      <c r="AE1220" s="592"/>
      <c r="AF1220" s="921">
        <f>AF344</f>
        <v>-0.10432</v>
      </c>
      <c r="AG1220" s="1047">
        <f>AG344</f>
        <v>-3.3499999999999995E-2</v>
      </c>
      <c r="AH1220" s="162">
        <f>(AF$1217/AH$1217*AF1220)+(AG$1217/AH$1217*AG1220)</f>
        <v>-6.129022575165273E-2</v>
      </c>
      <c r="AI1220" s="590">
        <f>AI344</f>
        <v>6.2340000000000007E-2</v>
      </c>
      <c r="AJ1220" s="590">
        <f>AJ344</f>
        <v>5.9920000000000001E-2</v>
      </c>
      <c r="AK1220" s="162">
        <f t="shared" ref="AK1220:AK1221" si="6034">(AI$1217/AK$1217*AI1220)+(AJ$1217/AK$1217*AJ1220)</f>
        <v>6.0883386174603482E-2</v>
      </c>
      <c r="AL1220" s="590">
        <f>AL344</f>
        <v>3.8000000000000006E-2</v>
      </c>
      <c r="AM1220" s="590">
        <f>AM344</f>
        <v>3.2079999999999997E-2</v>
      </c>
      <c r="AN1220" s="162">
        <f t="shared" ref="AN1220:AN1221" si="6035">(AL$1217/AN$1217*AL1220)+(AM$1217/AN$1217*AM1220)</f>
        <v>3.4433960764222671E-2</v>
      </c>
      <c r="AO1220" s="590">
        <f>AO344</f>
        <v>3.2079999999999997E-2</v>
      </c>
      <c r="AP1220" s="590">
        <f>AP344</f>
        <v>3.2079999999999997E-2</v>
      </c>
      <c r="AQ1220" s="162">
        <f t="shared" ref="AQ1220:AQ1221" si="6036">(AO$1217/AQ$1217*AO1220)+(AP$1217/AQ$1217*AP1220)</f>
        <v>3.2079999999999997E-2</v>
      </c>
      <c r="AR1220" s="590">
        <f>AR344</f>
        <v>3.2079999999999997E-2</v>
      </c>
      <c r="AS1220" s="590">
        <f>AS344</f>
        <v>3.2079999999999997E-2</v>
      </c>
      <c r="AT1220" s="162">
        <f t="shared" ref="AT1220:AT1221" si="6037">(AR$1217/AT$1217*AR1220)+(AS$1217/AT$1217*AS1220)</f>
        <v>3.2079999999999997E-2</v>
      </c>
      <c r="AU1220" s="590">
        <f>AU344</f>
        <v>3.2079999999999997E-2</v>
      </c>
      <c r="AV1220" s="590">
        <f>AV344</f>
        <v>3.2079999999999997E-2</v>
      </c>
      <c r="AW1220" s="162">
        <f t="shared" ref="AW1220:AW1221" si="6038">(AU$1217/AW$1217*AU1220)+(AV$1217/AW$1217*AV1220)</f>
        <v>3.2080000000000004E-2</v>
      </c>
      <c r="AX1220" s="590">
        <f>AX344</f>
        <v>3.2079999999999997E-2</v>
      </c>
      <c r="AY1220" s="590">
        <f>AY344</f>
        <v>3.2079999999999997E-2</v>
      </c>
      <c r="AZ1220" s="162">
        <f t="shared" ref="AZ1220:AZ1221" si="6039">(AX$1217/AZ$1217*AX1220)+(AY$1217/AZ$1217*AY1220)</f>
        <v>3.2079999999999997E-2</v>
      </c>
      <c r="BA1220" s="590">
        <f>BA344</f>
        <v>3.2079999999999997E-2</v>
      </c>
      <c r="BB1220" s="590">
        <f>BB344</f>
        <v>3.2079999999999997E-2</v>
      </c>
      <c r="BC1220" s="162">
        <f t="shared" ref="BC1220:BC1221" si="6040">(BA$1217/BC$1217*BA1220)+(BB$1217/BC$1217*BB1220)</f>
        <v>3.2079999999999997E-2</v>
      </c>
      <c r="BD1220" s="590">
        <f>BD344</f>
        <v>3.2079999999999997E-2</v>
      </c>
      <c r="BE1220" s="590">
        <f>BE344</f>
        <v>3.2079999999999997E-2</v>
      </c>
      <c r="BF1220" s="162">
        <f t="shared" ref="BF1220:BF1221" si="6041">(BD$1217/BF$1217*BD1220)+(BE$1217/BF$1217*BE1220)</f>
        <v>3.2079999999999997E-2</v>
      </c>
      <c r="BG1220" s="590">
        <f>BG344</f>
        <v>3.2079999999999997E-2</v>
      </c>
      <c r="BH1220" s="590">
        <f>BH344</f>
        <v>3.2079999999999997E-2</v>
      </c>
      <c r="BI1220" s="162">
        <f t="shared" ref="BI1220:BI1221" si="6042">(BG$1217/BI$1217*BG1220)+(BH$1217/BI$1217*BH1220)</f>
        <v>3.2079999999999997E-2</v>
      </c>
      <c r="BJ1220" s="590">
        <f>BJ344</f>
        <v>3.2079999999999997E-2</v>
      </c>
      <c r="BK1220" s="590">
        <f>BK344</f>
        <v>3.2079999999999997E-2</v>
      </c>
      <c r="BL1220" s="162">
        <f t="shared" ref="BL1220:BL1221" si="6043">(BJ$1217/BL$1217*BJ1220)+(BK$1217/BL$1217*BK1220)</f>
        <v>3.2079999999999997E-2</v>
      </c>
      <c r="BM1220" s="590">
        <f>BM344</f>
        <v>3.2079999999999997E-2</v>
      </c>
      <c r="BN1220" s="590">
        <f>BN344</f>
        <v>3.2079999999999997E-2</v>
      </c>
      <c r="BO1220" s="162">
        <f t="shared" ref="BO1220:BO1221" si="6044">(BM$1217/BO$1217*BM1220)+(BN$1217/BO$1217*BN1220)</f>
        <v>3.2079999999999997E-2</v>
      </c>
      <c r="BP1220" s="590">
        <f>BP344</f>
        <v>3.2079999999999997E-2</v>
      </c>
      <c r="BQ1220" s="590">
        <f>BQ344</f>
        <v>3.2079999999999997E-2</v>
      </c>
      <c r="BR1220" s="162">
        <f t="shared" ref="BR1220:BR1221" si="6045">(BP$1217/BR$1217*BP1220)+(BQ$1217/BR$1217*BQ1220)</f>
        <v>3.2079999999999997E-2</v>
      </c>
    </row>
    <row r="1221" spans="3:70" outlineLevel="1">
      <c r="C1221" s="594" t="s">
        <v>92</v>
      </c>
      <c r="D1221" s="31" t="s">
        <v>66</v>
      </c>
      <c r="E1221" s="564"/>
      <c r="F1221" s="564"/>
      <c r="G1221" s="564"/>
      <c r="H1221" s="592"/>
      <c r="I1221" s="576"/>
      <c r="J1221" s="592"/>
      <c r="K1221" s="592"/>
      <c r="L1221" s="576"/>
      <c r="M1221" s="592"/>
      <c r="N1221" s="592"/>
      <c r="O1221" s="576"/>
      <c r="P1221" s="592"/>
      <c r="Q1221" s="592"/>
      <c r="R1221" s="576"/>
      <c r="S1221" s="592"/>
      <c r="T1221" s="592"/>
      <c r="U1221" s="576"/>
      <c r="V1221" s="592"/>
      <c r="W1221" s="592"/>
      <c r="X1221" s="576"/>
      <c r="Y1221" s="592"/>
      <c r="Z1221" s="592"/>
      <c r="AA1221" s="576"/>
      <c r="AB1221" s="592"/>
      <c r="AC1221" s="592"/>
      <c r="AD1221" s="574"/>
      <c r="AE1221" s="592"/>
      <c r="AF1221" s="921">
        <f>AF366</f>
        <v>3.9774539116565977E-2</v>
      </c>
      <c r="AG1221" s="1047">
        <f>AG366</f>
        <v>4.4042001309690826E-2</v>
      </c>
      <c r="AH1221" s="162">
        <f>(AF$1217/AH$1217*AF1221)+(AG$1217/AH$1217*AG1221)</f>
        <v>4.2367421561970084E-2</v>
      </c>
      <c r="AI1221" s="590">
        <f>AI366</f>
        <v>2.7229945632338881E-2</v>
      </c>
      <c r="AJ1221" s="590">
        <f>AJ366</f>
        <v>4.0322580645161255E-3</v>
      </c>
      <c r="AK1221" s="162">
        <f t="shared" si="6034"/>
        <v>1.3267105785843124E-2</v>
      </c>
      <c r="AL1221" s="590">
        <f>AL366</f>
        <v>0</v>
      </c>
      <c r="AM1221" s="590">
        <f>AM366</f>
        <v>7.9365079365079638E-3</v>
      </c>
      <c r="AN1221" s="162">
        <f t="shared" si="6035"/>
        <v>4.7807261311901385E-3</v>
      </c>
      <c r="AO1221" s="590">
        <f>AO366</f>
        <v>7.9365079365079638E-3</v>
      </c>
      <c r="AP1221" s="590">
        <f>AP366</f>
        <v>0</v>
      </c>
      <c r="AQ1221" s="162">
        <f t="shared" si="6036"/>
        <v>3.1703552279198802E-3</v>
      </c>
      <c r="AR1221" s="590">
        <f>AR366</f>
        <v>0</v>
      </c>
      <c r="AS1221" s="590">
        <f>AS366</f>
        <v>0</v>
      </c>
      <c r="AT1221" s="162">
        <f t="shared" si="6037"/>
        <v>0</v>
      </c>
      <c r="AU1221" s="590">
        <f>AU366</f>
        <v>0</v>
      </c>
      <c r="AV1221" s="590">
        <f>AV366</f>
        <v>0</v>
      </c>
      <c r="AW1221" s="162">
        <f t="shared" si="6038"/>
        <v>0</v>
      </c>
      <c r="AX1221" s="590">
        <f>AX366</f>
        <v>0</v>
      </c>
      <c r="AY1221" s="590">
        <f>AY366</f>
        <v>0</v>
      </c>
      <c r="AZ1221" s="162">
        <f t="shared" si="6039"/>
        <v>0</v>
      </c>
      <c r="BA1221" s="590">
        <f>BA366</f>
        <v>0</v>
      </c>
      <c r="BB1221" s="590">
        <f>BB366</f>
        <v>0</v>
      </c>
      <c r="BC1221" s="162">
        <f t="shared" si="6040"/>
        <v>0</v>
      </c>
      <c r="BD1221" s="590">
        <f>BD366</f>
        <v>0</v>
      </c>
      <c r="BE1221" s="590">
        <f>BE366</f>
        <v>0</v>
      </c>
      <c r="BF1221" s="162">
        <f t="shared" si="6041"/>
        <v>0</v>
      </c>
      <c r="BG1221" s="590">
        <f>BG366</f>
        <v>0</v>
      </c>
      <c r="BH1221" s="590">
        <f>BH366</f>
        <v>0</v>
      </c>
      <c r="BI1221" s="162">
        <f t="shared" si="6042"/>
        <v>0</v>
      </c>
      <c r="BJ1221" s="590">
        <f>BJ366</f>
        <v>0</v>
      </c>
      <c r="BK1221" s="590">
        <f>BK366</f>
        <v>0</v>
      </c>
      <c r="BL1221" s="162">
        <f t="shared" si="6043"/>
        <v>0</v>
      </c>
      <c r="BM1221" s="590">
        <f>BM366</f>
        <v>0</v>
      </c>
      <c r="BN1221" s="590">
        <f>BN366</f>
        <v>0</v>
      </c>
      <c r="BO1221" s="162">
        <f t="shared" si="6044"/>
        <v>0</v>
      </c>
      <c r="BP1221" s="590">
        <f>BP366</f>
        <v>0</v>
      </c>
      <c r="BQ1221" s="590">
        <f>BQ366</f>
        <v>0</v>
      </c>
      <c r="BR1221" s="162">
        <f t="shared" si="6045"/>
        <v>0</v>
      </c>
    </row>
    <row r="1222" spans="3:70" outlineLevel="1">
      <c r="C1222" s="594" t="s">
        <v>614</v>
      </c>
      <c r="D1222" s="31" t="s">
        <v>66</v>
      </c>
      <c r="E1222" s="564"/>
      <c r="F1222" s="564"/>
      <c r="G1222" s="564"/>
      <c r="H1222" s="592"/>
      <c r="I1222" s="576"/>
      <c r="J1222" s="592"/>
      <c r="K1222" s="592"/>
      <c r="L1222" s="576"/>
      <c r="M1222" s="592"/>
      <c r="N1222" s="592"/>
      <c r="O1222" s="576"/>
      <c r="P1222" s="592"/>
      <c r="Q1222" s="592"/>
      <c r="R1222" s="576"/>
      <c r="S1222" s="592"/>
      <c r="T1222" s="592"/>
      <c r="U1222" s="576"/>
      <c r="V1222" s="592"/>
      <c r="W1222" s="592"/>
      <c r="X1222" s="576"/>
      <c r="Y1222" s="592"/>
      <c r="Z1222" s="592"/>
      <c r="AA1222" s="576"/>
      <c r="AB1222" s="592"/>
      <c r="AC1222" s="592"/>
      <c r="AD1222" s="574"/>
      <c r="AE1222" s="592"/>
      <c r="AF1222" s="912">
        <v>0</v>
      </c>
      <c r="AG1222" s="975">
        <v>0</v>
      </c>
      <c r="AH1222" s="162">
        <f>(AH1217-AH1223)/AE1217-1-AH1221-AH1220</f>
        <v>-6.6108709473056901E-2</v>
      </c>
      <c r="AI1222" s="591">
        <v>0</v>
      </c>
      <c r="AJ1222" s="591">
        <v>0</v>
      </c>
      <c r="AK1222" s="162">
        <f t="shared" ref="AK1222" si="6046">(AK1217-AK1223)/AH1217-1-AK1221-AK1220</f>
        <v>-1.4568771201191322E-4</v>
      </c>
      <c r="AL1222" s="591">
        <v>0</v>
      </c>
      <c r="AM1222" s="591">
        <v>0</v>
      </c>
      <c r="AN1222" s="162">
        <f t="shared" ref="AN1222" si="6047">(AN1217-AN1223)/AK1217-1-AN1221-AN1220</f>
        <v>-9.3758163628721025E-7</v>
      </c>
      <c r="AO1222" s="591">
        <v>0</v>
      </c>
      <c r="AP1222" s="591">
        <v>0</v>
      </c>
      <c r="AQ1222" s="162">
        <f t="shared" ref="AQ1222" si="6048">(AQ1217-AQ1223)/AN1217-1-AQ1221-AQ1220</f>
        <v>-1.4573422601929509E-5</v>
      </c>
      <c r="AR1222" s="591">
        <v>0</v>
      </c>
      <c r="AS1222" s="591">
        <v>0</v>
      </c>
      <c r="AT1222" s="162">
        <f t="shared" ref="AT1222" si="6049">(AT1217-AT1223)/AQ1217-1-AT1221-AT1220</f>
        <v>1.1102230246251565E-16</v>
      </c>
      <c r="AU1222" s="591">
        <v>0</v>
      </c>
      <c r="AV1222" s="591">
        <v>0</v>
      </c>
      <c r="AW1222" s="162">
        <f t="shared" ref="AW1222" si="6050">(AW1217-AW1223)/AT1217-1-AW1221-AW1220</f>
        <v>1.0408340855860843E-16</v>
      </c>
      <c r="AX1222" s="591">
        <v>0</v>
      </c>
      <c r="AY1222" s="591">
        <v>0</v>
      </c>
      <c r="AZ1222" s="162">
        <f t="shared" ref="AZ1222" si="6051">(AZ1217-AZ1223)/AW1217-1-AZ1221-AZ1220</f>
        <v>3.3306690738754696E-16</v>
      </c>
      <c r="BA1222" s="591">
        <v>0</v>
      </c>
      <c r="BB1222" s="591">
        <v>0</v>
      </c>
      <c r="BC1222" s="162">
        <f t="shared" ref="BC1222" si="6052">(BC1217-BC1223)/AZ1217-1-BC1221-BC1220</f>
        <v>1.1102230246251565E-16</v>
      </c>
      <c r="BD1222" s="591">
        <v>0</v>
      </c>
      <c r="BE1222" s="591">
        <v>0</v>
      </c>
      <c r="BF1222" s="162">
        <f t="shared" ref="BF1222" si="6053">(BF1217-BF1223)/BC1217-1-BF1221-BF1220</f>
        <v>1.1102230246251565E-16</v>
      </c>
      <c r="BG1222" s="591">
        <v>0</v>
      </c>
      <c r="BH1222" s="591">
        <v>0</v>
      </c>
      <c r="BI1222" s="162">
        <f t="shared" ref="BI1222" si="6054">(BI1217-BI1223)/BF1217-1-BI1221-BI1220</f>
        <v>-1.1102230246251565E-16</v>
      </c>
      <c r="BJ1222" s="591">
        <v>0</v>
      </c>
      <c r="BK1222" s="591">
        <v>0</v>
      </c>
      <c r="BL1222" s="162">
        <f t="shared" ref="BL1222" si="6055">(BL1217-BL1223)/BI1217-1-BL1221-BL1220</f>
        <v>1.1102230246251565E-16</v>
      </c>
      <c r="BM1222" s="591">
        <v>0</v>
      </c>
      <c r="BN1222" s="591">
        <v>0</v>
      </c>
      <c r="BO1222" s="162">
        <f t="shared" ref="BO1222" si="6056">(BO1217-BO1223)/BL1217-1-BO1221-BO1220</f>
        <v>1.1102230246251565E-16</v>
      </c>
      <c r="BP1222" s="591">
        <v>0</v>
      </c>
      <c r="BQ1222" s="591">
        <v>0</v>
      </c>
      <c r="BR1222" s="162">
        <f t="shared" ref="BR1222" si="6057">(BR1217-BR1223)/BO1217-1-BR1221-BR1220</f>
        <v>1.1102230246251565E-16</v>
      </c>
    </row>
    <row r="1223" spans="3:70" outlineLevel="1">
      <c r="C1223" s="384" t="s">
        <v>585</v>
      </c>
      <c r="D1223" s="31" t="s">
        <v>58</v>
      </c>
      <c r="E1223" s="564"/>
      <c r="F1223" s="564"/>
      <c r="G1223" s="564"/>
      <c r="H1223" s="535">
        <f>+H1337</f>
        <v>0</v>
      </c>
      <c r="I1223" s="545">
        <f>+I1337</f>
        <v>0</v>
      </c>
      <c r="J1223" s="167">
        <f>+I1223+H1223</f>
        <v>0</v>
      </c>
      <c r="K1223" s="167">
        <f>+K1337</f>
        <v>50</v>
      </c>
      <c r="L1223" s="171">
        <f>+L1337</f>
        <v>60</v>
      </c>
      <c r="M1223" s="167">
        <f>+L1223+K1223</f>
        <v>110</v>
      </c>
      <c r="N1223" s="167">
        <f>+N1337</f>
        <v>10</v>
      </c>
      <c r="O1223" s="171">
        <f>+O1337</f>
        <v>0</v>
      </c>
      <c r="P1223" s="167">
        <f>+O1223+N1223</f>
        <v>10</v>
      </c>
      <c r="Q1223" s="167">
        <f>+Q1337</f>
        <v>0</v>
      </c>
      <c r="R1223" s="171">
        <f>+R1337</f>
        <v>0</v>
      </c>
      <c r="S1223" s="167">
        <f>+R1223+Q1223</f>
        <v>0</v>
      </c>
      <c r="T1223" s="167">
        <f>+T1337</f>
        <v>0</v>
      </c>
      <c r="U1223" s="171">
        <f>+U1337</f>
        <v>0</v>
      </c>
      <c r="V1223" s="167">
        <f>+U1223+T1223</f>
        <v>0</v>
      </c>
      <c r="W1223" s="167">
        <f>+W1337</f>
        <v>0</v>
      </c>
      <c r="X1223" s="171">
        <f>+X1337</f>
        <v>0</v>
      </c>
      <c r="Y1223" s="167">
        <f>+X1223+W1223</f>
        <v>0</v>
      </c>
      <c r="Z1223" s="167">
        <f>+Z1337</f>
        <v>0</v>
      </c>
      <c r="AA1223" s="171">
        <f>+AA1337</f>
        <v>0</v>
      </c>
      <c r="AB1223" s="167">
        <f>+AA1223+Z1223</f>
        <v>0</v>
      </c>
      <c r="AC1223" s="167">
        <f>+AC1337</f>
        <v>0</v>
      </c>
      <c r="AD1223" s="347">
        <f>+AD1337</f>
        <v>0</v>
      </c>
      <c r="AE1223" s="167">
        <f>+AD1223+AC1223</f>
        <v>0</v>
      </c>
      <c r="AF1223" s="645">
        <f>+AF1337</f>
        <v>0</v>
      </c>
      <c r="AG1223" s="1048">
        <f>+AG1337</f>
        <v>0</v>
      </c>
      <c r="AH1223" s="598">
        <f>+AG1223+AF1223</f>
        <v>0</v>
      </c>
      <c r="AI1223" s="645">
        <f>+AI1337</f>
        <v>0</v>
      </c>
      <c r="AJ1223" s="645">
        <f>+AJ1337</f>
        <v>0</v>
      </c>
      <c r="AK1223" s="598">
        <f>+AJ1223+AI1223</f>
        <v>0</v>
      </c>
      <c r="AL1223" s="645">
        <f>+AL1337</f>
        <v>0</v>
      </c>
      <c r="AM1223" s="645">
        <f>+AM1337</f>
        <v>0</v>
      </c>
      <c r="AN1223" s="597">
        <f>+AM1223+AL1223</f>
        <v>0</v>
      </c>
      <c r="AO1223" s="645">
        <f>+AO1337</f>
        <v>0</v>
      </c>
      <c r="AP1223" s="645">
        <f>+AP1337</f>
        <v>0</v>
      </c>
      <c r="AQ1223" s="597">
        <f>+AP1223+AO1223</f>
        <v>0</v>
      </c>
      <c r="AR1223" s="645">
        <f>+AR1337</f>
        <v>0</v>
      </c>
      <c r="AS1223" s="645">
        <f>+AS1337</f>
        <v>0</v>
      </c>
      <c r="AT1223" s="597">
        <f>+AS1223+AR1223</f>
        <v>0</v>
      </c>
      <c r="AU1223" s="645">
        <f>+AU1337</f>
        <v>0</v>
      </c>
      <c r="AV1223" s="645">
        <f>+AV1337</f>
        <v>0</v>
      </c>
      <c r="AW1223" s="597">
        <f>+AV1223+AU1223</f>
        <v>0</v>
      </c>
      <c r="AX1223" s="645">
        <f>+AX1337</f>
        <v>0</v>
      </c>
      <c r="AY1223" s="645">
        <f>+AY1337</f>
        <v>0</v>
      </c>
      <c r="AZ1223" s="597">
        <f>+AY1223+AX1223</f>
        <v>0</v>
      </c>
      <c r="BA1223" s="645">
        <f>+BA1337</f>
        <v>0</v>
      </c>
      <c r="BB1223" s="645">
        <f>+BB1337</f>
        <v>0</v>
      </c>
      <c r="BC1223" s="597">
        <f>+BB1223+BA1223</f>
        <v>0</v>
      </c>
      <c r="BD1223" s="645">
        <f>+BD1337</f>
        <v>0</v>
      </c>
      <c r="BE1223" s="645">
        <f>+BE1337</f>
        <v>0</v>
      </c>
      <c r="BF1223" s="597">
        <f>+BE1223+BD1223</f>
        <v>0</v>
      </c>
      <c r="BG1223" s="645">
        <f>+BG1337</f>
        <v>0</v>
      </c>
      <c r="BH1223" s="645">
        <f>+BH1337</f>
        <v>0</v>
      </c>
      <c r="BI1223" s="597">
        <f>+BH1223+BG1223</f>
        <v>0</v>
      </c>
      <c r="BJ1223" s="645">
        <f>+BJ1337</f>
        <v>0</v>
      </c>
      <c r="BK1223" s="645">
        <f>+BK1337</f>
        <v>0</v>
      </c>
      <c r="BL1223" s="597">
        <f>+BK1223+BJ1223</f>
        <v>0</v>
      </c>
      <c r="BM1223" s="645">
        <f>+BM1337</f>
        <v>0</v>
      </c>
      <c r="BN1223" s="645">
        <f>+BN1337</f>
        <v>0</v>
      </c>
      <c r="BO1223" s="597">
        <f>+BN1223+BM1223</f>
        <v>0</v>
      </c>
      <c r="BP1223" s="645">
        <f>+BP1337</f>
        <v>0</v>
      </c>
      <c r="BQ1223" s="645">
        <f>+BQ1337</f>
        <v>0</v>
      </c>
      <c r="BR1223" s="597">
        <f>+BQ1223+BP1223</f>
        <v>0</v>
      </c>
    </row>
    <row r="1224" spans="3:70" outlineLevel="1">
      <c r="C1224" s="95" t="s">
        <v>100</v>
      </c>
      <c r="D1224" s="96" t="s">
        <v>58</v>
      </c>
      <c r="E1224" s="562"/>
      <c r="F1224" s="562"/>
      <c r="G1224" s="562"/>
      <c r="H1224" s="468">
        <f>H1207*H$1231</f>
        <v>90.580000000000013</v>
      </c>
      <c r="I1224" s="341">
        <f>J1224-H1224</f>
        <v>157.96</v>
      </c>
      <c r="J1224" s="468">
        <f>J1207*J$1231</f>
        <v>248.54000000000002</v>
      </c>
      <c r="K1224" s="468">
        <f>K1207*K$1231</f>
        <v>157.12</v>
      </c>
      <c r="L1224" s="341">
        <f>M1224-K1224</f>
        <v>279.88</v>
      </c>
      <c r="M1224" s="468">
        <f>M1207*M$1231</f>
        <v>437</v>
      </c>
      <c r="N1224" s="468">
        <f>N1207*N$1231</f>
        <v>231.84</v>
      </c>
      <c r="O1224" s="341">
        <f>P1224-N1224</f>
        <v>237.96</v>
      </c>
      <c r="P1224" s="468">
        <f>P1207*P$1231</f>
        <v>469.8</v>
      </c>
      <c r="Q1224" s="468">
        <f>Q1207*Q$1231</f>
        <v>229.54000000000002</v>
      </c>
      <c r="R1224" s="341">
        <f>S1224-Q1224</f>
        <v>247.85999999999996</v>
      </c>
      <c r="S1224" s="468">
        <f>S1207*S$1231</f>
        <v>477.4</v>
      </c>
      <c r="T1224" s="468">
        <f>T1207*T$1231</f>
        <v>221.49</v>
      </c>
      <c r="U1224" s="341">
        <f>V1224-T1224</f>
        <v>243.37</v>
      </c>
      <c r="V1224" s="468">
        <f>V1207*V$1231</f>
        <v>464.86</v>
      </c>
      <c r="W1224" s="468">
        <f>W1207*W$1231</f>
        <v>221.95000000000002</v>
      </c>
      <c r="X1224" s="341">
        <f>Y1224-W1224</f>
        <v>255.98999999999998</v>
      </c>
      <c r="Y1224" s="468">
        <f>Y1207*Y$1231</f>
        <v>477.94</v>
      </c>
      <c r="Z1224" s="468">
        <f>Z1207*Z$1231</f>
        <v>237.12</v>
      </c>
      <c r="AA1224" s="341">
        <f>AB1224-Z1224</f>
        <v>257.03999999999996</v>
      </c>
      <c r="AB1224" s="468">
        <f>AB1207*AB$1231</f>
        <v>494.15999999999997</v>
      </c>
      <c r="AC1224" s="468">
        <f>AC1207*AC$1231</f>
        <v>278.91000000000003</v>
      </c>
      <c r="AD1224" s="64">
        <f>AE1224-AC1224</f>
        <v>358.29</v>
      </c>
      <c r="AE1224" s="468">
        <f>AE1207*AE$1240</f>
        <v>637.20000000000005</v>
      </c>
      <c r="AF1224" s="468">
        <f>AF1207*AF$1231</f>
        <v>314.88</v>
      </c>
      <c r="AG1224" s="1045">
        <f>(AD1224*(1+AG1226))+AG1230</f>
        <v>383.56449364924919</v>
      </c>
      <c r="AH1224" s="341">
        <f>+AG1224+AF1224</f>
        <v>698.44449364924913</v>
      </c>
      <c r="AI1224" s="468">
        <f t="shared" ref="AI1224" si="6058">(AF1224*(1+AI1226))+AI1230</f>
        <v>330.48858448071087</v>
      </c>
      <c r="AJ1224" s="468">
        <f t="shared" ref="AJ1224" si="6059">(AG1224*(1+AJ1226))+AJ1230</f>
        <v>392.75172938552146</v>
      </c>
      <c r="AK1224" s="341">
        <f t="shared" ref="AK1224" si="6060">+AJ1224+AI1224</f>
        <v>723.24031386623233</v>
      </c>
      <c r="AL1224" s="468">
        <f t="shared" ref="AL1224" si="6061">(AI1224*(1+AL1226))+AL1230</f>
        <v>336.43737900136369</v>
      </c>
      <c r="AM1224" s="468">
        <f t="shared" ref="AM1224" si="6062">(AJ1224*(1+AM1226))+AM1230</f>
        <v>400.61324749384397</v>
      </c>
      <c r="AN1224" s="341">
        <f t="shared" ref="AN1224" si="6063">+AM1224+AL1224</f>
        <v>737.05062649520767</v>
      </c>
      <c r="AO1224" s="468">
        <f t="shared" ref="AO1224" si="6064">(AL1224*(1+AO1226))+AO1230</f>
        <v>343.17168046828243</v>
      </c>
      <c r="AP1224" s="468">
        <f t="shared" ref="AP1224" si="6065">(AM1224*(1+AP1226))+AP1230</f>
        <v>405.45265552356966</v>
      </c>
      <c r="AQ1224" s="341">
        <f t="shared" ref="AQ1224" si="6066">+AP1224+AO1224</f>
        <v>748.62433599185215</v>
      </c>
      <c r="AR1224" s="468">
        <f t="shared" ref="AR1224" si="6067">(AO1224*(1+AR1226))+AR1230</f>
        <v>347.3171943683393</v>
      </c>
      <c r="AS1224" s="468">
        <f t="shared" ref="AS1224" si="6068">(AP1224*(1+AS1226))+AS1230</f>
        <v>410.3505236022944</v>
      </c>
      <c r="AT1224" s="341">
        <f t="shared" ref="AT1224" si="6069">+AS1224+AR1224</f>
        <v>757.6677179706337</v>
      </c>
      <c r="AU1224" s="468">
        <f t="shared" ref="AU1224" si="6070">(AR1224*(1+AU1226))+AU1230</f>
        <v>351.51278607630888</v>
      </c>
      <c r="AV1224" s="468">
        <f t="shared" ref="AV1224" si="6071">(AS1224*(1+AV1226))+AV1230</f>
        <v>415.30755792741013</v>
      </c>
      <c r="AW1224" s="341">
        <f t="shared" ref="AW1224" si="6072">+AV1224+AU1224</f>
        <v>766.82034400371901</v>
      </c>
      <c r="AX1224" s="468">
        <f t="shared" ref="AX1224" si="6073">(AU1224*(1+AX1226))+AX1230</f>
        <v>355.75906053211071</v>
      </c>
      <c r="AY1224" s="468">
        <f t="shared" ref="AY1224" si="6074">(AV1224*(1+AY1226))+AY1230</f>
        <v>420.32447322717326</v>
      </c>
      <c r="AZ1224" s="341">
        <f t="shared" ref="AZ1224" si="6075">+AY1224+AX1224</f>
        <v>776.08353375928391</v>
      </c>
      <c r="BA1224" s="468">
        <f t="shared" ref="BA1224" si="6076">(AX1224*(1+BA1226))+BA1230</f>
        <v>360.05662998333867</v>
      </c>
      <c r="BB1224" s="468">
        <f t="shared" ref="BB1224" si="6077">(AY1224*(1+BB1226))+BB1230</f>
        <v>425.40199286375753</v>
      </c>
      <c r="BC1224" s="341">
        <f t="shared" ref="BC1224" si="6078">+BB1224+BA1224</f>
        <v>785.45862284709619</v>
      </c>
      <c r="BD1224" s="468">
        <f t="shared" ref="BD1224" si="6079">(BA1224*(1+BD1226))+BD1230</f>
        <v>364.40611407353742</v>
      </c>
      <c r="BE1224" s="468">
        <f t="shared" ref="BE1224" si="6080">(BB1224*(1+BE1226))+BE1230</f>
        <v>430.54084893755174</v>
      </c>
      <c r="BF1224" s="341">
        <f t="shared" ref="BF1224" si="6081">+BE1224+BD1224</f>
        <v>794.94696301108911</v>
      </c>
      <c r="BG1224" s="468">
        <f t="shared" ref="BG1224" si="6082">(BD1224*(1+BG1226))+BG1230</f>
        <v>368.80813993154578</v>
      </c>
      <c r="BH1224" s="468">
        <f t="shared" ref="BH1224" si="6083">(BE1224*(1+BH1226))+BH1230</f>
        <v>435.74178239271743</v>
      </c>
      <c r="BI1224" s="341">
        <f t="shared" ref="BI1224" si="6084">+BH1224+BG1224</f>
        <v>804.54992232426321</v>
      </c>
      <c r="BJ1224" s="468">
        <f t="shared" ref="BJ1224" si="6085">(BG1224*(1+BJ1226))+BJ1230</f>
        <v>373.26334226191887</v>
      </c>
      <c r="BK1224" s="468">
        <f t="shared" ref="BK1224" si="6086">(BH1224*(1+BK1226))+BK1230</f>
        <v>441.00554312402147</v>
      </c>
      <c r="BL1224" s="341">
        <f t="shared" ref="BL1224" si="6087">+BK1224+BJ1224</f>
        <v>814.26888538594039</v>
      </c>
      <c r="BM1224" s="468">
        <f t="shared" ref="BM1224" si="6088">(BJ1224*(1+BM1226))+BM1230</f>
        <v>377.7723634364429</v>
      </c>
      <c r="BN1224" s="468">
        <f t="shared" ref="BN1224" si="6089">(BK1224*(1+BN1226))+BN1230</f>
        <v>446.33289008495967</v>
      </c>
      <c r="BO1224" s="341">
        <f t="shared" ref="BO1224" si="6090">+BN1224+BM1224</f>
        <v>824.10525352140257</v>
      </c>
      <c r="BP1224" s="468">
        <f t="shared" ref="BP1224" si="6091">(BM1224*(1+BP1226))+BP1230</f>
        <v>382.33585358675515</v>
      </c>
      <c r="BQ1224" s="468">
        <f t="shared" ref="BQ1224" si="6092">(BN1224*(1+BQ1226))+BQ1230</f>
        <v>451.72459139718603</v>
      </c>
      <c r="BR1224" s="341">
        <f t="shared" ref="BR1224" si="6093">+BQ1224+BP1224</f>
        <v>834.06044498394112</v>
      </c>
    </row>
    <row r="1225" spans="3:70" outlineLevel="1">
      <c r="C1225" s="547" t="s">
        <v>669</v>
      </c>
      <c r="D1225" s="31" t="s">
        <v>66</v>
      </c>
      <c r="E1225" s="562"/>
      <c r="F1225" s="562"/>
      <c r="G1225" s="562"/>
      <c r="H1225" s="583"/>
      <c r="I1225" s="605"/>
      <c r="J1225" s="583"/>
      <c r="K1225" s="595">
        <f>+K1224/H1224-1</f>
        <v>0.73459924928240206</v>
      </c>
      <c r="L1225" s="595">
        <f t="shared" ref="L1225" si="6094">+L1224/I1224-1</f>
        <v>0.77184097239807525</v>
      </c>
      <c r="M1225" s="595">
        <f t="shared" ref="M1225" si="6095">+M1224/J1224-1</f>
        <v>0.75826828679488201</v>
      </c>
      <c r="N1225" s="595">
        <f t="shared" ref="N1225" si="6096">+N1224/K1224-1</f>
        <v>0.47556008146639517</v>
      </c>
      <c r="O1225" s="595">
        <f t="shared" ref="O1225" si="6097">+O1224/L1224-1</f>
        <v>-0.14977847648992426</v>
      </c>
      <c r="P1225" s="595">
        <f t="shared" ref="P1225" si="6098">+P1224/M1224-1</f>
        <v>7.5057208237986339E-2</v>
      </c>
      <c r="Q1225" s="595">
        <f t="shared" ref="Q1225" si="6099">+Q1224/N1224-1</f>
        <v>-9.9206349206348854E-3</v>
      </c>
      <c r="R1225" s="595">
        <f t="shared" ref="R1225" si="6100">+R1224/O1224-1</f>
        <v>4.1603630862329544E-2</v>
      </c>
      <c r="S1225" s="595">
        <f t="shared" ref="S1225" si="6101">+S1224/P1224-1</f>
        <v>1.6177096636866617E-2</v>
      </c>
      <c r="T1225" s="595">
        <f t="shared" ref="T1225" si="6102">+T1224/Q1224-1</f>
        <v>-3.5070140280561213E-2</v>
      </c>
      <c r="U1225" s="595">
        <f t="shared" ref="U1225" si="6103">+U1224/R1224-1</f>
        <v>-1.811506495602333E-2</v>
      </c>
      <c r="V1225" s="595">
        <f t="shared" ref="V1225" si="6104">+V1224/S1224-1</f>
        <v>-2.6267281105990747E-2</v>
      </c>
      <c r="W1225" s="595">
        <f t="shared" ref="W1225" si="6105">+W1224/T1224-1</f>
        <v>2.0768431983384517E-3</v>
      </c>
      <c r="X1225" s="595">
        <f t="shared" ref="X1225" si="6106">+X1224/U1224-1</f>
        <v>5.1855199901384541E-2</v>
      </c>
      <c r="Y1225" s="595">
        <f t="shared" ref="Y1225" si="6107">+Y1224/V1224-1</f>
        <v>2.8137503764574134E-2</v>
      </c>
      <c r="Z1225" s="595">
        <f t="shared" ref="Z1225" si="6108">+Z1224/W1224-1</f>
        <v>6.8348727190808756E-2</v>
      </c>
      <c r="AA1225" s="595">
        <f t="shared" ref="AA1225" si="6109">+AA1224/X1224-1</f>
        <v>4.1017227235438103E-3</v>
      </c>
      <c r="AB1225" s="595">
        <f t="shared" ref="AB1225" si="6110">+AB1224/Y1224-1</f>
        <v>3.3937314307235233E-2</v>
      </c>
      <c r="AC1225" s="595">
        <f t="shared" ref="AC1225" si="6111">+AC1224/Z1224-1</f>
        <v>0.17623987854251011</v>
      </c>
      <c r="AD1225" s="595">
        <f t="shared" ref="AD1225" si="6112">+AD1224/AA1224-1</f>
        <v>0.39390756302521046</v>
      </c>
      <c r="AE1225" s="595">
        <f t="shared" ref="AE1225:AF1225" si="6113">+AE1224/AB1224-1</f>
        <v>0.2894609033511415</v>
      </c>
      <c r="AF1225" s="595">
        <f t="shared" si="6113"/>
        <v>0.12896633322577156</v>
      </c>
      <c r="AG1225" s="1046">
        <f t="shared" ref="AG1225" si="6114">+AG1224/AD1224-1</f>
        <v>7.0542001309690905E-2</v>
      </c>
      <c r="AH1225" s="595">
        <f t="shared" ref="AH1225" si="6115">+AH1224/AE1224-1</f>
        <v>9.6115024559399131E-2</v>
      </c>
      <c r="AI1225" s="595">
        <f t="shared" ref="AI1225" si="6116">+AI1224/AF1224-1</f>
        <v>4.9569945632338852E-2</v>
      </c>
      <c r="AJ1225" s="595">
        <f t="shared" ref="AJ1225" si="6117">+AJ1224/AG1224-1</f>
        <v>2.3952258064516174E-2</v>
      </c>
      <c r="AK1225" s="595">
        <f t="shared" ref="AK1225" si="6118">+AK1224/AH1224-1</f>
        <v>3.5501490014516968E-2</v>
      </c>
      <c r="AL1225" s="595">
        <f t="shared" ref="AL1225" si="6119">+AL1224/AI1224-1</f>
        <v>1.8000000000000016E-2</v>
      </c>
      <c r="AM1225" s="595">
        <f t="shared" ref="AM1225" si="6120">+AM1224/AJ1224-1</f>
        <v>2.0016507936507999E-2</v>
      </c>
      <c r="AN1225" s="595">
        <f t="shared" ref="AN1225" si="6121">+AN1224/AK1224-1</f>
        <v>1.9095053696812636E-2</v>
      </c>
      <c r="AO1225" s="595">
        <f t="shared" ref="AO1225" si="6122">+AO1224/AL1224-1</f>
        <v>2.0016507936507999E-2</v>
      </c>
      <c r="AP1225" s="595">
        <f t="shared" ref="AP1225" si="6123">+AP1224/AM1224-1</f>
        <v>1.2080000000000091E-2</v>
      </c>
      <c r="AQ1225" s="595">
        <f t="shared" ref="AQ1225" si="6124">+AQ1224/AN1224-1</f>
        <v>1.5702733408801572E-2</v>
      </c>
      <c r="AR1225" s="595">
        <f t="shared" ref="AR1225" si="6125">+AR1224/AO1224-1</f>
        <v>1.2080000000000091E-2</v>
      </c>
      <c r="AS1225" s="595">
        <f t="shared" ref="AS1225" si="6126">+AS1224/AP1224-1</f>
        <v>1.2080000000000091E-2</v>
      </c>
      <c r="AT1225" s="595">
        <f t="shared" ref="AT1225" si="6127">+AT1224/AQ1224-1</f>
        <v>1.2079999999999869E-2</v>
      </c>
      <c r="AU1225" s="595">
        <f t="shared" ref="AU1225" si="6128">+AU1224/AR1224-1</f>
        <v>1.2080000000000091E-2</v>
      </c>
      <c r="AV1225" s="595">
        <f t="shared" ref="AV1225" si="6129">+AV1224/AS1224-1</f>
        <v>1.2080000000000091E-2</v>
      </c>
      <c r="AW1225" s="595">
        <f t="shared" ref="AW1225" si="6130">+AW1224/AT1224-1</f>
        <v>1.2080000000000091E-2</v>
      </c>
      <c r="AX1225" s="595">
        <f t="shared" ref="AX1225" si="6131">+AX1224/AU1224-1</f>
        <v>1.2080000000000091E-2</v>
      </c>
      <c r="AY1225" s="595">
        <f t="shared" ref="AY1225" si="6132">+AY1224/AV1224-1</f>
        <v>1.2080000000000091E-2</v>
      </c>
      <c r="AZ1225" s="595">
        <f t="shared" ref="AZ1225" si="6133">+AZ1224/AW1224-1</f>
        <v>1.2079999999999869E-2</v>
      </c>
      <c r="BA1225" s="595">
        <f t="shared" ref="BA1225" si="6134">+BA1224/AX1224-1</f>
        <v>1.2080000000000091E-2</v>
      </c>
      <c r="BB1225" s="595">
        <f t="shared" ref="BB1225" si="6135">+BB1224/AY1224-1</f>
        <v>1.2080000000000091E-2</v>
      </c>
      <c r="BC1225" s="595">
        <f t="shared" ref="BC1225" si="6136">+BC1224/AZ1224-1</f>
        <v>1.2080000000000091E-2</v>
      </c>
      <c r="BD1225" s="595">
        <f t="shared" ref="BD1225" si="6137">+BD1224/BA1224-1</f>
        <v>1.2080000000000091E-2</v>
      </c>
      <c r="BE1225" s="595">
        <f t="shared" ref="BE1225" si="6138">+BE1224/BB1224-1</f>
        <v>1.2080000000000091E-2</v>
      </c>
      <c r="BF1225" s="595">
        <f t="shared" ref="BF1225" si="6139">+BF1224/BC1224-1</f>
        <v>1.2080000000000091E-2</v>
      </c>
      <c r="BG1225" s="595">
        <f t="shared" ref="BG1225" si="6140">+BG1224/BD1224-1</f>
        <v>1.2080000000000091E-2</v>
      </c>
      <c r="BH1225" s="595">
        <f t="shared" ref="BH1225" si="6141">+BH1224/BE1224-1</f>
        <v>1.2080000000000091E-2</v>
      </c>
      <c r="BI1225" s="595">
        <f t="shared" ref="BI1225" si="6142">+BI1224/BF1224-1</f>
        <v>1.2080000000000091E-2</v>
      </c>
      <c r="BJ1225" s="595">
        <f t="shared" ref="BJ1225" si="6143">+BJ1224/BG1224-1</f>
        <v>1.2080000000000091E-2</v>
      </c>
      <c r="BK1225" s="595">
        <f t="shared" ref="BK1225" si="6144">+BK1224/BH1224-1</f>
        <v>1.2080000000000091E-2</v>
      </c>
      <c r="BL1225" s="595">
        <f t="shared" ref="BL1225" si="6145">+BL1224/BI1224-1</f>
        <v>1.2080000000000091E-2</v>
      </c>
      <c r="BM1225" s="595">
        <f t="shared" ref="BM1225" si="6146">+BM1224/BJ1224-1</f>
        <v>1.2080000000000091E-2</v>
      </c>
      <c r="BN1225" s="595">
        <f t="shared" ref="BN1225" si="6147">+BN1224/BK1224-1</f>
        <v>1.2080000000000091E-2</v>
      </c>
      <c r="BO1225" s="595">
        <f t="shared" ref="BO1225" si="6148">+BO1224/BL1224-1</f>
        <v>1.2080000000000091E-2</v>
      </c>
      <c r="BP1225" s="595">
        <f t="shared" ref="BP1225" si="6149">+BP1224/BM1224-1</f>
        <v>1.2080000000000091E-2</v>
      </c>
      <c r="BQ1225" s="595">
        <f t="shared" ref="BQ1225" si="6150">+BQ1224/BN1224-1</f>
        <v>1.2080000000000091E-2</v>
      </c>
      <c r="BR1225" s="595">
        <f t="shared" ref="BR1225" si="6151">+BR1224/BO1224-1</f>
        <v>1.2080000000000091E-2</v>
      </c>
    </row>
    <row r="1226" spans="3:70" outlineLevel="1">
      <c r="C1226" s="596" t="s">
        <v>598</v>
      </c>
      <c r="D1226" s="31" t="s">
        <v>66</v>
      </c>
      <c r="E1226" s="562"/>
      <c r="F1226" s="562"/>
      <c r="G1226" s="562"/>
      <c r="H1226" s="606"/>
      <c r="I1226" s="606"/>
      <c r="J1226" s="606"/>
      <c r="K1226" s="604">
        <f t="shared" ref="K1226" si="6152">K1225-(K1230/H1224)</f>
        <v>-9.3398101126076494E-2</v>
      </c>
      <c r="L1226" s="604">
        <f t="shared" ref="L1226" si="6153">L1225-(L1230/I1224)</f>
        <v>0.20207647505697623</v>
      </c>
      <c r="M1226" s="604">
        <f t="shared" ref="M1226" si="6154">M1225-(M1230/J1224)</f>
        <v>9.4391244870041024E-2</v>
      </c>
      <c r="N1226" s="604">
        <f t="shared" ref="N1226" si="6155">N1225-(N1230/K1224)</f>
        <v>0.38009164969450104</v>
      </c>
      <c r="O1226" s="604">
        <f t="shared" ref="O1226" si="6156">O1225-(O1230/L1224)</f>
        <v>-0.14977847648992426</v>
      </c>
      <c r="P1226" s="604">
        <f t="shared" ref="P1226" si="6157">P1225-(P1230/M1224)</f>
        <v>4.0732265446224325E-2</v>
      </c>
      <c r="Q1226" s="604">
        <f t="shared" ref="Q1226" si="6158">Q1225-(Q1230/N1224)</f>
        <v>-9.9206349206348854E-3</v>
      </c>
      <c r="R1226" s="604">
        <f t="shared" ref="R1226" si="6159">R1225-(R1230/O1224)</f>
        <v>4.1603630862329544E-2</v>
      </c>
      <c r="S1226" s="604">
        <f t="shared" ref="S1226" si="6160">S1225-(S1230/P1224)</f>
        <v>1.6177096636866617E-2</v>
      </c>
      <c r="T1226" s="604">
        <f t="shared" ref="T1226" si="6161">T1225-(T1230/Q1224)</f>
        <v>-3.5070140280561213E-2</v>
      </c>
      <c r="U1226" s="604">
        <f t="shared" ref="U1226" si="6162">U1225-(U1230/R1224)</f>
        <v>-1.811506495602333E-2</v>
      </c>
      <c r="V1226" s="604">
        <f t="shared" ref="V1226" si="6163">V1225-(V1230/S1224)</f>
        <v>-2.6267281105990747E-2</v>
      </c>
      <c r="W1226" s="604">
        <f t="shared" ref="W1226" si="6164">W1225-(W1230/T1224)</f>
        <v>2.0768431983384517E-3</v>
      </c>
      <c r="X1226" s="604">
        <f t="shared" ref="X1226" si="6165">X1225-(X1230/U1224)</f>
        <v>5.1855199901384541E-2</v>
      </c>
      <c r="Y1226" s="604">
        <f t="shared" ref="Y1226" si="6166">Y1225-(Y1230/V1224)</f>
        <v>2.8137503764574134E-2</v>
      </c>
      <c r="Z1226" s="604">
        <f t="shared" ref="Z1226" si="6167">Z1225-(Z1230/W1224)</f>
        <v>6.8348727190808756E-2</v>
      </c>
      <c r="AA1226" s="604">
        <f t="shared" ref="AA1226" si="6168">AA1225-(AA1230/X1224)</f>
        <v>4.1017227235438103E-3</v>
      </c>
      <c r="AB1226" s="604">
        <f t="shared" ref="AB1226" si="6169">AB1225-(AB1230/Y1224)</f>
        <v>3.3937314307235233E-2</v>
      </c>
      <c r="AC1226" s="604">
        <f t="shared" ref="AC1226" si="6170">AC1225-(AC1230/Z1224)</f>
        <v>0.17623987854251011</v>
      </c>
      <c r="AD1226" s="604">
        <f t="shared" ref="AD1226" si="6171">AD1225-(AD1230/AA1224)</f>
        <v>0.39390756302521046</v>
      </c>
      <c r="AE1226" s="604">
        <f>AE1225-(AE1230/AB1224)</f>
        <v>0.2894609033511415</v>
      </c>
      <c r="AF1226" s="604">
        <f t="shared" ref="AF1226" si="6172">AF1225-(AF1230/AC1224)</f>
        <v>-0.12201068445018126</v>
      </c>
      <c r="AG1226" s="1047">
        <f>+AG1227+AG1228+AG1229</f>
        <v>7.0542001309690822E-2</v>
      </c>
      <c r="AH1226" s="590">
        <f>+AH1227+AH1228+AH1229</f>
        <v>-1.3740593770795506E-2</v>
      </c>
      <c r="AI1226" s="590">
        <f t="shared" ref="AI1226:AN1226" si="6173">+AI1227+AI1228+AI1229</f>
        <v>4.956994563233888E-2</v>
      </c>
      <c r="AJ1226" s="590">
        <f t="shared" si="6173"/>
        <v>2.3952258064516126E-2</v>
      </c>
      <c r="AK1226" s="590">
        <f t="shared" si="6173"/>
        <v>3.5501490014516968E-2</v>
      </c>
      <c r="AL1226" s="590">
        <f t="shared" si="6173"/>
        <v>1.8000000000000002E-2</v>
      </c>
      <c r="AM1226" s="590">
        <f t="shared" si="6173"/>
        <v>2.0016507936507964E-2</v>
      </c>
      <c r="AN1226" s="590">
        <f t="shared" si="6173"/>
        <v>1.9095053696812636E-2</v>
      </c>
      <c r="AO1226" s="590">
        <f t="shared" ref="AO1226:BR1226" si="6174">+AO1227+AO1228+AO1229</f>
        <v>2.0016507936507964E-2</v>
      </c>
      <c r="AP1226" s="590">
        <f t="shared" si="6174"/>
        <v>1.208E-2</v>
      </c>
      <c r="AQ1226" s="590">
        <f t="shared" si="6174"/>
        <v>1.5702733408801572E-2</v>
      </c>
      <c r="AR1226" s="590">
        <f t="shared" si="6174"/>
        <v>1.208E-2</v>
      </c>
      <c r="AS1226" s="590">
        <f t="shared" si="6174"/>
        <v>1.208E-2</v>
      </c>
      <c r="AT1226" s="590">
        <f t="shared" si="6174"/>
        <v>1.2079999999999869E-2</v>
      </c>
      <c r="AU1226" s="590">
        <f t="shared" si="6174"/>
        <v>1.208E-2</v>
      </c>
      <c r="AV1226" s="590">
        <f t="shared" si="6174"/>
        <v>1.208E-2</v>
      </c>
      <c r="AW1226" s="590">
        <f t="shared" si="6174"/>
        <v>1.2080000000000091E-2</v>
      </c>
      <c r="AX1226" s="590">
        <f t="shared" si="6174"/>
        <v>1.208E-2</v>
      </c>
      <c r="AY1226" s="590">
        <f t="shared" si="6174"/>
        <v>1.208E-2</v>
      </c>
      <c r="AZ1226" s="590">
        <f t="shared" si="6174"/>
        <v>1.2079999999999869E-2</v>
      </c>
      <c r="BA1226" s="590">
        <f t="shared" si="6174"/>
        <v>1.208E-2</v>
      </c>
      <c r="BB1226" s="590">
        <f t="shared" si="6174"/>
        <v>1.208E-2</v>
      </c>
      <c r="BC1226" s="590">
        <f t="shared" si="6174"/>
        <v>1.2080000000000091E-2</v>
      </c>
      <c r="BD1226" s="590">
        <f t="shared" si="6174"/>
        <v>1.208E-2</v>
      </c>
      <c r="BE1226" s="590">
        <f t="shared" si="6174"/>
        <v>1.208E-2</v>
      </c>
      <c r="BF1226" s="590">
        <f t="shared" si="6174"/>
        <v>1.2080000000000091E-2</v>
      </c>
      <c r="BG1226" s="590">
        <f t="shared" si="6174"/>
        <v>1.208E-2</v>
      </c>
      <c r="BH1226" s="590">
        <f t="shared" si="6174"/>
        <v>1.208E-2</v>
      </c>
      <c r="BI1226" s="590">
        <f t="shared" si="6174"/>
        <v>1.2080000000000091E-2</v>
      </c>
      <c r="BJ1226" s="590">
        <f t="shared" si="6174"/>
        <v>1.208E-2</v>
      </c>
      <c r="BK1226" s="590">
        <f t="shared" si="6174"/>
        <v>1.208E-2</v>
      </c>
      <c r="BL1226" s="590">
        <f t="shared" si="6174"/>
        <v>1.2080000000000091E-2</v>
      </c>
      <c r="BM1226" s="590">
        <f t="shared" si="6174"/>
        <v>1.208E-2</v>
      </c>
      <c r="BN1226" s="590">
        <f t="shared" si="6174"/>
        <v>1.208E-2</v>
      </c>
      <c r="BO1226" s="590">
        <f t="shared" si="6174"/>
        <v>1.2080000000000091E-2</v>
      </c>
      <c r="BP1226" s="590">
        <f t="shared" si="6174"/>
        <v>1.208E-2</v>
      </c>
      <c r="BQ1226" s="590">
        <f t="shared" si="6174"/>
        <v>1.208E-2</v>
      </c>
      <c r="BR1226" s="590">
        <f t="shared" si="6174"/>
        <v>1.2080000000000091E-2</v>
      </c>
    </row>
    <row r="1227" spans="3:70" outlineLevel="1">
      <c r="C1227" s="594" t="s">
        <v>534</v>
      </c>
      <c r="D1227" s="31" t="s">
        <v>66</v>
      </c>
      <c r="E1227" s="564"/>
      <c r="F1227" s="564"/>
      <c r="G1227" s="564"/>
      <c r="H1227" s="592"/>
      <c r="I1227" s="592"/>
      <c r="J1227" s="592"/>
      <c r="K1227" s="592"/>
      <c r="L1227" s="592"/>
      <c r="M1227" s="592"/>
      <c r="N1227" s="592"/>
      <c r="O1227" s="592"/>
      <c r="P1227" s="592"/>
      <c r="Q1227" s="592"/>
      <c r="R1227" s="592"/>
      <c r="S1227" s="592"/>
      <c r="T1227" s="592"/>
      <c r="U1227" s="592"/>
      <c r="V1227" s="592"/>
      <c r="W1227" s="592"/>
      <c r="X1227" s="592"/>
      <c r="Y1227" s="592"/>
      <c r="Z1227" s="592"/>
      <c r="AA1227" s="592"/>
      <c r="AB1227" s="592"/>
      <c r="AC1227" s="592"/>
      <c r="AD1227" s="592"/>
      <c r="AE1227" s="592"/>
      <c r="AF1227" s="921">
        <f>AF348</f>
        <v>2.5680000000000001E-2</v>
      </c>
      <c r="AG1227" s="1047">
        <f>AG348</f>
        <v>2.6500000000000003E-2</v>
      </c>
      <c r="AH1227" s="40">
        <f>(AF$1224/AH$1224*AF1227)+(AG$1224/AH$1224*AG1227)</f>
        <v>2.6130319084268328E-2</v>
      </c>
      <c r="AI1227" s="590">
        <f>AI348</f>
        <v>2.2340000000000002E-2</v>
      </c>
      <c r="AJ1227" s="590">
        <f>AJ348</f>
        <v>1.992E-2</v>
      </c>
      <c r="AK1227" s="162">
        <f t="shared" ref="AK1227:AK1228" si="6175">(AI$1224/AK$1224*AI1227)+(AJ$1224/AK$1224*AJ1227)</f>
        <v>2.1025832126762841E-2</v>
      </c>
      <c r="AL1227" s="590">
        <f>AL348</f>
        <v>1.8000000000000002E-2</v>
      </c>
      <c r="AM1227" s="397">
        <f>AM348</f>
        <v>1.208E-2</v>
      </c>
      <c r="AN1227" s="40">
        <f t="shared" ref="AN1227:AN1228" si="6176">(AL$1224/AN$1224*AL1227)+(AM$1224/AN$1224*AM1227)</f>
        <v>1.4782269304293202E-2</v>
      </c>
      <c r="AO1227" s="590">
        <f>AO348</f>
        <v>1.208E-2</v>
      </c>
      <c r="AP1227" s="397">
        <f>AP348</f>
        <v>1.208E-2</v>
      </c>
      <c r="AQ1227" s="40">
        <f t="shared" ref="AQ1227:AQ1228" si="6177">(AO$1224/AQ$1224*AO1227)+(AP$1224/AQ$1224*AP1227)</f>
        <v>1.208E-2</v>
      </c>
      <c r="AR1227" s="590">
        <f>AR348</f>
        <v>1.208E-2</v>
      </c>
      <c r="AS1227" s="397">
        <f>AS348</f>
        <v>1.208E-2</v>
      </c>
      <c r="AT1227" s="40">
        <f t="shared" ref="AT1227:AT1228" si="6178">(AR$1224/AT$1224*AR1227)+(AS$1224/AT$1224*AS1227)</f>
        <v>1.208E-2</v>
      </c>
      <c r="AU1227" s="590">
        <f>AU348</f>
        <v>1.208E-2</v>
      </c>
      <c r="AV1227" s="397">
        <f>AV348</f>
        <v>1.208E-2</v>
      </c>
      <c r="AW1227" s="40">
        <f t="shared" ref="AW1227:AW1228" si="6179">(AU$1224/AW$1224*AU1227)+(AV$1224/AW$1224*AV1227)</f>
        <v>1.208E-2</v>
      </c>
      <c r="AX1227" s="590">
        <f>AX348</f>
        <v>1.208E-2</v>
      </c>
      <c r="AY1227" s="397">
        <f>AY348</f>
        <v>1.208E-2</v>
      </c>
      <c r="AZ1227" s="40">
        <f t="shared" ref="AZ1227:AZ1228" si="6180">(AX$1224/AZ$1224*AX1227)+(AY$1224/AZ$1224*AY1227)</f>
        <v>1.208E-2</v>
      </c>
      <c r="BA1227" s="590">
        <f>BA348</f>
        <v>1.208E-2</v>
      </c>
      <c r="BB1227" s="397">
        <f>BB348</f>
        <v>1.208E-2</v>
      </c>
      <c r="BC1227" s="40">
        <f t="shared" ref="BC1227:BC1228" si="6181">(BA$1224/BC$1224*BA1227)+(BB$1224/BC$1224*BB1227)</f>
        <v>1.208E-2</v>
      </c>
      <c r="BD1227" s="590">
        <f>BD348</f>
        <v>1.208E-2</v>
      </c>
      <c r="BE1227" s="397">
        <f>BE348</f>
        <v>1.208E-2</v>
      </c>
      <c r="BF1227" s="40">
        <f t="shared" ref="BF1227:BF1228" si="6182">(BD$1224/BF$1224*BD1227)+(BE$1224/BF$1224*BE1227)</f>
        <v>1.208E-2</v>
      </c>
      <c r="BG1227" s="590">
        <f>BG348</f>
        <v>1.208E-2</v>
      </c>
      <c r="BH1227" s="397">
        <f>BH348</f>
        <v>1.208E-2</v>
      </c>
      <c r="BI1227" s="40">
        <f t="shared" ref="BI1227:BI1228" si="6183">(BG$1224/BI$1224*BG1227)+(BH$1224/BI$1224*BH1227)</f>
        <v>1.208E-2</v>
      </c>
      <c r="BJ1227" s="590">
        <f>BJ348</f>
        <v>1.208E-2</v>
      </c>
      <c r="BK1227" s="397">
        <f>BK348</f>
        <v>1.208E-2</v>
      </c>
      <c r="BL1227" s="40">
        <f t="shared" ref="BL1227:BL1228" si="6184">(BJ$1224/BL$1224*BJ1227)+(BK$1224/BL$1224*BK1227)</f>
        <v>1.208E-2</v>
      </c>
      <c r="BM1227" s="590">
        <f>BM348</f>
        <v>1.208E-2</v>
      </c>
      <c r="BN1227" s="397">
        <f>BN348</f>
        <v>1.208E-2</v>
      </c>
      <c r="BO1227" s="40">
        <f t="shared" ref="BO1227:BO1228" si="6185">(BM$1224/BO$1224*BM1227)+(BN$1224/BO$1224*BN1227)</f>
        <v>1.208E-2</v>
      </c>
      <c r="BP1227" s="590">
        <f>BP348</f>
        <v>1.208E-2</v>
      </c>
      <c r="BQ1227" s="397">
        <f>BQ348</f>
        <v>1.208E-2</v>
      </c>
      <c r="BR1227" s="40">
        <f t="shared" ref="BR1227:BR1228" si="6186">(BP$1224/BR$1224*BP1227)+(BQ$1224/BR$1224*BQ1227)</f>
        <v>1.208E-2</v>
      </c>
    </row>
    <row r="1228" spans="3:70" outlineLevel="1">
      <c r="C1228" s="594" t="s">
        <v>92</v>
      </c>
      <c r="D1228" s="31" t="s">
        <v>66</v>
      </c>
      <c r="E1228" s="564"/>
      <c r="F1228" s="564"/>
      <c r="G1228" s="564"/>
      <c r="H1228" s="592"/>
      <c r="I1228" s="592"/>
      <c r="J1228" s="592"/>
      <c r="K1228" s="592"/>
      <c r="L1228" s="592"/>
      <c r="M1228" s="592"/>
      <c r="N1228" s="592"/>
      <c r="O1228" s="592"/>
      <c r="P1228" s="592"/>
      <c r="Q1228" s="592"/>
      <c r="R1228" s="592"/>
      <c r="S1228" s="592"/>
      <c r="T1228" s="592"/>
      <c r="U1228" s="592"/>
      <c r="V1228" s="592"/>
      <c r="W1228" s="592"/>
      <c r="X1228" s="592"/>
      <c r="Y1228" s="592"/>
      <c r="Z1228" s="592"/>
      <c r="AA1228" s="592"/>
      <c r="AB1228" s="592"/>
      <c r="AC1228" s="592"/>
      <c r="AD1228" s="592"/>
      <c r="AE1228" s="592"/>
      <c r="AF1228" s="921">
        <f>AF366</f>
        <v>3.9774539116565977E-2</v>
      </c>
      <c r="AG1228" s="1047">
        <f>AG366</f>
        <v>4.4042001309690826E-2</v>
      </c>
      <c r="AH1228" s="40">
        <f>(AF$1224/AH$1224*AF1228)+(AG$1224/AH$1224*AG1228)</f>
        <v>4.2118099686026568E-2</v>
      </c>
      <c r="AI1228" s="590">
        <f>AI366</f>
        <v>2.7229945632338881E-2</v>
      </c>
      <c r="AJ1228" s="590">
        <f>AJ366</f>
        <v>4.0322580645161255E-3</v>
      </c>
      <c r="AK1228" s="162">
        <f t="shared" si="6175"/>
        <v>1.4632567229435692E-2</v>
      </c>
      <c r="AL1228" s="590">
        <f>AL366</f>
        <v>0</v>
      </c>
      <c r="AM1228" s="397">
        <f>AM366</f>
        <v>7.9365079365079638E-3</v>
      </c>
      <c r="AN1228" s="40">
        <f t="shared" si="6176"/>
        <v>4.3137745277064699E-3</v>
      </c>
      <c r="AO1228" s="590">
        <f>AO366</f>
        <v>7.9365079365079638E-3</v>
      </c>
      <c r="AP1228" s="397">
        <f>AP366</f>
        <v>0</v>
      </c>
      <c r="AQ1228" s="40">
        <f t="shared" si="6177"/>
        <v>3.6381194608278689E-3</v>
      </c>
      <c r="AR1228" s="590">
        <f>AR366</f>
        <v>0</v>
      </c>
      <c r="AS1228" s="397">
        <f>AS366</f>
        <v>0</v>
      </c>
      <c r="AT1228" s="40">
        <f t="shared" si="6178"/>
        <v>0</v>
      </c>
      <c r="AU1228" s="590">
        <f>AU366</f>
        <v>0</v>
      </c>
      <c r="AV1228" s="397">
        <f>AV366</f>
        <v>0</v>
      </c>
      <c r="AW1228" s="40">
        <f t="shared" si="6179"/>
        <v>0</v>
      </c>
      <c r="AX1228" s="590">
        <f>AX366</f>
        <v>0</v>
      </c>
      <c r="AY1228" s="397">
        <f>AY366</f>
        <v>0</v>
      </c>
      <c r="AZ1228" s="40">
        <f t="shared" si="6180"/>
        <v>0</v>
      </c>
      <c r="BA1228" s="590">
        <f>BA366</f>
        <v>0</v>
      </c>
      <c r="BB1228" s="397">
        <f>BB366</f>
        <v>0</v>
      </c>
      <c r="BC1228" s="40">
        <f t="shared" si="6181"/>
        <v>0</v>
      </c>
      <c r="BD1228" s="590">
        <f>BD366</f>
        <v>0</v>
      </c>
      <c r="BE1228" s="397">
        <f>BE366</f>
        <v>0</v>
      </c>
      <c r="BF1228" s="40">
        <f t="shared" si="6182"/>
        <v>0</v>
      </c>
      <c r="BG1228" s="590">
        <f>BG366</f>
        <v>0</v>
      </c>
      <c r="BH1228" s="397">
        <f>BH366</f>
        <v>0</v>
      </c>
      <c r="BI1228" s="40">
        <f t="shared" si="6183"/>
        <v>0</v>
      </c>
      <c r="BJ1228" s="590">
        <f>BJ366</f>
        <v>0</v>
      </c>
      <c r="BK1228" s="397">
        <f>BK366</f>
        <v>0</v>
      </c>
      <c r="BL1228" s="40">
        <f t="shared" si="6184"/>
        <v>0</v>
      </c>
      <c r="BM1228" s="590">
        <f>BM366</f>
        <v>0</v>
      </c>
      <c r="BN1228" s="397">
        <f>BN366</f>
        <v>0</v>
      </c>
      <c r="BO1228" s="40">
        <f t="shared" si="6185"/>
        <v>0</v>
      </c>
      <c r="BP1228" s="590">
        <f>BP366</f>
        <v>0</v>
      </c>
      <c r="BQ1228" s="397">
        <f>BQ366</f>
        <v>0</v>
      </c>
      <c r="BR1228" s="40">
        <f t="shared" si="6186"/>
        <v>0</v>
      </c>
    </row>
    <row r="1229" spans="3:70" outlineLevel="1">
      <c r="C1229" s="594" t="s">
        <v>614</v>
      </c>
      <c r="D1229" s="31" t="s">
        <v>66</v>
      </c>
      <c r="E1229" s="564"/>
      <c r="F1229" s="564"/>
      <c r="G1229" s="564"/>
      <c r="H1229" s="592"/>
      <c r="I1229" s="592"/>
      <c r="J1229" s="592"/>
      <c r="K1229" s="592"/>
      <c r="L1229" s="592"/>
      <c r="M1229" s="592"/>
      <c r="N1229" s="592"/>
      <c r="O1229" s="592"/>
      <c r="P1229" s="592"/>
      <c r="Q1229" s="592"/>
      <c r="R1229" s="592"/>
      <c r="S1229" s="592"/>
      <c r="T1229" s="592"/>
      <c r="U1229" s="592"/>
      <c r="V1229" s="592"/>
      <c r="W1229" s="592"/>
      <c r="X1229" s="592"/>
      <c r="Y1229" s="592"/>
      <c r="Z1229" s="592"/>
      <c r="AA1229" s="592"/>
      <c r="AB1229" s="592"/>
      <c r="AC1229" s="592"/>
      <c r="AD1229" s="592"/>
      <c r="AE1229" s="592"/>
      <c r="AF1229" s="912">
        <v>0</v>
      </c>
      <c r="AG1229" s="975">
        <v>0</v>
      </c>
      <c r="AH1229" s="162">
        <f>(AH1224-AH1230)/AE1224-1-AH1228-AH1227</f>
        <v>-8.1989012541090395E-2</v>
      </c>
      <c r="AI1229" s="591">
        <v>0</v>
      </c>
      <c r="AJ1229" s="591">
        <v>0</v>
      </c>
      <c r="AK1229" s="162">
        <f t="shared" ref="AK1229" si="6187">(AK1224-AK1230)/AH1224-1-AK1228-AK1227</f>
        <v>-1.569093416815652E-4</v>
      </c>
      <c r="AL1229" s="591">
        <v>0</v>
      </c>
      <c r="AM1229" s="134">
        <v>0</v>
      </c>
      <c r="AN1229" s="162">
        <f t="shared" ref="AN1229" si="6188">(AN1224-AN1230)/AK1224-1-AN1228-AN1227</f>
        <v>-9.9013518703623682E-7</v>
      </c>
      <c r="AO1229" s="591">
        <v>0</v>
      </c>
      <c r="AP1229" s="134">
        <v>0</v>
      </c>
      <c r="AQ1229" s="162">
        <f t="shared" ref="AQ1229" si="6189">(AQ1224-AQ1230)/AN1224-1-AQ1228-AQ1227</f>
        <v>-1.5386052026297378E-5</v>
      </c>
      <c r="AR1229" s="591">
        <v>0</v>
      </c>
      <c r="AS1229" s="134">
        <v>0</v>
      </c>
      <c r="AT1229" s="162">
        <f t="shared" ref="AT1229" si="6190">(AT1224-AT1230)/AQ1224-1-AT1228-AT1227</f>
        <v>-1.3183898417423734E-16</v>
      </c>
      <c r="AU1229" s="591">
        <v>0</v>
      </c>
      <c r="AV1229" s="134">
        <v>0</v>
      </c>
      <c r="AW1229" s="162">
        <f t="shared" ref="AW1229" si="6191">(AW1224-AW1230)/AT1224-1-AW1228-AW1227</f>
        <v>9.0205620750793969E-17</v>
      </c>
      <c r="AX1229" s="591">
        <v>0</v>
      </c>
      <c r="AY1229" s="134">
        <v>0</v>
      </c>
      <c r="AZ1229" s="162">
        <f t="shared" ref="AZ1229" si="6192">(AZ1224-AZ1230)/AW1224-1-AZ1228-AZ1227</f>
        <v>-1.3183898417423734E-16</v>
      </c>
      <c r="BA1229" s="591">
        <v>0</v>
      </c>
      <c r="BB1229" s="134">
        <v>0</v>
      </c>
      <c r="BC1229" s="162">
        <f t="shared" ref="BC1229" si="6193">(BC1224-BC1230)/AZ1224-1-BC1228-BC1227</f>
        <v>9.0205620750793969E-17</v>
      </c>
      <c r="BD1229" s="591">
        <v>0</v>
      </c>
      <c r="BE1229" s="134">
        <v>0</v>
      </c>
      <c r="BF1229" s="162">
        <f t="shared" ref="BF1229" si="6194">(BF1224-BF1230)/BC1224-1-BF1228-BF1227</f>
        <v>9.0205620750793969E-17</v>
      </c>
      <c r="BG1229" s="591">
        <v>0</v>
      </c>
      <c r="BH1229" s="134">
        <v>0</v>
      </c>
      <c r="BI1229" s="162">
        <f t="shared" ref="BI1229" si="6195">(BI1224-BI1230)/BF1224-1-BI1228-BI1227</f>
        <v>9.0205620750793969E-17</v>
      </c>
      <c r="BJ1229" s="591">
        <v>0</v>
      </c>
      <c r="BK1229" s="134">
        <v>0</v>
      </c>
      <c r="BL1229" s="162">
        <f t="shared" ref="BL1229" si="6196">(BL1224-BL1230)/BI1224-1-BL1228-BL1227</f>
        <v>9.0205620750793969E-17</v>
      </c>
      <c r="BM1229" s="591">
        <v>0</v>
      </c>
      <c r="BN1229" s="134">
        <v>0</v>
      </c>
      <c r="BO1229" s="162">
        <f t="shared" ref="BO1229" si="6197">(BO1224-BO1230)/BL1224-1-BO1228-BO1227</f>
        <v>9.0205620750793969E-17</v>
      </c>
      <c r="BP1229" s="591">
        <v>0</v>
      </c>
      <c r="BQ1229" s="134">
        <v>0</v>
      </c>
      <c r="BR1229" s="162">
        <f t="shared" ref="BR1229" si="6198">(BR1224-BR1230)/BO1224-1-BR1228-BR1227</f>
        <v>9.0205620750793969E-17</v>
      </c>
    </row>
    <row r="1230" spans="3:70" outlineLevel="1">
      <c r="C1230" s="384" t="s">
        <v>585</v>
      </c>
      <c r="D1230" s="31" t="s">
        <v>58</v>
      </c>
      <c r="E1230" s="564"/>
      <c r="F1230" s="564"/>
      <c r="G1230" s="564"/>
      <c r="H1230" s="592"/>
      <c r="I1230" s="576"/>
      <c r="J1230" s="592"/>
      <c r="K1230" s="535">
        <f>+K1338</f>
        <v>75</v>
      </c>
      <c r="L1230" s="545">
        <f>+L1338</f>
        <v>90</v>
      </c>
      <c r="M1230" s="167">
        <f>+L1230+K1230</f>
        <v>165</v>
      </c>
      <c r="N1230" s="167">
        <f>+N1338</f>
        <v>15</v>
      </c>
      <c r="O1230" s="171">
        <f>+O1338</f>
        <v>0</v>
      </c>
      <c r="P1230" s="167">
        <f>+O1230+N1230</f>
        <v>15</v>
      </c>
      <c r="Q1230" s="167">
        <f>+Q1338</f>
        <v>0</v>
      </c>
      <c r="R1230" s="171">
        <f>+R1338</f>
        <v>0</v>
      </c>
      <c r="S1230" s="167">
        <f>+R1230+Q1230</f>
        <v>0</v>
      </c>
      <c r="T1230" s="167">
        <f>+T1338</f>
        <v>0</v>
      </c>
      <c r="U1230" s="171">
        <f>+U1338</f>
        <v>0</v>
      </c>
      <c r="V1230" s="167">
        <f>+U1230+T1230</f>
        <v>0</v>
      </c>
      <c r="W1230" s="167">
        <f>+W1338</f>
        <v>0</v>
      </c>
      <c r="X1230" s="171">
        <f>+X1338</f>
        <v>0</v>
      </c>
      <c r="Y1230" s="167">
        <f>+X1230+W1230</f>
        <v>0</v>
      </c>
      <c r="Z1230" s="167">
        <f>+Z1338</f>
        <v>0</v>
      </c>
      <c r="AA1230" s="171">
        <f>+AA1338</f>
        <v>0</v>
      </c>
      <c r="AB1230" s="167">
        <f>+AA1230+Z1230</f>
        <v>0</v>
      </c>
      <c r="AC1230" s="167">
        <f>+AC1338</f>
        <v>0</v>
      </c>
      <c r="AD1230" s="347">
        <f>+AD1338</f>
        <v>0</v>
      </c>
      <c r="AE1230" s="167">
        <f>+AD1230+AC1230</f>
        <v>0</v>
      </c>
      <c r="AF1230" s="645">
        <f>+AF1338</f>
        <v>70</v>
      </c>
      <c r="AG1230" s="1048">
        <f>+AG1338</f>
        <v>0</v>
      </c>
      <c r="AH1230" s="598">
        <f>+AG1230+AF1230</f>
        <v>70</v>
      </c>
      <c r="AI1230" s="645">
        <f>+AI1338</f>
        <v>0</v>
      </c>
      <c r="AJ1230" s="645">
        <f>+AJ1338</f>
        <v>0</v>
      </c>
      <c r="AK1230" s="598">
        <f>+AJ1230+AI1230</f>
        <v>0</v>
      </c>
      <c r="AL1230" s="645">
        <f>+AL1338</f>
        <v>0</v>
      </c>
      <c r="AM1230" s="645">
        <f>+AM1338</f>
        <v>0</v>
      </c>
      <c r="AN1230" s="597">
        <f>+AM1230+AL1230</f>
        <v>0</v>
      </c>
      <c r="AO1230" s="645">
        <f>+AO1338</f>
        <v>0</v>
      </c>
      <c r="AP1230" s="645">
        <f>+AP1338</f>
        <v>0</v>
      </c>
      <c r="AQ1230" s="597">
        <f>+AP1230+AO1230</f>
        <v>0</v>
      </c>
      <c r="AR1230" s="645">
        <f>+AR1338</f>
        <v>0</v>
      </c>
      <c r="AS1230" s="645">
        <f>+AS1338</f>
        <v>0</v>
      </c>
      <c r="AT1230" s="597">
        <f>+AS1230+AR1230</f>
        <v>0</v>
      </c>
      <c r="AU1230" s="645">
        <f>+AU1338</f>
        <v>0</v>
      </c>
      <c r="AV1230" s="645">
        <f>+AV1338</f>
        <v>0</v>
      </c>
      <c r="AW1230" s="597">
        <f>+AV1230+AU1230</f>
        <v>0</v>
      </c>
      <c r="AX1230" s="645">
        <f>+AX1338</f>
        <v>0</v>
      </c>
      <c r="AY1230" s="645">
        <f>+AY1338</f>
        <v>0</v>
      </c>
      <c r="AZ1230" s="597">
        <f>+AY1230+AX1230</f>
        <v>0</v>
      </c>
      <c r="BA1230" s="645">
        <f>+BA1338</f>
        <v>0</v>
      </c>
      <c r="BB1230" s="645">
        <f>+BB1338</f>
        <v>0</v>
      </c>
      <c r="BC1230" s="597">
        <f>+BB1230+BA1230</f>
        <v>0</v>
      </c>
      <c r="BD1230" s="645">
        <f>+BD1338</f>
        <v>0</v>
      </c>
      <c r="BE1230" s="645">
        <f>+BE1338</f>
        <v>0</v>
      </c>
      <c r="BF1230" s="597">
        <f>+BE1230+BD1230</f>
        <v>0</v>
      </c>
      <c r="BG1230" s="645">
        <f>+BG1338</f>
        <v>0</v>
      </c>
      <c r="BH1230" s="645">
        <f>+BH1338</f>
        <v>0</v>
      </c>
      <c r="BI1230" s="597">
        <f>+BH1230+BG1230</f>
        <v>0</v>
      </c>
      <c r="BJ1230" s="645">
        <f>+BJ1338</f>
        <v>0</v>
      </c>
      <c r="BK1230" s="645">
        <f>+BK1338</f>
        <v>0</v>
      </c>
      <c r="BL1230" s="597">
        <f>+BK1230+BJ1230</f>
        <v>0</v>
      </c>
      <c r="BM1230" s="645">
        <f>+BM1338</f>
        <v>0</v>
      </c>
      <c r="BN1230" s="645">
        <f>+BN1338</f>
        <v>0</v>
      </c>
      <c r="BO1230" s="597">
        <f>+BN1230+BM1230</f>
        <v>0</v>
      </c>
      <c r="BP1230" s="645">
        <f>+BP1338</f>
        <v>0</v>
      </c>
      <c r="BQ1230" s="645">
        <f>+BQ1338</f>
        <v>0</v>
      </c>
      <c r="BR1230" s="597">
        <f>+BQ1230+BP1230</f>
        <v>0</v>
      </c>
    </row>
    <row r="1231" spans="3:70" s="8" customFormat="1" outlineLevel="1">
      <c r="C1231" s="8" t="s">
        <v>70</v>
      </c>
      <c r="D1231" s="96" t="s">
        <v>58</v>
      </c>
      <c r="E1231" s="460">
        <v>845</v>
      </c>
      <c r="F1231" s="460">
        <v>834</v>
      </c>
      <c r="G1231" s="593">
        <f>SUM(E1231:F1231)</f>
        <v>1679</v>
      </c>
      <c r="H1231" s="460">
        <v>647</v>
      </c>
      <c r="I1231" s="460">
        <v>815</v>
      </c>
      <c r="J1231" s="593">
        <f>SUM(H1231:I1231)</f>
        <v>1462</v>
      </c>
      <c r="K1231" s="460">
        <v>982</v>
      </c>
      <c r="L1231" s="460">
        <v>1203</v>
      </c>
      <c r="M1231" s="593">
        <f>SUM(K1231:L1231)</f>
        <v>2185</v>
      </c>
      <c r="N1231" s="460">
        <v>1104</v>
      </c>
      <c r="O1231" s="460">
        <v>1245</v>
      </c>
      <c r="P1231" s="593">
        <f>SUM(N1231:O1231)</f>
        <v>2349</v>
      </c>
      <c r="Q1231" s="460">
        <v>998</v>
      </c>
      <c r="R1231" s="460">
        <v>1172</v>
      </c>
      <c r="S1231" s="593">
        <f>SUM(Q1231:R1231)</f>
        <v>2170</v>
      </c>
      <c r="T1231" s="460">
        <v>963</v>
      </c>
      <c r="U1231" s="460">
        <v>1150</v>
      </c>
      <c r="V1231" s="593">
        <f>SUM(T1231:U1231)</f>
        <v>2113</v>
      </c>
      <c r="W1231" s="460">
        <v>965</v>
      </c>
      <c r="X1231" s="460">
        <v>1113</v>
      </c>
      <c r="Y1231" s="593">
        <f>SUM(W1231:X1231)</f>
        <v>2078</v>
      </c>
      <c r="Z1231" s="460">
        <v>988</v>
      </c>
      <c r="AA1231" s="460">
        <v>1071</v>
      </c>
      <c r="AB1231" s="593">
        <f>SUM(Z1231:AA1231)</f>
        <v>2059</v>
      </c>
      <c r="AC1231" s="460">
        <v>1033</v>
      </c>
      <c r="AD1231" s="460">
        <v>1163</v>
      </c>
      <c r="AE1231" s="468">
        <f>AC1231+AD1231</f>
        <v>2196</v>
      </c>
      <c r="AF1231" s="109">
        <v>984</v>
      </c>
      <c r="AG1231" s="934">
        <f>AG1210+AG1217+AG1224</f>
        <v>1205.6286971215989</v>
      </c>
      <c r="AH1231" s="64">
        <f>AF1231+AG1231</f>
        <v>2189.6286971215986</v>
      </c>
      <c r="AI1231" s="64">
        <f>AI1210+AI1217+AI1224</f>
        <v>968.25604864706588</v>
      </c>
      <c r="AJ1231" s="64">
        <f>AJ1210+AJ1217+AJ1224</f>
        <v>1248.1527111825242</v>
      </c>
      <c r="AK1231" s="64">
        <f t="shared" ref="AK1231" si="6199">AI1231+AJ1231</f>
        <v>2216.4087598295901</v>
      </c>
      <c r="AL1231" s="64">
        <f>AL1210+AL1217+AL1224</f>
        <v>987.7508301277669</v>
      </c>
      <c r="AM1231" s="64">
        <f>AM1210+AM1217+AM1224</f>
        <v>1277.8936593740266</v>
      </c>
      <c r="AN1231" s="64">
        <f t="shared" ref="AN1231" si="6200">AL1231+AM1231</f>
        <v>2265.6444895017935</v>
      </c>
      <c r="AO1231" s="64">
        <f>AO1210+AO1217+AO1224</f>
        <v>1009.8271772725316</v>
      </c>
      <c r="AP1231" s="64">
        <f>AP1210+AP1217+AP1224</f>
        <v>1298.4635353875346</v>
      </c>
      <c r="AQ1231" s="64">
        <f t="shared" ref="AQ1231" si="6201">AO1231+AP1231</f>
        <v>2308.2907126600662</v>
      </c>
      <c r="AR1231" s="64">
        <f>AR1210+AR1217+AR1224</f>
        <v>1024.5839720951003</v>
      </c>
      <c r="AS1231" s="64">
        <f>AS1210+AS1217+AS1224</f>
        <v>1319.6327499108397</v>
      </c>
      <c r="AT1231" s="64">
        <f t="shared" ref="AT1231" si="6202">AR1231+AS1231</f>
        <v>2344.21672200594</v>
      </c>
      <c r="AU1231" s="64">
        <f>AU1210+AU1217+AU1224</f>
        <v>1039.762717697628</v>
      </c>
      <c r="AV1231" s="64">
        <f>AV1210+AV1217+AV1224</f>
        <v>1341.4192546868153</v>
      </c>
      <c r="AW1231" s="64">
        <f t="shared" ref="AW1231" si="6203">AU1231+AV1231</f>
        <v>2381.1819723844433</v>
      </c>
      <c r="AX1231" s="64">
        <f>AX1210+AX1217+AX1224</f>
        <v>1055.375856832783</v>
      </c>
      <c r="AY1231" s="64">
        <f>AY1210+AY1217+AY1224</f>
        <v>1363.8415635353399</v>
      </c>
      <c r="AZ1231" s="64">
        <f t="shared" ref="AZ1231" si="6204">AX1231+AY1231</f>
        <v>2419.2174203681229</v>
      </c>
      <c r="BA1231" s="64">
        <f>BA1210+BA1217+BA1224</f>
        <v>1071.4362195862091</v>
      </c>
      <c r="BB1231" s="64">
        <f>BB1210+BB1217+BB1224</f>
        <v>1386.9187702132049</v>
      </c>
      <c r="BC1231" s="64">
        <f t="shared" ref="BC1231" si="6205">BA1231+BB1231</f>
        <v>2458.3549897994139</v>
      </c>
      <c r="BD1231" s="64">
        <f>BD1210+BD1217+BD1224</f>
        <v>1087.9570356552276</v>
      </c>
      <c r="BE1231" s="64">
        <f>BE1210+BE1217+BE1224</f>
        <v>1410.6705668449142</v>
      </c>
      <c r="BF1231" s="64">
        <f t="shared" ref="BF1231" si="6206">BD1231+BE1231</f>
        <v>2498.6276025001416</v>
      </c>
      <c r="BG1231" s="64">
        <f>BG1210+BG1217+BG1224</f>
        <v>1104.9519470196828</v>
      </c>
      <c r="BH1231" s="64">
        <f>BH1210+BH1217+BH1224</f>
        <v>1435.1172629426587</v>
      </c>
      <c r="BI1231" s="64">
        <f t="shared" ref="BI1231" si="6207">BG1231+BH1231</f>
        <v>2540.0692099623416</v>
      </c>
      <c r="BJ1231" s="64">
        <f>BJ1210+BJ1217+BJ1224</f>
        <v>1122.4350210174789</v>
      </c>
      <c r="BK1231" s="64">
        <f>BK1210+BK1217+BK1224</f>
        <v>1460.2798050343424</v>
      </c>
      <c r="BL1231" s="64">
        <f t="shared" ref="BL1231" si="6208">BJ1231+BK1231</f>
        <v>2582.7148260518215</v>
      </c>
      <c r="BM1231" s="64">
        <f>BM1210+BM1217+BM1224</f>
        <v>1140.4207638377754</v>
      </c>
      <c r="BN1231" s="64">
        <f>BN1210+BN1217+BN1224</f>
        <v>1486.1797969191439</v>
      </c>
      <c r="BO1231" s="64">
        <f t="shared" ref="BO1231" si="6209">BM1231+BN1231</f>
        <v>2626.6005607569195</v>
      </c>
      <c r="BP1231" s="64">
        <f>BP1210+BP1217+BP1224</f>
        <v>1158.924134445218</v>
      </c>
      <c r="BQ1231" s="64">
        <f>BQ1210+BQ1217+BQ1224</f>
        <v>1512.8395205707141</v>
      </c>
      <c r="BR1231" s="64">
        <f t="shared" ref="BR1231" si="6210">BP1231+BQ1231</f>
        <v>2671.7636550159323</v>
      </c>
    </row>
    <row r="1232" spans="3:70" s="8" customFormat="1" outlineLevel="1">
      <c r="C1232" s="95" t="s">
        <v>69</v>
      </c>
      <c r="D1232" s="96" t="s">
        <v>58</v>
      </c>
      <c r="E1232" s="460">
        <v>40</v>
      </c>
      <c r="F1232" s="460">
        <v>43</v>
      </c>
      <c r="G1232" s="593">
        <f>SUM(E1232:F1232)</f>
        <v>83</v>
      </c>
      <c r="H1232" s="460">
        <v>42</v>
      </c>
      <c r="I1232" s="460">
        <v>53</v>
      </c>
      <c r="J1232" s="593">
        <f>SUM(H1232:I1232)</f>
        <v>95</v>
      </c>
      <c r="K1232" s="460">
        <v>52</v>
      </c>
      <c r="L1232" s="460">
        <v>64</v>
      </c>
      <c r="M1232" s="593">
        <f>SUM(K1232:L1232)</f>
        <v>116</v>
      </c>
      <c r="N1232" s="460">
        <v>58</v>
      </c>
      <c r="O1232" s="460">
        <v>66</v>
      </c>
      <c r="P1232" s="593">
        <f>SUM(N1232:O1232)</f>
        <v>124</v>
      </c>
      <c r="Q1232" s="460">
        <v>61</v>
      </c>
      <c r="R1232" s="460">
        <v>69</v>
      </c>
      <c r="S1232" s="593">
        <f>SUM(Q1232:R1232)</f>
        <v>130</v>
      </c>
      <c r="T1232" s="460">
        <v>64</v>
      </c>
      <c r="U1232" s="460">
        <v>86</v>
      </c>
      <c r="V1232" s="593">
        <f>SUM(T1232:U1232)</f>
        <v>150</v>
      </c>
      <c r="W1232" s="460">
        <v>79</v>
      </c>
      <c r="X1232" s="460">
        <v>84</v>
      </c>
      <c r="Y1232" s="593">
        <f>SUM(W1232:X1232)</f>
        <v>163</v>
      </c>
      <c r="Z1232" s="460">
        <v>77</v>
      </c>
      <c r="AA1232" s="460">
        <v>81</v>
      </c>
      <c r="AB1232" s="593">
        <f>SUM(Z1232:AA1232)</f>
        <v>158</v>
      </c>
      <c r="AC1232" s="460">
        <v>75</v>
      </c>
      <c r="AD1232" s="460">
        <v>89</v>
      </c>
      <c r="AE1232" s="468">
        <f>AC1232+AD1232</f>
        <v>164</v>
      </c>
      <c r="AF1232" s="834">
        <v>73</v>
      </c>
      <c r="AG1232" s="1045">
        <f>(AD1232*(1+AG1234))+AG1238</f>
        <v>95.278238116562491</v>
      </c>
      <c r="AH1232" s="341">
        <f>+AG1232+AF1232</f>
        <v>168.27823811656248</v>
      </c>
      <c r="AI1232" s="468">
        <f t="shared" ref="AI1232" si="6211">(AF1232*(1+AI1234))+AI1238</f>
        <v>76.618606031160738</v>
      </c>
      <c r="AJ1232" s="468">
        <f t="shared" ref="AJ1232" si="6212">(AG1232*(1+AJ1234))+AJ1238</f>
        <v>97.560367063862813</v>
      </c>
      <c r="AK1232" s="341">
        <f t="shared" ref="AK1232" si="6213">+AJ1232+AI1232</f>
        <v>174.17897309502354</v>
      </c>
      <c r="AL1232" s="468">
        <f t="shared" ref="AL1232" si="6214">(AI1232*(1+AL1234))+AL1238</f>
        <v>77.997740939721638</v>
      </c>
      <c r="AM1232" s="468">
        <f t="shared" ref="AM1232" si="6215">(AJ1232*(1+AM1234))+AM1238</f>
        <v>99.513184925485263</v>
      </c>
      <c r="AN1232" s="341">
        <f t="shared" ref="AN1232" si="6216">+AM1232+AL1232</f>
        <v>177.5109258652069</v>
      </c>
      <c r="AO1232" s="468">
        <f t="shared" ref="AO1232" si="6217">(AL1232*(1+AO1234))+AO1238</f>
        <v>79.558983340271269</v>
      </c>
      <c r="AP1232" s="468">
        <f t="shared" ref="AP1232" si="6218">(AM1232*(1+AP1234))+AP1238</f>
        <v>100.71530419938513</v>
      </c>
      <c r="AQ1232" s="341">
        <f t="shared" ref="AQ1232" si="6219">+AP1232+AO1232</f>
        <v>180.2742875396564</v>
      </c>
      <c r="AR1232" s="468">
        <f t="shared" ref="AR1232" si="6220">(AO1232*(1+AR1234))+AR1238</f>
        <v>80.520055859021753</v>
      </c>
      <c r="AS1232" s="468">
        <f t="shared" ref="AS1232" si="6221">(AP1232*(1+AS1234))+AS1238</f>
        <v>101.93194507411371</v>
      </c>
      <c r="AT1232" s="341">
        <f t="shared" ref="AT1232" si="6222">+AS1232+AR1232</f>
        <v>182.45200093313548</v>
      </c>
      <c r="AU1232" s="468">
        <f t="shared" ref="AU1232" si="6223">(AR1232*(1+AU1234))+AU1238</f>
        <v>81.492738133798738</v>
      </c>
      <c r="AV1232" s="468">
        <f t="shared" ref="AV1232" si="6224">(AS1232*(1+AV1234))+AV1238</f>
        <v>103.16328297060902</v>
      </c>
      <c r="AW1232" s="341">
        <f t="shared" ref="AW1232" si="6225">+AV1232+AU1232</f>
        <v>184.65602110440776</v>
      </c>
      <c r="AX1232" s="468">
        <f t="shared" ref="AX1232" si="6226">(AU1232*(1+AX1234))+AX1238</f>
        <v>82.477170410455031</v>
      </c>
      <c r="AY1232" s="468">
        <f t="shared" ref="AY1232" si="6227">(AV1232*(1+AY1234))+AY1238</f>
        <v>104.40949542889399</v>
      </c>
      <c r="AZ1232" s="341">
        <f t="shared" ref="AZ1232" si="6228">+AY1232+AX1232</f>
        <v>186.88666583934901</v>
      </c>
      <c r="BA1232" s="468">
        <f t="shared" ref="BA1232" si="6229">(AX1232*(1+BA1234))+BA1238</f>
        <v>83.473494629013331</v>
      </c>
      <c r="BB1232" s="468">
        <f t="shared" ref="BB1232" si="6230">(AY1232*(1+BB1234))+BB1238</f>
        <v>105.67076213367504</v>
      </c>
      <c r="BC1232" s="341">
        <f t="shared" ref="BC1232" si="6231">+BB1232+BA1232</f>
        <v>189.14425676268837</v>
      </c>
      <c r="BD1232" s="468">
        <f t="shared" ref="BD1232" si="6232">(BA1232*(1+BD1234))+BD1238</f>
        <v>84.481854444131812</v>
      </c>
      <c r="BE1232" s="468">
        <f t="shared" ref="BE1232" si="6233">(BB1232*(1+BE1234))+BE1238</f>
        <v>106.94726494024984</v>
      </c>
      <c r="BF1232" s="341">
        <f t="shared" ref="BF1232" si="6234">+BE1232+BD1232</f>
        <v>191.42911938438164</v>
      </c>
      <c r="BG1232" s="468">
        <f t="shared" ref="BG1232" si="6235">(BD1232*(1+BG1234))+BG1238</f>
        <v>85.502395245816928</v>
      </c>
      <c r="BH1232" s="468">
        <f t="shared" ref="BH1232" si="6236">(BE1232*(1+BH1234))+BH1238</f>
        <v>108.23918790072807</v>
      </c>
      <c r="BI1232" s="341">
        <f t="shared" ref="BI1232" si="6237">+BH1232+BG1232</f>
        <v>193.741583146545</v>
      </c>
      <c r="BJ1232" s="468">
        <f t="shared" ref="BJ1232" si="6238">(BG1232*(1+BJ1234))+BJ1238</f>
        <v>86.535264180386406</v>
      </c>
      <c r="BK1232" s="468">
        <f t="shared" ref="BK1232" si="6239">(BH1232*(1+BK1234))+BK1238</f>
        <v>109.54671729056888</v>
      </c>
      <c r="BL1232" s="341">
        <f t="shared" ref="BL1232" si="6240">+BK1232+BJ1232</f>
        <v>196.08198147095527</v>
      </c>
      <c r="BM1232" s="468">
        <f t="shared" ref="BM1232" si="6241">(BJ1232*(1+BM1234))+BM1238</f>
        <v>87.580610171685478</v>
      </c>
      <c r="BN1232" s="468">
        <f t="shared" ref="BN1232" si="6242">(BK1232*(1+BN1234))+BN1238</f>
        <v>110.87004163543897</v>
      </c>
      <c r="BO1232" s="341">
        <f t="shared" ref="BO1232" si="6243">+BN1232+BM1232</f>
        <v>198.45065180712444</v>
      </c>
      <c r="BP1232" s="468">
        <f t="shared" ref="BP1232" si="6244">(BM1232*(1+BP1234))+BP1238</f>
        <v>88.63858394255945</v>
      </c>
      <c r="BQ1232" s="468">
        <f t="shared" ref="BQ1232" si="6245">(BN1232*(1+BQ1234))+BQ1238</f>
        <v>112.20935173839509</v>
      </c>
      <c r="BR1232" s="341">
        <f t="shared" ref="BR1232" si="6246">+BQ1232+BP1232</f>
        <v>200.84793568095455</v>
      </c>
    </row>
    <row r="1233" spans="2:70" s="8" customFormat="1" outlineLevel="1">
      <c r="C1233" s="547" t="s">
        <v>669</v>
      </c>
      <c r="D1233" s="31" t="s">
        <v>66</v>
      </c>
      <c r="E1233" s="582"/>
      <c r="F1233" s="582"/>
      <c r="G1233" s="607"/>
      <c r="H1233" s="595">
        <f>+H1232/E1232-1</f>
        <v>5.0000000000000044E-2</v>
      </c>
      <c r="I1233" s="595">
        <f>+I1232/F1232-1</f>
        <v>0.23255813953488369</v>
      </c>
      <c r="J1233" s="595">
        <f>+J1232/G1232-1</f>
        <v>0.14457831325301207</v>
      </c>
      <c r="K1233" s="595">
        <f>+K1232/H1232-1</f>
        <v>0.23809523809523814</v>
      </c>
      <c r="L1233" s="595">
        <f t="shared" ref="L1233" si="6247">+L1232/I1232-1</f>
        <v>0.20754716981132071</v>
      </c>
      <c r="M1233" s="595">
        <f t="shared" ref="M1233" si="6248">+M1232/J1232-1</f>
        <v>0.22105263157894739</v>
      </c>
      <c r="N1233" s="595">
        <f t="shared" ref="N1233" si="6249">+N1232/K1232-1</f>
        <v>0.11538461538461542</v>
      </c>
      <c r="O1233" s="595">
        <f t="shared" ref="O1233" si="6250">+O1232/L1232-1</f>
        <v>3.125E-2</v>
      </c>
      <c r="P1233" s="595">
        <f t="shared" ref="P1233" si="6251">+P1232/M1232-1</f>
        <v>6.8965517241379226E-2</v>
      </c>
      <c r="Q1233" s="595">
        <f t="shared" ref="Q1233" si="6252">+Q1232/N1232-1</f>
        <v>5.1724137931034475E-2</v>
      </c>
      <c r="R1233" s="595">
        <f t="shared" ref="R1233" si="6253">+R1232/O1232-1</f>
        <v>4.5454545454545414E-2</v>
      </c>
      <c r="S1233" s="595">
        <f t="shared" ref="S1233" si="6254">+S1232/P1232-1</f>
        <v>4.8387096774193505E-2</v>
      </c>
      <c r="T1233" s="595">
        <f t="shared" ref="T1233" si="6255">+T1232/Q1232-1</f>
        <v>4.9180327868852514E-2</v>
      </c>
      <c r="U1233" s="595">
        <f t="shared" ref="U1233" si="6256">+U1232/R1232-1</f>
        <v>0.24637681159420288</v>
      </c>
      <c r="V1233" s="595">
        <f t="shared" ref="V1233" si="6257">+V1232/S1232-1</f>
        <v>0.15384615384615374</v>
      </c>
      <c r="W1233" s="595">
        <f t="shared" ref="W1233" si="6258">+W1232/T1232-1</f>
        <v>0.234375</v>
      </c>
      <c r="X1233" s="595">
        <f t="shared" ref="X1233" si="6259">+X1232/U1232-1</f>
        <v>-2.3255813953488413E-2</v>
      </c>
      <c r="Y1233" s="595">
        <f t="shared" ref="Y1233" si="6260">+Y1232/V1232-1</f>
        <v>8.666666666666667E-2</v>
      </c>
      <c r="Z1233" s="595">
        <f t="shared" ref="Z1233" si="6261">+Z1232/W1232-1</f>
        <v>-2.5316455696202556E-2</v>
      </c>
      <c r="AA1233" s="595">
        <f t="shared" ref="AA1233" si="6262">+AA1232/X1232-1</f>
        <v>-3.5714285714285698E-2</v>
      </c>
      <c r="AB1233" s="595">
        <f t="shared" ref="AB1233" si="6263">+AB1232/Y1232-1</f>
        <v>-3.0674846625766916E-2</v>
      </c>
      <c r="AC1233" s="595">
        <f t="shared" ref="AC1233" si="6264">+AC1232/Z1232-1</f>
        <v>-2.5974025974025983E-2</v>
      </c>
      <c r="AD1233" s="595">
        <f t="shared" ref="AD1233" si="6265">+AD1232/AA1232-1</f>
        <v>9.8765432098765427E-2</v>
      </c>
      <c r="AE1233" s="595">
        <f t="shared" ref="AE1233" si="6266">+AE1232/AB1232-1</f>
        <v>3.7974683544303778E-2</v>
      </c>
      <c r="AF1233" s="595">
        <f t="shared" ref="AF1233" si="6267">+AF1232/AC1232-1</f>
        <v>-2.6666666666666616E-2</v>
      </c>
      <c r="AG1233" s="1046">
        <f t="shared" ref="AG1233" si="6268">+AG1232/AD1232-1</f>
        <v>7.0542001309690905E-2</v>
      </c>
      <c r="AH1233" s="595">
        <f t="shared" ref="AH1233" si="6269">+AH1232/AE1232-1</f>
        <v>2.6086817783917526E-2</v>
      </c>
      <c r="AI1233" s="595">
        <f t="shared" ref="AI1233" si="6270">+AI1232/AF1232-1</f>
        <v>4.9569945632338852E-2</v>
      </c>
      <c r="AJ1233" s="595">
        <f t="shared" ref="AJ1233" si="6271">+AJ1232/AG1232-1</f>
        <v>2.3952258064516174E-2</v>
      </c>
      <c r="AK1233" s="595">
        <f t="shared" ref="AK1233" si="6272">+AK1232/AH1232-1</f>
        <v>3.5065347988572082E-2</v>
      </c>
      <c r="AL1233" s="595">
        <f t="shared" ref="AL1233" si="6273">+AL1232/AI1232-1</f>
        <v>1.8000000000000016E-2</v>
      </c>
      <c r="AM1233" s="595">
        <f t="shared" ref="AM1233" si="6274">+AM1232/AJ1232-1</f>
        <v>2.0016507936507999E-2</v>
      </c>
      <c r="AN1233" s="595">
        <f t="shared" ref="AN1233" si="6275">+AN1232/AK1232-1</f>
        <v>1.9129477634281411E-2</v>
      </c>
      <c r="AO1233" s="595">
        <f t="shared" ref="AO1233" si="6276">+AO1232/AL1232-1</f>
        <v>2.0016507936507999E-2</v>
      </c>
      <c r="AP1233" s="595">
        <f t="shared" ref="AP1233" si="6277">+AP1232/AM1232-1</f>
        <v>1.2080000000000091E-2</v>
      </c>
      <c r="AQ1233" s="595">
        <f t="shared" ref="AQ1233" si="6278">+AQ1232/AN1232-1</f>
        <v>1.5567276554840692E-2</v>
      </c>
      <c r="AR1233" s="595">
        <f t="shared" ref="AR1233" si="6279">+AR1232/AO1232-1</f>
        <v>1.2080000000000091E-2</v>
      </c>
      <c r="AS1233" s="595">
        <f t="shared" ref="AS1233" si="6280">+AS1232/AP1232-1</f>
        <v>1.2080000000000091E-2</v>
      </c>
      <c r="AT1233" s="595">
        <f t="shared" ref="AT1233" si="6281">+AT1232/AQ1232-1</f>
        <v>1.2080000000000091E-2</v>
      </c>
      <c r="AU1233" s="595">
        <f t="shared" ref="AU1233" si="6282">+AU1232/AR1232-1</f>
        <v>1.2080000000000091E-2</v>
      </c>
      <c r="AV1233" s="595">
        <f t="shared" ref="AV1233" si="6283">+AV1232/AS1232-1</f>
        <v>1.2080000000000091E-2</v>
      </c>
      <c r="AW1233" s="595">
        <f t="shared" ref="AW1233" si="6284">+AW1232/AT1232-1</f>
        <v>1.2080000000000091E-2</v>
      </c>
      <c r="AX1233" s="595">
        <f t="shared" ref="AX1233" si="6285">+AX1232/AU1232-1</f>
        <v>1.2080000000000091E-2</v>
      </c>
      <c r="AY1233" s="595">
        <f t="shared" ref="AY1233" si="6286">+AY1232/AV1232-1</f>
        <v>1.2080000000000091E-2</v>
      </c>
      <c r="AZ1233" s="595">
        <f t="shared" ref="AZ1233" si="6287">+AZ1232/AW1232-1</f>
        <v>1.2080000000000091E-2</v>
      </c>
      <c r="BA1233" s="595">
        <f t="shared" ref="BA1233" si="6288">+BA1232/AX1232-1</f>
        <v>1.2080000000000091E-2</v>
      </c>
      <c r="BB1233" s="595">
        <f t="shared" ref="BB1233" si="6289">+BB1232/AY1232-1</f>
        <v>1.2080000000000091E-2</v>
      </c>
      <c r="BC1233" s="595">
        <f t="shared" ref="BC1233" si="6290">+BC1232/AZ1232-1</f>
        <v>1.2080000000000091E-2</v>
      </c>
      <c r="BD1233" s="595">
        <f t="shared" ref="BD1233" si="6291">+BD1232/BA1232-1</f>
        <v>1.2080000000000091E-2</v>
      </c>
      <c r="BE1233" s="595">
        <f t="shared" ref="BE1233" si="6292">+BE1232/BB1232-1</f>
        <v>1.2080000000000091E-2</v>
      </c>
      <c r="BF1233" s="595">
        <f t="shared" ref="BF1233" si="6293">+BF1232/BC1232-1</f>
        <v>1.2079999999999869E-2</v>
      </c>
      <c r="BG1233" s="595">
        <f t="shared" ref="BG1233" si="6294">+BG1232/BD1232-1</f>
        <v>1.2080000000000091E-2</v>
      </c>
      <c r="BH1233" s="595">
        <f t="shared" ref="BH1233" si="6295">+BH1232/BE1232-1</f>
        <v>1.2080000000000091E-2</v>
      </c>
      <c r="BI1233" s="595">
        <f t="shared" ref="BI1233" si="6296">+BI1232/BF1232-1</f>
        <v>1.2080000000000091E-2</v>
      </c>
      <c r="BJ1233" s="595">
        <f t="shared" ref="BJ1233" si="6297">+BJ1232/BG1232-1</f>
        <v>1.2080000000000091E-2</v>
      </c>
      <c r="BK1233" s="595">
        <f t="shared" ref="BK1233" si="6298">+BK1232/BH1232-1</f>
        <v>1.2080000000000091E-2</v>
      </c>
      <c r="BL1233" s="595">
        <f t="shared" ref="BL1233" si="6299">+BL1232/BI1232-1</f>
        <v>1.2080000000000091E-2</v>
      </c>
      <c r="BM1233" s="595">
        <f t="shared" ref="BM1233" si="6300">+BM1232/BJ1232-1</f>
        <v>1.2080000000000091E-2</v>
      </c>
      <c r="BN1233" s="595">
        <f t="shared" ref="BN1233" si="6301">+BN1232/BK1232-1</f>
        <v>1.2080000000000091E-2</v>
      </c>
      <c r="BO1233" s="595">
        <f t="shared" ref="BO1233" si="6302">+BO1232/BL1232-1</f>
        <v>1.2080000000000091E-2</v>
      </c>
      <c r="BP1233" s="595">
        <f t="shared" ref="BP1233" si="6303">+BP1232/BM1232-1</f>
        <v>1.2080000000000091E-2</v>
      </c>
      <c r="BQ1233" s="595">
        <f t="shared" ref="BQ1233" si="6304">+BQ1232/BN1232-1</f>
        <v>1.2080000000000091E-2</v>
      </c>
      <c r="BR1233" s="595">
        <f t="shared" ref="BR1233" si="6305">+BR1232/BO1232-1</f>
        <v>1.2080000000000313E-2</v>
      </c>
    </row>
    <row r="1234" spans="2:70" s="8" customFormat="1" outlineLevel="1">
      <c r="C1234" s="596" t="s">
        <v>598</v>
      </c>
      <c r="D1234" s="31" t="s">
        <v>66</v>
      </c>
      <c r="E1234" s="582"/>
      <c r="F1234" s="582"/>
      <c r="G1234" s="607"/>
      <c r="H1234" s="604">
        <f t="shared" ref="H1234:AD1234" si="6306">H1233-(H1238/E1232)</f>
        <v>5.0000000000000044E-2</v>
      </c>
      <c r="I1234" s="604">
        <f t="shared" si="6306"/>
        <v>0.23255813953488369</v>
      </c>
      <c r="J1234" s="604">
        <f t="shared" si="6306"/>
        <v>0.14457831325301207</v>
      </c>
      <c r="K1234" s="604">
        <f t="shared" si="6306"/>
        <v>0.23809523809523814</v>
      </c>
      <c r="L1234" s="604">
        <f t="shared" si="6306"/>
        <v>0.20754716981132071</v>
      </c>
      <c r="M1234" s="604">
        <f t="shared" si="6306"/>
        <v>0.22105263157894739</v>
      </c>
      <c r="N1234" s="604">
        <f t="shared" si="6306"/>
        <v>0.11538461538461542</v>
      </c>
      <c r="O1234" s="604">
        <f t="shared" si="6306"/>
        <v>3.125E-2</v>
      </c>
      <c r="P1234" s="604">
        <f t="shared" si="6306"/>
        <v>6.8965517241379226E-2</v>
      </c>
      <c r="Q1234" s="604">
        <f t="shared" si="6306"/>
        <v>5.1724137931034475E-2</v>
      </c>
      <c r="R1234" s="604">
        <f t="shared" si="6306"/>
        <v>4.5454545454545414E-2</v>
      </c>
      <c r="S1234" s="604">
        <f t="shared" si="6306"/>
        <v>4.8387096774193505E-2</v>
      </c>
      <c r="T1234" s="604">
        <f t="shared" si="6306"/>
        <v>4.9180327868852514E-2</v>
      </c>
      <c r="U1234" s="604">
        <f t="shared" si="6306"/>
        <v>0.24637681159420288</v>
      </c>
      <c r="V1234" s="604">
        <f t="shared" si="6306"/>
        <v>0.15384615384615374</v>
      </c>
      <c r="W1234" s="604">
        <f t="shared" si="6306"/>
        <v>0.234375</v>
      </c>
      <c r="X1234" s="604">
        <f t="shared" si="6306"/>
        <v>-2.3255813953488413E-2</v>
      </c>
      <c r="Y1234" s="604">
        <f t="shared" si="6306"/>
        <v>8.666666666666667E-2</v>
      </c>
      <c r="Z1234" s="604">
        <f t="shared" si="6306"/>
        <v>-2.5316455696202556E-2</v>
      </c>
      <c r="AA1234" s="604">
        <f t="shared" si="6306"/>
        <v>-3.5714285714285698E-2</v>
      </c>
      <c r="AB1234" s="604">
        <f t="shared" si="6306"/>
        <v>-3.0674846625766916E-2</v>
      </c>
      <c r="AC1234" s="604">
        <f t="shared" si="6306"/>
        <v>-2.5974025974025983E-2</v>
      </c>
      <c r="AD1234" s="604">
        <f t="shared" si="6306"/>
        <v>9.8765432098765427E-2</v>
      </c>
      <c r="AE1234" s="604">
        <f>AE1233-(AE1238/AB1232)</f>
        <v>3.7974683544303778E-2</v>
      </c>
      <c r="AF1234" s="590">
        <f>+AF1235+AF1236+AF1237</f>
        <v>6.5454539116565985E-2</v>
      </c>
      <c r="AG1234" s="1047">
        <f>+AG1235+AG1236+AG1237</f>
        <v>7.0542001309690822E-2</v>
      </c>
      <c r="AH1234" s="590">
        <f>+AH1235+AH1236+AH1237</f>
        <v>2.6086817783917526E-2</v>
      </c>
      <c r="AI1234" s="590">
        <f t="shared" ref="AI1234" si="6307">+AI1235+AI1236+AI1237</f>
        <v>4.956994563233888E-2</v>
      </c>
      <c r="AJ1234" s="590">
        <f t="shared" ref="AJ1234" si="6308">+AJ1235+AJ1236+AJ1237</f>
        <v>2.3952258064516126E-2</v>
      </c>
      <c r="AK1234" s="590">
        <f t="shared" ref="AK1234" si="6309">+AK1235+AK1236+AK1237</f>
        <v>3.5065347988572082E-2</v>
      </c>
      <c r="AL1234" s="590">
        <f t="shared" ref="AL1234" si="6310">+AL1235+AL1236+AL1237</f>
        <v>1.8000000000000002E-2</v>
      </c>
      <c r="AM1234" s="590">
        <f t="shared" ref="AM1234" si="6311">+AM1235+AM1236+AM1237</f>
        <v>2.0016507936507964E-2</v>
      </c>
      <c r="AN1234" s="590">
        <f t="shared" ref="AN1234:AP1234" si="6312">+AN1235+AN1236+AN1237</f>
        <v>1.9129477634281411E-2</v>
      </c>
      <c r="AO1234" s="590">
        <f t="shared" si="6312"/>
        <v>2.0016507936507964E-2</v>
      </c>
      <c r="AP1234" s="590">
        <f t="shared" si="6312"/>
        <v>1.208E-2</v>
      </c>
      <c r="AQ1234" s="590">
        <f t="shared" ref="AQ1234:BR1234" si="6313">+AQ1235+AQ1236+AQ1237</f>
        <v>1.5567276554840692E-2</v>
      </c>
      <c r="AR1234" s="590">
        <f t="shared" si="6313"/>
        <v>1.208E-2</v>
      </c>
      <c r="AS1234" s="590">
        <f t="shared" si="6313"/>
        <v>1.208E-2</v>
      </c>
      <c r="AT1234" s="590">
        <f t="shared" si="6313"/>
        <v>1.2080000000000091E-2</v>
      </c>
      <c r="AU1234" s="590">
        <f t="shared" si="6313"/>
        <v>1.208E-2</v>
      </c>
      <c r="AV1234" s="590">
        <f t="shared" si="6313"/>
        <v>1.208E-2</v>
      </c>
      <c r="AW1234" s="590">
        <f t="shared" si="6313"/>
        <v>1.2080000000000091E-2</v>
      </c>
      <c r="AX1234" s="590">
        <f t="shared" si="6313"/>
        <v>1.208E-2</v>
      </c>
      <c r="AY1234" s="590">
        <f t="shared" si="6313"/>
        <v>1.208E-2</v>
      </c>
      <c r="AZ1234" s="590">
        <f t="shared" si="6313"/>
        <v>1.2080000000000091E-2</v>
      </c>
      <c r="BA1234" s="590">
        <f t="shared" si="6313"/>
        <v>1.208E-2</v>
      </c>
      <c r="BB1234" s="590">
        <f t="shared" si="6313"/>
        <v>1.208E-2</v>
      </c>
      <c r="BC1234" s="590">
        <f t="shared" si="6313"/>
        <v>1.2080000000000091E-2</v>
      </c>
      <c r="BD1234" s="590">
        <f t="shared" si="6313"/>
        <v>1.208E-2</v>
      </c>
      <c r="BE1234" s="590">
        <f t="shared" si="6313"/>
        <v>1.208E-2</v>
      </c>
      <c r="BF1234" s="590">
        <f t="shared" si="6313"/>
        <v>1.2079999999999869E-2</v>
      </c>
      <c r="BG1234" s="590">
        <f t="shared" si="6313"/>
        <v>1.208E-2</v>
      </c>
      <c r="BH1234" s="590">
        <f t="shared" si="6313"/>
        <v>1.208E-2</v>
      </c>
      <c r="BI1234" s="590">
        <f t="shared" si="6313"/>
        <v>1.2080000000000091E-2</v>
      </c>
      <c r="BJ1234" s="590">
        <f t="shared" si="6313"/>
        <v>1.208E-2</v>
      </c>
      <c r="BK1234" s="590">
        <f t="shared" si="6313"/>
        <v>1.208E-2</v>
      </c>
      <c r="BL1234" s="590">
        <f t="shared" si="6313"/>
        <v>1.2080000000000091E-2</v>
      </c>
      <c r="BM1234" s="590">
        <f t="shared" si="6313"/>
        <v>1.208E-2</v>
      </c>
      <c r="BN1234" s="590">
        <f t="shared" si="6313"/>
        <v>1.208E-2</v>
      </c>
      <c r="BO1234" s="590">
        <f t="shared" si="6313"/>
        <v>1.2080000000000091E-2</v>
      </c>
      <c r="BP1234" s="590">
        <f t="shared" si="6313"/>
        <v>1.208E-2</v>
      </c>
      <c r="BQ1234" s="590">
        <f t="shared" si="6313"/>
        <v>1.208E-2</v>
      </c>
      <c r="BR1234" s="590">
        <f t="shared" si="6313"/>
        <v>1.2080000000000313E-2</v>
      </c>
    </row>
    <row r="1235" spans="2:70" outlineLevel="1">
      <c r="C1235" s="594" t="s">
        <v>534</v>
      </c>
      <c r="D1235" s="31" t="s">
        <v>66</v>
      </c>
      <c r="E1235" s="564"/>
      <c r="F1235" s="564"/>
      <c r="G1235" s="564"/>
      <c r="H1235" s="592"/>
      <c r="I1235" s="592"/>
      <c r="J1235" s="592"/>
      <c r="K1235" s="592"/>
      <c r="L1235" s="592"/>
      <c r="M1235" s="592"/>
      <c r="N1235" s="592"/>
      <c r="O1235" s="592"/>
      <c r="P1235" s="592"/>
      <c r="Q1235" s="592"/>
      <c r="R1235" s="592"/>
      <c r="S1235" s="592"/>
      <c r="T1235" s="592"/>
      <c r="U1235" s="592"/>
      <c r="V1235" s="592"/>
      <c r="W1235" s="592"/>
      <c r="X1235" s="592"/>
      <c r="Y1235" s="592"/>
      <c r="Z1235" s="592"/>
      <c r="AA1235" s="592"/>
      <c r="AB1235" s="592"/>
      <c r="AC1235" s="592"/>
      <c r="AD1235" s="592"/>
      <c r="AE1235" s="592"/>
      <c r="AF1235" s="921">
        <f>AF351</f>
        <v>2.5680000000000001E-2</v>
      </c>
      <c r="AG1235" s="1047">
        <f>AG351</f>
        <v>2.6500000000000003E-2</v>
      </c>
      <c r="AH1235" s="40">
        <f>(AF$1232/AH$1232*AF1235)+(AG$1232/AH$1232*AG1235)</f>
        <v>2.6144279612919791E-2</v>
      </c>
      <c r="AI1235" s="590">
        <f>AI351</f>
        <v>2.2340000000000002E-2</v>
      </c>
      <c r="AJ1235" s="590">
        <f>AJ351</f>
        <v>1.992E-2</v>
      </c>
      <c r="AK1235" s="162">
        <f t="shared" ref="AK1235:AK1236" si="6314">(AI$1232/AK$1232*AI1235)+(AJ$1232/AK$1232*AJ1235)</f>
        <v>2.0984520150169071E-2</v>
      </c>
      <c r="AL1235" s="590">
        <f>AL351</f>
        <v>1.8000000000000002E-2</v>
      </c>
      <c r="AM1235" s="590">
        <f>AM351</f>
        <v>1.208E-2</v>
      </c>
      <c r="AN1235" s="162">
        <f t="shared" ref="AN1235:AN1236" si="6315">(AL$1232/AN$1232*AL1235)+(AM$1232/AN$1232*AM1235)</f>
        <v>1.4681229327786732E-2</v>
      </c>
      <c r="AO1235" s="590">
        <f>AO351</f>
        <v>1.208E-2</v>
      </c>
      <c r="AP1235" s="590">
        <f>AP351</f>
        <v>1.208E-2</v>
      </c>
      <c r="AQ1235" s="162">
        <f t="shared" ref="AQ1235:AQ1236" si="6316">(AO$1232/AQ$1232*AO1235)+(AP$1232/AQ$1232*AP1235)</f>
        <v>1.208E-2</v>
      </c>
      <c r="AR1235" s="590">
        <f>AR351</f>
        <v>1.208E-2</v>
      </c>
      <c r="AS1235" s="590">
        <f>AS351</f>
        <v>1.208E-2</v>
      </c>
      <c r="AT1235" s="162">
        <f t="shared" ref="AT1235:AT1236" si="6317">(AR$1232/AT$1232*AR1235)+(AS$1232/AT$1232*AS1235)</f>
        <v>1.208E-2</v>
      </c>
      <c r="AU1235" s="590">
        <f>AU351</f>
        <v>1.208E-2</v>
      </c>
      <c r="AV1235" s="590">
        <f>AV351</f>
        <v>1.208E-2</v>
      </c>
      <c r="AW1235" s="162">
        <f t="shared" ref="AW1235:AW1236" si="6318">(AU$1232/AW$1232*AU1235)+(AV$1232/AW$1232*AV1235)</f>
        <v>1.208E-2</v>
      </c>
      <c r="AX1235" s="590">
        <f>AX351</f>
        <v>1.208E-2</v>
      </c>
      <c r="AY1235" s="590">
        <f>AY351</f>
        <v>1.208E-2</v>
      </c>
      <c r="AZ1235" s="162">
        <f t="shared" ref="AZ1235:AZ1236" si="6319">(AX$1232/AZ$1232*AX1235)+(AY$1232/AZ$1232*AY1235)</f>
        <v>1.208E-2</v>
      </c>
      <c r="BA1235" s="590">
        <f>BA351</f>
        <v>1.208E-2</v>
      </c>
      <c r="BB1235" s="590">
        <f>BB351</f>
        <v>1.208E-2</v>
      </c>
      <c r="BC1235" s="162">
        <f t="shared" ref="BC1235:BC1236" si="6320">(BA$1232/BC$1232*BA1235)+(BB$1232/BC$1232*BB1235)</f>
        <v>1.208E-2</v>
      </c>
      <c r="BD1235" s="590">
        <f>BD351</f>
        <v>1.208E-2</v>
      </c>
      <c r="BE1235" s="590">
        <f>BE351</f>
        <v>1.208E-2</v>
      </c>
      <c r="BF1235" s="162">
        <f t="shared" ref="BF1235:BF1236" si="6321">(BD$1232/BF$1232*BD1235)+(BE$1232/BF$1232*BE1235)</f>
        <v>1.208E-2</v>
      </c>
      <c r="BG1235" s="590">
        <f>BG351</f>
        <v>1.208E-2</v>
      </c>
      <c r="BH1235" s="590">
        <f>BH351</f>
        <v>1.208E-2</v>
      </c>
      <c r="BI1235" s="162">
        <f t="shared" ref="BI1235:BI1236" si="6322">(BG$1232/BI$1232*BG1235)+(BH$1232/BI$1232*BH1235)</f>
        <v>1.208E-2</v>
      </c>
      <c r="BJ1235" s="590">
        <f>BJ351</f>
        <v>1.208E-2</v>
      </c>
      <c r="BK1235" s="590">
        <f>BK351</f>
        <v>1.208E-2</v>
      </c>
      <c r="BL1235" s="162">
        <f t="shared" ref="BL1235:BL1236" si="6323">(BJ$1232/BL$1232*BJ1235)+(BK$1232/BL$1232*BK1235)</f>
        <v>1.208E-2</v>
      </c>
      <c r="BM1235" s="590">
        <f>BM351</f>
        <v>1.208E-2</v>
      </c>
      <c r="BN1235" s="590">
        <f>BN351</f>
        <v>1.208E-2</v>
      </c>
      <c r="BO1235" s="162">
        <f t="shared" ref="BO1235:BO1236" si="6324">(BM$1232/BO$1232*BM1235)+(BN$1232/BO$1232*BN1235)</f>
        <v>1.208E-2</v>
      </c>
      <c r="BP1235" s="590">
        <f>BP351</f>
        <v>1.208E-2</v>
      </c>
      <c r="BQ1235" s="590">
        <f>BQ351</f>
        <v>1.208E-2</v>
      </c>
      <c r="BR1235" s="162">
        <f t="shared" ref="BR1235:BR1236" si="6325">(BP$1232/BR$1232*BP1235)+(BQ$1232/BR$1232*BQ1235)</f>
        <v>1.208E-2</v>
      </c>
    </row>
    <row r="1236" spans="2:70" outlineLevel="1">
      <c r="C1236" s="594" t="s">
        <v>92</v>
      </c>
      <c r="D1236" s="31" t="s">
        <v>66</v>
      </c>
      <c r="E1236" s="564"/>
      <c r="F1236" s="564"/>
      <c r="G1236" s="564"/>
      <c r="H1236" s="592"/>
      <c r="I1236" s="592"/>
      <c r="J1236" s="592"/>
      <c r="K1236" s="592"/>
      <c r="L1236" s="592"/>
      <c r="M1236" s="592"/>
      <c r="N1236" s="592"/>
      <c r="O1236" s="592"/>
      <c r="P1236" s="592"/>
      <c r="Q1236" s="592"/>
      <c r="R1236" s="592"/>
      <c r="S1236" s="592"/>
      <c r="T1236" s="592"/>
      <c r="U1236" s="592"/>
      <c r="V1236" s="592"/>
      <c r="W1236" s="592"/>
      <c r="X1236" s="592"/>
      <c r="Y1236" s="592"/>
      <c r="Z1236" s="592"/>
      <c r="AA1236" s="592"/>
      <c r="AB1236" s="592"/>
      <c r="AC1236" s="592"/>
      <c r="AD1236" s="592"/>
      <c r="AE1236" s="592"/>
      <c r="AF1236" s="921">
        <f>AF366</f>
        <v>3.9774539116565977E-2</v>
      </c>
      <c r="AG1236" s="1047">
        <f>AG366</f>
        <v>4.4042001309690826E-2</v>
      </c>
      <c r="AH1236" s="40">
        <f>(AF$1232/AH$1232*AF1236)+(AG$1232/AH$1232*AG1236)</f>
        <v>4.2190753378973087E-2</v>
      </c>
      <c r="AI1236" s="590">
        <f>AI366</f>
        <v>2.7229945632338881E-2</v>
      </c>
      <c r="AJ1236" s="590">
        <f>AJ366</f>
        <v>4.0322580645161255E-3</v>
      </c>
      <c r="AK1236" s="162">
        <f t="shared" si="6314"/>
        <v>1.4236558003885491E-2</v>
      </c>
      <c r="AL1236" s="590">
        <f>AL366</f>
        <v>0</v>
      </c>
      <c r="AM1236" s="590">
        <f>AM366</f>
        <v>7.9365079365079638E-3</v>
      </c>
      <c r="AN1236" s="162">
        <f t="shared" si="6315"/>
        <v>4.4492313816673129E-3</v>
      </c>
      <c r="AO1236" s="590">
        <f>AO366</f>
        <v>7.9365079365079638E-3</v>
      </c>
      <c r="AP1236" s="590">
        <f>AP366</f>
        <v>0</v>
      </c>
      <c r="AQ1236" s="162">
        <f t="shared" si="6316"/>
        <v>3.5025544203671813E-3</v>
      </c>
      <c r="AR1236" s="590">
        <f>AR366</f>
        <v>0</v>
      </c>
      <c r="AS1236" s="590">
        <f>AS366</f>
        <v>0</v>
      </c>
      <c r="AT1236" s="162">
        <f t="shared" si="6317"/>
        <v>0</v>
      </c>
      <c r="AU1236" s="590">
        <f>AU366</f>
        <v>0</v>
      </c>
      <c r="AV1236" s="590">
        <f>AV366</f>
        <v>0</v>
      </c>
      <c r="AW1236" s="162">
        <f t="shared" si="6318"/>
        <v>0</v>
      </c>
      <c r="AX1236" s="590">
        <f>AX366</f>
        <v>0</v>
      </c>
      <c r="AY1236" s="590">
        <f>AY366</f>
        <v>0</v>
      </c>
      <c r="AZ1236" s="162">
        <f t="shared" si="6319"/>
        <v>0</v>
      </c>
      <c r="BA1236" s="590">
        <f>BA366</f>
        <v>0</v>
      </c>
      <c r="BB1236" s="590">
        <f>BB366</f>
        <v>0</v>
      </c>
      <c r="BC1236" s="162">
        <f t="shared" si="6320"/>
        <v>0</v>
      </c>
      <c r="BD1236" s="590">
        <f>BD366</f>
        <v>0</v>
      </c>
      <c r="BE1236" s="590">
        <f>BE366</f>
        <v>0</v>
      </c>
      <c r="BF1236" s="162">
        <f t="shared" si="6321"/>
        <v>0</v>
      </c>
      <c r="BG1236" s="590">
        <f>BG366</f>
        <v>0</v>
      </c>
      <c r="BH1236" s="590">
        <f>BH366</f>
        <v>0</v>
      </c>
      <c r="BI1236" s="162">
        <f t="shared" si="6322"/>
        <v>0</v>
      </c>
      <c r="BJ1236" s="590">
        <f>BJ366</f>
        <v>0</v>
      </c>
      <c r="BK1236" s="590">
        <f>BK366</f>
        <v>0</v>
      </c>
      <c r="BL1236" s="162">
        <f t="shared" si="6323"/>
        <v>0</v>
      </c>
      <c r="BM1236" s="590">
        <f>BM366</f>
        <v>0</v>
      </c>
      <c r="BN1236" s="590">
        <f>BN366</f>
        <v>0</v>
      </c>
      <c r="BO1236" s="162">
        <f t="shared" si="6324"/>
        <v>0</v>
      </c>
      <c r="BP1236" s="590">
        <f>BP366</f>
        <v>0</v>
      </c>
      <c r="BQ1236" s="590">
        <f>BQ366</f>
        <v>0</v>
      </c>
      <c r="BR1236" s="162">
        <f t="shared" si="6325"/>
        <v>0</v>
      </c>
    </row>
    <row r="1237" spans="2:70" outlineLevel="1">
      <c r="C1237" s="594" t="s">
        <v>614</v>
      </c>
      <c r="D1237" s="31" t="s">
        <v>66</v>
      </c>
      <c r="E1237" s="564"/>
      <c r="F1237" s="564"/>
      <c r="G1237" s="564"/>
      <c r="H1237" s="592"/>
      <c r="I1237" s="592"/>
      <c r="J1237" s="592"/>
      <c r="K1237" s="592"/>
      <c r="L1237" s="592"/>
      <c r="M1237" s="592"/>
      <c r="N1237" s="592"/>
      <c r="O1237" s="592"/>
      <c r="P1237" s="592"/>
      <c r="Q1237" s="592"/>
      <c r="R1237" s="592"/>
      <c r="S1237" s="592"/>
      <c r="T1237" s="592"/>
      <c r="U1237" s="592"/>
      <c r="V1237" s="592"/>
      <c r="W1237" s="592"/>
      <c r="X1237" s="592"/>
      <c r="Y1237" s="592"/>
      <c r="Z1237" s="592"/>
      <c r="AA1237" s="592"/>
      <c r="AB1237" s="592"/>
      <c r="AC1237" s="592"/>
      <c r="AD1237" s="592"/>
      <c r="AE1237" s="592"/>
      <c r="AF1237" s="912">
        <v>0</v>
      </c>
      <c r="AG1237" s="975">
        <v>0</v>
      </c>
      <c r="AH1237" s="162">
        <f>(AH1232-AH1238)/AE1232-1-AH1236-AH1235</f>
        <v>-4.2248215207975351E-2</v>
      </c>
      <c r="AI1237" s="591">
        <v>0</v>
      </c>
      <c r="AJ1237" s="591">
        <v>0</v>
      </c>
      <c r="AK1237" s="162">
        <f>(AK1232-AK1238)/AH1232-1-AK1236-AK1235</f>
        <v>-1.5573016548248164E-4</v>
      </c>
      <c r="AL1237" s="591">
        <v>0</v>
      </c>
      <c r="AM1237" s="591">
        <v>0</v>
      </c>
      <c r="AN1237" s="162">
        <f>(AN1232-AN1238)/AK1232-1-AN1236-AN1235</f>
        <v>-9.8307517263501731E-7</v>
      </c>
      <c r="AO1237" s="591">
        <v>0</v>
      </c>
      <c r="AP1237" s="591">
        <v>0</v>
      </c>
      <c r="AQ1237" s="162">
        <f>(AQ1232-AQ1238)/AN1232-1-AQ1236-AQ1235</f>
        <v>-1.5277865526490061E-5</v>
      </c>
      <c r="AR1237" s="591">
        <v>0</v>
      </c>
      <c r="AS1237" s="591">
        <v>0</v>
      </c>
      <c r="AT1237" s="162">
        <f>(AT1232-AT1238)/AQ1232-1-AT1236-AT1235</f>
        <v>9.0205620750793969E-17</v>
      </c>
      <c r="AU1237" s="591">
        <v>0</v>
      </c>
      <c r="AV1237" s="591">
        <v>0</v>
      </c>
      <c r="AW1237" s="162">
        <f>(AW1232-AW1238)/AT1232-1-AW1236-AW1235</f>
        <v>9.0205620750793969E-17</v>
      </c>
      <c r="AX1237" s="591">
        <v>0</v>
      </c>
      <c r="AY1237" s="591">
        <v>0</v>
      </c>
      <c r="AZ1237" s="162">
        <f>(AZ1232-AZ1238)/AW1232-1-AZ1236-AZ1235</f>
        <v>9.0205620750793969E-17</v>
      </c>
      <c r="BA1237" s="591">
        <v>0</v>
      </c>
      <c r="BB1237" s="591">
        <v>0</v>
      </c>
      <c r="BC1237" s="162">
        <f>(BC1232-BC1238)/AZ1232-1-BC1236-BC1235</f>
        <v>9.0205620750793969E-17</v>
      </c>
      <c r="BD1237" s="591">
        <v>0</v>
      </c>
      <c r="BE1237" s="591">
        <v>0</v>
      </c>
      <c r="BF1237" s="162">
        <f>(BF1232-BF1238)/BC1232-1-BF1236-BF1235</f>
        <v>-1.3183898417423734E-16</v>
      </c>
      <c r="BG1237" s="591">
        <v>0</v>
      </c>
      <c r="BH1237" s="591">
        <v>0</v>
      </c>
      <c r="BI1237" s="162">
        <f>(BI1232-BI1238)/BF1232-1-BI1236-BI1235</f>
        <v>9.0205620750793969E-17</v>
      </c>
      <c r="BJ1237" s="591">
        <v>0</v>
      </c>
      <c r="BK1237" s="591">
        <v>0</v>
      </c>
      <c r="BL1237" s="162">
        <f>(BL1232-BL1238)/BI1232-1-BL1236-BL1235</f>
        <v>9.0205620750793969E-17</v>
      </c>
      <c r="BM1237" s="591">
        <v>0</v>
      </c>
      <c r="BN1237" s="591">
        <v>0</v>
      </c>
      <c r="BO1237" s="162">
        <f>(BO1232-BO1238)/BL1232-1-BO1236-BO1235</f>
        <v>9.0205620750793969E-17</v>
      </c>
      <c r="BP1237" s="591">
        <v>0</v>
      </c>
      <c r="BQ1237" s="591">
        <v>0</v>
      </c>
      <c r="BR1237" s="162">
        <f>(BR1232-BR1238)/BO1232-1-BR1236-BR1235</f>
        <v>3.1225022567582528E-16</v>
      </c>
    </row>
    <row r="1238" spans="2:70" outlineLevel="1">
      <c r="C1238" s="384" t="s">
        <v>585</v>
      </c>
      <c r="D1238" s="31" t="s">
        <v>58</v>
      </c>
      <c r="E1238" s="564"/>
      <c r="F1238" s="564"/>
      <c r="G1238" s="564"/>
      <c r="H1238" s="535">
        <f>+H1339</f>
        <v>0</v>
      </c>
      <c r="I1238" s="535">
        <f>+I1339</f>
        <v>0</v>
      </c>
      <c r="J1238" s="167">
        <f>+I1238+H1238</f>
        <v>0</v>
      </c>
      <c r="K1238" s="167">
        <f>+K1339</f>
        <v>0</v>
      </c>
      <c r="L1238" s="167">
        <f>+L1339</f>
        <v>0</v>
      </c>
      <c r="M1238" s="167">
        <f>+L1238+K1238</f>
        <v>0</v>
      </c>
      <c r="N1238" s="167">
        <f>+N1339</f>
        <v>0</v>
      </c>
      <c r="O1238" s="167">
        <f>+O1339</f>
        <v>0</v>
      </c>
      <c r="P1238" s="167">
        <f>+O1238+N1238</f>
        <v>0</v>
      </c>
      <c r="Q1238" s="167">
        <f>+Q1339</f>
        <v>0</v>
      </c>
      <c r="R1238" s="167">
        <f>+R1339</f>
        <v>0</v>
      </c>
      <c r="S1238" s="167">
        <f>+R1238+Q1238</f>
        <v>0</v>
      </c>
      <c r="T1238" s="167">
        <f>+T1339</f>
        <v>0</v>
      </c>
      <c r="U1238" s="167">
        <f>+U1339</f>
        <v>0</v>
      </c>
      <c r="V1238" s="167">
        <f>+U1238+T1238</f>
        <v>0</v>
      </c>
      <c r="W1238" s="167">
        <f>+W1339</f>
        <v>0</v>
      </c>
      <c r="X1238" s="167">
        <f>+X1339</f>
        <v>0</v>
      </c>
      <c r="Y1238" s="167">
        <f>+X1238+W1238</f>
        <v>0</v>
      </c>
      <c r="Z1238" s="167">
        <f>+Z1339</f>
        <v>0</v>
      </c>
      <c r="AA1238" s="167">
        <f>+AA1339</f>
        <v>0</v>
      </c>
      <c r="AB1238" s="167">
        <f>+AA1238+Z1238</f>
        <v>0</v>
      </c>
      <c r="AC1238" s="167">
        <f>+AC1339</f>
        <v>0</v>
      </c>
      <c r="AD1238" s="167">
        <f>+AD1339</f>
        <v>0</v>
      </c>
      <c r="AE1238" s="167">
        <f>+AD1238+AC1238</f>
        <v>0</v>
      </c>
      <c r="AF1238" s="600">
        <f>+AF1339</f>
        <v>0</v>
      </c>
      <c r="AG1238" s="1049">
        <f>+AG1339</f>
        <v>0</v>
      </c>
      <c r="AH1238" s="598">
        <f>+AG1238+AF1238</f>
        <v>0</v>
      </c>
      <c r="AI1238" s="600">
        <f>+AI1339</f>
        <v>0</v>
      </c>
      <c r="AJ1238" s="600">
        <f>+AJ1339</f>
        <v>0</v>
      </c>
      <c r="AK1238" s="598">
        <f>+AJ1238+AI1238</f>
        <v>0</v>
      </c>
      <c r="AL1238" s="600">
        <f>+AL1339</f>
        <v>0</v>
      </c>
      <c r="AM1238" s="600">
        <f>+AM1339</f>
        <v>0</v>
      </c>
      <c r="AN1238" s="597">
        <f>+AM1238+AL1238</f>
        <v>0</v>
      </c>
      <c r="AO1238" s="600">
        <f>+AO1339</f>
        <v>0</v>
      </c>
      <c r="AP1238" s="600">
        <f>+AP1339</f>
        <v>0</v>
      </c>
      <c r="AQ1238" s="597">
        <f>+AP1238+AO1238</f>
        <v>0</v>
      </c>
      <c r="AR1238" s="600">
        <f>+AR1339</f>
        <v>0</v>
      </c>
      <c r="AS1238" s="600">
        <f>+AS1339</f>
        <v>0</v>
      </c>
      <c r="AT1238" s="597">
        <f>+AS1238+AR1238</f>
        <v>0</v>
      </c>
      <c r="AU1238" s="600">
        <f>+AU1339</f>
        <v>0</v>
      </c>
      <c r="AV1238" s="600">
        <f>+AV1339</f>
        <v>0</v>
      </c>
      <c r="AW1238" s="597">
        <f>+AV1238+AU1238</f>
        <v>0</v>
      </c>
      <c r="AX1238" s="600">
        <f>+AX1339</f>
        <v>0</v>
      </c>
      <c r="AY1238" s="600">
        <f>+AY1339</f>
        <v>0</v>
      </c>
      <c r="AZ1238" s="597">
        <f>+AY1238+AX1238</f>
        <v>0</v>
      </c>
      <c r="BA1238" s="600">
        <f>+BA1339</f>
        <v>0</v>
      </c>
      <c r="BB1238" s="600">
        <f>+BB1339</f>
        <v>0</v>
      </c>
      <c r="BC1238" s="597">
        <f>+BB1238+BA1238</f>
        <v>0</v>
      </c>
      <c r="BD1238" s="600">
        <f>+BD1339</f>
        <v>0</v>
      </c>
      <c r="BE1238" s="600">
        <f>+BE1339</f>
        <v>0</v>
      </c>
      <c r="BF1238" s="597">
        <f>+BE1238+BD1238</f>
        <v>0</v>
      </c>
      <c r="BG1238" s="600">
        <f>+BG1339</f>
        <v>0</v>
      </c>
      <c r="BH1238" s="600">
        <f>+BH1339</f>
        <v>0</v>
      </c>
      <c r="BI1238" s="597">
        <f>+BH1238+BG1238</f>
        <v>0</v>
      </c>
      <c r="BJ1238" s="600">
        <f>+BJ1339</f>
        <v>0</v>
      </c>
      <c r="BK1238" s="600">
        <f>+BK1339</f>
        <v>0</v>
      </c>
      <c r="BL1238" s="597">
        <f>+BK1238+BJ1238</f>
        <v>0</v>
      </c>
      <c r="BM1238" s="600">
        <f>+BM1339</f>
        <v>0</v>
      </c>
      <c r="BN1238" s="600">
        <f>+BN1339</f>
        <v>0</v>
      </c>
      <c r="BO1238" s="597">
        <f>+BN1238+BM1238</f>
        <v>0</v>
      </c>
      <c r="BP1238" s="600">
        <f>+BP1339</f>
        <v>0</v>
      </c>
      <c r="BQ1238" s="600">
        <f>+BQ1339</f>
        <v>0</v>
      </c>
      <c r="BR1238" s="597">
        <f>+BQ1238+BP1238</f>
        <v>0</v>
      </c>
    </row>
    <row r="1239" spans="2:70" outlineLevel="1">
      <c r="C1239" s="84" t="s">
        <v>670</v>
      </c>
      <c r="D1239" s="31" t="s">
        <v>58</v>
      </c>
      <c r="E1239" s="599">
        <v>0</v>
      </c>
      <c r="F1239" s="422">
        <v>0</v>
      </c>
      <c r="G1239" s="164">
        <f t="shared" ref="G1239" si="6326">+F1239+E1239</f>
        <v>0</v>
      </c>
      <c r="H1239" s="599">
        <v>0</v>
      </c>
      <c r="I1239" s="422">
        <v>0</v>
      </c>
      <c r="J1239" s="164">
        <f t="shared" ref="J1239" si="6327">+I1239+H1239</f>
        <v>0</v>
      </c>
      <c r="K1239" s="599">
        <v>0</v>
      </c>
      <c r="L1239" s="422">
        <v>0</v>
      </c>
      <c r="M1239" s="164">
        <f t="shared" ref="M1239" si="6328">+L1239+K1239</f>
        <v>0</v>
      </c>
      <c r="N1239" s="599">
        <v>0</v>
      </c>
      <c r="O1239" s="422">
        <v>0</v>
      </c>
      <c r="P1239" s="164">
        <f t="shared" ref="P1239" si="6329">+O1239+N1239</f>
        <v>0</v>
      </c>
      <c r="Q1239" s="599">
        <v>0</v>
      </c>
      <c r="R1239" s="422">
        <v>0</v>
      </c>
      <c r="S1239" s="164">
        <f t="shared" ref="S1239" si="6330">+R1239+Q1239</f>
        <v>0</v>
      </c>
      <c r="T1239" s="599">
        <v>0</v>
      </c>
      <c r="U1239" s="422">
        <v>0</v>
      </c>
      <c r="V1239" s="164">
        <f t="shared" ref="V1239" si="6331">+U1239+T1239</f>
        <v>0</v>
      </c>
      <c r="W1239" s="599">
        <v>0</v>
      </c>
      <c r="X1239" s="422">
        <v>0</v>
      </c>
      <c r="Y1239" s="164">
        <f t="shared" ref="Y1239" si="6332">+X1239+W1239</f>
        <v>0</v>
      </c>
      <c r="Z1239" s="599">
        <v>0</v>
      </c>
      <c r="AA1239" s="422">
        <v>0</v>
      </c>
      <c r="AB1239" s="164">
        <f t="shared" ref="AB1239" si="6333">+AA1239+Z1239</f>
        <v>0</v>
      </c>
      <c r="AC1239" s="599">
        <v>0</v>
      </c>
      <c r="AD1239" s="422">
        <v>0</v>
      </c>
      <c r="AE1239" s="164">
        <f>+AD1239+AC1239</f>
        <v>0</v>
      </c>
      <c r="AF1239" s="600">
        <f>+(1+AF1242)*AC1239</f>
        <v>0</v>
      </c>
      <c r="AG1239" s="1049">
        <f>+(1+AG1242)*AD1239</f>
        <v>0</v>
      </c>
      <c r="AH1239" s="600">
        <f>+AG1239+AF1239</f>
        <v>0</v>
      </c>
      <c r="AI1239" s="600">
        <f t="shared" ref="AI1239:AJ1239" si="6334">+(1+AI1242)*AF1239</f>
        <v>0</v>
      </c>
      <c r="AJ1239" s="600">
        <f t="shared" si="6334"/>
        <v>0</v>
      </c>
      <c r="AK1239" s="600">
        <f t="shared" ref="AK1239" si="6335">+AJ1239+AI1239</f>
        <v>0</v>
      </c>
      <c r="AL1239" s="600">
        <f t="shared" ref="AL1239:AM1239" si="6336">+(1+AL1242)*AI1239</f>
        <v>0</v>
      </c>
      <c r="AM1239" s="600">
        <f t="shared" si="6336"/>
        <v>0</v>
      </c>
      <c r="AN1239" s="600">
        <f t="shared" ref="AN1239" si="6337">+AM1239+AL1239</f>
        <v>0</v>
      </c>
      <c r="AO1239" s="600">
        <f t="shared" ref="AO1239" si="6338">+(1+AO1242)*AL1239</f>
        <v>0</v>
      </c>
      <c r="AP1239" s="600">
        <f t="shared" ref="AP1239" si="6339">+(1+AP1242)*AM1239</f>
        <v>0</v>
      </c>
      <c r="AQ1239" s="600">
        <f t="shared" ref="AQ1239" si="6340">+AP1239+AO1239</f>
        <v>0</v>
      </c>
      <c r="AR1239" s="600">
        <f t="shared" ref="AR1239" si="6341">+(1+AR1242)*AO1239</f>
        <v>0</v>
      </c>
      <c r="AS1239" s="600">
        <f t="shared" ref="AS1239" si="6342">+(1+AS1242)*AP1239</f>
        <v>0</v>
      </c>
      <c r="AT1239" s="600">
        <f t="shared" ref="AT1239" si="6343">+AS1239+AR1239</f>
        <v>0</v>
      </c>
      <c r="AU1239" s="600">
        <f t="shared" ref="AU1239" si="6344">+(1+AU1242)*AR1239</f>
        <v>0</v>
      </c>
      <c r="AV1239" s="600">
        <f t="shared" ref="AV1239" si="6345">+(1+AV1242)*AS1239</f>
        <v>0</v>
      </c>
      <c r="AW1239" s="600">
        <f t="shared" ref="AW1239" si="6346">+AV1239+AU1239</f>
        <v>0</v>
      </c>
      <c r="AX1239" s="600">
        <f t="shared" ref="AX1239" si="6347">+(1+AX1242)*AU1239</f>
        <v>0</v>
      </c>
      <c r="AY1239" s="600">
        <f t="shared" ref="AY1239" si="6348">+(1+AY1242)*AV1239</f>
        <v>0</v>
      </c>
      <c r="AZ1239" s="600">
        <f t="shared" ref="AZ1239" si="6349">+AY1239+AX1239</f>
        <v>0</v>
      </c>
      <c r="BA1239" s="600">
        <f t="shared" ref="BA1239" si="6350">+(1+BA1242)*AX1239</f>
        <v>0</v>
      </c>
      <c r="BB1239" s="600">
        <f t="shared" ref="BB1239" si="6351">+(1+BB1242)*AY1239</f>
        <v>0</v>
      </c>
      <c r="BC1239" s="600">
        <f t="shared" ref="BC1239" si="6352">+BB1239+BA1239</f>
        <v>0</v>
      </c>
      <c r="BD1239" s="600">
        <f t="shared" ref="BD1239" si="6353">+(1+BD1242)*BA1239</f>
        <v>0</v>
      </c>
      <c r="BE1239" s="600">
        <f t="shared" ref="BE1239" si="6354">+(1+BE1242)*BB1239</f>
        <v>0</v>
      </c>
      <c r="BF1239" s="600">
        <f t="shared" ref="BF1239" si="6355">+BE1239+BD1239</f>
        <v>0</v>
      </c>
      <c r="BG1239" s="600">
        <f t="shared" ref="BG1239" si="6356">+(1+BG1242)*BD1239</f>
        <v>0</v>
      </c>
      <c r="BH1239" s="600">
        <f t="shared" ref="BH1239" si="6357">+(1+BH1242)*BE1239</f>
        <v>0</v>
      </c>
      <c r="BI1239" s="600">
        <f t="shared" ref="BI1239" si="6358">+BH1239+BG1239</f>
        <v>0</v>
      </c>
      <c r="BJ1239" s="600">
        <f t="shared" ref="BJ1239" si="6359">+(1+BJ1242)*BG1239</f>
        <v>0</v>
      </c>
      <c r="BK1239" s="600">
        <f t="shared" ref="BK1239" si="6360">+(1+BK1242)*BH1239</f>
        <v>0</v>
      </c>
      <c r="BL1239" s="600">
        <f t="shared" ref="BL1239" si="6361">+BK1239+BJ1239</f>
        <v>0</v>
      </c>
      <c r="BM1239" s="600">
        <f t="shared" ref="BM1239" si="6362">+(1+BM1242)*BJ1239</f>
        <v>0</v>
      </c>
      <c r="BN1239" s="600">
        <f t="shared" ref="BN1239" si="6363">+(1+BN1242)*BK1239</f>
        <v>0</v>
      </c>
      <c r="BO1239" s="600">
        <f t="shared" ref="BO1239" si="6364">+BN1239+BM1239</f>
        <v>0</v>
      </c>
      <c r="BP1239" s="600">
        <f t="shared" ref="BP1239" si="6365">+(1+BP1242)*BM1239</f>
        <v>0</v>
      </c>
      <c r="BQ1239" s="600">
        <f t="shared" ref="BQ1239" si="6366">+(1+BQ1242)*BN1239</f>
        <v>0</v>
      </c>
      <c r="BR1239" s="600">
        <f t="shared" ref="BR1239" si="6367">+BQ1239+BP1239</f>
        <v>0</v>
      </c>
    </row>
    <row r="1240" spans="2:70" s="8" customFormat="1" outlineLevel="1">
      <c r="C1240" s="8" t="s">
        <v>592</v>
      </c>
      <c r="D1240" s="96" t="s">
        <v>58</v>
      </c>
      <c r="E1240" s="97">
        <f t="shared" ref="E1240:AD1240" si="6368">E1231+E1232</f>
        <v>885</v>
      </c>
      <c r="F1240" s="97">
        <f t="shared" si="6368"/>
        <v>877</v>
      </c>
      <c r="G1240" s="97">
        <f t="shared" si="6368"/>
        <v>1762</v>
      </c>
      <c r="H1240" s="97">
        <f t="shared" si="6368"/>
        <v>689</v>
      </c>
      <c r="I1240" s="97">
        <f t="shared" si="6368"/>
        <v>868</v>
      </c>
      <c r="J1240" s="97">
        <f t="shared" si="6368"/>
        <v>1557</v>
      </c>
      <c r="K1240" s="97">
        <f t="shared" si="6368"/>
        <v>1034</v>
      </c>
      <c r="L1240" s="97">
        <f t="shared" si="6368"/>
        <v>1267</v>
      </c>
      <c r="M1240" s="97">
        <f t="shared" si="6368"/>
        <v>2301</v>
      </c>
      <c r="N1240" s="97">
        <f t="shared" si="6368"/>
        <v>1162</v>
      </c>
      <c r="O1240" s="97">
        <f t="shared" si="6368"/>
        <v>1311</v>
      </c>
      <c r="P1240" s="97">
        <f t="shared" si="6368"/>
        <v>2473</v>
      </c>
      <c r="Q1240" s="97">
        <f t="shared" si="6368"/>
        <v>1059</v>
      </c>
      <c r="R1240" s="97">
        <f t="shared" si="6368"/>
        <v>1241</v>
      </c>
      <c r="S1240" s="97">
        <f t="shared" si="6368"/>
        <v>2300</v>
      </c>
      <c r="T1240" s="97">
        <f t="shared" si="6368"/>
        <v>1027</v>
      </c>
      <c r="U1240" s="97">
        <f t="shared" si="6368"/>
        <v>1236</v>
      </c>
      <c r="V1240" s="97">
        <f t="shared" si="6368"/>
        <v>2263</v>
      </c>
      <c r="W1240" s="97">
        <f t="shared" si="6368"/>
        <v>1044</v>
      </c>
      <c r="X1240" s="97">
        <f t="shared" si="6368"/>
        <v>1197</v>
      </c>
      <c r="Y1240" s="97">
        <f t="shared" si="6368"/>
        <v>2241</v>
      </c>
      <c r="Z1240" s="97">
        <f t="shared" si="6368"/>
        <v>1065</v>
      </c>
      <c r="AA1240" s="97">
        <f t="shared" si="6368"/>
        <v>1152</v>
      </c>
      <c r="AB1240" s="97">
        <f t="shared" si="6368"/>
        <v>2217</v>
      </c>
      <c r="AC1240" s="97">
        <f t="shared" si="6368"/>
        <v>1108</v>
      </c>
      <c r="AD1240" s="97">
        <f t="shared" si="6368"/>
        <v>1252</v>
      </c>
      <c r="AE1240" s="468">
        <f>AC1240+AD1240</f>
        <v>2360</v>
      </c>
      <c r="AF1240" s="341">
        <f>AF1231+AF1232+AF1239</f>
        <v>1057</v>
      </c>
      <c r="AG1240" s="934">
        <f>AG1231+AG1232+AG1239</f>
        <v>1300.9069352381614</v>
      </c>
      <c r="AH1240" s="341">
        <f>+AG1240+AF1240</f>
        <v>2357.9069352381612</v>
      </c>
      <c r="AI1240" s="341">
        <f>AI1231+AI1232+AI1239</f>
        <v>1044.8746546782265</v>
      </c>
      <c r="AJ1240" s="341">
        <f>AJ1231+AJ1232+AJ1239</f>
        <v>1345.7130782463869</v>
      </c>
      <c r="AK1240" s="341">
        <f>+AJ1240+AI1240</f>
        <v>2390.5877329246132</v>
      </c>
      <c r="AL1240" s="341">
        <f>AL1231+AL1232+AL1239</f>
        <v>1065.7485710674885</v>
      </c>
      <c r="AM1240" s="341">
        <f>AM1231+AM1232+AM1239</f>
        <v>1377.4068442995119</v>
      </c>
      <c r="AN1240" s="341">
        <f>+AM1240+AL1240</f>
        <v>2443.1554153670004</v>
      </c>
      <c r="AO1240" s="341">
        <f>AO1231+AO1232+AO1239</f>
        <v>1089.3861606128028</v>
      </c>
      <c r="AP1240" s="341">
        <f>AP1231+AP1232+AP1239</f>
        <v>1399.1788395869198</v>
      </c>
      <c r="AQ1240" s="341">
        <f>+AP1240+AO1240</f>
        <v>2488.5650001997228</v>
      </c>
      <c r="AR1240" s="341">
        <f>AR1231+AR1232+AR1239</f>
        <v>1105.1040279541221</v>
      </c>
      <c r="AS1240" s="341">
        <f>AS1231+AS1232+AS1239</f>
        <v>1421.5646949849533</v>
      </c>
      <c r="AT1240" s="341">
        <f>+AS1240+AR1240</f>
        <v>2526.6687229390755</v>
      </c>
      <c r="AU1240" s="341">
        <f>AU1231+AU1232+AU1239</f>
        <v>1121.2554558314266</v>
      </c>
      <c r="AV1240" s="341">
        <f>AV1231+AV1232+AV1239</f>
        <v>1444.5825376574244</v>
      </c>
      <c r="AW1240" s="341">
        <f>+AV1240+AU1240</f>
        <v>2565.8379934888508</v>
      </c>
      <c r="AX1240" s="341">
        <f>AX1231+AX1232+AX1239</f>
        <v>1137.8530272432381</v>
      </c>
      <c r="AY1240" s="341">
        <f>AY1231+AY1232+AY1239</f>
        <v>1468.2510589642338</v>
      </c>
      <c r="AZ1240" s="341">
        <f>+AY1240+AX1240</f>
        <v>2606.1040862074719</v>
      </c>
      <c r="BA1240" s="341">
        <f>BA1231+BA1232+BA1239</f>
        <v>1154.9097142152225</v>
      </c>
      <c r="BB1240" s="341">
        <f>BB1231+BB1232+BB1239</f>
        <v>1492.5895323468799</v>
      </c>
      <c r="BC1240" s="341">
        <f>+BB1240+BA1240</f>
        <v>2647.4992465621026</v>
      </c>
      <c r="BD1240" s="341">
        <f>BD1231+BD1232+BD1239</f>
        <v>1172.4388900993595</v>
      </c>
      <c r="BE1240" s="341">
        <f>BE1231+BE1232+BE1239</f>
        <v>1517.6178317851641</v>
      </c>
      <c r="BF1240" s="341">
        <f>+BE1240+BD1240</f>
        <v>2690.0567218845235</v>
      </c>
      <c r="BG1240" s="341">
        <f>BG1231+BG1232+BG1239</f>
        <v>1190.4543422654997</v>
      </c>
      <c r="BH1240" s="341">
        <f>BH1231+BH1232+BH1239</f>
        <v>1543.3564508433867</v>
      </c>
      <c r="BI1240" s="341">
        <f>+BH1240+BG1240</f>
        <v>2733.8107931088862</v>
      </c>
      <c r="BJ1240" s="341">
        <f>BJ1231+BJ1232+BJ1239</f>
        <v>1208.9702851978652</v>
      </c>
      <c r="BK1240" s="341">
        <f>BK1231+BK1232+BK1239</f>
        <v>1569.8265223249114</v>
      </c>
      <c r="BL1240" s="341">
        <f>+BK1240+BJ1240</f>
        <v>2778.7968075227764</v>
      </c>
      <c r="BM1240" s="341">
        <f>BM1231+BM1232+BM1239</f>
        <v>1228.001374009461</v>
      </c>
      <c r="BN1240" s="341">
        <f>BN1231+BN1232+BN1239</f>
        <v>1597.0498385545829</v>
      </c>
      <c r="BO1240" s="341">
        <f>+BN1240+BM1240</f>
        <v>2825.0512125640439</v>
      </c>
      <c r="BP1240" s="341">
        <f>BP1231+BP1232+BP1239</f>
        <v>1247.5627183877775</v>
      </c>
      <c r="BQ1240" s="341">
        <f>BQ1231+BQ1232+BQ1239</f>
        <v>1625.0488723091091</v>
      </c>
      <c r="BR1240" s="341">
        <f>+BQ1240+BP1240</f>
        <v>2872.6115906968867</v>
      </c>
    </row>
    <row r="1241" spans="2:70" s="99" customFormat="1" outlineLevel="1">
      <c r="C1241" s="469" t="s">
        <v>584</v>
      </c>
      <c r="D1241" s="7" t="s">
        <v>66</v>
      </c>
      <c r="E1241" s="608"/>
      <c r="F1241" s="608"/>
      <c r="G1241" s="608"/>
      <c r="H1241" s="595">
        <f>+H1240/E1240-1</f>
        <v>-0.22146892655367234</v>
      </c>
      <c r="I1241" s="595">
        <f>+I1240/F1240-1</f>
        <v>-1.0262257696693311E-2</v>
      </c>
      <c r="J1241" s="595">
        <f>+J1240/G1240-1</f>
        <v>-0.11634506242905784</v>
      </c>
      <c r="K1241" s="595">
        <f>+K1240/H1240-1</f>
        <v>0.50072568940493478</v>
      </c>
      <c r="L1241" s="595">
        <f t="shared" ref="L1241" si="6369">+L1240/I1240-1</f>
        <v>0.45967741935483875</v>
      </c>
      <c r="M1241" s="595">
        <f t="shared" ref="M1241" si="6370">+M1240/J1240-1</f>
        <v>0.47784200385356446</v>
      </c>
      <c r="N1241" s="595">
        <f t="shared" ref="N1241" si="6371">+N1240/K1240-1</f>
        <v>0.12379110251450687</v>
      </c>
      <c r="O1241" s="595">
        <f t="shared" ref="O1241" si="6372">+O1240/L1240-1</f>
        <v>3.4727703235990504E-2</v>
      </c>
      <c r="P1241" s="595">
        <f t="shared" ref="P1241" si="6373">+P1240/M1240-1</f>
        <v>7.4750108648413693E-2</v>
      </c>
      <c r="Q1241" s="595">
        <f t="shared" ref="Q1241" si="6374">+Q1240/N1240-1</f>
        <v>-8.8640275387263379E-2</v>
      </c>
      <c r="R1241" s="595">
        <f t="shared" ref="R1241" si="6375">+R1240/O1240-1</f>
        <v>-5.3394355453852071E-2</v>
      </c>
      <c r="S1241" s="595">
        <f t="shared" ref="S1241" si="6376">+S1240/P1240-1</f>
        <v>-6.9955519611807571E-2</v>
      </c>
      <c r="T1241" s="595">
        <f t="shared" ref="T1241" si="6377">+T1240/Q1240-1</f>
        <v>-3.0217186024551479E-2</v>
      </c>
      <c r="U1241" s="595">
        <f t="shared" ref="U1241" si="6378">+U1240/R1240-1</f>
        <v>-4.0290088638195165E-3</v>
      </c>
      <c r="V1241" s="595">
        <f t="shared" ref="V1241" si="6379">+V1240/S1240-1</f>
        <v>-1.6086956521739082E-2</v>
      </c>
      <c r="W1241" s="595">
        <f t="shared" ref="W1241" si="6380">+W1240/T1240-1</f>
        <v>1.6553067185978598E-2</v>
      </c>
      <c r="X1241" s="595">
        <f t="shared" ref="X1241" si="6381">+X1240/U1240-1</f>
        <v>-3.1553398058252413E-2</v>
      </c>
      <c r="Y1241" s="595">
        <f t="shared" ref="Y1241" si="6382">+Y1240/V1240-1</f>
        <v>-9.7216084843128048E-3</v>
      </c>
      <c r="Z1241" s="595">
        <f t="shared" ref="Z1241" si="6383">+Z1240/W1240-1</f>
        <v>2.0114942528735691E-2</v>
      </c>
      <c r="AA1241" s="595">
        <f t="shared" ref="AA1241" si="6384">+AA1240/X1240-1</f>
        <v>-3.7593984962406068E-2</v>
      </c>
      <c r="AB1241" s="595">
        <f t="shared" ref="AB1241" si="6385">+AB1240/Y1240-1</f>
        <v>-1.0709504685408322E-2</v>
      </c>
      <c r="AC1241" s="595">
        <f t="shared" ref="AC1241" si="6386">+AC1240/Z1240-1</f>
        <v>4.0375586854460188E-2</v>
      </c>
      <c r="AD1241" s="595">
        <f t="shared" ref="AD1241" si="6387">+AD1240/AA1240-1</f>
        <v>8.680555555555558E-2</v>
      </c>
      <c r="AE1241" s="595">
        <f t="shared" ref="AE1241:AF1241" si="6388">+AE1240/AB1240-1</f>
        <v>6.4501578709968532E-2</v>
      </c>
      <c r="AF1241" s="595">
        <f t="shared" si="6388"/>
        <v>-4.6028880866425981E-2</v>
      </c>
      <c r="AG1241" s="1046">
        <f t="shared" ref="AG1241" si="6389">+AG1240/AD1240-1</f>
        <v>3.9063047314825461E-2</v>
      </c>
      <c r="AH1241" s="595">
        <f t="shared" ref="AH1241" si="6390">+AH1240/AE1240-1</f>
        <v>-8.8689184823675937E-4</v>
      </c>
      <c r="AI1241" s="595">
        <f t="shared" ref="AI1241" si="6391">+AI1240/AF1240-1</f>
        <v>-1.1471471449170711E-2</v>
      </c>
      <c r="AJ1241" s="595">
        <f t="shared" ref="AJ1241" si="6392">+AJ1240/AG1240-1</f>
        <v>3.4442235485525163E-2</v>
      </c>
      <c r="AK1241" s="595">
        <f t="shared" ref="AK1241" si="6393">+AK1240/AH1240-1</f>
        <v>1.3860088028941231E-2</v>
      </c>
      <c r="AL1241" s="595">
        <f t="shared" ref="AL1241" si="6394">+AL1240/AI1240-1</f>
        <v>1.9977435853959058E-2</v>
      </c>
      <c r="AM1241" s="595">
        <f t="shared" ref="AM1241" si="6395">+AM1240/AJ1240-1</f>
        <v>2.3551651957210318E-2</v>
      </c>
      <c r="AN1241" s="595">
        <f t="shared" ref="AN1241" si="6396">+AN1240/AK1240-1</f>
        <v>2.1989438713498455E-2</v>
      </c>
      <c r="AO1241" s="595">
        <f t="shared" ref="AO1241" si="6397">+AO1240/AL1240-1</f>
        <v>2.2179330272653397E-2</v>
      </c>
      <c r="AP1241" s="595">
        <f t="shared" ref="AP1241" si="6398">+AP1240/AM1240-1</f>
        <v>1.580651016619572E-2</v>
      </c>
      <c r="AQ1241" s="595">
        <f t="shared" ref="AQ1241" si="6399">+AQ1240/AN1240-1</f>
        <v>1.8586449534525817E-2</v>
      </c>
      <c r="AR1241" s="595">
        <f t="shared" ref="AR1241" si="6400">+AR1240/AO1240-1</f>
        <v>1.4428187092516032E-2</v>
      </c>
      <c r="AS1241" s="595">
        <f t="shared" ref="AS1241" si="6401">+AS1240/AP1240-1</f>
        <v>1.5999280981580988E-2</v>
      </c>
      <c r="AT1241" s="595">
        <f t="shared" ref="AT1241" si="6402">+AT1240/AQ1240-1</f>
        <v>1.53115240053181E-2</v>
      </c>
      <c r="AU1241" s="595">
        <f t="shared" ref="AU1241" si="6403">+AU1240/AR1240-1</f>
        <v>1.4615300884574411E-2</v>
      </c>
      <c r="AV1241" s="595">
        <f t="shared" ref="AV1241" si="6404">+AV1240/AS1240-1</f>
        <v>1.6191906533465694E-2</v>
      </c>
      <c r="AW1241" s="595">
        <f t="shared" ref="AW1241" si="6405">+AW1240/AT1240-1</f>
        <v>1.5502337205572703E-2</v>
      </c>
      <c r="AX1241" s="595">
        <f t="shared" ref="AX1241" si="6406">+AX1240/AU1240-1</f>
        <v>1.4802667247227896E-2</v>
      </c>
      <c r="AY1241" s="595">
        <f t="shared" ref="AY1241" si="6407">+AY1240/AV1240-1</f>
        <v>1.6384332974972216E-2</v>
      </c>
      <c r="AZ1241" s="595">
        <f t="shared" ref="AZ1241" si="6408">+AZ1240/AW1240-1</f>
        <v>1.5693154759108596E-2</v>
      </c>
      <c r="BA1241" s="595">
        <f t="shared" ref="BA1241" si="6409">+BA1240/AX1240-1</f>
        <v>1.4990237371261372E-2</v>
      </c>
      <c r="BB1241" s="595">
        <f t="shared" ref="BB1241" si="6410">+BB1240/AY1240-1</f>
        <v>1.6576506609036867E-2</v>
      </c>
      <c r="BC1241" s="595">
        <f t="shared" ref="BC1241" si="6411">+BC1240/AZ1240-1</f>
        <v>1.5883924427159357E-2</v>
      </c>
      <c r="BD1241" s="595">
        <f t="shared" ref="BD1241" si="6412">+BD1240/BA1240-1</f>
        <v>1.5177962111132093E-2</v>
      </c>
      <c r="BE1241" s="595">
        <f t="shared" ref="BE1241" si="6413">+BE1240/BB1240-1</f>
        <v>1.6768373954044069E-2</v>
      </c>
      <c r="BF1241" s="595">
        <f t="shared" ref="BF1241" si="6414">+BF1240/BC1240-1</f>
        <v>1.6074593931493464E-2</v>
      </c>
      <c r="BG1241" s="595">
        <f t="shared" ref="BG1241" si="6415">+BG1240/BD1240-1</f>
        <v>1.5365792041079018E-2</v>
      </c>
      <c r="BH1241" s="595">
        <f t="shared" ref="BH1241" si="6416">+BH1240/BE1240-1</f>
        <v>1.6959881808944255E-2</v>
      </c>
      <c r="BI1241" s="595">
        <f t="shared" ref="BI1241" si="6417">+BI1240/BF1240-1</f>
        <v>1.6265111017328637E-2</v>
      </c>
      <c r="BJ1241" s="595">
        <f t="shared" ref="BJ1241" si="6418">+BJ1240/BG1240-1</f>
        <v>1.5553677512006647E-2</v>
      </c>
      <c r="BK1241" s="595">
        <f t="shared" ref="BK1241" si="6419">+BK1240/BH1240-1</f>
        <v>1.7150977317689442E-2</v>
      </c>
      <c r="BL1241" s="595">
        <f t="shared" ref="BL1241" si="6420">+BL1240/BI1240-1</f>
        <v>1.6455423516245737E-2</v>
      </c>
      <c r="BM1241" s="595">
        <f t="shared" ref="BM1241" si="6421">+BM1240/BJ1240-1</f>
        <v>1.5741568709011666E-2</v>
      </c>
      <c r="BN1241" s="595">
        <f t="shared" ref="BN1241" si="6422">+BN1240/BK1240-1</f>
        <v>1.7341608032812372E-2</v>
      </c>
      <c r="BO1241" s="595">
        <f t="shared" ref="BO1241" si="6423">+BO1240/BL1240-1</f>
        <v>1.6645479408946784E-2</v>
      </c>
      <c r="BP1241" s="595">
        <f t="shared" ref="BP1241" si="6424">+BP1240/BM1240-1</f>
        <v>1.5929415709404537E-2</v>
      </c>
      <c r="BQ1241" s="595">
        <f t="shared" ref="BQ1241" si="6425">+BQ1240/BN1240-1</f>
        <v>1.7531721977985804E-2</v>
      </c>
      <c r="BR1241" s="595">
        <f t="shared" ref="BR1241" si="6426">+BR1240/BO1240-1</f>
        <v>1.6835226887684129E-2</v>
      </c>
    </row>
    <row r="1242" spans="2:70" s="99" customFormat="1" outlineLevel="1">
      <c r="C1242" s="481" t="s">
        <v>286</v>
      </c>
      <c r="D1242" s="7" t="s">
        <v>66</v>
      </c>
      <c r="E1242" s="608"/>
      <c r="F1242" s="608"/>
      <c r="G1242" s="608"/>
      <c r="H1242" s="585">
        <f t="shared" ref="H1242:I1242" si="6427">((H1212*E1210)+(H1219*E1217)+(H1226*E1224)+(H1234*E1232))/E1240</f>
        <v>2.2598870056497193E-3</v>
      </c>
      <c r="I1242" s="585">
        <f t="shared" si="6427"/>
        <v>1.1402508551881413E-2</v>
      </c>
      <c r="J1242" s="585">
        <f t="shared" ref="J1242" si="6428">+J1241-J1243</f>
        <v>-0.11634506242905784</v>
      </c>
      <c r="K1242" s="585">
        <f t="shared" ref="K1242:L1242" si="6429">((K1212*H1210)+(K1219*H1217)+(K1226*H1224)+(K1234*H1232))/H1240</f>
        <v>0.13788098693759057</v>
      </c>
      <c r="L1242" s="585">
        <f t="shared" si="6429"/>
        <v>0.11405529953917057</v>
      </c>
      <c r="M1242" s="585">
        <f t="shared" ref="M1242" si="6430">+M1241-M1243</f>
        <v>0.12459858702633259</v>
      </c>
      <c r="N1242" s="585">
        <f t="shared" ref="N1242:O1242" si="6431">((N1212*K1210)+(N1219*K1217)+(N1226*K1224)+(N1234*K1232))/K1240</f>
        <v>7.5435203094777623E-2</v>
      </c>
      <c r="O1242" s="585">
        <f t="shared" si="6431"/>
        <v>3.4727703235990427E-2</v>
      </c>
      <c r="P1242" s="585">
        <f t="shared" ref="P1242" si="6432">+P1241-P1243</f>
        <v>5.3020425901781798E-2</v>
      </c>
      <c r="Q1242" s="585">
        <f t="shared" ref="Q1242:R1242" si="6433">((Q1212*N1210)+(Q1219*N1217)+(Q1226*N1224)+(Q1234*N1232))/N1240</f>
        <v>-8.8640275387263351E-2</v>
      </c>
      <c r="R1242" s="585">
        <f t="shared" si="6433"/>
        <v>-5.3394355453852078E-2</v>
      </c>
      <c r="S1242" s="585">
        <f t="shared" ref="S1242" si="6434">+S1241-S1243</f>
        <v>-6.9955519611807571E-2</v>
      </c>
      <c r="T1242" s="585">
        <f t="shared" ref="T1242:U1242" si="6435">((T1212*Q1210)+(T1219*Q1217)+(T1226*Q1224)+(T1234*Q1232))/Q1240</f>
        <v>-3.0217186024551465E-2</v>
      </c>
      <c r="U1242" s="585">
        <f t="shared" si="6435"/>
        <v>-4.0290088638194428E-3</v>
      </c>
      <c r="V1242" s="585">
        <f t="shared" ref="V1242" si="6436">+V1241-V1243</f>
        <v>-1.6086956521739082E-2</v>
      </c>
      <c r="W1242" s="585">
        <f t="shared" ref="W1242:X1242" si="6437">((W1212*T1210)+(W1219*T1217)+(W1226*T1224)+(W1234*T1232))/T1240</f>
        <v>1.6553067185978522E-2</v>
      </c>
      <c r="X1242" s="585">
        <f t="shared" si="6437"/>
        <v>-3.1553398058252496E-2</v>
      </c>
      <c r="Y1242" s="585">
        <f t="shared" ref="Y1242" si="6438">+Y1241-Y1243</f>
        <v>-9.7216084843128048E-3</v>
      </c>
      <c r="Z1242" s="585">
        <f t="shared" ref="Z1242:AA1242" si="6439">((Z1212*W1210)+(Z1219*W1217)+(Z1226*W1224)+(Z1234*W1232))/W1240</f>
        <v>2.011494252873559E-2</v>
      </c>
      <c r="AA1242" s="585">
        <f t="shared" si="6439"/>
        <v>-5.2910052910052831E-2</v>
      </c>
      <c r="AB1242" s="585">
        <f t="shared" ref="AB1242" si="6440">+AB1241-AB1243</f>
        <v>-1.8890376320095215E-2</v>
      </c>
      <c r="AC1242" s="585">
        <f>((AC1212*Z1210)+(AC1219*Z1217)+(AC1226*Z1224)+(AC1234*Z1232))/Z1240</f>
        <v>-1.126760563380283E-2</v>
      </c>
      <c r="AD1242" s="585">
        <f>((AD1212*AA1210)+(AD1219*AA1217)+(AD1226*AA1224)+(AD1234*AA1232))/AA1240</f>
        <v>5.3935185185185246E-2</v>
      </c>
      <c r="AE1242" s="585">
        <f>+AE1241-AE1243</f>
        <v>2.3154412870245181E-2</v>
      </c>
      <c r="AF1242" s="585">
        <f>((AF1212*AC1210)+(AF1219*AC1217)+(AF1226*AC1224)+(AF1234*AC1232))/AC1240</f>
        <v>-0.16513619996954654</v>
      </c>
      <c r="AG1242" s="1041">
        <f>((AG1212*AD1210)+(AG1219*AD1217)+(AG1226*AD1224)+(AG1234*AD1232))/AD1240</f>
        <v>4.0021513768499432E-2</v>
      </c>
      <c r="AH1242" s="585">
        <f>+AH1241-AH1243</f>
        <v>-3.0547908797389303E-2</v>
      </c>
      <c r="AI1242" s="585">
        <f t="shared" ref="AI1242:AJ1242" si="6441">((AI1212*AF1210)+(AI1219*AF1217)+(AI1226*AF1224)+(AI1234*AF1232))/AF1240</f>
        <v>5.36940914647367E-2</v>
      </c>
      <c r="AJ1242" s="585">
        <f t="shared" si="6441"/>
        <v>3.4442235485525073E-2</v>
      </c>
      <c r="AK1242" s="585">
        <f t="shared" ref="AK1242" si="6442">+AK1241-AK1243</f>
        <v>1.3860088028941231E-2</v>
      </c>
      <c r="AL1242" s="585">
        <f t="shared" ref="AL1242:AM1242" si="6443">((AL1212*AI1210)+(AL1219*AI1217)+(AL1226*AI1224)+(AL1234*AI1232))/AI1240</f>
        <v>1.9977435853959023E-2</v>
      </c>
      <c r="AM1242" s="585">
        <f t="shared" si="6443"/>
        <v>2.355165195721021E-2</v>
      </c>
      <c r="AN1242" s="585">
        <f t="shared" ref="AN1242" si="6444">+AN1241-AN1243</f>
        <v>2.1989438713498455E-2</v>
      </c>
      <c r="AO1242" s="585">
        <f t="shared" ref="AO1242" si="6445">((AO1212*AL1210)+(AO1219*AL1217)+(AO1226*AL1224)+(AO1234*AL1232))/AL1240</f>
        <v>2.2179330272653473E-2</v>
      </c>
      <c r="AP1242" s="585">
        <f t="shared" ref="AP1242" si="6446">((AP1212*AM1210)+(AP1219*AM1217)+(AP1226*AM1224)+(AP1234*AM1232))/AM1240</f>
        <v>1.580651016619589E-2</v>
      </c>
      <c r="AQ1242" s="585">
        <f t="shared" ref="AQ1242" si="6447">+AQ1241-AQ1243</f>
        <v>1.8586449534525817E-2</v>
      </c>
      <c r="AR1242" s="585">
        <f t="shared" ref="AR1242" si="6448">((AR1212*AO1210)+(AR1219*AO1217)+(AR1226*AO1224)+(AR1234*AO1232))/AO1240</f>
        <v>1.4428187092516073E-2</v>
      </c>
      <c r="AS1242" s="585">
        <f t="shared" ref="AS1242" si="6449">((AS1212*AP1210)+(AS1219*AP1217)+(AS1226*AP1224)+(AS1234*AP1232))/AP1240</f>
        <v>1.5999280981580748E-2</v>
      </c>
      <c r="AT1242" s="585">
        <f t="shared" ref="AT1242" si="6450">+AT1241-AT1243</f>
        <v>1.53115240053181E-2</v>
      </c>
      <c r="AU1242" s="585">
        <f t="shared" ref="AU1242" si="6451">((AU1212*AR1210)+(AU1219*AR1217)+(AU1226*AR1224)+(AU1234*AR1232))/AR1240</f>
        <v>1.4615300884574177E-2</v>
      </c>
      <c r="AV1242" s="585">
        <f t="shared" ref="AV1242" si="6452">((AV1212*AS1210)+(AV1219*AS1217)+(AV1226*AS1224)+(AV1234*AS1232))/AS1240</f>
        <v>1.6191906533465618E-2</v>
      </c>
      <c r="AW1242" s="585">
        <f t="shared" ref="AW1242" si="6453">+AW1241-AW1243</f>
        <v>1.5502337205572703E-2</v>
      </c>
      <c r="AX1242" s="585">
        <f t="shared" ref="AX1242" si="6454">((AX1212*AU1210)+(AX1219*AU1217)+(AX1226*AU1224)+(AX1234*AU1232))/AU1240</f>
        <v>1.4802667247227785E-2</v>
      </c>
      <c r="AY1242" s="585">
        <f t="shared" ref="AY1242" si="6455">((AY1212*AV1210)+(AY1219*AV1217)+(AY1226*AV1224)+(AY1234*AV1232))/AV1240</f>
        <v>1.6384332974972087E-2</v>
      </c>
      <c r="AZ1242" s="585">
        <f t="shared" ref="AZ1242" si="6456">+AZ1241-AZ1243</f>
        <v>1.5693154759108596E-2</v>
      </c>
      <c r="BA1242" s="585">
        <f t="shared" ref="BA1242" si="6457">((BA1212*AX1210)+(BA1219*AX1217)+(BA1226*AX1224)+(BA1234*AX1232))/AX1240</f>
        <v>1.4990237371261025E-2</v>
      </c>
      <c r="BB1242" s="585">
        <f t="shared" ref="BB1242" si="6458">((BB1212*AY1210)+(BB1219*AY1217)+(BB1226*AY1224)+(BB1234*AY1232))/AY1240</f>
        <v>1.6576506609036909E-2</v>
      </c>
      <c r="BC1242" s="585">
        <f t="shared" ref="BC1242" si="6459">+BC1241-BC1243</f>
        <v>1.5883924427159357E-2</v>
      </c>
      <c r="BD1242" s="585">
        <f t="shared" ref="BD1242" si="6460">((BD1212*BA1210)+(BD1219*BA1217)+(BD1226*BA1224)+(BD1234*BA1232))/BA1240</f>
        <v>1.5177962111132174E-2</v>
      </c>
      <c r="BE1242" s="585">
        <f t="shared" ref="BE1242" si="6461">((BE1212*BB1210)+(BE1219*BB1217)+(BE1226*BB1224)+(BE1234*BB1232))/BB1240</f>
        <v>1.6768373954044038E-2</v>
      </c>
      <c r="BF1242" s="585">
        <f t="shared" ref="BF1242" si="6462">+BF1241-BF1243</f>
        <v>1.6074593931493464E-2</v>
      </c>
      <c r="BG1242" s="585">
        <f t="shared" ref="BG1242" si="6463">((BG1212*BD1210)+(BG1219*BD1217)+(BG1226*BD1224)+(BG1234*BD1232))/BD1240</f>
        <v>1.5365792041079126E-2</v>
      </c>
      <c r="BH1242" s="585">
        <f t="shared" ref="BH1242" si="6464">((BH1212*BE1210)+(BH1219*BE1217)+(BH1226*BE1224)+(BH1234*BE1232))/BE1240</f>
        <v>1.6959881808944227E-2</v>
      </c>
      <c r="BI1242" s="585">
        <f t="shared" ref="BI1242" si="6465">+BI1241-BI1243</f>
        <v>1.6265111017328637E-2</v>
      </c>
      <c r="BJ1242" s="585">
        <f t="shared" ref="BJ1242" si="6466">((BJ1212*BG1210)+(BJ1219*BG1217)+(BJ1226*BG1224)+(BJ1234*BG1232))/BG1240</f>
        <v>1.555367751200646E-2</v>
      </c>
      <c r="BK1242" s="585">
        <f t="shared" ref="BK1242" si="6467">((BK1212*BH1210)+(BK1219*BH1217)+(BK1226*BH1224)+(BK1234*BH1232))/BH1240</f>
        <v>1.715097731768939E-2</v>
      </c>
      <c r="BL1242" s="585">
        <f t="shared" ref="BL1242" si="6468">+BL1241-BL1243</f>
        <v>1.6455423516245737E-2</v>
      </c>
      <c r="BM1242" s="585">
        <f t="shared" ref="BM1242" si="6469">((BM1212*BJ1210)+(BM1219*BJ1217)+(BM1226*BJ1224)+(BM1234*BJ1232))/BJ1240</f>
        <v>1.5741568709011607E-2</v>
      </c>
      <c r="BN1242" s="585">
        <f t="shared" ref="BN1242" si="6470">((BN1212*BK1210)+(BN1219*BK1217)+(BN1226*BK1224)+(BN1234*BK1232))/BK1240</f>
        <v>1.7341608032812296E-2</v>
      </c>
      <c r="BO1242" s="585">
        <f t="shared" ref="BO1242" si="6471">+BO1241-BO1243</f>
        <v>1.6645479408946784E-2</v>
      </c>
      <c r="BP1242" s="585">
        <f t="shared" ref="BP1242" si="6472">((BP1212*BM1210)+(BP1219*BM1217)+(BP1226*BM1224)+(BP1234*BM1232))/BM1240</f>
        <v>1.5929415709404406E-2</v>
      </c>
      <c r="BQ1242" s="585">
        <f t="shared" ref="BQ1242" si="6473">((BQ1212*BN1210)+(BQ1219*BN1217)+(BQ1226*BN1224)+(BQ1234*BN1232))/BN1240</f>
        <v>1.7531721977985748E-2</v>
      </c>
      <c r="BR1242" s="585">
        <f t="shared" ref="BR1242" si="6474">+BR1241-BR1243</f>
        <v>1.6835226887684129E-2</v>
      </c>
    </row>
    <row r="1243" spans="2:70" s="99" customFormat="1" outlineLevel="1">
      <c r="C1243" s="481" t="s">
        <v>585</v>
      </c>
      <c r="D1243" s="7" t="s">
        <v>66</v>
      </c>
      <c r="E1243" s="608"/>
      <c r="F1243" s="608"/>
      <c r="G1243" s="608"/>
      <c r="H1243" s="585">
        <f t="shared" ref="H1243" si="6475">(H1216+H1223+H1230+H1238)/E1240</f>
        <v>0</v>
      </c>
      <c r="I1243" s="585">
        <f t="shared" ref="I1243" si="6476">(I1216+I1223+I1230+I1238)/F1240</f>
        <v>0</v>
      </c>
      <c r="J1243" s="585">
        <f t="shared" ref="J1243:K1243" si="6477">(J1216+J1223+J1230+J1238)/G1240</f>
        <v>0</v>
      </c>
      <c r="K1243" s="585">
        <f t="shared" si="6477"/>
        <v>0.36284470246734396</v>
      </c>
      <c r="L1243" s="585">
        <f t="shared" ref="L1243" si="6478">(L1216+L1223+L1230+L1238)/I1240</f>
        <v>0.34562211981566821</v>
      </c>
      <c r="M1243" s="585">
        <f t="shared" ref="M1243:N1243" si="6479">(M1216+M1223+M1230+M1238)/J1240</f>
        <v>0.35324341682723187</v>
      </c>
      <c r="N1243" s="585">
        <f t="shared" si="6479"/>
        <v>4.8355899419729204E-2</v>
      </c>
      <c r="O1243" s="585">
        <f t="shared" ref="O1243" si="6480">(O1216+O1223+O1230+O1238)/L1240</f>
        <v>0</v>
      </c>
      <c r="P1243" s="585">
        <f t="shared" ref="P1243:Q1243" si="6481">(P1216+P1223+P1230+P1238)/M1240</f>
        <v>2.1729682746631899E-2</v>
      </c>
      <c r="Q1243" s="585">
        <f t="shared" si="6481"/>
        <v>0</v>
      </c>
      <c r="R1243" s="585">
        <f t="shared" ref="R1243" si="6482">(R1216+R1223+R1230+R1238)/O1240</f>
        <v>0</v>
      </c>
      <c r="S1243" s="585">
        <f t="shared" ref="S1243:T1243" si="6483">(S1216+S1223+S1230+S1238)/P1240</f>
        <v>0</v>
      </c>
      <c r="T1243" s="585">
        <f t="shared" si="6483"/>
        <v>0</v>
      </c>
      <c r="U1243" s="585">
        <f t="shared" ref="U1243" si="6484">(U1216+U1223+U1230+U1238)/R1240</f>
        <v>0</v>
      </c>
      <c r="V1243" s="585">
        <f t="shared" ref="V1243:W1243" si="6485">(V1216+V1223+V1230+V1238)/S1240</f>
        <v>0</v>
      </c>
      <c r="W1243" s="585">
        <f t="shared" si="6485"/>
        <v>0</v>
      </c>
      <c r="X1243" s="585">
        <f t="shared" ref="X1243" si="6486">(X1216+X1223+X1230+X1238)/U1240</f>
        <v>0</v>
      </c>
      <c r="Y1243" s="585">
        <f t="shared" ref="Y1243:Z1243" si="6487">(Y1216+Y1223+Y1230+Y1238)/V1240</f>
        <v>0</v>
      </c>
      <c r="Z1243" s="585">
        <f t="shared" si="6487"/>
        <v>0</v>
      </c>
      <c r="AA1243" s="585">
        <f t="shared" ref="AA1243" si="6488">(AA1216+AA1223+AA1230+AA1238)/X1240</f>
        <v>1.5316067947646894E-2</v>
      </c>
      <c r="AB1243" s="585">
        <f t="shared" ref="AB1243" si="6489">(AB1216+AB1223+AB1230+AB1238)/Y1240</f>
        <v>8.1808716346868943E-3</v>
      </c>
      <c r="AC1243" s="585">
        <f>(AC1216+AC1223+AC1230+AC1238)/Z1240</f>
        <v>5.1643192488262914E-2</v>
      </c>
      <c r="AD1243" s="585">
        <f t="shared" ref="AD1243" si="6490">(AD1216+AD1223+AD1230+AD1238)/AA1240</f>
        <v>3.1828703703703706E-2</v>
      </c>
      <c r="AE1243" s="585">
        <f t="shared" ref="AE1243" si="6491">(AE1216+AE1223+AE1230+AE1238)/AB1240</f>
        <v>4.1347165839723352E-2</v>
      </c>
      <c r="AF1243" s="585">
        <f>(AF1216+AF1223+AF1230+AF1238)/AC1240</f>
        <v>6.3176895306859202E-2</v>
      </c>
      <c r="AG1243" s="1041">
        <f t="shared" ref="AG1243:AI1243" si="6492">(AG1216+AG1223+AG1230+AG1238)/AD1240</f>
        <v>0</v>
      </c>
      <c r="AH1243" s="585">
        <f t="shared" si="6492"/>
        <v>2.9661016949152543E-2</v>
      </c>
      <c r="AI1243" s="585">
        <f t="shared" si="6492"/>
        <v>0</v>
      </c>
      <c r="AJ1243" s="585">
        <f t="shared" ref="AJ1243" si="6493">(AJ1216+AJ1223+AJ1230+AJ1238)/AG1240</f>
        <v>0</v>
      </c>
      <c r="AK1243" s="585">
        <f t="shared" ref="AK1243:AL1243" si="6494">(AK1216+AK1223+AK1230+AK1238)/AH1240</f>
        <v>0</v>
      </c>
      <c r="AL1243" s="585">
        <f t="shared" si="6494"/>
        <v>0</v>
      </c>
      <c r="AM1243" s="585">
        <f t="shared" ref="AM1243" si="6495">(AM1216+AM1223+AM1230+AM1238)/AJ1240</f>
        <v>0</v>
      </c>
      <c r="AN1243" s="585">
        <f t="shared" ref="AN1243" si="6496">(AN1216+AN1223+AN1230+AN1238)/AK1240</f>
        <v>0</v>
      </c>
      <c r="AO1243" s="585">
        <f t="shared" ref="AO1243" si="6497">(AO1216+AO1223+AO1230+AO1238)/AL1240</f>
        <v>0</v>
      </c>
      <c r="AP1243" s="585">
        <f t="shared" ref="AP1243" si="6498">(AP1216+AP1223+AP1230+AP1238)/AM1240</f>
        <v>0</v>
      </c>
      <c r="AQ1243" s="585">
        <f t="shared" ref="AQ1243" si="6499">(AQ1216+AQ1223+AQ1230+AQ1238)/AN1240</f>
        <v>0</v>
      </c>
      <c r="AR1243" s="585">
        <f t="shared" ref="AR1243" si="6500">(AR1216+AR1223+AR1230+AR1238)/AO1240</f>
        <v>0</v>
      </c>
      <c r="AS1243" s="585">
        <f t="shared" ref="AS1243" si="6501">(AS1216+AS1223+AS1230+AS1238)/AP1240</f>
        <v>0</v>
      </c>
      <c r="AT1243" s="585">
        <f t="shared" ref="AT1243" si="6502">(AT1216+AT1223+AT1230+AT1238)/AQ1240</f>
        <v>0</v>
      </c>
      <c r="AU1243" s="585">
        <f t="shared" ref="AU1243" si="6503">(AU1216+AU1223+AU1230+AU1238)/AR1240</f>
        <v>0</v>
      </c>
      <c r="AV1243" s="585">
        <f t="shared" ref="AV1243" si="6504">(AV1216+AV1223+AV1230+AV1238)/AS1240</f>
        <v>0</v>
      </c>
      <c r="AW1243" s="585">
        <f t="shared" ref="AW1243" si="6505">(AW1216+AW1223+AW1230+AW1238)/AT1240</f>
        <v>0</v>
      </c>
      <c r="AX1243" s="585">
        <f t="shared" ref="AX1243" si="6506">(AX1216+AX1223+AX1230+AX1238)/AU1240</f>
        <v>0</v>
      </c>
      <c r="AY1243" s="585">
        <f t="shared" ref="AY1243" si="6507">(AY1216+AY1223+AY1230+AY1238)/AV1240</f>
        <v>0</v>
      </c>
      <c r="AZ1243" s="585">
        <f t="shared" ref="AZ1243" si="6508">(AZ1216+AZ1223+AZ1230+AZ1238)/AW1240</f>
        <v>0</v>
      </c>
      <c r="BA1243" s="585">
        <f t="shared" ref="BA1243" si="6509">(BA1216+BA1223+BA1230+BA1238)/AX1240</f>
        <v>0</v>
      </c>
      <c r="BB1243" s="585">
        <f t="shared" ref="BB1243" si="6510">(BB1216+BB1223+BB1230+BB1238)/AY1240</f>
        <v>0</v>
      </c>
      <c r="BC1243" s="585">
        <f t="shared" ref="BC1243" si="6511">(BC1216+BC1223+BC1230+BC1238)/AZ1240</f>
        <v>0</v>
      </c>
      <c r="BD1243" s="585">
        <f t="shared" ref="BD1243" si="6512">(BD1216+BD1223+BD1230+BD1238)/BA1240</f>
        <v>0</v>
      </c>
      <c r="BE1243" s="585">
        <f t="shared" ref="BE1243" si="6513">(BE1216+BE1223+BE1230+BE1238)/BB1240</f>
        <v>0</v>
      </c>
      <c r="BF1243" s="585">
        <f t="shared" ref="BF1243" si="6514">(BF1216+BF1223+BF1230+BF1238)/BC1240</f>
        <v>0</v>
      </c>
      <c r="BG1243" s="585">
        <f t="shared" ref="BG1243" si="6515">(BG1216+BG1223+BG1230+BG1238)/BD1240</f>
        <v>0</v>
      </c>
      <c r="BH1243" s="585">
        <f t="shared" ref="BH1243" si="6516">(BH1216+BH1223+BH1230+BH1238)/BE1240</f>
        <v>0</v>
      </c>
      <c r="BI1243" s="585">
        <f t="shared" ref="BI1243" si="6517">(BI1216+BI1223+BI1230+BI1238)/BF1240</f>
        <v>0</v>
      </c>
      <c r="BJ1243" s="585">
        <f t="shared" ref="BJ1243" si="6518">(BJ1216+BJ1223+BJ1230+BJ1238)/BG1240</f>
        <v>0</v>
      </c>
      <c r="BK1243" s="585">
        <f t="shared" ref="BK1243" si="6519">(BK1216+BK1223+BK1230+BK1238)/BH1240</f>
        <v>0</v>
      </c>
      <c r="BL1243" s="585">
        <f t="shared" ref="BL1243" si="6520">(BL1216+BL1223+BL1230+BL1238)/BI1240</f>
        <v>0</v>
      </c>
      <c r="BM1243" s="585">
        <f t="shared" ref="BM1243" si="6521">(BM1216+BM1223+BM1230+BM1238)/BJ1240</f>
        <v>0</v>
      </c>
      <c r="BN1243" s="585">
        <f t="shared" ref="BN1243" si="6522">(BN1216+BN1223+BN1230+BN1238)/BK1240</f>
        <v>0</v>
      </c>
      <c r="BO1243" s="585">
        <f t="shared" ref="BO1243" si="6523">(BO1216+BO1223+BO1230+BO1238)/BL1240</f>
        <v>0</v>
      </c>
      <c r="BP1243" s="585">
        <f t="shared" ref="BP1243" si="6524">(BP1216+BP1223+BP1230+BP1238)/BM1240</f>
        <v>0</v>
      </c>
      <c r="BQ1243" s="585">
        <f t="shared" ref="BQ1243" si="6525">(BQ1216+BQ1223+BQ1230+BQ1238)/BN1240</f>
        <v>0</v>
      </c>
      <c r="BR1243" s="585">
        <f t="shared" ref="BR1243" si="6526">(BR1216+BR1223+BR1230+BR1238)/BO1240</f>
        <v>0</v>
      </c>
    </row>
    <row r="1244" spans="2:70" outlineLevel="1">
      <c r="B1244" s="646" t="s">
        <v>93</v>
      </c>
      <c r="C1244" s="102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</row>
    <row r="1245" spans="2:70" outlineLevel="1">
      <c r="C1245" s="8" t="s">
        <v>98</v>
      </c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</row>
    <row r="1246" spans="2:70" outlineLevel="1">
      <c r="C1246" s="9" t="s">
        <v>94</v>
      </c>
      <c r="D1246" s="31" t="s">
        <v>66</v>
      </c>
      <c r="E1246" s="31"/>
      <c r="F1246" s="31"/>
      <c r="G1246" s="31"/>
      <c r="H1246" s="31"/>
      <c r="I1246" s="31"/>
      <c r="J1246" s="31"/>
      <c r="K1246" s="31"/>
      <c r="L1246" s="31"/>
      <c r="M1246" s="31"/>
      <c r="N1246" s="31"/>
      <c r="O1246" s="31"/>
      <c r="S1246" s="352">
        <v>0.09</v>
      </c>
      <c r="T1246" s="51"/>
      <c r="U1246" s="51"/>
      <c r="V1246" s="45">
        <v>4.2999999999999997E-2</v>
      </c>
      <c r="W1246" s="45">
        <v>7.4999999999999997E-2</v>
      </c>
      <c r="X1246" s="46">
        <f>Y1246*2-W1246</f>
        <v>3.7000000000000005E-2</v>
      </c>
      <c r="Y1246" s="45">
        <v>5.6000000000000001E-2</v>
      </c>
      <c r="Z1246" s="45">
        <v>8.6999999999999994E-2</v>
      </c>
      <c r="AA1246" s="46">
        <f>AB1246*2-Z1246</f>
        <v>-3.4999999999999996E-2</v>
      </c>
      <c r="AB1246" s="45">
        <v>2.5999999999999999E-2</v>
      </c>
      <c r="AC1246" s="45">
        <v>-8.4000000000000005E-2</v>
      </c>
      <c r="AD1246" s="46">
        <f>AE1246*2-AC1246</f>
        <v>-5.2000000000000005E-2</v>
      </c>
      <c r="AE1246" s="830">
        <v>-6.8000000000000005E-2</v>
      </c>
      <c r="AF1246" s="922">
        <v>-0.05</v>
      </c>
      <c r="AG1246" s="994">
        <f>(AD1248*(AG1255+AG1258))+(AD1249*(AG1263+AG1266))+(AD1250*(AG1271+AG1274))</f>
        <v>1.4427499999999999E-2</v>
      </c>
      <c r="AH1246" s="647">
        <f>(AE1248*(AH1255+AH1258))+(AE1249*(AH1263+AH1266))+(AE1250*(AH1271+AH1274))</f>
        <v>-1.7729384023878556E-3</v>
      </c>
      <c r="AI1246" s="647">
        <f t="shared" ref="AI1246:AN1246" si="6527">(AF1248*(AI1255+AI1258))+(AF1249*(AI1263+AI1266))+(AF1250*(AI1271+AI1274))</f>
        <v>4.3270000000000003E-2</v>
      </c>
      <c r="AJ1246" s="647">
        <f t="shared" si="6527"/>
        <v>4.0983749999999992E-2</v>
      </c>
      <c r="AK1246" s="647">
        <f t="shared" si="6527"/>
        <v>4.205265288967424E-2</v>
      </c>
      <c r="AL1246" s="647">
        <f t="shared" si="6527"/>
        <v>4.3833750000000005E-2</v>
      </c>
      <c r="AM1246" s="647">
        <f t="shared" si="6527"/>
        <v>4.3833749999999998E-2</v>
      </c>
      <c r="AN1246" s="647">
        <f t="shared" si="6527"/>
        <v>4.375822092092449E-2</v>
      </c>
      <c r="AO1246" s="647">
        <f t="shared" ref="AO1246" si="6528">(AL1248*(AO1255+AO1258))+(AL1249*(AO1263+AO1266))+(AL1250*(AO1271+AO1274))</f>
        <v>3.3833749999999996E-2</v>
      </c>
      <c r="AP1246" s="647">
        <f t="shared" ref="AP1246" si="6529">(AM1248*(AP1255+AP1258))+(AM1249*(AP1263+AP1266))+(AM1250*(AP1271+AP1274))</f>
        <v>3.3833749999999996E-2</v>
      </c>
      <c r="AQ1246" s="647">
        <f t="shared" ref="AQ1246" si="6530">(AN1248*(AQ1255+AQ1258))+(AN1249*(AQ1263+AQ1266))+(AN1250*(AQ1271+AQ1274))</f>
        <v>3.3793993336274974E-2</v>
      </c>
      <c r="AR1246" s="647">
        <f t="shared" ref="AR1246" si="6531">(AO1248*(AR1255+AR1258))+(AO1249*(AR1263+AR1266))+(AO1250*(AR1271+AR1274))</f>
        <v>3.3833749999999996E-2</v>
      </c>
      <c r="AS1246" s="647">
        <f t="shared" ref="AS1246" si="6532">(AP1248*(AS1255+AS1258))+(AP1249*(AS1263+AS1266))+(AP1250*(AS1271+AS1274))</f>
        <v>3.3833749999999996E-2</v>
      </c>
      <c r="AT1246" s="647">
        <f t="shared" ref="AT1246" si="6533">(AQ1248*(AT1255+AT1258))+(AQ1249*(AT1263+AT1266))+(AQ1250*(AT1271+AT1274))</f>
        <v>3.3833749999999913E-2</v>
      </c>
      <c r="AU1246" s="647">
        <f t="shared" ref="AU1246" si="6534">(AR1248*(AU1255+AU1258))+(AR1249*(AU1263+AU1266))+(AR1250*(AU1271+AU1274))</f>
        <v>3.3833749999999996E-2</v>
      </c>
      <c r="AV1246" s="647">
        <f t="shared" ref="AV1246" si="6535">(AS1248*(AV1255+AV1258))+(AS1249*(AV1263+AV1266))+(AS1250*(AV1271+AV1274))</f>
        <v>3.3833749999999996E-2</v>
      </c>
      <c r="AW1246" s="647">
        <f t="shared" ref="AW1246" si="6536">(AT1248*(AW1255+AW1258))+(AT1249*(AW1263+AW1266))+(AT1250*(AW1271+AW1274))</f>
        <v>3.3833750000000037E-2</v>
      </c>
      <c r="AX1246" s="647">
        <f t="shared" ref="AX1246" si="6537">(AU1248*(AX1255+AX1258))+(AU1249*(AX1263+AX1266))+(AU1250*(AX1271+AX1274))</f>
        <v>3.3833749999999996E-2</v>
      </c>
      <c r="AY1246" s="647">
        <f t="shared" ref="AY1246" si="6538">(AV1248*(AY1255+AY1258))+(AV1249*(AY1263+AY1266))+(AV1250*(AY1271+AY1274))</f>
        <v>3.3833749999999996E-2</v>
      </c>
      <c r="AZ1246" s="647">
        <f t="shared" ref="AZ1246" si="6539">(AW1248*(AZ1255+AZ1258))+(AW1249*(AZ1263+AZ1266))+(AW1250*(AZ1271+AZ1274))</f>
        <v>3.3833749999999718E-2</v>
      </c>
      <c r="BA1246" s="647">
        <f t="shared" ref="BA1246" si="6540">(AX1248*(BA1255+BA1258))+(AX1249*(BA1263+BA1266))+(AX1250*(BA1271+BA1274))</f>
        <v>3.3833749999999996E-2</v>
      </c>
      <c r="BB1246" s="647">
        <f t="shared" ref="BB1246" si="6541">(AY1248*(BB1255+BB1258))+(AY1249*(BB1263+BB1266))+(AY1250*(BB1271+BB1274))</f>
        <v>3.3833749999999996E-2</v>
      </c>
      <c r="BC1246" s="647">
        <f t="shared" ref="BC1246" si="6542">(AZ1248*(BC1255+BC1258))+(AZ1249*(BC1263+BC1266))+(AZ1250*(BC1271+BC1274))</f>
        <v>3.3833750000000051E-2</v>
      </c>
      <c r="BD1246" s="647">
        <f t="shared" ref="BD1246" si="6543">(BA1248*(BD1255+BD1258))+(BA1249*(BD1263+BD1266))+(BA1250*(BD1271+BD1274))</f>
        <v>3.3833749999999996E-2</v>
      </c>
      <c r="BE1246" s="647">
        <f t="shared" ref="BE1246" si="6544">(BB1248*(BE1255+BE1258))+(BB1249*(BE1263+BE1266))+(BB1250*(BE1271+BE1274))</f>
        <v>3.3833749999999996E-2</v>
      </c>
      <c r="BF1246" s="647">
        <f t="shared" ref="BF1246" si="6545">(BC1248*(BF1255+BF1258))+(BC1249*(BF1263+BF1266))+(BC1250*(BF1271+BF1274))</f>
        <v>3.3833749999999732E-2</v>
      </c>
      <c r="BG1246" s="647">
        <f t="shared" ref="BG1246" si="6546">(BD1248*(BG1255+BG1258))+(BD1249*(BG1263+BG1266))+(BD1250*(BG1271+BG1274))</f>
        <v>3.3833750000000003E-2</v>
      </c>
      <c r="BH1246" s="647">
        <f t="shared" ref="BH1246" si="6547">(BE1248*(BH1255+BH1258))+(BE1249*(BH1263+BH1266))+(BE1250*(BH1271+BH1274))</f>
        <v>3.3833749999999996E-2</v>
      </c>
      <c r="BI1246" s="647">
        <f t="shared" ref="BI1246" si="6548">(BF1248*(BI1255+BI1258))+(BF1249*(BI1263+BI1266))+(BF1250*(BI1271+BI1274))</f>
        <v>3.3833750000000044E-2</v>
      </c>
      <c r="BJ1246" s="647">
        <f t="shared" ref="BJ1246" si="6549">(BG1248*(BJ1255+BJ1258))+(BG1249*(BJ1263+BJ1266))+(BG1250*(BJ1271+BJ1274))</f>
        <v>3.3833749999999996E-2</v>
      </c>
      <c r="BK1246" s="647">
        <f t="shared" ref="BK1246" si="6550">(BH1248*(BK1255+BK1258))+(BH1249*(BK1263+BK1266))+(BH1250*(BK1271+BK1274))</f>
        <v>3.3833749999999996E-2</v>
      </c>
      <c r="BL1246" s="647">
        <f t="shared" ref="BL1246" si="6551">(BI1248*(BL1255+BL1258))+(BI1249*(BL1263+BL1266))+(BI1250*(BL1271+BL1274))</f>
        <v>3.3833749999999878E-2</v>
      </c>
      <c r="BM1246" s="647">
        <f t="shared" ref="BM1246" si="6552">(BJ1248*(BM1255+BM1258))+(BJ1249*(BM1263+BM1266))+(BJ1250*(BM1271+BM1274))</f>
        <v>3.3833750000000003E-2</v>
      </c>
      <c r="BN1246" s="647">
        <f t="shared" ref="BN1246" si="6553">(BK1248*(BN1255+BN1258))+(BK1249*(BN1263+BN1266))+(BK1250*(BN1271+BN1274))</f>
        <v>3.3833749999999996E-2</v>
      </c>
      <c r="BO1246" s="647">
        <f t="shared" ref="BO1246" si="6554">(BL1248*(BO1255+BO1258))+(BL1249*(BO1263+BO1266))+(BL1250*(BO1271+BO1274))</f>
        <v>3.3833749999999892E-2</v>
      </c>
      <c r="BP1246" s="647">
        <f t="shared" ref="BP1246" si="6555">(BM1248*(BP1255+BP1258))+(BM1249*(BP1263+BP1266))+(BM1250*(BP1271+BP1274))</f>
        <v>3.3833749999999996E-2</v>
      </c>
      <c r="BQ1246" s="647">
        <f t="shared" ref="BQ1246" si="6556">(BN1248*(BQ1255+BQ1258))+(BN1249*(BQ1263+BQ1266))+(BN1250*(BQ1271+BQ1274))</f>
        <v>3.3833749999999996E-2</v>
      </c>
      <c r="BR1246" s="647">
        <f t="shared" ref="BR1246" si="6557">(BO1248*(BR1255+BR1258))+(BO1249*(BR1263+BR1266))+(BO1250*(BR1271+BR1274))</f>
        <v>3.3833749999999732E-2</v>
      </c>
    </row>
    <row r="1247" spans="2:70" outlineLevel="1">
      <c r="C1247" s="8" t="s">
        <v>64</v>
      </c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S1247" s="51"/>
      <c r="T1247" s="51"/>
      <c r="U1247" s="51"/>
      <c r="V1247" s="51"/>
      <c r="W1247" s="51"/>
      <c r="X1247" s="51"/>
      <c r="Y1247" s="51"/>
      <c r="Z1247" s="51"/>
      <c r="AA1247" s="51"/>
      <c r="AB1247" s="51"/>
      <c r="AC1247" s="51"/>
      <c r="AD1247" s="51"/>
      <c r="AE1247" s="334"/>
    </row>
    <row r="1248" spans="2:70" outlineLevel="1">
      <c r="C1248" s="9" t="s">
        <v>60</v>
      </c>
      <c r="D1248" s="31" t="s">
        <v>66</v>
      </c>
      <c r="E1248" s="610"/>
      <c r="F1248" s="611"/>
      <c r="G1248" s="610"/>
      <c r="H1248" s="14">
        <v>0.79</v>
      </c>
      <c r="I1248" s="350">
        <f>J1248*2-H1248</f>
        <v>0.77</v>
      </c>
      <c r="J1248" s="14">
        <v>0.78</v>
      </c>
      <c r="K1248" s="14">
        <v>0.73</v>
      </c>
      <c r="L1248" s="350">
        <f>M1248*2-K1248</f>
        <v>0.81</v>
      </c>
      <c r="M1248" s="14">
        <v>0.77</v>
      </c>
      <c r="N1248" s="14">
        <v>0.78</v>
      </c>
      <c r="O1248" s="350">
        <f>P1248*2-N1248</f>
        <v>0.78</v>
      </c>
      <c r="P1248" s="14">
        <v>0.78</v>
      </c>
      <c r="Q1248" s="14">
        <v>0.73</v>
      </c>
      <c r="R1248" s="350">
        <f>S1248*2-Q1248</f>
        <v>0.79</v>
      </c>
      <c r="S1248" s="14">
        <v>0.76</v>
      </c>
      <c r="T1248" s="14">
        <v>0.73</v>
      </c>
      <c r="U1248" s="350">
        <f>V1248*2-T1248</f>
        <v>0.79</v>
      </c>
      <c r="V1248" s="14">
        <v>0.76</v>
      </c>
      <c r="W1248" s="14">
        <v>0.69</v>
      </c>
      <c r="X1248" s="350">
        <f>Y1248*2-W1248</f>
        <v>0.57000000000000006</v>
      </c>
      <c r="Y1248" s="14">
        <v>0.63</v>
      </c>
      <c r="Z1248" s="14">
        <v>0.65</v>
      </c>
      <c r="AA1248" s="350">
        <f>AB1248*2-Z1248</f>
        <v>0.61</v>
      </c>
      <c r="AB1248" s="14">
        <v>0.63</v>
      </c>
      <c r="AC1248" s="14">
        <v>0.76</v>
      </c>
      <c r="AD1248" s="350">
        <f>AE1248*2-AC1248</f>
        <v>0.74</v>
      </c>
      <c r="AE1248" s="374">
        <v>0.75</v>
      </c>
      <c r="AF1248" s="382">
        <v>0.71</v>
      </c>
      <c r="AG1248" s="960">
        <f t="shared" ref="AG1248:AN1248" si="6558">AG1252/AG$1277</f>
        <v>0.72457520539005893</v>
      </c>
      <c r="AH1248" s="17">
        <f t="shared" si="6558"/>
        <v>0.71702879315302392</v>
      </c>
      <c r="AI1248" s="17">
        <f t="shared" si="6558"/>
        <v>0.71000000000000008</v>
      </c>
      <c r="AJ1248" s="17">
        <f t="shared" si="6558"/>
        <v>0.72457520539005904</v>
      </c>
      <c r="AK1248" s="17">
        <f t="shared" si="6558"/>
        <v>0.71710157363677529</v>
      </c>
      <c r="AL1248" s="17">
        <f t="shared" si="6558"/>
        <v>0.71</v>
      </c>
      <c r="AM1248" s="17">
        <f t="shared" si="6558"/>
        <v>0.72457520539005904</v>
      </c>
      <c r="AN1248" s="17">
        <f t="shared" si="6558"/>
        <v>0.71704109214772049</v>
      </c>
      <c r="AO1248" s="17">
        <f t="shared" ref="AO1248:BR1248" si="6559">AO1252/AO$1277</f>
        <v>0.71</v>
      </c>
      <c r="AP1248" s="17">
        <f t="shared" si="6559"/>
        <v>0.72457520539005904</v>
      </c>
      <c r="AQ1248" s="17">
        <f t="shared" si="6559"/>
        <v>0.71699601960647652</v>
      </c>
      <c r="AR1248" s="17">
        <f t="shared" si="6559"/>
        <v>0.71</v>
      </c>
      <c r="AS1248" s="17">
        <f t="shared" si="6559"/>
        <v>0.72457520539005904</v>
      </c>
      <c r="AT1248" s="17">
        <f t="shared" si="6559"/>
        <v>0.71699601960647641</v>
      </c>
      <c r="AU1248" s="17">
        <f t="shared" si="6559"/>
        <v>0.71</v>
      </c>
      <c r="AV1248" s="17">
        <f t="shared" si="6559"/>
        <v>0.72457520539005893</v>
      </c>
      <c r="AW1248" s="17">
        <f t="shared" si="6559"/>
        <v>0.71699601960647641</v>
      </c>
      <c r="AX1248" s="17">
        <f t="shared" si="6559"/>
        <v>0.71000000000000008</v>
      </c>
      <c r="AY1248" s="17">
        <f t="shared" si="6559"/>
        <v>0.72457520539005904</v>
      </c>
      <c r="AZ1248" s="17">
        <f t="shared" si="6559"/>
        <v>0.71699601960647652</v>
      </c>
      <c r="BA1248" s="17">
        <f t="shared" si="6559"/>
        <v>0.71</v>
      </c>
      <c r="BB1248" s="17">
        <f t="shared" si="6559"/>
        <v>0.72457520539005893</v>
      </c>
      <c r="BC1248" s="17">
        <f t="shared" si="6559"/>
        <v>0.71699601960647652</v>
      </c>
      <c r="BD1248" s="17">
        <f t="shared" si="6559"/>
        <v>0.71000000000000008</v>
      </c>
      <c r="BE1248" s="17">
        <f t="shared" si="6559"/>
        <v>0.72457520539005893</v>
      </c>
      <c r="BF1248" s="17">
        <f t="shared" si="6559"/>
        <v>0.71699601960647641</v>
      </c>
      <c r="BG1248" s="17">
        <f t="shared" si="6559"/>
        <v>0.71</v>
      </c>
      <c r="BH1248" s="17">
        <f t="shared" si="6559"/>
        <v>0.72457520539005904</v>
      </c>
      <c r="BI1248" s="17">
        <f t="shared" si="6559"/>
        <v>0.71699601960647641</v>
      </c>
      <c r="BJ1248" s="17">
        <f t="shared" si="6559"/>
        <v>0.71000000000000008</v>
      </c>
      <c r="BK1248" s="17">
        <f t="shared" si="6559"/>
        <v>0.72457520539005893</v>
      </c>
      <c r="BL1248" s="17">
        <f t="shared" si="6559"/>
        <v>0.71699601960647652</v>
      </c>
      <c r="BM1248" s="17">
        <f t="shared" si="6559"/>
        <v>0.71</v>
      </c>
      <c r="BN1248" s="17">
        <f t="shared" si="6559"/>
        <v>0.72457520539005893</v>
      </c>
      <c r="BO1248" s="17">
        <f t="shared" si="6559"/>
        <v>0.71699601960647652</v>
      </c>
      <c r="BP1248" s="17">
        <f t="shared" si="6559"/>
        <v>0.71</v>
      </c>
      <c r="BQ1248" s="17">
        <f t="shared" si="6559"/>
        <v>0.72457520539005904</v>
      </c>
      <c r="BR1248" s="17">
        <f t="shared" si="6559"/>
        <v>0.71699601960647652</v>
      </c>
    </row>
    <row r="1249" spans="3:70" outlineLevel="1">
      <c r="C1249" s="9" t="s">
        <v>61</v>
      </c>
      <c r="D1249" s="31" t="s">
        <v>66</v>
      </c>
      <c r="E1249" s="610"/>
      <c r="F1249" s="611"/>
      <c r="G1249" s="610"/>
      <c r="H1249" s="14">
        <v>0.13</v>
      </c>
      <c r="I1249" s="350">
        <f>J1249*2-H1249</f>
        <v>0.15000000000000002</v>
      </c>
      <c r="J1249" s="14">
        <v>0.14000000000000001</v>
      </c>
      <c r="K1249" s="14">
        <v>0.18</v>
      </c>
      <c r="L1249" s="350">
        <f>M1249*2-K1249</f>
        <v>0.10000000000000003</v>
      </c>
      <c r="M1249" s="14">
        <v>0.14000000000000001</v>
      </c>
      <c r="N1249" s="14">
        <v>0.14000000000000001</v>
      </c>
      <c r="O1249" s="350">
        <f>P1249*2-N1249</f>
        <v>0.14000000000000001</v>
      </c>
      <c r="P1249" s="14">
        <v>0.14000000000000001</v>
      </c>
      <c r="Q1249" s="14">
        <v>0.14000000000000001</v>
      </c>
      <c r="R1249" s="350">
        <f>S1249*2-Q1249</f>
        <v>0.14000000000000001</v>
      </c>
      <c r="S1249" s="14">
        <v>0.14000000000000001</v>
      </c>
      <c r="T1249" s="14">
        <v>0.16</v>
      </c>
      <c r="U1249" s="350">
        <f>V1249*2-T1249</f>
        <v>0.13999999999999999</v>
      </c>
      <c r="V1249" s="14">
        <v>0.15</v>
      </c>
      <c r="W1249" s="14">
        <v>0.18</v>
      </c>
      <c r="X1249" s="350">
        <f>Y1249*2-W1249</f>
        <v>0.3</v>
      </c>
      <c r="Y1249" s="14">
        <v>0.24</v>
      </c>
      <c r="Z1249" s="14">
        <v>0.19</v>
      </c>
      <c r="AA1249" s="350">
        <f>AB1249*2-Z1249</f>
        <v>0.25</v>
      </c>
      <c r="AB1249" s="14">
        <v>0.22</v>
      </c>
      <c r="AC1249" s="14">
        <v>0.12</v>
      </c>
      <c r="AD1249" s="350">
        <f>AE1249*2-AC1249</f>
        <v>0.14000000000000001</v>
      </c>
      <c r="AE1249" s="374">
        <v>0.13</v>
      </c>
      <c r="AF1249" s="382">
        <v>0.12</v>
      </c>
      <c r="AG1249" s="960">
        <f t="shared" ref="AG1249:AN1249" si="6560">AG1260/AG$1277</f>
        <v>0.13708179561433551</v>
      </c>
      <c r="AH1249" s="17">
        <f t="shared" si="6560"/>
        <v>0.12823757915187159</v>
      </c>
      <c r="AI1249" s="17">
        <f t="shared" si="6560"/>
        <v>0.11999999999999998</v>
      </c>
      <c r="AJ1249" s="17">
        <f t="shared" si="6560"/>
        <v>0.13708179561433551</v>
      </c>
      <c r="AK1249" s="17">
        <f t="shared" si="6560"/>
        <v>0.12832287615557619</v>
      </c>
      <c r="AL1249" s="17">
        <f t="shared" si="6560"/>
        <v>0.11999999999999997</v>
      </c>
      <c r="AM1249" s="17">
        <f t="shared" si="6560"/>
        <v>0.13708179561433551</v>
      </c>
      <c r="AN1249" s="17">
        <f t="shared" si="6560"/>
        <v>0.12825199328244791</v>
      </c>
      <c r="AO1249" s="17">
        <f t="shared" ref="AO1249:BR1249" si="6561">AO1260/AO$1277</f>
        <v>0.11999999999999995</v>
      </c>
      <c r="AP1249" s="17">
        <f t="shared" si="6561"/>
        <v>0.13708179561433551</v>
      </c>
      <c r="AQ1249" s="17">
        <f t="shared" si="6561"/>
        <v>0.1281991693313099</v>
      </c>
      <c r="AR1249" s="17">
        <f t="shared" si="6561"/>
        <v>0.11999999999999995</v>
      </c>
      <c r="AS1249" s="17">
        <f t="shared" si="6561"/>
        <v>0.13708179561433551</v>
      </c>
      <c r="AT1249" s="17">
        <f t="shared" si="6561"/>
        <v>0.12819916933130987</v>
      </c>
      <c r="AU1249" s="17">
        <f t="shared" si="6561"/>
        <v>0.11999999999999995</v>
      </c>
      <c r="AV1249" s="17">
        <f t="shared" si="6561"/>
        <v>0.13708179561433551</v>
      </c>
      <c r="AW1249" s="17">
        <f t="shared" si="6561"/>
        <v>0.12819916933130987</v>
      </c>
      <c r="AX1249" s="17">
        <f t="shared" si="6561"/>
        <v>0.11999999999999995</v>
      </c>
      <c r="AY1249" s="17">
        <f t="shared" si="6561"/>
        <v>0.13708179561433553</v>
      </c>
      <c r="AZ1249" s="17">
        <f t="shared" si="6561"/>
        <v>0.1281991693313099</v>
      </c>
      <c r="BA1249" s="17">
        <f t="shared" si="6561"/>
        <v>0.11999999999999995</v>
      </c>
      <c r="BB1249" s="17">
        <f t="shared" si="6561"/>
        <v>0.13708179561433551</v>
      </c>
      <c r="BC1249" s="17">
        <f t="shared" si="6561"/>
        <v>0.12819916933130987</v>
      </c>
      <c r="BD1249" s="17">
        <f t="shared" si="6561"/>
        <v>0.11999999999999997</v>
      </c>
      <c r="BE1249" s="17">
        <f t="shared" si="6561"/>
        <v>0.13708179561433551</v>
      </c>
      <c r="BF1249" s="17">
        <f t="shared" si="6561"/>
        <v>0.1281991693313099</v>
      </c>
      <c r="BG1249" s="17">
        <f t="shared" si="6561"/>
        <v>0.11999999999999994</v>
      </c>
      <c r="BH1249" s="17">
        <f t="shared" si="6561"/>
        <v>0.13708179561433553</v>
      </c>
      <c r="BI1249" s="17">
        <f t="shared" si="6561"/>
        <v>0.12819916933130987</v>
      </c>
      <c r="BJ1249" s="17">
        <f t="shared" si="6561"/>
        <v>0.11999999999999995</v>
      </c>
      <c r="BK1249" s="17">
        <f t="shared" si="6561"/>
        <v>0.13708179561433551</v>
      </c>
      <c r="BL1249" s="17">
        <f t="shared" si="6561"/>
        <v>0.1281991693313099</v>
      </c>
      <c r="BM1249" s="17">
        <f t="shared" si="6561"/>
        <v>0.11999999999999994</v>
      </c>
      <c r="BN1249" s="17">
        <f t="shared" si="6561"/>
        <v>0.13708179561433551</v>
      </c>
      <c r="BO1249" s="17">
        <f t="shared" si="6561"/>
        <v>0.1281991693313099</v>
      </c>
      <c r="BP1249" s="17">
        <f t="shared" si="6561"/>
        <v>0.11999999999999994</v>
      </c>
      <c r="BQ1249" s="17">
        <f t="shared" si="6561"/>
        <v>0.13708179561433553</v>
      </c>
      <c r="BR1249" s="17">
        <f t="shared" si="6561"/>
        <v>0.1281991693313099</v>
      </c>
    </row>
    <row r="1250" spans="3:70" outlineLevel="1">
      <c r="C1250" s="9" t="s">
        <v>100</v>
      </c>
      <c r="D1250" s="31" t="s">
        <v>66</v>
      </c>
      <c r="E1250" s="610"/>
      <c r="F1250" s="611"/>
      <c r="G1250" s="610"/>
      <c r="H1250" s="14">
        <v>0.09</v>
      </c>
      <c r="I1250" s="350">
        <f>J1250*2-H1250</f>
        <v>7.0000000000000007E-2</v>
      </c>
      <c r="J1250" s="14">
        <v>0.08</v>
      </c>
      <c r="K1250" s="14">
        <v>0.09</v>
      </c>
      <c r="L1250" s="350">
        <f>M1250*2-K1250</f>
        <v>0.09</v>
      </c>
      <c r="M1250" s="14">
        <v>0.09</v>
      </c>
      <c r="N1250" s="14">
        <v>0.08</v>
      </c>
      <c r="O1250" s="350">
        <f>P1250*2-N1250</f>
        <v>0.08</v>
      </c>
      <c r="P1250" s="14">
        <v>0.08</v>
      </c>
      <c r="Q1250" s="14">
        <v>0.13</v>
      </c>
      <c r="R1250" s="350">
        <f>S1250*2-Q1250</f>
        <v>7.0000000000000007E-2</v>
      </c>
      <c r="S1250" s="14">
        <v>0.1</v>
      </c>
      <c r="T1250" s="14">
        <v>0.11</v>
      </c>
      <c r="U1250" s="350">
        <f>V1250*2-T1250</f>
        <v>6.9999999999999993E-2</v>
      </c>
      <c r="V1250" s="14">
        <v>0.09</v>
      </c>
      <c r="W1250" s="14">
        <v>0.13</v>
      </c>
      <c r="X1250" s="350">
        <f>Y1250*2-W1250</f>
        <v>0.15000000000000002</v>
      </c>
      <c r="Y1250" s="14">
        <v>0.14000000000000001</v>
      </c>
      <c r="Z1250" s="14">
        <v>0.16</v>
      </c>
      <c r="AA1250" s="350">
        <f>AB1250*2-Z1250</f>
        <v>0.13999999999999999</v>
      </c>
      <c r="AB1250" s="14">
        <v>0.15</v>
      </c>
      <c r="AC1250" s="14">
        <v>0.12</v>
      </c>
      <c r="AD1250" s="350">
        <f>AE1250*2-AC1250</f>
        <v>0.12</v>
      </c>
      <c r="AE1250" s="374">
        <v>0.12</v>
      </c>
      <c r="AF1250" s="382">
        <v>0.17</v>
      </c>
      <c r="AG1250" s="960">
        <f t="shared" ref="AG1250:AN1250" si="6562">AG1268/AG$1277</f>
        <v>0.13834299899560554</v>
      </c>
      <c r="AH1250" s="17">
        <f t="shared" si="6562"/>
        <v>0.15473362769510449</v>
      </c>
      <c r="AI1250" s="17">
        <f t="shared" si="6562"/>
        <v>0.17000000000000004</v>
      </c>
      <c r="AJ1250" s="17">
        <f t="shared" si="6562"/>
        <v>0.13834299899560554</v>
      </c>
      <c r="AK1250" s="17">
        <f t="shared" si="6562"/>
        <v>0.1545755502076486</v>
      </c>
      <c r="AL1250" s="17">
        <f t="shared" si="6562"/>
        <v>0.17</v>
      </c>
      <c r="AM1250" s="17">
        <f t="shared" si="6562"/>
        <v>0.13834299899560554</v>
      </c>
      <c r="AN1250" s="17">
        <f t="shared" si="6562"/>
        <v>0.15470691456983149</v>
      </c>
      <c r="AO1250" s="17">
        <f t="shared" ref="AO1250:BR1250" si="6563">AO1268/AO$1277</f>
        <v>0.17</v>
      </c>
      <c r="AP1250" s="17">
        <f t="shared" si="6563"/>
        <v>0.13834299899560554</v>
      </c>
      <c r="AQ1250" s="17">
        <f t="shared" si="6563"/>
        <v>0.15480481106221364</v>
      </c>
      <c r="AR1250" s="17">
        <f t="shared" si="6563"/>
        <v>0.17</v>
      </c>
      <c r="AS1250" s="17">
        <f t="shared" si="6563"/>
        <v>0.13834299899560551</v>
      </c>
      <c r="AT1250" s="17">
        <f t="shared" si="6563"/>
        <v>0.15480481106221364</v>
      </c>
      <c r="AU1250" s="17">
        <f t="shared" si="6563"/>
        <v>0.17</v>
      </c>
      <c r="AV1250" s="17">
        <f t="shared" si="6563"/>
        <v>0.13834299899560548</v>
      </c>
      <c r="AW1250" s="17">
        <f t="shared" si="6563"/>
        <v>0.15480481106221361</v>
      </c>
      <c r="AX1250" s="17">
        <f t="shared" si="6563"/>
        <v>0.17</v>
      </c>
      <c r="AY1250" s="17">
        <f t="shared" si="6563"/>
        <v>0.13834299899560551</v>
      </c>
      <c r="AZ1250" s="17">
        <f t="shared" si="6563"/>
        <v>0.15480481106221367</v>
      </c>
      <c r="BA1250" s="17">
        <f t="shared" si="6563"/>
        <v>0.17</v>
      </c>
      <c r="BB1250" s="17">
        <f t="shared" si="6563"/>
        <v>0.13834299899560548</v>
      </c>
      <c r="BC1250" s="17">
        <f t="shared" si="6563"/>
        <v>0.15480481106221364</v>
      </c>
      <c r="BD1250" s="17">
        <f t="shared" si="6563"/>
        <v>0.17000000000000004</v>
      </c>
      <c r="BE1250" s="17">
        <f t="shared" si="6563"/>
        <v>0.13834299899560548</v>
      </c>
      <c r="BF1250" s="17">
        <f t="shared" si="6563"/>
        <v>0.15480481106221367</v>
      </c>
      <c r="BG1250" s="17">
        <f t="shared" si="6563"/>
        <v>0.17</v>
      </c>
      <c r="BH1250" s="17">
        <f t="shared" si="6563"/>
        <v>0.13834299899560551</v>
      </c>
      <c r="BI1250" s="17">
        <f t="shared" si="6563"/>
        <v>0.15480481106221361</v>
      </c>
      <c r="BJ1250" s="17">
        <f t="shared" si="6563"/>
        <v>0.17000000000000004</v>
      </c>
      <c r="BK1250" s="17">
        <f t="shared" si="6563"/>
        <v>0.13834299899560548</v>
      </c>
      <c r="BL1250" s="17">
        <f t="shared" si="6563"/>
        <v>0.15480481106221367</v>
      </c>
      <c r="BM1250" s="17">
        <f t="shared" si="6563"/>
        <v>0.17000000000000004</v>
      </c>
      <c r="BN1250" s="17">
        <f t="shared" si="6563"/>
        <v>0.13834299899560548</v>
      </c>
      <c r="BO1250" s="17">
        <f t="shared" si="6563"/>
        <v>0.15480481106221364</v>
      </c>
      <c r="BP1250" s="17">
        <f t="shared" si="6563"/>
        <v>0.17000000000000004</v>
      </c>
      <c r="BQ1250" s="17">
        <f t="shared" si="6563"/>
        <v>0.13834299899560551</v>
      </c>
      <c r="BR1250" s="17">
        <f t="shared" si="6563"/>
        <v>0.15480481106221367</v>
      </c>
    </row>
    <row r="1251" spans="3:70" outlineLevel="1">
      <c r="C1251" s="8" t="s">
        <v>63</v>
      </c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</row>
    <row r="1252" spans="3:70" s="8" customFormat="1" outlineLevel="1">
      <c r="C1252" s="95" t="s">
        <v>60</v>
      </c>
      <c r="D1252" s="96" t="s">
        <v>58</v>
      </c>
      <c r="E1252" s="562"/>
      <c r="F1252" s="562"/>
      <c r="G1252" s="562"/>
      <c r="H1252" s="468">
        <f>H1248*H$1277</f>
        <v>294.67</v>
      </c>
      <c r="I1252" s="468">
        <f>I1248*I$1277</f>
        <v>247.94</v>
      </c>
      <c r="J1252" s="468">
        <f t="shared" ref="J1252:J1268" si="6564">H1252+I1252</f>
        <v>542.61</v>
      </c>
      <c r="K1252" s="468">
        <f>K1248*K$1277</f>
        <v>277.39999999999998</v>
      </c>
      <c r="L1252" s="468">
        <f>L1248*L$1277</f>
        <v>339.39000000000004</v>
      </c>
      <c r="M1252" s="468">
        <f t="shared" ref="M1252:M1268" si="6565">K1252+L1252</f>
        <v>616.79</v>
      </c>
      <c r="N1252" s="468">
        <f>N1248*N$1277</f>
        <v>358.8</v>
      </c>
      <c r="O1252" s="468">
        <f>O1248*O$1277</f>
        <v>336.96000000000004</v>
      </c>
      <c r="P1252" s="468">
        <f t="shared" ref="P1252:P1268" si="6566">N1252+O1252</f>
        <v>695.76</v>
      </c>
      <c r="Q1252" s="468">
        <f>Q1248*Q$1277</f>
        <v>323.39</v>
      </c>
      <c r="R1252" s="468">
        <f>R1248*R$1277</f>
        <v>349.97</v>
      </c>
      <c r="S1252" s="468">
        <f t="shared" ref="S1252:S1268" si="6567">Q1252+R1252</f>
        <v>673.36</v>
      </c>
      <c r="T1252" s="468">
        <f>T1248*T$1277</f>
        <v>339.45</v>
      </c>
      <c r="U1252" s="468">
        <f>U1248*U$1277</f>
        <v>368.93</v>
      </c>
      <c r="V1252" s="468">
        <f t="shared" ref="V1252:V1268" si="6568">T1252+U1252</f>
        <v>708.38</v>
      </c>
      <c r="W1252" s="468">
        <f>W1248*W$1277</f>
        <v>358.79999999999995</v>
      </c>
      <c r="X1252" s="468">
        <f>X1248*X$1277</f>
        <v>317.49</v>
      </c>
      <c r="Y1252" s="468">
        <f t="shared" ref="Y1252:Y1268" si="6569">W1252+X1252</f>
        <v>676.29</v>
      </c>
      <c r="Z1252" s="468">
        <f>Z1248*Z$1277</f>
        <v>323.05</v>
      </c>
      <c r="AA1252" s="468">
        <f>AA1248*AA$1277</f>
        <v>392.23</v>
      </c>
      <c r="AB1252" s="468">
        <f t="shared" ref="AB1252:AB1268" si="6570">Z1252+AA1252</f>
        <v>715.28</v>
      </c>
      <c r="AC1252" s="104">
        <f>AC1248*AC$1277</f>
        <v>204.44</v>
      </c>
      <c r="AD1252" s="104">
        <f>AD1248*AD$1277</f>
        <v>183.52</v>
      </c>
      <c r="AE1252" s="468">
        <f>AC1252+AD1252</f>
        <v>387.96000000000004</v>
      </c>
      <c r="AF1252" s="468">
        <f>AF1248*AF$1277</f>
        <v>198.09</v>
      </c>
      <c r="AG1252" s="1045">
        <f>(AD1252*(1+AG1254))+AG1259</f>
        <v>188.29028338568745</v>
      </c>
      <c r="AH1252" s="64">
        <f>AF1252+AG1252</f>
        <v>386.38028338568745</v>
      </c>
      <c r="AI1252" s="468">
        <f>(AF1252*(1+AI1254))+AI1259</f>
        <v>203.64215964148806</v>
      </c>
      <c r="AJ1252" s="468">
        <f>(AG1252*(1+AJ1254))+AJ1259</f>
        <v>197.4766328500103</v>
      </c>
      <c r="AK1252" s="341">
        <f>AI1252+AJ1252</f>
        <v>401.11879249149837</v>
      </c>
      <c r="AL1252" s="468">
        <f>(AI1252*(1+AL1254))+AL1259</f>
        <v>225.47903331217444</v>
      </c>
      <c r="AM1252" s="468">
        <f>(AJ1252*(1+AM1254))+AM1259</f>
        <v>215.04986215105626</v>
      </c>
      <c r="AN1252" s="64">
        <f>AL1252+AM1252</f>
        <v>440.5288954632307</v>
      </c>
      <c r="AO1252" s="468">
        <f>(AL1252*(1+AO1254))+AO1259</f>
        <v>236.01319779142773</v>
      </c>
      <c r="AP1252" s="468">
        <f>(AM1252*(1+AP1254))+AP1259</f>
        <v>222.32580542460954</v>
      </c>
      <c r="AQ1252" s="64">
        <f>AO1252+AP1252</f>
        <v>458.33900321603727</v>
      </c>
      <c r="AR1252" s="468">
        <f>(AO1252*(1+AR1254))+AR1259</f>
        <v>243.99840932220343</v>
      </c>
      <c r="AS1252" s="468">
        <f>(AP1252*(1+AS1254))+AS1259</f>
        <v>229.84792114389441</v>
      </c>
      <c r="AT1252" s="64">
        <f>AR1252+AS1252</f>
        <v>473.84633046609781</v>
      </c>
      <c r="AU1252" s="468">
        <f>(AR1252*(1+AU1254))+AU1259</f>
        <v>252.25379050360851</v>
      </c>
      <c r="AV1252" s="468">
        <f>(AS1252*(1+AV1254))+AV1259</f>
        <v>237.62453824589662</v>
      </c>
      <c r="AW1252" s="64">
        <f>AU1252+AV1252</f>
        <v>489.87832874950516</v>
      </c>
      <c r="AX1252" s="468">
        <f>(AU1252*(1+AX1254))+AX1259</f>
        <v>260.78848218805996</v>
      </c>
      <c r="AY1252" s="468">
        <f>(AV1252*(1+AY1254))+AY1259</f>
        <v>245.66426746677368</v>
      </c>
      <c r="AZ1252" s="64">
        <f>AX1252+AY1252</f>
        <v>506.45274965483361</v>
      </c>
      <c r="BA1252" s="468">
        <f>(AX1252*(1+BA1254))+BA1259</f>
        <v>269.61193449729018</v>
      </c>
      <c r="BB1252" s="468">
        <f>(AY1252*(1+BB1254))+BB1259</f>
        <v>253.97601087617761</v>
      </c>
      <c r="BC1252" s="64">
        <f>BA1252+BB1252</f>
        <v>523.58794537346785</v>
      </c>
      <c r="BD1252" s="468">
        <f>(BA1252*(1+BD1254))+BD1259</f>
        <v>278.73391728608783</v>
      </c>
      <c r="BE1252" s="468">
        <f>(BB1252*(1+BE1254))+BE1259</f>
        <v>262.56897173415945</v>
      </c>
      <c r="BF1252" s="64">
        <f>BD1252+BE1252</f>
        <v>541.30288902024722</v>
      </c>
      <c r="BG1252" s="468">
        <f>(BD1252*(1+BG1254))+BG1259</f>
        <v>288.16453096006597</v>
      </c>
      <c r="BH1252" s="468">
        <f>(BE1252*(1+BH1254))+BH1259</f>
        <v>271.45266468157001</v>
      </c>
      <c r="BI1252" s="64">
        <f>BG1252+BH1252</f>
        <v>559.61719564163604</v>
      </c>
      <c r="BJ1252" s="468">
        <f>(BG1252*(1+BJ1254))+BJ1259</f>
        <v>297.91421765943608</v>
      </c>
      <c r="BK1252" s="468">
        <f>(BH1252*(1+BK1254))+BK1259</f>
        <v>280.63692627524006</v>
      </c>
      <c r="BL1252" s="64">
        <f>BJ1252+BK1252</f>
        <v>578.55114393467613</v>
      </c>
      <c r="BM1252" s="468">
        <f>(BJ1252*(1+BM1254))+BM1259</f>
        <v>307.99377282117098</v>
      </c>
      <c r="BN1252" s="468">
        <f>(BK1252*(1+BN1254))+BN1259</f>
        <v>290.13192587960492</v>
      </c>
      <c r="BO1252" s="64">
        <f>BM1252+BN1252</f>
        <v>598.12569870077596</v>
      </c>
      <c r="BP1252" s="468">
        <f>(BM1252*(1+BP1254))+BP1259</f>
        <v>318.41435713235921</v>
      </c>
      <c r="BQ1252" s="468">
        <f>(BN1252*(1+BQ1254))+BQ1259</f>
        <v>299.94817692683398</v>
      </c>
      <c r="BR1252" s="64">
        <f>BP1252+BQ1252</f>
        <v>618.36253405919319</v>
      </c>
    </row>
    <row r="1253" spans="3:70" s="8" customFormat="1" outlineLevel="1">
      <c r="C1253" s="547" t="s">
        <v>669</v>
      </c>
      <c r="D1253" s="7" t="s">
        <v>66</v>
      </c>
      <c r="E1253" s="562"/>
      <c r="F1253" s="562"/>
      <c r="G1253" s="562"/>
      <c r="H1253" s="609"/>
      <c r="I1253" s="609"/>
      <c r="J1253" s="609"/>
      <c r="K1253" s="595">
        <f>+K1252/H1252-1</f>
        <v>-5.8607934299385933E-2</v>
      </c>
      <c r="L1253" s="595">
        <f t="shared" ref="L1253" si="6571">+L1252/I1252-1</f>
        <v>0.36883923529886276</v>
      </c>
      <c r="M1253" s="595">
        <f t="shared" ref="M1253" si="6572">+M1252/J1252-1</f>
        <v>0.13670960726857229</v>
      </c>
      <c r="N1253" s="595">
        <f t="shared" ref="N1253" si="6573">+N1252/K1252-1</f>
        <v>0.29343907714491713</v>
      </c>
      <c r="O1253" s="595">
        <f t="shared" ref="O1253" si="6574">+O1252/L1252-1</f>
        <v>-7.1599045346062429E-3</v>
      </c>
      <c r="P1253" s="595">
        <f t="shared" ref="P1253" si="6575">+P1252/M1252-1</f>
        <v>0.12803385268892176</v>
      </c>
      <c r="Q1253" s="595">
        <f t="shared" ref="Q1253" si="6576">+Q1252/N1252-1</f>
        <v>-9.8690078037904194E-2</v>
      </c>
      <c r="R1253" s="595">
        <f t="shared" ref="R1253" si="6577">+R1252/O1252-1</f>
        <v>3.8609924026590692E-2</v>
      </c>
      <c r="S1253" s="595">
        <f t="shared" ref="S1253" si="6578">+S1252/P1252-1</f>
        <v>-3.2195009773485106E-2</v>
      </c>
      <c r="T1253" s="595">
        <f t="shared" ref="T1253" si="6579">+T1252/Q1252-1</f>
        <v>4.9661399548532659E-2</v>
      </c>
      <c r="U1253" s="595">
        <f t="shared" ref="U1253" si="6580">+U1252/R1252-1</f>
        <v>5.417607223476284E-2</v>
      </c>
      <c r="V1253" s="595">
        <f t="shared" ref="V1253" si="6581">+V1252/S1252-1</f>
        <v>5.2007841273612909E-2</v>
      </c>
      <c r="W1253" s="595">
        <f t="shared" ref="W1253" si="6582">+W1252/T1252-1</f>
        <v>5.7003977021652608E-2</v>
      </c>
      <c r="X1253" s="595">
        <f t="shared" ref="X1253" si="6583">+X1252/U1252-1</f>
        <v>-0.13943024421977068</v>
      </c>
      <c r="Y1253" s="595">
        <f t="shared" ref="Y1253" si="6584">+Y1252/V1252-1</f>
        <v>-4.5300544905276907E-2</v>
      </c>
      <c r="Z1253" s="595">
        <f t="shared" ref="Z1253" si="6585">+Z1252/W1252-1</f>
        <v>-9.9637681159420177E-2</v>
      </c>
      <c r="AA1253" s="595">
        <f t="shared" ref="AA1253" si="6586">+AA1252/X1252-1</f>
        <v>0.23540898925950415</v>
      </c>
      <c r="AB1253" s="595">
        <f t="shared" ref="AB1253" si="6587">+AB1252/Y1252-1</f>
        <v>5.7652782090523269E-2</v>
      </c>
      <c r="AC1253" s="595">
        <f t="shared" ref="AC1253" si="6588">+AC1252/Z1252-1</f>
        <v>-0.36715678687509679</v>
      </c>
      <c r="AD1253" s="595">
        <f t="shared" ref="AD1253" si="6589">+AD1252/AA1252-1</f>
        <v>-0.53211126124977692</v>
      </c>
      <c r="AE1253" s="595">
        <f t="shared" ref="AE1253:AF1253" si="6590">+AE1252/AB1252-1</f>
        <v>-0.45761100548037126</v>
      </c>
      <c r="AF1253" s="595">
        <f t="shared" si="6590"/>
        <v>-3.1060457836039834E-2</v>
      </c>
      <c r="AG1253" s="1046">
        <f t="shared" ref="AG1253" si="6591">+AG1252/AD1252-1</f>
        <v>2.5993261691845237E-2</v>
      </c>
      <c r="AH1253" s="595">
        <f t="shared" ref="AH1253" si="6592">+AH1252/AE1252-1</f>
        <v>-4.0718543517697103E-3</v>
      </c>
      <c r="AI1253" s="595">
        <f t="shared" ref="AI1253" si="6593">+AI1252/AF1252-1</f>
        <v>2.8028470096865377E-2</v>
      </c>
      <c r="AJ1253" s="595">
        <f t="shared" ref="AJ1253" si="6594">+AJ1252/AG1252-1</f>
        <v>4.8788229000143568E-2</v>
      </c>
      <c r="AK1253" s="595">
        <f t="shared" ref="AK1253" si="6595">+AK1252/AH1252-1</f>
        <v>3.8145085915522348E-2</v>
      </c>
      <c r="AL1253" s="595">
        <f t="shared" ref="AL1253" si="6596">+AL1252/AI1252-1</f>
        <v>0.10723159540799498</v>
      </c>
      <c r="AM1253" s="595">
        <f t="shared" ref="AM1253" si="6597">+AM1252/AJ1252-1</f>
        <v>8.8988904901945443E-2</v>
      </c>
      <c r="AN1253" s="595">
        <f t="shared" ref="AN1253" si="6598">+AN1252/AK1252-1</f>
        <v>9.8250452757252971E-2</v>
      </c>
      <c r="AO1253" s="595">
        <f t="shared" ref="AO1253" si="6599">+AO1252/AL1252-1</f>
        <v>4.6719042229832475E-2</v>
      </c>
      <c r="AP1253" s="595">
        <f t="shared" ref="AP1253" si="6600">+AP1252/AM1252-1</f>
        <v>3.3833749999999885E-2</v>
      </c>
      <c r="AQ1253" s="595">
        <f t="shared" ref="AQ1253" si="6601">+AQ1252/AN1252-1</f>
        <v>4.0428920636587762E-2</v>
      </c>
      <c r="AR1253" s="595">
        <f t="shared" ref="AR1253" si="6602">+AR1252/AO1252-1</f>
        <v>3.3833749999999885E-2</v>
      </c>
      <c r="AS1253" s="595">
        <f t="shared" ref="AS1253" si="6603">+AS1252/AP1252-1</f>
        <v>3.3833749999999885E-2</v>
      </c>
      <c r="AT1253" s="595">
        <f t="shared" ref="AT1253" si="6604">+AT1252/AQ1252-1</f>
        <v>3.3833749999999885E-2</v>
      </c>
      <c r="AU1253" s="595">
        <f t="shared" ref="AU1253" si="6605">+AU1252/AR1252-1</f>
        <v>3.3833749999999885E-2</v>
      </c>
      <c r="AV1253" s="595">
        <f t="shared" ref="AV1253" si="6606">+AV1252/AS1252-1</f>
        <v>3.3833749999999885E-2</v>
      </c>
      <c r="AW1253" s="595">
        <f t="shared" ref="AW1253" si="6607">+AW1252/AT1252-1</f>
        <v>3.3833750000000107E-2</v>
      </c>
      <c r="AX1253" s="595">
        <f t="shared" ref="AX1253" si="6608">+AX1252/AU1252-1</f>
        <v>3.3833749999999885E-2</v>
      </c>
      <c r="AY1253" s="595">
        <f t="shared" ref="AY1253" si="6609">+AY1252/AV1252-1</f>
        <v>3.3833749999999885E-2</v>
      </c>
      <c r="AZ1253" s="595">
        <f t="shared" ref="AZ1253" si="6610">+AZ1252/AW1252-1</f>
        <v>3.3833749999999663E-2</v>
      </c>
      <c r="BA1253" s="595">
        <f t="shared" ref="BA1253" si="6611">+BA1252/AX1252-1</f>
        <v>3.3833749999999885E-2</v>
      </c>
      <c r="BB1253" s="595">
        <f t="shared" ref="BB1253" si="6612">+BB1252/AY1252-1</f>
        <v>3.3833749999999885E-2</v>
      </c>
      <c r="BC1253" s="595">
        <f t="shared" ref="BC1253" si="6613">+BC1252/AZ1252-1</f>
        <v>3.3833750000000107E-2</v>
      </c>
      <c r="BD1253" s="595">
        <f t="shared" ref="BD1253" si="6614">+BD1252/BA1252-1</f>
        <v>3.3833749999999885E-2</v>
      </c>
      <c r="BE1253" s="595">
        <f t="shared" ref="BE1253" si="6615">+BE1252/BB1252-1</f>
        <v>3.3833749999999885E-2</v>
      </c>
      <c r="BF1253" s="595">
        <f t="shared" ref="BF1253" si="6616">+BF1252/BC1252-1</f>
        <v>3.3833749999999663E-2</v>
      </c>
      <c r="BG1253" s="595">
        <f t="shared" ref="BG1253" si="6617">+BG1252/BD1252-1</f>
        <v>3.3833749999999885E-2</v>
      </c>
      <c r="BH1253" s="595">
        <f t="shared" ref="BH1253" si="6618">+BH1252/BE1252-1</f>
        <v>3.3833749999999885E-2</v>
      </c>
      <c r="BI1253" s="595">
        <f t="shared" ref="BI1253" si="6619">+BI1252/BF1252-1</f>
        <v>3.3833750000000107E-2</v>
      </c>
      <c r="BJ1253" s="595">
        <f t="shared" ref="BJ1253" si="6620">+BJ1252/BG1252-1</f>
        <v>3.3833749999999885E-2</v>
      </c>
      <c r="BK1253" s="595">
        <f t="shared" ref="BK1253" si="6621">+BK1252/BH1252-1</f>
        <v>3.3833749999999885E-2</v>
      </c>
      <c r="BL1253" s="595">
        <f t="shared" ref="BL1253" si="6622">+BL1252/BI1252-1</f>
        <v>3.3833749999999885E-2</v>
      </c>
      <c r="BM1253" s="595">
        <f t="shared" ref="BM1253" si="6623">+BM1252/BJ1252-1</f>
        <v>3.3833749999999885E-2</v>
      </c>
      <c r="BN1253" s="595">
        <f t="shared" ref="BN1253" si="6624">+BN1252/BK1252-1</f>
        <v>3.3833749999999885E-2</v>
      </c>
      <c r="BO1253" s="595">
        <f t="shared" ref="BO1253" si="6625">+BO1252/BL1252-1</f>
        <v>3.3833749999999885E-2</v>
      </c>
      <c r="BP1253" s="595">
        <f t="shared" ref="BP1253" si="6626">+BP1252/BM1252-1</f>
        <v>3.3833749999999885E-2</v>
      </c>
      <c r="BQ1253" s="595">
        <f t="shared" ref="BQ1253" si="6627">+BQ1252/BN1252-1</f>
        <v>3.3833749999999885E-2</v>
      </c>
      <c r="BR1253" s="595">
        <f t="shared" ref="BR1253" si="6628">+BR1252/BO1252-1</f>
        <v>3.3833749999999663E-2</v>
      </c>
    </row>
    <row r="1254" spans="3:70" s="8" customFormat="1" outlineLevel="1">
      <c r="C1254" s="596" t="s">
        <v>598</v>
      </c>
      <c r="D1254" s="7" t="s">
        <v>66</v>
      </c>
      <c r="E1254" s="562"/>
      <c r="F1254" s="562"/>
      <c r="G1254" s="562"/>
      <c r="H1254" s="583"/>
      <c r="I1254" s="583"/>
      <c r="J1254" s="583"/>
      <c r="K1254" s="604">
        <f t="shared" ref="K1254:AF1254" si="6629">K1253-(K1259/H1252)</f>
        <v>-5.8607934299385933E-2</v>
      </c>
      <c r="L1254" s="604">
        <f t="shared" si="6629"/>
        <v>0.36883923529886276</v>
      </c>
      <c r="M1254" s="604">
        <f t="shared" si="6629"/>
        <v>0.13670960726857229</v>
      </c>
      <c r="N1254" s="604">
        <f t="shared" si="6629"/>
        <v>0.29343907714491713</v>
      </c>
      <c r="O1254" s="604">
        <f t="shared" si="6629"/>
        <v>-7.1599045346062429E-3</v>
      </c>
      <c r="P1254" s="604">
        <f t="shared" si="6629"/>
        <v>0.12803385268892176</v>
      </c>
      <c r="Q1254" s="604">
        <f t="shared" si="6629"/>
        <v>-9.8690078037904194E-2</v>
      </c>
      <c r="R1254" s="604">
        <f t="shared" si="6629"/>
        <v>3.8609924026590692E-2</v>
      </c>
      <c r="S1254" s="604">
        <f t="shared" si="6629"/>
        <v>-3.2195009773485106E-2</v>
      </c>
      <c r="T1254" s="604">
        <f t="shared" si="6629"/>
        <v>4.9661399548532659E-2</v>
      </c>
      <c r="U1254" s="604">
        <f t="shared" si="6629"/>
        <v>5.417607223476284E-2</v>
      </c>
      <c r="V1254" s="604">
        <f t="shared" si="6629"/>
        <v>5.2007841273612909E-2</v>
      </c>
      <c r="W1254" s="604">
        <f t="shared" si="6629"/>
        <v>5.7003977021652608E-2</v>
      </c>
      <c r="X1254" s="604">
        <f t="shared" si="6629"/>
        <v>-0.13943024421977068</v>
      </c>
      <c r="Y1254" s="604">
        <f t="shared" si="6629"/>
        <v>-4.5300544905276907E-2</v>
      </c>
      <c r="Z1254" s="604">
        <f t="shared" si="6629"/>
        <v>-9.9637681159420177E-2</v>
      </c>
      <c r="AA1254" s="604">
        <f t="shared" si="6629"/>
        <v>0.23540898925950415</v>
      </c>
      <c r="AB1254" s="604">
        <f t="shared" si="6629"/>
        <v>5.7652782090523269E-2</v>
      </c>
      <c r="AC1254" s="604">
        <f t="shared" si="6629"/>
        <v>-0.36715678687509679</v>
      </c>
      <c r="AD1254" s="604">
        <f t="shared" si="6629"/>
        <v>-0.53211126124977692</v>
      </c>
      <c r="AE1254" s="604">
        <f>AE1253-(AE1259/AB1252)</f>
        <v>-0.45761100548037126</v>
      </c>
      <c r="AF1254" s="590">
        <f t="shared" si="6629"/>
        <v>-3.1060457836039834E-2</v>
      </c>
      <c r="AG1254" s="1047">
        <f t="shared" ref="AG1254:AN1254" si="6630">+AG1255+AG1256+AG1257+AG1258</f>
        <v>2.5993261691845307E-2</v>
      </c>
      <c r="AH1254" s="590">
        <f t="shared" si="6630"/>
        <v>-4.0718543517697103E-3</v>
      </c>
      <c r="AI1254" s="590">
        <f t="shared" si="6630"/>
        <v>2.8028470096865467E-2</v>
      </c>
      <c r="AJ1254" s="590">
        <f t="shared" si="6630"/>
        <v>4.8788229000143533E-2</v>
      </c>
      <c r="AK1254" s="590">
        <f t="shared" si="6630"/>
        <v>3.8145085915522348E-2</v>
      </c>
      <c r="AL1254" s="590">
        <f t="shared" si="6630"/>
        <v>0.10723159540799501</v>
      </c>
      <c r="AM1254" s="590">
        <f t="shared" si="6630"/>
        <v>8.898890490194554E-2</v>
      </c>
      <c r="AN1254" s="590">
        <f t="shared" si="6630"/>
        <v>9.8250452757252971E-2</v>
      </c>
      <c r="AO1254" s="590">
        <f t="shared" ref="AO1254:BR1254" si="6631">+AO1255+AO1256+AO1257+AO1258</f>
        <v>4.6719042229832572E-2</v>
      </c>
      <c r="AP1254" s="590">
        <f t="shared" si="6631"/>
        <v>3.3833749999999996E-2</v>
      </c>
      <c r="AQ1254" s="590">
        <f t="shared" si="6631"/>
        <v>4.0428920636587762E-2</v>
      </c>
      <c r="AR1254" s="590">
        <f t="shared" si="6631"/>
        <v>3.3833749999999996E-2</v>
      </c>
      <c r="AS1254" s="590">
        <f t="shared" si="6631"/>
        <v>3.3833749999999996E-2</v>
      </c>
      <c r="AT1254" s="590">
        <f t="shared" si="6631"/>
        <v>3.3833749999999885E-2</v>
      </c>
      <c r="AU1254" s="590">
        <f t="shared" si="6631"/>
        <v>3.3833749999999996E-2</v>
      </c>
      <c r="AV1254" s="590">
        <f t="shared" si="6631"/>
        <v>3.3833749999999996E-2</v>
      </c>
      <c r="AW1254" s="590">
        <f t="shared" si="6631"/>
        <v>3.3833750000000107E-2</v>
      </c>
      <c r="AX1254" s="590">
        <f t="shared" si="6631"/>
        <v>3.3833749999999996E-2</v>
      </c>
      <c r="AY1254" s="590">
        <f t="shared" si="6631"/>
        <v>3.3833749999999996E-2</v>
      </c>
      <c r="AZ1254" s="590">
        <f t="shared" si="6631"/>
        <v>3.3833749999999663E-2</v>
      </c>
      <c r="BA1254" s="590">
        <f t="shared" si="6631"/>
        <v>3.3833749999999996E-2</v>
      </c>
      <c r="BB1254" s="590">
        <f t="shared" si="6631"/>
        <v>3.3833749999999996E-2</v>
      </c>
      <c r="BC1254" s="590">
        <f t="shared" si="6631"/>
        <v>3.3833750000000107E-2</v>
      </c>
      <c r="BD1254" s="590">
        <f t="shared" si="6631"/>
        <v>3.3833749999999996E-2</v>
      </c>
      <c r="BE1254" s="590">
        <f t="shared" si="6631"/>
        <v>3.3833749999999996E-2</v>
      </c>
      <c r="BF1254" s="590">
        <f t="shared" si="6631"/>
        <v>3.3833749999999663E-2</v>
      </c>
      <c r="BG1254" s="590">
        <f t="shared" si="6631"/>
        <v>3.3833749999999996E-2</v>
      </c>
      <c r="BH1254" s="590">
        <f t="shared" si="6631"/>
        <v>3.3833749999999996E-2</v>
      </c>
      <c r="BI1254" s="590">
        <f t="shared" si="6631"/>
        <v>3.3833750000000107E-2</v>
      </c>
      <c r="BJ1254" s="590">
        <f t="shared" si="6631"/>
        <v>3.3833749999999996E-2</v>
      </c>
      <c r="BK1254" s="590">
        <f t="shared" si="6631"/>
        <v>3.3833749999999996E-2</v>
      </c>
      <c r="BL1254" s="590">
        <f t="shared" si="6631"/>
        <v>3.3833749999999885E-2</v>
      </c>
      <c r="BM1254" s="590">
        <f t="shared" si="6631"/>
        <v>3.3833749999999996E-2</v>
      </c>
      <c r="BN1254" s="590">
        <f t="shared" si="6631"/>
        <v>3.3833749999999996E-2</v>
      </c>
      <c r="BO1254" s="590">
        <f t="shared" si="6631"/>
        <v>3.3833749999999885E-2</v>
      </c>
      <c r="BP1254" s="590">
        <f t="shared" si="6631"/>
        <v>3.3833749999999996E-2</v>
      </c>
      <c r="BQ1254" s="590">
        <f t="shared" si="6631"/>
        <v>3.3833749999999996E-2</v>
      </c>
      <c r="BR1254" s="590">
        <f t="shared" si="6631"/>
        <v>3.3833749999999663E-2</v>
      </c>
    </row>
    <row r="1255" spans="3:70" outlineLevel="1">
      <c r="C1255" s="594" t="s">
        <v>534</v>
      </c>
      <c r="D1255" s="31" t="s">
        <v>66</v>
      </c>
      <c r="E1255" s="564"/>
      <c r="F1255" s="564"/>
      <c r="G1255" s="564"/>
      <c r="H1255" s="592"/>
      <c r="I1255" s="576"/>
      <c r="J1255" s="592"/>
      <c r="K1255" s="592"/>
      <c r="L1255" s="592"/>
      <c r="M1255" s="592"/>
      <c r="N1255" s="592"/>
      <c r="O1255" s="592"/>
      <c r="P1255" s="592"/>
      <c r="Q1255" s="592"/>
      <c r="R1255" s="592"/>
      <c r="S1255" s="592"/>
      <c r="T1255" s="592"/>
      <c r="U1255" s="592"/>
      <c r="V1255" s="592"/>
      <c r="W1255" s="592"/>
      <c r="X1255" s="592"/>
      <c r="Y1255" s="592"/>
      <c r="Z1255" s="592"/>
      <c r="AA1255" s="592"/>
      <c r="AB1255" s="592"/>
      <c r="AC1255" s="592"/>
      <c r="AD1255" s="592"/>
      <c r="AE1255" s="592"/>
      <c r="AF1255" s="921">
        <f>+AF356</f>
        <v>-1.5562499999999951E-3</v>
      </c>
      <c r="AG1255" s="1047">
        <f>+AG356</f>
        <v>1.4427499999999999E-2</v>
      </c>
      <c r="AH1255" s="590">
        <f>(AF$1252/AH$1252*AF1255)+(AG$1252/AH$1252*AG1255)</f>
        <v>6.2329280364522236E-3</v>
      </c>
      <c r="AI1255" s="590">
        <f>+AI356</f>
        <v>4.3270000000000003E-2</v>
      </c>
      <c r="AJ1255" s="590">
        <f>+AJ356</f>
        <v>4.0983749999999999E-2</v>
      </c>
      <c r="AK1255" s="590">
        <f>(AI$1252/AK$1252*AI1255)+(AJ$1252/AK$1252*AJ1255)</f>
        <v>4.2144445774407575E-2</v>
      </c>
      <c r="AL1255" s="590">
        <f>+AL356</f>
        <v>4.3833749999999998E-2</v>
      </c>
      <c r="AM1255" s="590">
        <f>+AM356</f>
        <v>4.3833749999999998E-2</v>
      </c>
      <c r="AN1255" s="590">
        <f>(AL$1252/AN$1252*AL1255)+(AM$1252/AN$1252*AM1255)</f>
        <v>4.3833750000000005E-2</v>
      </c>
      <c r="AO1255" s="590">
        <f>+AO356</f>
        <v>3.3833749999999996E-2</v>
      </c>
      <c r="AP1255" s="590">
        <f>+AP356</f>
        <v>3.3833749999999996E-2</v>
      </c>
      <c r="AQ1255" s="590">
        <f>(AO$1252/AQ$1252*AO1255)+(AP$1252/AQ$1252*AP1255)</f>
        <v>3.3833749999999996E-2</v>
      </c>
      <c r="AR1255" s="590">
        <f>+AR356</f>
        <v>3.3833749999999996E-2</v>
      </c>
      <c r="AS1255" s="590">
        <f>+AS356</f>
        <v>3.3833749999999996E-2</v>
      </c>
      <c r="AT1255" s="590">
        <f>(AR$1252/AT$1252*AR1255)+(AS$1252/AT$1252*AS1255)</f>
        <v>3.3833749999999996E-2</v>
      </c>
      <c r="AU1255" s="590">
        <f>+AU356</f>
        <v>3.3833749999999996E-2</v>
      </c>
      <c r="AV1255" s="590">
        <f>+AV356</f>
        <v>3.3833749999999996E-2</v>
      </c>
      <c r="AW1255" s="590">
        <f>(AU$1252/AW$1252*AU1255)+(AV$1252/AW$1252*AV1255)</f>
        <v>3.3833749999999996E-2</v>
      </c>
      <c r="AX1255" s="590">
        <f>+AX356</f>
        <v>3.3833749999999996E-2</v>
      </c>
      <c r="AY1255" s="590">
        <f>+AY356</f>
        <v>3.3833749999999996E-2</v>
      </c>
      <c r="AZ1255" s="590">
        <f>(AX$1252/AZ$1252*AX1255)+(AY$1252/AZ$1252*AY1255)</f>
        <v>3.3833749999999996E-2</v>
      </c>
      <c r="BA1255" s="590">
        <f>+BA356</f>
        <v>3.3833749999999996E-2</v>
      </c>
      <c r="BB1255" s="590">
        <f>+BB356</f>
        <v>3.3833749999999996E-2</v>
      </c>
      <c r="BC1255" s="590">
        <f>(BA$1252/BC$1252*BA1255)+(BB$1252/BC$1252*BB1255)</f>
        <v>3.3833749999999996E-2</v>
      </c>
      <c r="BD1255" s="590">
        <f>+BD356</f>
        <v>3.3833749999999996E-2</v>
      </c>
      <c r="BE1255" s="590">
        <f>+BE356</f>
        <v>3.3833749999999996E-2</v>
      </c>
      <c r="BF1255" s="590">
        <f>(BD$1252/BF$1252*BD1255)+(BE$1252/BF$1252*BE1255)</f>
        <v>3.3833749999999996E-2</v>
      </c>
      <c r="BG1255" s="590">
        <f>+BG356</f>
        <v>3.3833749999999996E-2</v>
      </c>
      <c r="BH1255" s="590">
        <f>+BH356</f>
        <v>3.3833749999999996E-2</v>
      </c>
      <c r="BI1255" s="590">
        <f>(BG$1252/BI$1252*BG1255)+(BH$1252/BI$1252*BH1255)</f>
        <v>3.3833749999999996E-2</v>
      </c>
      <c r="BJ1255" s="590">
        <f>+BJ356</f>
        <v>3.3833749999999996E-2</v>
      </c>
      <c r="BK1255" s="590">
        <f>+BK356</f>
        <v>3.3833749999999996E-2</v>
      </c>
      <c r="BL1255" s="590">
        <f>(BJ$1252/BL$1252*BJ1255)+(BK$1252/BL$1252*BK1255)</f>
        <v>3.3833749999999996E-2</v>
      </c>
      <c r="BM1255" s="590">
        <f>+BM356</f>
        <v>3.3833749999999996E-2</v>
      </c>
      <c r="BN1255" s="590">
        <f>+BN356</f>
        <v>3.3833749999999996E-2</v>
      </c>
      <c r="BO1255" s="590">
        <f>(BM$1252/BO$1252*BM1255)+(BN$1252/BO$1252*BN1255)</f>
        <v>3.3833749999999996E-2</v>
      </c>
      <c r="BP1255" s="590">
        <f>+BP356</f>
        <v>3.3833749999999996E-2</v>
      </c>
      <c r="BQ1255" s="590">
        <f>+BQ356</f>
        <v>3.3833749999999996E-2</v>
      </c>
      <c r="BR1255" s="590">
        <f>(BP$1252/BR$1252*BP1255)+(BQ$1252/BR$1252*BQ1255)</f>
        <v>3.3833749999999996E-2</v>
      </c>
    </row>
    <row r="1256" spans="3:70" outlineLevel="1">
      <c r="C1256" s="594" t="s">
        <v>92</v>
      </c>
      <c r="D1256" s="31" t="s">
        <v>66</v>
      </c>
      <c r="E1256" s="564"/>
      <c r="F1256" s="564"/>
      <c r="G1256" s="564"/>
      <c r="H1256" s="592"/>
      <c r="I1256" s="576"/>
      <c r="J1256" s="592"/>
      <c r="K1256" s="592"/>
      <c r="L1256" s="592"/>
      <c r="M1256" s="592"/>
      <c r="N1256" s="592"/>
      <c r="O1256" s="592"/>
      <c r="P1256" s="592"/>
      <c r="Q1256" s="592"/>
      <c r="R1256" s="592"/>
      <c r="S1256" s="592"/>
      <c r="T1256" s="592"/>
      <c r="U1256" s="592"/>
      <c r="V1256" s="592"/>
      <c r="W1256" s="592"/>
      <c r="X1256" s="592"/>
      <c r="Y1256" s="592"/>
      <c r="Z1256" s="592"/>
      <c r="AA1256" s="592"/>
      <c r="AB1256" s="592"/>
      <c r="AC1256" s="592"/>
      <c r="AD1256" s="592"/>
      <c r="AE1256" s="592"/>
      <c r="AF1256" s="921">
        <f>AF366</f>
        <v>3.9774539116565977E-2</v>
      </c>
      <c r="AG1256" s="1047">
        <f>AG366</f>
        <v>4.4042001309690826E-2</v>
      </c>
      <c r="AH1256" s="590">
        <f>(AF$1252/AH$1252*AF1256)+(AG$1252/AH$1252*AG1256)</f>
        <v>4.1854152648188925E-2</v>
      </c>
      <c r="AI1256" s="590">
        <f>AI366</f>
        <v>2.7229945632338881E-2</v>
      </c>
      <c r="AJ1256" s="590">
        <f>AJ366</f>
        <v>4.0322580645161255E-3</v>
      </c>
      <c r="AK1256" s="590">
        <f>(AI$1252/AK$1252*AI1256)+(AJ$1252/AK$1252*AJ1256)</f>
        <v>1.5809385647238515E-2</v>
      </c>
      <c r="AL1256" s="590">
        <f>AL366</f>
        <v>0</v>
      </c>
      <c r="AM1256" s="590">
        <f>AM366</f>
        <v>7.9365079365079638E-3</v>
      </c>
      <c r="AN1256" s="590">
        <f>(AL$1252/AN$1252*AL1256)+(AM$1252/AN$1252*AM1256)</f>
        <v>3.8743087122857238E-3</v>
      </c>
      <c r="AO1256" s="590">
        <f>AO366</f>
        <v>7.9365079365079638E-3</v>
      </c>
      <c r="AP1256" s="590">
        <f>AP366</f>
        <v>0</v>
      </c>
      <c r="AQ1256" s="590">
        <f>(AO$1252/AQ$1252*AO1256)+(AP$1252/AQ$1252*AP1256)</f>
        <v>4.0867580638983894E-3</v>
      </c>
      <c r="AR1256" s="590">
        <f>AR366</f>
        <v>0</v>
      </c>
      <c r="AS1256" s="590">
        <f>AS366</f>
        <v>0</v>
      </c>
      <c r="AT1256" s="590">
        <f>(AR$1252/AT$1252*AR1256)+(AS$1252/AT$1252*AS1256)</f>
        <v>0</v>
      </c>
      <c r="AU1256" s="590">
        <f>AU366</f>
        <v>0</v>
      </c>
      <c r="AV1256" s="590">
        <f>AV366</f>
        <v>0</v>
      </c>
      <c r="AW1256" s="590">
        <f>(AU$1252/AW$1252*AU1256)+(AV$1252/AW$1252*AV1256)</f>
        <v>0</v>
      </c>
      <c r="AX1256" s="590">
        <f>AX366</f>
        <v>0</v>
      </c>
      <c r="AY1256" s="590">
        <f>AY366</f>
        <v>0</v>
      </c>
      <c r="AZ1256" s="590">
        <f>(AX$1252/AZ$1252*AX1256)+(AY$1252/AZ$1252*AY1256)</f>
        <v>0</v>
      </c>
      <c r="BA1256" s="590">
        <f>BA366</f>
        <v>0</v>
      </c>
      <c r="BB1256" s="590">
        <f>BB366</f>
        <v>0</v>
      </c>
      <c r="BC1256" s="590">
        <f>(BA$1252/BC$1252*BA1256)+(BB$1252/BC$1252*BB1256)</f>
        <v>0</v>
      </c>
      <c r="BD1256" s="590">
        <f>BD366</f>
        <v>0</v>
      </c>
      <c r="BE1256" s="590">
        <f>BE366</f>
        <v>0</v>
      </c>
      <c r="BF1256" s="590">
        <f>(BD$1252/BF$1252*BD1256)+(BE$1252/BF$1252*BE1256)</f>
        <v>0</v>
      </c>
      <c r="BG1256" s="590">
        <f>BG366</f>
        <v>0</v>
      </c>
      <c r="BH1256" s="590">
        <f>BH366</f>
        <v>0</v>
      </c>
      <c r="BI1256" s="590">
        <f>(BG$1252/BI$1252*BG1256)+(BH$1252/BI$1252*BH1256)</f>
        <v>0</v>
      </c>
      <c r="BJ1256" s="590">
        <f>BJ366</f>
        <v>0</v>
      </c>
      <c r="BK1256" s="590">
        <f>BK366</f>
        <v>0</v>
      </c>
      <c r="BL1256" s="590">
        <f>(BJ$1252/BL$1252*BJ1256)+(BK$1252/BL$1252*BK1256)</f>
        <v>0</v>
      </c>
      <c r="BM1256" s="590">
        <f>BM366</f>
        <v>0</v>
      </c>
      <c r="BN1256" s="590">
        <f>BN366</f>
        <v>0</v>
      </c>
      <c r="BO1256" s="590">
        <f>(BM$1252/BO$1252*BM1256)+(BN$1252/BO$1252*BN1256)</f>
        <v>0</v>
      </c>
      <c r="BP1256" s="590">
        <f>BP366</f>
        <v>0</v>
      </c>
      <c r="BQ1256" s="590">
        <f>BQ366</f>
        <v>0</v>
      </c>
      <c r="BR1256" s="590">
        <f>(BP$1252/BR$1252*BP1256)+(BQ$1252/BR$1252*BQ1256)</f>
        <v>0</v>
      </c>
    </row>
    <row r="1257" spans="3:70" outlineLevel="1">
      <c r="C1257" s="594" t="s">
        <v>280</v>
      </c>
      <c r="D1257" s="31" t="s">
        <v>66</v>
      </c>
      <c r="E1257" s="564"/>
      <c r="F1257" s="564"/>
      <c r="G1257" s="564"/>
      <c r="H1257" s="592"/>
      <c r="I1257" s="576"/>
      <c r="J1257" s="592"/>
      <c r="K1257" s="592"/>
      <c r="L1257" s="592"/>
      <c r="M1257" s="592"/>
      <c r="N1257" s="592"/>
      <c r="O1257" s="592"/>
      <c r="P1257" s="592"/>
      <c r="Q1257" s="592"/>
      <c r="R1257" s="592"/>
      <c r="S1257" s="592"/>
      <c r="T1257" s="592"/>
      <c r="U1257" s="592"/>
      <c r="V1257" s="592"/>
      <c r="W1257" s="592"/>
      <c r="X1257" s="592"/>
      <c r="Y1257" s="592"/>
      <c r="Z1257" s="592"/>
      <c r="AA1257" s="592"/>
      <c r="AB1257" s="592"/>
      <c r="AC1257" s="592"/>
      <c r="AD1257" s="592"/>
      <c r="AE1257" s="592"/>
      <c r="AF1257" s="921">
        <f>+AF372</f>
        <v>-9.8665504121241213E-3</v>
      </c>
      <c r="AG1257" s="1047">
        <f>+AG372</f>
        <v>-3.2476239617845515E-2</v>
      </c>
      <c r="AH1257" s="590">
        <f>(AF$1252/AH$1252*AF1257)+(AG$1252/AH$1252*AG1257)</f>
        <v>-2.0884671602221308E-2</v>
      </c>
      <c r="AI1257" s="590">
        <f>+AI372</f>
        <v>-4.2471475535473417E-2</v>
      </c>
      <c r="AJ1257" s="590">
        <f>+AJ372</f>
        <v>3.7722209356274104E-3</v>
      </c>
      <c r="AK1257" s="590">
        <f t="shared" ref="AK1257" si="6632">(AI$1252/AK$1252*AI1257)+(AJ$1252/AK$1252*AJ1257)</f>
        <v>-1.9705029184435282E-2</v>
      </c>
      <c r="AL1257" s="590">
        <f>+AL372</f>
        <v>6.3397845407995007E-2</v>
      </c>
      <c r="AM1257" s="590">
        <f>+AM372</f>
        <v>3.7218646965437578E-2</v>
      </c>
      <c r="AN1257" s="590">
        <f t="shared" ref="AN1257" si="6633">(AL$1252/AN$1252*AL1257)+(AM$1252/AN$1252*AM1257)</f>
        <v>5.0618132035556263E-2</v>
      </c>
      <c r="AO1257" s="590">
        <f>+AO372</f>
        <v>4.9487842933246158E-3</v>
      </c>
      <c r="AP1257" s="590">
        <f>+AP372</f>
        <v>0</v>
      </c>
      <c r="AQ1257" s="590">
        <f t="shared" ref="AQ1257" si="6634">(AO$1252/AQ$1252*AO1257)+(AP$1252/AQ$1252*AP1257)</f>
        <v>2.5482849987719875E-3</v>
      </c>
      <c r="AR1257" s="590">
        <f>+AR372</f>
        <v>0</v>
      </c>
      <c r="AS1257" s="590">
        <f>+AS372</f>
        <v>0</v>
      </c>
      <c r="AT1257" s="590">
        <f t="shared" ref="AT1257" si="6635">(AR$1252/AT$1252*AR1257)+(AS$1252/AT$1252*AS1257)</f>
        <v>0</v>
      </c>
      <c r="AU1257" s="590">
        <f>+AU372</f>
        <v>0</v>
      </c>
      <c r="AV1257" s="590">
        <f>+AV372</f>
        <v>0</v>
      </c>
      <c r="AW1257" s="590">
        <f t="shared" ref="AW1257" si="6636">(AU$1252/AW$1252*AU1257)+(AV$1252/AW$1252*AV1257)</f>
        <v>0</v>
      </c>
      <c r="AX1257" s="590">
        <f>+AX372</f>
        <v>0</v>
      </c>
      <c r="AY1257" s="590">
        <f>+AY372</f>
        <v>0</v>
      </c>
      <c r="AZ1257" s="590">
        <f t="shared" ref="AZ1257" si="6637">(AX$1252/AZ$1252*AX1257)+(AY$1252/AZ$1252*AY1257)</f>
        <v>0</v>
      </c>
      <c r="BA1257" s="590">
        <f>+BA372</f>
        <v>0</v>
      </c>
      <c r="BB1257" s="590">
        <f>+BB372</f>
        <v>0</v>
      </c>
      <c r="BC1257" s="590">
        <f t="shared" ref="BC1257" si="6638">(BA$1252/BC$1252*BA1257)+(BB$1252/BC$1252*BB1257)</f>
        <v>0</v>
      </c>
      <c r="BD1257" s="590">
        <f>+BD372</f>
        <v>0</v>
      </c>
      <c r="BE1257" s="590">
        <f>+BE372</f>
        <v>0</v>
      </c>
      <c r="BF1257" s="590">
        <f t="shared" ref="BF1257" si="6639">(BD$1252/BF$1252*BD1257)+(BE$1252/BF$1252*BE1257)</f>
        <v>0</v>
      </c>
      <c r="BG1257" s="590">
        <f>+BG372</f>
        <v>0</v>
      </c>
      <c r="BH1257" s="590">
        <f>+BH372</f>
        <v>0</v>
      </c>
      <c r="BI1257" s="590">
        <f t="shared" ref="BI1257" si="6640">(BG$1252/BI$1252*BG1257)+(BH$1252/BI$1252*BH1257)</f>
        <v>0</v>
      </c>
      <c r="BJ1257" s="590">
        <f>+BJ372</f>
        <v>0</v>
      </c>
      <c r="BK1257" s="590">
        <f>+BK372</f>
        <v>0</v>
      </c>
      <c r="BL1257" s="590">
        <f t="shared" ref="BL1257" si="6641">(BJ$1252/BL$1252*BJ1257)+(BK$1252/BL$1252*BK1257)</f>
        <v>0</v>
      </c>
      <c r="BM1257" s="590">
        <f>+BM372</f>
        <v>0</v>
      </c>
      <c r="BN1257" s="590">
        <f>+BN372</f>
        <v>0</v>
      </c>
      <c r="BO1257" s="590">
        <f t="shared" ref="BO1257" si="6642">(BM$1252/BO$1252*BM1257)+(BN$1252/BO$1252*BN1257)</f>
        <v>0</v>
      </c>
      <c r="BP1257" s="590">
        <f>+BP372</f>
        <v>0</v>
      </c>
      <c r="BQ1257" s="590">
        <f>+BQ372</f>
        <v>0</v>
      </c>
      <c r="BR1257" s="590">
        <f t="shared" ref="BR1257" si="6643">(BP$1252/BR$1252*BP1257)+(BQ$1252/BR$1252*BQ1257)</f>
        <v>0</v>
      </c>
    </row>
    <row r="1258" spans="3:70" outlineLevel="1">
      <c r="C1258" s="594" t="s">
        <v>614</v>
      </c>
      <c r="D1258" s="31" t="s">
        <v>66</v>
      </c>
      <c r="E1258" s="564"/>
      <c r="F1258" s="564"/>
      <c r="G1258" s="564"/>
      <c r="H1258" s="592"/>
      <c r="I1258" s="576"/>
      <c r="J1258" s="592"/>
      <c r="K1258" s="592"/>
      <c r="L1258" s="592"/>
      <c r="M1258" s="592"/>
      <c r="N1258" s="592"/>
      <c r="O1258" s="592"/>
      <c r="P1258" s="592"/>
      <c r="Q1258" s="592"/>
      <c r="R1258" s="592"/>
      <c r="S1258" s="592"/>
      <c r="T1258" s="592"/>
      <c r="U1258" s="592"/>
      <c r="V1258" s="592"/>
      <c r="W1258" s="592"/>
      <c r="X1258" s="592"/>
      <c r="Y1258" s="592"/>
      <c r="Z1258" s="592"/>
      <c r="AA1258" s="592"/>
      <c r="AB1258" s="592"/>
      <c r="AC1258" s="592"/>
      <c r="AD1258" s="592"/>
      <c r="AE1258" s="592"/>
      <c r="AF1258" s="912">
        <v>0</v>
      </c>
      <c r="AG1258" s="975">
        <v>0</v>
      </c>
      <c r="AH1258" s="162">
        <f>((AH1252-AH1259)/AE1252-1)-AH1257-AH1256-AH1255</f>
        <v>-3.1274263434189549E-2</v>
      </c>
      <c r="AI1258" s="591">
        <v>0</v>
      </c>
      <c r="AJ1258" s="591">
        <v>0</v>
      </c>
      <c r="AK1258" s="162">
        <f>((AK1252-AK1259)/AH1252-1)-AK1257-AK1256-AK1255</f>
        <v>-1.0371632168845735E-4</v>
      </c>
      <c r="AL1258" s="591">
        <v>0</v>
      </c>
      <c r="AM1258" s="591">
        <v>0</v>
      </c>
      <c r="AN1258" s="162">
        <f>((AN1252-AN1259)/AK1252-1)-AN1257-AN1256-AN1255</f>
        <v>-7.5737990589019866E-5</v>
      </c>
      <c r="AO1258" s="591">
        <v>0</v>
      </c>
      <c r="AP1258" s="591">
        <v>0</v>
      </c>
      <c r="AQ1258" s="162">
        <f>((AQ1252-AQ1259)/AN1252-1)-AQ1257-AQ1256-AQ1255</f>
        <v>-3.9872426082609991E-5</v>
      </c>
      <c r="AR1258" s="591">
        <v>0</v>
      </c>
      <c r="AS1258" s="591">
        <v>0</v>
      </c>
      <c r="AT1258" s="162">
        <f>((AT1252-AT1259)/AQ1252-1)-AT1257-AT1256-AT1255</f>
        <v>-1.1102230246251565E-16</v>
      </c>
      <c r="AU1258" s="591">
        <v>0</v>
      </c>
      <c r="AV1258" s="591">
        <v>0</v>
      </c>
      <c r="AW1258" s="162">
        <f>((AW1252-AW1259)/AT1252-1)-AW1257-AW1256-AW1255</f>
        <v>1.1102230246251565E-16</v>
      </c>
      <c r="AX1258" s="591">
        <v>0</v>
      </c>
      <c r="AY1258" s="591">
        <v>0</v>
      </c>
      <c r="AZ1258" s="162">
        <f>((AZ1252-AZ1259)/AW1252-1)-AZ1257-AZ1256-AZ1255</f>
        <v>-3.3306690738754696E-16</v>
      </c>
      <c r="BA1258" s="591">
        <v>0</v>
      </c>
      <c r="BB1258" s="591">
        <v>0</v>
      </c>
      <c r="BC1258" s="162">
        <f>((BC1252-BC1259)/AZ1252-1)-BC1257-BC1256-BC1255</f>
        <v>1.1102230246251565E-16</v>
      </c>
      <c r="BD1258" s="591">
        <v>0</v>
      </c>
      <c r="BE1258" s="591">
        <v>0</v>
      </c>
      <c r="BF1258" s="162">
        <f>((BF1252-BF1259)/BC1252-1)-BF1257-BF1256-BF1255</f>
        <v>-3.3306690738754696E-16</v>
      </c>
      <c r="BG1258" s="591">
        <v>0</v>
      </c>
      <c r="BH1258" s="591">
        <v>0</v>
      </c>
      <c r="BI1258" s="162">
        <f>((BI1252-BI1259)/BF1252-1)-BI1257-BI1256-BI1255</f>
        <v>1.1102230246251565E-16</v>
      </c>
      <c r="BJ1258" s="591">
        <v>0</v>
      </c>
      <c r="BK1258" s="591">
        <v>0</v>
      </c>
      <c r="BL1258" s="162">
        <f>((BL1252-BL1259)/BI1252-1)-BL1257-BL1256-BL1255</f>
        <v>-1.1102230246251565E-16</v>
      </c>
      <c r="BM1258" s="591">
        <v>0</v>
      </c>
      <c r="BN1258" s="591">
        <v>0</v>
      </c>
      <c r="BO1258" s="162">
        <f>((BO1252-BO1259)/BL1252-1)-BO1257-BO1256-BO1255</f>
        <v>-1.1102230246251565E-16</v>
      </c>
      <c r="BP1258" s="591">
        <v>0</v>
      </c>
      <c r="BQ1258" s="591">
        <v>0</v>
      </c>
      <c r="BR1258" s="162">
        <f>((BR1252-BR1259)/BO1252-1)-BR1257-BR1256-BR1255</f>
        <v>-3.3306690738754696E-16</v>
      </c>
    </row>
    <row r="1259" spans="3:70" outlineLevel="1">
      <c r="C1259" s="384" t="s">
        <v>585</v>
      </c>
      <c r="D1259" s="31" t="s">
        <v>58</v>
      </c>
      <c r="E1259" s="564"/>
      <c r="F1259" s="564"/>
      <c r="G1259" s="564"/>
      <c r="H1259" s="592"/>
      <c r="I1259" s="576"/>
      <c r="J1259" s="592"/>
      <c r="K1259" s="535">
        <f>+K1340</f>
        <v>0</v>
      </c>
      <c r="L1259" s="535">
        <f>+L1340</f>
        <v>0</v>
      </c>
      <c r="M1259" s="167">
        <f>+L1259+K1259</f>
        <v>0</v>
      </c>
      <c r="N1259" s="167">
        <f>+N1340</f>
        <v>0</v>
      </c>
      <c r="O1259" s="167">
        <f>+O1340</f>
        <v>0</v>
      </c>
      <c r="P1259" s="167">
        <f>+O1259+N1259</f>
        <v>0</v>
      </c>
      <c r="Q1259" s="167">
        <f>+Q1340</f>
        <v>0</v>
      </c>
      <c r="R1259" s="167">
        <f>+R1340</f>
        <v>0</v>
      </c>
      <c r="S1259" s="167">
        <f>+R1259+Q1259</f>
        <v>0</v>
      </c>
      <c r="T1259" s="167">
        <f>+T1340</f>
        <v>0</v>
      </c>
      <c r="U1259" s="167">
        <f>+U1340</f>
        <v>0</v>
      </c>
      <c r="V1259" s="167">
        <f>+U1259+T1259</f>
        <v>0</v>
      </c>
      <c r="W1259" s="167">
        <f>+W1340</f>
        <v>0</v>
      </c>
      <c r="X1259" s="167">
        <f>+X1340</f>
        <v>0</v>
      </c>
      <c r="Y1259" s="167">
        <f>+X1259+W1259</f>
        <v>0</v>
      </c>
      <c r="Z1259" s="167">
        <f>+Z1340</f>
        <v>0</v>
      </c>
      <c r="AA1259" s="167">
        <f>+AA1340</f>
        <v>0</v>
      </c>
      <c r="AB1259" s="167">
        <f>+AA1259+Z1259</f>
        <v>0</v>
      </c>
      <c r="AC1259" s="167">
        <f>+AC1340</f>
        <v>0</v>
      </c>
      <c r="AD1259" s="167">
        <f>+AD1340</f>
        <v>0</v>
      </c>
      <c r="AE1259" s="167">
        <f>+AD1259+AC1259</f>
        <v>0</v>
      </c>
      <c r="AF1259" s="603">
        <f>+AF1340</f>
        <v>0</v>
      </c>
      <c r="AG1259" s="1050">
        <f>+AG1340</f>
        <v>0</v>
      </c>
      <c r="AH1259" s="598">
        <f>+AG1259+AF1259</f>
        <v>0</v>
      </c>
      <c r="AI1259" s="603">
        <f>+AI1340</f>
        <v>0</v>
      </c>
      <c r="AJ1259" s="603">
        <f>+AJ1340</f>
        <v>0</v>
      </c>
      <c r="AK1259" s="598">
        <f>+AJ1259+AI1259</f>
        <v>0</v>
      </c>
      <c r="AL1259" s="603">
        <f>+AL1340</f>
        <v>0</v>
      </c>
      <c r="AM1259" s="603">
        <f>+AM1340</f>
        <v>0</v>
      </c>
      <c r="AN1259" s="598">
        <f>+AM1259+AL1259</f>
        <v>0</v>
      </c>
      <c r="AO1259" s="603">
        <f>+AO1340</f>
        <v>0</v>
      </c>
      <c r="AP1259" s="603">
        <f>+AP1340</f>
        <v>0</v>
      </c>
      <c r="AQ1259" s="598">
        <f>+AP1259+AO1259</f>
        <v>0</v>
      </c>
      <c r="AR1259" s="603">
        <f>+AR1340</f>
        <v>0</v>
      </c>
      <c r="AS1259" s="603">
        <f>+AS1340</f>
        <v>0</v>
      </c>
      <c r="AT1259" s="598">
        <f>+AS1259+AR1259</f>
        <v>0</v>
      </c>
      <c r="AU1259" s="603">
        <f>+AU1340</f>
        <v>0</v>
      </c>
      <c r="AV1259" s="603">
        <f>+AV1340</f>
        <v>0</v>
      </c>
      <c r="AW1259" s="598">
        <f>+AV1259+AU1259</f>
        <v>0</v>
      </c>
      <c r="AX1259" s="603">
        <f>+AX1340</f>
        <v>0</v>
      </c>
      <c r="AY1259" s="603">
        <f>+AY1340</f>
        <v>0</v>
      </c>
      <c r="AZ1259" s="598">
        <f>+AY1259+AX1259</f>
        <v>0</v>
      </c>
      <c r="BA1259" s="603">
        <f>+BA1340</f>
        <v>0</v>
      </c>
      <c r="BB1259" s="603">
        <f>+BB1340</f>
        <v>0</v>
      </c>
      <c r="BC1259" s="598">
        <f>+BB1259+BA1259</f>
        <v>0</v>
      </c>
      <c r="BD1259" s="603">
        <f>+BD1340</f>
        <v>0</v>
      </c>
      <c r="BE1259" s="603">
        <f>+BE1340</f>
        <v>0</v>
      </c>
      <c r="BF1259" s="598">
        <f>+BE1259+BD1259</f>
        <v>0</v>
      </c>
      <c r="BG1259" s="603">
        <f>+BG1340</f>
        <v>0</v>
      </c>
      <c r="BH1259" s="603">
        <f>+BH1340</f>
        <v>0</v>
      </c>
      <c r="BI1259" s="598">
        <f>+BH1259+BG1259</f>
        <v>0</v>
      </c>
      <c r="BJ1259" s="603">
        <f>+BJ1340</f>
        <v>0</v>
      </c>
      <c r="BK1259" s="603">
        <f>+BK1340</f>
        <v>0</v>
      </c>
      <c r="BL1259" s="598">
        <f>+BK1259+BJ1259</f>
        <v>0</v>
      </c>
      <c r="BM1259" s="603">
        <f>+BM1340</f>
        <v>0</v>
      </c>
      <c r="BN1259" s="603">
        <f>+BN1340</f>
        <v>0</v>
      </c>
      <c r="BO1259" s="598">
        <f>+BN1259+BM1259</f>
        <v>0</v>
      </c>
      <c r="BP1259" s="603">
        <f>+BP1340</f>
        <v>0</v>
      </c>
      <c r="BQ1259" s="603">
        <f>+BQ1340</f>
        <v>0</v>
      </c>
      <c r="BR1259" s="598">
        <f>+BQ1259+BP1259</f>
        <v>0</v>
      </c>
    </row>
    <row r="1260" spans="3:70" outlineLevel="1">
      <c r="C1260" s="95" t="s">
        <v>61</v>
      </c>
      <c r="D1260" s="96" t="s">
        <v>58</v>
      </c>
      <c r="E1260" s="562"/>
      <c r="F1260" s="562"/>
      <c r="G1260" s="562"/>
      <c r="H1260" s="468">
        <f>H1249*H$1277</f>
        <v>48.49</v>
      </c>
      <c r="I1260" s="468">
        <f>I1249*I$1277</f>
        <v>48.300000000000004</v>
      </c>
      <c r="J1260" s="468">
        <f t="shared" si="6564"/>
        <v>96.79</v>
      </c>
      <c r="K1260" s="468">
        <f>K1249*K$1277</f>
        <v>68.399999999999991</v>
      </c>
      <c r="L1260" s="468">
        <f>L1249*L$1277</f>
        <v>41.900000000000013</v>
      </c>
      <c r="M1260" s="468">
        <f t="shared" si="6565"/>
        <v>110.30000000000001</v>
      </c>
      <c r="N1260" s="468">
        <f>N1249*N$1277</f>
        <v>64.400000000000006</v>
      </c>
      <c r="O1260" s="468">
        <f>O1249*O$1277</f>
        <v>60.480000000000004</v>
      </c>
      <c r="P1260" s="468">
        <f t="shared" si="6566"/>
        <v>124.88000000000001</v>
      </c>
      <c r="Q1260" s="468">
        <f>Q1249*Q$1277</f>
        <v>62.02</v>
      </c>
      <c r="R1260" s="468">
        <f>R1249*R$1277</f>
        <v>62.02</v>
      </c>
      <c r="S1260" s="468">
        <f t="shared" si="6567"/>
        <v>124.04</v>
      </c>
      <c r="T1260" s="468">
        <f>T1249*T$1277</f>
        <v>74.400000000000006</v>
      </c>
      <c r="U1260" s="468">
        <f>U1249*U$1277</f>
        <v>65.38</v>
      </c>
      <c r="V1260" s="468">
        <f t="shared" si="6568"/>
        <v>139.78</v>
      </c>
      <c r="W1260" s="468">
        <f>W1249*W$1277</f>
        <v>93.6</v>
      </c>
      <c r="X1260" s="468">
        <f>X1249*X$1277</f>
        <v>167.1</v>
      </c>
      <c r="Y1260" s="468">
        <f t="shared" si="6569"/>
        <v>260.7</v>
      </c>
      <c r="Z1260" s="468">
        <f>Z1249*Z$1277</f>
        <v>94.43</v>
      </c>
      <c r="AA1260" s="468">
        <f>AA1249*AA$1277</f>
        <v>160.75</v>
      </c>
      <c r="AB1260" s="468">
        <f t="shared" si="6570"/>
        <v>255.18</v>
      </c>
      <c r="AC1260" s="104">
        <f>AC1249*AC$1277</f>
        <v>32.28</v>
      </c>
      <c r="AD1260" s="104">
        <f>AD1249*AD$1277</f>
        <v>34.720000000000006</v>
      </c>
      <c r="AE1260" s="468">
        <f>AC1260+AD1260</f>
        <v>67</v>
      </c>
      <c r="AF1260" s="468">
        <f>AF1249*AF$1277</f>
        <v>33.479999999999997</v>
      </c>
      <c r="AG1260" s="1045">
        <f>(AD1260*(1+AG1262))+AG1267</f>
        <v>35.622486045940875</v>
      </c>
      <c r="AH1260" s="341">
        <f>+AG1260+AF1260</f>
        <v>69.102486045940879</v>
      </c>
      <c r="AI1260" s="468">
        <f>(AF1260*(1+AI1262))+AI1267</f>
        <v>34.418393178843047</v>
      </c>
      <c r="AJ1260" s="468">
        <f>(AG1260*(1+AJ1262))+AJ1267</f>
        <v>37.360444052704658</v>
      </c>
      <c r="AK1260" s="341">
        <f>+AJ1260+AI1260</f>
        <v>71.778837231547698</v>
      </c>
      <c r="AL1260" s="468">
        <f>(AI1260*(1+AL1262))+AL1267</f>
        <v>38.109132390790037</v>
      </c>
      <c r="AM1260" s="468">
        <f>(AJ1260*(1+AM1262))+AM1267</f>
        <v>40.685109055605245</v>
      </c>
      <c r="AN1260" s="341">
        <f>+AM1260+AL1260</f>
        <v>78.79424144639529</v>
      </c>
      <c r="AO1260" s="468">
        <f>(AL1260*(1+AO1262))+AO1267</f>
        <v>39.889554556297632</v>
      </c>
      <c r="AP1260" s="468">
        <f>(AM1260*(1+AP1262))+AP1267</f>
        <v>42.061638864115324</v>
      </c>
      <c r="AQ1260" s="341">
        <f>+AP1260+AO1260</f>
        <v>81.951193420412949</v>
      </c>
      <c r="AR1260" s="468">
        <f>(AO1260*(1+AR1262))+AR1267</f>
        <v>41.239167772766763</v>
      </c>
      <c r="AS1260" s="468">
        <f>(AP1260*(1+AS1262))+AS1267</f>
        <v>43.484741838034083</v>
      </c>
      <c r="AT1260" s="341">
        <f>+AS1260+AR1260</f>
        <v>84.723909610800845</v>
      </c>
      <c r="AU1260" s="468">
        <f>(AR1260*(1+AU1262))+AU1267</f>
        <v>42.634443465398604</v>
      </c>
      <c r="AV1260" s="468">
        <f>(AS1260*(1+AV1262))+AV1267</f>
        <v>44.955993722196666</v>
      </c>
      <c r="AW1260" s="341">
        <f>+AV1260+AU1260</f>
        <v>87.590437187595271</v>
      </c>
      <c r="AX1260" s="468">
        <f>(AU1260*(1+AX1262))+AX1267</f>
        <v>44.076926566996029</v>
      </c>
      <c r="AY1260" s="468">
        <f>(AV1260*(1+AY1262))+AY1267</f>
        <v>46.477023574795034</v>
      </c>
      <c r="AZ1260" s="341">
        <f>+AY1260+AX1260</f>
        <v>90.553950141791063</v>
      </c>
      <c r="BA1260" s="468">
        <f>(AX1260*(1+BA1262))+BA1267</f>
        <v>45.568214281232123</v>
      </c>
      <c r="BB1260" s="468">
        <f>(AY1260*(1+BB1262))+BB1267</f>
        <v>48.049515571168747</v>
      </c>
      <c r="BC1260" s="341">
        <f>+BB1260+BA1260</f>
        <v>93.617729852400871</v>
      </c>
      <c r="BD1260" s="468">
        <f>(BA1260*(1+BD1262))+BD1267</f>
        <v>47.109957851169753</v>
      </c>
      <c r="BE1260" s="468">
        <f>(BB1260*(1+BE1262))+BE1267</f>
        <v>49.675210868624774</v>
      </c>
      <c r="BF1260" s="341">
        <f>+BE1260+BD1260</f>
        <v>96.785168719794527</v>
      </c>
      <c r="BG1260" s="468">
        <f>(BD1260*(1+BG1262))+BG1267</f>
        <v>48.703864387616761</v>
      </c>
      <c r="BH1260" s="468">
        <f>(BE1260*(1+BH1262))+BH1267</f>
        <v>51.355909534351099</v>
      </c>
      <c r="BI1260" s="341">
        <f>+BH1260+BG1260</f>
        <v>100.05977392196786</v>
      </c>
      <c r="BJ1260" s="468">
        <f>(BG1260*(1+BJ1262))+BJ1267</f>
        <v>50.351698759341282</v>
      </c>
      <c r="BK1260" s="468">
        <f>(BH1260*(1+BK1262))+BK1267</f>
        <v>53.093472538558942</v>
      </c>
      <c r="BL1260" s="341">
        <f>+BK1260+BJ1260</f>
        <v>103.44517129790023</v>
      </c>
      <c r="BM1260" s="468">
        <f>(BJ1260*(1+BM1262))+BM1267</f>
        <v>52.055285547240139</v>
      </c>
      <c r="BN1260" s="468">
        <f>(BK1260*(1+BN1262))+BN1267</f>
        <v>54.889823815060403</v>
      </c>
      <c r="BO1260" s="341">
        <f>+BN1260+BM1260</f>
        <v>106.94510936230054</v>
      </c>
      <c r="BP1260" s="468">
        <f>(BM1260*(1+BP1262))+BP1267</f>
        <v>53.816511064624066</v>
      </c>
      <c r="BQ1260" s="468">
        <f>(BN1260*(1+BQ1262))+BQ1267</f>
        <v>56.746952391563198</v>
      </c>
      <c r="BR1260" s="341">
        <f>+BQ1260+BP1260</f>
        <v>110.56346345618726</v>
      </c>
    </row>
    <row r="1261" spans="3:70" outlineLevel="1">
      <c r="C1261" s="547" t="s">
        <v>669</v>
      </c>
      <c r="D1261" s="7" t="s">
        <v>66</v>
      </c>
      <c r="E1261" s="562"/>
      <c r="F1261" s="562"/>
      <c r="G1261" s="562"/>
      <c r="H1261" s="583"/>
      <c r="I1261" s="583"/>
      <c r="J1261" s="583"/>
      <c r="K1261" s="595">
        <f>+K1260/H1260-1</f>
        <v>0.41060012373685262</v>
      </c>
      <c r="L1261" s="595">
        <f t="shared" ref="L1261" si="6644">+L1260/I1260-1</f>
        <v>-0.1325051759834367</v>
      </c>
      <c r="M1261" s="595">
        <f t="shared" ref="M1261" si="6645">+M1260/J1260-1</f>
        <v>0.13958053517925406</v>
      </c>
      <c r="N1261" s="595">
        <f t="shared" ref="N1261" si="6646">+N1260/K1260-1</f>
        <v>-5.8479532163742465E-2</v>
      </c>
      <c r="O1261" s="595">
        <f t="shared" ref="O1261" si="6647">+O1260/L1260-1</f>
        <v>0.44343675417661066</v>
      </c>
      <c r="P1261" s="595">
        <f t="shared" ref="P1261" si="6648">+P1260/M1260-1</f>
        <v>0.13218495013599263</v>
      </c>
      <c r="Q1261" s="595">
        <f t="shared" ref="Q1261" si="6649">+Q1260/N1260-1</f>
        <v>-3.6956521739130443E-2</v>
      </c>
      <c r="R1261" s="595">
        <f t="shared" ref="R1261" si="6650">+R1260/O1260-1</f>
        <v>2.5462962962963021E-2</v>
      </c>
      <c r="S1261" s="595">
        <f t="shared" ref="S1261" si="6651">+S1260/P1260-1</f>
        <v>-6.7264573991031584E-3</v>
      </c>
      <c r="T1261" s="595">
        <f t="shared" ref="T1261" si="6652">+T1260/Q1260-1</f>
        <v>0.19961302805546599</v>
      </c>
      <c r="U1261" s="595">
        <f t="shared" ref="U1261" si="6653">+U1260/R1260-1</f>
        <v>5.417607223476284E-2</v>
      </c>
      <c r="V1261" s="595">
        <f t="shared" ref="V1261" si="6654">+V1260/S1260-1</f>
        <v>0.12689455014511442</v>
      </c>
      <c r="W1261" s="595">
        <f t="shared" ref="W1261" si="6655">+W1260/T1260-1</f>
        <v>0.25806451612903203</v>
      </c>
      <c r="X1261" s="595">
        <f t="shared" ref="X1261" si="6656">+X1260/U1260-1</f>
        <v>1.5558274701743655</v>
      </c>
      <c r="Y1261" s="595">
        <f t="shared" ref="Y1261" si="6657">+Y1260/V1260-1</f>
        <v>0.86507368722277866</v>
      </c>
      <c r="Z1261" s="595">
        <f t="shared" ref="Z1261" si="6658">+Z1260/W1260-1</f>
        <v>8.8675213675215581E-3</v>
      </c>
      <c r="AA1261" s="595">
        <f t="shared" ref="AA1261" si="6659">+AA1260/X1260-1</f>
        <v>-3.8001196888090893E-2</v>
      </c>
      <c r="AB1261" s="595">
        <f t="shared" ref="AB1261" si="6660">+AB1260/Y1260-1</f>
        <v>-2.1173762945914776E-2</v>
      </c>
      <c r="AC1261" s="595">
        <f t="shared" ref="AC1261" si="6661">+AC1260/Z1260-1</f>
        <v>-0.65815948321507989</v>
      </c>
      <c r="AD1261" s="595">
        <f t="shared" ref="AD1261" si="6662">+AD1260/AA1260-1</f>
        <v>-0.78401244167962669</v>
      </c>
      <c r="AE1261" s="595">
        <f t="shared" ref="AE1261:AF1261" si="6663">+AE1260/AB1260-1</f>
        <v>-0.73744023826318683</v>
      </c>
      <c r="AF1261" s="595">
        <f t="shared" si="6663"/>
        <v>3.7174721189590976E-2</v>
      </c>
      <c r="AG1261" s="1046">
        <f t="shared" ref="AG1261" si="6664">+AG1260/AD1260-1</f>
        <v>2.5993261691845237E-2</v>
      </c>
      <c r="AH1261" s="595">
        <f t="shared" ref="AH1261" si="6665">+AH1260/AE1260-1</f>
        <v>3.138038874538629E-2</v>
      </c>
      <c r="AI1261" s="595">
        <f t="shared" ref="AI1261" si="6666">+AI1260/AF1260-1</f>
        <v>2.8028470096865377E-2</v>
      </c>
      <c r="AJ1261" s="595">
        <f t="shared" ref="AJ1261" si="6667">+AJ1260/AG1260-1</f>
        <v>4.8788229000143568E-2</v>
      </c>
      <c r="AK1261" s="595">
        <f t="shared" ref="AK1261" si="6668">+AK1260/AH1260-1</f>
        <v>3.8730172223145898E-2</v>
      </c>
      <c r="AL1261" s="595">
        <f t="shared" ref="AL1261" si="6669">+AL1260/AI1260-1</f>
        <v>0.10723159540799498</v>
      </c>
      <c r="AM1261" s="595">
        <f t="shared" ref="AM1261" si="6670">+AM1260/AJ1260-1</f>
        <v>8.8988904901945443E-2</v>
      </c>
      <c r="AN1261" s="595">
        <f t="shared" ref="AN1261" si="6671">+AN1260/AK1260-1</f>
        <v>9.7736387010797676E-2</v>
      </c>
      <c r="AO1261" s="595">
        <f t="shared" ref="AO1261" si="6672">+AO1260/AL1260-1</f>
        <v>4.6719042229832475E-2</v>
      </c>
      <c r="AP1261" s="595">
        <f t="shared" ref="AP1261" si="6673">+AP1260/AM1260-1</f>
        <v>3.3833749999999885E-2</v>
      </c>
      <c r="AQ1261" s="595">
        <f t="shared" ref="AQ1261" si="6674">+AQ1260/AN1260-1</f>
        <v>4.0065770239889664E-2</v>
      </c>
      <c r="AR1261" s="595">
        <f t="shared" ref="AR1261" si="6675">+AR1260/AO1260-1</f>
        <v>3.3833749999999885E-2</v>
      </c>
      <c r="AS1261" s="595">
        <f t="shared" ref="AS1261" si="6676">+AS1260/AP1260-1</f>
        <v>3.3833749999999885E-2</v>
      </c>
      <c r="AT1261" s="595">
        <f t="shared" ref="AT1261" si="6677">+AT1260/AQ1260-1</f>
        <v>3.3833750000000107E-2</v>
      </c>
      <c r="AU1261" s="595">
        <f t="shared" ref="AU1261" si="6678">+AU1260/AR1260-1</f>
        <v>3.3833749999999885E-2</v>
      </c>
      <c r="AV1261" s="595">
        <f t="shared" ref="AV1261" si="6679">+AV1260/AS1260-1</f>
        <v>3.3833749999999885E-2</v>
      </c>
      <c r="AW1261" s="595">
        <f t="shared" ref="AW1261" si="6680">+AW1260/AT1260-1</f>
        <v>3.3833749999999885E-2</v>
      </c>
      <c r="AX1261" s="595">
        <f t="shared" ref="AX1261" si="6681">+AX1260/AU1260-1</f>
        <v>3.3833749999999885E-2</v>
      </c>
      <c r="AY1261" s="595">
        <f t="shared" ref="AY1261" si="6682">+AY1260/AV1260-1</f>
        <v>3.3833749999999885E-2</v>
      </c>
      <c r="AZ1261" s="595">
        <f t="shared" ref="AZ1261" si="6683">+AZ1260/AW1260-1</f>
        <v>3.3833749999999885E-2</v>
      </c>
      <c r="BA1261" s="595">
        <f t="shared" ref="BA1261" si="6684">+BA1260/AX1260-1</f>
        <v>3.3833749999999885E-2</v>
      </c>
      <c r="BB1261" s="595">
        <f t="shared" ref="BB1261" si="6685">+BB1260/AY1260-1</f>
        <v>3.3833749999999885E-2</v>
      </c>
      <c r="BC1261" s="595">
        <f t="shared" ref="BC1261" si="6686">+BC1260/AZ1260-1</f>
        <v>3.3833749999999885E-2</v>
      </c>
      <c r="BD1261" s="595">
        <f t="shared" ref="BD1261" si="6687">+BD1260/BA1260-1</f>
        <v>3.3833749999999885E-2</v>
      </c>
      <c r="BE1261" s="595">
        <f t="shared" ref="BE1261" si="6688">+BE1260/BB1260-1</f>
        <v>3.3833749999999885E-2</v>
      </c>
      <c r="BF1261" s="595">
        <f t="shared" ref="BF1261" si="6689">+BF1260/BC1260-1</f>
        <v>3.3833749999999885E-2</v>
      </c>
      <c r="BG1261" s="595">
        <f t="shared" ref="BG1261" si="6690">+BG1260/BD1260-1</f>
        <v>3.3833749999999885E-2</v>
      </c>
      <c r="BH1261" s="595">
        <f t="shared" ref="BH1261" si="6691">+BH1260/BE1260-1</f>
        <v>3.3833749999999885E-2</v>
      </c>
      <c r="BI1261" s="595">
        <f t="shared" ref="BI1261" si="6692">+BI1260/BF1260-1</f>
        <v>3.3833749999999885E-2</v>
      </c>
      <c r="BJ1261" s="595">
        <f t="shared" ref="BJ1261" si="6693">+BJ1260/BG1260-1</f>
        <v>3.3833749999999885E-2</v>
      </c>
      <c r="BK1261" s="595">
        <f t="shared" ref="BK1261" si="6694">+BK1260/BH1260-1</f>
        <v>3.3833749999999885E-2</v>
      </c>
      <c r="BL1261" s="595">
        <f t="shared" ref="BL1261" si="6695">+BL1260/BI1260-1</f>
        <v>3.3833749999999885E-2</v>
      </c>
      <c r="BM1261" s="595">
        <f t="shared" ref="BM1261" si="6696">+BM1260/BJ1260-1</f>
        <v>3.3833749999999885E-2</v>
      </c>
      <c r="BN1261" s="595">
        <f t="shared" ref="BN1261" si="6697">+BN1260/BK1260-1</f>
        <v>3.3833749999999885E-2</v>
      </c>
      <c r="BO1261" s="595">
        <f t="shared" ref="BO1261" si="6698">+BO1260/BL1260-1</f>
        <v>3.3833749999999885E-2</v>
      </c>
      <c r="BP1261" s="595">
        <f t="shared" ref="BP1261" si="6699">+BP1260/BM1260-1</f>
        <v>3.3833749999999885E-2</v>
      </c>
      <c r="BQ1261" s="595">
        <f t="shared" ref="BQ1261" si="6700">+BQ1260/BN1260-1</f>
        <v>3.3833749999999885E-2</v>
      </c>
      <c r="BR1261" s="595">
        <f t="shared" ref="BR1261" si="6701">+BR1260/BO1260-1</f>
        <v>3.3833749999999885E-2</v>
      </c>
    </row>
    <row r="1262" spans="3:70" outlineLevel="1">
      <c r="C1262" s="596" t="s">
        <v>598</v>
      </c>
      <c r="D1262" s="7" t="s">
        <v>66</v>
      </c>
      <c r="E1262" s="562"/>
      <c r="F1262" s="562"/>
      <c r="G1262" s="562"/>
      <c r="H1262" s="583"/>
      <c r="I1262" s="583"/>
      <c r="J1262" s="583"/>
      <c r="K1262" s="604">
        <f t="shared" ref="K1262" si="6702">K1261-(K1267/H1260)</f>
        <v>0.41060012373685262</v>
      </c>
      <c r="L1262" s="604">
        <f t="shared" ref="L1262" si="6703">L1261-(L1267/I1260)</f>
        <v>-0.1325051759834367</v>
      </c>
      <c r="M1262" s="604">
        <f t="shared" ref="M1262" si="6704">M1261-(M1267/J1260)</f>
        <v>0.13958053517925406</v>
      </c>
      <c r="N1262" s="604">
        <f t="shared" ref="N1262" si="6705">N1261-(N1267/K1260)</f>
        <v>-5.8479532163742465E-2</v>
      </c>
      <c r="O1262" s="604">
        <f t="shared" ref="O1262" si="6706">O1261-(O1267/L1260)</f>
        <v>0.44343675417661066</v>
      </c>
      <c r="P1262" s="604">
        <f t="shared" ref="P1262" si="6707">P1261-(P1267/M1260)</f>
        <v>0.13218495013599263</v>
      </c>
      <c r="Q1262" s="604">
        <f t="shared" ref="Q1262" si="6708">Q1261-(Q1267/N1260)</f>
        <v>-3.6956521739130443E-2</v>
      </c>
      <c r="R1262" s="604">
        <f t="shared" ref="R1262" si="6709">R1261-(R1267/O1260)</f>
        <v>2.5462962962963021E-2</v>
      </c>
      <c r="S1262" s="604">
        <f t="shared" ref="S1262" si="6710">S1261-(S1267/P1260)</f>
        <v>-6.7264573991031584E-3</v>
      </c>
      <c r="T1262" s="604">
        <f t="shared" ref="T1262" si="6711">T1261-(T1267/Q1260)</f>
        <v>0.19961302805546599</v>
      </c>
      <c r="U1262" s="604">
        <f t="shared" ref="U1262" si="6712">U1261-(U1267/R1260)</f>
        <v>5.417607223476284E-2</v>
      </c>
      <c r="V1262" s="604">
        <f t="shared" ref="V1262" si="6713">V1261-(V1267/S1260)</f>
        <v>0.12689455014511442</v>
      </c>
      <c r="W1262" s="604">
        <f t="shared" ref="W1262" si="6714">W1261-(W1267/T1260)</f>
        <v>0.25806451612903203</v>
      </c>
      <c r="X1262" s="604">
        <f t="shared" ref="X1262" si="6715">X1261-(X1267/U1260)</f>
        <v>1.5558274701743655</v>
      </c>
      <c r="Y1262" s="604">
        <f t="shared" ref="Y1262" si="6716">Y1261-(Y1267/V1260)</f>
        <v>0.86507368722277866</v>
      </c>
      <c r="Z1262" s="604">
        <f t="shared" ref="Z1262" si="6717">Z1261-(Z1267/W1260)</f>
        <v>8.8675213675215581E-3</v>
      </c>
      <c r="AA1262" s="604">
        <f t="shared" ref="AA1262" si="6718">AA1261-(AA1267/X1260)</f>
        <v>-3.8001196888090893E-2</v>
      </c>
      <c r="AB1262" s="604">
        <f t="shared" ref="AB1262" si="6719">AB1261-(AB1267/Y1260)</f>
        <v>-2.1173762945914776E-2</v>
      </c>
      <c r="AC1262" s="604">
        <f t="shared" ref="AC1262" si="6720">AC1261-(AC1267/Z1260)</f>
        <v>-0.65815948321507989</v>
      </c>
      <c r="AD1262" s="604">
        <f t="shared" ref="AD1262" si="6721">AD1261-(AD1267/AA1260)</f>
        <v>-0.78401244167962669</v>
      </c>
      <c r="AE1262" s="604">
        <f>AE1261-(AE1267/AB1260)</f>
        <v>-0.73744023826318683</v>
      </c>
      <c r="AF1262" s="595">
        <f t="shared" ref="AF1262" si="6722">AF1261-(AF1267/AC1260)</f>
        <v>3.7174721189590976E-2</v>
      </c>
      <c r="AG1262" s="1046">
        <f t="shared" ref="AG1262:AN1262" si="6723">+AG1263+AG1264+AG1265+AG1266</f>
        <v>2.5993261691845307E-2</v>
      </c>
      <c r="AH1262" s="590">
        <f t="shared" si="6723"/>
        <v>3.138038874538629E-2</v>
      </c>
      <c r="AI1262" s="595">
        <f t="shared" si="6723"/>
        <v>2.8028470096865467E-2</v>
      </c>
      <c r="AJ1262" s="595">
        <f t="shared" si="6723"/>
        <v>4.8788229000143533E-2</v>
      </c>
      <c r="AK1262" s="590">
        <f t="shared" si="6723"/>
        <v>3.8730172223145891E-2</v>
      </c>
      <c r="AL1262" s="595">
        <f t="shared" si="6723"/>
        <v>0.10723159540799501</v>
      </c>
      <c r="AM1262" s="595">
        <f t="shared" si="6723"/>
        <v>8.898890490194554E-2</v>
      </c>
      <c r="AN1262" s="590">
        <f t="shared" si="6723"/>
        <v>9.7736387010797676E-2</v>
      </c>
      <c r="AO1262" s="595">
        <f t="shared" ref="AO1262:BR1262" si="6724">+AO1263+AO1264+AO1265+AO1266</f>
        <v>4.6719042229832572E-2</v>
      </c>
      <c r="AP1262" s="595">
        <f t="shared" si="6724"/>
        <v>3.3833749999999996E-2</v>
      </c>
      <c r="AQ1262" s="590">
        <f t="shared" si="6724"/>
        <v>4.0065770239889664E-2</v>
      </c>
      <c r="AR1262" s="595">
        <f t="shared" si="6724"/>
        <v>3.3833749999999996E-2</v>
      </c>
      <c r="AS1262" s="595">
        <f t="shared" si="6724"/>
        <v>3.3833749999999996E-2</v>
      </c>
      <c r="AT1262" s="590">
        <f t="shared" si="6724"/>
        <v>3.3833750000000107E-2</v>
      </c>
      <c r="AU1262" s="595">
        <f t="shared" si="6724"/>
        <v>3.3833749999999996E-2</v>
      </c>
      <c r="AV1262" s="595">
        <f t="shared" si="6724"/>
        <v>3.3833749999999996E-2</v>
      </c>
      <c r="AW1262" s="590">
        <f t="shared" si="6724"/>
        <v>3.3833749999999885E-2</v>
      </c>
      <c r="AX1262" s="595">
        <f t="shared" si="6724"/>
        <v>3.3833749999999996E-2</v>
      </c>
      <c r="AY1262" s="595">
        <f t="shared" si="6724"/>
        <v>3.3833749999999996E-2</v>
      </c>
      <c r="AZ1262" s="590">
        <f t="shared" si="6724"/>
        <v>3.3833749999999885E-2</v>
      </c>
      <c r="BA1262" s="595">
        <f t="shared" si="6724"/>
        <v>3.3833749999999996E-2</v>
      </c>
      <c r="BB1262" s="595">
        <f t="shared" si="6724"/>
        <v>3.3833749999999996E-2</v>
      </c>
      <c r="BC1262" s="590">
        <f t="shared" si="6724"/>
        <v>3.3833749999999885E-2</v>
      </c>
      <c r="BD1262" s="595">
        <f t="shared" si="6724"/>
        <v>3.3833749999999996E-2</v>
      </c>
      <c r="BE1262" s="595">
        <f t="shared" si="6724"/>
        <v>3.3833749999999996E-2</v>
      </c>
      <c r="BF1262" s="590">
        <f t="shared" si="6724"/>
        <v>3.3833749999999885E-2</v>
      </c>
      <c r="BG1262" s="595">
        <f t="shared" si="6724"/>
        <v>3.3833749999999996E-2</v>
      </c>
      <c r="BH1262" s="595">
        <f t="shared" si="6724"/>
        <v>3.3833749999999996E-2</v>
      </c>
      <c r="BI1262" s="590">
        <f t="shared" si="6724"/>
        <v>3.3833749999999885E-2</v>
      </c>
      <c r="BJ1262" s="595">
        <f t="shared" si="6724"/>
        <v>3.3833749999999996E-2</v>
      </c>
      <c r="BK1262" s="595">
        <f t="shared" si="6724"/>
        <v>3.3833749999999996E-2</v>
      </c>
      <c r="BL1262" s="590">
        <f t="shared" si="6724"/>
        <v>3.3833749999999885E-2</v>
      </c>
      <c r="BM1262" s="595">
        <f t="shared" si="6724"/>
        <v>3.3833749999999996E-2</v>
      </c>
      <c r="BN1262" s="595">
        <f t="shared" si="6724"/>
        <v>3.3833749999999996E-2</v>
      </c>
      <c r="BO1262" s="590">
        <f t="shared" si="6724"/>
        <v>3.3833749999999885E-2</v>
      </c>
      <c r="BP1262" s="595">
        <f t="shared" si="6724"/>
        <v>3.3833749999999996E-2</v>
      </c>
      <c r="BQ1262" s="595">
        <f t="shared" si="6724"/>
        <v>3.3833749999999996E-2</v>
      </c>
      <c r="BR1262" s="590">
        <f t="shared" si="6724"/>
        <v>3.3833749999999885E-2</v>
      </c>
    </row>
    <row r="1263" spans="3:70" outlineLevel="1">
      <c r="C1263" s="594" t="s">
        <v>534</v>
      </c>
      <c r="D1263" s="31" t="s">
        <v>66</v>
      </c>
      <c r="E1263" s="564"/>
      <c r="F1263" s="564"/>
      <c r="G1263" s="564"/>
      <c r="H1263" s="592"/>
      <c r="I1263" s="576"/>
      <c r="J1263" s="592"/>
      <c r="K1263" s="592"/>
      <c r="L1263" s="592"/>
      <c r="M1263" s="592"/>
      <c r="N1263" s="592"/>
      <c r="O1263" s="592"/>
      <c r="P1263" s="592"/>
      <c r="Q1263" s="592"/>
      <c r="R1263" s="592"/>
      <c r="S1263" s="592"/>
      <c r="T1263" s="592"/>
      <c r="U1263" s="592"/>
      <c r="V1263" s="592"/>
      <c r="W1263" s="592"/>
      <c r="X1263" s="592"/>
      <c r="Y1263" s="592"/>
      <c r="Z1263" s="592"/>
      <c r="AA1263" s="592"/>
      <c r="AB1263" s="592"/>
      <c r="AC1263" s="592"/>
      <c r="AD1263" s="592"/>
      <c r="AE1263" s="592"/>
      <c r="AF1263" s="921">
        <f>+AF359</f>
        <v>-1.5562499999999951E-3</v>
      </c>
      <c r="AG1263" s="1047">
        <f>+AG359</f>
        <v>1.4427499999999999E-2</v>
      </c>
      <c r="AH1263" s="590">
        <f>(AF$1260/AH$1260*AF1263)+(AG$1260/AH$1260*AG1263)</f>
        <v>6.6834088591367097E-3</v>
      </c>
      <c r="AI1263" s="590">
        <f>+AI359</f>
        <v>4.3270000000000003E-2</v>
      </c>
      <c r="AJ1263" s="590">
        <f>+AJ359</f>
        <v>4.0983749999999999E-2</v>
      </c>
      <c r="AK1263" s="590">
        <f t="shared" ref="AK1263" si="6725">(AI$1260/AK$1260*AI1263)+(AJ$1260/AK$1260*AJ1263)</f>
        <v>4.2080020912710542E-2</v>
      </c>
      <c r="AL1263" s="590">
        <f>+AL359</f>
        <v>4.3833749999999998E-2</v>
      </c>
      <c r="AM1263" s="590">
        <f>+AM359</f>
        <v>4.3833749999999998E-2</v>
      </c>
      <c r="AN1263" s="590">
        <f t="shared" ref="AN1263" si="6726">(AL$1260/AN$1260*AL1263)+(AM$1260/AN$1260*AM1263)</f>
        <v>4.3833749999999991E-2</v>
      </c>
      <c r="AO1263" s="590">
        <f>+AO359</f>
        <v>3.3833749999999996E-2</v>
      </c>
      <c r="AP1263" s="590">
        <f>+AP359</f>
        <v>3.3833749999999996E-2</v>
      </c>
      <c r="AQ1263" s="590">
        <f t="shared" ref="AQ1263" si="6727">(AO$1260/AQ$1260*AO1263)+(AP$1260/AQ$1260*AP1263)</f>
        <v>3.3833749999999996E-2</v>
      </c>
      <c r="AR1263" s="590">
        <f>+AR359</f>
        <v>3.3833749999999996E-2</v>
      </c>
      <c r="AS1263" s="590">
        <f>+AS359</f>
        <v>3.3833749999999996E-2</v>
      </c>
      <c r="AT1263" s="590">
        <f t="shared" ref="AT1263" si="6728">(AR$1260/AT$1260*AR1263)+(AS$1260/AT$1260*AS1263)</f>
        <v>3.3833749999999996E-2</v>
      </c>
      <c r="AU1263" s="590">
        <f>+AU359</f>
        <v>3.3833749999999996E-2</v>
      </c>
      <c r="AV1263" s="590">
        <f>+AV359</f>
        <v>3.3833749999999996E-2</v>
      </c>
      <c r="AW1263" s="590">
        <f t="shared" ref="AW1263" si="6729">(AU$1260/AW$1260*AU1263)+(AV$1260/AW$1260*AV1263)</f>
        <v>3.3833749999999996E-2</v>
      </c>
      <c r="AX1263" s="590">
        <f>+AX359</f>
        <v>3.3833749999999996E-2</v>
      </c>
      <c r="AY1263" s="590">
        <f>+AY359</f>
        <v>3.3833749999999996E-2</v>
      </c>
      <c r="AZ1263" s="590">
        <f t="shared" ref="AZ1263" si="6730">(AX$1260/AZ$1260*AX1263)+(AY$1260/AZ$1260*AY1263)</f>
        <v>3.3833749999999996E-2</v>
      </c>
      <c r="BA1263" s="590">
        <f>+BA359</f>
        <v>3.3833749999999996E-2</v>
      </c>
      <c r="BB1263" s="590">
        <f>+BB359</f>
        <v>3.3833749999999996E-2</v>
      </c>
      <c r="BC1263" s="590">
        <f t="shared" ref="BC1263" si="6731">(BA$1260/BC$1260*BA1263)+(BB$1260/BC$1260*BB1263)</f>
        <v>3.3833749999999996E-2</v>
      </c>
      <c r="BD1263" s="590">
        <f>+BD359</f>
        <v>3.3833749999999996E-2</v>
      </c>
      <c r="BE1263" s="590">
        <f>+BE359</f>
        <v>3.3833749999999996E-2</v>
      </c>
      <c r="BF1263" s="590">
        <f t="shared" ref="BF1263" si="6732">(BD$1260/BF$1260*BD1263)+(BE$1260/BF$1260*BE1263)</f>
        <v>3.3833749999999996E-2</v>
      </c>
      <c r="BG1263" s="590">
        <f>+BG359</f>
        <v>3.3833749999999996E-2</v>
      </c>
      <c r="BH1263" s="590">
        <f>+BH359</f>
        <v>3.3833749999999996E-2</v>
      </c>
      <c r="BI1263" s="590">
        <f t="shared" ref="BI1263" si="6733">(BG$1260/BI$1260*BG1263)+(BH$1260/BI$1260*BH1263)</f>
        <v>3.3833749999999996E-2</v>
      </c>
      <c r="BJ1263" s="590">
        <f>+BJ359</f>
        <v>3.3833749999999996E-2</v>
      </c>
      <c r="BK1263" s="590">
        <f>+BK359</f>
        <v>3.3833749999999996E-2</v>
      </c>
      <c r="BL1263" s="590">
        <f t="shared" ref="BL1263" si="6734">(BJ$1260/BL$1260*BJ1263)+(BK$1260/BL$1260*BK1263)</f>
        <v>3.3833749999999996E-2</v>
      </c>
      <c r="BM1263" s="590">
        <f>+BM359</f>
        <v>3.3833749999999996E-2</v>
      </c>
      <c r="BN1263" s="590">
        <f>+BN359</f>
        <v>3.3833749999999996E-2</v>
      </c>
      <c r="BO1263" s="590">
        <f t="shared" ref="BO1263" si="6735">(BM$1260/BO$1260*BM1263)+(BN$1260/BO$1260*BN1263)</f>
        <v>3.3833749999999996E-2</v>
      </c>
      <c r="BP1263" s="590">
        <f>+BP359</f>
        <v>3.3833749999999996E-2</v>
      </c>
      <c r="BQ1263" s="590">
        <f>+BQ359</f>
        <v>3.3833749999999996E-2</v>
      </c>
      <c r="BR1263" s="590">
        <f t="shared" ref="BR1263" si="6736">(BP$1260/BR$1260*BP1263)+(BQ$1260/BR$1260*BQ1263)</f>
        <v>3.3833749999999996E-2</v>
      </c>
    </row>
    <row r="1264" spans="3:70" outlineLevel="1">
      <c r="C1264" s="594" t="s">
        <v>92</v>
      </c>
      <c r="D1264" s="31" t="s">
        <v>66</v>
      </c>
      <c r="E1264" s="564"/>
      <c r="F1264" s="564"/>
      <c r="G1264" s="564"/>
      <c r="H1264" s="592"/>
      <c r="I1264" s="576"/>
      <c r="J1264" s="592"/>
      <c r="K1264" s="592"/>
      <c r="L1264" s="592"/>
      <c r="M1264" s="592"/>
      <c r="N1264" s="592"/>
      <c r="O1264" s="592"/>
      <c r="P1264" s="592"/>
      <c r="Q1264" s="592"/>
      <c r="R1264" s="592"/>
      <c r="S1264" s="592"/>
      <c r="T1264" s="592"/>
      <c r="U1264" s="592"/>
      <c r="V1264" s="592"/>
      <c r="W1264" s="592"/>
      <c r="X1264" s="592"/>
      <c r="Y1264" s="592"/>
      <c r="Z1264" s="592"/>
      <c r="AA1264" s="592"/>
      <c r="AB1264" s="592"/>
      <c r="AC1264" s="592"/>
      <c r="AD1264" s="592"/>
      <c r="AE1264" s="592"/>
      <c r="AF1264" s="921">
        <f>AF366</f>
        <v>3.9774539116565977E-2</v>
      </c>
      <c r="AG1264" s="1047">
        <f>AG366</f>
        <v>4.4042001309690826E-2</v>
      </c>
      <c r="AH1264" s="590">
        <f>(AF$1260/AH$1260*AF1264)+(AG$1260/AH$1260*AG1264)</f>
        <v>4.1974425417691308E-2</v>
      </c>
      <c r="AI1264" s="590">
        <f>AI366</f>
        <v>2.7229945632338881E-2</v>
      </c>
      <c r="AJ1264" s="590">
        <f>AJ366</f>
        <v>4.0322580645161255E-3</v>
      </c>
      <c r="AK1264" s="590">
        <f>(AI$1260/AK$1260*AI1264)+(AJ$1260/AK$1260*AJ1264)</f>
        <v>1.5155691688464052E-2</v>
      </c>
      <c r="AL1264" s="590">
        <f>AL366</f>
        <v>0</v>
      </c>
      <c r="AM1264" s="590">
        <f>AM366</f>
        <v>7.9365079365079638E-3</v>
      </c>
      <c r="AN1264" s="590">
        <f>(AL$1260/AN$1260*AL1264)+(AM$1260/AN$1260*AM1264)</f>
        <v>4.0979859059519525E-3</v>
      </c>
      <c r="AO1264" s="590">
        <f>AO366</f>
        <v>7.9365079365079638E-3</v>
      </c>
      <c r="AP1264" s="590">
        <f>AP366</f>
        <v>0</v>
      </c>
      <c r="AQ1264" s="590">
        <f>(AO$1260/AQ$1260*AO1264)+(AP$1260/AQ$1260*AP1264)</f>
        <v>3.8630769499076846E-3</v>
      </c>
      <c r="AR1264" s="590">
        <f>AR366</f>
        <v>0</v>
      </c>
      <c r="AS1264" s="590">
        <f>AS366</f>
        <v>0</v>
      </c>
      <c r="AT1264" s="590">
        <f>(AR$1260/AT$1260*AR1264)+(AS$1260/AT$1260*AS1264)</f>
        <v>0</v>
      </c>
      <c r="AU1264" s="590">
        <f>AU366</f>
        <v>0</v>
      </c>
      <c r="AV1264" s="590">
        <f>AV366</f>
        <v>0</v>
      </c>
      <c r="AW1264" s="590">
        <f>(AU$1260/AW$1260*AU1264)+(AV$1260/AW$1260*AV1264)</f>
        <v>0</v>
      </c>
      <c r="AX1264" s="590">
        <f>AX366</f>
        <v>0</v>
      </c>
      <c r="AY1264" s="590">
        <f>AY366</f>
        <v>0</v>
      </c>
      <c r="AZ1264" s="590">
        <f>(AX$1260/AZ$1260*AX1264)+(AY$1260/AZ$1260*AY1264)</f>
        <v>0</v>
      </c>
      <c r="BA1264" s="590">
        <f>BA366</f>
        <v>0</v>
      </c>
      <c r="BB1264" s="590">
        <f>BB366</f>
        <v>0</v>
      </c>
      <c r="BC1264" s="590">
        <f>(BA$1260/BC$1260*BA1264)+(BB$1260/BC$1260*BB1264)</f>
        <v>0</v>
      </c>
      <c r="BD1264" s="590">
        <f>BD366</f>
        <v>0</v>
      </c>
      <c r="BE1264" s="590">
        <f>BE366</f>
        <v>0</v>
      </c>
      <c r="BF1264" s="590">
        <f>(BD$1260/BF$1260*BD1264)+(BE$1260/BF$1260*BE1264)</f>
        <v>0</v>
      </c>
      <c r="BG1264" s="590">
        <f>BG366</f>
        <v>0</v>
      </c>
      <c r="BH1264" s="590">
        <f>BH366</f>
        <v>0</v>
      </c>
      <c r="BI1264" s="590">
        <f>(BG$1260/BI$1260*BG1264)+(BH$1260/BI$1260*BH1264)</f>
        <v>0</v>
      </c>
      <c r="BJ1264" s="590">
        <f>BJ366</f>
        <v>0</v>
      </c>
      <c r="BK1264" s="590">
        <f>BK366</f>
        <v>0</v>
      </c>
      <c r="BL1264" s="590">
        <f>(BJ$1260/BL$1260*BJ1264)+(BK$1260/BL$1260*BK1264)</f>
        <v>0</v>
      </c>
      <c r="BM1264" s="590">
        <f>BM366</f>
        <v>0</v>
      </c>
      <c r="BN1264" s="590">
        <f>BN366</f>
        <v>0</v>
      </c>
      <c r="BO1264" s="590">
        <f>(BM$1260/BO$1260*BM1264)+(BN$1260/BO$1260*BN1264)</f>
        <v>0</v>
      </c>
      <c r="BP1264" s="590">
        <f>BP366</f>
        <v>0</v>
      </c>
      <c r="BQ1264" s="590">
        <f>BQ366</f>
        <v>0</v>
      </c>
      <c r="BR1264" s="590">
        <f>(BP$1260/BR$1260*BP1264)+(BQ$1260/BR$1260*BQ1264)</f>
        <v>0</v>
      </c>
    </row>
    <row r="1265" spans="3:70" outlineLevel="1">
      <c r="C1265" s="594" t="s">
        <v>280</v>
      </c>
      <c r="D1265" s="31" t="s">
        <v>66</v>
      </c>
      <c r="E1265" s="564"/>
      <c r="F1265" s="564"/>
      <c r="G1265" s="564"/>
      <c r="H1265" s="592"/>
      <c r="I1265" s="576"/>
      <c r="J1265" s="592"/>
      <c r="K1265" s="592"/>
      <c r="L1265" s="592"/>
      <c r="M1265" s="592"/>
      <c r="N1265" s="592"/>
      <c r="O1265" s="592"/>
      <c r="P1265" s="592"/>
      <c r="Q1265" s="592"/>
      <c r="R1265" s="592"/>
      <c r="S1265" s="592"/>
      <c r="T1265" s="592"/>
      <c r="U1265" s="592"/>
      <c r="V1265" s="592"/>
      <c r="W1265" s="592"/>
      <c r="X1265" s="592"/>
      <c r="Y1265" s="592"/>
      <c r="Z1265" s="592"/>
      <c r="AA1265" s="592"/>
      <c r="AB1265" s="592"/>
      <c r="AC1265" s="592"/>
      <c r="AD1265" s="592"/>
      <c r="AE1265" s="592"/>
      <c r="AF1265" s="921">
        <f>+AF372</f>
        <v>-9.8665504121241213E-3</v>
      </c>
      <c r="AG1265" s="1047">
        <f>+AG372</f>
        <v>-3.2476239617845515E-2</v>
      </c>
      <c r="AH1265" s="590">
        <f>(AF$1260/AH$1260*AF1265)+(AG$1260/AH$1260*AG1265)</f>
        <v>-2.152189574511856E-2</v>
      </c>
      <c r="AI1265" s="590">
        <f>+AI372</f>
        <v>-4.2471475535473417E-2</v>
      </c>
      <c r="AJ1265" s="590">
        <f>+AJ372</f>
        <v>3.7722209356274104E-3</v>
      </c>
      <c r="AK1265" s="590">
        <f t="shared" ref="AK1265" si="6737">(AI$1260/AK$1260*AI1265)+(AJ$1260/AK$1260*AJ1265)</f>
        <v>-1.8401915461303271E-2</v>
      </c>
      <c r="AL1265" s="590">
        <f>+AL372</f>
        <v>6.3397845407995007E-2</v>
      </c>
      <c r="AM1265" s="590">
        <f>+AM372</f>
        <v>3.7218646965437578E-2</v>
      </c>
      <c r="AN1265" s="590">
        <f t="shared" ref="AN1265" si="6738">(AL$1260/AN$1260*AL1265)+(AM$1260/AN$1260*AM1265)</f>
        <v>4.9880315140908377E-2</v>
      </c>
      <c r="AO1265" s="590">
        <f>+AO372</f>
        <v>4.9487842933246158E-3</v>
      </c>
      <c r="AP1265" s="590">
        <f>+AP372</f>
        <v>0</v>
      </c>
      <c r="AQ1265" s="590">
        <f t="shared" ref="AQ1265" si="6739">(AO$1260/AQ$1260*AO1265)+(AP$1260/AQ$1260*AP1265)</f>
        <v>2.4088093512345385E-3</v>
      </c>
      <c r="AR1265" s="590">
        <f>+AR372</f>
        <v>0</v>
      </c>
      <c r="AS1265" s="590">
        <f>+AS372</f>
        <v>0</v>
      </c>
      <c r="AT1265" s="590">
        <f t="shared" ref="AT1265" si="6740">(AR$1260/AT$1260*AR1265)+(AS$1260/AT$1260*AS1265)</f>
        <v>0</v>
      </c>
      <c r="AU1265" s="590">
        <f>+AU372</f>
        <v>0</v>
      </c>
      <c r="AV1265" s="590">
        <f>+AV372</f>
        <v>0</v>
      </c>
      <c r="AW1265" s="590">
        <f t="shared" ref="AW1265" si="6741">(AU$1260/AW$1260*AU1265)+(AV$1260/AW$1260*AV1265)</f>
        <v>0</v>
      </c>
      <c r="AX1265" s="590">
        <f>+AX372</f>
        <v>0</v>
      </c>
      <c r="AY1265" s="590">
        <f>+AY372</f>
        <v>0</v>
      </c>
      <c r="AZ1265" s="590">
        <f t="shared" ref="AZ1265" si="6742">(AX$1260/AZ$1260*AX1265)+(AY$1260/AZ$1260*AY1265)</f>
        <v>0</v>
      </c>
      <c r="BA1265" s="590">
        <f>+BA372</f>
        <v>0</v>
      </c>
      <c r="BB1265" s="590">
        <f>+BB372</f>
        <v>0</v>
      </c>
      <c r="BC1265" s="590">
        <f t="shared" ref="BC1265" si="6743">(BA$1260/BC$1260*BA1265)+(BB$1260/BC$1260*BB1265)</f>
        <v>0</v>
      </c>
      <c r="BD1265" s="590">
        <f>+BD372</f>
        <v>0</v>
      </c>
      <c r="BE1265" s="590">
        <f>+BE372</f>
        <v>0</v>
      </c>
      <c r="BF1265" s="590">
        <f t="shared" ref="BF1265" si="6744">(BD$1260/BF$1260*BD1265)+(BE$1260/BF$1260*BE1265)</f>
        <v>0</v>
      </c>
      <c r="BG1265" s="590">
        <f>+BG372</f>
        <v>0</v>
      </c>
      <c r="BH1265" s="590">
        <f>+BH372</f>
        <v>0</v>
      </c>
      <c r="BI1265" s="590">
        <f t="shared" ref="BI1265" si="6745">(BG$1260/BI$1260*BG1265)+(BH$1260/BI$1260*BH1265)</f>
        <v>0</v>
      </c>
      <c r="BJ1265" s="590">
        <f>+BJ372</f>
        <v>0</v>
      </c>
      <c r="BK1265" s="590">
        <f>+BK372</f>
        <v>0</v>
      </c>
      <c r="BL1265" s="590">
        <f t="shared" ref="BL1265" si="6746">(BJ$1260/BL$1260*BJ1265)+(BK$1260/BL$1260*BK1265)</f>
        <v>0</v>
      </c>
      <c r="BM1265" s="590">
        <f>+BM372</f>
        <v>0</v>
      </c>
      <c r="BN1265" s="590">
        <f>+BN372</f>
        <v>0</v>
      </c>
      <c r="BO1265" s="590">
        <f t="shared" ref="BO1265" si="6747">(BM$1260/BO$1260*BM1265)+(BN$1260/BO$1260*BN1265)</f>
        <v>0</v>
      </c>
      <c r="BP1265" s="590">
        <f>+BP372</f>
        <v>0</v>
      </c>
      <c r="BQ1265" s="590">
        <f>+BQ372</f>
        <v>0</v>
      </c>
      <c r="BR1265" s="590">
        <f t="shared" ref="BR1265" si="6748">(BP$1260/BR$1260*BP1265)+(BQ$1260/BR$1260*BQ1265)</f>
        <v>0</v>
      </c>
    </row>
    <row r="1266" spans="3:70" outlineLevel="1">
      <c r="C1266" s="594" t="s">
        <v>614</v>
      </c>
      <c r="D1266" s="31" t="s">
        <v>66</v>
      </c>
      <c r="E1266" s="564"/>
      <c r="F1266" s="564"/>
      <c r="G1266" s="564"/>
      <c r="H1266" s="592"/>
      <c r="I1266" s="576"/>
      <c r="J1266" s="592"/>
      <c r="K1266" s="592"/>
      <c r="L1266" s="592"/>
      <c r="M1266" s="592"/>
      <c r="N1266" s="592"/>
      <c r="O1266" s="592"/>
      <c r="P1266" s="592"/>
      <c r="Q1266" s="592"/>
      <c r="R1266" s="592"/>
      <c r="S1266" s="592"/>
      <c r="T1266" s="592"/>
      <c r="U1266" s="592"/>
      <c r="V1266" s="592"/>
      <c r="W1266" s="592"/>
      <c r="X1266" s="592"/>
      <c r="Y1266" s="592"/>
      <c r="Z1266" s="592"/>
      <c r="AA1266" s="592"/>
      <c r="AB1266" s="592"/>
      <c r="AC1266" s="592"/>
      <c r="AD1266" s="592"/>
      <c r="AE1266" s="592"/>
      <c r="AF1266" s="912">
        <v>0</v>
      </c>
      <c r="AG1266" s="975">
        <v>0</v>
      </c>
      <c r="AH1266" s="162">
        <f>((AH1260-AH1267)/AE1260-1)-AH1265-AH1264-AH1263</f>
        <v>4.2444502136768352E-3</v>
      </c>
      <c r="AI1266" s="591">
        <v>0</v>
      </c>
      <c r="AJ1266" s="591">
        <v>0</v>
      </c>
      <c r="AK1266" s="162">
        <f>((AK1260-AK1267)/AH1260-1)-AK1265-AK1264-AK1263</f>
        <v>-1.0362491672542828E-4</v>
      </c>
      <c r="AL1266" s="591">
        <v>0</v>
      </c>
      <c r="AM1266" s="591">
        <v>0</v>
      </c>
      <c r="AN1266" s="162">
        <f>((AN1260-AN1267)/AK1260-1)-AN1265-AN1264-AN1263</f>
        <v>-7.5664036062642048E-5</v>
      </c>
      <c r="AO1266" s="591">
        <v>0</v>
      </c>
      <c r="AP1266" s="591">
        <v>0</v>
      </c>
      <c r="AQ1266" s="162">
        <f>((AQ1260-AQ1267)/AN1260-1)-AQ1265-AQ1264-AQ1263</f>
        <v>-3.9866061252558094E-5</v>
      </c>
      <c r="AR1266" s="591">
        <v>0</v>
      </c>
      <c r="AS1266" s="591">
        <v>0</v>
      </c>
      <c r="AT1266" s="162">
        <f>((AT1260-AT1267)/AQ1260-1)-AT1265-AT1264-AT1263</f>
        <v>1.1102230246251565E-16</v>
      </c>
      <c r="AU1266" s="591">
        <v>0</v>
      </c>
      <c r="AV1266" s="591">
        <v>0</v>
      </c>
      <c r="AW1266" s="162">
        <f>((AW1260-AW1267)/AT1260-1)-AW1265-AW1264-AW1263</f>
        <v>-1.1102230246251565E-16</v>
      </c>
      <c r="AX1266" s="591">
        <v>0</v>
      </c>
      <c r="AY1266" s="591">
        <v>0</v>
      </c>
      <c r="AZ1266" s="162">
        <f>((AZ1260-AZ1267)/AW1260-1)-AZ1265-AZ1264-AZ1263</f>
        <v>-1.1102230246251565E-16</v>
      </c>
      <c r="BA1266" s="591">
        <v>0</v>
      </c>
      <c r="BB1266" s="591">
        <v>0</v>
      </c>
      <c r="BC1266" s="162">
        <f>((BC1260-BC1267)/AZ1260-1)-BC1265-BC1264-BC1263</f>
        <v>-1.1102230246251565E-16</v>
      </c>
      <c r="BD1266" s="591">
        <v>0</v>
      </c>
      <c r="BE1266" s="591">
        <v>0</v>
      </c>
      <c r="BF1266" s="162">
        <f>((BF1260-BF1267)/BC1260-1)-BF1265-BF1264-BF1263</f>
        <v>-1.1102230246251565E-16</v>
      </c>
      <c r="BG1266" s="591">
        <v>0</v>
      </c>
      <c r="BH1266" s="591">
        <v>0</v>
      </c>
      <c r="BI1266" s="162">
        <f>((BI1260-BI1267)/BF1260-1)-BI1265-BI1264-BI1263</f>
        <v>-1.1102230246251565E-16</v>
      </c>
      <c r="BJ1266" s="591">
        <v>0</v>
      </c>
      <c r="BK1266" s="591">
        <v>0</v>
      </c>
      <c r="BL1266" s="162">
        <f>((BL1260-BL1267)/BI1260-1)-BL1265-BL1264-BL1263</f>
        <v>-1.1102230246251565E-16</v>
      </c>
      <c r="BM1266" s="591">
        <v>0</v>
      </c>
      <c r="BN1266" s="591">
        <v>0</v>
      </c>
      <c r="BO1266" s="162">
        <f>((BO1260-BO1267)/BL1260-1)-BO1265-BO1264-BO1263</f>
        <v>-1.1102230246251565E-16</v>
      </c>
      <c r="BP1266" s="591">
        <v>0</v>
      </c>
      <c r="BQ1266" s="591">
        <v>0</v>
      </c>
      <c r="BR1266" s="162">
        <f>((BR1260-BR1267)/BO1260-1)-BR1265-BR1264-BR1263</f>
        <v>-1.1102230246251565E-16</v>
      </c>
    </row>
    <row r="1267" spans="3:70" outlineLevel="1">
      <c r="C1267" s="384" t="s">
        <v>585</v>
      </c>
      <c r="D1267" s="31" t="s">
        <v>58</v>
      </c>
      <c r="E1267" s="564"/>
      <c r="F1267" s="564"/>
      <c r="G1267" s="564"/>
      <c r="H1267" s="592"/>
      <c r="I1267" s="576"/>
      <c r="J1267" s="592"/>
      <c r="K1267" s="535">
        <f>+K1341</f>
        <v>0</v>
      </c>
      <c r="L1267" s="535">
        <f>+L1341</f>
        <v>0</v>
      </c>
      <c r="M1267" s="167">
        <f>+L1267+K1267</f>
        <v>0</v>
      </c>
      <c r="N1267" s="167">
        <f>+N1341</f>
        <v>0</v>
      </c>
      <c r="O1267" s="167">
        <f>+O1341</f>
        <v>0</v>
      </c>
      <c r="P1267" s="167">
        <f>+O1267+N1267</f>
        <v>0</v>
      </c>
      <c r="Q1267" s="167">
        <f>+Q1341</f>
        <v>0</v>
      </c>
      <c r="R1267" s="167">
        <f>+R1341</f>
        <v>0</v>
      </c>
      <c r="S1267" s="167">
        <f>+R1267+Q1267</f>
        <v>0</v>
      </c>
      <c r="T1267" s="167">
        <f>+T1341</f>
        <v>0</v>
      </c>
      <c r="U1267" s="167">
        <f>+U1341</f>
        <v>0</v>
      </c>
      <c r="V1267" s="167">
        <f>+U1267+T1267</f>
        <v>0</v>
      </c>
      <c r="W1267" s="167">
        <f>+W1341</f>
        <v>0</v>
      </c>
      <c r="X1267" s="167">
        <f>+X1341</f>
        <v>0</v>
      </c>
      <c r="Y1267" s="167">
        <f>+X1267+W1267</f>
        <v>0</v>
      </c>
      <c r="Z1267" s="167">
        <f>+Z1341</f>
        <v>0</v>
      </c>
      <c r="AA1267" s="167">
        <f>+AA1341</f>
        <v>0</v>
      </c>
      <c r="AB1267" s="167">
        <f>+AA1267+Z1267</f>
        <v>0</v>
      </c>
      <c r="AC1267" s="167">
        <f>+AC1341</f>
        <v>0</v>
      </c>
      <c r="AD1267" s="167">
        <f>+AD1341</f>
        <v>0</v>
      </c>
      <c r="AE1267" s="167">
        <f>+AD1267+AC1267</f>
        <v>0</v>
      </c>
      <c r="AF1267" s="603">
        <f>+AF1341</f>
        <v>0</v>
      </c>
      <c r="AG1267" s="1050">
        <f>+AG1341</f>
        <v>0</v>
      </c>
      <c r="AH1267" s="598">
        <f>+AG1267+AF1267</f>
        <v>0</v>
      </c>
      <c r="AI1267" s="603">
        <f>+AI1341</f>
        <v>0</v>
      </c>
      <c r="AJ1267" s="603">
        <f>+AJ1341</f>
        <v>0</v>
      </c>
      <c r="AK1267" s="598">
        <f>+AJ1267+AI1267</f>
        <v>0</v>
      </c>
      <c r="AL1267" s="603">
        <f>+AL1341</f>
        <v>0</v>
      </c>
      <c r="AM1267" s="603">
        <f>+AM1341</f>
        <v>0</v>
      </c>
      <c r="AN1267" s="598">
        <f>+AM1267+AL1267</f>
        <v>0</v>
      </c>
      <c r="AO1267" s="603">
        <f>+AO1341</f>
        <v>0</v>
      </c>
      <c r="AP1267" s="603">
        <f>+AP1341</f>
        <v>0</v>
      </c>
      <c r="AQ1267" s="598">
        <f>+AP1267+AO1267</f>
        <v>0</v>
      </c>
      <c r="AR1267" s="603">
        <f>+AR1341</f>
        <v>0</v>
      </c>
      <c r="AS1267" s="603">
        <f>+AS1341</f>
        <v>0</v>
      </c>
      <c r="AT1267" s="598">
        <f>+AS1267+AR1267</f>
        <v>0</v>
      </c>
      <c r="AU1267" s="603">
        <f>+AU1341</f>
        <v>0</v>
      </c>
      <c r="AV1267" s="603">
        <f>+AV1341</f>
        <v>0</v>
      </c>
      <c r="AW1267" s="598">
        <f>+AV1267+AU1267</f>
        <v>0</v>
      </c>
      <c r="AX1267" s="603">
        <f>+AX1341</f>
        <v>0</v>
      </c>
      <c r="AY1267" s="603">
        <f>+AY1341</f>
        <v>0</v>
      </c>
      <c r="AZ1267" s="598">
        <f>+AY1267+AX1267</f>
        <v>0</v>
      </c>
      <c r="BA1267" s="603">
        <f>+BA1341</f>
        <v>0</v>
      </c>
      <c r="BB1267" s="603">
        <f>+BB1341</f>
        <v>0</v>
      </c>
      <c r="BC1267" s="598">
        <f>+BB1267+BA1267</f>
        <v>0</v>
      </c>
      <c r="BD1267" s="603">
        <f>+BD1341</f>
        <v>0</v>
      </c>
      <c r="BE1267" s="603">
        <f>+BE1341</f>
        <v>0</v>
      </c>
      <c r="BF1267" s="598">
        <f>+BE1267+BD1267</f>
        <v>0</v>
      </c>
      <c r="BG1267" s="603">
        <f>+BG1341</f>
        <v>0</v>
      </c>
      <c r="BH1267" s="603">
        <f>+BH1341</f>
        <v>0</v>
      </c>
      <c r="BI1267" s="598">
        <f>+BH1267+BG1267</f>
        <v>0</v>
      </c>
      <c r="BJ1267" s="603">
        <f>+BJ1341</f>
        <v>0</v>
      </c>
      <c r="BK1267" s="603">
        <f>+BK1341</f>
        <v>0</v>
      </c>
      <c r="BL1267" s="598">
        <f>+BK1267+BJ1267</f>
        <v>0</v>
      </c>
      <c r="BM1267" s="603">
        <f>+BM1341</f>
        <v>0</v>
      </c>
      <c r="BN1267" s="603">
        <f>+BN1341</f>
        <v>0</v>
      </c>
      <c r="BO1267" s="598">
        <f>+BN1267+BM1267</f>
        <v>0</v>
      </c>
      <c r="BP1267" s="603">
        <f>+BP1341</f>
        <v>0</v>
      </c>
      <c r="BQ1267" s="603">
        <f>+BQ1341</f>
        <v>0</v>
      </c>
      <c r="BR1267" s="598">
        <f>+BQ1267+BP1267</f>
        <v>0</v>
      </c>
    </row>
    <row r="1268" spans="3:70" s="8" customFormat="1" outlineLevel="1">
      <c r="C1268" s="95" t="s">
        <v>100</v>
      </c>
      <c r="D1268" s="96" t="s">
        <v>58</v>
      </c>
      <c r="E1268" s="562"/>
      <c r="F1268" s="562"/>
      <c r="G1268" s="562"/>
      <c r="H1268" s="468">
        <f>H1250*H$1277</f>
        <v>33.57</v>
      </c>
      <c r="I1268" s="468">
        <f>I1250*I$1277</f>
        <v>22.540000000000003</v>
      </c>
      <c r="J1268" s="468">
        <f t="shared" si="6564"/>
        <v>56.11</v>
      </c>
      <c r="K1268" s="468">
        <f>K1250*K$1277</f>
        <v>34.199999999999996</v>
      </c>
      <c r="L1268" s="468">
        <f>L1250*L$1277</f>
        <v>37.71</v>
      </c>
      <c r="M1268" s="468">
        <f t="shared" si="6565"/>
        <v>71.91</v>
      </c>
      <c r="N1268" s="468">
        <f>N1250*N$1277</f>
        <v>36.800000000000004</v>
      </c>
      <c r="O1268" s="468">
        <f>O1250*O$1277</f>
        <v>34.56</v>
      </c>
      <c r="P1268" s="468">
        <f t="shared" si="6566"/>
        <v>71.360000000000014</v>
      </c>
      <c r="Q1268" s="468">
        <f>Q1250*Q$1277</f>
        <v>57.59</v>
      </c>
      <c r="R1268" s="468">
        <f>R1250*R$1277</f>
        <v>31.01</v>
      </c>
      <c r="S1268" s="468">
        <f t="shared" si="6567"/>
        <v>88.600000000000009</v>
      </c>
      <c r="T1268" s="468">
        <f>T1250*T$1277</f>
        <v>51.15</v>
      </c>
      <c r="U1268" s="468">
        <f>U1250*U$1277</f>
        <v>32.69</v>
      </c>
      <c r="V1268" s="468">
        <f t="shared" si="6568"/>
        <v>83.84</v>
      </c>
      <c r="W1268" s="468">
        <f>W1250*W$1277</f>
        <v>67.600000000000009</v>
      </c>
      <c r="X1268" s="468">
        <f>X1250*X$1277</f>
        <v>83.550000000000011</v>
      </c>
      <c r="Y1268" s="468">
        <f t="shared" si="6569"/>
        <v>151.15000000000003</v>
      </c>
      <c r="Z1268" s="468">
        <f>Z1250*Z$1277</f>
        <v>79.52</v>
      </c>
      <c r="AA1268" s="468">
        <f>AA1250*AA$1277</f>
        <v>90.02</v>
      </c>
      <c r="AB1268" s="468">
        <f t="shared" si="6570"/>
        <v>169.54</v>
      </c>
      <c r="AC1268" s="104">
        <f>AC1250*AC$1277</f>
        <v>32.28</v>
      </c>
      <c r="AD1268" s="104">
        <f>AD1250*AD$1277</f>
        <v>29.759999999999998</v>
      </c>
      <c r="AE1268" s="468">
        <f>AC1268+AD1268</f>
        <v>62.04</v>
      </c>
      <c r="AF1268" s="468">
        <f>AF1250*AF$1277</f>
        <v>47.430000000000007</v>
      </c>
      <c r="AG1268" s="1045">
        <f>(AD1268*(1+AG1270))+AG1275</f>
        <v>35.950226134615981</v>
      </c>
      <c r="AH1268" s="341">
        <f>+AG1268+AF1268</f>
        <v>83.380226134615981</v>
      </c>
      <c r="AI1268" s="468">
        <f>(AF1268*(1+AI1270))+AI1275</f>
        <v>48.759390336694331</v>
      </c>
      <c r="AJ1268" s="468">
        <f>(AG1268*(1+AJ1270))+AJ1275</f>
        <v>37.70417399987857</v>
      </c>
      <c r="AK1268" s="341">
        <f>+AJ1268+AI1268</f>
        <v>86.463564336572901</v>
      </c>
      <c r="AL1268" s="468">
        <f>(AI1268*(1+AL1270))+AL1275</f>
        <v>53.98793755361924</v>
      </c>
      <c r="AM1268" s="468">
        <f>(AJ1268*(1+AM1270))+AM1275</f>
        <v>41.059427154360165</v>
      </c>
      <c r="AN1268" s="341">
        <f>+AM1268+AL1268</f>
        <v>95.047364707979398</v>
      </c>
      <c r="AO1268" s="468">
        <f>(AL1268*(1+AO1270))+AO1275</f>
        <v>56.510202288088337</v>
      </c>
      <c r="AP1268" s="468">
        <f>(AM1268*(1+AP1270))+AP1275</f>
        <v>42.448621547843992</v>
      </c>
      <c r="AQ1268" s="341">
        <f>+AP1268+AO1268</f>
        <v>98.958823835932321</v>
      </c>
      <c r="AR1268" s="468">
        <f>(AO1268*(1+AR1270))+AR1275</f>
        <v>58.42215434475294</v>
      </c>
      <c r="AS1268" s="468">
        <f>(AP1268*(1+AS1270))+AS1275</f>
        <v>43.884817597138351</v>
      </c>
      <c r="AT1268" s="341">
        <f>+AS1268+AR1268</f>
        <v>102.30697194189129</v>
      </c>
      <c r="AU1268" s="468">
        <f>(AR1268*(1+AU1270))+AU1275</f>
        <v>60.398794909314717</v>
      </c>
      <c r="AV1268" s="468">
        <f>(AS1268*(1+AV1270))+AV1275</f>
        <v>45.369605544515522</v>
      </c>
      <c r="AW1268" s="341">
        <f>+AV1268+AU1268</f>
        <v>105.76840045383024</v>
      </c>
      <c r="AX1268" s="468">
        <f>(AU1268*(1+AX1270))+AX1275</f>
        <v>62.442312636577739</v>
      </c>
      <c r="AY1268" s="468">
        <f>(AV1268*(1+AY1270))+AY1275</f>
        <v>46.904629436107271</v>
      </c>
      <c r="AZ1268" s="341">
        <f>+AY1268+AX1268</f>
        <v>109.34694207268501</v>
      </c>
      <c r="BA1268" s="468">
        <f>(AX1268*(1+BA1270))+BA1275</f>
        <v>64.554970231745543</v>
      </c>
      <c r="BB1268" s="468">
        <f>(AY1268*(1+BB1270))+BB1275</f>
        <v>48.491588942291159</v>
      </c>
      <c r="BC1268" s="341">
        <f>+BB1268+BA1268</f>
        <v>113.0465591740367</v>
      </c>
      <c r="BD1268" s="468">
        <f>(BA1268*(1+BD1270))+BD1275</f>
        <v>66.739106955823857</v>
      </c>
      <c r="BE1268" s="468">
        <f>(BB1268*(1+BE1270))+BE1275</f>
        <v>50.132241239667394</v>
      </c>
      <c r="BF1268" s="341">
        <f>+BE1268+BD1268</f>
        <v>116.87134819549125</v>
      </c>
      <c r="BG1268" s="468">
        <f>(BD1268*(1+BG1270))+BG1275</f>
        <v>68.99714121579045</v>
      </c>
      <c r="BH1268" s="468">
        <f>(BE1268*(1+BH1270))+BH1275</f>
        <v>51.828402956709986</v>
      </c>
      <c r="BI1268" s="341">
        <f>+BH1268+BG1268</f>
        <v>120.82554417250043</v>
      </c>
      <c r="BJ1268" s="468">
        <f>(BG1268*(1+BJ1270))+BJ1275</f>
        <v>71.331573242400196</v>
      </c>
      <c r="BK1268" s="468">
        <f>(BH1268*(1+BK1270))+BK1275</f>
        <v>53.581952185246564</v>
      </c>
      <c r="BL1268" s="341">
        <f>+BK1268+BJ1268</f>
        <v>124.91352542764676</v>
      </c>
      <c r="BM1268" s="468">
        <f>(BJ1268*(1+BM1270))+BM1275</f>
        <v>73.74498785859025</v>
      </c>
      <c r="BN1268" s="468">
        <f>(BK1268*(1+BN1270))+BN1275</f>
        <v>55.394830559994141</v>
      </c>
      <c r="BO1268" s="341">
        <f>+BN1268+BM1268</f>
        <v>129.13981841858438</v>
      </c>
      <c r="BP1268" s="468">
        <f>(BM1268*(1+BP1270))+BP1275</f>
        <v>76.240057341550823</v>
      </c>
      <c r="BQ1268" s="468">
        <f>(BN1268*(1+BQ1270))+BQ1275</f>
        <v>57.269045408453337</v>
      </c>
      <c r="BR1268" s="341">
        <f>+BQ1268+BP1268</f>
        <v>133.50910275000416</v>
      </c>
    </row>
    <row r="1269" spans="3:70" outlineLevel="1">
      <c r="C1269" s="547" t="s">
        <v>669</v>
      </c>
      <c r="D1269" s="7" t="s">
        <v>66</v>
      </c>
      <c r="E1269" s="564"/>
      <c r="F1269" s="564"/>
      <c r="G1269" s="564"/>
      <c r="H1269" s="592"/>
      <c r="I1269" s="592"/>
      <c r="J1269" s="592"/>
      <c r="K1269" s="595">
        <f>+K1268/H1268-1</f>
        <v>1.8766756032171372E-2</v>
      </c>
      <c r="L1269" s="595">
        <f t="shared" ref="L1269" si="6749">+L1268/I1268-1</f>
        <v>0.67302573203194305</v>
      </c>
      <c r="M1269" s="595">
        <f t="shared" ref="M1269" si="6750">+M1268/J1268-1</f>
        <v>0.28158973445018698</v>
      </c>
      <c r="N1269" s="595">
        <f t="shared" ref="N1269" si="6751">+N1268/K1268-1</f>
        <v>7.6023391812865659E-2</v>
      </c>
      <c r="O1269" s="595">
        <f t="shared" ref="O1269" si="6752">+O1268/L1268-1</f>
        <v>-8.3532219570405686E-2</v>
      </c>
      <c r="P1269" s="595">
        <f t="shared" ref="P1269" si="6753">+P1268/M1268-1</f>
        <v>-7.6484494507019773E-3</v>
      </c>
      <c r="Q1269" s="595">
        <f t="shared" ref="Q1269" si="6754">+Q1268/N1268-1</f>
        <v>0.5649456521739129</v>
      </c>
      <c r="R1269" s="595">
        <f t="shared" ref="R1269" si="6755">+R1268/O1268-1</f>
        <v>-0.10271990740740744</v>
      </c>
      <c r="S1269" s="595">
        <f t="shared" ref="S1269" si="6756">+S1268/P1268-1</f>
        <v>0.24159192825112097</v>
      </c>
      <c r="T1269" s="595">
        <f t="shared" ref="T1269" si="6757">+T1268/Q1268-1</f>
        <v>-0.1118249696127801</v>
      </c>
      <c r="U1269" s="595">
        <f t="shared" ref="U1269" si="6758">+U1268/R1268-1</f>
        <v>5.417607223476284E-2</v>
      </c>
      <c r="V1269" s="595">
        <f t="shared" ref="V1269" si="6759">+V1268/S1268-1</f>
        <v>-5.3724604966139955E-2</v>
      </c>
      <c r="W1269" s="595">
        <f t="shared" ref="W1269" si="6760">+W1268/T1268-1</f>
        <v>0.32160312805474112</v>
      </c>
      <c r="X1269" s="595">
        <f t="shared" ref="X1269" si="6761">+X1268/U1268-1</f>
        <v>1.555827470174366</v>
      </c>
      <c r="Y1269" s="595">
        <f t="shared" ref="Y1269" si="6762">+Y1268/V1268-1</f>
        <v>0.80283874045801551</v>
      </c>
      <c r="Z1269" s="595">
        <f t="shared" ref="Z1269" si="6763">+Z1268/W1268-1</f>
        <v>0.1763313609467454</v>
      </c>
      <c r="AA1269" s="595">
        <f t="shared" ref="AA1269" si="6764">+AA1268/X1268-1</f>
        <v>7.7438659485338013E-2</v>
      </c>
      <c r="AB1269" s="595">
        <f t="shared" ref="AB1269" si="6765">+AB1268/Y1268-1</f>
        <v>0.12166721799536862</v>
      </c>
      <c r="AC1269" s="595">
        <f t="shared" ref="AC1269" si="6766">+AC1268/Z1268-1</f>
        <v>-0.59406438631790737</v>
      </c>
      <c r="AD1269" s="595">
        <f t="shared" ref="AD1269" si="6767">+AD1268/AA1268-1</f>
        <v>-0.66940679848922469</v>
      </c>
      <c r="AE1269" s="595">
        <f t="shared" ref="AE1269:AF1269" si="6768">+AE1268/AB1268-1</f>
        <v>-0.63406865636427978</v>
      </c>
      <c r="AF1269" s="595">
        <f t="shared" si="6768"/>
        <v>0.46933085501858751</v>
      </c>
      <c r="AG1269" s="1046">
        <f t="shared" ref="AG1269:AH1269" si="6769">+AG1268/AD1268-1</f>
        <v>0.20800491043736513</v>
      </c>
      <c r="AH1269" s="595">
        <f t="shared" si="6769"/>
        <v>0.34397527618658907</v>
      </c>
      <c r="AI1269" s="595">
        <f t="shared" ref="AI1269" si="6770">+AI1268/AF1268-1</f>
        <v>2.8028470096865377E-2</v>
      </c>
      <c r="AJ1269" s="595">
        <f t="shared" ref="AJ1269" si="6771">+AJ1268/AG1268-1</f>
        <v>4.8788229000143568E-2</v>
      </c>
      <c r="AK1269" s="595">
        <f t="shared" ref="AK1269" si="6772">+AK1268/AH1268-1</f>
        <v>3.697924969619204E-2</v>
      </c>
      <c r="AL1269" s="595">
        <f t="shared" ref="AL1269" si="6773">+AL1268/AI1268-1</f>
        <v>0.10723159540799498</v>
      </c>
      <c r="AM1269" s="595">
        <f t="shared" ref="AM1269" si="6774">+AM1268/AJ1268-1</f>
        <v>8.8988904901945443E-2</v>
      </c>
      <c r="AN1269" s="595">
        <f t="shared" ref="AN1269" si="6775">+AN1268/AK1268-1</f>
        <v>9.9276503776697389E-2</v>
      </c>
      <c r="AO1269" s="595">
        <f t="shared" ref="AO1269" si="6776">+AO1268/AL1268-1</f>
        <v>4.6719042229832475E-2</v>
      </c>
      <c r="AP1269" s="595">
        <f t="shared" ref="AP1269" si="6777">+AP1268/AM1268-1</f>
        <v>3.3833749999999885E-2</v>
      </c>
      <c r="AQ1269" s="595">
        <f t="shared" ref="AQ1269" si="6778">+AQ1268/AN1268-1</f>
        <v>4.1152736217046737E-2</v>
      </c>
      <c r="AR1269" s="595">
        <f t="shared" ref="AR1269" si="6779">+AR1268/AO1268-1</f>
        <v>3.3833749999999885E-2</v>
      </c>
      <c r="AS1269" s="595">
        <f t="shared" ref="AS1269" si="6780">+AS1268/AP1268-1</f>
        <v>3.3833749999999885E-2</v>
      </c>
      <c r="AT1269" s="595">
        <f t="shared" ref="AT1269" si="6781">+AT1268/AQ1268-1</f>
        <v>3.3833749999999885E-2</v>
      </c>
      <c r="AU1269" s="595">
        <f t="shared" ref="AU1269" si="6782">+AU1268/AR1268-1</f>
        <v>3.3833749999999885E-2</v>
      </c>
      <c r="AV1269" s="595">
        <f t="shared" ref="AV1269" si="6783">+AV1268/AS1268-1</f>
        <v>3.3833749999999885E-2</v>
      </c>
      <c r="AW1269" s="595">
        <f t="shared" ref="AW1269" si="6784">+AW1268/AT1268-1</f>
        <v>3.3833749999999885E-2</v>
      </c>
      <c r="AX1269" s="595">
        <f t="shared" ref="AX1269" si="6785">+AX1268/AU1268-1</f>
        <v>3.3833749999999885E-2</v>
      </c>
      <c r="AY1269" s="595">
        <f t="shared" ref="AY1269" si="6786">+AY1268/AV1268-1</f>
        <v>3.3833749999999885E-2</v>
      </c>
      <c r="AZ1269" s="595">
        <f t="shared" ref="AZ1269" si="6787">+AZ1268/AW1268-1</f>
        <v>3.3833749999999885E-2</v>
      </c>
      <c r="BA1269" s="595">
        <f t="shared" ref="BA1269" si="6788">+BA1268/AX1268-1</f>
        <v>3.3833749999999885E-2</v>
      </c>
      <c r="BB1269" s="595">
        <f t="shared" ref="BB1269" si="6789">+BB1268/AY1268-1</f>
        <v>3.3833749999999885E-2</v>
      </c>
      <c r="BC1269" s="595">
        <f t="shared" ref="BC1269" si="6790">+BC1268/AZ1268-1</f>
        <v>3.3833749999999885E-2</v>
      </c>
      <c r="BD1269" s="595">
        <f t="shared" ref="BD1269" si="6791">+BD1268/BA1268-1</f>
        <v>3.3833749999999885E-2</v>
      </c>
      <c r="BE1269" s="595">
        <f t="shared" ref="BE1269" si="6792">+BE1268/BB1268-1</f>
        <v>3.3833749999999885E-2</v>
      </c>
      <c r="BF1269" s="595">
        <f t="shared" ref="BF1269" si="6793">+BF1268/BC1268-1</f>
        <v>3.3833749999999885E-2</v>
      </c>
      <c r="BG1269" s="595">
        <f t="shared" ref="BG1269" si="6794">+BG1268/BD1268-1</f>
        <v>3.3833749999999885E-2</v>
      </c>
      <c r="BH1269" s="595">
        <f t="shared" ref="BH1269" si="6795">+BH1268/BE1268-1</f>
        <v>3.3833749999999885E-2</v>
      </c>
      <c r="BI1269" s="595">
        <f t="shared" ref="BI1269" si="6796">+BI1268/BF1268-1</f>
        <v>3.3833749999999885E-2</v>
      </c>
      <c r="BJ1269" s="595">
        <f t="shared" ref="BJ1269" si="6797">+BJ1268/BG1268-1</f>
        <v>3.3833749999999885E-2</v>
      </c>
      <c r="BK1269" s="595">
        <f t="shared" ref="BK1269" si="6798">+BK1268/BH1268-1</f>
        <v>3.3833749999999885E-2</v>
      </c>
      <c r="BL1269" s="595">
        <f t="shared" ref="BL1269" si="6799">+BL1268/BI1268-1</f>
        <v>3.3833749999999885E-2</v>
      </c>
      <c r="BM1269" s="595">
        <f t="shared" ref="BM1269" si="6800">+BM1268/BJ1268-1</f>
        <v>3.3833749999999885E-2</v>
      </c>
      <c r="BN1269" s="595">
        <f t="shared" ref="BN1269" si="6801">+BN1268/BK1268-1</f>
        <v>3.3833749999999885E-2</v>
      </c>
      <c r="BO1269" s="595">
        <f t="shared" ref="BO1269" si="6802">+BO1268/BL1268-1</f>
        <v>3.3833749999999885E-2</v>
      </c>
      <c r="BP1269" s="595">
        <f t="shared" ref="BP1269" si="6803">+BP1268/BM1268-1</f>
        <v>3.3833749999999885E-2</v>
      </c>
      <c r="BQ1269" s="595">
        <f t="shared" ref="BQ1269" si="6804">+BQ1268/BN1268-1</f>
        <v>3.3833749999999885E-2</v>
      </c>
      <c r="BR1269" s="595">
        <f t="shared" ref="BR1269" si="6805">+BR1268/BO1268-1</f>
        <v>3.3833749999999885E-2</v>
      </c>
    </row>
    <row r="1270" spans="3:70" outlineLevel="1">
      <c r="C1270" s="596" t="s">
        <v>598</v>
      </c>
      <c r="D1270" s="7" t="s">
        <v>66</v>
      </c>
      <c r="E1270" s="564"/>
      <c r="F1270" s="564"/>
      <c r="G1270" s="564"/>
      <c r="H1270" s="592"/>
      <c r="I1270" s="592"/>
      <c r="J1270" s="592"/>
      <c r="K1270" s="604">
        <f t="shared" ref="K1270" si="6806">K1269-(K1275/H1268)</f>
        <v>1.8766756032171372E-2</v>
      </c>
      <c r="L1270" s="604">
        <f t="shared" ref="L1270" si="6807">L1269-(L1275/I1268)</f>
        <v>0.67302573203194305</v>
      </c>
      <c r="M1270" s="604">
        <f t="shared" ref="M1270" si="6808">M1269-(M1275/J1268)</f>
        <v>0.28158973445018698</v>
      </c>
      <c r="N1270" s="604">
        <f t="shared" ref="N1270" si="6809">N1269-(N1275/K1268)</f>
        <v>7.6023391812865659E-2</v>
      </c>
      <c r="O1270" s="604">
        <f t="shared" ref="O1270" si="6810">O1269-(O1275/L1268)</f>
        <v>-8.3532219570405686E-2</v>
      </c>
      <c r="P1270" s="604">
        <f t="shared" ref="P1270" si="6811">P1269-(P1275/M1268)</f>
        <v>-7.6484494507019773E-3</v>
      </c>
      <c r="Q1270" s="604">
        <f t="shared" ref="Q1270" si="6812">Q1269-(Q1275/N1268)</f>
        <v>0.5649456521739129</v>
      </c>
      <c r="R1270" s="604">
        <f t="shared" ref="R1270" si="6813">R1269-(R1275/O1268)</f>
        <v>-0.10271990740740744</v>
      </c>
      <c r="S1270" s="604">
        <f t="shared" ref="S1270" si="6814">S1269-(S1275/P1268)</f>
        <v>0.24159192825112097</v>
      </c>
      <c r="T1270" s="604">
        <f t="shared" ref="T1270" si="6815">T1269-(T1275/Q1268)</f>
        <v>-0.1118249696127801</v>
      </c>
      <c r="U1270" s="604">
        <f t="shared" ref="U1270" si="6816">U1269-(U1275/R1268)</f>
        <v>5.417607223476284E-2</v>
      </c>
      <c r="V1270" s="604">
        <f t="shared" ref="V1270" si="6817">V1269-(V1275/S1268)</f>
        <v>-5.3724604966139955E-2</v>
      </c>
      <c r="W1270" s="604">
        <f t="shared" ref="W1270" si="6818">W1269-(W1275/T1268)</f>
        <v>0.32160312805474112</v>
      </c>
      <c r="X1270" s="604">
        <f t="shared" ref="X1270" si="6819">X1269-(X1275/U1268)</f>
        <v>1.555827470174366</v>
      </c>
      <c r="Y1270" s="604">
        <f t="shared" ref="Y1270" si="6820">Y1269-(Y1275/V1268)</f>
        <v>0.80283874045801551</v>
      </c>
      <c r="Z1270" s="604">
        <f t="shared" ref="Z1270" si="6821">Z1269-(Z1275/W1268)</f>
        <v>0.1763313609467454</v>
      </c>
      <c r="AA1270" s="604">
        <f t="shared" ref="AA1270" si="6822">AA1269-(AA1275/X1268)</f>
        <v>7.7438659485338013E-2</v>
      </c>
      <c r="AB1270" s="604">
        <f t="shared" ref="AB1270" si="6823">AB1269-(AB1275/Y1268)</f>
        <v>0.12166721799536862</v>
      </c>
      <c r="AC1270" s="604">
        <f t="shared" ref="AC1270" si="6824">AC1269-(AC1275/Z1268)</f>
        <v>-0.59406438631790737</v>
      </c>
      <c r="AD1270" s="604">
        <f t="shared" ref="AD1270" si="6825">AD1269-(AD1275/AA1268)</f>
        <v>-0.6814411612234319</v>
      </c>
      <c r="AE1270" s="604">
        <f>AE1269-(AE1275/AB1268)</f>
        <v>-0.64045849553694312</v>
      </c>
      <c r="AF1270" s="590">
        <f t="shared" ref="AF1270" si="6826">AF1269-(AF1275/AC1268)</f>
        <v>0.2679677819083025</v>
      </c>
      <c r="AG1270" s="1047">
        <f t="shared" ref="AG1270:AN1270" si="6827">+AG1271+AG1272+AG1273+AG1274</f>
        <v>2.5993261691845307E-2</v>
      </c>
      <c r="AH1270" s="590">
        <f t="shared" si="6827"/>
        <v>0.15189489793599795</v>
      </c>
      <c r="AI1270" s="590">
        <f t="shared" si="6827"/>
        <v>2.8028470096865467E-2</v>
      </c>
      <c r="AJ1270" s="590">
        <f t="shared" si="6827"/>
        <v>4.8788229000143533E-2</v>
      </c>
      <c r="AK1270" s="590">
        <f t="shared" si="6827"/>
        <v>3.697924969619204E-2</v>
      </c>
      <c r="AL1270" s="590">
        <f t="shared" si="6827"/>
        <v>0.10723159540799501</v>
      </c>
      <c r="AM1270" s="590">
        <f t="shared" si="6827"/>
        <v>8.898890490194554E-2</v>
      </c>
      <c r="AN1270" s="590">
        <f t="shared" si="6827"/>
        <v>9.9276503776697389E-2</v>
      </c>
      <c r="AO1270" s="590">
        <f t="shared" ref="AO1270:BR1270" si="6828">+AO1271+AO1272+AO1273+AO1274</f>
        <v>4.6719042229832572E-2</v>
      </c>
      <c r="AP1270" s="590">
        <f t="shared" si="6828"/>
        <v>3.3833749999999996E-2</v>
      </c>
      <c r="AQ1270" s="590">
        <f t="shared" si="6828"/>
        <v>4.1152736217046737E-2</v>
      </c>
      <c r="AR1270" s="590">
        <f t="shared" si="6828"/>
        <v>3.3833749999999996E-2</v>
      </c>
      <c r="AS1270" s="590">
        <f t="shared" si="6828"/>
        <v>3.3833749999999996E-2</v>
      </c>
      <c r="AT1270" s="590">
        <f t="shared" si="6828"/>
        <v>3.3833749999999885E-2</v>
      </c>
      <c r="AU1270" s="590">
        <f t="shared" si="6828"/>
        <v>3.3833749999999996E-2</v>
      </c>
      <c r="AV1270" s="590">
        <f t="shared" si="6828"/>
        <v>3.3833749999999996E-2</v>
      </c>
      <c r="AW1270" s="590">
        <f t="shared" si="6828"/>
        <v>3.3833749999999885E-2</v>
      </c>
      <c r="AX1270" s="590">
        <f t="shared" si="6828"/>
        <v>3.3833749999999996E-2</v>
      </c>
      <c r="AY1270" s="590">
        <f t="shared" si="6828"/>
        <v>3.3833749999999996E-2</v>
      </c>
      <c r="AZ1270" s="590">
        <f t="shared" si="6828"/>
        <v>3.3833749999999885E-2</v>
      </c>
      <c r="BA1270" s="590">
        <f t="shared" si="6828"/>
        <v>3.3833749999999996E-2</v>
      </c>
      <c r="BB1270" s="590">
        <f t="shared" si="6828"/>
        <v>3.3833749999999996E-2</v>
      </c>
      <c r="BC1270" s="590">
        <f t="shared" si="6828"/>
        <v>3.3833749999999885E-2</v>
      </c>
      <c r="BD1270" s="590">
        <f t="shared" si="6828"/>
        <v>3.3833749999999996E-2</v>
      </c>
      <c r="BE1270" s="590">
        <f t="shared" si="6828"/>
        <v>3.3833749999999996E-2</v>
      </c>
      <c r="BF1270" s="590">
        <f t="shared" si="6828"/>
        <v>3.3833749999999885E-2</v>
      </c>
      <c r="BG1270" s="590">
        <f t="shared" si="6828"/>
        <v>3.3833749999999996E-2</v>
      </c>
      <c r="BH1270" s="590">
        <f t="shared" si="6828"/>
        <v>3.3833749999999996E-2</v>
      </c>
      <c r="BI1270" s="590">
        <f t="shared" si="6828"/>
        <v>3.3833749999999885E-2</v>
      </c>
      <c r="BJ1270" s="590">
        <f t="shared" si="6828"/>
        <v>3.3833749999999996E-2</v>
      </c>
      <c r="BK1270" s="590">
        <f t="shared" si="6828"/>
        <v>3.3833749999999996E-2</v>
      </c>
      <c r="BL1270" s="590">
        <f t="shared" si="6828"/>
        <v>3.3833749999999885E-2</v>
      </c>
      <c r="BM1270" s="590">
        <f t="shared" si="6828"/>
        <v>3.3833749999999996E-2</v>
      </c>
      <c r="BN1270" s="590">
        <f t="shared" si="6828"/>
        <v>3.3833749999999996E-2</v>
      </c>
      <c r="BO1270" s="590">
        <f t="shared" si="6828"/>
        <v>3.3833749999999885E-2</v>
      </c>
      <c r="BP1270" s="590">
        <f t="shared" si="6828"/>
        <v>3.3833749999999996E-2</v>
      </c>
      <c r="BQ1270" s="590">
        <f t="shared" si="6828"/>
        <v>3.3833749999999996E-2</v>
      </c>
      <c r="BR1270" s="590">
        <f t="shared" si="6828"/>
        <v>3.3833749999999885E-2</v>
      </c>
    </row>
    <row r="1271" spans="3:70" outlineLevel="1">
      <c r="C1271" s="594" t="s">
        <v>534</v>
      </c>
      <c r="D1271" s="31" t="s">
        <v>66</v>
      </c>
      <c r="E1271" s="564"/>
      <c r="F1271" s="564"/>
      <c r="G1271" s="564"/>
      <c r="H1271" s="592"/>
      <c r="I1271" s="576"/>
      <c r="J1271" s="592"/>
      <c r="K1271" s="592"/>
      <c r="L1271" s="592"/>
      <c r="M1271" s="592"/>
      <c r="N1271" s="592"/>
      <c r="O1271" s="592"/>
      <c r="P1271" s="592"/>
      <c r="Q1271" s="592"/>
      <c r="R1271" s="592"/>
      <c r="S1271" s="592"/>
      <c r="T1271" s="592"/>
      <c r="U1271" s="592"/>
      <c r="V1271" s="592"/>
      <c r="W1271" s="592"/>
      <c r="X1271" s="592"/>
      <c r="Y1271" s="592"/>
      <c r="Z1271" s="592"/>
      <c r="AA1271" s="592"/>
      <c r="AB1271" s="592"/>
      <c r="AC1271" s="592"/>
      <c r="AD1271" s="592"/>
      <c r="AE1271" s="592"/>
      <c r="AF1271" s="921">
        <f>+AF363</f>
        <v>2.8443750000000004E-2</v>
      </c>
      <c r="AG1271" s="1047">
        <f>+AG363</f>
        <v>1.4427499999999999E-2</v>
      </c>
      <c r="AH1271" s="590">
        <f>(AF$1268/AH$1268*AF1271)+(AG$1268/AH$1268*AG1271)</f>
        <v>2.2400502333031657E-2</v>
      </c>
      <c r="AI1271" s="590">
        <f>+AI363</f>
        <v>4.3270000000000003E-2</v>
      </c>
      <c r="AJ1271" s="590">
        <f>+AJ363</f>
        <v>4.0983749999999999E-2</v>
      </c>
      <c r="AK1271" s="590">
        <f t="shared" ref="AK1271" si="6829">(AI$1268/AK$1268*AI1271)+(AJ$1268/AK$1268*AJ1271)</f>
        <v>4.2273034764196499E-2</v>
      </c>
      <c r="AL1271" s="590">
        <f>+AL363</f>
        <v>4.3833749999999998E-2</v>
      </c>
      <c r="AM1271" s="590">
        <f>+AM363</f>
        <v>4.3833749999999998E-2</v>
      </c>
      <c r="AN1271" s="590">
        <f t="shared" ref="AN1271" si="6830">(AL$1268/AN$1268*AL1271)+(AM$1268/AN$1268*AM1271)</f>
        <v>4.3833750000000005E-2</v>
      </c>
      <c r="AO1271" s="590">
        <f>+AO363</f>
        <v>3.3833749999999996E-2</v>
      </c>
      <c r="AP1271" s="590">
        <f>+AP363</f>
        <v>3.3833749999999996E-2</v>
      </c>
      <c r="AQ1271" s="590">
        <f t="shared" ref="AQ1271" si="6831">(AO$1268/AQ$1268*AO1271)+(AP$1268/AQ$1268*AP1271)</f>
        <v>3.3833749999999996E-2</v>
      </c>
      <c r="AR1271" s="590">
        <f>+AR363</f>
        <v>3.3833749999999996E-2</v>
      </c>
      <c r="AS1271" s="590">
        <f>+AS363</f>
        <v>3.3833749999999996E-2</v>
      </c>
      <c r="AT1271" s="590">
        <f t="shared" ref="AT1271" si="6832">(AR$1268/AT$1268*AR1271)+(AS$1268/AT$1268*AS1271)</f>
        <v>3.3833749999999996E-2</v>
      </c>
      <c r="AU1271" s="590">
        <f>+AU363</f>
        <v>3.3833749999999996E-2</v>
      </c>
      <c r="AV1271" s="590">
        <f>+AV363</f>
        <v>3.3833749999999996E-2</v>
      </c>
      <c r="AW1271" s="590">
        <f t="shared" ref="AW1271" si="6833">(AU$1268/AW$1268*AU1271)+(AV$1268/AW$1268*AV1271)</f>
        <v>3.3833749999999996E-2</v>
      </c>
      <c r="AX1271" s="590">
        <f>+AX363</f>
        <v>3.3833749999999996E-2</v>
      </c>
      <c r="AY1271" s="590">
        <f>+AY363</f>
        <v>3.3833749999999996E-2</v>
      </c>
      <c r="AZ1271" s="590">
        <f t="shared" ref="AZ1271" si="6834">(AX$1268/AZ$1268*AX1271)+(AY$1268/AZ$1268*AY1271)</f>
        <v>3.3833749999999996E-2</v>
      </c>
      <c r="BA1271" s="590">
        <f>+BA363</f>
        <v>3.3833749999999996E-2</v>
      </c>
      <c r="BB1271" s="590">
        <f>+BB363</f>
        <v>3.3833749999999996E-2</v>
      </c>
      <c r="BC1271" s="590">
        <f t="shared" ref="BC1271" si="6835">(BA$1268/BC$1268*BA1271)+(BB$1268/BC$1268*BB1271)</f>
        <v>3.3833749999999996E-2</v>
      </c>
      <c r="BD1271" s="590">
        <f>+BD363</f>
        <v>3.3833749999999996E-2</v>
      </c>
      <c r="BE1271" s="590">
        <f>+BE363</f>
        <v>3.3833749999999996E-2</v>
      </c>
      <c r="BF1271" s="590">
        <f t="shared" ref="BF1271" si="6836">(BD$1268/BF$1268*BD1271)+(BE$1268/BF$1268*BE1271)</f>
        <v>3.3833749999999996E-2</v>
      </c>
      <c r="BG1271" s="590">
        <f>+BG363</f>
        <v>3.3833749999999996E-2</v>
      </c>
      <c r="BH1271" s="590">
        <f>+BH363</f>
        <v>3.3833749999999996E-2</v>
      </c>
      <c r="BI1271" s="590">
        <f t="shared" ref="BI1271" si="6837">(BG$1268/BI$1268*BG1271)+(BH$1268/BI$1268*BH1271)</f>
        <v>3.3833749999999996E-2</v>
      </c>
      <c r="BJ1271" s="590">
        <f>+BJ363</f>
        <v>3.3833749999999996E-2</v>
      </c>
      <c r="BK1271" s="590">
        <f>+BK363</f>
        <v>3.3833749999999996E-2</v>
      </c>
      <c r="BL1271" s="590">
        <f t="shared" ref="BL1271" si="6838">(BJ$1268/BL$1268*BJ1271)+(BK$1268/BL$1268*BK1271)</f>
        <v>3.3833749999999996E-2</v>
      </c>
      <c r="BM1271" s="590">
        <f>+BM363</f>
        <v>3.3833749999999996E-2</v>
      </c>
      <c r="BN1271" s="590">
        <f>+BN363</f>
        <v>3.3833749999999996E-2</v>
      </c>
      <c r="BO1271" s="590">
        <f t="shared" ref="BO1271" si="6839">(BM$1268/BO$1268*BM1271)+(BN$1268/BO$1268*BN1271)</f>
        <v>3.3833749999999996E-2</v>
      </c>
      <c r="BP1271" s="590">
        <f>+BP363</f>
        <v>3.3833749999999996E-2</v>
      </c>
      <c r="BQ1271" s="590">
        <f>+BQ363</f>
        <v>3.3833749999999996E-2</v>
      </c>
      <c r="BR1271" s="590">
        <f t="shared" ref="BR1271" si="6840">(BP$1268/BR$1268*BP1271)+(BQ$1268/BR$1268*BQ1271)</f>
        <v>3.3833749999999996E-2</v>
      </c>
    </row>
    <row r="1272" spans="3:70" outlineLevel="1">
      <c r="C1272" s="594" t="s">
        <v>92</v>
      </c>
      <c r="D1272" s="31" t="s">
        <v>66</v>
      </c>
      <c r="E1272" s="564"/>
      <c r="F1272" s="564"/>
      <c r="G1272" s="564"/>
      <c r="H1272" s="592"/>
      <c r="I1272" s="576"/>
      <c r="J1272" s="592"/>
      <c r="K1272" s="592"/>
      <c r="L1272" s="592"/>
      <c r="M1272" s="592"/>
      <c r="N1272" s="592"/>
      <c r="O1272" s="592"/>
      <c r="P1272" s="592"/>
      <c r="Q1272" s="592"/>
      <c r="R1272" s="592"/>
      <c r="S1272" s="592"/>
      <c r="T1272" s="592"/>
      <c r="U1272" s="592"/>
      <c r="V1272" s="592"/>
      <c r="W1272" s="592"/>
      <c r="X1272" s="592"/>
      <c r="Y1272" s="592"/>
      <c r="Z1272" s="592"/>
      <c r="AA1272" s="592"/>
      <c r="AB1272" s="592"/>
      <c r="AC1272" s="592"/>
      <c r="AD1272" s="592"/>
      <c r="AE1272" s="592"/>
      <c r="AF1272" s="923">
        <f>+AF366</f>
        <v>3.9774539116565977E-2</v>
      </c>
      <c r="AG1272" s="977">
        <f>+AG366</f>
        <v>4.4042001309690826E-2</v>
      </c>
      <c r="AH1272" s="590">
        <f>(AF$1268/AH$1268*AF1272)+(AG$1268/AH$1268*AG1272)</f>
        <v>4.1614498516724899E-2</v>
      </c>
      <c r="AI1272" s="386">
        <f>+AI366</f>
        <v>2.7229945632338881E-2</v>
      </c>
      <c r="AJ1272" s="386">
        <f>+AJ366</f>
        <v>4.0322580645161255E-3</v>
      </c>
      <c r="AK1272" s="590">
        <f>(AI$1268/AK$1268*AI1272)+(AJ$1268/AK$1268*AJ1272)</f>
        <v>1.7114128002530111E-2</v>
      </c>
      <c r="AL1272" s="386">
        <f>+AL366</f>
        <v>0</v>
      </c>
      <c r="AM1272" s="386">
        <f>+AM366</f>
        <v>7.9365079365079638E-3</v>
      </c>
      <c r="AN1272" s="590">
        <f>(AL$1268/AN$1268*AL1272)+(AM$1268/AN$1268*AM1272)</f>
        <v>3.428485055637664E-3</v>
      </c>
      <c r="AO1272" s="386">
        <f>+AO366</f>
        <v>7.9365079365079638E-3</v>
      </c>
      <c r="AP1272" s="386">
        <f>+AP366</f>
        <v>0</v>
      </c>
      <c r="AQ1272" s="590">
        <f>(AO$1268/AQ$1268*AO1272)+(AP$1268/AQ$1268*AP1272)</f>
        <v>4.5321240852322442E-3</v>
      </c>
      <c r="AR1272" s="386">
        <f>+AR366</f>
        <v>0</v>
      </c>
      <c r="AS1272" s="386">
        <f>+AS366</f>
        <v>0</v>
      </c>
      <c r="AT1272" s="590">
        <f>(AR$1268/AT$1268*AR1272)+(AS$1268/AT$1268*AS1272)</f>
        <v>0</v>
      </c>
      <c r="AU1272" s="386">
        <f>+AU366</f>
        <v>0</v>
      </c>
      <c r="AV1272" s="386">
        <f>+AV366</f>
        <v>0</v>
      </c>
      <c r="AW1272" s="590">
        <f>(AU$1268/AW$1268*AU1272)+(AV$1268/AW$1268*AV1272)</f>
        <v>0</v>
      </c>
      <c r="AX1272" s="386">
        <f>+AX366</f>
        <v>0</v>
      </c>
      <c r="AY1272" s="386">
        <f>+AY366</f>
        <v>0</v>
      </c>
      <c r="AZ1272" s="590">
        <f>(AX$1268/AZ$1268*AX1272)+(AY$1268/AZ$1268*AY1272)</f>
        <v>0</v>
      </c>
      <c r="BA1272" s="386">
        <f>+BA366</f>
        <v>0</v>
      </c>
      <c r="BB1272" s="386">
        <f>+BB366</f>
        <v>0</v>
      </c>
      <c r="BC1272" s="590">
        <f>(BA$1268/BC$1268*BA1272)+(BB$1268/BC$1268*BB1272)</f>
        <v>0</v>
      </c>
      <c r="BD1272" s="386">
        <f>+BD366</f>
        <v>0</v>
      </c>
      <c r="BE1272" s="386">
        <f>+BE366</f>
        <v>0</v>
      </c>
      <c r="BF1272" s="590">
        <f>(BD$1268/BF$1268*BD1272)+(BE$1268/BF$1268*BE1272)</f>
        <v>0</v>
      </c>
      <c r="BG1272" s="386">
        <f>+BG366</f>
        <v>0</v>
      </c>
      <c r="BH1272" s="386">
        <f>+BH366</f>
        <v>0</v>
      </c>
      <c r="BI1272" s="590">
        <f>(BG$1268/BI$1268*BG1272)+(BH$1268/BI$1268*BH1272)</f>
        <v>0</v>
      </c>
      <c r="BJ1272" s="386">
        <f>+BJ366</f>
        <v>0</v>
      </c>
      <c r="BK1272" s="386">
        <f>+BK366</f>
        <v>0</v>
      </c>
      <c r="BL1272" s="590">
        <f>(BJ$1268/BL$1268*BJ1272)+(BK$1268/BL$1268*BK1272)</f>
        <v>0</v>
      </c>
      <c r="BM1272" s="386">
        <f>+BM366</f>
        <v>0</v>
      </c>
      <c r="BN1272" s="386">
        <f>+BN366</f>
        <v>0</v>
      </c>
      <c r="BO1272" s="590">
        <f>(BM$1268/BO$1268*BM1272)+(BN$1268/BO$1268*BN1272)</f>
        <v>0</v>
      </c>
      <c r="BP1272" s="386">
        <f>+BP366</f>
        <v>0</v>
      </c>
      <c r="BQ1272" s="386">
        <f>+BQ366</f>
        <v>0</v>
      </c>
      <c r="BR1272" s="590">
        <f>(BP$1268/BR$1268*BP1272)+(BQ$1268/BR$1268*BQ1272)</f>
        <v>0</v>
      </c>
    </row>
    <row r="1273" spans="3:70" outlineLevel="1">
      <c r="C1273" s="594" t="s">
        <v>280</v>
      </c>
      <c r="D1273" s="31" t="s">
        <v>66</v>
      </c>
      <c r="E1273" s="564"/>
      <c r="F1273" s="564"/>
      <c r="G1273" s="564"/>
      <c r="H1273" s="592"/>
      <c r="I1273" s="576"/>
      <c r="J1273" s="592"/>
      <c r="K1273" s="592"/>
      <c r="L1273" s="592"/>
      <c r="M1273" s="592"/>
      <c r="N1273" s="592"/>
      <c r="O1273" s="592"/>
      <c r="P1273" s="592"/>
      <c r="Q1273" s="592"/>
      <c r="R1273" s="592"/>
      <c r="S1273" s="592"/>
      <c r="T1273" s="592"/>
      <c r="U1273" s="592"/>
      <c r="V1273" s="592"/>
      <c r="W1273" s="592"/>
      <c r="X1273" s="592"/>
      <c r="Y1273" s="592"/>
      <c r="Z1273" s="592"/>
      <c r="AA1273" s="592"/>
      <c r="AB1273" s="592"/>
      <c r="AC1273" s="592"/>
      <c r="AD1273" s="592"/>
      <c r="AE1273" s="592"/>
      <c r="AF1273" s="921">
        <f>+AF372</f>
        <v>-9.8665504121241213E-3</v>
      </c>
      <c r="AG1273" s="1047">
        <f>+AG372</f>
        <v>-3.2476239617845515E-2</v>
      </c>
      <c r="AH1273" s="590">
        <f>(AF$1268/AH$1268*AF1273)+(AG$1268/AH$1268*AG1273)</f>
        <v>-1.9614946134471772E-2</v>
      </c>
      <c r="AI1273" s="590">
        <f>+AI372</f>
        <v>-4.2471475535473417E-2</v>
      </c>
      <c r="AJ1273" s="590">
        <f>+AJ372</f>
        <v>3.7722209356274104E-3</v>
      </c>
      <c r="AK1273" s="590">
        <f t="shared" ref="AK1273" si="6841">(AI$1268/AK$1268*AI1273)+(AJ$1268/AK$1268*AJ1273)</f>
        <v>-2.2305982804260095E-2</v>
      </c>
      <c r="AL1273" s="590">
        <f>+AL372</f>
        <v>6.3397845407995007E-2</v>
      </c>
      <c r="AM1273" s="590">
        <f>+AM372</f>
        <v>3.7218646965437578E-2</v>
      </c>
      <c r="AN1273" s="590">
        <f t="shared" ref="AN1273" si="6842">(AL$1268/AN$1268*AL1273)+(AM$1268/AN$1268*AM1273)</f>
        <v>5.2088716588756051E-2</v>
      </c>
      <c r="AO1273" s="590">
        <f>+AO372</f>
        <v>4.9487842933246158E-3</v>
      </c>
      <c r="AP1273" s="590">
        <f>+AP372</f>
        <v>0</v>
      </c>
      <c r="AQ1273" s="590">
        <f t="shared" ref="AQ1273" si="6843">(AO$1268/AQ$1268*AO1273)+(AP$1268/AQ$1268*AP1273)</f>
        <v>2.8259915655378261E-3</v>
      </c>
      <c r="AR1273" s="590">
        <f>+AR372</f>
        <v>0</v>
      </c>
      <c r="AS1273" s="590">
        <f>+AS372</f>
        <v>0</v>
      </c>
      <c r="AT1273" s="590">
        <f t="shared" ref="AT1273" si="6844">(AR$1268/AT$1268*AR1273)+(AS$1268/AT$1268*AS1273)</f>
        <v>0</v>
      </c>
      <c r="AU1273" s="590">
        <f>+AU372</f>
        <v>0</v>
      </c>
      <c r="AV1273" s="590">
        <f>+AV372</f>
        <v>0</v>
      </c>
      <c r="AW1273" s="590">
        <f t="shared" ref="AW1273" si="6845">(AU$1268/AW$1268*AU1273)+(AV$1268/AW$1268*AV1273)</f>
        <v>0</v>
      </c>
      <c r="AX1273" s="590">
        <f>+AX372</f>
        <v>0</v>
      </c>
      <c r="AY1273" s="590">
        <f>+AY372</f>
        <v>0</v>
      </c>
      <c r="AZ1273" s="590">
        <f t="shared" ref="AZ1273" si="6846">(AX$1268/AZ$1268*AX1273)+(AY$1268/AZ$1268*AY1273)</f>
        <v>0</v>
      </c>
      <c r="BA1273" s="590">
        <f>+BA372</f>
        <v>0</v>
      </c>
      <c r="BB1273" s="590">
        <f>+BB372</f>
        <v>0</v>
      </c>
      <c r="BC1273" s="590">
        <f t="shared" ref="BC1273" si="6847">(BA$1268/BC$1268*BA1273)+(BB$1268/BC$1268*BB1273)</f>
        <v>0</v>
      </c>
      <c r="BD1273" s="590">
        <f>+BD372</f>
        <v>0</v>
      </c>
      <c r="BE1273" s="590">
        <f>+BE372</f>
        <v>0</v>
      </c>
      <c r="BF1273" s="590">
        <f t="shared" ref="BF1273" si="6848">(BD$1268/BF$1268*BD1273)+(BE$1268/BF$1268*BE1273)</f>
        <v>0</v>
      </c>
      <c r="BG1273" s="590">
        <f>+BG372</f>
        <v>0</v>
      </c>
      <c r="BH1273" s="590">
        <f>+BH372</f>
        <v>0</v>
      </c>
      <c r="BI1273" s="590">
        <f t="shared" ref="BI1273" si="6849">(BG$1268/BI$1268*BG1273)+(BH$1268/BI$1268*BH1273)</f>
        <v>0</v>
      </c>
      <c r="BJ1273" s="590">
        <f>+BJ372</f>
        <v>0</v>
      </c>
      <c r="BK1273" s="590">
        <f>+BK372</f>
        <v>0</v>
      </c>
      <c r="BL1273" s="590">
        <f t="shared" ref="BL1273" si="6850">(BJ$1268/BL$1268*BJ1273)+(BK$1268/BL$1268*BK1273)</f>
        <v>0</v>
      </c>
      <c r="BM1273" s="590">
        <f>+BM372</f>
        <v>0</v>
      </c>
      <c r="BN1273" s="590">
        <f>+BN372</f>
        <v>0</v>
      </c>
      <c r="BO1273" s="590">
        <f t="shared" ref="BO1273" si="6851">(BM$1268/BO$1268*BM1273)+(BN$1268/BO$1268*BN1273)</f>
        <v>0</v>
      </c>
      <c r="BP1273" s="590">
        <f>+BP372</f>
        <v>0</v>
      </c>
      <c r="BQ1273" s="590">
        <f>+BQ372</f>
        <v>0</v>
      </c>
      <c r="BR1273" s="590">
        <f t="shared" ref="BR1273" si="6852">(BP$1268/BR$1268*BP1273)+(BQ$1268/BR$1268*BQ1273)</f>
        <v>0</v>
      </c>
    </row>
    <row r="1274" spans="3:70" outlineLevel="1">
      <c r="C1274" s="594" t="s">
        <v>614</v>
      </c>
      <c r="D1274" s="31" t="s">
        <v>66</v>
      </c>
      <c r="E1274" s="564"/>
      <c r="F1274" s="564"/>
      <c r="G1274" s="564"/>
      <c r="H1274" s="592"/>
      <c r="I1274" s="576"/>
      <c r="J1274" s="592"/>
      <c r="K1274" s="592"/>
      <c r="L1274" s="592"/>
      <c r="M1274" s="592"/>
      <c r="N1274" s="592"/>
      <c r="O1274" s="592"/>
      <c r="P1274" s="592"/>
      <c r="Q1274" s="592"/>
      <c r="R1274" s="592"/>
      <c r="S1274" s="592"/>
      <c r="T1274" s="592"/>
      <c r="U1274" s="592"/>
      <c r="V1274" s="592"/>
      <c r="W1274" s="592"/>
      <c r="X1274" s="592"/>
      <c r="Y1274" s="592"/>
      <c r="Z1274" s="592"/>
      <c r="AA1274" s="592"/>
      <c r="AB1274" s="592"/>
      <c r="AC1274" s="592"/>
      <c r="AD1274" s="592"/>
      <c r="AE1274" s="592"/>
      <c r="AF1274" s="912">
        <v>0</v>
      </c>
      <c r="AG1274" s="975">
        <v>0</v>
      </c>
      <c r="AH1274" s="162">
        <f>((AH1268-AH1275)/AE1268-1)-AH1273-AH1272-AH1271</f>
        <v>0.10749484322071316</v>
      </c>
      <c r="AI1274" s="591">
        <v>0</v>
      </c>
      <c r="AJ1274" s="591">
        <v>0</v>
      </c>
      <c r="AK1274" s="162">
        <f>((AK1268-AK1275)/AH1268-1)-AK1273-AK1272-AK1271</f>
        <v>-1.0193026627447477E-4</v>
      </c>
      <c r="AL1274" s="591">
        <v>0</v>
      </c>
      <c r="AM1274" s="591">
        <v>0</v>
      </c>
      <c r="AN1274" s="162">
        <f>((AN1268-AN1275)/AK1268-1)-AN1273-AN1272-AN1271</f>
        <v>-7.4447867696329773E-5</v>
      </c>
      <c r="AO1274" s="591">
        <v>0</v>
      </c>
      <c r="AP1274" s="591">
        <v>0</v>
      </c>
      <c r="AQ1274" s="162">
        <f>((AQ1268-AQ1275)/AN1268-1)-AQ1273-AQ1272-AQ1271</f>
        <v>-3.9129433723326945E-5</v>
      </c>
      <c r="AR1274" s="591">
        <v>0</v>
      </c>
      <c r="AS1274" s="591">
        <v>0</v>
      </c>
      <c r="AT1274" s="162">
        <f>((AT1268-AT1275)/AQ1268-1)-AT1273-AT1272-AT1271</f>
        <v>-1.1102230246251565E-16</v>
      </c>
      <c r="AU1274" s="591">
        <v>0</v>
      </c>
      <c r="AV1274" s="591">
        <v>0</v>
      </c>
      <c r="AW1274" s="162">
        <f>((AW1268-AW1275)/AT1268-1)-AW1273-AW1272-AW1271</f>
        <v>-1.1102230246251565E-16</v>
      </c>
      <c r="AX1274" s="591">
        <v>0</v>
      </c>
      <c r="AY1274" s="591">
        <v>0</v>
      </c>
      <c r="AZ1274" s="162">
        <f>((AZ1268-AZ1275)/AW1268-1)-AZ1273-AZ1272-AZ1271</f>
        <v>-1.1102230246251565E-16</v>
      </c>
      <c r="BA1274" s="591">
        <v>0</v>
      </c>
      <c r="BB1274" s="591">
        <v>0</v>
      </c>
      <c r="BC1274" s="162">
        <f>((BC1268-BC1275)/AZ1268-1)-BC1273-BC1272-BC1271</f>
        <v>-1.1102230246251565E-16</v>
      </c>
      <c r="BD1274" s="591">
        <v>0</v>
      </c>
      <c r="BE1274" s="591">
        <v>0</v>
      </c>
      <c r="BF1274" s="162">
        <f>((BF1268-BF1275)/BC1268-1)-BF1273-BF1272-BF1271</f>
        <v>-1.1102230246251565E-16</v>
      </c>
      <c r="BG1274" s="591">
        <v>0</v>
      </c>
      <c r="BH1274" s="591">
        <v>0</v>
      </c>
      <c r="BI1274" s="162">
        <f>((BI1268-BI1275)/BF1268-1)-BI1273-BI1272-BI1271</f>
        <v>-1.1102230246251565E-16</v>
      </c>
      <c r="BJ1274" s="591">
        <v>0</v>
      </c>
      <c r="BK1274" s="591">
        <v>0</v>
      </c>
      <c r="BL1274" s="162">
        <f>((BL1268-BL1275)/BI1268-1)-BL1273-BL1272-BL1271</f>
        <v>-1.1102230246251565E-16</v>
      </c>
      <c r="BM1274" s="591">
        <v>0</v>
      </c>
      <c r="BN1274" s="591">
        <v>0</v>
      </c>
      <c r="BO1274" s="162">
        <f>((BO1268-BO1275)/BL1268-1)-BO1273-BO1272-BO1271</f>
        <v>-1.1102230246251565E-16</v>
      </c>
      <c r="BP1274" s="591">
        <v>0</v>
      </c>
      <c r="BQ1274" s="591">
        <v>0</v>
      </c>
      <c r="BR1274" s="162">
        <f>((BR1268-BR1275)/BO1268-1)-BR1273-BR1272-BR1271</f>
        <v>-1.1102230246251565E-16</v>
      </c>
    </row>
    <row r="1275" spans="3:70" outlineLevel="1">
      <c r="C1275" s="384" t="s">
        <v>585</v>
      </c>
      <c r="D1275" s="31" t="s">
        <v>58</v>
      </c>
      <c r="E1275" s="564"/>
      <c r="F1275" s="564"/>
      <c r="G1275" s="564"/>
      <c r="H1275" s="592"/>
      <c r="I1275" s="576"/>
      <c r="J1275" s="592"/>
      <c r="K1275" s="535">
        <f>+K1342</f>
        <v>0</v>
      </c>
      <c r="L1275" s="535">
        <f>+L1342</f>
        <v>0</v>
      </c>
      <c r="M1275" s="167">
        <f>+L1275+K1275</f>
        <v>0</v>
      </c>
      <c r="N1275" s="167">
        <f>+N1342</f>
        <v>0</v>
      </c>
      <c r="O1275" s="167">
        <f>+O1342</f>
        <v>0</v>
      </c>
      <c r="P1275" s="167">
        <f>+O1275+N1275</f>
        <v>0</v>
      </c>
      <c r="Q1275" s="167">
        <f>+Q1342</f>
        <v>0</v>
      </c>
      <c r="R1275" s="167">
        <f>+R1342</f>
        <v>0</v>
      </c>
      <c r="S1275" s="167">
        <f>+R1275+Q1275</f>
        <v>0</v>
      </c>
      <c r="T1275" s="167">
        <f>+T1342</f>
        <v>0</v>
      </c>
      <c r="U1275" s="167">
        <f>+U1342</f>
        <v>0</v>
      </c>
      <c r="V1275" s="167">
        <f>+U1275+T1275</f>
        <v>0</v>
      </c>
      <c r="W1275" s="167">
        <f>+W1342</f>
        <v>0</v>
      </c>
      <c r="X1275" s="167">
        <f>+X1342</f>
        <v>0</v>
      </c>
      <c r="Y1275" s="167">
        <f>+X1275+W1275</f>
        <v>0</v>
      </c>
      <c r="Z1275" s="167">
        <f>+Z1342</f>
        <v>0</v>
      </c>
      <c r="AA1275" s="167">
        <f>+AA1342</f>
        <v>0</v>
      </c>
      <c r="AB1275" s="167">
        <f>+AA1275+Z1275</f>
        <v>0</v>
      </c>
      <c r="AC1275" s="167">
        <f>+AC1342</f>
        <v>0</v>
      </c>
      <c r="AD1275" s="167">
        <f>+AD1342</f>
        <v>1.0833333333333333</v>
      </c>
      <c r="AE1275" s="167">
        <f>+AD1275+AC1275</f>
        <v>1.0833333333333333</v>
      </c>
      <c r="AF1275" s="603">
        <f>+AF1342</f>
        <v>6.5</v>
      </c>
      <c r="AG1275" s="1050">
        <f>+AG1342</f>
        <v>5.416666666666667</v>
      </c>
      <c r="AH1275" s="598">
        <f>+AG1275+AF1275</f>
        <v>11.916666666666668</v>
      </c>
      <c r="AI1275" s="603">
        <f>+AI1342</f>
        <v>0</v>
      </c>
      <c r="AJ1275" s="603">
        <f>+AJ1342</f>
        <v>0</v>
      </c>
      <c r="AK1275" s="598">
        <f>+AJ1275+AI1275</f>
        <v>0</v>
      </c>
      <c r="AL1275" s="603">
        <f>+AL1342</f>
        <v>0</v>
      </c>
      <c r="AM1275" s="603">
        <f>+AM1342</f>
        <v>0</v>
      </c>
      <c r="AN1275" s="598">
        <f>+AM1275+AL1275</f>
        <v>0</v>
      </c>
      <c r="AO1275" s="603">
        <f>+AO1342</f>
        <v>0</v>
      </c>
      <c r="AP1275" s="603">
        <f>+AP1342</f>
        <v>0</v>
      </c>
      <c r="AQ1275" s="598">
        <f>+AP1275+AO1275</f>
        <v>0</v>
      </c>
      <c r="AR1275" s="603">
        <f>+AR1342</f>
        <v>0</v>
      </c>
      <c r="AS1275" s="603">
        <f>+AS1342</f>
        <v>0</v>
      </c>
      <c r="AT1275" s="598">
        <f>+AS1275+AR1275</f>
        <v>0</v>
      </c>
      <c r="AU1275" s="603">
        <f>+AU1342</f>
        <v>0</v>
      </c>
      <c r="AV1275" s="603">
        <f>+AV1342</f>
        <v>0</v>
      </c>
      <c r="AW1275" s="598">
        <f>+AV1275+AU1275</f>
        <v>0</v>
      </c>
      <c r="AX1275" s="603">
        <f>+AX1342</f>
        <v>0</v>
      </c>
      <c r="AY1275" s="603">
        <f>+AY1342</f>
        <v>0</v>
      </c>
      <c r="AZ1275" s="598">
        <f>+AY1275+AX1275</f>
        <v>0</v>
      </c>
      <c r="BA1275" s="603">
        <f>+BA1342</f>
        <v>0</v>
      </c>
      <c r="BB1275" s="603">
        <f>+BB1342</f>
        <v>0</v>
      </c>
      <c r="BC1275" s="598">
        <f>+BB1275+BA1275</f>
        <v>0</v>
      </c>
      <c r="BD1275" s="603">
        <f>+BD1342</f>
        <v>0</v>
      </c>
      <c r="BE1275" s="603">
        <f>+BE1342</f>
        <v>0</v>
      </c>
      <c r="BF1275" s="598">
        <f>+BE1275+BD1275</f>
        <v>0</v>
      </c>
      <c r="BG1275" s="603">
        <f>+BG1342</f>
        <v>0</v>
      </c>
      <c r="BH1275" s="603">
        <f>+BH1342</f>
        <v>0</v>
      </c>
      <c r="BI1275" s="598">
        <f>+BH1275+BG1275</f>
        <v>0</v>
      </c>
      <c r="BJ1275" s="603">
        <f>+BJ1342</f>
        <v>0</v>
      </c>
      <c r="BK1275" s="603">
        <f>+BK1342</f>
        <v>0</v>
      </c>
      <c r="BL1275" s="598">
        <f>+BK1275+BJ1275</f>
        <v>0</v>
      </c>
      <c r="BM1275" s="603">
        <f>+BM1342</f>
        <v>0</v>
      </c>
      <c r="BN1275" s="603">
        <f>+BN1342</f>
        <v>0</v>
      </c>
      <c r="BO1275" s="598">
        <f>+BN1275+BM1275</f>
        <v>0</v>
      </c>
      <c r="BP1275" s="603">
        <f>+BP1342</f>
        <v>0</v>
      </c>
      <c r="BQ1275" s="603">
        <f>+BQ1342</f>
        <v>0</v>
      </c>
      <c r="BR1275" s="598">
        <f>+BQ1275+BP1275</f>
        <v>0</v>
      </c>
    </row>
    <row r="1276" spans="3:70" outlineLevel="1">
      <c r="C1276" s="84" t="s">
        <v>670</v>
      </c>
      <c r="D1276" s="31" t="s">
        <v>58</v>
      </c>
      <c r="E1276" s="431">
        <v>0</v>
      </c>
      <c r="F1276" s="417">
        <v>0</v>
      </c>
      <c r="G1276" s="164">
        <f t="shared" ref="G1276" si="6853">+F1276+E1276</f>
        <v>0</v>
      </c>
      <c r="H1276" s="431">
        <v>0</v>
      </c>
      <c r="I1276" s="417">
        <v>0</v>
      </c>
      <c r="J1276" s="164">
        <f t="shared" ref="J1276" si="6854">+I1276+H1276</f>
        <v>0</v>
      </c>
      <c r="K1276" s="431">
        <v>0</v>
      </c>
      <c r="L1276" s="417">
        <v>0</v>
      </c>
      <c r="M1276" s="164">
        <f t="shared" ref="M1276" si="6855">+L1276+K1276</f>
        <v>0</v>
      </c>
      <c r="N1276" s="431">
        <v>0</v>
      </c>
      <c r="O1276" s="417">
        <v>0</v>
      </c>
      <c r="P1276" s="164">
        <f t="shared" ref="P1276" si="6856">+O1276+N1276</f>
        <v>0</v>
      </c>
      <c r="Q1276" s="431">
        <v>0</v>
      </c>
      <c r="R1276" s="417">
        <v>0</v>
      </c>
      <c r="S1276" s="164">
        <f t="shared" ref="S1276" si="6857">+R1276+Q1276</f>
        <v>0</v>
      </c>
      <c r="T1276" s="431">
        <v>0</v>
      </c>
      <c r="U1276" s="417">
        <v>0</v>
      </c>
      <c r="V1276" s="164">
        <f t="shared" ref="V1276" si="6858">+U1276+T1276</f>
        <v>0</v>
      </c>
      <c r="W1276" s="431">
        <v>0</v>
      </c>
      <c r="X1276" s="417">
        <v>0</v>
      </c>
      <c r="Y1276" s="164">
        <f t="shared" ref="Y1276" si="6859">+X1276+W1276</f>
        <v>0</v>
      </c>
      <c r="Z1276" s="431">
        <v>0</v>
      </c>
      <c r="AA1276" s="417">
        <v>0</v>
      </c>
      <c r="AB1276" s="164">
        <f t="shared" ref="AB1276" si="6860">+AA1276+Z1276</f>
        <v>0</v>
      </c>
      <c r="AC1276" s="431">
        <v>0</v>
      </c>
      <c r="AD1276" s="417">
        <v>0</v>
      </c>
      <c r="AE1276" s="164">
        <f>+AD1276+AC1276</f>
        <v>0</v>
      </c>
      <c r="AF1276" s="603">
        <f>AC1276*(1+AF1279)</f>
        <v>0</v>
      </c>
      <c r="AG1276" s="1050">
        <f>AD1276*(1+AG1279)</f>
        <v>0</v>
      </c>
      <c r="AH1276" s="603">
        <f>+AG1276+AF1276</f>
        <v>0</v>
      </c>
      <c r="AI1276" s="603">
        <f>AF1276*(1+AI1279)</f>
        <v>0</v>
      </c>
      <c r="AJ1276" s="603">
        <f>AG1276*(1+AJ1279)</f>
        <v>0</v>
      </c>
      <c r="AK1276" s="603">
        <f t="shared" ref="AK1276" si="6861">+AJ1276+AI1276</f>
        <v>0</v>
      </c>
      <c r="AL1276" s="603">
        <f>AI1276*(1+AL1279)</f>
        <v>0</v>
      </c>
      <c r="AM1276" s="603">
        <f>AJ1276*(1+AM1279)</f>
        <v>0</v>
      </c>
      <c r="AN1276" s="603">
        <f t="shared" ref="AN1276" si="6862">+AM1276+AL1276</f>
        <v>0</v>
      </c>
      <c r="AO1276" s="603">
        <f>AL1276*(1+AO1279)</f>
        <v>0</v>
      </c>
      <c r="AP1276" s="603">
        <f>AM1276*(1+AP1279)</f>
        <v>0</v>
      </c>
      <c r="AQ1276" s="603">
        <f t="shared" ref="AQ1276" si="6863">+AP1276+AO1276</f>
        <v>0</v>
      </c>
      <c r="AR1276" s="603">
        <f>AO1276*(1+AR1279)</f>
        <v>0</v>
      </c>
      <c r="AS1276" s="603">
        <f>AP1276*(1+AS1279)</f>
        <v>0</v>
      </c>
      <c r="AT1276" s="603">
        <f t="shared" ref="AT1276" si="6864">+AS1276+AR1276</f>
        <v>0</v>
      </c>
      <c r="AU1276" s="603">
        <f>AR1276*(1+AU1279)</f>
        <v>0</v>
      </c>
      <c r="AV1276" s="603">
        <f>AS1276*(1+AV1279)</f>
        <v>0</v>
      </c>
      <c r="AW1276" s="603">
        <f t="shared" ref="AW1276" si="6865">+AV1276+AU1276</f>
        <v>0</v>
      </c>
      <c r="AX1276" s="603">
        <f>AU1276*(1+AX1279)</f>
        <v>0</v>
      </c>
      <c r="AY1276" s="603">
        <f>AV1276*(1+AY1279)</f>
        <v>0</v>
      </c>
      <c r="AZ1276" s="603">
        <f t="shared" ref="AZ1276" si="6866">+AY1276+AX1276</f>
        <v>0</v>
      </c>
      <c r="BA1276" s="603">
        <f>AX1276*(1+BA1279)</f>
        <v>0</v>
      </c>
      <c r="BB1276" s="603">
        <f>AY1276*(1+BB1279)</f>
        <v>0</v>
      </c>
      <c r="BC1276" s="603">
        <f t="shared" ref="BC1276" si="6867">+BB1276+BA1276</f>
        <v>0</v>
      </c>
      <c r="BD1276" s="603">
        <f>BA1276*(1+BD1279)</f>
        <v>0</v>
      </c>
      <c r="BE1276" s="603">
        <f>BB1276*(1+BE1279)</f>
        <v>0</v>
      </c>
      <c r="BF1276" s="603">
        <f t="shared" ref="BF1276" si="6868">+BE1276+BD1276</f>
        <v>0</v>
      </c>
      <c r="BG1276" s="603">
        <f>BD1276*(1+BG1279)</f>
        <v>0</v>
      </c>
      <c r="BH1276" s="603">
        <f>BE1276*(1+BH1279)</f>
        <v>0</v>
      </c>
      <c r="BI1276" s="603">
        <f t="shared" ref="BI1276" si="6869">+BH1276+BG1276</f>
        <v>0</v>
      </c>
      <c r="BJ1276" s="603">
        <f>BG1276*(1+BJ1279)</f>
        <v>0</v>
      </c>
      <c r="BK1276" s="603">
        <f>BH1276*(1+BK1279)</f>
        <v>0</v>
      </c>
      <c r="BL1276" s="603">
        <f t="shared" ref="BL1276" si="6870">+BK1276+BJ1276</f>
        <v>0</v>
      </c>
      <c r="BM1276" s="603">
        <f>BJ1276*(1+BM1279)</f>
        <v>0</v>
      </c>
      <c r="BN1276" s="603">
        <f>BK1276*(1+BN1279)</f>
        <v>0</v>
      </c>
      <c r="BO1276" s="603">
        <f t="shared" ref="BO1276" si="6871">+BN1276+BM1276</f>
        <v>0</v>
      </c>
      <c r="BP1276" s="603">
        <f>BM1276*(1+BP1279)</f>
        <v>0</v>
      </c>
      <c r="BQ1276" s="603">
        <f>BN1276*(1+BQ1279)</f>
        <v>0</v>
      </c>
      <c r="BR1276" s="603">
        <f t="shared" ref="BR1276" si="6872">+BQ1276+BP1276</f>
        <v>0</v>
      </c>
    </row>
    <row r="1277" spans="3:70" s="8" customFormat="1" outlineLevel="1">
      <c r="C1277" s="8" t="s">
        <v>592</v>
      </c>
      <c r="D1277" s="96" t="s">
        <v>58</v>
      </c>
      <c r="E1277" s="460">
        <v>385</v>
      </c>
      <c r="F1277" s="460">
        <v>322</v>
      </c>
      <c r="G1277" s="339">
        <f>SUM(E1277:F1277)</f>
        <v>707</v>
      </c>
      <c r="H1277" s="460">
        <v>373</v>
      </c>
      <c r="I1277" s="460">
        <v>322</v>
      </c>
      <c r="J1277" s="339">
        <f>SUM(H1277:I1277)</f>
        <v>695</v>
      </c>
      <c r="K1277" s="460">
        <v>380</v>
      </c>
      <c r="L1277" s="460">
        <v>419</v>
      </c>
      <c r="M1277" s="339">
        <f>SUM(K1277:L1277)</f>
        <v>799</v>
      </c>
      <c r="N1277" s="460">
        <v>460</v>
      </c>
      <c r="O1277" s="460">
        <v>432</v>
      </c>
      <c r="P1277" s="339">
        <f>SUM(N1277:O1277)</f>
        <v>892</v>
      </c>
      <c r="Q1277" s="460">
        <v>443</v>
      </c>
      <c r="R1277" s="460">
        <v>443</v>
      </c>
      <c r="S1277" s="339">
        <f>SUM(Q1277:R1277)</f>
        <v>886</v>
      </c>
      <c r="T1277" s="344">
        <v>465</v>
      </c>
      <c r="U1277" s="344">
        <v>467</v>
      </c>
      <c r="V1277" s="339">
        <f>SUM(T1277:U1277)</f>
        <v>932</v>
      </c>
      <c r="W1277" s="344">
        <v>520</v>
      </c>
      <c r="X1277" s="344">
        <v>557</v>
      </c>
      <c r="Y1277" s="339">
        <f>SUM(W1277:X1277)</f>
        <v>1077</v>
      </c>
      <c r="Z1277" s="344">
        <v>497</v>
      </c>
      <c r="AA1277" s="344">
        <v>643</v>
      </c>
      <c r="AB1277" s="339">
        <f>SUM(Z1277:AA1277)</f>
        <v>1140</v>
      </c>
      <c r="AC1277" s="460">
        <v>269</v>
      </c>
      <c r="AD1277" s="460">
        <v>248</v>
      </c>
      <c r="AE1277" s="468">
        <f>AC1277+AD1277</f>
        <v>517</v>
      </c>
      <c r="AF1277" s="109">
        <v>279</v>
      </c>
      <c r="AG1277" s="934">
        <f t="shared" ref="AG1277:AN1277" si="6873">AG1252+AG1260+AG1268</f>
        <v>259.86299556624431</v>
      </c>
      <c r="AH1277" s="64">
        <f t="shared" si="6873"/>
        <v>538.86299556624431</v>
      </c>
      <c r="AI1277" s="64">
        <f t="shared" si="6873"/>
        <v>286.81994315702542</v>
      </c>
      <c r="AJ1277" s="64">
        <f t="shared" si="6873"/>
        <v>272.5412509025935</v>
      </c>
      <c r="AK1277" s="64">
        <f t="shared" si="6873"/>
        <v>559.36119405961892</v>
      </c>
      <c r="AL1277" s="64">
        <f t="shared" si="6873"/>
        <v>317.57610325658374</v>
      </c>
      <c r="AM1277" s="64">
        <f t="shared" si="6873"/>
        <v>296.79439836102165</v>
      </c>
      <c r="AN1277" s="64">
        <f t="shared" si="6873"/>
        <v>614.37050161760544</v>
      </c>
      <c r="AO1277" s="64">
        <f t="shared" ref="AO1277:BR1277" si="6874">AO1252+AO1260+AO1268</f>
        <v>332.41295463581372</v>
      </c>
      <c r="AP1277" s="64">
        <f t="shared" si="6874"/>
        <v>306.83606583656882</v>
      </c>
      <c r="AQ1277" s="64">
        <f t="shared" si="6874"/>
        <v>639.24902047238254</v>
      </c>
      <c r="AR1277" s="64">
        <f t="shared" si="6874"/>
        <v>343.65973143972315</v>
      </c>
      <c r="AS1277" s="64">
        <f t="shared" si="6874"/>
        <v>317.21748057906683</v>
      </c>
      <c r="AT1277" s="64">
        <f t="shared" si="6874"/>
        <v>660.87721201879003</v>
      </c>
      <c r="AU1277" s="64">
        <f t="shared" si="6874"/>
        <v>355.28702887832185</v>
      </c>
      <c r="AV1277" s="64">
        <f t="shared" si="6874"/>
        <v>327.95013751260882</v>
      </c>
      <c r="AW1277" s="64">
        <f t="shared" si="6874"/>
        <v>683.23716639093072</v>
      </c>
      <c r="AX1277" s="64">
        <f t="shared" si="6874"/>
        <v>367.30772139163372</v>
      </c>
      <c r="AY1277" s="64">
        <f t="shared" si="6874"/>
        <v>339.04592047767596</v>
      </c>
      <c r="AZ1277" s="64">
        <f t="shared" si="6874"/>
        <v>706.35364186930963</v>
      </c>
      <c r="BA1277" s="64">
        <f t="shared" si="6874"/>
        <v>379.73511901026785</v>
      </c>
      <c r="BB1277" s="64">
        <f t="shared" si="6874"/>
        <v>350.51711538963752</v>
      </c>
      <c r="BC1277" s="64">
        <f t="shared" si="6874"/>
        <v>730.25223439990543</v>
      </c>
      <c r="BD1277" s="64">
        <f t="shared" si="6874"/>
        <v>392.5829820930814</v>
      </c>
      <c r="BE1277" s="64">
        <f t="shared" si="6874"/>
        <v>362.37642384245163</v>
      </c>
      <c r="BF1277" s="64">
        <f t="shared" si="6874"/>
        <v>754.95940593553303</v>
      </c>
      <c r="BG1277" s="64">
        <f t="shared" si="6874"/>
        <v>405.8655365634732</v>
      </c>
      <c r="BH1277" s="64">
        <f t="shared" si="6874"/>
        <v>374.63697717263108</v>
      </c>
      <c r="BI1277" s="64">
        <f t="shared" si="6874"/>
        <v>780.50251373610445</v>
      </c>
      <c r="BJ1277" s="64">
        <f t="shared" si="6874"/>
        <v>419.59748966117752</v>
      </c>
      <c r="BK1277" s="64">
        <f t="shared" si="6874"/>
        <v>387.31235099904558</v>
      </c>
      <c r="BL1277" s="64">
        <f t="shared" si="6874"/>
        <v>806.90984066022304</v>
      </c>
      <c r="BM1277" s="64">
        <f t="shared" si="6874"/>
        <v>433.79404622700139</v>
      </c>
      <c r="BN1277" s="64">
        <f t="shared" si="6874"/>
        <v>400.41658025465949</v>
      </c>
      <c r="BO1277" s="64">
        <f t="shared" si="6874"/>
        <v>834.21062648166082</v>
      </c>
      <c r="BP1277" s="64">
        <f t="shared" si="6874"/>
        <v>448.47092553853412</v>
      </c>
      <c r="BQ1277" s="64">
        <f t="shared" si="6874"/>
        <v>413.9641747268505</v>
      </c>
      <c r="BR1277" s="64">
        <f t="shared" si="6874"/>
        <v>862.43510026538456</v>
      </c>
    </row>
    <row r="1278" spans="3:70" outlineLevel="1">
      <c r="C1278" s="469" t="s">
        <v>584</v>
      </c>
      <c r="D1278" s="7" t="s">
        <v>66</v>
      </c>
      <c r="E1278" s="573"/>
      <c r="F1278" s="573"/>
      <c r="G1278" s="613"/>
      <c r="H1278" s="601">
        <f>+H1277/E1277-1</f>
        <v>-3.1168831168831179E-2</v>
      </c>
      <c r="I1278" s="601">
        <f t="shared" ref="I1278:AN1278" si="6875">+I1277/F1277-1</f>
        <v>0</v>
      </c>
      <c r="J1278" s="601">
        <f t="shared" si="6875"/>
        <v>-1.6973125884017004E-2</v>
      </c>
      <c r="K1278" s="601">
        <f t="shared" si="6875"/>
        <v>1.8766756032171594E-2</v>
      </c>
      <c r="L1278" s="601">
        <f t="shared" si="6875"/>
        <v>0.30124223602484479</v>
      </c>
      <c r="M1278" s="601">
        <f t="shared" si="6875"/>
        <v>0.14964028776978422</v>
      </c>
      <c r="N1278" s="601">
        <f t="shared" si="6875"/>
        <v>0.21052631578947367</v>
      </c>
      <c r="O1278" s="601">
        <f t="shared" si="6875"/>
        <v>3.1026252983293645E-2</v>
      </c>
      <c r="P1278" s="601">
        <f t="shared" si="6875"/>
        <v>0.11639549436795993</v>
      </c>
      <c r="Q1278" s="601">
        <f t="shared" si="6875"/>
        <v>-3.6956521739130443E-2</v>
      </c>
      <c r="R1278" s="601">
        <f t="shared" si="6875"/>
        <v>2.5462962962963021E-2</v>
      </c>
      <c r="S1278" s="601">
        <f t="shared" si="6875"/>
        <v>-6.7264573991031584E-3</v>
      </c>
      <c r="T1278" s="601">
        <f t="shared" si="6875"/>
        <v>4.9661399548532659E-2</v>
      </c>
      <c r="U1278" s="601">
        <f t="shared" si="6875"/>
        <v>5.4176072234763062E-2</v>
      </c>
      <c r="V1278" s="601">
        <f t="shared" si="6875"/>
        <v>5.1918735891647749E-2</v>
      </c>
      <c r="W1278" s="601">
        <f t="shared" si="6875"/>
        <v>0.11827956989247301</v>
      </c>
      <c r="X1278" s="601">
        <f t="shared" si="6875"/>
        <v>0.19271948608137035</v>
      </c>
      <c r="Y1278" s="601">
        <f t="shared" si="6875"/>
        <v>0.15557939914163099</v>
      </c>
      <c r="Z1278" s="601">
        <f t="shared" si="6875"/>
        <v>-4.4230769230769185E-2</v>
      </c>
      <c r="AA1278" s="601">
        <f t="shared" si="6875"/>
        <v>0.15439856373429084</v>
      </c>
      <c r="AB1278" s="601">
        <f t="shared" si="6875"/>
        <v>5.8495821727019504E-2</v>
      </c>
      <c r="AC1278" s="601">
        <f t="shared" si="6875"/>
        <v>-0.45875251509054327</v>
      </c>
      <c r="AD1278" s="601">
        <f t="shared" si="6875"/>
        <v>-0.61430793157076202</v>
      </c>
      <c r="AE1278" s="602">
        <f t="shared" si="6875"/>
        <v>-0.54649122807017547</v>
      </c>
      <c r="AF1278" s="602">
        <f t="shared" si="6875"/>
        <v>3.7174721189590976E-2</v>
      </c>
      <c r="AG1278" s="1051">
        <f t="shared" si="6875"/>
        <v>4.7834659541307722E-2</v>
      </c>
      <c r="AH1278" s="601">
        <f t="shared" si="6875"/>
        <v>4.2288192584611917E-2</v>
      </c>
      <c r="AI1278" s="601">
        <f t="shared" si="6875"/>
        <v>2.8028470096865377E-2</v>
      </c>
      <c r="AJ1278" s="601">
        <f t="shared" si="6875"/>
        <v>4.8788229000143568E-2</v>
      </c>
      <c r="AK1278" s="601">
        <f t="shared" si="6875"/>
        <v>3.8039721899691514E-2</v>
      </c>
      <c r="AL1278" s="601">
        <f t="shared" si="6875"/>
        <v>0.10723159540799521</v>
      </c>
      <c r="AM1278" s="601">
        <f t="shared" si="6875"/>
        <v>8.8988904901945443E-2</v>
      </c>
      <c r="AN1278" s="601">
        <f t="shared" si="6875"/>
        <v>9.8343088763006792E-2</v>
      </c>
      <c r="AO1278" s="601">
        <f t="shared" ref="AO1278" si="6876">+AO1277/AL1277-1</f>
        <v>4.6719042229832475E-2</v>
      </c>
      <c r="AP1278" s="601">
        <f t="shared" ref="AP1278" si="6877">+AP1277/AM1277-1</f>
        <v>3.3833749999999885E-2</v>
      </c>
      <c r="AQ1278" s="601">
        <f t="shared" ref="AQ1278" si="6878">+AQ1277/AN1277-1</f>
        <v>4.0494325149520227E-2</v>
      </c>
      <c r="AR1278" s="601">
        <f t="shared" ref="AR1278" si="6879">+AR1277/AO1277-1</f>
        <v>3.3833749999999885E-2</v>
      </c>
      <c r="AS1278" s="601">
        <f t="shared" ref="AS1278" si="6880">+AS1277/AP1277-1</f>
        <v>3.3833750000000107E-2</v>
      </c>
      <c r="AT1278" s="601">
        <f t="shared" ref="AT1278" si="6881">+AT1277/AQ1277-1</f>
        <v>3.3833750000000107E-2</v>
      </c>
      <c r="AU1278" s="601">
        <f t="shared" ref="AU1278" si="6882">+AU1277/AR1277-1</f>
        <v>3.3833749999999885E-2</v>
      </c>
      <c r="AV1278" s="601">
        <f t="shared" ref="AV1278" si="6883">+AV1277/AS1277-1</f>
        <v>3.3833749999999885E-2</v>
      </c>
      <c r="AW1278" s="601">
        <f t="shared" ref="AW1278" si="6884">+AW1277/AT1277-1</f>
        <v>3.3833749999999885E-2</v>
      </c>
      <c r="AX1278" s="601">
        <f t="shared" ref="AX1278" si="6885">+AX1277/AU1277-1</f>
        <v>3.3833749999999885E-2</v>
      </c>
      <c r="AY1278" s="601">
        <f t="shared" ref="AY1278" si="6886">+AY1277/AV1277-1</f>
        <v>3.3833749999999663E-2</v>
      </c>
      <c r="AZ1278" s="601">
        <f t="shared" ref="AZ1278" si="6887">+AZ1277/AW1277-1</f>
        <v>3.3833749999999663E-2</v>
      </c>
      <c r="BA1278" s="601">
        <f t="shared" ref="BA1278" si="6888">+BA1277/AX1277-1</f>
        <v>3.3833749999999885E-2</v>
      </c>
      <c r="BB1278" s="601">
        <f t="shared" ref="BB1278" si="6889">+BB1277/AY1277-1</f>
        <v>3.3833749999999885E-2</v>
      </c>
      <c r="BC1278" s="601">
        <f t="shared" ref="BC1278" si="6890">+BC1277/AZ1277-1</f>
        <v>3.3833750000000107E-2</v>
      </c>
      <c r="BD1278" s="601">
        <f t="shared" ref="BD1278" si="6891">+BD1277/BA1277-1</f>
        <v>3.3833749999999663E-2</v>
      </c>
      <c r="BE1278" s="601">
        <f t="shared" ref="BE1278" si="6892">+BE1277/BB1277-1</f>
        <v>3.3833749999999885E-2</v>
      </c>
      <c r="BF1278" s="601">
        <f t="shared" ref="BF1278" si="6893">+BF1277/BC1277-1</f>
        <v>3.3833749999999663E-2</v>
      </c>
      <c r="BG1278" s="601">
        <f t="shared" ref="BG1278" si="6894">+BG1277/BD1277-1</f>
        <v>3.3833750000000107E-2</v>
      </c>
      <c r="BH1278" s="601">
        <f t="shared" ref="BH1278" si="6895">+BH1277/BE1277-1</f>
        <v>3.3833749999999663E-2</v>
      </c>
      <c r="BI1278" s="601">
        <f t="shared" ref="BI1278" si="6896">+BI1277/BF1277-1</f>
        <v>3.3833750000000107E-2</v>
      </c>
      <c r="BJ1278" s="601">
        <f t="shared" ref="BJ1278" si="6897">+BJ1277/BG1277-1</f>
        <v>3.3833749999999885E-2</v>
      </c>
      <c r="BK1278" s="601">
        <f t="shared" ref="BK1278" si="6898">+BK1277/BH1277-1</f>
        <v>3.3833749999999885E-2</v>
      </c>
      <c r="BL1278" s="601">
        <f t="shared" ref="BL1278" si="6899">+BL1277/BI1277-1</f>
        <v>3.3833749999999663E-2</v>
      </c>
      <c r="BM1278" s="601">
        <f t="shared" ref="BM1278" si="6900">+BM1277/BJ1277-1</f>
        <v>3.3833750000000107E-2</v>
      </c>
      <c r="BN1278" s="601">
        <f t="shared" ref="BN1278" si="6901">+BN1277/BK1277-1</f>
        <v>3.3833749999999885E-2</v>
      </c>
      <c r="BO1278" s="601">
        <f t="shared" ref="BO1278" si="6902">+BO1277/BL1277-1</f>
        <v>3.3833749999999885E-2</v>
      </c>
      <c r="BP1278" s="601">
        <f t="shared" ref="BP1278" si="6903">+BP1277/BM1277-1</f>
        <v>3.3833749999999885E-2</v>
      </c>
      <c r="BQ1278" s="601">
        <f t="shared" ref="BQ1278" si="6904">+BQ1277/BN1277-1</f>
        <v>3.3833749999999885E-2</v>
      </c>
      <c r="BR1278" s="601">
        <f t="shared" ref="BR1278" si="6905">+BR1277/BO1277-1</f>
        <v>3.3833749999999885E-2</v>
      </c>
    </row>
    <row r="1279" spans="3:70" outlineLevel="1">
      <c r="C1279" s="481" t="s">
        <v>286</v>
      </c>
      <c r="D1279" s="7" t="s">
        <v>66</v>
      </c>
      <c r="E1279" s="573"/>
      <c r="F1279" s="573"/>
      <c r="G1279" s="613"/>
      <c r="H1279" s="573"/>
      <c r="I1279" s="573"/>
      <c r="J1279" s="613"/>
      <c r="K1279" s="133">
        <f>((K1254*H1252)+(K1262*H1260)+(K1270*H1268))/H1277</f>
        <v>8.7667560321713824E-3</v>
      </c>
      <c r="L1279" s="133">
        <f>((L1254*I1252)+(L1262*I1260)+(L1270*I1268))/I1277</f>
        <v>0.31124223602484485</v>
      </c>
      <c r="M1279" s="602">
        <f t="shared" ref="M1279" si="6906">+M1278-M1280</f>
        <v>0.14964028776978422</v>
      </c>
      <c r="N1279" s="133">
        <f>((N1254*K1252)+(N1262*K1260)+(N1270*K1268))/K1277</f>
        <v>0.21052631578947376</v>
      </c>
      <c r="O1279" s="133">
        <f>((O1254*L1252)+(O1262*L1260)+(O1270*L1268))/L1277</f>
        <v>3.1026252983293506E-2</v>
      </c>
      <c r="P1279" s="602">
        <f t="shared" ref="P1279" si="6907">+P1278-P1280</f>
        <v>0.11639549436795993</v>
      </c>
      <c r="Q1279" s="133">
        <f>((Q1254*N1252)+(Q1262*N1260)+(Q1270*N1268))/N1277</f>
        <v>-3.6956521739130506E-2</v>
      </c>
      <c r="R1279" s="133">
        <f>((R1254*O1252)+(R1262*O1260)+(R1270*O1268))/O1277</f>
        <v>2.5462962962962972E-2</v>
      </c>
      <c r="S1279" s="602">
        <f t="shared" ref="S1279" si="6908">+S1278-S1280</f>
        <v>-6.7264573991031584E-3</v>
      </c>
      <c r="T1279" s="133">
        <f>((T1254*Q1252)+(T1262*Q1260)+(T1270*Q1268))/Q1277</f>
        <v>4.9661399548532666E-2</v>
      </c>
      <c r="U1279" s="133">
        <f>((U1254*R1252)+(U1262*R1260)+(U1270*R1268))/R1277</f>
        <v>5.4176072234762847E-2</v>
      </c>
      <c r="V1279" s="602">
        <f t="shared" ref="V1279" si="6909">+V1278-V1280</f>
        <v>5.1918735891647749E-2</v>
      </c>
      <c r="W1279" s="133">
        <f>((W1254*T1252)+(W1262*T1260)+(W1270*T1268))/T1277</f>
        <v>0.11827956989247305</v>
      </c>
      <c r="X1279" s="133">
        <f>((X1254*U1252)+(X1262*U1260)+(X1270*U1268))/U1277</f>
        <v>0.21657387580299794</v>
      </c>
      <c r="Y1279" s="602">
        <f t="shared" ref="Y1279" si="6910">+Y1278-Y1280</f>
        <v>0.15557939914163099</v>
      </c>
      <c r="Z1279" s="133">
        <f>((Z1254*W1252)+(Z1262*W1260)+(Z1270*W1268))/W1277</f>
        <v>-4.4230769230769129E-2</v>
      </c>
      <c r="AA1279" s="133">
        <f>((AA1254*X1252)+(AA1262*X1260)+(AA1270*X1268))/X1277</f>
        <v>0.13439856373429082</v>
      </c>
      <c r="AB1279" s="602">
        <f>+AB1278-AB1280</f>
        <v>5.8495821727019504E-2</v>
      </c>
      <c r="AC1279" s="133">
        <f>((AC1254*Z1252)+(AC1262*Z1260)+(AC1270*Z1268))/Z1277</f>
        <v>-0.45875251509054327</v>
      </c>
      <c r="AD1279" s="133">
        <f>((AD1254*AA1252)+(AD1262*AA1260)+(AD1270*AA1268))/AA1277</f>
        <v>-0.61599274235355117</v>
      </c>
      <c r="AE1279" s="602">
        <f>+AE1278-AE1280</f>
        <v>-0.54744152046783634</v>
      </c>
      <c r="AF1279" s="133">
        <f>((AF1254*AC1252)+(AF1262*AC1260)+(AF1270*AC1268))/AC1277</f>
        <v>1.3011152416356947E-2</v>
      </c>
      <c r="AG1279" s="938">
        <f>((AG1254*AD1252)+(AG1262*AD1260)+(AG1270*AD1268))/AD1277</f>
        <v>2.599326169184531E-2</v>
      </c>
      <c r="AH1279" s="601">
        <f>+AH1278-AH1280</f>
        <v>1.9238547194540993E-2</v>
      </c>
      <c r="AI1279" s="133">
        <f>((AI1254*AF1252)+(AI1262*AF1260)+(AI1270*AF1268))/AF1277</f>
        <v>2.8028470096865467E-2</v>
      </c>
      <c r="AJ1279" s="133">
        <f>((AJ1254*AG1252)+(AJ1262*AG1260)+(AJ1270*AG1268))/AG1277</f>
        <v>4.8788229000143526E-2</v>
      </c>
      <c r="AK1279" s="602">
        <f>+AK1278-AK1280</f>
        <v>3.8039721899691514E-2</v>
      </c>
      <c r="AL1279" s="133">
        <f>((AL1254*AI1252)+(AL1262*AI1260)+(AL1270*AI1268))/AI1277</f>
        <v>0.10723159540799503</v>
      </c>
      <c r="AM1279" s="133">
        <f>((AM1254*AJ1252)+(AM1262*AJ1260)+(AM1270*AJ1268))/AJ1277</f>
        <v>8.898890490194554E-2</v>
      </c>
      <c r="AN1279" s="601">
        <f>+AN1278-AN1280</f>
        <v>9.8343088763006792E-2</v>
      </c>
      <c r="AO1279" s="133">
        <f>((AO1254*AL1252)+(AO1262*AL1260)+(AO1270*AL1268))/AL1277</f>
        <v>4.6719042229832565E-2</v>
      </c>
      <c r="AP1279" s="133">
        <f>((AP1254*AM1252)+(AP1262*AM1260)+(AP1270*AM1268))/AM1277</f>
        <v>3.3833750000000003E-2</v>
      </c>
      <c r="AQ1279" s="601">
        <f>+AQ1278-AQ1280</f>
        <v>4.0494325149520227E-2</v>
      </c>
      <c r="AR1279" s="133">
        <f>((AR1254*AO1252)+(AR1262*AO1260)+(AR1270*AO1268))/AO1277</f>
        <v>3.3833749999999996E-2</v>
      </c>
      <c r="AS1279" s="133">
        <f>((AS1254*AP1252)+(AS1262*AP1260)+(AS1270*AP1268))/AP1277</f>
        <v>3.3833749999999996E-2</v>
      </c>
      <c r="AT1279" s="601">
        <f>+AT1278-AT1280</f>
        <v>3.3833750000000107E-2</v>
      </c>
      <c r="AU1279" s="133">
        <f>((AU1254*AR1252)+(AU1262*AR1260)+(AU1270*AR1268))/AR1277</f>
        <v>3.3833749999999996E-2</v>
      </c>
      <c r="AV1279" s="133">
        <f>((AV1254*AS1252)+(AV1262*AS1260)+(AV1270*AS1268))/AS1277</f>
        <v>3.3833749999999996E-2</v>
      </c>
      <c r="AW1279" s="601">
        <f>+AW1278-AW1280</f>
        <v>3.3833749999999885E-2</v>
      </c>
      <c r="AX1279" s="133">
        <f>((AX1254*AU1252)+(AX1262*AU1260)+(AX1270*AU1268))/AU1277</f>
        <v>3.3833749999999996E-2</v>
      </c>
      <c r="AY1279" s="133">
        <f>((AY1254*AV1252)+(AY1262*AV1260)+(AY1270*AV1268))/AV1277</f>
        <v>3.3833749999999996E-2</v>
      </c>
      <c r="AZ1279" s="601">
        <f>+AZ1278-AZ1280</f>
        <v>3.3833749999999663E-2</v>
      </c>
      <c r="BA1279" s="133">
        <f>((BA1254*AX1252)+(BA1262*AX1260)+(BA1270*AX1268))/AX1277</f>
        <v>3.3833749999999996E-2</v>
      </c>
      <c r="BB1279" s="133">
        <f>((BB1254*AY1252)+(BB1262*AY1260)+(BB1270*AY1268))/AY1277</f>
        <v>3.3833749999999996E-2</v>
      </c>
      <c r="BC1279" s="601">
        <f>+BC1278-BC1280</f>
        <v>3.3833750000000107E-2</v>
      </c>
      <c r="BD1279" s="133">
        <f>((BD1254*BA1252)+(BD1262*BA1260)+(BD1270*BA1268))/BA1277</f>
        <v>3.3833749999999996E-2</v>
      </c>
      <c r="BE1279" s="133">
        <f>((BE1254*BB1252)+(BE1262*BB1260)+(BE1270*BB1268))/BB1277</f>
        <v>3.3833749999999996E-2</v>
      </c>
      <c r="BF1279" s="601">
        <f>+BF1278-BF1280</f>
        <v>3.3833749999999663E-2</v>
      </c>
      <c r="BG1279" s="133">
        <f>((BG1254*BD1252)+(BG1262*BD1260)+(BG1270*BD1268))/BD1277</f>
        <v>3.3833749999999996E-2</v>
      </c>
      <c r="BH1279" s="133">
        <f>((BH1254*BE1252)+(BH1262*BE1260)+(BH1270*BE1268))/BE1277</f>
        <v>3.3833749999999989E-2</v>
      </c>
      <c r="BI1279" s="601">
        <f>+BI1278-BI1280</f>
        <v>3.3833750000000107E-2</v>
      </c>
      <c r="BJ1279" s="133">
        <f>((BJ1254*BG1252)+(BJ1262*BG1260)+(BJ1270*BG1268))/BG1277</f>
        <v>3.3833749999999996E-2</v>
      </c>
      <c r="BK1279" s="133">
        <f>((BK1254*BH1252)+(BK1262*BH1260)+(BK1270*BH1268))/BH1277</f>
        <v>3.3833750000000003E-2</v>
      </c>
      <c r="BL1279" s="601">
        <f>+BL1278-BL1280</f>
        <v>3.3833749999999663E-2</v>
      </c>
      <c r="BM1279" s="133">
        <f>((BM1254*BJ1252)+(BM1262*BJ1260)+(BM1270*BJ1268))/BJ1277</f>
        <v>3.3833749999999996E-2</v>
      </c>
      <c r="BN1279" s="133">
        <f>((BN1254*BK1252)+(BN1262*BK1260)+(BN1270*BK1268))/BK1277</f>
        <v>3.3833749999999996E-2</v>
      </c>
      <c r="BO1279" s="601">
        <f>+BO1278-BO1280</f>
        <v>3.3833749999999885E-2</v>
      </c>
      <c r="BP1279" s="133">
        <f>((BP1254*BM1252)+(BP1262*BM1260)+(BP1270*BM1268))/BM1277</f>
        <v>3.3833749999999996E-2</v>
      </c>
      <c r="BQ1279" s="133">
        <f>((BQ1254*BN1252)+(BQ1262*BN1260)+(BQ1270*BN1268))/BN1277</f>
        <v>3.3833749999999996E-2</v>
      </c>
      <c r="BR1279" s="601">
        <f>+BR1278-BR1280</f>
        <v>3.3833749999999885E-2</v>
      </c>
    </row>
    <row r="1280" spans="3:70" outlineLevel="1">
      <c r="C1280" s="481" t="s">
        <v>585</v>
      </c>
      <c r="D1280" s="7" t="s">
        <v>66</v>
      </c>
      <c r="E1280" s="573"/>
      <c r="F1280" s="573"/>
      <c r="G1280" s="613"/>
      <c r="H1280" s="573"/>
      <c r="I1280" s="573"/>
      <c r="J1280" s="613"/>
      <c r="K1280" s="133">
        <f t="shared" ref="K1280:AN1280" si="6911">(K1275+K1267+K1259)/H1277</f>
        <v>0</v>
      </c>
      <c r="L1280" s="133">
        <f t="shared" si="6911"/>
        <v>0</v>
      </c>
      <c r="M1280" s="133">
        <f t="shared" si="6911"/>
        <v>0</v>
      </c>
      <c r="N1280" s="133">
        <f t="shared" si="6911"/>
        <v>0</v>
      </c>
      <c r="O1280" s="133">
        <f t="shared" si="6911"/>
        <v>0</v>
      </c>
      <c r="P1280" s="133">
        <f t="shared" si="6911"/>
        <v>0</v>
      </c>
      <c r="Q1280" s="133">
        <f t="shared" si="6911"/>
        <v>0</v>
      </c>
      <c r="R1280" s="133">
        <f t="shared" si="6911"/>
        <v>0</v>
      </c>
      <c r="S1280" s="133">
        <f t="shared" si="6911"/>
        <v>0</v>
      </c>
      <c r="T1280" s="133">
        <f t="shared" si="6911"/>
        <v>0</v>
      </c>
      <c r="U1280" s="133">
        <f t="shared" si="6911"/>
        <v>0</v>
      </c>
      <c r="V1280" s="133">
        <f t="shared" si="6911"/>
        <v>0</v>
      </c>
      <c r="W1280" s="133">
        <f t="shared" si="6911"/>
        <v>0</v>
      </c>
      <c r="X1280" s="133">
        <f t="shared" si="6911"/>
        <v>0</v>
      </c>
      <c r="Y1280" s="133">
        <f t="shared" si="6911"/>
        <v>0</v>
      </c>
      <c r="Z1280" s="133">
        <f t="shared" si="6911"/>
        <v>0</v>
      </c>
      <c r="AA1280" s="133">
        <f t="shared" si="6911"/>
        <v>0</v>
      </c>
      <c r="AB1280" s="133">
        <f t="shared" si="6911"/>
        <v>0</v>
      </c>
      <c r="AC1280" s="133">
        <f t="shared" si="6911"/>
        <v>0</v>
      </c>
      <c r="AD1280" s="133">
        <f t="shared" si="6911"/>
        <v>1.6848107827890097E-3</v>
      </c>
      <c r="AE1280" s="133">
        <f t="shared" si="6911"/>
        <v>9.502923976608186E-4</v>
      </c>
      <c r="AF1280" s="133">
        <f t="shared" si="6911"/>
        <v>2.4163568773234202E-2</v>
      </c>
      <c r="AG1280" s="938">
        <f t="shared" si="6911"/>
        <v>2.1841397849462367E-2</v>
      </c>
      <c r="AH1280" s="133">
        <f t="shared" si="6911"/>
        <v>2.3049645390070924E-2</v>
      </c>
      <c r="AI1280" s="133">
        <f t="shared" si="6911"/>
        <v>0</v>
      </c>
      <c r="AJ1280" s="133">
        <f t="shared" si="6911"/>
        <v>0</v>
      </c>
      <c r="AK1280" s="133">
        <f t="shared" si="6911"/>
        <v>0</v>
      </c>
      <c r="AL1280" s="133">
        <f t="shared" si="6911"/>
        <v>0</v>
      </c>
      <c r="AM1280" s="133">
        <f t="shared" si="6911"/>
        <v>0</v>
      </c>
      <c r="AN1280" s="133">
        <f t="shared" si="6911"/>
        <v>0</v>
      </c>
      <c r="AO1280" s="133">
        <f t="shared" ref="AO1280" si="6912">(AO1275+AO1267+AO1259)/AL1277</f>
        <v>0</v>
      </c>
      <c r="AP1280" s="133">
        <f t="shared" ref="AP1280" si="6913">(AP1275+AP1267+AP1259)/AM1277</f>
        <v>0</v>
      </c>
      <c r="AQ1280" s="133">
        <f t="shared" ref="AQ1280" si="6914">(AQ1275+AQ1267+AQ1259)/AN1277</f>
        <v>0</v>
      </c>
      <c r="AR1280" s="133">
        <f t="shared" ref="AR1280" si="6915">(AR1275+AR1267+AR1259)/AO1277</f>
        <v>0</v>
      </c>
      <c r="AS1280" s="133">
        <f t="shared" ref="AS1280" si="6916">(AS1275+AS1267+AS1259)/AP1277</f>
        <v>0</v>
      </c>
      <c r="AT1280" s="133">
        <f t="shared" ref="AT1280" si="6917">(AT1275+AT1267+AT1259)/AQ1277</f>
        <v>0</v>
      </c>
      <c r="AU1280" s="133">
        <f t="shared" ref="AU1280" si="6918">(AU1275+AU1267+AU1259)/AR1277</f>
        <v>0</v>
      </c>
      <c r="AV1280" s="133">
        <f t="shared" ref="AV1280" si="6919">(AV1275+AV1267+AV1259)/AS1277</f>
        <v>0</v>
      </c>
      <c r="AW1280" s="133">
        <f t="shared" ref="AW1280" si="6920">(AW1275+AW1267+AW1259)/AT1277</f>
        <v>0</v>
      </c>
      <c r="AX1280" s="133">
        <f t="shared" ref="AX1280" si="6921">(AX1275+AX1267+AX1259)/AU1277</f>
        <v>0</v>
      </c>
      <c r="AY1280" s="133">
        <f t="shared" ref="AY1280" si="6922">(AY1275+AY1267+AY1259)/AV1277</f>
        <v>0</v>
      </c>
      <c r="AZ1280" s="133">
        <f t="shared" ref="AZ1280" si="6923">(AZ1275+AZ1267+AZ1259)/AW1277</f>
        <v>0</v>
      </c>
      <c r="BA1280" s="133">
        <f t="shared" ref="BA1280" si="6924">(BA1275+BA1267+BA1259)/AX1277</f>
        <v>0</v>
      </c>
      <c r="BB1280" s="133">
        <f t="shared" ref="BB1280" si="6925">(BB1275+BB1267+BB1259)/AY1277</f>
        <v>0</v>
      </c>
      <c r="BC1280" s="133">
        <f t="shared" ref="BC1280" si="6926">(BC1275+BC1267+BC1259)/AZ1277</f>
        <v>0</v>
      </c>
      <c r="BD1280" s="133">
        <f t="shared" ref="BD1280" si="6927">(BD1275+BD1267+BD1259)/BA1277</f>
        <v>0</v>
      </c>
      <c r="BE1280" s="133">
        <f t="shared" ref="BE1280" si="6928">(BE1275+BE1267+BE1259)/BB1277</f>
        <v>0</v>
      </c>
      <c r="BF1280" s="133">
        <f t="shared" ref="BF1280" si="6929">(BF1275+BF1267+BF1259)/BC1277</f>
        <v>0</v>
      </c>
      <c r="BG1280" s="133">
        <f t="shared" ref="BG1280" si="6930">(BG1275+BG1267+BG1259)/BD1277</f>
        <v>0</v>
      </c>
      <c r="BH1280" s="133">
        <f t="shared" ref="BH1280" si="6931">(BH1275+BH1267+BH1259)/BE1277</f>
        <v>0</v>
      </c>
      <c r="BI1280" s="133">
        <f t="shared" ref="BI1280" si="6932">(BI1275+BI1267+BI1259)/BF1277</f>
        <v>0</v>
      </c>
      <c r="BJ1280" s="133">
        <f t="shared" ref="BJ1280" si="6933">(BJ1275+BJ1267+BJ1259)/BG1277</f>
        <v>0</v>
      </c>
      <c r="BK1280" s="133">
        <f t="shared" ref="BK1280" si="6934">(BK1275+BK1267+BK1259)/BH1277</f>
        <v>0</v>
      </c>
      <c r="BL1280" s="133">
        <f t="shared" ref="BL1280" si="6935">(BL1275+BL1267+BL1259)/BI1277</f>
        <v>0</v>
      </c>
      <c r="BM1280" s="133">
        <f t="shared" ref="BM1280" si="6936">(BM1275+BM1267+BM1259)/BJ1277</f>
        <v>0</v>
      </c>
      <c r="BN1280" s="133">
        <f t="shared" ref="BN1280" si="6937">(BN1275+BN1267+BN1259)/BK1277</f>
        <v>0</v>
      </c>
      <c r="BO1280" s="133">
        <f t="shared" ref="BO1280" si="6938">(BO1275+BO1267+BO1259)/BL1277</f>
        <v>0</v>
      </c>
      <c r="BP1280" s="133">
        <f t="shared" ref="BP1280" si="6939">(BP1275+BP1267+BP1259)/BM1277</f>
        <v>0</v>
      </c>
      <c r="BQ1280" s="133">
        <f t="shared" ref="BQ1280" si="6940">(BQ1275+BQ1267+BQ1259)/BN1277</f>
        <v>0</v>
      </c>
      <c r="BR1280" s="133">
        <f t="shared" ref="BR1280" si="6941">(BR1275+BR1267+BR1259)/BO1277</f>
        <v>0</v>
      </c>
    </row>
    <row r="1281" spans="2:70" outlineLevel="1">
      <c r="B1281" s="646" t="s">
        <v>671</v>
      </c>
      <c r="E1281" s="12"/>
      <c r="F1281" s="12"/>
      <c r="G1281" s="29"/>
      <c r="H1281" s="12"/>
      <c r="I1281" s="12"/>
      <c r="J1281" s="29"/>
      <c r="K1281" s="12"/>
      <c r="L1281" s="12"/>
      <c r="M1281" s="29"/>
      <c r="N1281" s="12"/>
      <c r="O1281" s="12"/>
      <c r="P1281" s="29"/>
      <c r="Q1281" s="12"/>
      <c r="R1281" s="12"/>
      <c r="S1281" s="29"/>
      <c r="T1281" s="11"/>
      <c r="U1281" s="11"/>
      <c r="V1281" s="29"/>
      <c r="W1281" s="11"/>
      <c r="X1281" s="11"/>
      <c r="Y1281" s="29"/>
      <c r="Z1281" s="27"/>
      <c r="AA1281" s="27"/>
      <c r="AB1281" s="612"/>
      <c r="AC1281" s="400"/>
      <c r="AD1281" s="12"/>
      <c r="AE1281" s="164"/>
      <c r="AF1281" s="343"/>
      <c r="AG1281" s="933"/>
      <c r="AH1281" s="18"/>
      <c r="AI1281" s="18"/>
      <c r="AJ1281" s="18"/>
      <c r="AK1281" s="18"/>
      <c r="AL1281" s="18"/>
      <c r="AM1281" s="18"/>
      <c r="AN1281" s="18"/>
      <c r="AO1281" s="18"/>
      <c r="AP1281" s="18"/>
      <c r="AQ1281" s="18"/>
      <c r="AR1281" s="18"/>
      <c r="AS1281" s="18"/>
      <c r="AT1281" s="18"/>
      <c r="AU1281" s="18"/>
      <c r="AV1281" s="18"/>
      <c r="AW1281" s="18"/>
      <c r="AX1281" s="18"/>
      <c r="AY1281" s="18"/>
      <c r="AZ1281" s="18"/>
      <c r="BA1281" s="18"/>
      <c r="BB1281" s="18"/>
      <c r="BC1281" s="18"/>
      <c r="BD1281" s="18"/>
      <c r="BE1281" s="18"/>
      <c r="BF1281" s="18"/>
      <c r="BG1281" s="18"/>
      <c r="BH1281" s="18"/>
      <c r="BI1281" s="18"/>
      <c r="BJ1281" s="18"/>
      <c r="BK1281" s="18"/>
      <c r="BL1281" s="18"/>
      <c r="BM1281" s="18"/>
      <c r="BN1281" s="18"/>
      <c r="BO1281" s="18"/>
      <c r="BP1281" s="18"/>
      <c r="BQ1281" s="18"/>
      <c r="BR1281" s="18"/>
    </row>
    <row r="1282" spans="2:70" outlineLevel="1">
      <c r="C1282" s="420" t="s">
        <v>672</v>
      </c>
      <c r="D1282" s="7" t="s">
        <v>58</v>
      </c>
      <c r="E1282" s="16">
        <f>+E1240</f>
        <v>885</v>
      </c>
      <c r="F1282" s="16">
        <f>+F1240</f>
        <v>877</v>
      </c>
      <c r="G1282" s="23">
        <f>+F1282+E1282</f>
        <v>1762</v>
      </c>
      <c r="H1282" s="16">
        <f>+H1240</f>
        <v>689</v>
      </c>
      <c r="I1282" s="16">
        <f>+I1240</f>
        <v>868</v>
      </c>
      <c r="J1282" s="23">
        <f t="shared" ref="J1282:J1283" si="6942">+I1282+H1282</f>
        <v>1557</v>
      </c>
      <c r="K1282" s="16">
        <f>+K1240</f>
        <v>1034</v>
      </c>
      <c r="L1282" s="16">
        <f>+L1240</f>
        <v>1267</v>
      </c>
      <c r="M1282" s="23">
        <f t="shared" ref="M1282:M1283" si="6943">+L1282+K1282</f>
        <v>2301</v>
      </c>
      <c r="N1282" s="16">
        <f>+N1240</f>
        <v>1162</v>
      </c>
      <c r="O1282" s="16">
        <f>+O1240</f>
        <v>1311</v>
      </c>
      <c r="P1282" s="23">
        <f t="shared" ref="P1282:P1283" si="6944">+O1282+N1282</f>
        <v>2473</v>
      </c>
      <c r="Q1282" s="16">
        <f>+Q1240</f>
        <v>1059</v>
      </c>
      <c r="R1282" s="16">
        <f>+R1240</f>
        <v>1241</v>
      </c>
      <c r="S1282" s="23">
        <f t="shared" ref="S1282:S1283" si="6945">+R1282+Q1282</f>
        <v>2300</v>
      </c>
      <c r="T1282" s="16">
        <f>+T1240</f>
        <v>1027</v>
      </c>
      <c r="U1282" s="16">
        <f>+U1240</f>
        <v>1236</v>
      </c>
      <c r="V1282" s="23">
        <f t="shared" ref="V1282:V1283" si="6946">+U1282+T1282</f>
        <v>2263</v>
      </c>
      <c r="W1282" s="16">
        <f>+W1240</f>
        <v>1044</v>
      </c>
      <c r="X1282" s="16">
        <f>+X1240</f>
        <v>1197</v>
      </c>
      <c r="Y1282" s="23">
        <f t="shared" ref="Y1282:Y1283" si="6947">+X1282+W1282</f>
        <v>2241</v>
      </c>
      <c r="Z1282" s="16">
        <f>+Z1240</f>
        <v>1065</v>
      </c>
      <c r="AA1282" s="16">
        <f>+AA1240</f>
        <v>1152</v>
      </c>
      <c r="AB1282" s="23">
        <f t="shared" ref="AB1282:AB1283" si="6948">+AA1282+Z1282</f>
        <v>2217</v>
      </c>
      <c r="AC1282" s="16">
        <f>+AC1240</f>
        <v>1108</v>
      </c>
      <c r="AD1282" s="16">
        <f>+AD1240</f>
        <v>1252</v>
      </c>
      <c r="AE1282" s="19">
        <f t="shared" ref="AE1282:AE1283" si="6949">+AD1282+AC1282</f>
        <v>2360</v>
      </c>
      <c r="AF1282" s="121">
        <f>+AF1240</f>
        <v>1057</v>
      </c>
      <c r="AG1282" s="1013">
        <f>+AG1240</f>
        <v>1300.9069352381614</v>
      </c>
      <c r="AH1282" s="23">
        <f t="shared" ref="AH1282:AH1283" si="6950">+AG1282+AF1282</f>
        <v>2357.9069352381612</v>
      </c>
      <c r="AI1282" s="16">
        <f>+AI1240</f>
        <v>1044.8746546782265</v>
      </c>
      <c r="AJ1282" s="16">
        <f>+AJ1240</f>
        <v>1345.7130782463869</v>
      </c>
      <c r="AK1282" s="23">
        <f t="shared" ref="AK1282:AK1284" si="6951">+AJ1282+AI1282</f>
        <v>2390.5877329246132</v>
      </c>
      <c r="AL1282" s="16">
        <f>+AL1240</f>
        <v>1065.7485710674885</v>
      </c>
      <c r="AM1282" s="16">
        <f>+AM1240</f>
        <v>1377.4068442995119</v>
      </c>
      <c r="AN1282" s="23">
        <f t="shared" ref="AN1282:AN1284" si="6952">+AM1282+AL1282</f>
        <v>2443.1554153670004</v>
      </c>
      <c r="AO1282" s="16">
        <f>+AO1240</f>
        <v>1089.3861606128028</v>
      </c>
      <c r="AP1282" s="16">
        <f>+AP1240</f>
        <v>1399.1788395869198</v>
      </c>
      <c r="AQ1282" s="23">
        <f t="shared" ref="AQ1282:AQ1285" si="6953">+AP1282+AO1282</f>
        <v>2488.5650001997228</v>
      </c>
      <c r="AR1282" s="16">
        <f>+AR1240</f>
        <v>1105.1040279541221</v>
      </c>
      <c r="AS1282" s="16">
        <f>+AS1240</f>
        <v>1421.5646949849533</v>
      </c>
      <c r="AT1282" s="23">
        <f t="shared" ref="AT1282:AT1285" si="6954">+AS1282+AR1282</f>
        <v>2526.6687229390755</v>
      </c>
      <c r="AU1282" s="16">
        <f>+AU1240</f>
        <v>1121.2554558314266</v>
      </c>
      <c r="AV1282" s="16">
        <f>+AV1240</f>
        <v>1444.5825376574244</v>
      </c>
      <c r="AW1282" s="23">
        <f t="shared" ref="AW1282:AW1285" si="6955">+AV1282+AU1282</f>
        <v>2565.8379934888508</v>
      </c>
      <c r="AX1282" s="16">
        <f>+AX1240</f>
        <v>1137.8530272432381</v>
      </c>
      <c r="AY1282" s="16">
        <f>+AY1240</f>
        <v>1468.2510589642338</v>
      </c>
      <c r="AZ1282" s="23">
        <f t="shared" ref="AZ1282:AZ1285" si="6956">+AY1282+AX1282</f>
        <v>2606.1040862074719</v>
      </c>
      <c r="BA1282" s="16">
        <f>+BA1240</f>
        <v>1154.9097142152225</v>
      </c>
      <c r="BB1282" s="16">
        <f>+BB1240</f>
        <v>1492.5895323468799</v>
      </c>
      <c r="BC1282" s="23">
        <f t="shared" ref="BC1282:BC1285" si="6957">+BB1282+BA1282</f>
        <v>2647.4992465621026</v>
      </c>
      <c r="BD1282" s="16">
        <f>+BD1240</f>
        <v>1172.4388900993595</v>
      </c>
      <c r="BE1282" s="16">
        <f>+BE1240</f>
        <v>1517.6178317851641</v>
      </c>
      <c r="BF1282" s="23">
        <f t="shared" ref="BF1282:BF1285" si="6958">+BE1282+BD1282</f>
        <v>2690.0567218845235</v>
      </c>
      <c r="BG1282" s="16">
        <f>+BG1240</f>
        <v>1190.4543422654997</v>
      </c>
      <c r="BH1282" s="16">
        <f>+BH1240</f>
        <v>1543.3564508433867</v>
      </c>
      <c r="BI1282" s="23">
        <f t="shared" ref="BI1282:BI1285" si="6959">+BH1282+BG1282</f>
        <v>2733.8107931088862</v>
      </c>
      <c r="BJ1282" s="16">
        <f>+BJ1240</f>
        <v>1208.9702851978652</v>
      </c>
      <c r="BK1282" s="16">
        <f>+BK1240</f>
        <v>1569.8265223249114</v>
      </c>
      <c r="BL1282" s="23">
        <f t="shared" ref="BL1282:BL1285" si="6960">+BK1282+BJ1282</f>
        <v>2778.7968075227764</v>
      </c>
      <c r="BM1282" s="16">
        <f>+BM1240</f>
        <v>1228.001374009461</v>
      </c>
      <c r="BN1282" s="16">
        <f>+BN1240</f>
        <v>1597.0498385545829</v>
      </c>
      <c r="BO1282" s="23">
        <f t="shared" ref="BO1282:BO1285" si="6961">+BN1282+BM1282</f>
        <v>2825.0512125640439</v>
      </c>
      <c r="BP1282" s="16">
        <f>+BP1240</f>
        <v>1247.5627183877775</v>
      </c>
      <c r="BQ1282" s="16">
        <f>+BQ1240</f>
        <v>1625.0488723091091</v>
      </c>
      <c r="BR1282" s="23">
        <f t="shared" ref="BR1282:BR1285" si="6962">+BQ1282+BP1282</f>
        <v>2872.6115906968867</v>
      </c>
    </row>
    <row r="1283" spans="2:70" outlineLevel="1">
      <c r="C1283" s="420" t="s">
        <v>673</v>
      </c>
      <c r="D1283" s="7" t="s">
        <v>58</v>
      </c>
      <c r="E1283" s="16">
        <f>+E1277</f>
        <v>385</v>
      </c>
      <c r="F1283" s="16">
        <f>+F1277</f>
        <v>322</v>
      </c>
      <c r="G1283" s="23">
        <f>+F1283+E1283</f>
        <v>707</v>
      </c>
      <c r="H1283" s="16">
        <f t="shared" ref="H1283:I1283" si="6963">+H1277</f>
        <v>373</v>
      </c>
      <c r="I1283" s="16">
        <f t="shared" si="6963"/>
        <v>322</v>
      </c>
      <c r="J1283" s="23">
        <f t="shared" si="6942"/>
        <v>695</v>
      </c>
      <c r="K1283" s="16">
        <f t="shared" ref="K1283:L1283" si="6964">+K1277</f>
        <v>380</v>
      </c>
      <c r="L1283" s="16">
        <f t="shared" si="6964"/>
        <v>419</v>
      </c>
      <c r="M1283" s="23">
        <f t="shared" si="6943"/>
        <v>799</v>
      </c>
      <c r="N1283" s="16">
        <f t="shared" ref="N1283:O1283" si="6965">+N1277</f>
        <v>460</v>
      </c>
      <c r="O1283" s="16">
        <f t="shared" si="6965"/>
        <v>432</v>
      </c>
      <c r="P1283" s="23">
        <f t="shared" si="6944"/>
        <v>892</v>
      </c>
      <c r="Q1283" s="16">
        <f t="shared" ref="Q1283:R1283" si="6966">+Q1277</f>
        <v>443</v>
      </c>
      <c r="R1283" s="16">
        <f t="shared" si="6966"/>
        <v>443</v>
      </c>
      <c r="S1283" s="23">
        <f t="shared" si="6945"/>
        <v>886</v>
      </c>
      <c r="T1283" s="16">
        <f t="shared" ref="T1283:U1283" si="6967">+T1277</f>
        <v>465</v>
      </c>
      <c r="U1283" s="16">
        <f t="shared" si="6967"/>
        <v>467</v>
      </c>
      <c r="V1283" s="23">
        <f t="shared" si="6946"/>
        <v>932</v>
      </c>
      <c r="W1283" s="16">
        <f t="shared" ref="W1283:X1283" si="6968">+W1277</f>
        <v>520</v>
      </c>
      <c r="X1283" s="16">
        <f t="shared" si="6968"/>
        <v>557</v>
      </c>
      <c r="Y1283" s="23">
        <f t="shared" si="6947"/>
        <v>1077</v>
      </c>
      <c r="Z1283" s="16">
        <f t="shared" ref="Z1283:AA1283" si="6969">+Z1277</f>
        <v>497</v>
      </c>
      <c r="AA1283" s="16">
        <f t="shared" si="6969"/>
        <v>643</v>
      </c>
      <c r="AB1283" s="23">
        <f t="shared" si="6948"/>
        <v>1140</v>
      </c>
      <c r="AC1283" s="16">
        <f t="shared" ref="AC1283:AD1283" si="6970">+AC1277</f>
        <v>269</v>
      </c>
      <c r="AD1283" s="16">
        <f t="shared" si="6970"/>
        <v>248</v>
      </c>
      <c r="AE1283" s="19">
        <f t="shared" si="6949"/>
        <v>517</v>
      </c>
      <c r="AF1283" s="121">
        <f t="shared" ref="AF1283" si="6971">+AF1277</f>
        <v>279</v>
      </c>
      <c r="AG1283" s="1013">
        <f t="shared" ref="AG1283" si="6972">+AG1277</f>
        <v>259.86299556624431</v>
      </c>
      <c r="AH1283" s="23">
        <f t="shared" si="6950"/>
        <v>538.86299556624431</v>
      </c>
      <c r="AI1283" s="16">
        <f t="shared" ref="AI1283:AJ1283" si="6973">+AI1277</f>
        <v>286.81994315702542</v>
      </c>
      <c r="AJ1283" s="16">
        <f t="shared" si="6973"/>
        <v>272.5412509025935</v>
      </c>
      <c r="AK1283" s="23">
        <f t="shared" si="6951"/>
        <v>559.36119405961892</v>
      </c>
      <c r="AL1283" s="16">
        <f t="shared" ref="AL1283:AM1283" si="6974">+AL1277</f>
        <v>317.57610325658374</v>
      </c>
      <c r="AM1283" s="16">
        <f t="shared" si="6974"/>
        <v>296.79439836102165</v>
      </c>
      <c r="AN1283" s="23">
        <f t="shared" si="6952"/>
        <v>614.37050161760544</v>
      </c>
      <c r="AO1283" s="16">
        <f t="shared" ref="AO1283:AP1283" si="6975">+AO1277</f>
        <v>332.41295463581372</v>
      </c>
      <c r="AP1283" s="16">
        <f t="shared" si="6975"/>
        <v>306.83606583656882</v>
      </c>
      <c r="AQ1283" s="23">
        <f t="shared" si="6953"/>
        <v>639.24902047238254</v>
      </c>
      <c r="AR1283" s="16">
        <f t="shared" ref="AR1283:AS1283" si="6976">+AR1277</f>
        <v>343.65973143972315</v>
      </c>
      <c r="AS1283" s="16">
        <f t="shared" si="6976"/>
        <v>317.21748057906683</v>
      </c>
      <c r="AT1283" s="23">
        <f t="shared" si="6954"/>
        <v>660.87721201879003</v>
      </c>
      <c r="AU1283" s="16">
        <f t="shared" ref="AU1283:AV1283" si="6977">+AU1277</f>
        <v>355.28702887832185</v>
      </c>
      <c r="AV1283" s="16">
        <f t="shared" si="6977"/>
        <v>327.95013751260882</v>
      </c>
      <c r="AW1283" s="23">
        <f t="shared" si="6955"/>
        <v>683.23716639093072</v>
      </c>
      <c r="AX1283" s="16">
        <f t="shared" ref="AX1283:AY1283" si="6978">+AX1277</f>
        <v>367.30772139163372</v>
      </c>
      <c r="AY1283" s="16">
        <f t="shared" si="6978"/>
        <v>339.04592047767596</v>
      </c>
      <c r="AZ1283" s="23">
        <f t="shared" si="6956"/>
        <v>706.35364186930974</v>
      </c>
      <c r="BA1283" s="16">
        <f t="shared" ref="BA1283:BB1283" si="6979">+BA1277</f>
        <v>379.73511901026785</v>
      </c>
      <c r="BB1283" s="16">
        <f t="shared" si="6979"/>
        <v>350.51711538963752</v>
      </c>
      <c r="BC1283" s="23">
        <f t="shared" si="6957"/>
        <v>730.25223439990532</v>
      </c>
      <c r="BD1283" s="16">
        <f t="shared" ref="BD1283:BE1283" si="6980">+BD1277</f>
        <v>392.5829820930814</v>
      </c>
      <c r="BE1283" s="16">
        <f t="shared" si="6980"/>
        <v>362.37642384245163</v>
      </c>
      <c r="BF1283" s="23">
        <f t="shared" si="6958"/>
        <v>754.95940593553303</v>
      </c>
      <c r="BG1283" s="16">
        <f t="shared" ref="BG1283:BH1283" si="6981">+BG1277</f>
        <v>405.8655365634732</v>
      </c>
      <c r="BH1283" s="16">
        <f t="shared" si="6981"/>
        <v>374.63697717263108</v>
      </c>
      <c r="BI1283" s="23">
        <f t="shared" si="6959"/>
        <v>780.50251373610422</v>
      </c>
      <c r="BJ1283" s="16">
        <f t="shared" ref="BJ1283:BK1283" si="6982">+BJ1277</f>
        <v>419.59748966117752</v>
      </c>
      <c r="BK1283" s="16">
        <f t="shared" si="6982"/>
        <v>387.31235099904558</v>
      </c>
      <c r="BL1283" s="23">
        <f t="shared" si="6960"/>
        <v>806.90984066022315</v>
      </c>
      <c r="BM1283" s="16">
        <f t="shared" ref="BM1283:BN1283" si="6983">+BM1277</f>
        <v>433.79404622700139</v>
      </c>
      <c r="BN1283" s="16">
        <f t="shared" si="6983"/>
        <v>400.41658025465949</v>
      </c>
      <c r="BO1283" s="23">
        <f t="shared" si="6961"/>
        <v>834.21062648166094</v>
      </c>
      <c r="BP1283" s="16">
        <f t="shared" ref="BP1283:BQ1283" si="6984">+BP1277</f>
        <v>448.47092553853412</v>
      </c>
      <c r="BQ1283" s="16">
        <f t="shared" si="6984"/>
        <v>413.9641747268505</v>
      </c>
      <c r="BR1283" s="23">
        <f t="shared" si="6962"/>
        <v>862.43510026538456</v>
      </c>
    </row>
    <row r="1284" spans="2:70" outlineLevel="1">
      <c r="C1284" s="6" t="s">
        <v>675</v>
      </c>
      <c r="D1284" s="7" t="s">
        <v>58</v>
      </c>
      <c r="E1284" s="12">
        <v>2</v>
      </c>
      <c r="F1284" s="12">
        <v>4</v>
      </c>
      <c r="G1284" s="29">
        <f>SUM(E1284:F1284)</f>
        <v>6</v>
      </c>
      <c r="H1284" s="12">
        <v>2</v>
      </c>
      <c r="I1284" s="12">
        <v>4</v>
      </c>
      <c r="J1284" s="29">
        <f>SUM(H1284:I1284)</f>
        <v>6</v>
      </c>
      <c r="K1284" s="12">
        <v>3</v>
      </c>
      <c r="L1284" s="12">
        <v>7</v>
      </c>
      <c r="M1284" s="29">
        <f>SUM(K1284:L1284)</f>
        <v>10</v>
      </c>
      <c r="N1284" s="12">
        <v>3</v>
      </c>
      <c r="O1284" s="12">
        <v>-3</v>
      </c>
      <c r="P1284" s="29">
        <f>SUM(N1284:O1284)</f>
        <v>0</v>
      </c>
      <c r="Q1284" s="12">
        <v>-5</v>
      </c>
      <c r="R1284" s="12">
        <v>-2</v>
      </c>
      <c r="S1284" s="29">
        <f>SUM(Q1284:R1284)</f>
        <v>-7</v>
      </c>
      <c r="T1284" s="11">
        <v>-2</v>
      </c>
      <c r="U1284" s="11">
        <v>-1</v>
      </c>
      <c r="V1284" s="29">
        <f>SUM(T1284:U1284)</f>
        <v>-3</v>
      </c>
      <c r="W1284" s="11">
        <v>-1</v>
      </c>
      <c r="X1284" s="11">
        <v>0</v>
      </c>
      <c r="Y1284" s="29">
        <f>SUM(W1284:X1284)</f>
        <v>-1</v>
      </c>
      <c r="Z1284" s="11">
        <v>0</v>
      </c>
      <c r="AA1284" s="11">
        <v>0</v>
      </c>
      <c r="AB1284" s="29">
        <f>SUM(Z1284:AA1284)</f>
        <v>0</v>
      </c>
      <c r="AC1284" s="12">
        <v>0</v>
      </c>
      <c r="AD1284" s="12">
        <v>0</v>
      </c>
      <c r="AE1284" s="164">
        <f>AC1284+AD1284</f>
        <v>0</v>
      </c>
      <c r="AF1284" s="390">
        <v>0</v>
      </c>
      <c r="AG1284" s="946">
        <v>0</v>
      </c>
      <c r="AH1284" s="347">
        <f>+AG1284+AF1284</f>
        <v>0</v>
      </c>
      <c r="AI1284" s="390">
        <v>0</v>
      </c>
      <c r="AJ1284" s="390">
        <v>0</v>
      </c>
      <c r="AK1284" s="171">
        <f t="shared" si="6951"/>
        <v>0</v>
      </c>
      <c r="AL1284" s="390">
        <v>0</v>
      </c>
      <c r="AM1284" s="435">
        <v>0</v>
      </c>
      <c r="AN1284" s="347">
        <f t="shared" si="6952"/>
        <v>0</v>
      </c>
      <c r="AO1284" s="390">
        <v>0</v>
      </c>
      <c r="AP1284" s="435">
        <v>0</v>
      </c>
      <c r="AQ1284" s="347">
        <f t="shared" si="6953"/>
        <v>0</v>
      </c>
      <c r="AR1284" s="390">
        <v>0</v>
      </c>
      <c r="AS1284" s="435">
        <v>0</v>
      </c>
      <c r="AT1284" s="347">
        <f t="shared" si="6954"/>
        <v>0</v>
      </c>
      <c r="AU1284" s="390">
        <v>0</v>
      </c>
      <c r="AV1284" s="435">
        <v>0</v>
      </c>
      <c r="AW1284" s="347">
        <f t="shared" si="6955"/>
        <v>0</v>
      </c>
      <c r="AX1284" s="390">
        <v>0</v>
      </c>
      <c r="AY1284" s="435">
        <v>0</v>
      </c>
      <c r="AZ1284" s="347">
        <f t="shared" si="6956"/>
        <v>0</v>
      </c>
      <c r="BA1284" s="390">
        <v>0</v>
      </c>
      <c r="BB1284" s="435">
        <v>0</v>
      </c>
      <c r="BC1284" s="347">
        <f t="shared" si="6957"/>
        <v>0</v>
      </c>
      <c r="BD1284" s="390">
        <v>0</v>
      </c>
      <c r="BE1284" s="435">
        <v>0</v>
      </c>
      <c r="BF1284" s="347">
        <f t="shared" si="6958"/>
        <v>0</v>
      </c>
      <c r="BG1284" s="390">
        <v>0</v>
      </c>
      <c r="BH1284" s="435">
        <v>0</v>
      </c>
      <c r="BI1284" s="347">
        <f t="shared" si="6959"/>
        <v>0</v>
      </c>
      <c r="BJ1284" s="390">
        <v>0</v>
      </c>
      <c r="BK1284" s="435">
        <v>0</v>
      </c>
      <c r="BL1284" s="347">
        <f t="shared" si="6960"/>
        <v>0</v>
      </c>
      <c r="BM1284" s="390">
        <v>0</v>
      </c>
      <c r="BN1284" s="435">
        <v>0</v>
      </c>
      <c r="BO1284" s="347">
        <f t="shared" si="6961"/>
        <v>0</v>
      </c>
      <c r="BP1284" s="390">
        <v>0</v>
      </c>
      <c r="BQ1284" s="435">
        <v>0</v>
      </c>
      <c r="BR1284" s="347">
        <f t="shared" si="6962"/>
        <v>0</v>
      </c>
    </row>
    <row r="1285" spans="2:70" s="614" customFormat="1" outlineLevel="1">
      <c r="C1285" s="8" t="s">
        <v>674</v>
      </c>
      <c r="D1285" s="96" t="s">
        <v>58</v>
      </c>
      <c r="E1285" s="97">
        <f>E1282+E1283+E1284</f>
        <v>1272</v>
      </c>
      <c r="F1285" s="97">
        <f>F1240+F1277+F1284</f>
        <v>1203</v>
      </c>
      <c r="G1285" s="97">
        <f>+F1285+E1285</f>
        <v>2475</v>
      </c>
      <c r="H1285" s="97">
        <f t="shared" ref="H1285" si="6985">H1282+H1283+H1284</f>
        <v>1064</v>
      </c>
      <c r="I1285" s="97">
        <f>I1240+I1277+I1284</f>
        <v>1194</v>
      </c>
      <c r="J1285" s="97">
        <f t="shared" ref="J1285" si="6986">+I1285+H1285</f>
        <v>2258</v>
      </c>
      <c r="K1285" s="97">
        <f t="shared" ref="K1285" si="6987">K1282+K1283+K1284</f>
        <v>1417</v>
      </c>
      <c r="L1285" s="97">
        <f>L1240+L1277+L1284</f>
        <v>1693</v>
      </c>
      <c r="M1285" s="97">
        <f t="shared" ref="M1285" si="6988">+L1285+K1285</f>
        <v>3110</v>
      </c>
      <c r="N1285" s="97">
        <f t="shared" ref="N1285" si="6989">N1282+N1283+N1284</f>
        <v>1625</v>
      </c>
      <c r="O1285" s="97">
        <f>O1240+O1277+O1284</f>
        <v>1740</v>
      </c>
      <c r="P1285" s="97">
        <f t="shared" ref="P1285" si="6990">+O1285+N1285</f>
        <v>3365</v>
      </c>
      <c r="Q1285" s="97">
        <f t="shared" ref="Q1285" si="6991">Q1282+Q1283+Q1284</f>
        <v>1497</v>
      </c>
      <c r="R1285" s="97">
        <f>R1240+R1277+R1284</f>
        <v>1682</v>
      </c>
      <c r="S1285" s="97">
        <f t="shared" ref="S1285" si="6992">+R1285+Q1285</f>
        <v>3179</v>
      </c>
      <c r="T1285" s="97">
        <f t="shared" ref="T1285" si="6993">T1282+T1283+T1284</f>
        <v>1490</v>
      </c>
      <c r="U1285" s="97">
        <f>U1240+U1277+U1284</f>
        <v>1702</v>
      </c>
      <c r="V1285" s="97">
        <f t="shared" ref="V1285" si="6994">+U1285+T1285</f>
        <v>3192</v>
      </c>
      <c r="W1285" s="97">
        <f t="shared" ref="W1285" si="6995">W1282+W1283+W1284</f>
        <v>1563</v>
      </c>
      <c r="X1285" s="97">
        <f>X1240+X1277+X1284</f>
        <v>1754</v>
      </c>
      <c r="Y1285" s="97">
        <f t="shared" ref="Y1285" si="6996">+X1285+W1285</f>
        <v>3317</v>
      </c>
      <c r="Z1285" s="97">
        <f t="shared" ref="Z1285" si="6997">Z1282+Z1283+Z1284</f>
        <v>1562</v>
      </c>
      <c r="AA1285" s="97">
        <f>AA1240+AA1277+AA1284</f>
        <v>1795</v>
      </c>
      <c r="AB1285" s="97">
        <f t="shared" ref="AB1285" si="6998">+AA1285+Z1285</f>
        <v>3357</v>
      </c>
      <c r="AC1285" s="97">
        <f t="shared" ref="AC1285" si="6999">AC1282+AC1283+AC1284</f>
        <v>1377</v>
      </c>
      <c r="AD1285" s="97">
        <f>AD1240+AD1277+AD1284</f>
        <v>1500</v>
      </c>
      <c r="AE1285" s="800">
        <f t="shared" ref="AE1285" si="7000">+AD1285+AC1285</f>
        <v>2877</v>
      </c>
      <c r="AF1285" s="800">
        <f t="shared" ref="AF1285" si="7001">AF1282+AF1283+AF1284</f>
        <v>1336</v>
      </c>
      <c r="AG1285" s="1009">
        <f t="shared" ref="AG1285:AM1285" si="7002">AG1282+AG1283+AG1284</f>
        <v>1560.7699308044057</v>
      </c>
      <c r="AH1285" s="97">
        <f t="shared" ref="AH1285" si="7003">+AG1285+AF1285</f>
        <v>2896.7699308044057</v>
      </c>
      <c r="AI1285" s="97">
        <f t="shared" si="7002"/>
        <v>1331.6945978352519</v>
      </c>
      <c r="AJ1285" s="97">
        <f t="shared" si="7002"/>
        <v>1618.2543291489803</v>
      </c>
      <c r="AK1285" s="97">
        <f t="shared" ref="AK1285" si="7004">+AJ1285+AI1285</f>
        <v>2949.9489269842325</v>
      </c>
      <c r="AL1285" s="97">
        <f t="shared" si="7002"/>
        <v>1383.3246743240722</v>
      </c>
      <c r="AM1285" s="97">
        <f t="shared" si="7002"/>
        <v>1674.2012426605336</v>
      </c>
      <c r="AN1285" s="97">
        <f t="shared" ref="AN1285" si="7005">+AM1285+AL1285</f>
        <v>3057.5259169846058</v>
      </c>
      <c r="AO1285" s="97">
        <f t="shared" ref="AO1285:AP1285" si="7006">AO1282+AO1283+AO1284</f>
        <v>1421.7991152486165</v>
      </c>
      <c r="AP1285" s="97">
        <f t="shared" si="7006"/>
        <v>1706.0149054234887</v>
      </c>
      <c r="AQ1285" s="97">
        <f t="shared" si="6953"/>
        <v>3127.8140206721055</v>
      </c>
      <c r="AR1285" s="97">
        <f t="shared" ref="AR1285:AS1285" si="7007">AR1282+AR1283+AR1284</f>
        <v>1448.7637593938452</v>
      </c>
      <c r="AS1285" s="97">
        <f t="shared" si="7007"/>
        <v>1738.7821755640202</v>
      </c>
      <c r="AT1285" s="97">
        <f t="shared" si="6954"/>
        <v>3187.5459349578655</v>
      </c>
      <c r="AU1285" s="97">
        <f t="shared" ref="AU1285:AV1285" si="7008">AU1282+AU1283+AU1284</f>
        <v>1476.5424847097484</v>
      </c>
      <c r="AV1285" s="97">
        <f t="shared" si="7008"/>
        <v>1772.5326751700331</v>
      </c>
      <c r="AW1285" s="97">
        <f t="shared" si="6955"/>
        <v>3249.0751598797815</v>
      </c>
      <c r="AX1285" s="97">
        <f t="shared" ref="AX1285:AY1285" si="7009">AX1282+AX1283+AX1284</f>
        <v>1505.1607486348719</v>
      </c>
      <c r="AY1285" s="97">
        <f t="shared" si="7009"/>
        <v>1807.2969794419098</v>
      </c>
      <c r="AZ1285" s="97">
        <f t="shared" si="6956"/>
        <v>3312.4577280767817</v>
      </c>
      <c r="BA1285" s="97">
        <f t="shared" ref="BA1285:BB1285" si="7010">BA1282+BA1283+BA1284</f>
        <v>1534.6448332254904</v>
      </c>
      <c r="BB1285" s="97">
        <f t="shared" si="7010"/>
        <v>1843.1066477365175</v>
      </c>
      <c r="BC1285" s="97">
        <f t="shared" si="6957"/>
        <v>3377.7514809620079</v>
      </c>
      <c r="BD1285" s="97">
        <f t="shared" ref="BD1285:BE1285" si="7011">BD1282+BD1283+BD1284</f>
        <v>1565.0218721924409</v>
      </c>
      <c r="BE1285" s="97">
        <f t="shared" si="7011"/>
        <v>1879.9942556276158</v>
      </c>
      <c r="BF1285" s="97">
        <f t="shared" si="6958"/>
        <v>3445.0161278200567</v>
      </c>
      <c r="BG1285" s="97">
        <f t="shared" ref="BG1285:BH1285" si="7012">BG1282+BG1283+BG1284</f>
        <v>1596.3198788289728</v>
      </c>
      <c r="BH1285" s="97">
        <f t="shared" si="7012"/>
        <v>1917.9934280160178</v>
      </c>
      <c r="BI1285" s="97">
        <f t="shared" si="6959"/>
        <v>3514.3133068449906</v>
      </c>
      <c r="BJ1285" s="97">
        <f t="shared" ref="BJ1285:BK1285" si="7013">BJ1282+BJ1283+BJ1284</f>
        <v>1628.5677748590429</v>
      </c>
      <c r="BK1285" s="97">
        <f t="shared" si="7013"/>
        <v>1957.1388733239569</v>
      </c>
      <c r="BL1285" s="97">
        <f t="shared" si="6960"/>
        <v>3585.7066481829997</v>
      </c>
      <c r="BM1285" s="97">
        <f t="shared" ref="BM1285:BN1285" si="7014">BM1282+BM1283+BM1284</f>
        <v>1661.7954202364624</v>
      </c>
      <c r="BN1285" s="97">
        <f t="shared" si="7014"/>
        <v>1997.4664188092424</v>
      </c>
      <c r="BO1285" s="97">
        <f t="shared" si="6961"/>
        <v>3659.2618390457046</v>
      </c>
      <c r="BP1285" s="97">
        <f t="shared" ref="BP1285:BQ1285" si="7015">BP1282+BP1283+BP1284</f>
        <v>1696.0336439263117</v>
      </c>
      <c r="BQ1285" s="97">
        <f t="shared" si="7015"/>
        <v>2039.0130470359595</v>
      </c>
      <c r="BR1285" s="97">
        <f t="shared" si="6962"/>
        <v>3735.046690962271</v>
      </c>
    </row>
    <row r="1286" spans="2:70" s="99" customFormat="1" outlineLevel="1">
      <c r="C1286" s="9" t="s">
        <v>278</v>
      </c>
      <c r="D1286" s="7"/>
      <c r="E1286" s="566"/>
      <c r="F1286" s="566"/>
      <c r="G1286" s="566"/>
      <c r="H1286" s="571"/>
      <c r="I1286" s="571"/>
      <c r="J1286" s="571"/>
      <c r="K1286" s="601">
        <f t="shared" ref="K1286" si="7016">+K1285/H1285-1</f>
        <v>0.33176691729323315</v>
      </c>
      <c r="L1286" s="601">
        <f t="shared" ref="L1286" si="7017">+L1285/I1285-1</f>
        <v>0.41792294807370189</v>
      </c>
      <c r="M1286" s="601">
        <f t="shared" ref="M1286" si="7018">+M1285/J1285-1</f>
        <v>0.37732506643046948</v>
      </c>
      <c r="N1286" s="601">
        <f t="shared" ref="N1286" si="7019">+N1285/K1285-1</f>
        <v>0.14678899082568808</v>
      </c>
      <c r="O1286" s="601">
        <f t="shared" ref="O1286" si="7020">+O1285/L1285-1</f>
        <v>2.7761370348493797E-2</v>
      </c>
      <c r="P1286" s="601">
        <f t="shared" ref="P1286" si="7021">+P1285/M1285-1</f>
        <v>8.1993569131832755E-2</v>
      </c>
      <c r="Q1286" s="601">
        <f t="shared" ref="Q1286" si="7022">+Q1285/N1285-1</f>
        <v>-7.8769230769230814E-2</v>
      </c>
      <c r="R1286" s="601">
        <f t="shared" ref="R1286" si="7023">+R1285/O1285-1</f>
        <v>-3.3333333333333326E-2</v>
      </c>
      <c r="S1286" s="601">
        <f t="shared" ref="S1286" si="7024">+S1285/P1285-1</f>
        <v>-5.5274888558692448E-2</v>
      </c>
      <c r="T1286" s="601">
        <f t="shared" ref="T1286" si="7025">+T1285/Q1285-1</f>
        <v>-4.676018704074858E-3</v>
      </c>
      <c r="U1286" s="601">
        <f t="shared" ref="U1286" si="7026">+U1285/R1285-1</f>
        <v>1.189060642092743E-2</v>
      </c>
      <c r="V1286" s="601">
        <f t="shared" ref="V1286" si="7027">+V1285/S1285-1</f>
        <v>4.0893362692671076E-3</v>
      </c>
      <c r="W1286" s="601">
        <f t="shared" ref="W1286" si="7028">+W1285/T1285-1</f>
        <v>4.8993288590603923E-2</v>
      </c>
      <c r="X1286" s="601">
        <f t="shared" ref="X1286" si="7029">+X1285/U1285-1</f>
        <v>3.0552291421856559E-2</v>
      </c>
      <c r="Y1286" s="601">
        <f t="shared" ref="Y1286" si="7030">+Y1285/V1285-1</f>
        <v>3.9160401002506173E-2</v>
      </c>
      <c r="Z1286" s="601">
        <f t="shared" ref="Z1286" si="7031">+Z1285/W1285-1</f>
        <v>-6.3979526551505295E-4</v>
      </c>
      <c r="AA1286" s="601">
        <f t="shared" ref="AA1286" si="7032">+AA1285/X1285-1</f>
        <v>2.3375142531356863E-2</v>
      </c>
      <c r="AB1286" s="601">
        <f t="shared" ref="AB1286" si="7033">+AB1285/Y1285-1</f>
        <v>1.2059089538739798E-2</v>
      </c>
      <c r="AC1286" s="601">
        <f t="shared" ref="AC1286" si="7034">+AC1285/Z1285-1</f>
        <v>-0.11843790012804101</v>
      </c>
      <c r="AD1286" s="601">
        <f t="shared" ref="AD1286" si="7035">+AD1285/AA1285-1</f>
        <v>-0.16434540389972141</v>
      </c>
      <c r="AE1286" s="602">
        <f t="shared" ref="AE1286:AF1286" si="7036">+AE1285/AB1285-1</f>
        <v>-0.14298480786416445</v>
      </c>
      <c r="AF1286" s="602">
        <f t="shared" si="7036"/>
        <v>-2.977487291212777E-2</v>
      </c>
      <c r="AG1286" s="1051">
        <f t="shared" ref="AG1286" si="7037">+AG1285/AD1285-1</f>
        <v>4.0513287202937232E-2</v>
      </c>
      <c r="AH1286" s="601">
        <f t="shared" ref="AH1286" si="7038">+AH1285/AE1285-1</f>
        <v>6.8717173459873493E-3</v>
      </c>
      <c r="AI1286" s="601">
        <f t="shared" ref="AI1286" si="7039">+AI1285/AF1285-1</f>
        <v>-3.2226064107395702E-3</v>
      </c>
      <c r="AJ1286" s="601">
        <f t="shared" ref="AJ1286" si="7040">+AJ1285/AG1285-1</f>
        <v>3.6830795628506108E-2</v>
      </c>
      <c r="AK1286" s="601">
        <f t="shared" ref="AK1286" si="7041">+AK1285/AH1285-1</f>
        <v>1.8358032377483013E-2</v>
      </c>
      <c r="AL1286" s="601">
        <f t="shared" ref="AL1286" si="7042">+AL1285/AI1285-1</f>
        <v>3.8770207953646496E-2</v>
      </c>
      <c r="AM1286" s="601">
        <f t="shared" ref="AM1286" si="7043">+AM1285/AJ1285-1</f>
        <v>3.4572386122381005E-2</v>
      </c>
      <c r="AN1286" s="601">
        <f t="shared" ref="AN1286" si="7044">+AN1285/AK1285-1</f>
        <v>3.6467407627409631E-2</v>
      </c>
      <c r="AO1286" s="601">
        <f t="shared" ref="AO1286" si="7045">+AO1285/AL1285-1</f>
        <v>2.7813022957422495E-2</v>
      </c>
      <c r="AP1286" s="601">
        <f t="shared" ref="AP1286" si="7046">+AP1285/AM1285-1</f>
        <v>1.9002293124809055E-2</v>
      </c>
      <c r="AQ1286" s="601">
        <f t="shared" ref="AQ1286" si="7047">+AQ1285/AN1285-1</f>
        <v>2.2988555320839099E-2</v>
      </c>
      <c r="AR1286" s="601">
        <f t="shared" ref="AR1286" si="7048">+AR1285/AO1285-1</f>
        <v>1.8965157493795237E-2</v>
      </c>
      <c r="AS1286" s="601">
        <f t="shared" ref="AS1286" si="7049">+AS1285/AP1285-1</f>
        <v>1.9206907299791576E-2</v>
      </c>
      <c r="AT1286" s="601">
        <f t="shared" ref="AT1286" si="7050">+AT1285/AQ1285-1</f>
        <v>1.9097015964179676E-2</v>
      </c>
      <c r="AU1286" s="601">
        <f t="shared" ref="AU1286" si="7051">+AU1285/AR1285-1</f>
        <v>1.9174089036797515E-2</v>
      </c>
      <c r="AV1286" s="601">
        <f t="shared" ref="AV1286" si="7052">+AV1285/AS1285-1</f>
        <v>1.9410424192475517E-2</v>
      </c>
      <c r="AW1286" s="601">
        <f t="shared" ref="AW1286" si="7053">+AW1285/AT1285-1</f>
        <v>1.9303008074997186E-2</v>
      </c>
      <c r="AX1286" s="601">
        <f t="shared" ref="AX1286" si="7054">+AX1285/AU1285-1</f>
        <v>1.9381944117069727E-2</v>
      </c>
      <c r="AY1286" s="601">
        <f t="shared" ref="AY1286" si="7055">+AY1285/AV1285-1</f>
        <v>1.9612786133007098E-2</v>
      </c>
      <c r="AZ1286" s="601">
        <f t="shared" ref="AZ1286" si="7056">+AZ1285/AW1285-1</f>
        <v>1.9507879959091312E-2</v>
      </c>
      <c r="BA1286" s="601">
        <f t="shared" ref="BA1286" si="7057">+BA1285/AX1285-1</f>
        <v>1.9588661621265047E-2</v>
      </c>
      <c r="BB1286" s="601">
        <f t="shared" ref="BB1286" si="7058">+BB1285/AY1285-1</f>
        <v>1.9813936891360129E-2</v>
      </c>
      <c r="BC1286" s="601">
        <f t="shared" ref="BC1286" si="7059">+BC1285/AZ1285-1</f>
        <v>1.9711573171723451E-2</v>
      </c>
      <c r="BD1286" s="601">
        <f t="shared" ref="BD1286" si="7060">+BD1285/BA1285-1</f>
        <v>1.9794181891001239E-2</v>
      </c>
      <c r="BE1286" s="601">
        <f t="shared" ref="BE1286" si="7061">+BE1285/BB1285-1</f>
        <v>2.0013821737553394E-2</v>
      </c>
      <c r="BF1286" s="601">
        <f t="shared" ref="BF1286" si="7062">+BF1285/BC1285-1</f>
        <v>1.9914030750092682E-2</v>
      </c>
      <c r="BG1286" s="601">
        <f t="shared" ref="BG1286" si="7063">+BG1285/BD1285-1</f>
        <v>1.9998446790195024E-2</v>
      </c>
      <c r="BH1286" s="601">
        <f t="shared" ref="BH1286" si="7064">+BH1285/BE1285-1</f>
        <v>2.0212387497809958E-2</v>
      </c>
      <c r="BI1286" s="601">
        <f t="shared" ref="BI1286" si="7065">+BI1285/BF1285-1</f>
        <v>2.011519727449973E-2</v>
      </c>
      <c r="BJ1286" s="601">
        <f t="shared" ref="BJ1286" si="7066">+BJ1285/BG1285-1</f>
        <v>2.0201399768150718E-2</v>
      </c>
      <c r="BK1286" s="601">
        <f t="shared" ref="BK1286" si="7067">+BK1285/BH1285-1</f>
        <v>2.0409582606563559E-2</v>
      </c>
      <c r="BL1286" s="601">
        <f t="shared" ref="BL1286" si="7068">+BL1285/BI1285-1</f>
        <v>2.0315018925305628E-2</v>
      </c>
      <c r="BM1286" s="601">
        <f t="shared" ref="BM1286" si="7069">+BM1285/BJ1285-1</f>
        <v>2.0402985918283711E-2</v>
      </c>
      <c r="BN1286" s="601">
        <f t="shared" ref="BN1286" si="7070">+BN1285/BK1285-1</f>
        <v>2.0605357154239279E-2</v>
      </c>
      <c r="BO1286" s="601">
        <f t="shared" ref="BO1286" si="7071">+BO1285/BL1285-1</f>
        <v>2.051344353559359E-2</v>
      </c>
      <c r="BP1286" s="601">
        <f t="shared" ref="BP1286" si="7072">+BP1285/BM1285-1</f>
        <v>2.0603152032382832E-2</v>
      </c>
      <c r="BQ1286" s="601">
        <f t="shared" ref="BQ1286" si="7073">+BQ1285/BN1285-1</f>
        <v>2.079966293074631E-2</v>
      </c>
      <c r="BR1286" s="601">
        <f t="shared" ref="BR1286" si="7074">+BR1285/BO1285-1</f>
        <v>2.0710420639461491E-2</v>
      </c>
    </row>
    <row r="1287" spans="2:70" outlineLevel="1">
      <c r="C1287" s="9" t="s">
        <v>676</v>
      </c>
      <c r="E1287" s="564"/>
      <c r="F1287" s="564"/>
      <c r="G1287" s="564"/>
      <c r="H1287" s="564"/>
      <c r="I1287" s="564"/>
      <c r="J1287" s="564"/>
      <c r="K1287" s="601">
        <f>+K1286-K1288</f>
        <v>9.680451127819556E-2</v>
      </c>
      <c r="L1287" s="601">
        <f t="shared" ref="L1287:AN1287" si="7075">+L1286-L1288</f>
        <v>0.16666666666666674</v>
      </c>
      <c r="M1287" s="601">
        <f t="shared" si="7075"/>
        <v>0.13374667847652794</v>
      </c>
      <c r="N1287" s="601">
        <f t="shared" si="7075"/>
        <v>0.11150317572335922</v>
      </c>
      <c r="O1287" s="601">
        <f t="shared" si="7075"/>
        <v>2.7761370348493797E-2</v>
      </c>
      <c r="P1287" s="601">
        <f t="shared" si="7075"/>
        <v>6.5916398713826319E-2</v>
      </c>
      <c r="Q1287" s="601">
        <f t="shared" si="7075"/>
        <v>-7.8769230769230814E-2</v>
      </c>
      <c r="R1287" s="601">
        <f t="shared" si="7075"/>
        <v>-3.3333333333333326E-2</v>
      </c>
      <c r="S1287" s="601">
        <f t="shared" si="7075"/>
        <v>-5.5274888558692448E-2</v>
      </c>
      <c r="T1287" s="601">
        <f t="shared" si="7075"/>
        <v>-4.676018704074858E-3</v>
      </c>
      <c r="U1287" s="601">
        <f t="shared" si="7075"/>
        <v>1.189060642092743E-2</v>
      </c>
      <c r="V1287" s="601">
        <f t="shared" si="7075"/>
        <v>4.0893362692671076E-3</v>
      </c>
      <c r="W1287" s="601">
        <f t="shared" si="7075"/>
        <v>4.8993288590603923E-2</v>
      </c>
      <c r="X1287" s="601">
        <f t="shared" si="7075"/>
        <v>3.0552291421856559E-2</v>
      </c>
      <c r="Y1287" s="601">
        <f t="shared" si="7075"/>
        <v>3.9160401002506173E-2</v>
      </c>
      <c r="Z1287" s="601">
        <f t="shared" si="7075"/>
        <v>-6.3979526551505295E-4</v>
      </c>
      <c r="AA1287" s="601">
        <f t="shared" si="7075"/>
        <v>1.2922843025465567E-2</v>
      </c>
      <c r="AB1287" s="601">
        <f t="shared" si="7075"/>
        <v>6.5320068334840447E-3</v>
      </c>
      <c r="AC1287" s="601">
        <f t="shared" si="7075"/>
        <v>-0.15364916773367482</v>
      </c>
      <c r="AD1287" s="601">
        <f t="shared" si="7075"/>
        <v>-0.18537604456824508</v>
      </c>
      <c r="AE1287" s="602">
        <f t="shared" si="7075"/>
        <v>-0.17061364313375038</v>
      </c>
      <c r="AF1287" s="602">
        <f t="shared" ref="AF1287" si="7076">+AF1286-AF1288</f>
        <v>-8.5330428467683322E-2</v>
      </c>
      <c r="AG1287" s="1051">
        <f t="shared" si="7075"/>
        <v>3.6902176091826118E-2</v>
      </c>
      <c r="AH1287" s="601">
        <f t="shared" si="7075"/>
        <v>-2.1601229010170687E-2</v>
      </c>
      <c r="AI1287" s="601">
        <f t="shared" si="7075"/>
        <v>-3.2226064107395702E-3</v>
      </c>
      <c r="AJ1287" s="601">
        <f t="shared" si="7075"/>
        <v>3.6830795628506108E-2</v>
      </c>
      <c r="AK1287" s="601">
        <f t="shared" si="7075"/>
        <v>1.8358032377483013E-2</v>
      </c>
      <c r="AL1287" s="601">
        <f t="shared" si="7075"/>
        <v>3.8770207953646496E-2</v>
      </c>
      <c r="AM1287" s="601">
        <f t="shared" si="7075"/>
        <v>3.4572386122381005E-2</v>
      </c>
      <c r="AN1287" s="601">
        <f t="shared" si="7075"/>
        <v>3.6467407627409631E-2</v>
      </c>
      <c r="AO1287" s="601">
        <f t="shared" ref="AO1287:BR1287" si="7077">+AO1286-AO1288</f>
        <v>2.7813022957422495E-2</v>
      </c>
      <c r="AP1287" s="601">
        <f t="shared" si="7077"/>
        <v>1.9002293124809055E-2</v>
      </c>
      <c r="AQ1287" s="601">
        <f t="shared" si="7077"/>
        <v>2.2988555320839099E-2</v>
      </c>
      <c r="AR1287" s="601">
        <f t="shared" si="7077"/>
        <v>1.8965157493795237E-2</v>
      </c>
      <c r="AS1287" s="601">
        <f t="shared" si="7077"/>
        <v>1.9206907299791576E-2</v>
      </c>
      <c r="AT1287" s="601">
        <f t="shared" si="7077"/>
        <v>1.9097015964179676E-2</v>
      </c>
      <c r="AU1287" s="601">
        <f t="shared" si="7077"/>
        <v>1.9174089036797515E-2</v>
      </c>
      <c r="AV1287" s="601">
        <f t="shared" si="7077"/>
        <v>1.9410424192475517E-2</v>
      </c>
      <c r="AW1287" s="601">
        <f t="shared" si="7077"/>
        <v>1.9303008074997186E-2</v>
      </c>
      <c r="AX1287" s="601">
        <f t="shared" si="7077"/>
        <v>1.9381944117069727E-2</v>
      </c>
      <c r="AY1287" s="601">
        <f t="shared" si="7077"/>
        <v>1.9612786133007098E-2</v>
      </c>
      <c r="AZ1287" s="601">
        <f t="shared" si="7077"/>
        <v>1.9507879959091312E-2</v>
      </c>
      <c r="BA1287" s="601">
        <f t="shared" si="7077"/>
        <v>1.9588661621265047E-2</v>
      </c>
      <c r="BB1287" s="601">
        <f t="shared" si="7077"/>
        <v>1.9813936891360129E-2</v>
      </c>
      <c r="BC1287" s="601">
        <f t="shared" si="7077"/>
        <v>1.9711573171723451E-2</v>
      </c>
      <c r="BD1287" s="601">
        <f t="shared" si="7077"/>
        <v>1.9794181891001239E-2</v>
      </c>
      <c r="BE1287" s="601">
        <f t="shared" si="7077"/>
        <v>2.0013821737553394E-2</v>
      </c>
      <c r="BF1287" s="601">
        <f t="shared" si="7077"/>
        <v>1.9914030750092682E-2</v>
      </c>
      <c r="BG1287" s="601">
        <f t="shared" si="7077"/>
        <v>1.9998446790195024E-2</v>
      </c>
      <c r="BH1287" s="601">
        <f t="shared" si="7077"/>
        <v>2.0212387497809958E-2</v>
      </c>
      <c r="BI1287" s="601">
        <f t="shared" si="7077"/>
        <v>2.011519727449973E-2</v>
      </c>
      <c r="BJ1287" s="601">
        <f t="shared" si="7077"/>
        <v>2.0201399768150718E-2</v>
      </c>
      <c r="BK1287" s="601">
        <f t="shared" si="7077"/>
        <v>2.0409582606563559E-2</v>
      </c>
      <c r="BL1287" s="601">
        <f t="shared" si="7077"/>
        <v>2.0315018925305628E-2</v>
      </c>
      <c r="BM1287" s="601">
        <f t="shared" si="7077"/>
        <v>2.0402985918283711E-2</v>
      </c>
      <c r="BN1287" s="601">
        <f t="shared" si="7077"/>
        <v>2.0605357154239279E-2</v>
      </c>
      <c r="BO1287" s="601">
        <f t="shared" si="7077"/>
        <v>2.051344353559359E-2</v>
      </c>
      <c r="BP1287" s="601">
        <f t="shared" si="7077"/>
        <v>2.0603152032382832E-2</v>
      </c>
      <c r="BQ1287" s="601">
        <f t="shared" si="7077"/>
        <v>2.079966293074631E-2</v>
      </c>
      <c r="BR1287" s="601">
        <f t="shared" si="7077"/>
        <v>2.0710420639461491E-2</v>
      </c>
    </row>
    <row r="1288" spans="2:70" s="8" customFormat="1" outlineLevel="1">
      <c r="C1288" s="421" t="s">
        <v>585</v>
      </c>
      <c r="D1288" s="96"/>
      <c r="E1288" s="579"/>
      <c r="F1288" s="579"/>
      <c r="G1288" s="579"/>
      <c r="H1288" s="579"/>
      <c r="I1288" s="579"/>
      <c r="J1288" s="579"/>
      <c r="K1288" s="601">
        <f t="shared" ref="K1288:AN1288" si="7078">(K1275+K1267+K1259+K1238+K1230+K1223+K1216)/H1285</f>
        <v>0.23496240601503759</v>
      </c>
      <c r="L1288" s="601">
        <f t="shared" si="7078"/>
        <v>0.25125628140703515</v>
      </c>
      <c r="M1288" s="601">
        <f t="shared" si="7078"/>
        <v>0.24357838795394154</v>
      </c>
      <c r="N1288" s="601">
        <f t="shared" si="7078"/>
        <v>3.5285815102328866E-2</v>
      </c>
      <c r="O1288" s="601">
        <f t="shared" si="7078"/>
        <v>0</v>
      </c>
      <c r="P1288" s="601">
        <f t="shared" si="7078"/>
        <v>1.607717041800643E-2</v>
      </c>
      <c r="Q1288" s="601">
        <f t="shared" si="7078"/>
        <v>0</v>
      </c>
      <c r="R1288" s="601">
        <f t="shared" si="7078"/>
        <v>0</v>
      </c>
      <c r="S1288" s="601">
        <f t="shared" si="7078"/>
        <v>0</v>
      </c>
      <c r="T1288" s="601">
        <f t="shared" si="7078"/>
        <v>0</v>
      </c>
      <c r="U1288" s="601">
        <f t="shared" si="7078"/>
        <v>0</v>
      </c>
      <c r="V1288" s="601">
        <f t="shared" si="7078"/>
        <v>0</v>
      </c>
      <c r="W1288" s="601">
        <f t="shared" si="7078"/>
        <v>0</v>
      </c>
      <c r="X1288" s="601">
        <f t="shared" si="7078"/>
        <v>0</v>
      </c>
      <c r="Y1288" s="601">
        <f t="shared" si="7078"/>
        <v>0</v>
      </c>
      <c r="Z1288" s="601">
        <f t="shared" si="7078"/>
        <v>0</v>
      </c>
      <c r="AA1288" s="601">
        <f t="shared" si="7078"/>
        <v>1.0452299505891296E-2</v>
      </c>
      <c r="AB1288" s="601">
        <f t="shared" si="7078"/>
        <v>5.5270827052557531E-3</v>
      </c>
      <c r="AC1288" s="601">
        <f t="shared" si="7078"/>
        <v>3.5211267605633804E-2</v>
      </c>
      <c r="AD1288" s="601">
        <f t="shared" si="7078"/>
        <v>2.1030640668523681E-2</v>
      </c>
      <c r="AE1288" s="602">
        <f t="shared" si="7078"/>
        <v>2.7628835269585941E-2</v>
      </c>
      <c r="AF1288" s="602">
        <f t="shared" si="7078"/>
        <v>5.5555555555555552E-2</v>
      </c>
      <c r="AG1288" s="1051">
        <f t="shared" si="7078"/>
        <v>3.6111111111111114E-3</v>
      </c>
      <c r="AH1288" s="601">
        <f t="shared" si="7078"/>
        <v>2.8472946356158036E-2</v>
      </c>
      <c r="AI1288" s="601">
        <f t="shared" si="7078"/>
        <v>0</v>
      </c>
      <c r="AJ1288" s="601">
        <f t="shared" si="7078"/>
        <v>0</v>
      </c>
      <c r="AK1288" s="601">
        <f t="shared" si="7078"/>
        <v>0</v>
      </c>
      <c r="AL1288" s="601">
        <f t="shared" si="7078"/>
        <v>0</v>
      </c>
      <c r="AM1288" s="601">
        <f t="shared" si="7078"/>
        <v>0</v>
      </c>
      <c r="AN1288" s="601">
        <f t="shared" si="7078"/>
        <v>0</v>
      </c>
      <c r="AO1288" s="601">
        <f t="shared" ref="AO1288" si="7079">(AO1275+AO1267+AO1259+AO1238+AO1230+AO1223+AO1216)/AL1285</f>
        <v>0</v>
      </c>
      <c r="AP1288" s="601">
        <f t="shared" ref="AP1288" si="7080">(AP1275+AP1267+AP1259+AP1238+AP1230+AP1223+AP1216)/AM1285</f>
        <v>0</v>
      </c>
      <c r="AQ1288" s="601">
        <f t="shared" ref="AQ1288" si="7081">(AQ1275+AQ1267+AQ1259+AQ1238+AQ1230+AQ1223+AQ1216)/AN1285</f>
        <v>0</v>
      </c>
      <c r="AR1288" s="601">
        <f t="shared" ref="AR1288" si="7082">(AR1275+AR1267+AR1259+AR1238+AR1230+AR1223+AR1216)/AO1285</f>
        <v>0</v>
      </c>
      <c r="AS1288" s="601">
        <f t="shared" ref="AS1288" si="7083">(AS1275+AS1267+AS1259+AS1238+AS1230+AS1223+AS1216)/AP1285</f>
        <v>0</v>
      </c>
      <c r="AT1288" s="601">
        <f t="shared" ref="AT1288" si="7084">(AT1275+AT1267+AT1259+AT1238+AT1230+AT1223+AT1216)/AQ1285</f>
        <v>0</v>
      </c>
      <c r="AU1288" s="601">
        <f t="shared" ref="AU1288" si="7085">(AU1275+AU1267+AU1259+AU1238+AU1230+AU1223+AU1216)/AR1285</f>
        <v>0</v>
      </c>
      <c r="AV1288" s="601">
        <f t="shared" ref="AV1288" si="7086">(AV1275+AV1267+AV1259+AV1238+AV1230+AV1223+AV1216)/AS1285</f>
        <v>0</v>
      </c>
      <c r="AW1288" s="601">
        <f t="shared" ref="AW1288" si="7087">(AW1275+AW1267+AW1259+AW1238+AW1230+AW1223+AW1216)/AT1285</f>
        <v>0</v>
      </c>
      <c r="AX1288" s="601">
        <f t="shared" ref="AX1288" si="7088">(AX1275+AX1267+AX1259+AX1238+AX1230+AX1223+AX1216)/AU1285</f>
        <v>0</v>
      </c>
      <c r="AY1288" s="601">
        <f t="shared" ref="AY1288" si="7089">(AY1275+AY1267+AY1259+AY1238+AY1230+AY1223+AY1216)/AV1285</f>
        <v>0</v>
      </c>
      <c r="AZ1288" s="601">
        <f t="shared" ref="AZ1288" si="7090">(AZ1275+AZ1267+AZ1259+AZ1238+AZ1230+AZ1223+AZ1216)/AW1285</f>
        <v>0</v>
      </c>
      <c r="BA1288" s="601">
        <f t="shared" ref="BA1288" si="7091">(BA1275+BA1267+BA1259+BA1238+BA1230+BA1223+BA1216)/AX1285</f>
        <v>0</v>
      </c>
      <c r="BB1288" s="601">
        <f t="shared" ref="BB1288" si="7092">(BB1275+BB1267+BB1259+BB1238+BB1230+BB1223+BB1216)/AY1285</f>
        <v>0</v>
      </c>
      <c r="BC1288" s="601">
        <f t="shared" ref="BC1288" si="7093">(BC1275+BC1267+BC1259+BC1238+BC1230+BC1223+BC1216)/AZ1285</f>
        <v>0</v>
      </c>
      <c r="BD1288" s="601">
        <f t="shared" ref="BD1288" si="7094">(BD1275+BD1267+BD1259+BD1238+BD1230+BD1223+BD1216)/BA1285</f>
        <v>0</v>
      </c>
      <c r="BE1288" s="601">
        <f t="shared" ref="BE1288" si="7095">(BE1275+BE1267+BE1259+BE1238+BE1230+BE1223+BE1216)/BB1285</f>
        <v>0</v>
      </c>
      <c r="BF1288" s="601">
        <f t="shared" ref="BF1288" si="7096">(BF1275+BF1267+BF1259+BF1238+BF1230+BF1223+BF1216)/BC1285</f>
        <v>0</v>
      </c>
      <c r="BG1288" s="601">
        <f t="shared" ref="BG1288" si="7097">(BG1275+BG1267+BG1259+BG1238+BG1230+BG1223+BG1216)/BD1285</f>
        <v>0</v>
      </c>
      <c r="BH1288" s="601">
        <f t="shared" ref="BH1288" si="7098">(BH1275+BH1267+BH1259+BH1238+BH1230+BH1223+BH1216)/BE1285</f>
        <v>0</v>
      </c>
      <c r="BI1288" s="601">
        <f t="shared" ref="BI1288" si="7099">(BI1275+BI1267+BI1259+BI1238+BI1230+BI1223+BI1216)/BF1285</f>
        <v>0</v>
      </c>
      <c r="BJ1288" s="601">
        <f t="shared" ref="BJ1288" si="7100">(BJ1275+BJ1267+BJ1259+BJ1238+BJ1230+BJ1223+BJ1216)/BG1285</f>
        <v>0</v>
      </c>
      <c r="BK1288" s="601">
        <f t="shared" ref="BK1288" si="7101">(BK1275+BK1267+BK1259+BK1238+BK1230+BK1223+BK1216)/BH1285</f>
        <v>0</v>
      </c>
      <c r="BL1288" s="601">
        <f t="shared" ref="BL1288" si="7102">(BL1275+BL1267+BL1259+BL1238+BL1230+BL1223+BL1216)/BI1285</f>
        <v>0</v>
      </c>
      <c r="BM1288" s="601">
        <f t="shared" ref="BM1288" si="7103">(BM1275+BM1267+BM1259+BM1238+BM1230+BM1223+BM1216)/BJ1285</f>
        <v>0</v>
      </c>
      <c r="BN1288" s="601">
        <f t="shared" ref="BN1288" si="7104">(BN1275+BN1267+BN1259+BN1238+BN1230+BN1223+BN1216)/BK1285</f>
        <v>0</v>
      </c>
      <c r="BO1288" s="601">
        <f t="shared" ref="BO1288" si="7105">(BO1275+BO1267+BO1259+BO1238+BO1230+BO1223+BO1216)/BL1285</f>
        <v>0</v>
      </c>
      <c r="BP1288" s="601">
        <f t="shared" ref="BP1288" si="7106">(BP1275+BP1267+BP1259+BP1238+BP1230+BP1223+BP1216)/BM1285</f>
        <v>0</v>
      </c>
      <c r="BQ1288" s="601">
        <f t="shared" ref="BQ1288" si="7107">(BQ1275+BQ1267+BQ1259+BQ1238+BQ1230+BQ1223+BQ1216)/BN1285</f>
        <v>0</v>
      </c>
      <c r="BR1288" s="601">
        <f t="shared" ref="BR1288" si="7108">(BR1275+BR1267+BR1259+BR1238+BR1230+BR1223+BR1216)/BO1285</f>
        <v>0</v>
      </c>
    </row>
    <row r="1289" spans="2:70" s="8" customFormat="1" outlineLevel="1">
      <c r="C1289" s="8" t="s">
        <v>56</v>
      </c>
      <c r="D1289" s="7" t="s">
        <v>58</v>
      </c>
      <c r="E1289" s="337">
        <v>153.4</v>
      </c>
      <c r="F1289" s="42">
        <f>G1289-E1289</f>
        <v>172.4</v>
      </c>
      <c r="G1289" s="337">
        <v>325.8</v>
      </c>
      <c r="H1289" s="337">
        <v>153.19999999999999</v>
      </c>
      <c r="I1289" s="42">
        <f>J1289-H1289</f>
        <v>175.60000000000002</v>
      </c>
      <c r="J1289" s="337">
        <v>328.8</v>
      </c>
      <c r="K1289" s="337">
        <v>184.9</v>
      </c>
      <c r="L1289" s="42">
        <f>M1289-K1289</f>
        <v>221.70000000000002</v>
      </c>
      <c r="M1289" s="337">
        <v>406.6</v>
      </c>
      <c r="N1289" s="337">
        <v>200.5</v>
      </c>
      <c r="O1289" s="42">
        <f>P1289-N1289</f>
        <v>234.3</v>
      </c>
      <c r="P1289" s="337">
        <v>434.8</v>
      </c>
      <c r="Q1289" s="337">
        <v>205.4</v>
      </c>
      <c r="R1289" s="42">
        <f>S1289-Q1289</f>
        <v>229.99999999999997</v>
      </c>
      <c r="S1289" s="337">
        <v>435.4</v>
      </c>
      <c r="T1289" s="98">
        <v>199.6</v>
      </c>
      <c r="U1289" s="42">
        <f>V1289-T1289</f>
        <v>243.4</v>
      </c>
      <c r="V1289" s="98">
        <v>443</v>
      </c>
      <c r="W1289" s="98">
        <v>207.1</v>
      </c>
      <c r="X1289" s="42">
        <f>Y1289-W1289</f>
        <v>247.29999999999998</v>
      </c>
      <c r="Y1289" s="98">
        <v>454.4</v>
      </c>
      <c r="Z1289" s="98">
        <v>220</v>
      </c>
      <c r="AA1289" s="42">
        <f>AB1289-Z1289</f>
        <v>267.8</v>
      </c>
      <c r="AB1289" s="98">
        <v>487.8</v>
      </c>
      <c r="AC1289" s="98">
        <f>209</f>
        <v>209</v>
      </c>
      <c r="AD1289" s="42">
        <f>AE1289-AC1289</f>
        <v>262.7</v>
      </c>
      <c r="AE1289" s="345">
        <v>471.7</v>
      </c>
      <c r="AF1289" s="834">
        <v>205.7</v>
      </c>
      <c r="AG1289" s="1009">
        <f t="shared" ref="AG1289:AN1289" si="7109">AG1292-AG1291</f>
        <v>266.05108014993471</v>
      </c>
      <c r="AH1289" s="97">
        <f t="shared" si="7109"/>
        <v>471.75108014993475</v>
      </c>
      <c r="AI1289" s="97">
        <f t="shared" si="7109"/>
        <v>221.26646827140959</v>
      </c>
      <c r="AJ1289" s="97">
        <f t="shared" si="7109"/>
        <v>280.07523259418008</v>
      </c>
      <c r="AK1289" s="97">
        <f t="shared" si="7109"/>
        <v>501.3417008655897</v>
      </c>
      <c r="AL1289" s="97">
        <f t="shared" si="7109"/>
        <v>231.00842483740371</v>
      </c>
      <c r="AM1289" s="97">
        <f t="shared" si="7109"/>
        <v>288.96917043847833</v>
      </c>
      <c r="AN1289" s="97">
        <f t="shared" si="7109"/>
        <v>519.97759527588209</v>
      </c>
      <c r="AO1289" s="97">
        <f t="shared" ref="AO1289:BR1289" si="7110">AO1292-AO1291</f>
        <v>237.3329152193264</v>
      </c>
      <c r="AP1289" s="97">
        <f t="shared" si="7110"/>
        <v>295.66936709718868</v>
      </c>
      <c r="AQ1289" s="97">
        <f t="shared" si="7110"/>
        <v>533.00228231651511</v>
      </c>
      <c r="AR1289" s="97">
        <f t="shared" si="7110"/>
        <v>241.26128906959957</v>
      </c>
      <c r="AS1289" s="97">
        <f t="shared" si="7110"/>
        <v>300.53790771055731</v>
      </c>
      <c r="AT1289" s="97">
        <f t="shared" si="7110"/>
        <v>541.79919678015676</v>
      </c>
      <c r="AU1289" s="97">
        <f t="shared" si="7110"/>
        <v>245.29536568928575</v>
      </c>
      <c r="AV1289" s="97">
        <f t="shared" si="7110"/>
        <v>305.54139227520517</v>
      </c>
      <c r="AW1289" s="97">
        <f t="shared" si="7110"/>
        <v>550.83675796449097</v>
      </c>
      <c r="AX1289" s="97">
        <f t="shared" si="7110"/>
        <v>249.43831467074759</v>
      </c>
      <c r="AY1289" s="97">
        <f t="shared" si="7110"/>
        <v>310.68384088426376</v>
      </c>
      <c r="AZ1289" s="97">
        <f t="shared" si="7110"/>
        <v>560.12215555501132</v>
      </c>
      <c r="BA1289" s="97">
        <f t="shared" si="7110"/>
        <v>253.69340684545892</v>
      </c>
      <c r="BB1289" s="97">
        <f t="shared" si="7110"/>
        <v>315.96940188678803</v>
      </c>
      <c r="BC1289" s="97">
        <f t="shared" si="7110"/>
        <v>569.66280873224696</v>
      </c>
      <c r="BD1289" s="97">
        <f t="shared" si="7110"/>
        <v>258.06401758878656</v>
      </c>
      <c r="BE1289" s="97">
        <f t="shared" si="7110"/>
        <v>321.40235605800058</v>
      </c>
      <c r="BF1289" s="97">
        <f t="shared" si="7110"/>
        <v>579.46637364678713</v>
      </c>
      <c r="BG1289" s="97">
        <f t="shared" si="7110"/>
        <v>262.55363023353686</v>
      </c>
      <c r="BH1289" s="97">
        <f t="shared" si="7110"/>
        <v>326.98712090565857</v>
      </c>
      <c r="BI1289" s="97">
        <f t="shared" si="7110"/>
        <v>589.54075113919544</v>
      </c>
      <c r="BJ1289" s="97">
        <f t="shared" si="7110"/>
        <v>267.1658395958579</v>
      </c>
      <c r="BK1289" s="97">
        <f t="shared" si="7110"/>
        <v>332.7282551170008</v>
      </c>
      <c r="BL1289" s="97">
        <f t="shared" si="7110"/>
        <v>599.89409471285865</v>
      </c>
      <c r="BM1289" s="97">
        <f t="shared" si="7110"/>
        <v>271.90435561720665</v>
      </c>
      <c r="BN1289" s="97">
        <f t="shared" si="7110"/>
        <v>338.63046315088218</v>
      </c>
      <c r="BO1289" s="97">
        <f t="shared" si="7110"/>
        <v>610.53481876808883</v>
      </c>
      <c r="BP1289" s="97">
        <f t="shared" si="7110"/>
        <v>276.77300712621565</v>
      </c>
      <c r="BQ1289" s="97">
        <f t="shared" si="7110"/>
        <v>344.69859997985139</v>
      </c>
      <c r="BR1289" s="97">
        <f t="shared" si="7110"/>
        <v>621.47160710606704</v>
      </c>
    </row>
    <row r="1290" spans="2:70" s="8" customFormat="1" outlineLevel="1">
      <c r="C1290" s="538" t="s">
        <v>677</v>
      </c>
      <c r="D1290" s="7"/>
      <c r="E1290" s="337"/>
      <c r="F1290" s="42"/>
      <c r="G1290" s="694">
        <f t="shared" ref="G1290:AN1290" si="7111">+G1289/G1285</f>
        <v>0.13163636363636363</v>
      </c>
      <c r="H1290" s="694">
        <f t="shared" si="7111"/>
        <v>0.14398496240601502</v>
      </c>
      <c r="I1290" s="694">
        <f t="shared" si="7111"/>
        <v>0.14706867671691795</v>
      </c>
      <c r="J1290" s="694">
        <f t="shared" si="7111"/>
        <v>0.14561558901682906</v>
      </c>
      <c r="K1290" s="694">
        <f t="shared" si="7111"/>
        <v>0.13048694424841215</v>
      </c>
      <c r="L1290" s="694">
        <f t="shared" si="7111"/>
        <v>0.13095097460129948</v>
      </c>
      <c r="M1290" s="694">
        <f t="shared" si="7111"/>
        <v>0.13073954983922831</v>
      </c>
      <c r="N1290" s="694">
        <f t="shared" si="7111"/>
        <v>0.12338461538461538</v>
      </c>
      <c r="O1290" s="694">
        <f t="shared" si="7111"/>
        <v>0.1346551724137931</v>
      </c>
      <c r="P1290" s="694">
        <f t="shared" si="7111"/>
        <v>0.12921248142644873</v>
      </c>
      <c r="Q1290" s="694">
        <f t="shared" si="7111"/>
        <v>0.13720774883099532</v>
      </c>
      <c r="R1290" s="694">
        <f t="shared" si="7111"/>
        <v>0.13674197384066586</v>
      </c>
      <c r="S1290" s="694">
        <f t="shared" si="7111"/>
        <v>0.13696130858760616</v>
      </c>
      <c r="T1290" s="694">
        <f t="shared" si="7111"/>
        <v>0.13395973154362414</v>
      </c>
      <c r="U1290" s="694">
        <f t="shared" si="7111"/>
        <v>0.14300822561692128</v>
      </c>
      <c r="V1290" s="694">
        <f t="shared" si="7111"/>
        <v>0.1387844611528822</v>
      </c>
      <c r="W1290" s="694">
        <f t="shared" si="7111"/>
        <v>0.13250159948816378</v>
      </c>
      <c r="X1290" s="694">
        <f t="shared" si="7111"/>
        <v>0.14099201824401367</v>
      </c>
      <c r="Y1290" s="694">
        <f t="shared" si="7111"/>
        <v>0.1369912571600844</v>
      </c>
      <c r="Z1290" s="694">
        <f t="shared" si="7111"/>
        <v>0.14084507042253522</v>
      </c>
      <c r="AA1290" s="694">
        <f t="shared" si="7111"/>
        <v>0.14919220055710308</v>
      </c>
      <c r="AB1290" s="694">
        <f t="shared" si="7111"/>
        <v>0.1453083109919571</v>
      </c>
      <c r="AC1290" s="694">
        <f t="shared" si="7111"/>
        <v>0.15177923021060277</v>
      </c>
      <c r="AD1290" s="694">
        <f t="shared" si="7111"/>
        <v>0.17513333333333334</v>
      </c>
      <c r="AE1290" s="694">
        <f t="shared" si="7111"/>
        <v>0.16395550921098365</v>
      </c>
      <c r="AF1290" s="694">
        <f t="shared" si="7111"/>
        <v>0.15396706586826348</v>
      </c>
      <c r="AG1290" s="1052">
        <f t="shared" si="7111"/>
        <v>0.17046143374431524</v>
      </c>
      <c r="AH1290" s="694">
        <f t="shared" si="7111"/>
        <v>0.16285417600248769</v>
      </c>
      <c r="AI1290" s="694">
        <f t="shared" si="7111"/>
        <v>0.16615406312460176</v>
      </c>
      <c r="AJ1290" s="694">
        <f t="shared" si="7111"/>
        <v>0.17307244451585563</v>
      </c>
      <c r="AK1290" s="694">
        <f t="shared" si="7111"/>
        <v>0.16994928158912814</v>
      </c>
      <c r="AL1290" s="694">
        <f t="shared" si="7111"/>
        <v>0.16699508736102053</v>
      </c>
      <c r="AM1290" s="694">
        <f t="shared" si="7111"/>
        <v>0.17260121607559376</v>
      </c>
      <c r="AN1290" s="694">
        <f t="shared" si="7111"/>
        <v>0.17006482018268371</v>
      </c>
      <c r="AO1290" s="694">
        <f t="shared" ref="AO1290:BR1290" si="7112">+AO1289/AO1285</f>
        <v>0.16692436552671946</v>
      </c>
      <c r="AP1290" s="694">
        <f t="shared" si="7112"/>
        <v>0.1733099553569222</v>
      </c>
      <c r="AQ1290" s="694">
        <f t="shared" si="7112"/>
        <v>0.1704072808657541</v>
      </c>
      <c r="AR1290" s="694">
        <f t="shared" si="7112"/>
        <v>0.16652907522379076</v>
      </c>
      <c r="AS1290" s="694">
        <f t="shared" si="7112"/>
        <v>0.17284390876221736</v>
      </c>
      <c r="AT1290" s="694">
        <f t="shared" si="7112"/>
        <v>0.16997376911128922</v>
      </c>
      <c r="AU1290" s="694">
        <f t="shared" si="7112"/>
        <v>0.16612821387086923</v>
      </c>
      <c r="AV1290" s="694">
        <f t="shared" si="7112"/>
        <v>0.172375605005925</v>
      </c>
      <c r="AW1290" s="694">
        <f t="shared" si="7112"/>
        <v>0.16953647756947315</v>
      </c>
      <c r="AX1290" s="694">
        <f t="shared" si="7112"/>
        <v>0.16572204324154707</v>
      </c>
      <c r="AY1290" s="694">
        <f t="shared" si="7112"/>
        <v>0.17190525100097406</v>
      </c>
      <c r="AZ1290" s="694">
        <f t="shared" si="7112"/>
        <v>0.16909563880841405</v>
      </c>
      <c r="BA1290" s="694">
        <f t="shared" si="7112"/>
        <v>0.16531082720439649</v>
      </c>
      <c r="BB1290" s="694">
        <f t="shared" si="7112"/>
        <v>0.17143305422658192</v>
      </c>
      <c r="BC1290" s="694">
        <f t="shared" si="7112"/>
        <v>0.16865148663039084</v>
      </c>
      <c r="BD1290" s="694">
        <f t="shared" si="7112"/>
        <v>0.16489483129540189</v>
      </c>
      <c r="BE1290" s="694">
        <f t="shared" si="7112"/>
        <v>0.17095922239970029</v>
      </c>
      <c r="BF1290" s="694">
        <f t="shared" si="7112"/>
        <v>0.16820425569777023</v>
      </c>
      <c r="BG1290" s="694">
        <f t="shared" si="7112"/>
        <v>0.16447432229318648</v>
      </c>
      <c r="BH1290" s="694">
        <f t="shared" si="7112"/>
        <v>0.17048396315095601</v>
      </c>
      <c r="BI1290" s="694">
        <f t="shared" si="7112"/>
        <v>0.16775418116276647</v>
      </c>
      <c r="BJ1290" s="694">
        <f t="shared" si="7112"/>
        <v>0.16404956779829558</v>
      </c>
      <c r="BK1290" s="694">
        <f t="shared" si="7112"/>
        <v>0.1700074837059995</v>
      </c>
      <c r="BL1290" s="694">
        <f t="shared" si="7112"/>
        <v>0.16730149830211166</v>
      </c>
      <c r="BM1290" s="694">
        <f t="shared" si="7112"/>
        <v>0.16362083581775455</v>
      </c>
      <c r="BN1290" s="694">
        <f t="shared" si="7112"/>
        <v>0.16952999057313378</v>
      </c>
      <c r="BO1290" s="694">
        <f t="shared" si="7112"/>
        <v>0.16684644215766467</v>
      </c>
      <c r="BP1290" s="694">
        <f t="shared" si="7112"/>
        <v>0.16318839435607371</v>
      </c>
      <c r="BQ1290" s="694">
        <f t="shared" si="7112"/>
        <v>0.16905168923804947</v>
      </c>
      <c r="BR1290" s="694">
        <f t="shared" si="7112"/>
        <v>0.16638924718393694</v>
      </c>
    </row>
    <row r="1291" spans="2:70" s="30" customFormat="1" outlineLevel="1">
      <c r="C1291" s="30" t="s">
        <v>276</v>
      </c>
      <c r="D1291" s="31" t="s">
        <v>58</v>
      </c>
      <c r="E1291" s="42">
        <f>E1292-E1289</f>
        <v>-71.7</v>
      </c>
      <c r="F1291" s="42">
        <f>G1291-E1291</f>
        <v>-69.3</v>
      </c>
      <c r="G1291" s="42">
        <f>G1292-G1289</f>
        <v>-141</v>
      </c>
      <c r="H1291" s="42">
        <f>H1292-H1289</f>
        <v>-70.899999999999991</v>
      </c>
      <c r="I1291" s="42">
        <f>J1291-H1291</f>
        <v>-71.500000000000014</v>
      </c>
      <c r="J1291" s="42">
        <f>J1292-J1289</f>
        <v>-142.4</v>
      </c>
      <c r="K1291" s="42">
        <f>K1292-K1289</f>
        <v>-83.5</v>
      </c>
      <c r="L1291" s="42">
        <f>M1291-K1291</f>
        <v>-82.800000000000011</v>
      </c>
      <c r="M1291" s="42">
        <f>M1292-M1289</f>
        <v>-166.3</v>
      </c>
      <c r="N1291" s="42">
        <f>N1292-N1289</f>
        <v>-83.9</v>
      </c>
      <c r="O1291" s="42">
        <f>P1291-N1291</f>
        <v>-78.400000000000006</v>
      </c>
      <c r="P1291" s="42">
        <f>P1292-P1289</f>
        <v>-162.30000000000001</v>
      </c>
      <c r="Q1291" s="42">
        <f>Q1292-Q1289</f>
        <v>-77.7</v>
      </c>
      <c r="R1291" s="42">
        <f>S1291-Q1291</f>
        <v>-70.899999999999963</v>
      </c>
      <c r="S1291" s="42">
        <f>S1292-S1289</f>
        <v>-148.59999999999997</v>
      </c>
      <c r="T1291" s="98">
        <v>-71.3</v>
      </c>
      <c r="U1291" s="42">
        <f>V1291-T1291</f>
        <v>-73.500000000000014</v>
      </c>
      <c r="V1291" s="98">
        <v>-144.80000000000001</v>
      </c>
      <c r="W1291" s="98">
        <v>-68</v>
      </c>
      <c r="X1291" s="42">
        <f>Y1291-W1291</f>
        <v>-65.099999999999994</v>
      </c>
      <c r="Y1291" s="98">
        <v>-133.1</v>
      </c>
      <c r="Z1291" s="98">
        <v>-66.5</v>
      </c>
      <c r="AA1291" s="42">
        <f>AB1291-Z1291</f>
        <v>-68.800000000000011</v>
      </c>
      <c r="AB1291" s="98">
        <v>-135.30000000000001</v>
      </c>
      <c r="AC1291" s="98">
        <v>-65.5</v>
      </c>
      <c r="AD1291" s="42">
        <f>AE1291-AC1291</f>
        <v>-63.5</v>
      </c>
      <c r="AE1291" s="345">
        <v>-129</v>
      </c>
      <c r="AF1291" s="345">
        <v>-62</v>
      </c>
      <c r="AG1291" s="937">
        <f>(AD1291*1.01)+AG1344</f>
        <v>-64.343333333333334</v>
      </c>
      <c r="AH1291" s="171">
        <f>AF1291+AG1291</f>
        <v>-126.34333333333333</v>
      </c>
      <c r="AI1291" s="171">
        <f>(AF1291*1.01)+AI1344</f>
        <v>-62.62</v>
      </c>
      <c r="AJ1291" s="171">
        <f>(AG1291*1.01)+AJ1344</f>
        <v>-64.986766666666668</v>
      </c>
      <c r="AK1291" s="171">
        <f>AI1291+AJ1291</f>
        <v>-127.60676666666666</v>
      </c>
      <c r="AL1291" s="171">
        <f>(AI1291*1.01)+AL1344</f>
        <v>-63.246199999999995</v>
      </c>
      <c r="AM1291" s="171">
        <f>(AJ1291*1.01)+AM1344</f>
        <v>-65.636634333333333</v>
      </c>
      <c r="AN1291" s="171">
        <f>AL1291+AM1291</f>
        <v>-128.88283433333334</v>
      </c>
      <c r="AO1291" s="171">
        <f>(AL1291*1.01)+AO1344</f>
        <v>-63.878661999999998</v>
      </c>
      <c r="AP1291" s="171">
        <f>(AM1291*1.01)+AP1344</f>
        <v>-66.293000676666665</v>
      </c>
      <c r="AQ1291" s="171">
        <f>AO1291+AP1291</f>
        <v>-130.17166267666667</v>
      </c>
      <c r="AR1291" s="171">
        <f>(AO1291*1.01)+AR1344</f>
        <v>-64.517448619999996</v>
      </c>
      <c r="AS1291" s="171">
        <f>(AP1291*1.01)+AS1344</f>
        <v>-66.955930683433337</v>
      </c>
      <c r="AT1291" s="171">
        <f>AR1291+AS1291</f>
        <v>-131.47337930343332</v>
      </c>
      <c r="AU1291" s="171">
        <f>(AR1291*1.01)+AU1344</f>
        <v>-65.162623106200002</v>
      </c>
      <c r="AV1291" s="171">
        <f>(AS1291*1.01)+AV1344</f>
        <v>-67.625489990267667</v>
      </c>
      <c r="AW1291" s="171">
        <f>AU1291+AV1291</f>
        <v>-132.78811309646767</v>
      </c>
      <c r="AX1291" s="171">
        <f>(AU1291*1.01)+AX1344</f>
        <v>-65.814249337261998</v>
      </c>
      <c r="AY1291" s="171">
        <f>(AV1291*1.01)+AY1344</f>
        <v>-68.30174489017034</v>
      </c>
      <c r="AZ1291" s="171">
        <f>AX1291+AY1291</f>
        <v>-134.11599422743234</v>
      </c>
      <c r="BA1291" s="171">
        <f>(AX1291*1.01)+BA1344</f>
        <v>-66.472391830634621</v>
      </c>
      <c r="BB1291" s="171">
        <f>(AY1291*1.01)+BB1344</f>
        <v>-68.984762339072049</v>
      </c>
      <c r="BC1291" s="171">
        <f>BA1291+BB1291</f>
        <v>-135.45715416970666</v>
      </c>
      <c r="BD1291" s="171">
        <f>(BA1291*1.01)+BD1344</f>
        <v>-67.137115748940971</v>
      </c>
      <c r="BE1291" s="171">
        <f>(BB1291*1.01)+BE1344</f>
        <v>-69.674609962462767</v>
      </c>
      <c r="BF1291" s="171">
        <f>BD1291+BE1291</f>
        <v>-136.81172571140374</v>
      </c>
      <c r="BG1291" s="171">
        <f>(BD1291*1.01)+BG1344</f>
        <v>-67.808486906430375</v>
      </c>
      <c r="BH1291" s="171">
        <f>(BE1291*1.01)+BH1344</f>
        <v>-70.371356062087401</v>
      </c>
      <c r="BI1291" s="171">
        <f>BG1291+BH1291</f>
        <v>-138.17984296851779</v>
      </c>
      <c r="BJ1291" s="171">
        <f>(BG1291*1.01)+BJ1344</f>
        <v>-68.486571775494681</v>
      </c>
      <c r="BK1291" s="171">
        <f>(BH1291*1.01)+BK1344</f>
        <v>-71.07506962270827</v>
      </c>
      <c r="BL1291" s="171">
        <f>BJ1291+BK1291</f>
        <v>-139.56164139820294</v>
      </c>
      <c r="BM1291" s="171">
        <f>(BJ1291*1.01)+BM1344</f>
        <v>-69.171437493249627</v>
      </c>
      <c r="BN1291" s="171">
        <f>(BK1291*1.01)+BN1344</f>
        <v>-71.78582031893535</v>
      </c>
      <c r="BO1291" s="171">
        <f>BM1291+BN1291</f>
        <v>-140.95725781218499</v>
      </c>
      <c r="BP1291" s="171">
        <f>(BM1291*1.01)+BP1344</f>
        <v>-69.863151868182129</v>
      </c>
      <c r="BQ1291" s="171">
        <f>(BN1291*1.01)+BQ1344</f>
        <v>-72.503678522124702</v>
      </c>
      <c r="BR1291" s="171">
        <f>BP1291+BQ1291</f>
        <v>-142.36683039030683</v>
      </c>
    </row>
    <row r="1292" spans="2:70" s="8" customFormat="1" outlineLevel="1">
      <c r="C1292" s="8" t="s">
        <v>57</v>
      </c>
      <c r="D1292" s="96" t="s">
        <v>58</v>
      </c>
      <c r="E1292" s="344">
        <v>81.7</v>
      </c>
      <c r="F1292" s="64">
        <f>F1289+F1291</f>
        <v>103.10000000000001</v>
      </c>
      <c r="G1292" s="344">
        <v>184.8</v>
      </c>
      <c r="H1292" s="344">
        <v>82.3</v>
      </c>
      <c r="I1292" s="64">
        <f>I1289+I1291</f>
        <v>104.10000000000001</v>
      </c>
      <c r="J1292" s="344">
        <v>186.4</v>
      </c>
      <c r="K1292" s="344">
        <v>101.4</v>
      </c>
      <c r="L1292" s="64">
        <f>L1289+L1291</f>
        <v>138.9</v>
      </c>
      <c r="M1292" s="344">
        <v>240.3</v>
      </c>
      <c r="N1292" s="344">
        <v>116.6</v>
      </c>
      <c r="O1292" s="64">
        <f>O1289+O1291</f>
        <v>155.9</v>
      </c>
      <c r="P1292" s="344">
        <v>272.5</v>
      </c>
      <c r="Q1292" s="344">
        <v>127.7</v>
      </c>
      <c r="R1292" s="64">
        <f>R1289+R1291</f>
        <v>159.10000000000002</v>
      </c>
      <c r="S1292" s="344">
        <v>286.8</v>
      </c>
      <c r="T1292" s="64">
        <f t="shared" ref="T1292:AE1292" si="7113">T1289+T1291</f>
        <v>128.30000000000001</v>
      </c>
      <c r="U1292" s="64">
        <f t="shared" si="7113"/>
        <v>169.89999999999998</v>
      </c>
      <c r="V1292" s="64">
        <f t="shared" si="7113"/>
        <v>298.2</v>
      </c>
      <c r="W1292" s="64">
        <f t="shared" si="7113"/>
        <v>139.1</v>
      </c>
      <c r="X1292" s="64">
        <f t="shared" si="7113"/>
        <v>182.2</v>
      </c>
      <c r="Y1292" s="64">
        <f t="shared" si="7113"/>
        <v>321.29999999999995</v>
      </c>
      <c r="Z1292" s="64">
        <f t="shared" si="7113"/>
        <v>153.5</v>
      </c>
      <c r="AA1292" s="64">
        <f t="shared" si="7113"/>
        <v>199</v>
      </c>
      <c r="AB1292" s="64">
        <f t="shared" si="7113"/>
        <v>352.5</v>
      </c>
      <c r="AC1292" s="64">
        <f t="shared" si="7113"/>
        <v>143.5</v>
      </c>
      <c r="AD1292" s="64">
        <f t="shared" si="7113"/>
        <v>199.2</v>
      </c>
      <c r="AE1292" s="341">
        <f t="shared" si="7113"/>
        <v>342.7</v>
      </c>
      <c r="AF1292" s="471">
        <f t="shared" ref="AF1292" si="7114">AF1289+AF1291</f>
        <v>143.69999999999999</v>
      </c>
      <c r="AG1292" s="1010">
        <f>(AD1285*(1+AG1287-AG366))*AD1293+AG1302</f>
        <v>201.70774681660137</v>
      </c>
      <c r="AH1292" s="468">
        <f>+AG1292+AF1292</f>
        <v>345.40774681660139</v>
      </c>
      <c r="AI1292" s="471">
        <f>(AF1285*(1+AI1287-AI366))*AF1293+AI1302</f>
        <v>158.64646827140959</v>
      </c>
      <c r="AJ1292" s="471">
        <f>(AG1285*(1+AJ1287-AJ366))*AG1293+AJ1302</f>
        <v>215.08846592751343</v>
      </c>
      <c r="AK1292" s="468">
        <f t="shared" ref="AK1292" si="7115">+AJ1292+AI1292</f>
        <v>373.73493419892304</v>
      </c>
      <c r="AL1292" s="471">
        <f>(AI1285*(1+AL1287-AL366))*AI1293+AL1302</f>
        <v>167.76222483740372</v>
      </c>
      <c r="AM1292" s="471">
        <f>(AJ1285*(1+AM1287-AM366))*AJ1293+AM1302</f>
        <v>223.33253610514501</v>
      </c>
      <c r="AN1292" s="104">
        <f t="shared" ref="AN1292" si="7116">+AM1292+AL1292</f>
        <v>391.09476094254876</v>
      </c>
      <c r="AO1292" s="471">
        <f>(AL1285*(1+AO1287-AO366))*AL1293+AO1302</f>
        <v>173.4542532193264</v>
      </c>
      <c r="AP1292" s="471">
        <f>(AM1285*(1+AP1287-AP366))*AM1293+AP1302</f>
        <v>229.376366420522</v>
      </c>
      <c r="AQ1292" s="104">
        <f t="shared" ref="AQ1292" si="7117">+AP1292+AO1292</f>
        <v>402.83061963984841</v>
      </c>
      <c r="AR1292" s="471">
        <f>(AO1285*(1+AR1287-AR366))*AO1293+AR1302</f>
        <v>176.74384044959956</v>
      </c>
      <c r="AS1292" s="471">
        <f>(AP1285*(1+AS1287-AS366))*AP1293+AS1302</f>
        <v>233.58197702712397</v>
      </c>
      <c r="AT1292" s="104">
        <f t="shared" ref="AT1292" si="7118">+AS1292+AR1292</f>
        <v>410.3258174767235</v>
      </c>
      <c r="AU1292" s="471">
        <f>(AR1285*(1+AU1287-AU366))*AR1293+AU1302</f>
        <v>180.13274258308573</v>
      </c>
      <c r="AV1292" s="471">
        <f>(AS1285*(1+AV1287-AV366))*AS1293+AV1302</f>
        <v>237.91590228493752</v>
      </c>
      <c r="AW1292" s="104">
        <f t="shared" ref="AW1292" si="7119">+AV1292+AU1292</f>
        <v>418.04864486802325</v>
      </c>
      <c r="AX1292" s="471">
        <f>(AU1285*(1+AX1287-AX366))*AU1293+AX1302</f>
        <v>183.62406533348559</v>
      </c>
      <c r="AY1292" s="471">
        <f>(AV1285*(1+AY1287-AY366))*AV1293+AY1302</f>
        <v>242.38209599409342</v>
      </c>
      <c r="AZ1292" s="104">
        <f t="shared" ref="AZ1292" si="7120">+AY1292+AX1292</f>
        <v>426.00616132757898</v>
      </c>
      <c r="BA1292" s="471">
        <f>(AX1285*(1+BA1287-BA366))*AX1293+BA1302</f>
        <v>187.2210150148243</v>
      </c>
      <c r="BB1292" s="471">
        <f>(AY1285*(1+BB1287-BB366))*AY1293+BB1302</f>
        <v>246.98463954771597</v>
      </c>
      <c r="BC1292" s="104">
        <f t="shared" ref="BC1292" si="7121">+BB1292+BA1292</f>
        <v>434.2056545625403</v>
      </c>
      <c r="BD1292" s="471">
        <f>(BA1285*(1+BD1287-BD366))*BA1293+BD1302</f>
        <v>190.92690183984558</v>
      </c>
      <c r="BE1292" s="471">
        <f>(BB1285*(1+BE1287-BE366))*BB1293+BE1302</f>
        <v>251.72774609553784</v>
      </c>
      <c r="BF1292" s="104">
        <f t="shared" ref="BF1292" si="7122">+BE1292+BD1292</f>
        <v>442.65464793538342</v>
      </c>
      <c r="BG1292" s="471">
        <f>(BD1285*(1+BG1287-BG366))*BD1293+BG1302</f>
        <v>194.74514332710652</v>
      </c>
      <c r="BH1292" s="471">
        <f>(BE1285*(1+BH1287-BH366))*BE1293+BH1302</f>
        <v>256.61576484357118</v>
      </c>
      <c r="BI1292" s="104">
        <f t="shared" ref="BI1292" si="7123">+BH1292+BG1292</f>
        <v>451.3609081706777</v>
      </c>
      <c r="BJ1292" s="471">
        <f>(BG1285*(1+BJ1287-BJ366))*BG1293+BJ1302</f>
        <v>198.67926782036321</v>
      </c>
      <c r="BK1292" s="471">
        <f>(BH1285*(1+BK1287-BK366))*BH1293+BK1302</f>
        <v>261.65318549429253</v>
      </c>
      <c r="BL1292" s="104">
        <f t="shared" ref="BL1292" si="7124">+BK1292+BJ1292</f>
        <v>460.33245331465571</v>
      </c>
      <c r="BM1292" s="471">
        <f>(BJ1285*(1+BM1287-BM366))*BJ1293+BM1302</f>
        <v>202.73291812395701</v>
      </c>
      <c r="BN1292" s="471">
        <f>(BK1285*(1+BN1287-BN366))*BK1293+BN1302</f>
        <v>266.84464283194683</v>
      </c>
      <c r="BO1292" s="104">
        <f t="shared" ref="BO1292" si="7125">+BN1292+BM1292</f>
        <v>469.57756095590383</v>
      </c>
      <c r="BP1292" s="471">
        <f>(BM1285*(1+BP1287-BP366))*BM1293+BP1302</f>
        <v>206.9098552580335</v>
      </c>
      <c r="BQ1292" s="471">
        <f>(BN1285*(1+BQ1287-BQ366))*BN1293+BQ1302</f>
        <v>272.19492145772671</v>
      </c>
      <c r="BR1292" s="104">
        <f t="shared" ref="BR1292" si="7126">+BQ1292+BP1292</f>
        <v>479.10477671576018</v>
      </c>
    </row>
    <row r="1293" spans="2:70" s="99" customFormat="1" outlineLevel="1">
      <c r="C1293" s="538" t="s">
        <v>561</v>
      </c>
      <c r="D1293" s="7" t="s">
        <v>66</v>
      </c>
      <c r="E1293" s="615">
        <f t="shared" ref="E1293:AB1293" si="7127">E1292/E1285</f>
        <v>6.4229559748427673E-2</v>
      </c>
      <c r="F1293" s="615">
        <f t="shared" si="7127"/>
        <v>8.5702410640066506E-2</v>
      </c>
      <c r="G1293" s="615">
        <f t="shared" si="7127"/>
        <v>7.4666666666666673E-2</v>
      </c>
      <c r="H1293" s="615">
        <f t="shared" si="7127"/>
        <v>7.7349624060150377E-2</v>
      </c>
      <c r="I1293" s="615">
        <f t="shared" si="7127"/>
        <v>8.718592964824122E-2</v>
      </c>
      <c r="J1293" s="615">
        <f t="shared" si="7127"/>
        <v>8.2550930026572183E-2</v>
      </c>
      <c r="K1293" s="615">
        <f t="shared" si="7127"/>
        <v>7.155963302752294E-2</v>
      </c>
      <c r="L1293" s="615">
        <f t="shared" si="7127"/>
        <v>8.2043709391612527E-2</v>
      </c>
      <c r="M1293" s="615">
        <f t="shared" si="7127"/>
        <v>7.7266881028938916E-2</v>
      </c>
      <c r="N1293" s="615">
        <f t="shared" si="7127"/>
        <v>7.1753846153846154E-2</v>
      </c>
      <c r="O1293" s="615">
        <f t="shared" si="7127"/>
        <v>8.9597701149425293E-2</v>
      </c>
      <c r="P1293" s="615">
        <f t="shared" si="7127"/>
        <v>8.0980683506686482E-2</v>
      </c>
      <c r="Q1293" s="615">
        <f t="shared" si="7127"/>
        <v>8.5303941215764859E-2</v>
      </c>
      <c r="R1293" s="615">
        <f t="shared" si="7127"/>
        <v>9.4589774078478017E-2</v>
      </c>
      <c r="S1293" s="615">
        <f t="shared" si="7127"/>
        <v>9.0217049386599565E-2</v>
      </c>
      <c r="T1293" s="615">
        <f t="shared" si="7127"/>
        <v>8.6107382550335579E-2</v>
      </c>
      <c r="U1293" s="615">
        <f t="shared" si="7127"/>
        <v>9.9823736780258507E-2</v>
      </c>
      <c r="V1293" s="615">
        <f t="shared" si="7127"/>
        <v>9.3421052631578946E-2</v>
      </c>
      <c r="W1293" s="615">
        <f t="shared" si="7127"/>
        <v>8.8995521433141392E-2</v>
      </c>
      <c r="X1293" s="615">
        <f t="shared" si="7127"/>
        <v>0.10387685290763968</v>
      </c>
      <c r="Y1293" s="615">
        <f t="shared" si="7127"/>
        <v>9.6864636719927635E-2</v>
      </c>
      <c r="Z1293" s="615">
        <f t="shared" si="7127"/>
        <v>9.8271446862996159E-2</v>
      </c>
      <c r="AA1293" s="615">
        <f t="shared" si="7127"/>
        <v>0.11086350974930362</v>
      </c>
      <c r="AB1293" s="615">
        <f t="shared" si="7127"/>
        <v>0.10500446827524576</v>
      </c>
      <c r="AC1293" s="615">
        <f t="shared" ref="AC1293:AN1293" si="7128">AC1292/AC1285</f>
        <v>0.10421205519244735</v>
      </c>
      <c r="AD1293" s="615">
        <f t="shared" si="7128"/>
        <v>0.1328</v>
      </c>
      <c r="AE1293" s="616">
        <f t="shared" si="7128"/>
        <v>0.11911713590545707</v>
      </c>
      <c r="AF1293" s="616">
        <f t="shared" ref="AF1293" si="7129">AF1292/AF1285</f>
        <v>0.10755988023952096</v>
      </c>
      <c r="AG1293" s="1053">
        <f t="shared" si="7128"/>
        <v>0.12923605384468367</v>
      </c>
      <c r="AH1293" s="615">
        <f t="shared" si="7128"/>
        <v>0.11923892993486193</v>
      </c>
      <c r="AI1293" s="616">
        <f t="shared" si="7128"/>
        <v>0.11913126968397918</v>
      </c>
      <c r="AJ1293" s="616">
        <f t="shared" si="7128"/>
        <v>0.13291388260374731</v>
      </c>
      <c r="AK1293" s="616">
        <f t="shared" si="7128"/>
        <v>0.12669200160729449</v>
      </c>
      <c r="AL1293" s="616">
        <f t="shared" si="7128"/>
        <v>0.12127465659453854</v>
      </c>
      <c r="AM1293" s="615">
        <f t="shared" si="7128"/>
        <v>0.13339647015805534</v>
      </c>
      <c r="AN1293" s="615">
        <f t="shared" si="7128"/>
        <v>0.127912165443966</v>
      </c>
      <c r="AO1293" s="616">
        <f t="shared" ref="AO1293:BR1293" si="7130">AO1292/AO1285</f>
        <v>0.12199631534374397</v>
      </c>
      <c r="AP1293" s="615">
        <f t="shared" si="7130"/>
        <v>0.13445156058796759</v>
      </c>
      <c r="AQ1293" s="615">
        <f t="shared" si="7130"/>
        <v>0.12878982477138717</v>
      </c>
      <c r="AR1293" s="616">
        <f t="shared" si="7130"/>
        <v>0.12199631534374397</v>
      </c>
      <c r="AS1293" s="615">
        <f t="shared" si="7130"/>
        <v>0.13433653755471436</v>
      </c>
      <c r="AT1293" s="615">
        <f t="shared" si="7130"/>
        <v>0.12872781313570228</v>
      </c>
      <c r="AU1293" s="616">
        <f t="shared" si="7130"/>
        <v>0.12199631534374397</v>
      </c>
      <c r="AV1293" s="615">
        <f t="shared" si="7130"/>
        <v>0.1342237046558902</v>
      </c>
      <c r="AW1293" s="615">
        <f t="shared" si="7130"/>
        <v>0.12866696653563761</v>
      </c>
      <c r="AX1293" s="616">
        <f t="shared" si="7130"/>
        <v>0.12199631534374397</v>
      </c>
      <c r="AY1293" s="615">
        <f t="shared" si="7130"/>
        <v>0.13411304215698994</v>
      </c>
      <c r="AZ1293" s="615">
        <f t="shared" si="7130"/>
        <v>0.12860727480888304</v>
      </c>
      <c r="BA1293" s="616">
        <f t="shared" si="7130"/>
        <v>0.12199631534374397</v>
      </c>
      <c r="BB1293" s="615">
        <f t="shared" si="7130"/>
        <v>0.13400452971673282</v>
      </c>
      <c r="BC1293" s="615">
        <f t="shared" si="7130"/>
        <v>0.12854872746258864</v>
      </c>
      <c r="BD1293" s="616">
        <f t="shared" si="7130"/>
        <v>0.12199631534374396</v>
      </c>
      <c r="BE1293" s="615">
        <f t="shared" si="7130"/>
        <v>0.13389814641295339</v>
      </c>
      <c r="BF1293" s="615">
        <f t="shared" si="7130"/>
        <v>0.1284913136866756</v>
      </c>
      <c r="BG1293" s="616">
        <f t="shared" si="7130"/>
        <v>0.12199631534374396</v>
      </c>
      <c r="BH1293" s="615">
        <f t="shared" si="7130"/>
        <v>0.13379387076889823</v>
      </c>
      <c r="BI1293" s="615">
        <f t="shared" si="7130"/>
        <v>0.12843502236739712</v>
      </c>
      <c r="BJ1293" s="616">
        <f t="shared" si="7130"/>
        <v>0.12199631534374396</v>
      </c>
      <c r="BK1293" s="615">
        <f t="shared" si="7130"/>
        <v>0.13369168077986573</v>
      </c>
      <c r="BL1293" s="615">
        <f t="shared" si="7130"/>
        <v>0.12837984210111608</v>
      </c>
      <c r="BM1293" s="616">
        <f t="shared" si="7130"/>
        <v>0.12199631534374397</v>
      </c>
      <c r="BN1293" s="615">
        <f t="shared" si="7130"/>
        <v>0.13359155394012681</v>
      </c>
      <c r="BO1293" s="615">
        <f t="shared" si="7130"/>
        <v>0.12832576120826722</v>
      </c>
      <c r="BP1293" s="616">
        <f t="shared" si="7130"/>
        <v>0.12199631534374397</v>
      </c>
      <c r="BQ1293" s="615">
        <f t="shared" si="7130"/>
        <v>0.1334934672700632</v>
      </c>
      <c r="BR1293" s="615">
        <f t="shared" si="7130"/>
        <v>0.12827276774747012</v>
      </c>
    </row>
    <row r="1294" spans="2:70" s="99" customFormat="1" outlineLevel="1">
      <c r="C1294" s="538" t="s">
        <v>586</v>
      </c>
      <c r="D1294" s="100"/>
      <c r="E1294" s="100"/>
      <c r="F1294" s="100"/>
      <c r="G1294" s="100"/>
      <c r="H1294" s="100"/>
      <c r="I1294" s="100"/>
      <c r="J1294" s="100"/>
      <c r="K1294" s="100"/>
      <c r="L1294" s="100"/>
      <c r="M1294" s="100"/>
      <c r="N1294" s="100"/>
      <c r="O1294" s="100"/>
      <c r="AC1294" s="105"/>
      <c r="AD1294" s="105"/>
      <c r="AE1294" s="848"/>
      <c r="AF1294" s="924"/>
      <c r="AG1294" s="1054"/>
      <c r="AH1294" s="455"/>
      <c r="AI1294" s="105"/>
      <c r="AJ1294" s="105"/>
      <c r="AK1294" s="105"/>
      <c r="AL1294" s="105"/>
      <c r="AM1294" s="105"/>
      <c r="AN1294" s="105"/>
      <c r="AO1294" s="105"/>
      <c r="AP1294" s="105"/>
      <c r="AQ1294" s="105"/>
      <c r="AR1294" s="105"/>
      <c r="AS1294" s="105"/>
      <c r="AT1294" s="105"/>
      <c r="AU1294" s="105"/>
      <c r="AV1294" s="105"/>
      <c r="AW1294" s="105"/>
      <c r="AX1294" s="105"/>
      <c r="AY1294" s="105"/>
      <c r="AZ1294" s="105"/>
      <c r="BA1294" s="105"/>
      <c r="BB1294" s="105"/>
      <c r="BC1294" s="105"/>
      <c r="BD1294" s="105"/>
      <c r="BE1294" s="105"/>
      <c r="BF1294" s="105"/>
      <c r="BG1294" s="105"/>
      <c r="BH1294" s="105"/>
      <c r="BI1294" s="105"/>
      <c r="BJ1294" s="105"/>
      <c r="BK1294" s="105"/>
      <c r="BL1294" s="105"/>
      <c r="BM1294" s="105"/>
      <c r="BN1294" s="105"/>
      <c r="BO1294" s="105"/>
      <c r="BP1294" s="105"/>
      <c r="BQ1294" s="105"/>
      <c r="BR1294" s="105"/>
    </row>
    <row r="1295" spans="2:70" outlineLevel="1">
      <c r="C1295" s="108" t="s">
        <v>92</v>
      </c>
      <c r="D1295" s="7" t="s">
        <v>58</v>
      </c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AF1295" s="561">
        <f>+AF366*AC1285</f>
        <v>54.769540363511346</v>
      </c>
      <c r="AG1295" s="956">
        <f>+AG366*AD1285</f>
        <v>66.063001964536241</v>
      </c>
      <c r="AH1295" s="171">
        <f>+AG1295+AF1295</f>
        <v>120.83254232804759</v>
      </c>
      <c r="AI1295" s="149">
        <f>+AI366*AF1285</f>
        <v>36.379207364804742</v>
      </c>
      <c r="AJ1295" s="149">
        <f>+AJ366*AG1285</f>
        <v>6.2934271403403397</v>
      </c>
      <c r="AK1295" s="171">
        <f t="shared" ref="AK1295:AK1296" si="7131">+AJ1295+AI1295</f>
        <v>42.672634505145083</v>
      </c>
      <c r="AL1295" s="149">
        <f>+AL366*AI1285</f>
        <v>0</v>
      </c>
      <c r="AM1295" s="149">
        <f>+AM366*AJ1285</f>
        <v>12.843288326579254</v>
      </c>
      <c r="AN1295" s="171">
        <f t="shared" ref="AN1295:AN1296" si="7132">+AM1295+AL1295</f>
        <v>12.843288326579254</v>
      </c>
      <c r="AO1295" s="149">
        <f>+AO366*AL1285</f>
        <v>10.978767256540294</v>
      </c>
      <c r="AP1295" s="149">
        <f>+AP366*AM1285</f>
        <v>0</v>
      </c>
      <c r="AQ1295" s="171">
        <f t="shared" ref="AQ1295:AQ1296" si="7133">+AP1295+AO1295</f>
        <v>10.978767256540294</v>
      </c>
      <c r="AR1295" s="149">
        <f>+AR366*AO1285</f>
        <v>0</v>
      </c>
      <c r="AS1295" s="149">
        <f>+AS366*AP1285</f>
        <v>0</v>
      </c>
      <c r="AT1295" s="171">
        <f t="shared" ref="AT1295:AT1296" si="7134">+AS1295+AR1295</f>
        <v>0</v>
      </c>
      <c r="AU1295" s="149">
        <f>+AU366*AR1285</f>
        <v>0</v>
      </c>
      <c r="AV1295" s="149">
        <f>+AV366*AS1285</f>
        <v>0</v>
      </c>
      <c r="AW1295" s="171">
        <f t="shared" ref="AW1295:AW1296" si="7135">+AV1295+AU1295</f>
        <v>0</v>
      </c>
      <c r="AX1295" s="149">
        <f>+AX366*AU1285</f>
        <v>0</v>
      </c>
      <c r="AY1295" s="149">
        <f>+AY366*AV1285</f>
        <v>0</v>
      </c>
      <c r="AZ1295" s="171">
        <f t="shared" ref="AZ1295:AZ1296" si="7136">+AY1295+AX1295</f>
        <v>0</v>
      </c>
      <c r="BA1295" s="149">
        <f>+BA366*AX1285</f>
        <v>0</v>
      </c>
      <c r="BB1295" s="149">
        <f>+BB366*AY1285</f>
        <v>0</v>
      </c>
      <c r="BC1295" s="171">
        <f t="shared" ref="BC1295:BC1296" si="7137">+BB1295+BA1295</f>
        <v>0</v>
      </c>
      <c r="BD1295" s="149">
        <f>+BD366*BA1285</f>
        <v>0</v>
      </c>
      <c r="BE1295" s="149">
        <f>+BE366*BB1285</f>
        <v>0</v>
      </c>
      <c r="BF1295" s="171">
        <f t="shared" ref="BF1295:BF1296" si="7138">+BE1295+BD1295</f>
        <v>0</v>
      </c>
      <c r="BG1295" s="149">
        <f>+BG366*BD1285</f>
        <v>0</v>
      </c>
      <c r="BH1295" s="149">
        <f>+BH366*BE1285</f>
        <v>0</v>
      </c>
      <c r="BI1295" s="171">
        <f t="shared" ref="BI1295:BI1296" si="7139">+BH1295+BG1295</f>
        <v>0</v>
      </c>
      <c r="BJ1295" s="149">
        <f>+BJ366*BG1285</f>
        <v>0</v>
      </c>
      <c r="BK1295" s="149">
        <f>+BK366*BH1285</f>
        <v>0</v>
      </c>
      <c r="BL1295" s="171">
        <f t="shared" ref="BL1295:BL1296" si="7140">+BK1295+BJ1295</f>
        <v>0</v>
      </c>
      <c r="BM1295" s="149">
        <f>+BM366*BJ1285</f>
        <v>0</v>
      </c>
      <c r="BN1295" s="149">
        <f>+BN366*BK1285</f>
        <v>0</v>
      </c>
      <c r="BO1295" s="171">
        <f t="shared" ref="BO1295:BO1296" si="7141">+BN1295+BM1295</f>
        <v>0</v>
      </c>
      <c r="BP1295" s="149">
        <f>+BP366*BM1285</f>
        <v>0</v>
      </c>
      <c r="BQ1295" s="149">
        <f>+BQ366*BN1285</f>
        <v>0</v>
      </c>
      <c r="BR1295" s="171">
        <f t="shared" ref="BR1295:BR1296" si="7142">+BQ1295+BP1295</f>
        <v>0</v>
      </c>
    </row>
    <row r="1296" spans="2:70" outlineLevel="1">
      <c r="C1296" s="108" t="s">
        <v>272</v>
      </c>
      <c r="D1296" s="7" t="s">
        <v>58</v>
      </c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AF1296" s="561">
        <f>-0.5*AF370*AC1285</f>
        <v>-54.769540363511346</v>
      </c>
      <c r="AG1296" s="956">
        <f>-0.5*AG370*AD1285</f>
        <v>-66.063001964536241</v>
      </c>
      <c r="AH1296" s="171">
        <f>+AG1296+AF1296</f>
        <v>-120.83254232804759</v>
      </c>
      <c r="AI1296" s="149">
        <f>-0.5*AI370*AF1285</f>
        <v>-36.379207364804742</v>
      </c>
      <c r="AJ1296" s="149">
        <f>-0.5*AJ370*AG1285</f>
        <v>-6.2934271403403397</v>
      </c>
      <c r="AK1296" s="171">
        <f t="shared" si="7131"/>
        <v>-42.672634505145083</v>
      </c>
      <c r="AL1296" s="149">
        <f>-0.5*AL370*AI1285</f>
        <v>0</v>
      </c>
      <c r="AM1296" s="149">
        <f>-0.5*AM370*AJ1285</f>
        <v>-12.843288326579254</v>
      </c>
      <c r="AN1296" s="171">
        <f t="shared" si="7132"/>
        <v>-12.843288326579254</v>
      </c>
      <c r="AO1296" s="149">
        <f>-0.5*AO370*AL1285</f>
        <v>-10.978767256540294</v>
      </c>
      <c r="AP1296" s="149">
        <f>-0.5*AP370*AM1285</f>
        <v>0</v>
      </c>
      <c r="AQ1296" s="171">
        <f t="shared" si="7133"/>
        <v>-10.978767256540294</v>
      </c>
      <c r="AR1296" s="149">
        <f>-0.5*AR370*AO1285</f>
        <v>0</v>
      </c>
      <c r="AS1296" s="149">
        <f>-0.5*AS370*AP1285</f>
        <v>0</v>
      </c>
      <c r="AT1296" s="171">
        <f t="shared" si="7134"/>
        <v>0</v>
      </c>
      <c r="AU1296" s="149">
        <f>-0.5*AU370*AR1285</f>
        <v>0</v>
      </c>
      <c r="AV1296" s="149">
        <f>-0.5*AV370*AS1285</f>
        <v>0</v>
      </c>
      <c r="AW1296" s="171">
        <f t="shared" si="7135"/>
        <v>0</v>
      </c>
      <c r="AX1296" s="149">
        <f>-0.5*AX370*AU1285</f>
        <v>0</v>
      </c>
      <c r="AY1296" s="149">
        <f>-0.5*AY370*AV1285</f>
        <v>0</v>
      </c>
      <c r="AZ1296" s="171">
        <f t="shared" si="7136"/>
        <v>0</v>
      </c>
      <c r="BA1296" s="149">
        <f>-0.5*BA370*AX1285</f>
        <v>0</v>
      </c>
      <c r="BB1296" s="149">
        <f>-0.5*BB370*AY1285</f>
        <v>0</v>
      </c>
      <c r="BC1296" s="171">
        <f t="shared" si="7137"/>
        <v>0</v>
      </c>
      <c r="BD1296" s="149">
        <f>-0.5*BD370*BA1285</f>
        <v>0</v>
      </c>
      <c r="BE1296" s="149">
        <f>-0.5*BE370*BB1285</f>
        <v>0</v>
      </c>
      <c r="BF1296" s="171">
        <f t="shared" si="7138"/>
        <v>0</v>
      </c>
      <c r="BG1296" s="149">
        <f>-0.5*BG370*BD1285</f>
        <v>0</v>
      </c>
      <c r="BH1296" s="149">
        <f>-0.5*BH370*BE1285</f>
        <v>0</v>
      </c>
      <c r="BI1296" s="171">
        <f t="shared" si="7139"/>
        <v>0</v>
      </c>
      <c r="BJ1296" s="149">
        <f>-0.5*BJ370*BG1285</f>
        <v>0</v>
      </c>
      <c r="BK1296" s="149">
        <f>-0.5*BK370*BH1285</f>
        <v>0</v>
      </c>
      <c r="BL1296" s="171">
        <f t="shared" si="7140"/>
        <v>0</v>
      </c>
      <c r="BM1296" s="149">
        <f>-0.5*BM370*BJ1285</f>
        <v>0</v>
      </c>
      <c r="BN1296" s="149">
        <f>-0.5*BN370*BK1285</f>
        <v>0</v>
      </c>
      <c r="BO1296" s="171">
        <f t="shared" si="7141"/>
        <v>0</v>
      </c>
      <c r="BP1296" s="149">
        <f>-0.5*BP370*BM1285</f>
        <v>0</v>
      </c>
      <c r="BQ1296" s="149">
        <f>-0.5*BQ370*BN1285</f>
        <v>0</v>
      </c>
      <c r="BR1296" s="171">
        <f t="shared" si="7142"/>
        <v>0</v>
      </c>
    </row>
    <row r="1297" spans="3:70" outlineLevel="1">
      <c r="C1297" s="108" t="s">
        <v>732</v>
      </c>
      <c r="D1297" s="7" t="s">
        <v>58</v>
      </c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AF1297" s="561">
        <f>(0.5*AD370*AA1285)*(1-AD369)</f>
        <v>0</v>
      </c>
      <c r="AG1297" s="956">
        <f>(0.5*AF370*AC1285)*(1-AF369)</f>
        <v>0</v>
      </c>
      <c r="AH1297" s="376">
        <f>AF1297+AG1297</f>
        <v>0</v>
      </c>
      <c r="AI1297" s="149">
        <f>(0.5*AG370*AD1285)*(1-AG369)</f>
        <v>0</v>
      </c>
      <c r="AJ1297" s="150">
        <f>(0.5*AI370*AF1285)*(1-AI369)</f>
        <v>0</v>
      </c>
      <c r="AK1297" s="376">
        <f t="shared" ref="AK1297" si="7143">AI1297+AJ1297</f>
        <v>0</v>
      </c>
      <c r="AL1297" s="149">
        <f>(0.5*AJ370*AG1285)*(1-AJ369)</f>
        <v>0</v>
      </c>
      <c r="AM1297" s="150">
        <f>(0.5*AL370*AI1285)*(1-AL369)</f>
        <v>0</v>
      </c>
      <c r="AN1297" s="376">
        <f t="shared" ref="AN1297" si="7144">AL1297+AM1297</f>
        <v>0</v>
      </c>
      <c r="AO1297" s="149">
        <f>(0.5*AM370*AJ1285)*(1-AM369)</f>
        <v>0</v>
      </c>
      <c r="AP1297" s="150">
        <f>(0.5*AO370*AL1285)*(1-AO369)</f>
        <v>0</v>
      </c>
      <c r="AQ1297" s="376">
        <f t="shared" ref="AQ1297" si="7145">AO1297+AP1297</f>
        <v>0</v>
      </c>
      <c r="AR1297" s="149">
        <f>(0.5*AP370*AM1285)*(1-AP369)</f>
        <v>0</v>
      </c>
      <c r="AS1297" s="150">
        <f>(0.5*AR370*AO1285)*(1-AR369)</f>
        <v>0</v>
      </c>
      <c r="AT1297" s="376">
        <f t="shared" ref="AT1297" si="7146">AR1297+AS1297</f>
        <v>0</v>
      </c>
      <c r="AU1297" s="149">
        <f>(0.5*AS370*AP1285)*(1-AS369)</f>
        <v>0</v>
      </c>
      <c r="AV1297" s="150">
        <f>(0.5*AU370*AR1285)*(1-AU369)</f>
        <v>0</v>
      </c>
      <c r="AW1297" s="376">
        <f t="shared" ref="AW1297" si="7147">AU1297+AV1297</f>
        <v>0</v>
      </c>
      <c r="AX1297" s="149">
        <f>(0.5*AV370*AS1285)*(1-AV369)</f>
        <v>0</v>
      </c>
      <c r="AY1297" s="150">
        <f>(0.5*AX370*AU1285)*(1-AX369)</f>
        <v>0</v>
      </c>
      <c r="AZ1297" s="376">
        <f t="shared" ref="AZ1297" si="7148">AX1297+AY1297</f>
        <v>0</v>
      </c>
      <c r="BA1297" s="149">
        <f>(0.5*AY370*AV1285)*(1-AY369)</f>
        <v>0</v>
      </c>
      <c r="BB1297" s="150">
        <f>(0.5*BA370*AX1285)*(1-BA369)</f>
        <v>0</v>
      </c>
      <c r="BC1297" s="376">
        <f t="shared" ref="BC1297" si="7149">BA1297+BB1297</f>
        <v>0</v>
      </c>
      <c r="BD1297" s="149">
        <f>(0.5*BB370*AY1285)*(1-BB369)</f>
        <v>0</v>
      </c>
      <c r="BE1297" s="150">
        <f>(0.5*BD370*BA1285)*(1-BD369)</f>
        <v>0</v>
      </c>
      <c r="BF1297" s="376">
        <f t="shared" ref="BF1297" si="7150">BD1297+BE1297</f>
        <v>0</v>
      </c>
      <c r="BG1297" s="149">
        <f>(0.5*BE370*BB1285)*(1-BE369)</f>
        <v>0</v>
      </c>
      <c r="BH1297" s="150">
        <f>(0.5*BG370*BD1285)*(1-BG369)</f>
        <v>0</v>
      </c>
      <c r="BI1297" s="376">
        <f t="shared" ref="BI1297" si="7151">BG1297+BH1297</f>
        <v>0</v>
      </c>
      <c r="BJ1297" s="149">
        <f>(0.5*BH370*BE1285)*(1-BH369)</f>
        <v>0</v>
      </c>
      <c r="BK1297" s="150">
        <f>(0.5*BJ370*BG1285)*(1-BJ369)</f>
        <v>0</v>
      </c>
      <c r="BL1297" s="376">
        <f t="shared" ref="BL1297" si="7152">BJ1297+BK1297</f>
        <v>0</v>
      </c>
      <c r="BM1297" s="149">
        <f>(0.5*BK370*BH1285)*(1-BK369)</f>
        <v>0</v>
      </c>
      <c r="BN1297" s="150">
        <f>(0.5*BM370*BJ1285)*(1-BM369)</f>
        <v>0</v>
      </c>
      <c r="BO1297" s="376">
        <f t="shared" ref="BO1297" si="7153">BM1297+BN1297</f>
        <v>0</v>
      </c>
      <c r="BP1297" s="149">
        <f>(0.5*BN370*BK1285)*(1-BN369)</f>
        <v>0</v>
      </c>
      <c r="BQ1297" s="150">
        <f>(0.5*BP370*BM1285)*(1-BP369)</f>
        <v>0</v>
      </c>
      <c r="BR1297" s="376">
        <f t="shared" ref="BR1297" si="7154">BP1297+BQ1297</f>
        <v>0</v>
      </c>
    </row>
    <row r="1298" spans="3:70" outlineLevel="1">
      <c r="C1298" s="108" t="s">
        <v>551</v>
      </c>
      <c r="D1298" s="7" t="s">
        <v>58</v>
      </c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AF1298" s="561">
        <f>+AF1308</f>
        <v>0.71500000000000019</v>
      </c>
      <c r="AG1298" s="956">
        <f>+AG1308</f>
        <v>1.4300000000000004</v>
      </c>
      <c r="AH1298" s="171">
        <f>AF1298+AG1298</f>
        <v>2.1450000000000005</v>
      </c>
      <c r="AI1298" s="149">
        <f>+AI1308</f>
        <v>1.0725000000000002</v>
      </c>
      <c r="AJ1298" s="149">
        <f>+AJ1308</f>
        <v>0.71500000000000008</v>
      </c>
      <c r="AK1298" s="171">
        <f>AI1298+AJ1298</f>
        <v>1.7875000000000003</v>
      </c>
      <c r="AL1298" s="149">
        <f>+AL1308</f>
        <v>0.71500000000000019</v>
      </c>
      <c r="AM1298" s="149">
        <f>+AM1308</f>
        <v>0.7150000000000003</v>
      </c>
      <c r="AN1298" s="171">
        <f>AL1298+AM1298</f>
        <v>1.4300000000000006</v>
      </c>
      <c r="AO1298" s="149">
        <f>+AO1308</f>
        <v>0.35750000000000015</v>
      </c>
      <c r="AP1298" s="149">
        <f>+AP1308</f>
        <v>0</v>
      </c>
      <c r="AQ1298" s="171">
        <f>AO1298+AP1298</f>
        <v>0.35750000000000015</v>
      </c>
      <c r="AR1298" s="149">
        <f>+AR1308</f>
        <v>0</v>
      </c>
      <c r="AS1298" s="149">
        <f>+AS1308</f>
        <v>0</v>
      </c>
      <c r="AT1298" s="171">
        <f>AR1298+AS1298</f>
        <v>0</v>
      </c>
      <c r="AU1298" s="149">
        <f>+AU1308</f>
        <v>0</v>
      </c>
      <c r="AV1298" s="149">
        <f>+AV1308</f>
        <v>0</v>
      </c>
      <c r="AW1298" s="171">
        <f>AU1298+AV1298</f>
        <v>0</v>
      </c>
      <c r="AX1298" s="149">
        <f>+AX1308</f>
        <v>0</v>
      </c>
      <c r="AY1298" s="149">
        <f>+AY1308</f>
        <v>0</v>
      </c>
      <c r="AZ1298" s="171">
        <f>AX1298+AY1298</f>
        <v>0</v>
      </c>
      <c r="BA1298" s="149">
        <f>+BA1308</f>
        <v>0</v>
      </c>
      <c r="BB1298" s="149">
        <f>+BB1308</f>
        <v>0</v>
      </c>
      <c r="BC1298" s="171">
        <f>BA1298+BB1298</f>
        <v>0</v>
      </c>
      <c r="BD1298" s="149">
        <f>+BD1308</f>
        <v>0</v>
      </c>
      <c r="BE1298" s="149">
        <f>+BE1308</f>
        <v>0</v>
      </c>
      <c r="BF1298" s="171">
        <f>BD1298+BE1298</f>
        <v>0</v>
      </c>
      <c r="BG1298" s="149">
        <f>+BG1308</f>
        <v>0</v>
      </c>
      <c r="BH1298" s="149">
        <f>+BH1308</f>
        <v>0</v>
      </c>
      <c r="BI1298" s="171">
        <f>BG1298+BH1298</f>
        <v>0</v>
      </c>
      <c r="BJ1298" s="149">
        <f>+BJ1308</f>
        <v>0</v>
      </c>
      <c r="BK1298" s="149">
        <f>+BK1308</f>
        <v>0</v>
      </c>
      <c r="BL1298" s="171">
        <f>BJ1298+BK1298</f>
        <v>0</v>
      </c>
      <c r="BM1298" s="149">
        <f>+BM1308</f>
        <v>0</v>
      </c>
      <c r="BN1298" s="149">
        <f>+BN1308</f>
        <v>0</v>
      </c>
      <c r="BO1298" s="171">
        <f>BM1298+BN1298</f>
        <v>0</v>
      </c>
      <c r="BP1298" s="149">
        <f>+BP1308</f>
        <v>0</v>
      </c>
      <c r="BQ1298" s="149">
        <f>+BQ1308</f>
        <v>0</v>
      </c>
      <c r="BR1298" s="171">
        <f>BP1298+BQ1298</f>
        <v>0</v>
      </c>
    </row>
    <row r="1299" spans="3:70" outlineLevel="1">
      <c r="C1299" s="108" t="s">
        <v>273</v>
      </c>
      <c r="D1299" s="7" t="s">
        <v>58</v>
      </c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AF1299" s="909">
        <v>0</v>
      </c>
      <c r="AG1299" s="1003">
        <v>0</v>
      </c>
      <c r="AH1299" s="347">
        <f>AF1299+AG1299</f>
        <v>0</v>
      </c>
      <c r="AI1299" s="407">
        <v>0</v>
      </c>
      <c r="AJ1299" s="407">
        <v>0</v>
      </c>
      <c r="AK1299" s="347">
        <f>AI1299+AJ1299</f>
        <v>0</v>
      </c>
      <c r="AL1299" s="407">
        <v>0</v>
      </c>
      <c r="AM1299" s="407">
        <v>0</v>
      </c>
      <c r="AN1299" s="347">
        <f>AL1299+AM1299</f>
        <v>0</v>
      </c>
      <c r="AO1299" s="407">
        <v>0</v>
      </c>
      <c r="AP1299" s="407">
        <v>0</v>
      </c>
      <c r="AQ1299" s="347">
        <f>AO1299+AP1299</f>
        <v>0</v>
      </c>
      <c r="AR1299" s="407">
        <v>0</v>
      </c>
      <c r="AS1299" s="407">
        <v>0</v>
      </c>
      <c r="AT1299" s="347">
        <f>AR1299+AS1299</f>
        <v>0</v>
      </c>
      <c r="AU1299" s="407">
        <v>0</v>
      </c>
      <c r="AV1299" s="407">
        <v>0</v>
      </c>
      <c r="AW1299" s="347">
        <f>AU1299+AV1299</f>
        <v>0</v>
      </c>
      <c r="AX1299" s="407">
        <v>0</v>
      </c>
      <c r="AY1299" s="407">
        <v>0</v>
      </c>
      <c r="AZ1299" s="347">
        <f>AX1299+AY1299</f>
        <v>0</v>
      </c>
      <c r="BA1299" s="407">
        <v>0</v>
      </c>
      <c r="BB1299" s="407">
        <v>0</v>
      </c>
      <c r="BC1299" s="347">
        <f>BA1299+BB1299</f>
        <v>0</v>
      </c>
      <c r="BD1299" s="407">
        <v>0</v>
      </c>
      <c r="BE1299" s="407">
        <v>0</v>
      </c>
      <c r="BF1299" s="347">
        <f>BD1299+BE1299</f>
        <v>0</v>
      </c>
      <c r="BG1299" s="407">
        <v>0</v>
      </c>
      <c r="BH1299" s="407">
        <v>0</v>
      </c>
      <c r="BI1299" s="347">
        <f>BG1299+BH1299</f>
        <v>0</v>
      </c>
      <c r="BJ1299" s="407">
        <v>0</v>
      </c>
      <c r="BK1299" s="407">
        <v>0</v>
      </c>
      <c r="BL1299" s="347">
        <f>BJ1299+BK1299</f>
        <v>0</v>
      </c>
      <c r="BM1299" s="407">
        <v>0</v>
      </c>
      <c r="BN1299" s="407">
        <v>0</v>
      </c>
      <c r="BO1299" s="347">
        <f>BM1299+BN1299</f>
        <v>0</v>
      </c>
      <c r="BP1299" s="407">
        <v>0</v>
      </c>
      <c r="BQ1299" s="407">
        <v>0</v>
      </c>
      <c r="BR1299" s="347">
        <f>BP1299+BQ1299</f>
        <v>0</v>
      </c>
    </row>
    <row r="1300" spans="3:70" outlineLevel="1">
      <c r="C1300" s="108" t="s">
        <v>274</v>
      </c>
      <c r="D1300" s="7" t="s">
        <v>58</v>
      </c>
      <c r="E1300" s="7"/>
      <c r="F1300" s="7"/>
      <c r="G1300" s="7"/>
      <c r="H1300" s="465"/>
      <c r="I1300" s="465"/>
      <c r="J1300" s="31"/>
      <c r="K1300" s="410">
        <f>+K1345</f>
        <v>21.666666666666668</v>
      </c>
      <c r="L1300" s="410">
        <f>+L1345</f>
        <v>26</v>
      </c>
      <c r="M1300" s="493">
        <f>+L1300+K1300</f>
        <v>47.666666666666671</v>
      </c>
      <c r="N1300" s="410">
        <f>+N1345</f>
        <v>14.333333333333332</v>
      </c>
      <c r="O1300" s="410">
        <f>+O1345</f>
        <v>10</v>
      </c>
      <c r="P1300" s="493">
        <f>+O1300+N1300</f>
        <v>24.333333333333332</v>
      </c>
      <c r="Q1300" s="410">
        <f>+Q1345</f>
        <v>10</v>
      </c>
      <c r="R1300" s="410">
        <f>+R1345</f>
        <v>5</v>
      </c>
      <c r="S1300" s="493">
        <f>+R1300+Q1300</f>
        <v>15</v>
      </c>
      <c r="T1300" s="410">
        <f>+T1345</f>
        <v>0</v>
      </c>
      <c r="U1300" s="410">
        <f>+U1345</f>
        <v>0</v>
      </c>
      <c r="V1300" s="493">
        <f>+U1300+T1300</f>
        <v>0</v>
      </c>
      <c r="W1300" s="410">
        <f>+W1345</f>
        <v>0</v>
      </c>
      <c r="X1300" s="410">
        <f>+X1345</f>
        <v>0</v>
      </c>
      <c r="Y1300" s="493">
        <f>+X1300+W1300</f>
        <v>0</v>
      </c>
      <c r="Z1300" s="410">
        <f>+Z1345</f>
        <v>0</v>
      </c>
      <c r="AA1300" s="410">
        <f>+AA1345</f>
        <v>2.1066666666666669</v>
      </c>
      <c r="AB1300" s="493">
        <f>+AA1300+Z1300</f>
        <v>2.1066666666666669</v>
      </c>
      <c r="AC1300" s="410">
        <f>+AC1345</f>
        <v>12.32</v>
      </c>
      <c r="AD1300" s="410">
        <f>+AD1345</f>
        <v>14.32</v>
      </c>
      <c r="AE1300" s="493">
        <f>+AD1300+AC1300</f>
        <v>26.64</v>
      </c>
      <c r="AF1300" s="561">
        <f>+AF1345</f>
        <v>11.2</v>
      </c>
      <c r="AG1300" s="956">
        <f>+AG1345</f>
        <v>2.5</v>
      </c>
      <c r="AH1300" s="150">
        <f>+AG1300+AF1300</f>
        <v>13.7</v>
      </c>
      <c r="AI1300" s="149">
        <f>+AI1345</f>
        <v>18.25</v>
      </c>
      <c r="AJ1300" s="149">
        <f>+AJ1345</f>
        <v>6.05</v>
      </c>
      <c r="AK1300" s="149">
        <f>+AJ1300+AI1300</f>
        <v>24.3</v>
      </c>
      <c r="AL1300" s="149">
        <f>+AL1345</f>
        <v>2.25</v>
      </c>
      <c r="AM1300" s="149">
        <f>+AM1345</f>
        <v>1.7999999999999998</v>
      </c>
      <c r="AN1300" s="150">
        <f>+AM1300+AL1300</f>
        <v>4.05</v>
      </c>
      <c r="AO1300" s="149">
        <f>+AO1345</f>
        <v>2</v>
      </c>
      <c r="AP1300" s="149">
        <f>+AP1345</f>
        <v>1.7999999999999998</v>
      </c>
      <c r="AQ1300" s="150">
        <f>+AP1300+AO1300</f>
        <v>3.8</v>
      </c>
      <c r="AR1300" s="149">
        <f>+AR1345</f>
        <v>0</v>
      </c>
      <c r="AS1300" s="149">
        <f>+AS1345</f>
        <v>-0.20000000000000018</v>
      </c>
      <c r="AT1300" s="150">
        <f>+AS1300+AR1300</f>
        <v>-0.20000000000000018</v>
      </c>
      <c r="AU1300" s="149">
        <f>+AU1345</f>
        <v>0</v>
      </c>
      <c r="AV1300" s="149">
        <f>+AV1345</f>
        <v>-0.20000000000000018</v>
      </c>
      <c r="AW1300" s="150">
        <f>+AV1300+AU1300</f>
        <v>-0.20000000000000018</v>
      </c>
      <c r="AX1300" s="149">
        <f>+AX1345</f>
        <v>0</v>
      </c>
      <c r="AY1300" s="149">
        <f>+AY1345</f>
        <v>-0.20000000000000018</v>
      </c>
      <c r="AZ1300" s="150">
        <f>+AY1300+AX1300</f>
        <v>-0.20000000000000018</v>
      </c>
      <c r="BA1300" s="149">
        <f>+BA1345</f>
        <v>0</v>
      </c>
      <c r="BB1300" s="149">
        <f>+BB1345</f>
        <v>-0.20000000000000018</v>
      </c>
      <c r="BC1300" s="150">
        <f>+BB1300+BA1300</f>
        <v>-0.20000000000000018</v>
      </c>
      <c r="BD1300" s="149">
        <f>+BD1345</f>
        <v>0</v>
      </c>
      <c r="BE1300" s="149">
        <f>+BE1345</f>
        <v>-0.20000000000000018</v>
      </c>
      <c r="BF1300" s="150">
        <f>+BE1300+BD1300</f>
        <v>-0.20000000000000018</v>
      </c>
      <c r="BG1300" s="149">
        <f>+BG1345</f>
        <v>0</v>
      </c>
      <c r="BH1300" s="149">
        <f>+BH1345</f>
        <v>-0.20000000000000018</v>
      </c>
      <c r="BI1300" s="150">
        <f>+BH1300+BG1300</f>
        <v>-0.20000000000000018</v>
      </c>
      <c r="BJ1300" s="149">
        <f>+BJ1345</f>
        <v>0</v>
      </c>
      <c r="BK1300" s="149">
        <f>+BK1345</f>
        <v>-0.20000000000000018</v>
      </c>
      <c r="BL1300" s="150">
        <f>+BK1300+BJ1300</f>
        <v>-0.20000000000000018</v>
      </c>
      <c r="BM1300" s="149">
        <f>+BM1345</f>
        <v>0</v>
      </c>
      <c r="BN1300" s="149">
        <f>+BN1345</f>
        <v>-0.20000000000000018</v>
      </c>
      <c r="BO1300" s="150">
        <f>+BN1300+BM1300</f>
        <v>-0.20000000000000018</v>
      </c>
      <c r="BP1300" s="149">
        <f>+BP1345</f>
        <v>0</v>
      </c>
      <c r="BQ1300" s="149">
        <f>+BQ1345</f>
        <v>-0.20000000000000018</v>
      </c>
      <c r="BR1300" s="150">
        <f>+BQ1300+BP1300</f>
        <v>-0.20000000000000018</v>
      </c>
    </row>
    <row r="1301" spans="3:70" outlineLevel="1">
      <c r="C1301" s="108" t="s">
        <v>275</v>
      </c>
      <c r="D1301" s="7" t="s">
        <v>58</v>
      </c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AF1301" s="909">
        <v>0</v>
      </c>
      <c r="AG1301" s="1055">
        <v>0</v>
      </c>
      <c r="AH1301" s="18">
        <f>AF1301+AG1301</f>
        <v>0</v>
      </c>
      <c r="AI1301" s="101">
        <v>0</v>
      </c>
      <c r="AJ1301" s="101">
        <v>0</v>
      </c>
      <c r="AK1301" s="18">
        <f>AI1301+AJ1301</f>
        <v>0</v>
      </c>
      <c r="AL1301" s="101">
        <v>0</v>
      </c>
      <c r="AM1301" s="101">
        <v>0</v>
      </c>
      <c r="AN1301" s="18">
        <f>AL1301+AM1301</f>
        <v>0</v>
      </c>
      <c r="AO1301" s="101">
        <v>0</v>
      </c>
      <c r="AP1301" s="101">
        <v>0</v>
      </c>
      <c r="AQ1301" s="18">
        <f>AO1301+AP1301</f>
        <v>0</v>
      </c>
      <c r="AR1301" s="101">
        <v>0</v>
      </c>
      <c r="AS1301" s="101">
        <v>0</v>
      </c>
      <c r="AT1301" s="18">
        <f>AR1301+AS1301</f>
        <v>0</v>
      </c>
      <c r="AU1301" s="101">
        <v>0</v>
      </c>
      <c r="AV1301" s="101">
        <v>0</v>
      </c>
      <c r="AW1301" s="18">
        <f>AU1301+AV1301</f>
        <v>0</v>
      </c>
      <c r="AX1301" s="101">
        <v>0</v>
      </c>
      <c r="AY1301" s="101">
        <v>0</v>
      </c>
      <c r="AZ1301" s="18">
        <f>AX1301+AY1301</f>
        <v>0</v>
      </c>
      <c r="BA1301" s="101">
        <v>0</v>
      </c>
      <c r="BB1301" s="101">
        <v>0</v>
      </c>
      <c r="BC1301" s="18">
        <f>BA1301+BB1301</f>
        <v>0</v>
      </c>
      <c r="BD1301" s="101">
        <v>0</v>
      </c>
      <c r="BE1301" s="101">
        <v>0</v>
      </c>
      <c r="BF1301" s="18">
        <f>BD1301+BE1301</f>
        <v>0</v>
      </c>
      <c r="BG1301" s="101">
        <v>0</v>
      </c>
      <c r="BH1301" s="101">
        <v>0</v>
      </c>
      <c r="BI1301" s="18">
        <f>BG1301+BH1301</f>
        <v>0</v>
      </c>
      <c r="BJ1301" s="101">
        <v>0</v>
      </c>
      <c r="BK1301" s="101">
        <v>0</v>
      </c>
      <c r="BL1301" s="18">
        <f>BJ1301+BK1301</f>
        <v>0</v>
      </c>
      <c r="BM1301" s="101">
        <v>0</v>
      </c>
      <c r="BN1301" s="101">
        <v>0</v>
      </c>
      <c r="BO1301" s="18">
        <f>BM1301+BN1301</f>
        <v>0</v>
      </c>
      <c r="BP1301" s="101">
        <v>0</v>
      </c>
      <c r="BQ1301" s="101">
        <v>0</v>
      </c>
      <c r="BR1301" s="18">
        <f>BP1301+BQ1301</f>
        <v>0</v>
      </c>
    </row>
    <row r="1302" spans="3:70" s="8" customFormat="1" outlineLevel="1">
      <c r="C1302" s="547" t="s">
        <v>277</v>
      </c>
      <c r="D1302" s="7" t="s">
        <v>58</v>
      </c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AE1302" s="409"/>
      <c r="AF1302" s="592">
        <f>AF1295+AF1296+AF1297+AF1298+AF1299+AF1300+AF1301</f>
        <v>11.914999999999999</v>
      </c>
      <c r="AG1302" s="1018">
        <f>AG1295+AG1296+AG1297+AG1298+AG1299+AG1300+AG1301</f>
        <v>3.9300000000000006</v>
      </c>
      <c r="AH1302" s="13">
        <f>AH1295+AH1296+AH1297+AH1299+AH1300+AH1301</f>
        <v>13.7</v>
      </c>
      <c r="AI1302" s="13">
        <f>AI1295+AI1296+AI1297+AI1298+AI1299+AI1300+AI1301</f>
        <v>19.322500000000002</v>
      </c>
      <c r="AJ1302" s="13">
        <f>AJ1295+AJ1296+AJ1297+AJ1298+AJ1299+AJ1300+AJ1301</f>
        <v>6.7649999999999997</v>
      </c>
      <c r="AK1302" s="13">
        <f>AK1295+AK1296+AK1297+AK1299+AK1300+AK1301</f>
        <v>24.3</v>
      </c>
      <c r="AL1302" s="13">
        <f>AL1295+AL1296+AL1297+AL1298+AL1299+AL1300+AL1301</f>
        <v>2.9650000000000003</v>
      </c>
      <c r="AM1302" s="13">
        <f>AM1295+AM1296+AM1297+AM1298+AM1299+AM1300+AM1301</f>
        <v>2.5150000000000001</v>
      </c>
      <c r="AN1302" s="13">
        <f>AN1295+AN1296+AN1297+AN1299+AN1300+AN1301</f>
        <v>4.05</v>
      </c>
      <c r="AO1302" s="13">
        <f>AO1295+AO1296+AO1297+AO1298+AO1299+AO1300+AO1301</f>
        <v>2.3574999999999999</v>
      </c>
      <c r="AP1302" s="13">
        <f>AP1295+AP1296+AP1297+AP1298+AP1299+AP1300+AP1301</f>
        <v>1.7999999999999998</v>
      </c>
      <c r="AQ1302" s="13">
        <f>AQ1295+AQ1296+AQ1297+AQ1299+AQ1300+AQ1301</f>
        <v>3.8</v>
      </c>
      <c r="AR1302" s="13">
        <f>AR1295+AR1296+AR1297+AR1298+AR1299+AR1300+AR1301</f>
        <v>0</v>
      </c>
      <c r="AS1302" s="13">
        <f>AS1295+AS1296+AS1297+AS1298+AS1299+AS1300+AS1301</f>
        <v>-0.20000000000000018</v>
      </c>
      <c r="AT1302" s="13">
        <f>AT1295+AT1296+AT1297+AT1299+AT1300+AT1301</f>
        <v>-0.20000000000000018</v>
      </c>
      <c r="AU1302" s="13">
        <f>AU1295+AU1296+AU1297+AU1298+AU1299+AU1300+AU1301</f>
        <v>0</v>
      </c>
      <c r="AV1302" s="13">
        <f>AV1295+AV1296+AV1297+AV1298+AV1299+AV1300+AV1301</f>
        <v>-0.20000000000000018</v>
      </c>
      <c r="AW1302" s="13">
        <f>AW1295+AW1296+AW1297+AW1299+AW1300+AW1301</f>
        <v>-0.20000000000000018</v>
      </c>
      <c r="AX1302" s="13">
        <f>AX1295+AX1296+AX1297+AX1298+AX1299+AX1300+AX1301</f>
        <v>0</v>
      </c>
      <c r="AY1302" s="13">
        <f>AY1295+AY1296+AY1297+AY1298+AY1299+AY1300+AY1301</f>
        <v>-0.20000000000000018</v>
      </c>
      <c r="AZ1302" s="13">
        <f>AZ1295+AZ1296+AZ1297+AZ1299+AZ1300+AZ1301</f>
        <v>-0.20000000000000018</v>
      </c>
      <c r="BA1302" s="13">
        <f>BA1295+BA1296+BA1297+BA1298+BA1299+BA1300+BA1301</f>
        <v>0</v>
      </c>
      <c r="BB1302" s="13">
        <f>BB1295+BB1296+BB1297+BB1298+BB1299+BB1300+BB1301</f>
        <v>-0.20000000000000018</v>
      </c>
      <c r="BC1302" s="13">
        <f>BC1295+BC1296+BC1297+BC1299+BC1300+BC1301</f>
        <v>-0.20000000000000018</v>
      </c>
      <c r="BD1302" s="13">
        <f>BD1295+BD1296+BD1297+BD1298+BD1299+BD1300+BD1301</f>
        <v>0</v>
      </c>
      <c r="BE1302" s="13">
        <f>BE1295+BE1296+BE1297+BE1298+BE1299+BE1300+BE1301</f>
        <v>-0.20000000000000018</v>
      </c>
      <c r="BF1302" s="13">
        <f>BF1295+BF1296+BF1297+BF1299+BF1300+BF1301</f>
        <v>-0.20000000000000018</v>
      </c>
      <c r="BG1302" s="13">
        <f>BG1295+BG1296+BG1297+BG1298+BG1299+BG1300+BG1301</f>
        <v>0</v>
      </c>
      <c r="BH1302" s="13">
        <f>BH1295+BH1296+BH1297+BH1298+BH1299+BH1300+BH1301</f>
        <v>-0.20000000000000018</v>
      </c>
      <c r="BI1302" s="13">
        <f>BI1295+BI1296+BI1297+BI1299+BI1300+BI1301</f>
        <v>-0.20000000000000018</v>
      </c>
      <c r="BJ1302" s="13">
        <f>BJ1295+BJ1296+BJ1297+BJ1298+BJ1299+BJ1300+BJ1301</f>
        <v>0</v>
      </c>
      <c r="BK1302" s="13">
        <f>BK1295+BK1296+BK1297+BK1298+BK1299+BK1300+BK1301</f>
        <v>-0.20000000000000018</v>
      </c>
      <c r="BL1302" s="13">
        <f>BL1295+BL1296+BL1297+BL1299+BL1300+BL1301</f>
        <v>-0.20000000000000018</v>
      </c>
      <c r="BM1302" s="13">
        <f>BM1295+BM1296+BM1297+BM1298+BM1299+BM1300+BM1301</f>
        <v>0</v>
      </c>
      <c r="BN1302" s="13">
        <f>BN1295+BN1296+BN1297+BN1298+BN1299+BN1300+BN1301</f>
        <v>-0.20000000000000018</v>
      </c>
      <c r="BO1302" s="13">
        <f>BO1295+BO1296+BO1297+BO1299+BO1300+BO1301</f>
        <v>-0.20000000000000018</v>
      </c>
      <c r="BP1302" s="13">
        <f>BP1295+BP1296+BP1297+BP1298+BP1299+BP1300+BP1301</f>
        <v>0</v>
      </c>
      <c r="BQ1302" s="13">
        <f>BQ1295+BQ1296+BQ1297+BQ1298+BQ1299+BQ1300+BQ1301</f>
        <v>-0.20000000000000018</v>
      </c>
      <c r="BR1302" s="13">
        <f>BR1295+BR1296+BR1297+BR1299+BR1300+BR1301</f>
        <v>-0.20000000000000018</v>
      </c>
    </row>
    <row r="1303" spans="3:70" s="8" customFormat="1" outlineLevel="1">
      <c r="C1303" s="421" t="s">
        <v>569</v>
      </c>
      <c r="D1303" s="7"/>
      <c r="E1303" s="7"/>
      <c r="F1303" s="7"/>
      <c r="G1303" s="7"/>
      <c r="H1303" s="586">
        <f t="shared" ref="H1303:AN1303" si="7155">+H1292/E1292-1</f>
        <v>7.3439412484699318E-3</v>
      </c>
      <c r="I1303" s="586">
        <f t="shared" si="7155"/>
        <v>9.6993210475266878E-3</v>
      </c>
      <c r="J1303" s="586">
        <f t="shared" si="7155"/>
        <v>8.6580086580085869E-3</v>
      </c>
      <c r="K1303" s="586">
        <f t="shared" si="7155"/>
        <v>0.2320777642770353</v>
      </c>
      <c r="L1303" s="586">
        <f t="shared" si="7155"/>
        <v>0.33429394812680102</v>
      </c>
      <c r="M1303" s="586">
        <f t="shared" si="7155"/>
        <v>0.28916309012875541</v>
      </c>
      <c r="N1303" s="586">
        <f t="shared" si="7155"/>
        <v>0.14990138067061132</v>
      </c>
      <c r="O1303" s="586">
        <f t="shared" si="7155"/>
        <v>0.12239020878329732</v>
      </c>
      <c r="P1303" s="586">
        <f t="shared" si="7155"/>
        <v>0.13399916770703291</v>
      </c>
      <c r="Q1303" s="586">
        <f t="shared" si="7155"/>
        <v>9.5197255574614115E-2</v>
      </c>
      <c r="R1303" s="586">
        <f t="shared" si="7155"/>
        <v>2.0525978191148209E-2</v>
      </c>
      <c r="S1303" s="586">
        <f t="shared" si="7155"/>
        <v>5.24770642201835E-2</v>
      </c>
      <c r="T1303" s="586">
        <f t="shared" si="7155"/>
        <v>4.6985121378231298E-3</v>
      </c>
      <c r="U1303" s="586">
        <f t="shared" si="7155"/>
        <v>6.7881835323695405E-2</v>
      </c>
      <c r="V1303" s="586">
        <f t="shared" si="7155"/>
        <v>3.9748953974895418E-2</v>
      </c>
      <c r="W1303" s="586">
        <f t="shared" si="7155"/>
        <v>8.4177708495712933E-2</v>
      </c>
      <c r="X1303" s="586">
        <f t="shared" si="7155"/>
        <v>7.2395526780459241E-2</v>
      </c>
      <c r="Y1303" s="586">
        <f t="shared" si="7155"/>
        <v>7.7464788732394263E-2</v>
      </c>
      <c r="Z1303" s="586">
        <f t="shared" si="7155"/>
        <v>0.10352264557872037</v>
      </c>
      <c r="AA1303" s="586">
        <f t="shared" si="7155"/>
        <v>9.2206366630076975E-2</v>
      </c>
      <c r="AB1303" s="586">
        <f t="shared" si="7155"/>
        <v>9.7105508870214852E-2</v>
      </c>
      <c r="AC1303" s="586">
        <f t="shared" si="7155"/>
        <v>-6.514657980456029E-2</v>
      </c>
      <c r="AD1303" s="586">
        <f t="shared" si="7155"/>
        <v>1.0050251256281673E-3</v>
      </c>
      <c r="AE1303" s="585">
        <f t="shared" si="7155"/>
        <v>-2.7801418439716397E-2</v>
      </c>
      <c r="AF1303" s="585">
        <f t="shared" si="7155"/>
        <v>1.3937282229963266E-3</v>
      </c>
      <c r="AG1303" s="1041">
        <f t="shared" si="7155"/>
        <v>1.2589090444786066E-2</v>
      </c>
      <c r="AH1303" s="586">
        <f>+AH1292/AE1292-1</f>
        <v>7.9012162725455859E-3</v>
      </c>
      <c r="AI1303" s="586">
        <f t="shared" si="7155"/>
        <v>0.10401160940438126</v>
      </c>
      <c r="AJ1303" s="586">
        <f t="shared" si="7155"/>
        <v>6.6337160183927768E-2</v>
      </c>
      <c r="AK1303" s="586">
        <f t="shared" si="7155"/>
        <v>8.2010862939221552E-2</v>
      </c>
      <c r="AL1303" s="586">
        <f t="shared" si="7155"/>
        <v>5.7459561913468127E-2</v>
      </c>
      <c r="AM1303" s="586">
        <f t="shared" si="7155"/>
        <v>3.8328741348733653E-2</v>
      </c>
      <c r="AN1303" s="586">
        <f t="shared" si="7155"/>
        <v>4.6449569347418285E-2</v>
      </c>
      <c r="AO1303" s="586">
        <f t="shared" ref="AO1303" si="7156">+AO1292/AL1292-1</f>
        <v>3.3929142197770989E-2</v>
      </c>
      <c r="AP1303" s="586">
        <f t="shared" ref="AP1303" si="7157">+AP1292/AM1292-1</f>
        <v>2.7062023387991907E-2</v>
      </c>
      <c r="AQ1303" s="586">
        <f t="shared" ref="AQ1303" si="7158">+AQ1292/AN1292-1</f>
        <v>3.0007711351121014E-2</v>
      </c>
      <c r="AR1303" s="586">
        <f t="shared" ref="AR1303" si="7159">+AR1292/AO1292-1</f>
        <v>1.8965157493795237E-2</v>
      </c>
      <c r="AS1303" s="586">
        <f t="shared" ref="AS1303" si="7160">+AS1292/AP1292-1</f>
        <v>1.8334977889098214E-2</v>
      </c>
      <c r="AT1303" s="586">
        <f t="shared" ref="AT1303" si="7161">+AT1292/AQ1292-1</f>
        <v>1.8606326012595931E-2</v>
      </c>
      <c r="AU1303" s="586">
        <f t="shared" ref="AU1303" si="7162">+AU1292/AR1292-1</f>
        <v>1.9174089036797515E-2</v>
      </c>
      <c r="AV1303" s="586">
        <f t="shared" ref="AV1303" si="7163">+AV1292/AS1292-1</f>
        <v>1.8554193748048897E-2</v>
      </c>
      <c r="AW1303" s="586">
        <f t="shared" ref="AW1303" si="7164">+AW1292/AT1292-1</f>
        <v>1.8821207592519595E-2</v>
      </c>
      <c r="AX1303" s="586">
        <f t="shared" ref="AX1303" si="7165">+AX1292/AU1292-1</f>
        <v>1.9381944117069727E-2</v>
      </c>
      <c r="AY1303" s="586">
        <f t="shared" ref="AY1303" si="7166">+AY1292/AV1292-1</f>
        <v>1.8772152959355415E-2</v>
      </c>
      <c r="AZ1303" s="586">
        <f t="shared" ref="AZ1303" si="7167">+AZ1292/AW1292-1</f>
        <v>1.903490552413567E-2</v>
      </c>
      <c r="BA1303" s="586">
        <f t="shared" ref="BA1303" si="7168">+BA1292/AX1292-1</f>
        <v>1.9588661621265047E-2</v>
      </c>
      <c r="BB1303" s="586">
        <f t="shared" ref="BB1303" si="7169">+BB1292/AY1292-1</f>
        <v>1.8988793436849782E-2</v>
      </c>
      <c r="BC1303" s="586">
        <f t="shared" ref="BC1303" si="7170">+BC1292/AZ1292-1</f>
        <v>1.9247358323196462E-2</v>
      </c>
      <c r="BD1303" s="586">
        <f t="shared" ref="BD1303" si="7171">+BD1292/BA1292-1</f>
        <v>1.9794181891001017E-2</v>
      </c>
      <c r="BE1303" s="586">
        <f t="shared" ref="BE1303" si="7172">+BE1292/BB1292-1</f>
        <v>1.9204054780522117E-2</v>
      </c>
      <c r="BF1303" s="586">
        <f t="shared" ref="BF1303" si="7173">+BF1292/BC1292-1</f>
        <v>1.9458506088216199E-2</v>
      </c>
      <c r="BG1303" s="586">
        <f t="shared" ref="BG1303" si="7174">+BG1292/BD1292-1</f>
        <v>1.9998446790195024E-2</v>
      </c>
      <c r="BH1303" s="586">
        <f t="shared" ref="BH1303" si="7175">+BH1292/BE1292-1</f>
        <v>1.941787833820352E-2</v>
      </c>
      <c r="BI1303" s="586">
        <f t="shared" ref="BI1303" si="7176">+BI1292/BF1292-1</f>
        <v>1.966829056444297E-2</v>
      </c>
      <c r="BJ1303" s="586">
        <f t="shared" ref="BJ1303" si="7177">+BJ1292/BG1292-1</f>
        <v>2.0201399768150718E-2</v>
      </c>
      <c r="BK1303" s="586">
        <f t="shared" ref="BK1303" si="7178">+BK1292/BH1292-1</f>
        <v>1.9630207262566479E-2</v>
      </c>
      <c r="BL1303" s="586">
        <f t="shared" ref="BL1303" si="7179">+BL1292/BI1292-1</f>
        <v>1.9876655203346694E-2</v>
      </c>
      <c r="BM1303" s="586">
        <f t="shared" ref="BM1303" si="7180">+BM1292/BJ1292-1</f>
        <v>2.0402985918283711E-2</v>
      </c>
      <c r="BN1303" s="586">
        <f t="shared" ref="BN1303" si="7181">+BN1292/BK1292-1</f>
        <v>1.9840986563366414E-2</v>
      </c>
      <c r="BO1303" s="586">
        <f t="shared" ref="BO1303" si="7182">+BO1292/BL1292-1</f>
        <v>2.0083545217544518E-2</v>
      </c>
      <c r="BP1303" s="586">
        <f t="shared" ref="BP1303" si="7183">+BP1292/BM1292-1</f>
        <v>2.0603152032382832E-2</v>
      </c>
      <c r="BQ1303" s="586">
        <f t="shared" ref="BQ1303" si="7184">+BQ1292/BN1292-1</f>
        <v>2.0050163154856193E-2</v>
      </c>
      <c r="BR1303" s="586">
        <f t="shared" ref="BR1303" si="7185">+BR1292/BO1292-1</f>
        <v>2.0288907631067499E-2</v>
      </c>
    </row>
    <row r="1304" spans="3:70" s="8" customFormat="1" outlineLevel="1">
      <c r="C1304" s="469" t="s">
        <v>591</v>
      </c>
      <c r="D1304" s="7"/>
      <c r="E1304" s="7"/>
      <c r="F1304" s="7"/>
      <c r="G1304" s="7"/>
      <c r="H1304" s="590">
        <f t="shared" ref="H1304:AN1304" si="7186">(H1292-H1300-E1292)/E1292</f>
        <v>7.3439412484699422E-3</v>
      </c>
      <c r="I1304" s="590">
        <f t="shared" si="7186"/>
        <v>9.6993210475266722E-3</v>
      </c>
      <c r="J1304" s="590">
        <f t="shared" si="7186"/>
        <v>8.6580086580086268E-3</v>
      </c>
      <c r="K1304" s="590">
        <f t="shared" si="7186"/>
        <v>-3.118671526933977E-2</v>
      </c>
      <c r="L1304" s="590">
        <f t="shared" si="7186"/>
        <v>8.4534101825168073E-2</v>
      </c>
      <c r="M1304" s="590">
        <f t="shared" si="7186"/>
        <v>3.344062947067232E-2</v>
      </c>
      <c r="N1304" s="590">
        <f t="shared" si="7186"/>
        <v>8.5470085470084819E-3</v>
      </c>
      <c r="O1304" s="590">
        <f t="shared" si="7186"/>
        <v>5.0395968322534193E-2</v>
      </c>
      <c r="P1304" s="590">
        <f t="shared" si="7186"/>
        <v>3.2736856706894073E-2</v>
      </c>
      <c r="Q1304" s="590">
        <f t="shared" si="7186"/>
        <v>9.4339622641510176E-3</v>
      </c>
      <c r="R1304" s="590">
        <f t="shared" si="7186"/>
        <v>-1.1545862732520737E-2</v>
      </c>
      <c r="S1304" s="590">
        <f t="shared" si="7186"/>
        <v>-2.5688073394494995E-3</v>
      </c>
      <c r="T1304" s="590">
        <f t="shared" si="7186"/>
        <v>4.6985121378230891E-3</v>
      </c>
      <c r="U1304" s="590">
        <f t="shared" si="7186"/>
        <v>6.7881835323695489E-2</v>
      </c>
      <c r="V1304" s="590">
        <f t="shared" si="7186"/>
        <v>3.9748953974895314E-2</v>
      </c>
      <c r="W1304" s="590">
        <f t="shared" si="7186"/>
        <v>8.417770849571303E-2</v>
      </c>
      <c r="X1304" s="590">
        <f t="shared" si="7186"/>
        <v>7.2395526780459171E-2</v>
      </c>
      <c r="Y1304" s="590">
        <f t="shared" si="7186"/>
        <v>7.7464788732394249E-2</v>
      </c>
      <c r="Z1304" s="590">
        <f t="shared" si="7186"/>
        <v>0.10352264557872039</v>
      </c>
      <c r="AA1304" s="590">
        <f t="shared" si="7186"/>
        <v>8.0643980973289564E-2</v>
      </c>
      <c r="AB1304" s="590">
        <f t="shared" si="7186"/>
        <v>9.0548812117439675E-2</v>
      </c>
      <c r="AC1304" s="590">
        <f t="shared" si="7186"/>
        <v>-0.14540716612377846</v>
      </c>
      <c r="AD1304" s="590">
        <f t="shared" si="7186"/>
        <v>-7.095477386934676E-2</v>
      </c>
      <c r="AE1304" s="590">
        <f t="shared" si="7186"/>
        <v>-0.10337588652482269</v>
      </c>
      <c r="AF1304" s="590">
        <f t="shared" si="7186"/>
        <v>-7.6655052264808357E-2</v>
      </c>
      <c r="AG1304" s="1047">
        <f t="shared" si="7186"/>
        <v>3.8889641573207775E-5</v>
      </c>
      <c r="AH1304" s="590">
        <f t="shared" si="7186"/>
        <v>-3.2075439694772653E-2</v>
      </c>
      <c r="AI1304" s="590">
        <f t="shared" si="7186"/>
        <v>-2.2989086489842731E-2</v>
      </c>
      <c r="AJ1304" s="590">
        <f t="shared" si="7186"/>
        <v>3.6343270036015764E-2</v>
      </c>
      <c r="AK1304" s="590">
        <f t="shared" si="7186"/>
        <v>1.1659227158156151E-2</v>
      </c>
      <c r="AL1304" s="590">
        <f t="shared" si="7186"/>
        <v>4.3277084203654108E-2</v>
      </c>
      <c r="AM1304" s="590">
        <f t="shared" si="7186"/>
        <v>2.9960091768952771E-2</v>
      </c>
      <c r="AN1304" s="590">
        <f t="shared" si="7186"/>
        <v>3.5613012126239872E-2</v>
      </c>
      <c r="AO1304" s="590">
        <f t="shared" ref="AO1304" si="7187">(AO1292-AO1300-AL1292)/AL1292</f>
        <v>2.2007507265124918E-2</v>
      </c>
      <c r="AP1304" s="590">
        <f t="shared" ref="AP1304" si="7188">(AP1292-AP1300-AM1292)/AM1292</f>
        <v>1.9002293124809125E-2</v>
      </c>
      <c r="AQ1304" s="590">
        <f t="shared" ref="AQ1304" si="7189">(AQ1292-AQ1300-AN1292)/AN1292</f>
        <v>2.0291396075401282E-2</v>
      </c>
      <c r="AR1304" s="590">
        <f t="shared" ref="AR1304" si="7190">(AR1292-AR1300-AO1292)/AO1292</f>
        <v>1.8965157493795189E-2</v>
      </c>
      <c r="AS1304" s="590">
        <f t="shared" ref="AS1304" si="7191">(AS1292-AS1300-AP1292)/AP1292</f>
        <v>1.9206907299791413E-2</v>
      </c>
      <c r="AT1304" s="590">
        <f t="shared" ref="AT1304" si="7192">(AT1292-AT1300-AQ1292)/AQ1292</f>
        <v>1.9102812600876741E-2</v>
      </c>
      <c r="AU1304" s="590">
        <f t="shared" ref="AU1304" si="7193">(AU1292-AU1300-AR1292)/AR1292</f>
        <v>1.9174089036797591E-2</v>
      </c>
      <c r="AV1304" s="590">
        <f t="shared" ref="AV1304" si="7194">(AV1292-AV1300-AS1292)/AS1292</f>
        <v>1.9410424192475469E-2</v>
      </c>
      <c r="AW1304" s="590">
        <f t="shared" ref="AW1304" si="7195">(AW1292-AW1300-AT1292)/AT1292</f>
        <v>1.9308625131171941E-2</v>
      </c>
      <c r="AX1304" s="590">
        <f t="shared" ref="AX1304" si="7196">(AX1292-AX1300-AU1292)/AU1292</f>
        <v>1.9381944117069647E-2</v>
      </c>
      <c r="AY1304" s="590">
        <f t="shared" ref="AY1304" si="7197">(AY1292-AY1300-AV1292)/AV1292</f>
        <v>1.9612786133007085E-2</v>
      </c>
      <c r="AZ1304" s="590">
        <f t="shared" ref="AZ1304" si="7198">(AZ1292-AZ1300-AW1292)/AW1292</f>
        <v>1.9513318748183066E-2</v>
      </c>
      <c r="BA1304" s="590">
        <f t="shared" ref="BA1304" si="7199">(BA1292-BA1300-AX1292)/AX1292</f>
        <v>1.9588661621265043E-2</v>
      </c>
      <c r="BB1304" s="590">
        <f t="shared" ref="BB1304" si="7200">(BB1292-BB1300-AY1292)/AY1292</f>
        <v>1.9813936891360052E-2</v>
      </c>
      <c r="BC1304" s="590">
        <f t="shared" ref="BC1304" si="7201">(BC1292-BC1300-AZ1292)/AZ1292</f>
        <v>1.9716835101130127E-2</v>
      </c>
      <c r="BD1304" s="590">
        <f t="shared" ref="BD1304" si="7202">(BD1292-BD1300-BA1292)/BA1292</f>
        <v>1.9794181891001104E-2</v>
      </c>
      <c r="BE1304" s="590">
        <f t="shared" ref="BE1304" si="7203">(BE1292-BE1300-BB1292)/BB1292</f>
        <v>2.0013821737553346E-2</v>
      </c>
      <c r="BF1304" s="590">
        <f t="shared" ref="BF1304" si="7204">(BF1292-BF1300-BC1292)/BC1292</f>
        <v>1.9919117316786028E-2</v>
      </c>
      <c r="BG1304" s="590">
        <f t="shared" ref="BG1304" si="7205">(BG1292-BG1300-BD1292)/BD1292</f>
        <v>1.9998446790194992E-2</v>
      </c>
      <c r="BH1304" s="590">
        <f t="shared" ref="BH1304" si="7206">(BH1292-BH1300-BE1292)/BE1292</f>
        <v>2.0212387497809983E-2</v>
      </c>
      <c r="BI1304" s="590">
        <f t="shared" ref="BI1304" si="7207">(BI1292-BI1300-BF1292)/BF1292</f>
        <v>2.0120110060595955E-2</v>
      </c>
      <c r="BJ1304" s="590">
        <f t="shared" ref="BJ1304" si="7208">(BJ1292-BJ1300-BG1292)/BG1292</f>
        <v>2.0201399768150725E-2</v>
      </c>
      <c r="BK1304" s="590">
        <f t="shared" ref="BK1304" si="7209">(BK1292-BK1300-BH1292)/BH1292</f>
        <v>2.0409582606563472E-2</v>
      </c>
      <c r="BL1304" s="590">
        <f t="shared" ref="BL1304" si="7210">(BL1292-BL1300-BI1292)/BI1292</f>
        <v>2.03197595936019E-2</v>
      </c>
      <c r="BM1304" s="590">
        <f t="shared" ref="BM1304" si="7211">(BM1292-BM1300-BJ1292)/BJ1292</f>
        <v>2.040298591828376E-2</v>
      </c>
      <c r="BN1304" s="590">
        <f t="shared" ref="BN1304" si="7212">(BN1292-BN1300-BK1292)/BK1292</f>
        <v>2.0605357154239164E-2</v>
      </c>
      <c r="BO1304" s="590">
        <f t="shared" ref="BO1304" si="7213">(BO1292-BO1300-BL1292)/BL1292</f>
        <v>2.0518013825090893E-2</v>
      </c>
      <c r="BP1304" s="590">
        <f t="shared" ref="BP1304" si="7214">(BP1292-BP1300-BM1292)/BM1292</f>
        <v>2.060315203238278E-2</v>
      </c>
      <c r="BQ1304" s="590">
        <f t="shared" ref="BQ1304" si="7215">(BQ1292-BQ1300-BN1292)/BN1292</f>
        <v>2.0799662930746251E-2</v>
      </c>
      <c r="BR1304" s="590">
        <f t="shared" ref="BR1304" si="7216">(BR1292-BR1300-BO1292)/BO1292</f>
        <v>2.0714822360878907E-2</v>
      </c>
    </row>
    <row r="1305" spans="3:70" s="8" customFormat="1" outlineLevel="1">
      <c r="C1305" s="469" t="s">
        <v>590</v>
      </c>
      <c r="D1305" s="7"/>
      <c r="E1305" s="7"/>
      <c r="F1305" s="7"/>
      <c r="G1305" s="7"/>
      <c r="H1305" s="590">
        <f t="shared" ref="H1305:AN1305" si="7217">+H1300/E1292</f>
        <v>0</v>
      </c>
      <c r="I1305" s="590">
        <f t="shared" si="7217"/>
        <v>0</v>
      </c>
      <c r="J1305" s="590">
        <f t="shared" si="7217"/>
        <v>0</v>
      </c>
      <c r="K1305" s="590">
        <f t="shared" si="7217"/>
        <v>0.26326447954637505</v>
      </c>
      <c r="L1305" s="590">
        <f t="shared" si="7217"/>
        <v>0.24975984630163303</v>
      </c>
      <c r="M1305" s="590">
        <f t="shared" si="7217"/>
        <v>0.25572246065808302</v>
      </c>
      <c r="N1305" s="590">
        <f t="shared" si="7217"/>
        <v>0.14135437212360288</v>
      </c>
      <c r="O1305" s="590">
        <f t="shared" si="7217"/>
        <v>7.1994240460763137E-2</v>
      </c>
      <c r="P1305" s="590">
        <f t="shared" si="7217"/>
        <v>0.1012623110001387</v>
      </c>
      <c r="Q1305" s="590">
        <f t="shared" si="7217"/>
        <v>8.5763293310463132E-2</v>
      </c>
      <c r="R1305" s="590">
        <f t="shared" si="7217"/>
        <v>3.2071840923669021E-2</v>
      </c>
      <c r="S1305" s="590">
        <f t="shared" si="7217"/>
        <v>5.5045871559633031E-2</v>
      </c>
      <c r="T1305" s="590">
        <f t="shared" si="7217"/>
        <v>0</v>
      </c>
      <c r="U1305" s="590">
        <f t="shared" si="7217"/>
        <v>0</v>
      </c>
      <c r="V1305" s="590">
        <f t="shared" si="7217"/>
        <v>0</v>
      </c>
      <c r="W1305" s="590">
        <f t="shared" si="7217"/>
        <v>0</v>
      </c>
      <c r="X1305" s="590">
        <f t="shared" si="7217"/>
        <v>0</v>
      </c>
      <c r="Y1305" s="590">
        <f t="shared" si="7217"/>
        <v>0</v>
      </c>
      <c r="Z1305" s="590">
        <f t="shared" si="7217"/>
        <v>0</v>
      </c>
      <c r="AA1305" s="590">
        <f t="shared" si="7217"/>
        <v>1.1562385656787416E-2</v>
      </c>
      <c r="AB1305" s="590">
        <f t="shared" si="7217"/>
        <v>6.5566967527751858E-3</v>
      </c>
      <c r="AC1305" s="590">
        <f t="shared" si="7217"/>
        <v>8.0260586319218244E-2</v>
      </c>
      <c r="AD1305" s="590">
        <f t="shared" si="7217"/>
        <v>7.1959798994974872E-2</v>
      </c>
      <c r="AE1305" s="590">
        <f t="shared" si="7217"/>
        <v>7.5574468085106386E-2</v>
      </c>
      <c r="AF1305" s="590">
        <f t="shared" si="7217"/>
        <v>7.8048780487804878E-2</v>
      </c>
      <c r="AG1305" s="1047">
        <f t="shared" si="7217"/>
        <v>1.2550200803212851E-2</v>
      </c>
      <c r="AH1305" s="590">
        <f t="shared" si="7217"/>
        <v>3.997665596731835E-2</v>
      </c>
      <c r="AI1305" s="590">
        <f t="shared" si="7217"/>
        <v>0.12700069589422408</v>
      </c>
      <c r="AJ1305" s="590">
        <f t="shared" si="7217"/>
        <v>2.999389014791206E-2</v>
      </c>
      <c r="AK1305" s="590">
        <f t="shared" si="7217"/>
        <v>7.0351635781065416E-2</v>
      </c>
      <c r="AL1305" s="590">
        <f t="shared" si="7217"/>
        <v>1.4182477709814123E-2</v>
      </c>
      <c r="AM1305" s="590">
        <f t="shared" si="7217"/>
        <v>8.3686495797808819E-3</v>
      </c>
      <c r="AN1305" s="590">
        <f t="shared" si="7217"/>
        <v>1.083655722117847E-2</v>
      </c>
      <c r="AO1305" s="590">
        <f t="shared" ref="AO1305" si="7218">+AO1300/AL1292</f>
        <v>1.1921634932645973E-2</v>
      </c>
      <c r="AP1305" s="590">
        <f t="shared" ref="AP1305" si="7219">+AP1300/AM1292</f>
        <v>8.0597302631827874E-3</v>
      </c>
      <c r="AQ1305" s="590">
        <f t="shared" ref="AQ1305" si="7220">+AQ1300/AN1292</f>
        <v>9.7163152757196204E-3</v>
      </c>
      <c r="AR1305" s="590">
        <f t="shared" ref="AR1305" si="7221">+AR1300/AO1292</f>
        <v>0</v>
      </c>
      <c r="AS1305" s="590">
        <f t="shared" ref="AS1305" si="7222">+AS1300/AP1292</f>
        <v>-8.719294106932302E-4</v>
      </c>
      <c r="AT1305" s="590">
        <f t="shared" ref="AT1305" si="7223">+AT1300/AQ1292</f>
        <v>-4.9648658828072858E-4</v>
      </c>
      <c r="AU1305" s="590">
        <f t="shared" ref="AU1305" si="7224">+AU1300/AR1292</f>
        <v>0</v>
      </c>
      <c r="AV1305" s="590">
        <f t="shared" ref="AV1305" si="7225">+AV1300/AS1292</f>
        <v>-8.5623044442669394E-4</v>
      </c>
      <c r="AW1305" s="590">
        <f t="shared" ref="AW1305" si="7226">+AW1300/AT1292</f>
        <v>-4.874175386523066E-4</v>
      </c>
      <c r="AX1305" s="590">
        <f t="shared" ref="AX1305" si="7227">+AX1300/AU1292</f>
        <v>0</v>
      </c>
      <c r="AY1305" s="590">
        <f t="shared" ref="AY1305" si="7228">+AY1300/AV1292</f>
        <v>-8.4063317365172269E-4</v>
      </c>
      <c r="AZ1305" s="590">
        <f t="shared" ref="AZ1305" si="7229">+AZ1300/AW1292</f>
        <v>-4.7841322404750192E-4</v>
      </c>
      <c r="BA1305" s="590">
        <f t="shared" ref="BA1305" si="7230">+BA1300/AX1292</f>
        <v>0</v>
      </c>
      <c r="BB1305" s="590">
        <f t="shared" ref="BB1305" si="7231">+BB1300/AY1292</f>
        <v>-8.2514345451024549E-4</v>
      </c>
      <c r="BC1305" s="590">
        <f t="shared" ref="BC1305" si="7232">+BC1300/AZ1292</f>
        <v>-4.6947677793375726E-4</v>
      </c>
      <c r="BD1305" s="590">
        <f t="shared" ref="BD1305" si="7233">+BD1300/BA1292</f>
        <v>0</v>
      </c>
      <c r="BE1305" s="590">
        <f t="shared" ref="BE1305" si="7234">+BE1300/BB1292</f>
        <v>-8.0976695703119373E-4</v>
      </c>
      <c r="BF1305" s="590">
        <f t="shared" ref="BF1305" si="7235">+BF1300/BC1292</f>
        <v>-4.6061122856978689E-4</v>
      </c>
      <c r="BG1305" s="590">
        <f t="shared" ref="BG1305" si="7236">+BG1300/BD1292</f>
        <v>0</v>
      </c>
      <c r="BH1305" s="590">
        <f t="shared" ref="BH1305" si="7237">+BH1300/BE1292</f>
        <v>-7.9450915960648405E-4</v>
      </c>
      <c r="BI1305" s="590">
        <f t="shared" ref="BI1305" si="7238">+BI1300/BF1292</f>
        <v>-4.5181949615311664E-4</v>
      </c>
      <c r="BJ1305" s="590">
        <f t="shared" ref="BJ1305" si="7239">+BJ1300/BG1292</f>
        <v>0</v>
      </c>
      <c r="BK1305" s="590">
        <f t="shared" ref="BK1305" si="7240">+BK1300/BH1292</f>
        <v>-7.7937534399695571E-4</v>
      </c>
      <c r="BL1305" s="590">
        <f t="shared" ref="BL1305" si="7241">+BL1300/BI1292</f>
        <v>-4.4310439025519713E-4</v>
      </c>
      <c r="BM1305" s="590">
        <f t="shared" ref="BM1305" si="7242">+BM1300/BJ1292</f>
        <v>0</v>
      </c>
      <c r="BN1305" s="590">
        <f t="shared" ref="BN1305" si="7243">+BN1300/BK1292</f>
        <v>-7.6437059087271382E-4</v>
      </c>
      <c r="BO1305" s="590">
        <f t="shared" ref="BO1305" si="7244">+BO1300/BL1292</f>
        <v>-4.3446860754632079E-4</v>
      </c>
      <c r="BP1305" s="590">
        <f t="shared" ref="BP1305" si="7245">+BP1300/BM1292</f>
        <v>0</v>
      </c>
      <c r="BQ1305" s="590">
        <f t="shared" ref="BQ1305" si="7246">+BQ1300/BN1292</f>
        <v>-7.4949977589003347E-4</v>
      </c>
      <c r="BR1305" s="590">
        <f t="shared" ref="BR1305" si="7247">+BR1300/BO1292</f>
        <v>-4.2591472981133647E-4</v>
      </c>
    </row>
    <row r="1306" spans="3:70" s="8" customFormat="1" outlineLevel="1">
      <c r="C1306" s="474" t="s">
        <v>657</v>
      </c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AE1306" s="409"/>
      <c r="AF1306" s="590"/>
      <c r="AG1306" s="1047"/>
      <c r="AH1306" s="590"/>
      <c r="AI1306" s="590"/>
      <c r="AJ1306" s="590"/>
      <c r="AK1306" s="590"/>
      <c r="AL1306" s="590"/>
      <c r="AM1306" s="590"/>
      <c r="AN1306" s="590"/>
    </row>
    <row r="1307" spans="3:70" s="8" customFormat="1" outlineLevel="1">
      <c r="C1307" s="95" t="s">
        <v>588</v>
      </c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AE1307" s="409"/>
      <c r="AF1307" s="590"/>
      <c r="AG1307" s="1047"/>
      <c r="AH1307" s="590"/>
      <c r="AI1307" s="590"/>
      <c r="AJ1307" s="590"/>
      <c r="AK1307" s="590"/>
      <c r="AL1307" s="590"/>
      <c r="AM1307" s="590"/>
      <c r="AN1307" s="590"/>
    </row>
    <row r="1308" spans="3:70" s="8" customFormat="1" outlineLevel="1">
      <c r="C1308" s="469" t="s">
        <v>57</v>
      </c>
      <c r="D1308" s="7" t="s">
        <v>58</v>
      </c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AE1308" s="409"/>
      <c r="AF1308" s="603">
        <f>+AF1325+AF1333+AF1317</f>
        <v>0.71500000000000019</v>
      </c>
      <c r="AG1308" s="1050">
        <f>+AG1325+AG1333+AG1317</f>
        <v>1.4300000000000004</v>
      </c>
      <c r="AH1308" s="603">
        <f>+AG1308+AF1308</f>
        <v>2.1450000000000005</v>
      </c>
      <c r="AI1308" s="603">
        <f t="shared" ref="AI1308:AJ1308" si="7248">+AI1325+AI1333+AI1317</f>
        <v>1.0725000000000002</v>
      </c>
      <c r="AJ1308" s="603">
        <f t="shared" si="7248"/>
        <v>0.71500000000000008</v>
      </c>
      <c r="AK1308" s="603">
        <f t="shared" ref="AK1308" si="7249">+AJ1308+AI1308</f>
        <v>1.7875000000000003</v>
      </c>
      <c r="AL1308" s="603">
        <f t="shared" ref="AL1308:AM1308" si="7250">+AL1325+AL1333+AL1317</f>
        <v>0.71500000000000019</v>
      </c>
      <c r="AM1308" s="603">
        <f t="shared" si="7250"/>
        <v>0.7150000000000003</v>
      </c>
      <c r="AN1308" s="603">
        <f t="shared" ref="AN1308" si="7251">+AM1308+AL1308</f>
        <v>1.4300000000000006</v>
      </c>
      <c r="AO1308" s="603">
        <f t="shared" ref="AO1308:AP1308" si="7252">+AO1325+AO1333+AO1317</f>
        <v>0.35750000000000015</v>
      </c>
      <c r="AP1308" s="603">
        <f t="shared" si="7252"/>
        <v>0</v>
      </c>
      <c r="AQ1308" s="603">
        <f t="shared" ref="AQ1308" si="7253">+AP1308+AO1308</f>
        <v>0.35750000000000015</v>
      </c>
      <c r="AR1308" s="603">
        <f t="shared" ref="AR1308:AS1308" si="7254">+AR1325+AR1333+AR1317</f>
        <v>0</v>
      </c>
      <c r="AS1308" s="603">
        <f t="shared" si="7254"/>
        <v>0</v>
      </c>
      <c r="AT1308" s="603">
        <f t="shared" ref="AT1308" si="7255">+AS1308+AR1308</f>
        <v>0</v>
      </c>
      <c r="AU1308" s="603">
        <f t="shared" ref="AU1308:AV1308" si="7256">+AU1325+AU1333+AU1317</f>
        <v>0</v>
      </c>
      <c r="AV1308" s="603">
        <f t="shared" si="7256"/>
        <v>0</v>
      </c>
      <c r="AW1308" s="603">
        <f t="shared" ref="AW1308" si="7257">+AV1308+AU1308</f>
        <v>0</v>
      </c>
      <c r="AX1308" s="603">
        <f t="shared" ref="AX1308:AY1308" si="7258">+AX1325+AX1333+AX1317</f>
        <v>0</v>
      </c>
      <c r="AY1308" s="603">
        <f t="shared" si="7258"/>
        <v>0</v>
      </c>
      <c r="AZ1308" s="603">
        <f t="shared" ref="AZ1308" si="7259">+AY1308+AX1308</f>
        <v>0</v>
      </c>
      <c r="BA1308" s="603">
        <f t="shared" ref="BA1308:BB1308" si="7260">+BA1325+BA1333+BA1317</f>
        <v>0</v>
      </c>
      <c r="BB1308" s="603">
        <f t="shared" si="7260"/>
        <v>0</v>
      </c>
      <c r="BC1308" s="603">
        <f t="shared" ref="BC1308" si="7261">+BB1308+BA1308</f>
        <v>0</v>
      </c>
      <c r="BD1308" s="603">
        <f t="shared" ref="BD1308:BE1308" si="7262">+BD1325+BD1333+BD1317</f>
        <v>0</v>
      </c>
      <c r="BE1308" s="603">
        <f t="shared" si="7262"/>
        <v>0</v>
      </c>
      <c r="BF1308" s="603">
        <f t="shared" ref="BF1308" si="7263">+BE1308+BD1308</f>
        <v>0</v>
      </c>
      <c r="BG1308" s="603">
        <f t="shared" ref="BG1308:BH1308" si="7264">+BG1325+BG1333+BG1317</f>
        <v>0</v>
      </c>
      <c r="BH1308" s="603">
        <f t="shared" si="7264"/>
        <v>0</v>
      </c>
      <c r="BI1308" s="603">
        <f t="shared" ref="BI1308" si="7265">+BH1308+BG1308</f>
        <v>0</v>
      </c>
      <c r="BJ1308" s="603">
        <f t="shared" ref="BJ1308:BK1308" si="7266">+BJ1325+BJ1333+BJ1317</f>
        <v>0</v>
      </c>
      <c r="BK1308" s="603">
        <f t="shared" si="7266"/>
        <v>0</v>
      </c>
      <c r="BL1308" s="603">
        <f t="shared" ref="BL1308" si="7267">+BK1308+BJ1308</f>
        <v>0</v>
      </c>
      <c r="BM1308" s="603">
        <f t="shared" ref="BM1308:BN1308" si="7268">+BM1325+BM1333+BM1317</f>
        <v>0</v>
      </c>
      <c r="BN1308" s="603">
        <f t="shared" si="7268"/>
        <v>0</v>
      </c>
      <c r="BO1308" s="603">
        <f t="shared" ref="BO1308" si="7269">+BN1308+BM1308</f>
        <v>0</v>
      </c>
      <c r="BP1308" s="603">
        <f t="shared" ref="BP1308:BQ1308" si="7270">+BP1325+BP1333+BP1317</f>
        <v>0</v>
      </c>
      <c r="BQ1308" s="603">
        <f t="shared" si="7270"/>
        <v>0</v>
      </c>
      <c r="BR1308" s="603">
        <f t="shared" ref="BR1308" si="7271">+BQ1308+BP1308</f>
        <v>0</v>
      </c>
    </row>
    <row r="1309" spans="3:70" s="8" customFormat="1" outlineLevel="1">
      <c r="C1309" s="584" t="s">
        <v>589</v>
      </c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AE1309" s="409"/>
      <c r="AF1309" s="590"/>
      <c r="AG1309" s="1047"/>
      <c r="AH1309" s="590"/>
      <c r="AI1309" s="590"/>
      <c r="AJ1309" s="590"/>
      <c r="AK1309" s="590"/>
      <c r="AL1309" s="590"/>
      <c r="AM1309" s="590"/>
      <c r="AN1309" s="590"/>
    </row>
    <row r="1310" spans="3:70" s="8" customFormat="1" outlineLevel="2">
      <c r="C1310" s="584" t="s">
        <v>678</v>
      </c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AE1310" s="409"/>
      <c r="AF1310" s="590"/>
      <c r="AG1310" s="1047"/>
      <c r="AH1310" s="590"/>
      <c r="AI1310" s="590"/>
      <c r="AJ1310" s="590"/>
      <c r="AK1310" s="590"/>
      <c r="AL1310" s="590"/>
      <c r="AM1310" s="590"/>
      <c r="AN1310" s="590"/>
    </row>
    <row r="1311" spans="3:70" s="8" customFormat="1" outlineLevel="2">
      <c r="C1311" s="108" t="s">
        <v>552</v>
      </c>
      <c r="D1311" s="7" t="s">
        <v>58</v>
      </c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AE1311" s="409"/>
      <c r="AF1311" s="590"/>
      <c r="AG1311" s="1047"/>
      <c r="AH1311" s="590"/>
      <c r="AI1311" s="590"/>
      <c r="AJ1311" s="590"/>
      <c r="AK1311" s="590"/>
      <c r="AL1311" s="590"/>
      <c r="AM1311" s="590"/>
      <c r="AN1311" s="590"/>
    </row>
    <row r="1312" spans="3:70" s="8" customFormat="1" outlineLevel="2">
      <c r="C1312" s="108" t="s">
        <v>55</v>
      </c>
      <c r="D1312" s="7" t="s">
        <v>58</v>
      </c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AE1312" s="409"/>
      <c r="AF1312" s="590"/>
      <c r="AG1312" s="1047"/>
      <c r="AH1312" s="590"/>
      <c r="AI1312" s="590"/>
      <c r="AJ1312" s="590"/>
      <c r="AK1312" s="590"/>
      <c r="AL1312" s="590"/>
      <c r="AM1312" s="590"/>
      <c r="AN1312" s="590"/>
    </row>
    <row r="1313" spans="2:70" s="8" customFormat="1" outlineLevel="2">
      <c r="C1313" s="108" t="s">
        <v>57</v>
      </c>
      <c r="D1313" s="7" t="s">
        <v>58</v>
      </c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AE1313" s="409"/>
      <c r="AF1313" s="590"/>
      <c r="AG1313" s="1047"/>
      <c r="AH1313" s="590"/>
      <c r="AI1313" s="590"/>
      <c r="AJ1313" s="590"/>
      <c r="AK1313" s="590"/>
      <c r="AL1313" s="590"/>
      <c r="AM1313" s="590"/>
      <c r="AN1313" s="590"/>
    </row>
    <row r="1314" spans="2:70" s="8" customFormat="1" outlineLevel="2">
      <c r="C1314" s="108" t="s">
        <v>553</v>
      </c>
      <c r="D1314" s="7" t="s">
        <v>66</v>
      </c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AE1314" s="409"/>
      <c r="AF1314" s="590"/>
      <c r="AG1314" s="1047"/>
      <c r="AH1314" s="590"/>
      <c r="AI1314" s="590"/>
      <c r="AJ1314" s="590"/>
      <c r="AK1314" s="590"/>
      <c r="AL1314" s="590"/>
      <c r="AM1314" s="590"/>
      <c r="AN1314" s="590"/>
    </row>
    <row r="1315" spans="2:70" s="8" customFormat="1" outlineLevel="2">
      <c r="C1315" s="620" t="s">
        <v>587</v>
      </c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AE1315" s="409"/>
      <c r="AF1315" s="590"/>
      <c r="AG1315" s="1047"/>
      <c r="AH1315" s="590"/>
      <c r="AI1315" s="590"/>
      <c r="AJ1315" s="590"/>
      <c r="AK1315" s="590"/>
      <c r="AL1315" s="590"/>
      <c r="AM1315" s="590"/>
      <c r="AN1315" s="590"/>
    </row>
    <row r="1316" spans="2:70" s="8" customFormat="1" outlineLevel="2">
      <c r="C1316" s="477" t="s">
        <v>55</v>
      </c>
      <c r="D1316" s="7" t="s">
        <v>58</v>
      </c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AE1316" s="409"/>
      <c r="AF1316" s="590"/>
      <c r="AG1316" s="1047"/>
      <c r="AH1316" s="590"/>
      <c r="AI1316" s="590"/>
      <c r="AJ1316" s="590"/>
      <c r="AK1316" s="590"/>
      <c r="AL1316" s="590"/>
      <c r="AM1316" s="590"/>
      <c r="AN1316" s="590"/>
    </row>
    <row r="1317" spans="2:70" s="8" customFormat="1" outlineLevel="2">
      <c r="C1317" s="477" t="s">
        <v>57</v>
      </c>
      <c r="D1317" s="7" t="s">
        <v>58</v>
      </c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AE1317" s="409"/>
      <c r="AF1317" s="590"/>
      <c r="AG1317" s="1047"/>
      <c r="AH1317" s="590"/>
      <c r="AI1317" s="590"/>
      <c r="AJ1317" s="590"/>
      <c r="AK1317" s="590"/>
      <c r="AL1317" s="590"/>
      <c r="AM1317" s="590"/>
      <c r="AN1317" s="590"/>
    </row>
    <row r="1318" spans="2:70" outlineLevel="2">
      <c r="B1318" s="5"/>
      <c r="C1318" s="95" t="s">
        <v>554</v>
      </c>
    </row>
    <row r="1319" spans="2:70" outlineLevel="2">
      <c r="B1319" s="5"/>
      <c r="C1319" s="108" t="s">
        <v>552</v>
      </c>
      <c r="D1319" s="7" t="s">
        <v>58</v>
      </c>
      <c r="AE1319" s="390">
        <f>-(AE1183-100%)*AE1170/2</f>
        <v>14.300000000000002</v>
      </c>
      <c r="AF1319" s="168"/>
      <c r="AG1319" s="964"/>
      <c r="AH1319" s="30"/>
      <c r="AI1319" s="30"/>
      <c r="AJ1319" s="30"/>
      <c r="AK1319" s="30"/>
      <c r="AL1319" s="30"/>
      <c r="AM1319" s="30"/>
      <c r="AN1319" s="30"/>
    </row>
    <row r="1320" spans="2:70" outlineLevel="2">
      <c r="B1320" s="5"/>
      <c r="C1320" s="108" t="s">
        <v>55</v>
      </c>
      <c r="D1320" s="7" t="s">
        <v>58</v>
      </c>
      <c r="AE1320" s="168"/>
      <c r="AF1320" s="172"/>
      <c r="AG1320" s="1016"/>
      <c r="AH1320" s="39"/>
      <c r="AI1320" s="39"/>
      <c r="AJ1320" s="39"/>
      <c r="AK1320" s="39"/>
      <c r="AL1320" s="39"/>
      <c r="AM1320" s="39"/>
      <c r="AN1320" s="39"/>
    </row>
    <row r="1321" spans="2:70" outlineLevel="2">
      <c r="B1321" s="5"/>
      <c r="C1321" s="108" t="s">
        <v>57</v>
      </c>
      <c r="D1321" s="7" t="s">
        <v>58</v>
      </c>
      <c r="AE1321" s="168"/>
      <c r="AF1321" s="493">
        <f>AF1322*$AE$1319/2</f>
        <v>0.71500000000000019</v>
      </c>
      <c r="AG1321" s="1023">
        <f>AG1322*$AE$1319/2</f>
        <v>0.71500000000000019</v>
      </c>
      <c r="AH1321" s="410">
        <f>AF1321+AG1321</f>
        <v>1.4300000000000004</v>
      </c>
      <c r="AI1321" s="410">
        <f>AI1322*$AE$1319/2</f>
        <v>1.0725000000000002</v>
      </c>
      <c r="AJ1321" s="410">
        <f>AJ1322*$AE$1319/2</f>
        <v>1.0725000000000002</v>
      </c>
      <c r="AK1321" s="410">
        <f>AI1321+AJ1321</f>
        <v>2.1450000000000005</v>
      </c>
      <c r="AL1321" s="410">
        <f>AL1322*$AE$1319/2</f>
        <v>1.4300000000000004</v>
      </c>
      <c r="AM1321" s="410">
        <f>AM1322*$AE$1319/2</f>
        <v>1.4300000000000004</v>
      </c>
      <c r="AN1321" s="410">
        <f>AL1321+AM1321</f>
        <v>2.8600000000000008</v>
      </c>
      <c r="AO1321" s="28">
        <f>AO1322*$AE$1319/2</f>
        <v>1.4300000000000004</v>
      </c>
      <c r="AP1321" s="28">
        <f>AP1322*$AE$1319/2</f>
        <v>1.4300000000000004</v>
      </c>
      <c r="AQ1321" s="28">
        <f>AO1321+AP1321</f>
        <v>2.8600000000000008</v>
      </c>
      <c r="AR1321" s="28">
        <f>AR1322*$AE$1319/2</f>
        <v>1.4300000000000004</v>
      </c>
      <c r="AS1321" s="28">
        <f>AS1322*$AE$1319/2</f>
        <v>1.4300000000000004</v>
      </c>
      <c r="AT1321" s="28">
        <f>AR1321+AS1321</f>
        <v>2.8600000000000008</v>
      </c>
      <c r="AU1321" s="28">
        <f>AU1322*$AE$1319/2</f>
        <v>1.4300000000000004</v>
      </c>
      <c r="AV1321" s="28">
        <f>AV1322*$AE$1319/2</f>
        <v>1.4300000000000004</v>
      </c>
      <c r="AW1321" s="28">
        <f>AU1321+AV1321</f>
        <v>2.8600000000000008</v>
      </c>
      <c r="AX1321" s="28">
        <f>AX1322*$AE$1319/2</f>
        <v>1.4300000000000004</v>
      </c>
      <c r="AY1321" s="28">
        <f>AY1322*$AE$1319/2</f>
        <v>1.4300000000000004</v>
      </c>
      <c r="AZ1321" s="28">
        <f>AX1321+AY1321</f>
        <v>2.8600000000000008</v>
      </c>
      <c r="BA1321" s="28">
        <f>BA1322*$AE$1319/2</f>
        <v>1.4300000000000004</v>
      </c>
      <c r="BB1321" s="28">
        <f>BB1322*$AE$1319/2</f>
        <v>1.4300000000000004</v>
      </c>
      <c r="BC1321" s="28">
        <f>BA1321+BB1321</f>
        <v>2.8600000000000008</v>
      </c>
      <c r="BD1321" s="28">
        <f>BD1322*$AE$1319/2</f>
        <v>1.4300000000000004</v>
      </c>
      <c r="BE1321" s="28">
        <f>BE1322*$AE$1319/2</f>
        <v>1.4300000000000004</v>
      </c>
      <c r="BF1321" s="28">
        <f>BD1321+BE1321</f>
        <v>2.8600000000000008</v>
      </c>
      <c r="BG1321" s="28">
        <f>BG1322*$AE$1319/2</f>
        <v>1.4300000000000004</v>
      </c>
      <c r="BH1321" s="28">
        <f>BH1322*$AE$1319/2</f>
        <v>1.4300000000000004</v>
      </c>
      <c r="BI1321" s="28">
        <f>BG1321+BH1321</f>
        <v>2.8600000000000008</v>
      </c>
      <c r="BJ1321" s="28">
        <f>BJ1322*$AE$1319/2</f>
        <v>1.4300000000000004</v>
      </c>
      <c r="BK1321" s="28">
        <f>BK1322*$AE$1319/2</f>
        <v>1.4300000000000004</v>
      </c>
      <c r="BL1321" s="28">
        <f>BJ1321+BK1321</f>
        <v>2.8600000000000008</v>
      </c>
      <c r="BM1321" s="28">
        <f>BM1322*$AE$1319/2</f>
        <v>1.4300000000000004</v>
      </c>
      <c r="BN1321" s="28">
        <f>BN1322*$AE$1319/2</f>
        <v>1.4300000000000004</v>
      </c>
      <c r="BO1321" s="28">
        <f>BM1321+BN1321</f>
        <v>2.8600000000000008</v>
      </c>
      <c r="BP1321" s="28">
        <f>BP1322*$AE$1319/2</f>
        <v>1.4300000000000004</v>
      </c>
      <c r="BQ1321" s="28">
        <f>BQ1322*$AE$1319/2</f>
        <v>1.4300000000000004</v>
      </c>
      <c r="BR1321" s="28">
        <f>BP1321+BQ1321</f>
        <v>2.8600000000000008</v>
      </c>
    </row>
    <row r="1322" spans="2:70" outlineLevel="2">
      <c r="B1322" s="5"/>
      <c r="C1322" s="108" t="s">
        <v>553</v>
      </c>
      <c r="D1322" s="7" t="s">
        <v>66</v>
      </c>
      <c r="AF1322" s="166">
        <v>0.1</v>
      </c>
      <c r="AG1322" s="983">
        <v>0.1</v>
      </c>
      <c r="AH1322" s="20">
        <f>AH1321/$AE$1319</f>
        <v>0.1</v>
      </c>
      <c r="AI1322" s="87">
        <v>0.15</v>
      </c>
      <c r="AJ1322" s="87">
        <v>0.15</v>
      </c>
      <c r="AK1322" s="20">
        <f>AK1321/$AE$1319</f>
        <v>0.15</v>
      </c>
      <c r="AL1322" s="87">
        <v>0.2</v>
      </c>
      <c r="AM1322" s="87">
        <v>0.2</v>
      </c>
      <c r="AN1322" s="20">
        <f>AN1321/$AE$1319</f>
        <v>0.2</v>
      </c>
      <c r="AO1322" s="87">
        <v>0.2</v>
      </c>
      <c r="AP1322" s="87">
        <v>0.2</v>
      </c>
      <c r="AQ1322" s="20">
        <f>AQ1321/$AE$1319</f>
        <v>0.2</v>
      </c>
      <c r="AR1322" s="87">
        <v>0.2</v>
      </c>
      <c r="AS1322" s="87">
        <v>0.2</v>
      </c>
      <c r="AT1322" s="20">
        <f>AT1321/$AE$1319</f>
        <v>0.2</v>
      </c>
      <c r="AU1322" s="87">
        <v>0.2</v>
      </c>
      <c r="AV1322" s="87">
        <v>0.2</v>
      </c>
      <c r="AW1322" s="20">
        <f>AW1321/$AE$1319</f>
        <v>0.2</v>
      </c>
      <c r="AX1322" s="87">
        <v>0.2</v>
      </c>
      <c r="AY1322" s="87">
        <v>0.2</v>
      </c>
      <c r="AZ1322" s="20">
        <f>AZ1321/$AE$1319</f>
        <v>0.2</v>
      </c>
      <c r="BA1322" s="87">
        <v>0.2</v>
      </c>
      <c r="BB1322" s="87">
        <v>0.2</v>
      </c>
      <c r="BC1322" s="20">
        <f>BC1321/$AE$1319</f>
        <v>0.2</v>
      </c>
      <c r="BD1322" s="87">
        <v>0.2</v>
      </c>
      <c r="BE1322" s="87">
        <v>0.2</v>
      </c>
      <c r="BF1322" s="20">
        <f>BF1321/$AE$1319</f>
        <v>0.2</v>
      </c>
      <c r="BG1322" s="87">
        <v>0.2</v>
      </c>
      <c r="BH1322" s="87">
        <v>0.2</v>
      </c>
      <c r="BI1322" s="20">
        <f>BI1321/$AE$1319</f>
        <v>0.2</v>
      </c>
      <c r="BJ1322" s="87">
        <v>0.2</v>
      </c>
      <c r="BK1322" s="87">
        <v>0.2</v>
      </c>
      <c r="BL1322" s="20">
        <f>BL1321/$AE$1319</f>
        <v>0.2</v>
      </c>
      <c r="BM1322" s="87">
        <v>0.2</v>
      </c>
      <c r="BN1322" s="87">
        <v>0.2</v>
      </c>
      <c r="BO1322" s="20">
        <f>BO1321/$AE$1319</f>
        <v>0.2</v>
      </c>
      <c r="BP1322" s="87">
        <v>0.2</v>
      </c>
      <c r="BQ1322" s="87">
        <v>0.2</v>
      </c>
      <c r="BR1322" s="20">
        <f>BR1321/$AE$1319</f>
        <v>0.2</v>
      </c>
    </row>
    <row r="1323" spans="2:70" outlineLevel="2">
      <c r="B1323" s="5"/>
      <c r="C1323" s="620" t="s">
        <v>587</v>
      </c>
      <c r="AF1323" s="166"/>
      <c r="AG1323" s="983"/>
      <c r="AH1323" s="17"/>
      <c r="AI1323" s="87"/>
      <c r="AJ1323" s="87"/>
      <c r="AK1323" s="17"/>
      <c r="AL1323" s="87"/>
      <c r="AM1323" s="87"/>
      <c r="AN1323" s="17"/>
    </row>
    <row r="1324" spans="2:70" outlineLevel="2">
      <c r="B1324" s="5"/>
      <c r="C1324" s="477" t="s">
        <v>55</v>
      </c>
      <c r="D1324" s="7" t="s">
        <v>58</v>
      </c>
      <c r="AF1324" s="376">
        <f>+AF1320-AC1320</f>
        <v>0</v>
      </c>
      <c r="AG1324" s="1002">
        <f>+AG1320-AD1320</f>
        <v>0</v>
      </c>
      <c r="AH1324" s="376">
        <f>+AG1324+AF1324</f>
        <v>0</v>
      </c>
      <c r="AI1324" s="376">
        <f>+AI1320-AF1320</f>
        <v>0</v>
      </c>
      <c r="AJ1324" s="376">
        <f>+AJ1320-AG1320</f>
        <v>0</v>
      </c>
      <c r="AK1324" s="376">
        <f t="shared" ref="AK1324" si="7272">+AJ1324+AI1324</f>
        <v>0</v>
      </c>
      <c r="AL1324" s="376">
        <f>+AL1320-AI1320</f>
        <v>0</v>
      </c>
      <c r="AM1324" s="376">
        <f>+AM1320-AJ1320</f>
        <v>0</v>
      </c>
      <c r="AN1324" s="376">
        <f t="shared" ref="AN1324" si="7273">+AM1324+AL1324</f>
        <v>0</v>
      </c>
      <c r="AO1324" s="376">
        <f>+AO1320-AL1320</f>
        <v>0</v>
      </c>
      <c r="AP1324" s="376">
        <f>+AP1320-AM1320</f>
        <v>0</v>
      </c>
      <c r="AQ1324" s="376">
        <f t="shared" ref="AQ1324" si="7274">+AP1324+AO1324</f>
        <v>0</v>
      </c>
      <c r="AR1324" s="376">
        <f>+AR1320-AO1320</f>
        <v>0</v>
      </c>
      <c r="AS1324" s="376">
        <f>+AS1320-AP1320</f>
        <v>0</v>
      </c>
      <c r="AT1324" s="376">
        <f t="shared" ref="AT1324:AT1325" si="7275">+AS1324+AR1324</f>
        <v>0</v>
      </c>
      <c r="AU1324" s="376">
        <f>+AU1320-AR1320</f>
        <v>0</v>
      </c>
      <c r="AV1324" s="376">
        <f>+AV1320-AS1320</f>
        <v>0</v>
      </c>
      <c r="AW1324" s="376">
        <f t="shared" ref="AW1324:AW1325" si="7276">+AV1324+AU1324</f>
        <v>0</v>
      </c>
      <c r="AX1324" s="376">
        <f>+AX1320-AU1320</f>
        <v>0</v>
      </c>
      <c r="AY1324" s="376">
        <f>+AY1320-AV1320</f>
        <v>0</v>
      </c>
      <c r="AZ1324" s="376">
        <f t="shared" ref="AZ1324:AZ1325" si="7277">+AY1324+AX1324</f>
        <v>0</v>
      </c>
      <c r="BA1324" s="376">
        <f>+BA1320-AX1320</f>
        <v>0</v>
      </c>
      <c r="BB1324" s="376">
        <f>+BB1320-AY1320</f>
        <v>0</v>
      </c>
      <c r="BC1324" s="376">
        <f t="shared" ref="BC1324:BC1325" si="7278">+BB1324+BA1324</f>
        <v>0</v>
      </c>
      <c r="BD1324" s="376">
        <f>+BD1320-BA1320</f>
        <v>0</v>
      </c>
      <c r="BE1324" s="376">
        <f>+BE1320-BB1320</f>
        <v>0</v>
      </c>
      <c r="BF1324" s="376">
        <f t="shared" ref="BF1324:BF1325" si="7279">+BE1324+BD1324</f>
        <v>0</v>
      </c>
      <c r="BG1324" s="376">
        <f>+BG1320-BD1320</f>
        <v>0</v>
      </c>
      <c r="BH1324" s="376">
        <f>+BH1320-BE1320</f>
        <v>0</v>
      </c>
      <c r="BI1324" s="376">
        <f t="shared" ref="BI1324:BI1325" si="7280">+BH1324+BG1324</f>
        <v>0</v>
      </c>
      <c r="BJ1324" s="376">
        <f>+BJ1320-BG1320</f>
        <v>0</v>
      </c>
      <c r="BK1324" s="376">
        <f>+BK1320-BH1320</f>
        <v>0</v>
      </c>
      <c r="BL1324" s="376">
        <f t="shared" ref="BL1324:BL1325" si="7281">+BK1324+BJ1324</f>
        <v>0</v>
      </c>
      <c r="BM1324" s="376">
        <f>+BM1320-BJ1320</f>
        <v>0</v>
      </c>
      <c r="BN1324" s="376">
        <f>+BN1320-BK1320</f>
        <v>0</v>
      </c>
      <c r="BO1324" s="376">
        <f t="shared" ref="BO1324:BO1325" si="7282">+BN1324+BM1324</f>
        <v>0</v>
      </c>
      <c r="BP1324" s="376">
        <f>+BP1320-BM1320</f>
        <v>0</v>
      </c>
      <c r="BQ1324" s="376">
        <f>+BQ1320-BN1320</f>
        <v>0</v>
      </c>
      <c r="BR1324" s="376">
        <f t="shared" ref="BR1324:BR1325" si="7283">+BQ1324+BP1324</f>
        <v>0</v>
      </c>
    </row>
    <row r="1325" spans="2:70" outlineLevel="2">
      <c r="B1325" s="5"/>
      <c r="C1325" s="477" t="s">
        <v>57</v>
      </c>
      <c r="D1325" s="7" t="s">
        <v>58</v>
      </c>
      <c r="AF1325" s="376">
        <f>+AF1321-AC1321</f>
        <v>0.71500000000000019</v>
      </c>
      <c r="AG1325" s="1002">
        <f>+AG1321-AD1321</f>
        <v>0.71500000000000019</v>
      </c>
      <c r="AH1325" s="376">
        <f>+AG1325+AF1325</f>
        <v>1.4300000000000004</v>
      </c>
      <c r="AI1325" s="376">
        <f>+AI1321-AF1321</f>
        <v>0.35750000000000004</v>
      </c>
      <c r="AJ1325" s="376">
        <f>+AJ1321-AG1321</f>
        <v>0.35750000000000004</v>
      </c>
      <c r="AK1325" s="376">
        <f t="shared" ref="AK1325" si="7284">+AJ1325+AI1325</f>
        <v>0.71500000000000008</v>
      </c>
      <c r="AL1325" s="376">
        <f>+AL1321-AI1321</f>
        <v>0.35750000000000015</v>
      </c>
      <c r="AM1325" s="376">
        <f>+AM1321-AJ1321</f>
        <v>0.35750000000000015</v>
      </c>
      <c r="AN1325" s="376">
        <f t="shared" ref="AN1325" si="7285">+AM1325+AL1325</f>
        <v>0.7150000000000003</v>
      </c>
      <c r="AO1325" s="376">
        <f>+AO1321-AL1321</f>
        <v>0</v>
      </c>
      <c r="AP1325" s="376">
        <f>+AP1321-AM1321</f>
        <v>0</v>
      </c>
      <c r="AQ1325" s="376">
        <f t="shared" ref="AQ1325" si="7286">+AP1325+AO1325</f>
        <v>0</v>
      </c>
      <c r="AR1325" s="376">
        <f>+AR1321-AO1321</f>
        <v>0</v>
      </c>
      <c r="AS1325" s="376">
        <f>+AS1321-AP1321</f>
        <v>0</v>
      </c>
      <c r="AT1325" s="376">
        <f t="shared" si="7275"/>
        <v>0</v>
      </c>
      <c r="AU1325" s="376">
        <f>+AU1321-AR1321</f>
        <v>0</v>
      </c>
      <c r="AV1325" s="376">
        <f>+AV1321-AS1321</f>
        <v>0</v>
      </c>
      <c r="AW1325" s="376">
        <f t="shared" si="7276"/>
        <v>0</v>
      </c>
      <c r="AX1325" s="376">
        <f>+AX1321-AU1321</f>
        <v>0</v>
      </c>
      <c r="AY1325" s="376">
        <f>+AY1321-AV1321</f>
        <v>0</v>
      </c>
      <c r="AZ1325" s="376">
        <f t="shared" si="7277"/>
        <v>0</v>
      </c>
      <c r="BA1325" s="376">
        <f>+BA1321-AX1321</f>
        <v>0</v>
      </c>
      <c r="BB1325" s="376">
        <f>+BB1321-AY1321</f>
        <v>0</v>
      </c>
      <c r="BC1325" s="376">
        <f t="shared" si="7278"/>
        <v>0</v>
      </c>
      <c r="BD1325" s="376">
        <f>+BD1321-BA1321</f>
        <v>0</v>
      </c>
      <c r="BE1325" s="376">
        <f>+BE1321-BB1321</f>
        <v>0</v>
      </c>
      <c r="BF1325" s="376">
        <f t="shared" si="7279"/>
        <v>0</v>
      </c>
      <c r="BG1325" s="376">
        <f>+BG1321-BD1321</f>
        <v>0</v>
      </c>
      <c r="BH1325" s="376">
        <f>+BH1321-BE1321</f>
        <v>0</v>
      </c>
      <c r="BI1325" s="376">
        <f t="shared" si="7280"/>
        <v>0</v>
      </c>
      <c r="BJ1325" s="376">
        <f>+BJ1321-BG1321</f>
        <v>0</v>
      </c>
      <c r="BK1325" s="376">
        <f>+BK1321-BH1321</f>
        <v>0</v>
      </c>
      <c r="BL1325" s="376">
        <f t="shared" si="7281"/>
        <v>0</v>
      </c>
      <c r="BM1325" s="376">
        <f>+BM1321-BJ1321</f>
        <v>0</v>
      </c>
      <c r="BN1325" s="376">
        <f>+BN1321-BK1321</f>
        <v>0</v>
      </c>
      <c r="BO1325" s="376">
        <f t="shared" si="7282"/>
        <v>0</v>
      </c>
      <c r="BP1325" s="376">
        <f>+BP1321-BM1321</f>
        <v>0</v>
      </c>
      <c r="BQ1325" s="376">
        <f>+BQ1321-BN1321</f>
        <v>0</v>
      </c>
      <c r="BR1325" s="376">
        <f t="shared" si="7283"/>
        <v>0</v>
      </c>
    </row>
    <row r="1326" spans="2:70" outlineLevel="2">
      <c r="B1326" s="5"/>
      <c r="C1326" s="95" t="s">
        <v>555</v>
      </c>
    </row>
    <row r="1327" spans="2:70" outlineLevel="2">
      <c r="B1327" s="5"/>
      <c r="C1327" s="108" t="s">
        <v>552</v>
      </c>
      <c r="D1327" s="7" t="s">
        <v>58</v>
      </c>
      <c r="AE1327" s="390">
        <f>-((AE1183-100%)*AE1170)-AE1319</f>
        <v>14.300000000000002</v>
      </c>
      <c r="AF1327" s="168"/>
      <c r="AG1327" s="964"/>
      <c r="AH1327" s="30"/>
      <c r="AI1327" s="30"/>
      <c r="AJ1327" s="30"/>
      <c r="AK1327" s="30"/>
      <c r="AL1327" s="30"/>
      <c r="AM1327" s="30"/>
      <c r="AN1327" s="30"/>
    </row>
    <row r="1328" spans="2:70" outlineLevel="2">
      <c r="B1328" s="5"/>
      <c r="C1328" s="108" t="s">
        <v>55</v>
      </c>
      <c r="D1328" s="7" t="s">
        <v>58</v>
      </c>
      <c r="AE1328" s="168"/>
      <c r="AF1328" s="172"/>
      <c r="AG1328" s="1016"/>
      <c r="AH1328" s="39"/>
      <c r="AI1328" s="39"/>
      <c r="AJ1328" s="39"/>
      <c r="AK1328" s="39"/>
      <c r="AL1328" s="39"/>
      <c r="AM1328" s="39"/>
      <c r="AN1328" s="39"/>
    </row>
    <row r="1329" spans="2:76" outlineLevel="2">
      <c r="B1329" s="5"/>
      <c r="C1329" s="108" t="s">
        <v>57</v>
      </c>
      <c r="D1329" s="7" t="s">
        <v>58</v>
      </c>
      <c r="AF1329" s="348">
        <f>AF1330*$AE$1327/2</f>
        <v>0</v>
      </c>
      <c r="AG1329" s="1008">
        <f>AG1330*$AE$1327/2</f>
        <v>0.71500000000000019</v>
      </c>
      <c r="AH1329" s="28">
        <f>AF1329+AG1329</f>
        <v>0.71500000000000019</v>
      </c>
      <c r="AI1329" s="28">
        <f>AI1330*$AE$1327/2</f>
        <v>0.71500000000000019</v>
      </c>
      <c r="AJ1329" s="28">
        <f>AJ1330*$AE$1327/2</f>
        <v>1.0725000000000002</v>
      </c>
      <c r="AK1329" s="28">
        <f>AI1329+AJ1329</f>
        <v>1.7875000000000005</v>
      </c>
      <c r="AL1329" s="28">
        <f>AL1330*$AE$1327/2</f>
        <v>1.0725000000000002</v>
      </c>
      <c r="AM1329" s="28">
        <f>AM1330*$AE$1327/2</f>
        <v>1.4300000000000004</v>
      </c>
      <c r="AN1329" s="28">
        <f>AL1329+AM1329</f>
        <v>2.5025000000000004</v>
      </c>
      <c r="AO1329" s="28">
        <f>AO1330*$AE$1327/2</f>
        <v>1.4300000000000004</v>
      </c>
      <c r="AP1329" s="28">
        <f>AP1330*$AE$1327/2</f>
        <v>1.4300000000000004</v>
      </c>
      <c r="AQ1329" s="28">
        <f>AO1329+AP1329</f>
        <v>2.8600000000000008</v>
      </c>
      <c r="AR1329" s="28">
        <f>AR1330*$AE$1327/2</f>
        <v>1.4300000000000004</v>
      </c>
      <c r="AS1329" s="28">
        <f>AS1330*$AE$1327/2</f>
        <v>1.4300000000000004</v>
      </c>
      <c r="AT1329" s="28">
        <f>AR1329+AS1329</f>
        <v>2.8600000000000008</v>
      </c>
      <c r="AU1329" s="28">
        <f>AU1330*$AE$1327/2</f>
        <v>1.4300000000000004</v>
      </c>
      <c r="AV1329" s="28">
        <f>AV1330*$AE$1327/2</f>
        <v>1.4300000000000004</v>
      </c>
      <c r="AW1329" s="28">
        <f>AU1329+AV1329</f>
        <v>2.8600000000000008</v>
      </c>
      <c r="AX1329" s="28">
        <f>AX1330*$AE$1327/2</f>
        <v>1.4300000000000004</v>
      </c>
      <c r="AY1329" s="28">
        <f>AY1330*$AE$1327/2</f>
        <v>1.4300000000000004</v>
      </c>
      <c r="AZ1329" s="28">
        <f>AX1329+AY1329</f>
        <v>2.8600000000000008</v>
      </c>
      <c r="BA1329" s="28">
        <f>BA1330*$AE$1327/2</f>
        <v>1.4300000000000004</v>
      </c>
      <c r="BB1329" s="28">
        <f>BB1330*$AE$1327/2</f>
        <v>1.4300000000000004</v>
      </c>
      <c r="BC1329" s="28">
        <f>BA1329+BB1329</f>
        <v>2.8600000000000008</v>
      </c>
      <c r="BD1329" s="28">
        <f>BD1330*$AE$1327/2</f>
        <v>1.4300000000000004</v>
      </c>
      <c r="BE1329" s="28">
        <f>BE1330*$AE$1327/2</f>
        <v>1.4300000000000004</v>
      </c>
      <c r="BF1329" s="28">
        <f>BD1329+BE1329</f>
        <v>2.8600000000000008</v>
      </c>
      <c r="BG1329" s="28">
        <f>BG1330*$AE$1327/2</f>
        <v>1.4300000000000004</v>
      </c>
      <c r="BH1329" s="28">
        <f>BH1330*$AE$1327/2</f>
        <v>1.4300000000000004</v>
      </c>
      <c r="BI1329" s="28">
        <f>BG1329+BH1329</f>
        <v>2.8600000000000008</v>
      </c>
      <c r="BJ1329" s="28">
        <f>BJ1330*$AE$1327/2</f>
        <v>1.4300000000000004</v>
      </c>
      <c r="BK1329" s="28">
        <f>BK1330*$AE$1327/2</f>
        <v>1.4300000000000004</v>
      </c>
      <c r="BL1329" s="28">
        <f>BJ1329+BK1329</f>
        <v>2.8600000000000008</v>
      </c>
      <c r="BM1329" s="28">
        <f>BM1330*$AE$1327/2</f>
        <v>1.4300000000000004</v>
      </c>
      <c r="BN1329" s="28">
        <f>BN1330*$AE$1327/2</f>
        <v>1.4300000000000004</v>
      </c>
      <c r="BO1329" s="28">
        <f>BM1329+BN1329</f>
        <v>2.8600000000000008</v>
      </c>
      <c r="BP1329" s="28">
        <f>BP1330*$AE$1327/2</f>
        <v>1.4300000000000004</v>
      </c>
      <c r="BQ1329" s="28">
        <f>BQ1330*$AE$1327/2</f>
        <v>1.4300000000000004</v>
      </c>
      <c r="BR1329" s="28">
        <f>BP1329+BQ1329</f>
        <v>2.8600000000000008</v>
      </c>
    </row>
    <row r="1330" spans="2:76" outlineLevel="2">
      <c r="B1330" s="5"/>
      <c r="C1330" s="108" t="s">
        <v>553</v>
      </c>
      <c r="D1330" s="7" t="s">
        <v>66</v>
      </c>
      <c r="AF1330" s="166">
        <v>0</v>
      </c>
      <c r="AG1330" s="983">
        <v>0.1</v>
      </c>
      <c r="AH1330" s="20">
        <f>AH1329/$AE$1327</f>
        <v>0.05</v>
      </c>
      <c r="AI1330" s="87">
        <v>0.1</v>
      </c>
      <c r="AJ1330" s="87">
        <v>0.15</v>
      </c>
      <c r="AK1330" s="20">
        <f>AK1329/$AE$1327</f>
        <v>0.12500000000000003</v>
      </c>
      <c r="AL1330" s="87">
        <v>0.15</v>
      </c>
      <c r="AM1330" s="87">
        <v>0.2</v>
      </c>
      <c r="AN1330" s="20">
        <f>AN1329/$AE$1327</f>
        <v>0.17499999999999999</v>
      </c>
      <c r="AO1330" s="87">
        <v>0.2</v>
      </c>
      <c r="AP1330" s="87">
        <v>0.2</v>
      </c>
      <c r="AQ1330" s="20">
        <f>AQ1329/$AE$1327</f>
        <v>0.2</v>
      </c>
      <c r="AR1330" s="87">
        <v>0.2</v>
      </c>
      <c r="AS1330" s="87">
        <v>0.2</v>
      </c>
      <c r="AT1330" s="20">
        <f>AT1329/$AE$1327</f>
        <v>0.2</v>
      </c>
      <c r="AU1330" s="87">
        <v>0.2</v>
      </c>
      <c r="AV1330" s="87">
        <v>0.2</v>
      </c>
      <c r="AW1330" s="20">
        <f>AW1329/$AE$1327</f>
        <v>0.2</v>
      </c>
      <c r="AX1330" s="87">
        <v>0.2</v>
      </c>
      <c r="AY1330" s="87">
        <v>0.2</v>
      </c>
      <c r="AZ1330" s="20">
        <f>AZ1329/$AE$1327</f>
        <v>0.2</v>
      </c>
      <c r="BA1330" s="87">
        <v>0.2</v>
      </c>
      <c r="BB1330" s="87">
        <v>0.2</v>
      </c>
      <c r="BC1330" s="20">
        <f>BC1329/$AE$1327</f>
        <v>0.2</v>
      </c>
      <c r="BD1330" s="87">
        <v>0.2</v>
      </c>
      <c r="BE1330" s="87">
        <v>0.2</v>
      </c>
      <c r="BF1330" s="20">
        <f>BF1329/$AE$1327</f>
        <v>0.2</v>
      </c>
      <c r="BG1330" s="87">
        <v>0.2</v>
      </c>
      <c r="BH1330" s="87">
        <v>0.2</v>
      </c>
      <c r="BI1330" s="20">
        <f>BI1329/$AE$1327</f>
        <v>0.2</v>
      </c>
      <c r="BJ1330" s="87">
        <v>0.2</v>
      </c>
      <c r="BK1330" s="87">
        <v>0.2</v>
      </c>
      <c r="BL1330" s="20">
        <f>BL1329/$AE$1327</f>
        <v>0.2</v>
      </c>
      <c r="BM1330" s="87">
        <v>0.2</v>
      </c>
      <c r="BN1330" s="87">
        <v>0.2</v>
      </c>
      <c r="BO1330" s="20">
        <f>BO1329/$AE$1327</f>
        <v>0.2</v>
      </c>
      <c r="BP1330" s="87">
        <v>0.2</v>
      </c>
      <c r="BQ1330" s="87">
        <v>0.2</v>
      </c>
      <c r="BR1330" s="20">
        <f>BR1329/$AE$1327</f>
        <v>0.2</v>
      </c>
    </row>
    <row r="1331" spans="2:76" outlineLevel="2">
      <c r="B1331" s="5"/>
      <c r="C1331" s="620" t="s">
        <v>587</v>
      </c>
      <c r="AF1331" s="166"/>
      <c r="AG1331" s="983"/>
      <c r="AH1331" s="17"/>
      <c r="AI1331" s="87"/>
      <c r="AJ1331" s="87"/>
      <c r="AK1331" s="17"/>
      <c r="AL1331" s="87"/>
      <c r="AM1331" s="87"/>
      <c r="AN1331" s="17"/>
    </row>
    <row r="1332" spans="2:76" outlineLevel="2">
      <c r="B1332" s="5"/>
      <c r="C1332" s="477" t="s">
        <v>55</v>
      </c>
      <c r="D1332" s="7" t="s">
        <v>58</v>
      </c>
      <c r="AF1332" s="376">
        <f>+AF1328-AC1328</f>
        <v>0</v>
      </c>
      <c r="AG1332" s="1002">
        <f>+AG1328-AD1328</f>
        <v>0</v>
      </c>
      <c r="AH1332" s="376">
        <f>+AG1332+AF1332</f>
        <v>0</v>
      </c>
      <c r="AI1332" s="376">
        <f>+AI1328-AF1328</f>
        <v>0</v>
      </c>
      <c r="AJ1332" s="376">
        <f>+AJ1328-AG1328</f>
        <v>0</v>
      </c>
      <c r="AK1332" s="376">
        <f t="shared" ref="AK1332:AK1333" si="7287">+AJ1332+AI1332</f>
        <v>0</v>
      </c>
      <c r="AL1332" s="376">
        <f>+AL1328-AI1328</f>
        <v>0</v>
      </c>
      <c r="AM1332" s="376">
        <f>+AM1328-AJ1328</f>
        <v>0</v>
      </c>
      <c r="AN1332" s="376">
        <f t="shared" ref="AN1332:AN1333" si="7288">+AM1332+AL1332</f>
        <v>0</v>
      </c>
      <c r="AO1332" s="376">
        <f>+AO1328-AL1328</f>
        <v>0</v>
      </c>
      <c r="AP1332" s="376">
        <f>+AP1328-AM1328</f>
        <v>0</v>
      </c>
      <c r="AQ1332" s="376">
        <f t="shared" ref="AQ1332:AQ1333" si="7289">+AP1332+AO1332</f>
        <v>0</v>
      </c>
      <c r="AR1332" s="376">
        <f>+AR1328-AO1328</f>
        <v>0</v>
      </c>
      <c r="AS1332" s="376">
        <f>+AS1328-AP1328</f>
        <v>0</v>
      </c>
      <c r="AT1332" s="376">
        <f t="shared" ref="AT1332:AT1333" si="7290">+AS1332+AR1332</f>
        <v>0</v>
      </c>
      <c r="AU1332" s="376">
        <f>+AU1328-AR1328</f>
        <v>0</v>
      </c>
      <c r="AV1332" s="376">
        <f>+AV1328-AS1328</f>
        <v>0</v>
      </c>
      <c r="AW1332" s="376">
        <f t="shared" ref="AW1332:AW1333" si="7291">+AV1332+AU1332</f>
        <v>0</v>
      </c>
      <c r="AX1332" s="376">
        <f>+AX1328-AU1328</f>
        <v>0</v>
      </c>
      <c r="AY1332" s="376">
        <f>+AY1328-AV1328</f>
        <v>0</v>
      </c>
      <c r="AZ1332" s="376">
        <f t="shared" ref="AZ1332:AZ1333" si="7292">+AY1332+AX1332</f>
        <v>0</v>
      </c>
      <c r="BA1332" s="376">
        <f>+BA1328-AX1328</f>
        <v>0</v>
      </c>
      <c r="BB1332" s="376">
        <f>+BB1328-AY1328</f>
        <v>0</v>
      </c>
      <c r="BC1332" s="376">
        <f t="shared" ref="BC1332:BC1333" si="7293">+BB1332+BA1332</f>
        <v>0</v>
      </c>
      <c r="BD1332" s="376">
        <f>+BD1328-BA1328</f>
        <v>0</v>
      </c>
      <c r="BE1332" s="376">
        <f>+BE1328-BB1328</f>
        <v>0</v>
      </c>
      <c r="BF1332" s="376">
        <f t="shared" ref="BF1332:BF1333" si="7294">+BE1332+BD1332</f>
        <v>0</v>
      </c>
      <c r="BG1332" s="376">
        <f>+BG1328-BD1328</f>
        <v>0</v>
      </c>
      <c r="BH1332" s="376">
        <f>+BH1328-BE1328</f>
        <v>0</v>
      </c>
      <c r="BI1332" s="376">
        <f t="shared" ref="BI1332:BI1333" si="7295">+BH1332+BG1332</f>
        <v>0</v>
      </c>
      <c r="BJ1332" s="376">
        <f>+BJ1328-BG1328</f>
        <v>0</v>
      </c>
      <c r="BK1332" s="376">
        <f>+BK1328-BH1328</f>
        <v>0</v>
      </c>
      <c r="BL1332" s="376">
        <f t="shared" ref="BL1332:BL1333" si="7296">+BK1332+BJ1332</f>
        <v>0</v>
      </c>
      <c r="BM1332" s="376">
        <f>+BM1328-BJ1328</f>
        <v>0</v>
      </c>
      <c r="BN1332" s="376">
        <f>+BN1328-BK1328</f>
        <v>0</v>
      </c>
      <c r="BO1332" s="376">
        <f t="shared" ref="BO1332:BO1333" si="7297">+BN1332+BM1332</f>
        <v>0</v>
      </c>
      <c r="BP1332" s="376">
        <f>+BP1328-BM1328</f>
        <v>0</v>
      </c>
      <c r="BQ1332" s="376">
        <f>+BQ1328-BN1328</f>
        <v>0</v>
      </c>
      <c r="BR1332" s="376">
        <f t="shared" ref="BR1332:BR1333" si="7298">+BQ1332+BP1332</f>
        <v>0</v>
      </c>
    </row>
    <row r="1333" spans="2:76" outlineLevel="2">
      <c r="B1333" s="5"/>
      <c r="C1333" s="477" t="s">
        <v>57</v>
      </c>
      <c r="D1333" s="7" t="s">
        <v>58</v>
      </c>
      <c r="AF1333" s="376">
        <f>+AF1329-AC1329</f>
        <v>0</v>
      </c>
      <c r="AG1333" s="1002">
        <f>+AG1329-AD1329</f>
        <v>0.71500000000000019</v>
      </c>
      <c r="AH1333" s="376">
        <f>+AG1333+AF1333</f>
        <v>0.71500000000000019</v>
      </c>
      <c r="AI1333" s="376">
        <f>+AI1329-AF1329</f>
        <v>0.71500000000000019</v>
      </c>
      <c r="AJ1333" s="376">
        <f>+AJ1329-AG1329</f>
        <v>0.35750000000000004</v>
      </c>
      <c r="AK1333" s="376">
        <f t="shared" si="7287"/>
        <v>1.0725000000000002</v>
      </c>
      <c r="AL1333" s="376">
        <f>+AL1329-AI1329</f>
        <v>0.35750000000000004</v>
      </c>
      <c r="AM1333" s="376">
        <f>+AM1329-AJ1329</f>
        <v>0.35750000000000015</v>
      </c>
      <c r="AN1333" s="376">
        <f t="shared" si="7288"/>
        <v>0.71500000000000019</v>
      </c>
      <c r="AO1333" s="376">
        <f>+AO1329-AL1329</f>
        <v>0.35750000000000015</v>
      </c>
      <c r="AP1333" s="376">
        <f>+AP1329-AM1329</f>
        <v>0</v>
      </c>
      <c r="AQ1333" s="376">
        <f t="shared" si="7289"/>
        <v>0.35750000000000015</v>
      </c>
      <c r="AR1333" s="376">
        <f>+AR1329-AO1329</f>
        <v>0</v>
      </c>
      <c r="AS1333" s="376">
        <f>+AS1329-AP1329</f>
        <v>0</v>
      </c>
      <c r="AT1333" s="376">
        <f t="shared" si="7290"/>
        <v>0</v>
      </c>
      <c r="AU1333" s="376">
        <f>+AU1329-AR1329</f>
        <v>0</v>
      </c>
      <c r="AV1333" s="376">
        <f>+AV1329-AS1329</f>
        <v>0</v>
      </c>
      <c r="AW1333" s="376">
        <f t="shared" si="7291"/>
        <v>0</v>
      </c>
      <c r="AX1333" s="376">
        <f>+AX1329-AU1329</f>
        <v>0</v>
      </c>
      <c r="AY1333" s="376">
        <f>+AY1329-AV1329</f>
        <v>0</v>
      </c>
      <c r="AZ1333" s="376">
        <f t="shared" si="7292"/>
        <v>0</v>
      </c>
      <c r="BA1333" s="376">
        <f>+BA1329-AX1329</f>
        <v>0</v>
      </c>
      <c r="BB1333" s="376">
        <f>+BB1329-AY1329</f>
        <v>0</v>
      </c>
      <c r="BC1333" s="376">
        <f t="shared" si="7293"/>
        <v>0</v>
      </c>
      <c r="BD1333" s="376">
        <f>+BD1329-BA1329</f>
        <v>0</v>
      </c>
      <c r="BE1333" s="376">
        <f>+BE1329-BB1329</f>
        <v>0</v>
      </c>
      <c r="BF1333" s="376">
        <f t="shared" si="7294"/>
        <v>0</v>
      </c>
      <c r="BG1333" s="376">
        <f>+BG1329-BD1329</f>
        <v>0</v>
      </c>
      <c r="BH1333" s="376">
        <f>+BH1329-BE1329</f>
        <v>0</v>
      </c>
      <c r="BI1333" s="376">
        <f t="shared" si="7295"/>
        <v>0</v>
      </c>
      <c r="BJ1333" s="376">
        <f>+BJ1329-BG1329</f>
        <v>0</v>
      </c>
      <c r="BK1333" s="376">
        <f>+BK1329-BH1329</f>
        <v>0</v>
      </c>
      <c r="BL1333" s="376">
        <f t="shared" si="7296"/>
        <v>0</v>
      </c>
      <c r="BM1333" s="376">
        <f>+BM1329-BJ1329</f>
        <v>0</v>
      </c>
      <c r="BN1333" s="376">
        <f>+BN1329-BK1329</f>
        <v>0</v>
      </c>
      <c r="BO1333" s="376">
        <f t="shared" si="7297"/>
        <v>0</v>
      </c>
      <c r="BP1333" s="376">
        <f>+BP1329-BM1329</f>
        <v>0</v>
      </c>
      <c r="BQ1333" s="376">
        <f>+BQ1329-BN1329</f>
        <v>0</v>
      </c>
      <c r="BR1333" s="376">
        <f t="shared" si="7298"/>
        <v>0</v>
      </c>
    </row>
    <row r="1334" spans="2:76" outlineLevel="1">
      <c r="B1334" s="5"/>
      <c r="C1334" s="482" t="s">
        <v>658</v>
      </c>
      <c r="AF1334" s="166"/>
      <c r="AG1334" s="983"/>
      <c r="AH1334" s="17"/>
      <c r="AI1334" s="87"/>
      <c r="AJ1334" s="87"/>
      <c r="AK1334" s="17"/>
      <c r="AL1334" s="87"/>
      <c r="AM1334" s="87"/>
      <c r="AN1334" s="17"/>
    </row>
    <row r="1335" spans="2:76" outlineLevel="1">
      <c r="B1335" s="5"/>
      <c r="C1335" s="95" t="s">
        <v>660</v>
      </c>
      <c r="AF1335" s="166"/>
      <c r="AG1335" s="983"/>
      <c r="AH1335" s="17"/>
      <c r="AI1335" s="87"/>
      <c r="AJ1335" s="87"/>
      <c r="AK1335" s="17"/>
      <c r="AL1335" s="87"/>
      <c r="AM1335" s="87"/>
      <c r="AN1335" s="17"/>
    </row>
    <row r="1336" spans="2:76" s="30" customFormat="1" outlineLevel="1">
      <c r="B1336" s="5"/>
      <c r="C1336" s="883" t="s">
        <v>681</v>
      </c>
      <c r="D1336" s="31" t="s">
        <v>58</v>
      </c>
      <c r="K1336" s="376">
        <f>0.5*K1446</f>
        <v>125</v>
      </c>
      <c r="L1336" s="376">
        <f>0.5*L1446</f>
        <v>150</v>
      </c>
      <c r="M1336" s="376">
        <f>+L1336+K1336</f>
        <v>275</v>
      </c>
      <c r="N1336" s="376">
        <f>0.5*N1446</f>
        <v>25</v>
      </c>
      <c r="O1336" s="376">
        <f>0.5*O1446</f>
        <v>0</v>
      </c>
      <c r="P1336" s="376">
        <f>+O1336+N1336</f>
        <v>25</v>
      </c>
      <c r="Q1336" s="376">
        <f>0.5*Q1446</f>
        <v>0</v>
      </c>
      <c r="R1336" s="376">
        <f>0.5*R1446</f>
        <v>0</v>
      </c>
      <c r="S1336" s="376">
        <f>+R1336+Q1336</f>
        <v>0</v>
      </c>
      <c r="T1336" s="376">
        <f>0.5*T1446</f>
        <v>0</v>
      </c>
      <c r="U1336" s="376">
        <f>0.5*U1446</f>
        <v>0</v>
      </c>
      <c r="V1336" s="376">
        <f>+U1336+T1336</f>
        <v>0</v>
      </c>
      <c r="W1336" s="376">
        <f>0.5*W1446</f>
        <v>0</v>
      </c>
      <c r="X1336" s="376">
        <f>0.5*X1446</f>
        <v>0</v>
      </c>
      <c r="Y1336" s="376">
        <f>+X1336+W1336</f>
        <v>0</v>
      </c>
      <c r="Z1336" s="376">
        <f>+Z1426+0.5*Z1446</f>
        <v>0</v>
      </c>
      <c r="AA1336" s="376">
        <f>+AA1426+0.5*AA1446</f>
        <v>18.333333333333332</v>
      </c>
      <c r="AB1336" s="376">
        <f>+AA1336+Z1336</f>
        <v>18.333333333333332</v>
      </c>
      <c r="AC1336" s="376">
        <f>+AC1426+0.5*AC1446</f>
        <v>55</v>
      </c>
      <c r="AD1336" s="376">
        <f>+AD1426+0.5*AD1446</f>
        <v>36.666666666666671</v>
      </c>
      <c r="AE1336" s="598">
        <f>+AD1336+AC1336</f>
        <v>91.666666666666671</v>
      </c>
      <c r="AF1336" s="376">
        <f>+AF1426+0.5*AF1446</f>
        <v>0</v>
      </c>
      <c r="AG1336" s="1002">
        <f>+AG1426+0.5*AG1446</f>
        <v>0</v>
      </c>
      <c r="AH1336" s="597">
        <f>+AG1336+AF1336</f>
        <v>0</v>
      </c>
      <c r="AI1336" s="42">
        <f>+AI1426+0.5*AI1446</f>
        <v>0</v>
      </c>
      <c r="AJ1336" s="42">
        <f>+AJ1426+0.5*AJ1446</f>
        <v>0</v>
      </c>
      <c r="AK1336" s="884">
        <f>+AJ1336+AI1336</f>
        <v>0</v>
      </c>
      <c r="AL1336" s="42">
        <f>+AL1426+0.5*AL1446</f>
        <v>0</v>
      </c>
      <c r="AM1336" s="42">
        <f>+AM1426+0.5*AM1446</f>
        <v>0</v>
      </c>
      <c r="AN1336" s="884">
        <f>+AM1336+AL1336</f>
        <v>0</v>
      </c>
      <c r="AO1336" s="42">
        <f>+AO1426+0.5*AO1446</f>
        <v>0</v>
      </c>
      <c r="AP1336" s="42">
        <f>+AP1426+0.5*AP1446</f>
        <v>0</v>
      </c>
      <c r="AQ1336" s="884">
        <f>+AP1336+AO1336</f>
        <v>0</v>
      </c>
      <c r="AR1336" s="42">
        <f>+AR1426+0.5*AR1446</f>
        <v>0</v>
      </c>
      <c r="AS1336" s="42">
        <f>+AS1426+0.5*AS1446</f>
        <v>0</v>
      </c>
      <c r="AT1336" s="884">
        <f>+AS1336+AR1336</f>
        <v>0</v>
      </c>
      <c r="AU1336" s="42">
        <f>+AU1426+0.5*AU1446</f>
        <v>0</v>
      </c>
      <c r="AV1336" s="42">
        <f>+AV1426+0.5*AV1446</f>
        <v>0</v>
      </c>
      <c r="AW1336" s="884">
        <f>+AV1336+AU1336</f>
        <v>0</v>
      </c>
      <c r="AX1336" s="42">
        <f>+AX1426+0.5*AX1446</f>
        <v>0</v>
      </c>
      <c r="AY1336" s="42">
        <f>+AY1426+0.5*AY1446</f>
        <v>0</v>
      </c>
      <c r="AZ1336" s="884">
        <f>+AY1336+AX1336</f>
        <v>0</v>
      </c>
      <c r="BA1336" s="42">
        <f>+BA1426+0.5*BA1446</f>
        <v>0</v>
      </c>
      <c r="BB1336" s="42">
        <f>+BB1426+0.5*BB1446</f>
        <v>0</v>
      </c>
      <c r="BC1336" s="884">
        <f>+BB1336+BA1336</f>
        <v>0</v>
      </c>
      <c r="BD1336" s="42">
        <f>+BD1426+0.5*BD1446</f>
        <v>0</v>
      </c>
      <c r="BE1336" s="42">
        <f>+BE1426+0.5*BE1446</f>
        <v>0</v>
      </c>
      <c r="BF1336" s="884">
        <f>+BE1336+BD1336</f>
        <v>0</v>
      </c>
      <c r="BG1336" s="42">
        <f>+BG1426+0.5*BG1446</f>
        <v>0</v>
      </c>
      <c r="BH1336" s="42">
        <f>+BH1426+0.5*BH1446</f>
        <v>0</v>
      </c>
      <c r="BI1336" s="884">
        <f>+BH1336+BG1336</f>
        <v>0</v>
      </c>
      <c r="BJ1336" s="42">
        <f>+BJ1426+0.5*BJ1446</f>
        <v>0</v>
      </c>
      <c r="BK1336" s="42">
        <f>+BK1426+0.5*BK1446</f>
        <v>0</v>
      </c>
      <c r="BL1336" s="884">
        <f>+BK1336+BJ1336</f>
        <v>0</v>
      </c>
      <c r="BM1336" s="42">
        <f>+BM1426+0.5*BM1446</f>
        <v>0</v>
      </c>
      <c r="BN1336" s="42">
        <f>+BN1426+0.5*BN1446</f>
        <v>0</v>
      </c>
      <c r="BO1336" s="884">
        <f>+BN1336+BM1336</f>
        <v>0</v>
      </c>
      <c r="BP1336" s="42">
        <f>+BP1426+0.5*BP1446</f>
        <v>0</v>
      </c>
      <c r="BQ1336" s="42">
        <f>+BQ1426+0.5*BQ1446</f>
        <v>0</v>
      </c>
      <c r="BR1336" s="884">
        <f>+BQ1336+BP1336</f>
        <v>0</v>
      </c>
    </row>
    <row r="1337" spans="2:76" s="30" customFormat="1" outlineLevel="1">
      <c r="B1337" s="5"/>
      <c r="C1337" s="883" t="s">
        <v>682</v>
      </c>
      <c r="D1337" s="31" t="s">
        <v>58</v>
      </c>
      <c r="K1337" s="376">
        <f>0.5*40%*K1446</f>
        <v>50</v>
      </c>
      <c r="L1337" s="376">
        <f>0.5*40%*L1446</f>
        <v>60</v>
      </c>
      <c r="M1337" s="376">
        <f>+L1337+K1337</f>
        <v>110</v>
      </c>
      <c r="N1337" s="376">
        <f>0.5*40%*N1446</f>
        <v>10</v>
      </c>
      <c r="O1337" s="376">
        <f>0.5*40%*O1446</f>
        <v>0</v>
      </c>
      <c r="P1337" s="376">
        <f>+O1337+N1337</f>
        <v>10</v>
      </c>
      <c r="Q1337" s="376">
        <f>0.5*40%*Q1446</f>
        <v>0</v>
      </c>
      <c r="R1337" s="376">
        <f>0.5*40%*R1446</f>
        <v>0</v>
      </c>
      <c r="S1337" s="376">
        <f>+R1337+Q1337</f>
        <v>0</v>
      </c>
      <c r="T1337" s="376">
        <f>0.5*40%*T1446</f>
        <v>0</v>
      </c>
      <c r="U1337" s="376">
        <f>0.5*40%*U1446</f>
        <v>0</v>
      </c>
      <c r="V1337" s="376">
        <f>+U1337+T1337</f>
        <v>0</v>
      </c>
      <c r="W1337" s="376">
        <f>0.5*40%*W1446</f>
        <v>0</v>
      </c>
      <c r="X1337" s="376">
        <f>0.5*40%*X1446</f>
        <v>0</v>
      </c>
      <c r="Y1337" s="376">
        <f>+X1337+W1337</f>
        <v>0</v>
      </c>
      <c r="Z1337" s="376">
        <f>0.5*40%*Z1446</f>
        <v>0</v>
      </c>
      <c r="AA1337" s="376">
        <f>0.5*40%*AA1446</f>
        <v>0</v>
      </c>
      <c r="AB1337" s="376">
        <f>+AA1337+Z1337</f>
        <v>0</v>
      </c>
      <c r="AC1337" s="376">
        <f>0.5*40%*AC1446</f>
        <v>0</v>
      </c>
      <c r="AD1337" s="376">
        <f>0.5*40%*AD1446</f>
        <v>0</v>
      </c>
      <c r="AE1337" s="376">
        <f>+AD1337+AC1337</f>
        <v>0</v>
      </c>
      <c r="AF1337" s="376">
        <f>0.5*40%*AF1446</f>
        <v>0</v>
      </c>
      <c r="AG1337" s="1002">
        <f>0.5*40%*AG1446</f>
        <v>0</v>
      </c>
      <c r="AH1337" s="376">
        <f>+AG1337+AF1337</f>
        <v>0</v>
      </c>
      <c r="AI1337" s="376">
        <f>0.5*40%*AI1446</f>
        <v>0</v>
      </c>
      <c r="AJ1337" s="376">
        <f>0.5*40%*AJ1446</f>
        <v>0</v>
      </c>
      <c r="AK1337" s="376">
        <f>+AJ1337+AI1337</f>
        <v>0</v>
      </c>
      <c r="AL1337" s="376">
        <f>0.5*40%*AL1446</f>
        <v>0</v>
      </c>
      <c r="AM1337" s="376">
        <f>0.5*40%*AM1446</f>
        <v>0</v>
      </c>
      <c r="AN1337" s="376">
        <f>+AM1337+AL1337</f>
        <v>0</v>
      </c>
      <c r="AO1337" s="376">
        <f>0.5*40%*AO1446</f>
        <v>0</v>
      </c>
      <c r="AP1337" s="376">
        <f>0.5*40%*AP1446</f>
        <v>0</v>
      </c>
      <c r="AQ1337" s="376">
        <f>+AP1337+AO1337</f>
        <v>0</v>
      </c>
      <c r="AR1337" s="376">
        <f>0.5*40%*AR1446</f>
        <v>0</v>
      </c>
      <c r="AS1337" s="376">
        <f>0.5*40%*AS1446</f>
        <v>0</v>
      </c>
      <c r="AT1337" s="376">
        <f>+AS1337+AR1337</f>
        <v>0</v>
      </c>
      <c r="AU1337" s="376">
        <f>0.5*40%*AU1446</f>
        <v>0</v>
      </c>
      <c r="AV1337" s="376">
        <f>0.5*40%*AV1446</f>
        <v>0</v>
      </c>
      <c r="AW1337" s="376">
        <f>+AV1337+AU1337</f>
        <v>0</v>
      </c>
      <c r="AX1337" s="376">
        <f>0.5*40%*AX1446</f>
        <v>0</v>
      </c>
      <c r="AY1337" s="376">
        <f>0.5*40%*AY1446</f>
        <v>0</v>
      </c>
      <c r="AZ1337" s="376">
        <f>+AY1337+AX1337</f>
        <v>0</v>
      </c>
      <c r="BA1337" s="376">
        <f>0.5*40%*BA1446</f>
        <v>0</v>
      </c>
      <c r="BB1337" s="376">
        <f>0.5*40%*BB1446</f>
        <v>0</v>
      </c>
      <c r="BC1337" s="376">
        <f>+BB1337+BA1337</f>
        <v>0</v>
      </c>
      <c r="BD1337" s="376">
        <f>0.5*40%*BD1446</f>
        <v>0</v>
      </c>
      <c r="BE1337" s="376">
        <f>0.5*40%*BE1446</f>
        <v>0</v>
      </c>
      <c r="BF1337" s="376">
        <f>+BE1337+BD1337</f>
        <v>0</v>
      </c>
      <c r="BG1337" s="376">
        <f>0.5*40%*BG1446</f>
        <v>0</v>
      </c>
      <c r="BH1337" s="376">
        <f>0.5*40%*BH1446</f>
        <v>0</v>
      </c>
      <c r="BI1337" s="376">
        <f>+BH1337+BG1337</f>
        <v>0</v>
      </c>
      <c r="BJ1337" s="376">
        <f>0.5*40%*BJ1446</f>
        <v>0</v>
      </c>
      <c r="BK1337" s="376">
        <f>0.5*40%*BK1446</f>
        <v>0</v>
      </c>
      <c r="BL1337" s="376">
        <f>+BK1337+BJ1337</f>
        <v>0</v>
      </c>
      <c r="BM1337" s="376">
        <f>0.5*40%*BM1446</f>
        <v>0</v>
      </c>
      <c r="BN1337" s="376">
        <f>0.5*40%*BN1446</f>
        <v>0</v>
      </c>
      <c r="BO1337" s="376">
        <f>+BN1337+BM1337</f>
        <v>0</v>
      </c>
      <c r="BP1337" s="376">
        <f>0.5*40%*BP1446</f>
        <v>0</v>
      </c>
      <c r="BQ1337" s="376">
        <f>0.5*40%*BQ1446</f>
        <v>0</v>
      </c>
      <c r="BR1337" s="376">
        <f>+BQ1337+BP1337</f>
        <v>0</v>
      </c>
    </row>
    <row r="1338" spans="2:76" s="30" customFormat="1" outlineLevel="1">
      <c r="B1338" s="5"/>
      <c r="C1338" s="883" t="s">
        <v>688</v>
      </c>
      <c r="D1338" s="31" t="s">
        <v>58</v>
      </c>
      <c r="K1338" s="376">
        <f>0.5*60%*K1446</f>
        <v>75</v>
      </c>
      <c r="L1338" s="376">
        <f>0.5*60%*L1446</f>
        <v>90</v>
      </c>
      <c r="M1338" s="376">
        <f>+L1338+K1338</f>
        <v>165</v>
      </c>
      <c r="N1338" s="376">
        <f>0.5*60%*N1446</f>
        <v>15</v>
      </c>
      <c r="O1338" s="376">
        <f>0.5*60%*O1446</f>
        <v>0</v>
      </c>
      <c r="P1338" s="376">
        <f>+O1338+N1338</f>
        <v>15</v>
      </c>
      <c r="Q1338" s="376">
        <f>0.5*60%*Q1446</f>
        <v>0</v>
      </c>
      <c r="R1338" s="376">
        <f>0.5*60%*R1446</f>
        <v>0</v>
      </c>
      <c r="S1338" s="376">
        <f>+R1338+Q1338</f>
        <v>0</v>
      </c>
      <c r="T1338" s="376">
        <f>0.5*60%*T1446</f>
        <v>0</v>
      </c>
      <c r="U1338" s="376">
        <f>0.5*60%*U1446</f>
        <v>0</v>
      </c>
      <c r="V1338" s="376">
        <f>+U1338+T1338</f>
        <v>0</v>
      </c>
      <c r="W1338" s="376">
        <f>0.5*60%*W1446</f>
        <v>0</v>
      </c>
      <c r="X1338" s="376">
        <f>0.5*60%*X1446</f>
        <v>0</v>
      </c>
      <c r="Y1338" s="376">
        <f>+X1338+W1338</f>
        <v>0</v>
      </c>
      <c r="Z1338" s="376">
        <f>0.5*60%*Z1446</f>
        <v>0</v>
      </c>
      <c r="AA1338" s="376">
        <f>0.5*60%*AA1446</f>
        <v>0</v>
      </c>
      <c r="AB1338" s="376">
        <f>+AA1338+Z1338</f>
        <v>0</v>
      </c>
      <c r="AC1338" s="376">
        <f>0.5*60%*AC1446</f>
        <v>0</v>
      </c>
      <c r="AD1338" s="376">
        <f>0.5*60%*AD1446</f>
        <v>0</v>
      </c>
      <c r="AE1338" s="598">
        <f>+AD1338+AC1338</f>
        <v>0</v>
      </c>
      <c r="AF1338" s="376">
        <f>+AF1384</f>
        <v>70</v>
      </c>
      <c r="AG1338" s="1002">
        <f>0.5*60%*AG1446</f>
        <v>0</v>
      </c>
      <c r="AH1338" s="597">
        <f>+AG1338+AF1338</f>
        <v>70</v>
      </c>
      <c r="AI1338" s="376">
        <f>0.5*60%*AI1446</f>
        <v>0</v>
      </c>
      <c r="AJ1338" s="376">
        <f>0.5*60%*AJ1446</f>
        <v>0</v>
      </c>
      <c r="AK1338" s="597">
        <f>+AJ1338+AI1338</f>
        <v>0</v>
      </c>
      <c r="AL1338" s="376">
        <f>0.5*60%*AL1446</f>
        <v>0</v>
      </c>
      <c r="AM1338" s="376">
        <f>0.5*60%*AM1446</f>
        <v>0</v>
      </c>
      <c r="AN1338" s="597">
        <f>+AM1338+AL1338</f>
        <v>0</v>
      </c>
      <c r="AO1338" s="376">
        <f>0.5*60%*AO1446</f>
        <v>0</v>
      </c>
      <c r="AP1338" s="376">
        <f>0.5*60%*AP1446</f>
        <v>0</v>
      </c>
      <c r="AQ1338" s="597">
        <f>+AP1338+AO1338</f>
        <v>0</v>
      </c>
      <c r="AR1338" s="376">
        <f>0.5*60%*AR1446</f>
        <v>0</v>
      </c>
      <c r="AS1338" s="376">
        <f>0.5*60%*AS1446</f>
        <v>0</v>
      </c>
      <c r="AT1338" s="597">
        <f>+AS1338+AR1338</f>
        <v>0</v>
      </c>
      <c r="AU1338" s="376">
        <f>0.5*60%*AU1446</f>
        <v>0</v>
      </c>
      <c r="AV1338" s="376">
        <f>0.5*60%*AV1446</f>
        <v>0</v>
      </c>
      <c r="AW1338" s="597">
        <f>+AV1338+AU1338</f>
        <v>0</v>
      </c>
      <c r="AX1338" s="376">
        <f>0.5*60%*AX1446</f>
        <v>0</v>
      </c>
      <c r="AY1338" s="376">
        <f>0.5*60%*AY1446</f>
        <v>0</v>
      </c>
      <c r="AZ1338" s="597">
        <f>+AY1338+AX1338</f>
        <v>0</v>
      </c>
      <c r="BA1338" s="376">
        <f>0.5*60%*BA1446</f>
        <v>0</v>
      </c>
      <c r="BB1338" s="376">
        <f>0.5*60%*BB1446</f>
        <v>0</v>
      </c>
      <c r="BC1338" s="597">
        <f>+BB1338+BA1338</f>
        <v>0</v>
      </c>
      <c r="BD1338" s="376">
        <f>0.5*60%*BD1446</f>
        <v>0</v>
      </c>
      <c r="BE1338" s="376">
        <f>0.5*60%*BE1446</f>
        <v>0</v>
      </c>
      <c r="BF1338" s="597">
        <f>+BE1338+BD1338</f>
        <v>0</v>
      </c>
      <c r="BG1338" s="376">
        <f>0.5*60%*BG1446</f>
        <v>0</v>
      </c>
      <c r="BH1338" s="376">
        <f>0.5*60%*BH1446</f>
        <v>0</v>
      </c>
      <c r="BI1338" s="597">
        <f>+BH1338+BG1338</f>
        <v>0</v>
      </c>
      <c r="BJ1338" s="376">
        <f>0.5*60%*BJ1446</f>
        <v>0</v>
      </c>
      <c r="BK1338" s="376">
        <f>0.5*60%*BK1446</f>
        <v>0</v>
      </c>
      <c r="BL1338" s="597">
        <f>+BK1338+BJ1338</f>
        <v>0</v>
      </c>
      <c r="BM1338" s="376">
        <f>0.5*60%*BM1446</f>
        <v>0</v>
      </c>
      <c r="BN1338" s="376">
        <f>0.5*60%*BN1446</f>
        <v>0</v>
      </c>
      <c r="BO1338" s="597">
        <f>+BN1338+BM1338</f>
        <v>0</v>
      </c>
      <c r="BP1338" s="376">
        <f>0.5*60%*BP1446</f>
        <v>0</v>
      </c>
      <c r="BQ1338" s="376">
        <f>0.5*60%*BQ1446</f>
        <v>0</v>
      </c>
      <c r="BR1338" s="597">
        <f>+BQ1338+BP1338</f>
        <v>0</v>
      </c>
    </row>
    <row r="1339" spans="2:76" s="30" customFormat="1" outlineLevel="1">
      <c r="B1339" s="5"/>
      <c r="C1339" s="883" t="s">
        <v>683</v>
      </c>
      <c r="D1339" s="31" t="s">
        <v>58</v>
      </c>
      <c r="AE1339" s="168"/>
      <c r="AF1339" s="390"/>
      <c r="AG1339" s="946"/>
      <c r="AH1339" s="597"/>
      <c r="AI1339" s="435"/>
      <c r="AJ1339" s="435"/>
      <c r="AK1339" s="597"/>
      <c r="AL1339" s="435"/>
      <c r="AM1339" s="435"/>
      <c r="AN1339" s="597"/>
      <c r="AO1339" s="435"/>
      <c r="AP1339" s="435"/>
      <c r="AQ1339" s="597"/>
      <c r="AR1339" s="435"/>
      <c r="AS1339" s="435"/>
      <c r="AT1339" s="597"/>
      <c r="AU1339" s="435"/>
      <c r="AV1339" s="435"/>
      <c r="AW1339" s="597"/>
      <c r="AX1339" s="435"/>
      <c r="AY1339" s="435"/>
      <c r="AZ1339" s="597"/>
      <c r="BA1339" s="435"/>
      <c r="BB1339" s="435"/>
      <c r="BC1339" s="597"/>
      <c r="BD1339" s="435"/>
      <c r="BE1339" s="435"/>
      <c r="BF1339" s="597"/>
      <c r="BG1339" s="435"/>
      <c r="BH1339" s="435"/>
      <c r="BI1339" s="597"/>
      <c r="BJ1339" s="435"/>
      <c r="BK1339" s="435"/>
      <c r="BL1339" s="597"/>
      <c r="BM1339" s="435"/>
      <c r="BN1339" s="435"/>
      <c r="BO1339" s="597"/>
      <c r="BP1339" s="435"/>
      <c r="BQ1339" s="435"/>
      <c r="BR1339" s="597"/>
    </row>
    <row r="1340" spans="2:76" s="30" customFormat="1" outlineLevel="1">
      <c r="B1340" s="5"/>
      <c r="C1340" s="384" t="s">
        <v>684</v>
      </c>
      <c r="D1340" s="31" t="s">
        <v>58</v>
      </c>
      <c r="AE1340" s="168"/>
      <c r="AF1340" s="390"/>
      <c r="AG1340" s="946"/>
      <c r="AH1340" s="597"/>
      <c r="AI1340" s="435"/>
      <c r="AJ1340" s="435"/>
      <c r="AK1340" s="597"/>
      <c r="AL1340" s="435"/>
      <c r="AM1340" s="435"/>
      <c r="AN1340" s="597"/>
      <c r="AO1340" s="435"/>
      <c r="AP1340" s="435"/>
      <c r="AQ1340" s="597"/>
      <c r="AR1340" s="435"/>
      <c r="AS1340" s="435"/>
      <c r="AT1340" s="597"/>
      <c r="AU1340" s="435"/>
      <c r="AV1340" s="435"/>
      <c r="AW1340" s="597"/>
      <c r="AX1340" s="435"/>
      <c r="AY1340" s="435"/>
      <c r="AZ1340" s="597"/>
      <c r="BA1340" s="435"/>
      <c r="BB1340" s="435"/>
      <c r="BC1340" s="597"/>
      <c r="BD1340" s="435"/>
      <c r="BE1340" s="435"/>
      <c r="BF1340" s="597"/>
      <c r="BG1340" s="435"/>
      <c r="BH1340" s="435"/>
      <c r="BI1340" s="597"/>
      <c r="BJ1340" s="435"/>
      <c r="BK1340" s="435"/>
      <c r="BL1340" s="597"/>
      <c r="BM1340" s="435"/>
      <c r="BN1340" s="435"/>
      <c r="BO1340" s="597"/>
      <c r="BP1340" s="435"/>
      <c r="BQ1340" s="435"/>
      <c r="BR1340" s="597"/>
    </row>
    <row r="1341" spans="2:76" s="30" customFormat="1" outlineLevel="1">
      <c r="B1341" s="5"/>
      <c r="C1341" s="384" t="s">
        <v>685</v>
      </c>
      <c r="D1341" s="31" t="s">
        <v>58</v>
      </c>
      <c r="AE1341" s="168"/>
      <c r="AF1341" s="390"/>
      <c r="AG1341" s="946"/>
      <c r="AH1341" s="597"/>
      <c r="AI1341" s="435"/>
      <c r="AJ1341" s="435"/>
      <c r="AK1341" s="597"/>
      <c r="AL1341" s="435"/>
      <c r="AM1341" s="435"/>
      <c r="AN1341" s="597"/>
      <c r="AO1341" s="435"/>
      <c r="AP1341" s="435"/>
      <c r="AQ1341" s="597"/>
      <c r="AR1341" s="435"/>
      <c r="AS1341" s="435"/>
      <c r="AT1341" s="597"/>
      <c r="AU1341" s="435"/>
      <c r="AV1341" s="435"/>
      <c r="AW1341" s="597"/>
      <c r="AX1341" s="435"/>
      <c r="AY1341" s="435"/>
      <c r="AZ1341" s="597"/>
      <c r="BA1341" s="435"/>
      <c r="BB1341" s="435"/>
      <c r="BC1341" s="597"/>
      <c r="BD1341" s="435"/>
      <c r="BE1341" s="435"/>
      <c r="BF1341" s="597"/>
      <c r="BG1341" s="435"/>
      <c r="BH1341" s="435"/>
      <c r="BI1341" s="597"/>
      <c r="BJ1341" s="435"/>
      <c r="BK1341" s="435"/>
      <c r="BL1341" s="597"/>
      <c r="BM1341" s="435"/>
      <c r="BN1341" s="435"/>
      <c r="BO1341" s="597"/>
      <c r="BP1341" s="435"/>
      <c r="BQ1341" s="435"/>
      <c r="BR1341" s="597"/>
    </row>
    <row r="1342" spans="2:76" s="30" customFormat="1" outlineLevel="1">
      <c r="B1342" s="5"/>
      <c r="C1342" s="384" t="s">
        <v>686</v>
      </c>
      <c r="D1342" s="31" t="s">
        <v>58</v>
      </c>
      <c r="K1342" s="42">
        <f>K1364</f>
        <v>0</v>
      </c>
      <c r="L1342" s="42">
        <f>L1364</f>
        <v>0</v>
      </c>
      <c r="M1342" s="597">
        <f>+L1342+K1342</f>
        <v>0</v>
      </c>
      <c r="N1342" s="42">
        <f>N1364</f>
        <v>0</v>
      </c>
      <c r="O1342" s="42">
        <f>O1364</f>
        <v>0</v>
      </c>
      <c r="P1342" s="597">
        <f>+O1342+N1342</f>
        <v>0</v>
      </c>
      <c r="Q1342" s="42">
        <f>Q1364</f>
        <v>0</v>
      </c>
      <c r="R1342" s="42">
        <f>R1364</f>
        <v>0</v>
      </c>
      <c r="S1342" s="597">
        <f>+R1342+Q1342</f>
        <v>0</v>
      </c>
      <c r="T1342" s="42">
        <f>T1364</f>
        <v>0</v>
      </c>
      <c r="U1342" s="42">
        <f>U1364</f>
        <v>0</v>
      </c>
      <c r="V1342" s="597">
        <f>+U1342+T1342</f>
        <v>0</v>
      </c>
      <c r="W1342" s="42">
        <f>W1364</f>
        <v>0</v>
      </c>
      <c r="X1342" s="42">
        <f>X1364</f>
        <v>0</v>
      </c>
      <c r="Y1342" s="597">
        <f>+X1342+W1342</f>
        <v>0</v>
      </c>
      <c r="Z1342" s="42">
        <f>Z1364</f>
        <v>0</v>
      </c>
      <c r="AA1342" s="42">
        <f>AA1364</f>
        <v>0</v>
      </c>
      <c r="AB1342" s="597">
        <f>+AA1342+Z1342</f>
        <v>0</v>
      </c>
      <c r="AC1342" s="42">
        <f>AC1364</f>
        <v>0</v>
      </c>
      <c r="AD1342" s="42">
        <f>AD1364</f>
        <v>1.0833333333333333</v>
      </c>
      <c r="AE1342" s="597">
        <f>+AD1342+AC1342</f>
        <v>1.0833333333333333</v>
      </c>
      <c r="AF1342" s="376">
        <f>AF1364</f>
        <v>6.5</v>
      </c>
      <c r="AG1342" s="1002">
        <f>AG1364</f>
        <v>5.416666666666667</v>
      </c>
      <c r="AH1342" s="597">
        <f>+AG1342+AF1342</f>
        <v>11.916666666666668</v>
      </c>
      <c r="AI1342" s="42">
        <f>AI1364</f>
        <v>0</v>
      </c>
      <c r="AJ1342" s="42">
        <f>AJ1364</f>
        <v>0</v>
      </c>
      <c r="AK1342" s="597">
        <f>+AJ1342+AI1342</f>
        <v>0</v>
      </c>
      <c r="AL1342" s="42">
        <f>AL1364</f>
        <v>0</v>
      </c>
      <c r="AM1342" s="42">
        <f>AM1364</f>
        <v>0</v>
      </c>
      <c r="AN1342" s="597">
        <f>+AM1342+AL1342</f>
        <v>0</v>
      </c>
      <c r="AO1342" s="42">
        <f>AO1364</f>
        <v>0</v>
      </c>
      <c r="AP1342" s="42">
        <f>AP1364</f>
        <v>0</v>
      </c>
      <c r="AQ1342" s="597">
        <f>+AP1342+AO1342</f>
        <v>0</v>
      </c>
      <c r="AR1342" s="42">
        <f>AR1364</f>
        <v>0</v>
      </c>
      <c r="AS1342" s="42">
        <f>AS1364</f>
        <v>0</v>
      </c>
      <c r="AT1342" s="597">
        <f>+AS1342+AR1342</f>
        <v>0</v>
      </c>
      <c r="AU1342" s="42">
        <f>AU1364</f>
        <v>0</v>
      </c>
      <c r="AV1342" s="42">
        <f>AV1364</f>
        <v>0</v>
      </c>
      <c r="AW1342" s="597">
        <f>+AV1342+AU1342</f>
        <v>0</v>
      </c>
      <c r="AX1342" s="42">
        <f>AX1364</f>
        <v>0</v>
      </c>
      <c r="AY1342" s="42">
        <f>AY1364</f>
        <v>0</v>
      </c>
      <c r="AZ1342" s="597">
        <f>+AY1342+AX1342</f>
        <v>0</v>
      </c>
      <c r="BA1342" s="42">
        <f>BA1364</f>
        <v>0</v>
      </c>
      <c r="BB1342" s="42">
        <f>BB1364</f>
        <v>0</v>
      </c>
      <c r="BC1342" s="597">
        <f>+BB1342+BA1342</f>
        <v>0</v>
      </c>
      <c r="BD1342" s="42">
        <f>BD1364</f>
        <v>0</v>
      </c>
      <c r="BE1342" s="42">
        <f>BE1364</f>
        <v>0</v>
      </c>
      <c r="BF1342" s="597">
        <f>+BE1342+BD1342</f>
        <v>0</v>
      </c>
      <c r="BG1342" s="42">
        <f>BG1364</f>
        <v>0</v>
      </c>
      <c r="BH1342" s="42">
        <f>BH1364</f>
        <v>0</v>
      </c>
      <c r="BI1342" s="597">
        <f>+BH1342+BG1342</f>
        <v>0</v>
      </c>
      <c r="BJ1342" s="42">
        <f>BJ1364</f>
        <v>0</v>
      </c>
      <c r="BK1342" s="42">
        <f>BK1364</f>
        <v>0</v>
      </c>
      <c r="BL1342" s="597">
        <f>+BK1342+BJ1342</f>
        <v>0</v>
      </c>
      <c r="BM1342" s="42">
        <f>BM1364</f>
        <v>0</v>
      </c>
      <c r="BN1342" s="42">
        <f>BN1364</f>
        <v>0</v>
      </c>
      <c r="BO1342" s="597">
        <f>+BN1342+BM1342</f>
        <v>0</v>
      </c>
      <c r="BP1342" s="42">
        <f>BP1364</f>
        <v>0</v>
      </c>
      <c r="BQ1342" s="42">
        <f>BQ1364</f>
        <v>0</v>
      </c>
      <c r="BR1342" s="597">
        <f>+BQ1342+BP1342</f>
        <v>0</v>
      </c>
    </row>
    <row r="1343" spans="2:76" s="8" customFormat="1" outlineLevel="1">
      <c r="B1343" s="5"/>
      <c r="C1343" s="457" t="s">
        <v>661</v>
      </c>
      <c r="D1343" s="96" t="s">
        <v>58</v>
      </c>
      <c r="H1343" s="649">
        <f t="shared" ref="H1343:AC1343" si="7299">+H1342+H1341+H1340+H1339+H1338+H1337+H1336</f>
        <v>0</v>
      </c>
      <c r="I1343" s="649">
        <f t="shared" si="7299"/>
        <v>0</v>
      </c>
      <c r="J1343" s="649">
        <f t="shared" si="7299"/>
        <v>0</v>
      </c>
      <c r="K1343" s="649">
        <f t="shared" si="7299"/>
        <v>250</v>
      </c>
      <c r="L1343" s="649">
        <f t="shared" si="7299"/>
        <v>300</v>
      </c>
      <c r="M1343" s="649">
        <f t="shared" si="7299"/>
        <v>550</v>
      </c>
      <c r="N1343" s="649">
        <f t="shared" si="7299"/>
        <v>50</v>
      </c>
      <c r="O1343" s="649">
        <f t="shared" si="7299"/>
        <v>0</v>
      </c>
      <c r="P1343" s="649">
        <f t="shared" si="7299"/>
        <v>50</v>
      </c>
      <c r="Q1343" s="649">
        <f t="shared" si="7299"/>
        <v>0</v>
      </c>
      <c r="R1343" s="649">
        <f t="shared" si="7299"/>
        <v>0</v>
      </c>
      <c r="S1343" s="649">
        <f t="shared" si="7299"/>
        <v>0</v>
      </c>
      <c r="T1343" s="649">
        <f t="shared" si="7299"/>
        <v>0</v>
      </c>
      <c r="U1343" s="649">
        <f t="shared" si="7299"/>
        <v>0</v>
      </c>
      <c r="V1343" s="649">
        <f t="shared" si="7299"/>
        <v>0</v>
      </c>
      <c r="W1343" s="649">
        <f t="shared" si="7299"/>
        <v>0</v>
      </c>
      <c r="X1343" s="649">
        <f t="shared" si="7299"/>
        <v>0</v>
      </c>
      <c r="Y1343" s="649">
        <f t="shared" si="7299"/>
        <v>0</v>
      </c>
      <c r="Z1343" s="649">
        <f t="shared" si="7299"/>
        <v>0</v>
      </c>
      <c r="AA1343" s="649">
        <f t="shared" si="7299"/>
        <v>18.333333333333332</v>
      </c>
      <c r="AB1343" s="649">
        <f t="shared" si="7299"/>
        <v>18.333333333333332</v>
      </c>
      <c r="AC1343" s="649">
        <f t="shared" si="7299"/>
        <v>55</v>
      </c>
      <c r="AD1343" s="649">
        <f>+AD1342+AD1341+AD1340+AD1339+AD1338+AD1337+AD1336</f>
        <v>37.750000000000007</v>
      </c>
      <c r="AE1343" s="649">
        <f>+AE1342+AE1341+AE1340+AE1339+AE1338+AE1337+AE1336</f>
        <v>92.75</v>
      </c>
      <c r="AF1343" s="649">
        <f>+AF1342+AF1341+AF1340+AF1339+AF1338+AF1337+AF1336</f>
        <v>76.5</v>
      </c>
      <c r="AG1343" s="1056">
        <f>+AG1342+AG1341+AG1340+AG1339+AG1338+AG1337+AG1336</f>
        <v>5.416666666666667</v>
      </c>
      <c r="AH1343" s="649">
        <f t="shared" ref="AH1343:AK1343" si="7300">+AH1342+AH1341+AH1340+AH1339+AH1338+AH1337+AH1336</f>
        <v>81.916666666666671</v>
      </c>
      <c r="AI1343" s="649">
        <f>+AI1342+AI1341+AI1340+AI1339+AI1338+AI1337+AI1336</f>
        <v>0</v>
      </c>
      <c r="AJ1343" s="649">
        <f>+AJ1342+AJ1341+AJ1340+AJ1339+AJ1338+AJ1337+AJ1336</f>
        <v>0</v>
      </c>
      <c r="AK1343" s="649">
        <f t="shared" si="7300"/>
        <v>0</v>
      </c>
      <c r="AL1343" s="649">
        <f>+AL1342+AL1341+AL1340+AL1339+AL1338+AL1337+AL1336</f>
        <v>0</v>
      </c>
      <c r="AM1343" s="649">
        <f>+AM1342+AM1341+AM1340+AM1339+AM1338+AM1337+AM1336</f>
        <v>0</v>
      </c>
      <c r="AN1343" s="649">
        <f t="shared" ref="AN1343" si="7301">+AN1342+AN1341+AN1340+AN1339+AN1338+AN1337+AN1336</f>
        <v>0</v>
      </c>
      <c r="AO1343" s="649">
        <f>+AO1342+AO1341+AO1340+AO1339+AO1338+AO1337+AO1336</f>
        <v>0</v>
      </c>
      <c r="AP1343" s="649">
        <f>+AP1342+AP1341+AP1340+AP1339+AP1338+AP1337+AP1336</f>
        <v>0</v>
      </c>
      <c r="AQ1343" s="649">
        <f t="shared" ref="AQ1343" si="7302">+AQ1342+AQ1341+AQ1340+AQ1339+AQ1338+AQ1337+AQ1336</f>
        <v>0</v>
      </c>
      <c r="AR1343" s="649">
        <f>+AR1342+AR1341+AR1340+AR1339+AR1338+AR1337+AR1336</f>
        <v>0</v>
      </c>
      <c r="AS1343" s="649">
        <f>+AS1342+AS1341+AS1340+AS1339+AS1338+AS1337+AS1336</f>
        <v>0</v>
      </c>
      <c r="AT1343" s="649">
        <f t="shared" ref="AT1343" si="7303">+AT1342+AT1341+AT1340+AT1339+AT1338+AT1337+AT1336</f>
        <v>0</v>
      </c>
      <c r="AU1343" s="649">
        <f>+AU1342+AU1341+AU1340+AU1339+AU1338+AU1337+AU1336</f>
        <v>0</v>
      </c>
      <c r="AV1343" s="649">
        <f>+AV1342+AV1341+AV1340+AV1339+AV1338+AV1337+AV1336</f>
        <v>0</v>
      </c>
      <c r="AW1343" s="649">
        <f t="shared" ref="AW1343" si="7304">+AW1342+AW1341+AW1340+AW1339+AW1338+AW1337+AW1336</f>
        <v>0</v>
      </c>
      <c r="AX1343" s="649">
        <f>+AX1342+AX1341+AX1340+AX1339+AX1338+AX1337+AX1336</f>
        <v>0</v>
      </c>
      <c r="AY1343" s="649">
        <f>+AY1342+AY1341+AY1340+AY1339+AY1338+AY1337+AY1336</f>
        <v>0</v>
      </c>
      <c r="AZ1343" s="649">
        <f t="shared" ref="AZ1343" si="7305">+AZ1342+AZ1341+AZ1340+AZ1339+AZ1338+AZ1337+AZ1336</f>
        <v>0</v>
      </c>
      <c r="BA1343" s="649">
        <f>+BA1342+BA1341+BA1340+BA1339+BA1338+BA1337+BA1336</f>
        <v>0</v>
      </c>
      <c r="BB1343" s="649">
        <f>+BB1342+BB1341+BB1340+BB1339+BB1338+BB1337+BB1336</f>
        <v>0</v>
      </c>
      <c r="BC1343" s="649">
        <f t="shared" ref="BC1343" si="7306">+BC1342+BC1341+BC1340+BC1339+BC1338+BC1337+BC1336</f>
        <v>0</v>
      </c>
      <c r="BD1343" s="649">
        <f>+BD1342+BD1341+BD1340+BD1339+BD1338+BD1337+BD1336</f>
        <v>0</v>
      </c>
      <c r="BE1343" s="649">
        <f>+BE1342+BE1341+BE1340+BE1339+BE1338+BE1337+BE1336</f>
        <v>0</v>
      </c>
      <c r="BF1343" s="649">
        <f t="shared" ref="BF1343" si="7307">+BF1342+BF1341+BF1340+BF1339+BF1338+BF1337+BF1336</f>
        <v>0</v>
      </c>
      <c r="BG1343" s="649">
        <f>+BG1342+BG1341+BG1340+BG1339+BG1338+BG1337+BG1336</f>
        <v>0</v>
      </c>
      <c r="BH1343" s="649">
        <f>+BH1342+BH1341+BH1340+BH1339+BH1338+BH1337+BH1336</f>
        <v>0</v>
      </c>
      <c r="BI1343" s="649">
        <f t="shared" ref="BI1343" si="7308">+BI1342+BI1341+BI1340+BI1339+BI1338+BI1337+BI1336</f>
        <v>0</v>
      </c>
      <c r="BJ1343" s="649">
        <f>+BJ1342+BJ1341+BJ1340+BJ1339+BJ1338+BJ1337+BJ1336</f>
        <v>0</v>
      </c>
      <c r="BK1343" s="649">
        <f>+BK1342+BK1341+BK1340+BK1339+BK1338+BK1337+BK1336</f>
        <v>0</v>
      </c>
      <c r="BL1343" s="649">
        <f t="shared" ref="BL1343" si="7309">+BL1342+BL1341+BL1340+BL1339+BL1338+BL1337+BL1336</f>
        <v>0</v>
      </c>
      <c r="BM1343" s="649">
        <f>+BM1342+BM1341+BM1340+BM1339+BM1338+BM1337+BM1336</f>
        <v>0</v>
      </c>
      <c r="BN1343" s="649">
        <f>+BN1342+BN1341+BN1340+BN1339+BN1338+BN1337+BN1336</f>
        <v>0</v>
      </c>
      <c r="BO1343" s="649">
        <f t="shared" ref="BO1343" si="7310">+BO1342+BO1341+BO1340+BO1339+BO1338+BO1337+BO1336</f>
        <v>0</v>
      </c>
      <c r="BP1343" s="649">
        <f>+BP1342+BP1341+BP1340+BP1339+BP1338+BP1337+BP1336</f>
        <v>0</v>
      </c>
      <c r="BQ1343" s="649">
        <f>+BQ1342+BQ1341+BQ1340+BQ1339+BQ1338+BQ1337+BQ1336</f>
        <v>0</v>
      </c>
      <c r="BR1343" s="649">
        <f t="shared" ref="BR1343" si="7311">+BR1342+BR1341+BR1340+BR1339+BR1338+BR1337+BR1336</f>
        <v>0</v>
      </c>
      <c r="BS1343" s="6"/>
      <c r="BT1343" s="6"/>
      <c r="BU1343" s="6"/>
      <c r="BV1343" s="6"/>
      <c r="BW1343" s="6"/>
      <c r="BX1343" s="6"/>
    </row>
    <row r="1344" spans="2:76" outlineLevel="1">
      <c r="B1344" s="5"/>
      <c r="C1344" s="469" t="s">
        <v>268</v>
      </c>
      <c r="D1344" s="7" t="s">
        <v>58</v>
      </c>
      <c r="K1344" s="28">
        <f>K1447</f>
        <v>-7.5</v>
      </c>
      <c r="L1344" s="28">
        <f t="shared" ref="L1344:M1344" si="7312">L1447</f>
        <v>-9</v>
      </c>
      <c r="M1344" s="28">
        <f t="shared" si="7312"/>
        <v>-16.5</v>
      </c>
      <c r="N1344" s="28">
        <f>N1447</f>
        <v>-1.5</v>
      </c>
      <c r="O1344" s="28">
        <f t="shared" ref="O1344:P1344" si="7313">O1447</f>
        <v>0</v>
      </c>
      <c r="P1344" s="28">
        <f t="shared" si="7313"/>
        <v>-1.5</v>
      </c>
      <c r="Q1344" s="28">
        <f>Q1447</f>
        <v>0</v>
      </c>
      <c r="R1344" s="28">
        <f t="shared" ref="R1344:S1344" si="7314">R1447</f>
        <v>0</v>
      </c>
      <c r="S1344" s="28">
        <f t="shared" si="7314"/>
        <v>0</v>
      </c>
      <c r="T1344" s="28">
        <f>T1447</f>
        <v>0</v>
      </c>
      <c r="U1344" s="28">
        <f t="shared" ref="U1344:V1344" si="7315">U1447</f>
        <v>0</v>
      </c>
      <c r="V1344" s="28">
        <f t="shared" si="7315"/>
        <v>0</v>
      </c>
      <c r="W1344" s="28">
        <f>W1447</f>
        <v>0</v>
      </c>
      <c r="X1344" s="28">
        <f t="shared" ref="X1344:Y1345" si="7316">X1447</f>
        <v>0</v>
      </c>
      <c r="Y1344" s="28">
        <f t="shared" si="7316"/>
        <v>0</v>
      </c>
      <c r="Z1344" s="348">
        <f t="shared" ref="Z1344:AB1345" si="7317">+Z1406+Z1427+Z1447</f>
        <v>0</v>
      </c>
      <c r="AA1344" s="348">
        <f t="shared" si="7317"/>
        <v>-0.25</v>
      </c>
      <c r="AB1344" s="348">
        <f t="shared" si="7317"/>
        <v>-0.25</v>
      </c>
      <c r="AC1344" s="348">
        <f t="shared" ref="AC1344:AK1344" si="7318">+AC1385+AC1406+AC1427+AC1447</f>
        <v>-1.5833333333333333</v>
      </c>
      <c r="AD1344" s="348">
        <f>AD1365+AD1385+AD1406+AD1427+AD1447</f>
        <v>-3.2916666666666665</v>
      </c>
      <c r="AE1344" s="348">
        <f t="shared" si="7318"/>
        <v>-4.833333333333333</v>
      </c>
      <c r="AF1344" s="348">
        <f t="shared" si="7318"/>
        <v>-1.6666666666666667</v>
      </c>
      <c r="AG1344" s="1008">
        <f>AG1365+AG1385+AG1406+AG1427+AG1447</f>
        <v>-0.20833333333333334</v>
      </c>
      <c r="AH1344" s="348">
        <f t="shared" si="7318"/>
        <v>-1.6666666666666667</v>
      </c>
      <c r="AI1344" s="348">
        <f>AI1365+AI1385+AI1406+AI1427+AI1447</f>
        <v>0</v>
      </c>
      <c r="AJ1344" s="348">
        <f>AJ1365+AJ1385+AJ1406+AJ1427+AJ1447</f>
        <v>0</v>
      </c>
      <c r="AK1344" s="348">
        <f t="shared" si="7318"/>
        <v>0</v>
      </c>
      <c r="AL1344" s="348">
        <f>AL1365+AL1385+AL1406+AL1427+AL1447</f>
        <v>0</v>
      </c>
      <c r="AM1344" s="348">
        <f>AM1365+AM1385+AM1406+AM1427+AM1447</f>
        <v>0</v>
      </c>
      <c r="AN1344" s="348">
        <f t="shared" ref="AN1344" si="7319">+AN1385+AN1406+AN1427+AN1447</f>
        <v>0</v>
      </c>
      <c r="AO1344" s="348">
        <f>AO1365+AO1385+AO1406+AO1427+AO1447</f>
        <v>0</v>
      </c>
      <c r="AP1344" s="348">
        <f>AP1365+AP1385+AP1406+AP1427+AP1447</f>
        <v>0</v>
      </c>
      <c r="AQ1344" s="348">
        <f t="shared" ref="AQ1344" si="7320">+AQ1385+AQ1406+AQ1427+AQ1447</f>
        <v>0</v>
      </c>
      <c r="AR1344" s="348">
        <f>AR1365+AR1385+AR1406+AR1427+AR1447</f>
        <v>0</v>
      </c>
      <c r="AS1344" s="348">
        <f>AS1365+AS1385+AS1406+AS1427+AS1447</f>
        <v>0</v>
      </c>
      <c r="AT1344" s="348">
        <f t="shared" ref="AT1344" si="7321">+AT1385+AT1406+AT1427+AT1447</f>
        <v>0</v>
      </c>
      <c r="AU1344" s="348">
        <f>AU1365+AU1385+AU1406+AU1427+AU1447</f>
        <v>0</v>
      </c>
      <c r="AV1344" s="348">
        <f>AV1365+AV1385+AV1406+AV1427+AV1447</f>
        <v>0</v>
      </c>
      <c r="AW1344" s="348">
        <f t="shared" ref="AW1344" si="7322">+AW1385+AW1406+AW1427+AW1447</f>
        <v>0</v>
      </c>
      <c r="AX1344" s="348">
        <f>AX1365+AX1385+AX1406+AX1427+AX1447</f>
        <v>0</v>
      </c>
      <c r="AY1344" s="348">
        <f>AY1365+AY1385+AY1406+AY1427+AY1447</f>
        <v>0</v>
      </c>
      <c r="AZ1344" s="348">
        <f t="shared" ref="AZ1344" si="7323">+AZ1385+AZ1406+AZ1427+AZ1447</f>
        <v>0</v>
      </c>
      <c r="BA1344" s="348">
        <f>BA1365+BA1385+BA1406+BA1427+BA1447</f>
        <v>0</v>
      </c>
      <c r="BB1344" s="348">
        <f>BB1365+BB1385+BB1406+BB1427+BB1447</f>
        <v>0</v>
      </c>
      <c r="BC1344" s="348">
        <f t="shared" ref="BC1344" si="7324">+BC1385+BC1406+BC1427+BC1447</f>
        <v>0</v>
      </c>
      <c r="BD1344" s="348">
        <f>BD1365+BD1385+BD1406+BD1427+BD1447</f>
        <v>0</v>
      </c>
      <c r="BE1344" s="348">
        <f>BE1365+BE1385+BE1406+BE1427+BE1447</f>
        <v>0</v>
      </c>
      <c r="BF1344" s="348">
        <f t="shared" ref="BF1344" si="7325">+BF1385+BF1406+BF1427+BF1447</f>
        <v>0</v>
      </c>
      <c r="BG1344" s="348">
        <f>BG1365+BG1385+BG1406+BG1427+BG1447</f>
        <v>0</v>
      </c>
      <c r="BH1344" s="348">
        <f>BH1365+BH1385+BH1406+BH1427+BH1447</f>
        <v>0</v>
      </c>
      <c r="BI1344" s="348">
        <f t="shared" ref="BI1344" si="7326">+BI1385+BI1406+BI1427+BI1447</f>
        <v>0</v>
      </c>
      <c r="BJ1344" s="348">
        <f>BJ1365+BJ1385+BJ1406+BJ1427+BJ1447</f>
        <v>0</v>
      </c>
      <c r="BK1344" s="348">
        <f>BK1365+BK1385+BK1406+BK1427+BK1447</f>
        <v>0</v>
      </c>
      <c r="BL1344" s="348">
        <f t="shared" ref="BL1344" si="7327">+BL1385+BL1406+BL1427+BL1447</f>
        <v>0</v>
      </c>
      <c r="BM1344" s="348">
        <f>BM1365+BM1385+BM1406+BM1427+BM1447</f>
        <v>0</v>
      </c>
      <c r="BN1344" s="348">
        <f>BN1365+BN1385+BN1406+BN1427+BN1447</f>
        <v>0</v>
      </c>
      <c r="BO1344" s="348">
        <f t="shared" ref="BO1344" si="7328">+BO1385+BO1406+BO1427+BO1447</f>
        <v>0</v>
      </c>
      <c r="BP1344" s="348">
        <f>BP1365+BP1385+BP1406+BP1427+BP1447</f>
        <v>0</v>
      </c>
      <c r="BQ1344" s="348">
        <f>BQ1365+BQ1385+BQ1406+BQ1427+BQ1447</f>
        <v>0</v>
      </c>
      <c r="BR1344" s="348">
        <f t="shared" ref="BR1344" si="7329">+BR1385+BR1406+BR1427+BR1447</f>
        <v>0</v>
      </c>
    </row>
    <row r="1345" spans="2:71" outlineLevel="1">
      <c r="B1345" s="5"/>
      <c r="C1345" s="457" t="s">
        <v>269</v>
      </c>
      <c r="D1345" s="7" t="s">
        <v>58</v>
      </c>
      <c r="K1345" s="141">
        <f>K1448</f>
        <v>21.666666666666668</v>
      </c>
      <c r="L1345" s="141">
        <f t="shared" ref="L1345:M1345" si="7330">L1448</f>
        <v>26</v>
      </c>
      <c r="M1345" s="141">
        <f t="shared" si="7330"/>
        <v>47.666666666666671</v>
      </c>
      <c r="N1345" s="141">
        <f>N1448</f>
        <v>14.333333333333332</v>
      </c>
      <c r="O1345" s="141">
        <f t="shared" ref="O1345:P1345" si="7331">O1448</f>
        <v>10</v>
      </c>
      <c r="P1345" s="141">
        <f t="shared" si="7331"/>
        <v>24.333333333333332</v>
      </c>
      <c r="Q1345" s="8">
        <f>Q1448</f>
        <v>10</v>
      </c>
      <c r="R1345" s="8">
        <f t="shared" ref="R1345:S1345" si="7332">R1448</f>
        <v>5</v>
      </c>
      <c r="S1345" s="8">
        <f t="shared" si="7332"/>
        <v>15</v>
      </c>
      <c r="T1345" s="8">
        <f>T1448</f>
        <v>0</v>
      </c>
      <c r="U1345" s="8">
        <f t="shared" ref="U1345:V1345" si="7333">U1448</f>
        <v>0</v>
      </c>
      <c r="V1345" s="8">
        <f t="shared" si="7333"/>
        <v>0</v>
      </c>
      <c r="W1345" s="8">
        <f>W1448</f>
        <v>0</v>
      </c>
      <c r="X1345" s="8">
        <f t="shared" si="7316"/>
        <v>0</v>
      </c>
      <c r="Y1345" s="8">
        <f t="shared" si="7316"/>
        <v>0</v>
      </c>
      <c r="Z1345" s="433">
        <f t="shared" si="7317"/>
        <v>0</v>
      </c>
      <c r="AA1345" s="433">
        <f t="shared" si="7317"/>
        <v>2.1066666666666669</v>
      </c>
      <c r="AB1345" s="433">
        <f t="shared" si="7317"/>
        <v>2.1066666666666669</v>
      </c>
      <c r="AC1345" s="433">
        <f t="shared" ref="AC1345:AK1345" si="7334">+AC1386+AC1407+AC1428+AC1448</f>
        <v>12.32</v>
      </c>
      <c r="AD1345" s="433">
        <f t="shared" si="7334"/>
        <v>14.32</v>
      </c>
      <c r="AE1345" s="433">
        <f t="shared" si="7334"/>
        <v>26.64</v>
      </c>
      <c r="AF1345" s="433">
        <f t="shared" si="7334"/>
        <v>11.2</v>
      </c>
      <c r="AG1345" s="954">
        <f>AG1366+AG1386+AG1407+AG1428+AG1448</f>
        <v>2.5</v>
      </c>
      <c r="AH1345" s="433">
        <f t="shared" si="7334"/>
        <v>12.2</v>
      </c>
      <c r="AI1345" s="433">
        <f>AI1366+AI1386+AI1407+AI1428+AI1448</f>
        <v>18.25</v>
      </c>
      <c r="AJ1345" s="433">
        <f>AJ1366+AJ1386+AJ1407+AJ1428+AJ1448</f>
        <v>6.05</v>
      </c>
      <c r="AK1345" s="433">
        <f t="shared" si="7334"/>
        <v>23.8</v>
      </c>
      <c r="AL1345" s="433">
        <f>AL1366+AL1386+AL1407+AL1428+AL1448</f>
        <v>2.25</v>
      </c>
      <c r="AM1345" s="433">
        <f>AM1366+AM1386+AM1407+AM1428+AM1448</f>
        <v>1.7999999999999998</v>
      </c>
      <c r="AN1345" s="433">
        <f t="shared" ref="AN1345" si="7335">+AN1386+AN1407+AN1428+AN1448</f>
        <v>3.8</v>
      </c>
      <c r="AO1345" s="433">
        <f>AO1366+AO1386+AO1407+AO1428+AO1448</f>
        <v>2</v>
      </c>
      <c r="AP1345" s="433">
        <f>AP1366+AP1386+AP1407+AP1428+AP1448</f>
        <v>1.7999999999999998</v>
      </c>
      <c r="AQ1345" s="433">
        <f t="shared" ref="AQ1345" si="7336">+AQ1386+AQ1407+AQ1428+AQ1448</f>
        <v>3.8</v>
      </c>
      <c r="AR1345" s="433">
        <f>AR1366+AR1386+AR1407+AR1428+AR1448</f>
        <v>0</v>
      </c>
      <c r="AS1345" s="433">
        <f>AS1366+AS1386+AS1407+AS1428+AS1448</f>
        <v>-0.20000000000000018</v>
      </c>
      <c r="AT1345" s="433">
        <f t="shared" ref="AT1345" si="7337">+AT1386+AT1407+AT1428+AT1448</f>
        <v>-0.20000000000000018</v>
      </c>
      <c r="AU1345" s="433">
        <f>AU1366+AU1386+AU1407+AU1428+AU1448</f>
        <v>0</v>
      </c>
      <c r="AV1345" s="433">
        <f>AV1366+AV1386+AV1407+AV1428+AV1448</f>
        <v>-0.20000000000000018</v>
      </c>
      <c r="AW1345" s="433">
        <f t="shared" ref="AW1345" si="7338">+AW1386+AW1407+AW1428+AW1448</f>
        <v>-0.20000000000000018</v>
      </c>
      <c r="AX1345" s="433">
        <f>AX1366+AX1386+AX1407+AX1428+AX1448</f>
        <v>0</v>
      </c>
      <c r="AY1345" s="433">
        <f>AY1366+AY1386+AY1407+AY1428+AY1448</f>
        <v>-0.20000000000000018</v>
      </c>
      <c r="AZ1345" s="433">
        <f t="shared" ref="AZ1345" si="7339">+AZ1386+AZ1407+AZ1428+AZ1448</f>
        <v>-0.20000000000000018</v>
      </c>
      <c r="BA1345" s="433">
        <f>BA1366+BA1386+BA1407+BA1428+BA1448</f>
        <v>0</v>
      </c>
      <c r="BB1345" s="433">
        <f>BB1366+BB1386+BB1407+BB1428+BB1448</f>
        <v>-0.20000000000000018</v>
      </c>
      <c r="BC1345" s="433">
        <f t="shared" ref="BC1345" si="7340">+BC1386+BC1407+BC1428+BC1448</f>
        <v>-0.20000000000000018</v>
      </c>
      <c r="BD1345" s="433">
        <f>BD1366+BD1386+BD1407+BD1428+BD1448</f>
        <v>0</v>
      </c>
      <c r="BE1345" s="433">
        <f>BE1366+BE1386+BE1407+BE1428+BE1448</f>
        <v>-0.20000000000000018</v>
      </c>
      <c r="BF1345" s="433">
        <f t="shared" ref="BF1345" si="7341">+BF1386+BF1407+BF1428+BF1448</f>
        <v>-0.20000000000000018</v>
      </c>
      <c r="BG1345" s="433">
        <f>BG1366+BG1386+BG1407+BG1428+BG1448</f>
        <v>0</v>
      </c>
      <c r="BH1345" s="433">
        <f>BH1366+BH1386+BH1407+BH1428+BH1448</f>
        <v>-0.20000000000000018</v>
      </c>
      <c r="BI1345" s="433">
        <f t="shared" ref="BI1345" si="7342">+BI1386+BI1407+BI1428+BI1448</f>
        <v>-0.20000000000000018</v>
      </c>
      <c r="BJ1345" s="433">
        <f>BJ1366+BJ1386+BJ1407+BJ1428+BJ1448</f>
        <v>0</v>
      </c>
      <c r="BK1345" s="433">
        <f>BK1366+BK1386+BK1407+BK1428+BK1448</f>
        <v>-0.20000000000000018</v>
      </c>
      <c r="BL1345" s="433">
        <f t="shared" ref="BL1345" si="7343">+BL1386+BL1407+BL1428+BL1448</f>
        <v>-0.20000000000000018</v>
      </c>
      <c r="BM1345" s="433">
        <f>BM1366+BM1386+BM1407+BM1428+BM1448</f>
        <v>0</v>
      </c>
      <c r="BN1345" s="433">
        <f>BN1366+BN1386+BN1407+BN1428+BN1448</f>
        <v>-0.20000000000000018</v>
      </c>
      <c r="BO1345" s="433">
        <f t="shared" ref="BO1345" si="7344">+BO1386+BO1407+BO1428+BO1448</f>
        <v>-0.20000000000000018</v>
      </c>
      <c r="BP1345" s="433">
        <f>BP1366+BP1386+BP1407+BP1428+BP1448</f>
        <v>0</v>
      </c>
      <c r="BQ1345" s="433">
        <f>BQ1366+BQ1386+BQ1407+BQ1428+BQ1448</f>
        <v>-0.20000000000000018</v>
      </c>
      <c r="BR1345" s="433">
        <f t="shared" ref="BR1345" si="7345">+BR1386+BR1407+BR1428+BR1448</f>
        <v>-0.20000000000000018</v>
      </c>
    </row>
    <row r="1346" spans="2:71" outlineLevel="1">
      <c r="C1346" s="584" t="s">
        <v>659</v>
      </c>
      <c r="AP1346" s="9"/>
    </row>
    <row r="1347" spans="2:71" outlineLevel="2">
      <c r="B1347" s="584"/>
      <c r="C1347" s="8" t="s">
        <v>687</v>
      </c>
      <c r="AP1347" s="9"/>
    </row>
    <row r="1348" spans="2:71" outlineLevel="2">
      <c r="C1348" s="8" t="s">
        <v>739</v>
      </c>
      <c r="AP1348" s="9"/>
    </row>
    <row r="1349" spans="2:71" outlineLevel="2">
      <c r="B1349" s="5"/>
      <c r="C1349" s="9" t="s">
        <v>266</v>
      </c>
      <c r="Y1349" s="891" t="s">
        <v>770</v>
      </c>
      <c r="AP1349" s="9"/>
    </row>
    <row r="1350" spans="2:71" outlineLevel="2">
      <c r="B1350" s="5"/>
      <c r="C1350" s="9" t="s">
        <v>262</v>
      </c>
      <c r="Y1350" s="622">
        <v>42860</v>
      </c>
      <c r="AP1350" s="9"/>
    </row>
    <row r="1351" spans="2:71" outlineLevel="2">
      <c r="C1351" s="9" t="s">
        <v>72</v>
      </c>
      <c r="D1351" s="7" t="s">
        <v>58</v>
      </c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Y1351" s="892">
        <f>Y1353*1.5</f>
        <v>19.5</v>
      </c>
      <c r="AC1351" s="11"/>
    </row>
    <row r="1352" spans="2:71" outlineLevel="2">
      <c r="C1352" s="9" t="s">
        <v>76</v>
      </c>
      <c r="D1352" s="74" t="s">
        <v>77</v>
      </c>
      <c r="E1352" s="21"/>
      <c r="F1352" s="21"/>
      <c r="G1352" s="21"/>
      <c r="H1352" s="21"/>
      <c r="I1352" s="21"/>
      <c r="J1352" s="21"/>
      <c r="K1352" s="21"/>
      <c r="L1352" s="21"/>
      <c r="M1352" s="21"/>
      <c r="N1352" s="21"/>
      <c r="O1352" s="21"/>
      <c r="Y1352" s="892">
        <v>10</v>
      </c>
      <c r="AC1352" s="11"/>
      <c r="AE1352" s="849"/>
    </row>
    <row r="1353" spans="2:71" outlineLevel="2">
      <c r="C1353" s="9" t="s">
        <v>55</v>
      </c>
      <c r="D1353" s="7" t="s">
        <v>58</v>
      </c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Y1353" s="623">
        <v>13</v>
      </c>
      <c r="AC1353" s="501"/>
      <c r="AD1353" s="501">
        <f>Y1353*0.5*(1/6)</f>
        <v>1.0833333333333333</v>
      </c>
      <c r="AE1353" s="629">
        <f>SUM(AC1353:AD1353)</f>
        <v>1.0833333333333333</v>
      </c>
      <c r="AF1353" s="493">
        <f>AH1353*0.5</f>
        <v>6.5</v>
      </c>
      <c r="AG1353" s="1023">
        <f>AH1353*0.5</f>
        <v>6.5</v>
      </c>
      <c r="AH1353" s="410">
        <f>Y1353</f>
        <v>13</v>
      </c>
      <c r="AI1353" s="410">
        <f>AF1353</f>
        <v>6.5</v>
      </c>
      <c r="AJ1353" s="410">
        <f>AG1353</f>
        <v>6.5</v>
      </c>
      <c r="AK1353" s="410">
        <f>AI1353+AJ1353</f>
        <v>13</v>
      </c>
      <c r="AL1353" s="410">
        <f>AI1353</f>
        <v>6.5</v>
      </c>
      <c r="AM1353" s="410">
        <f>AJ1353</f>
        <v>6.5</v>
      </c>
      <c r="AN1353" s="410">
        <f>AL1353+AM1353</f>
        <v>13</v>
      </c>
      <c r="AO1353" s="410">
        <f>AL1353</f>
        <v>6.5</v>
      </c>
      <c r="AP1353" s="410">
        <f>AM1353</f>
        <v>6.5</v>
      </c>
      <c r="AQ1353" s="410">
        <f>AO1353+AP1353</f>
        <v>13</v>
      </c>
      <c r="AR1353" s="410">
        <f>AO1353</f>
        <v>6.5</v>
      </c>
      <c r="AS1353" s="410">
        <f>AP1353</f>
        <v>6.5</v>
      </c>
      <c r="AT1353" s="410">
        <f>AR1353+AS1353</f>
        <v>13</v>
      </c>
      <c r="AU1353" s="410">
        <f>AR1353</f>
        <v>6.5</v>
      </c>
      <c r="AV1353" s="410">
        <f>AS1353</f>
        <v>6.5</v>
      </c>
      <c r="AW1353" s="410">
        <f>AU1353+AV1353</f>
        <v>13</v>
      </c>
      <c r="AX1353" s="410">
        <f>AU1353</f>
        <v>6.5</v>
      </c>
      <c r="AY1353" s="410">
        <f>AV1353</f>
        <v>6.5</v>
      </c>
      <c r="AZ1353" s="410">
        <f>AX1353+AY1353</f>
        <v>13</v>
      </c>
      <c r="BA1353" s="410">
        <f>AX1353</f>
        <v>6.5</v>
      </c>
      <c r="BB1353" s="410">
        <f>AY1353</f>
        <v>6.5</v>
      </c>
      <c r="BC1353" s="410">
        <f>BA1353+BB1353</f>
        <v>13</v>
      </c>
      <c r="BD1353" s="410">
        <f>BA1353</f>
        <v>6.5</v>
      </c>
      <c r="BE1353" s="410">
        <f>BB1353</f>
        <v>6.5</v>
      </c>
      <c r="BF1353" s="410">
        <f>BD1353+BE1353</f>
        <v>13</v>
      </c>
      <c r="BG1353" s="410">
        <f>BD1353</f>
        <v>6.5</v>
      </c>
      <c r="BH1353" s="410">
        <f>BE1353</f>
        <v>6.5</v>
      </c>
      <c r="BI1353" s="410">
        <f>BG1353+BH1353</f>
        <v>13</v>
      </c>
      <c r="BJ1353" s="410">
        <f>BG1353</f>
        <v>6.5</v>
      </c>
      <c r="BK1353" s="410">
        <f>BH1353</f>
        <v>6.5</v>
      </c>
      <c r="BL1353" s="410">
        <f>BJ1353+BK1353</f>
        <v>13</v>
      </c>
      <c r="BM1353" s="410">
        <f>BJ1353</f>
        <v>6.5</v>
      </c>
      <c r="BN1353" s="410">
        <f>BK1353</f>
        <v>6.5</v>
      </c>
      <c r="BO1353" s="410">
        <f>BM1353+BN1353</f>
        <v>13</v>
      </c>
      <c r="BP1353" s="410">
        <f>BM1353</f>
        <v>6.5</v>
      </c>
      <c r="BQ1353" s="410">
        <f>BN1353</f>
        <v>6.5</v>
      </c>
      <c r="BR1353" s="410">
        <f>BP1353+BQ1353</f>
        <v>13</v>
      </c>
    </row>
    <row r="1354" spans="2:71" outlineLevel="2">
      <c r="C1354" s="9" t="s">
        <v>56</v>
      </c>
      <c r="D1354" s="7" t="s">
        <v>58</v>
      </c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Y1354" s="624">
        <f>Y1357-Y1356</f>
        <v>3.5</v>
      </c>
      <c r="AC1354" s="501"/>
      <c r="AD1354" s="501">
        <f>Y1354*0.5*(1/6)</f>
        <v>0.29166666666666663</v>
      </c>
      <c r="AE1354" s="629">
        <f>SUM(AC1354:AD1354)</f>
        <v>0.29166666666666663</v>
      </c>
      <c r="AF1354" s="925">
        <f>+AF1355*AF1353</f>
        <v>1.75</v>
      </c>
      <c r="AG1354" s="1057">
        <f>+AG1355*AG1353</f>
        <v>1.75</v>
      </c>
      <c r="AH1354" s="28">
        <f>+AG1354+AF1354</f>
        <v>3.5</v>
      </c>
      <c r="AI1354" s="630">
        <f>AI1355*AI1353</f>
        <v>1.75</v>
      </c>
      <c r="AJ1354" s="630">
        <f>AJ1355*AJ1353</f>
        <v>1.75</v>
      </c>
      <c r="AK1354" s="28">
        <f>AI1354+AJ1354</f>
        <v>3.5</v>
      </c>
      <c r="AL1354" s="630">
        <f>AL1355*AL1353</f>
        <v>1.75</v>
      </c>
      <c r="AM1354" s="630">
        <f>AM1355*AM1353</f>
        <v>1.75</v>
      </c>
      <c r="AN1354" s="28">
        <f>AL1354+AM1354</f>
        <v>3.5</v>
      </c>
      <c r="AO1354" s="630">
        <f>AO1355*AO1353</f>
        <v>1.75</v>
      </c>
      <c r="AP1354" s="630">
        <f>AP1355*AP1353</f>
        <v>1.75</v>
      </c>
      <c r="AQ1354" s="28">
        <f>AO1354+AP1354</f>
        <v>3.5</v>
      </c>
      <c r="AR1354" s="630">
        <f>AR1355*AR1353</f>
        <v>1.75</v>
      </c>
      <c r="AS1354" s="630">
        <f>AS1355*AS1353</f>
        <v>1.75</v>
      </c>
      <c r="AT1354" s="28">
        <f>AR1354+AS1354</f>
        <v>3.5</v>
      </c>
      <c r="AU1354" s="630">
        <f>AU1355*AU1353</f>
        <v>1.75</v>
      </c>
      <c r="AV1354" s="630">
        <f>AV1355*AV1353</f>
        <v>1.75</v>
      </c>
      <c r="AW1354" s="28">
        <f>AU1354+AV1354</f>
        <v>3.5</v>
      </c>
      <c r="AX1354" s="630">
        <f>AX1355*AX1353</f>
        <v>1.75</v>
      </c>
      <c r="AY1354" s="630">
        <f>AY1355*AY1353</f>
        <v>1.75</v>
      </c>
      <c r="AZ1354" s="28">
        <f>AX1354+AY1354</f>
        <v>3.5</v>
      </c>
      <c r="BA1354" s="630">
        <f>BA1355*BA1353</f>
        <v>1.75</v>
      </c>
      <c r="BB1354" s="630">
        <f>BB1355*BB1353</f>
        <v>1.75</v>
      </c>
      <c r="BC1354" s="28">
        <f>BA1354+BB1354</f>
        <v>3.5</v>
      </c>
      <c r="BD1354" s="630">
        <f>BD1355*BD1353</f>
        <v>1.75</v>
      </c>
      <c r="BE1354" s="630">
        <f>BE1355*BE1353</f>
        <v>1.75</v>
      </c>
      <c r="BF1354" s="28">
        <f>BD1354+BE1354</f>
        <v>3.5</v>
      </c>
      <c r="BG1354" s="630">
        <f>BG1355*BG1353</f>
        <v>1.75</v>
      </c>
      <c r="BH1354" s="630">
        <f>BH1355*BH1353</f>
        <v>1.75</v>
      </c>
      <c r="BI1354" s="28">
        <f>BG1354+BH1354</f>
        <v>3.5</v>
      </c>
      <c r="BJ1354" s="630">
        <f>BJ1355*BJ1353</f>
        <v>1.75</v>
      </c>
      <c r="BK1354" s="630">
        <f>BK1355*BK1353</f>
        <v>1.75</v>
      </c>
      <c r="BL1354" s="28">
        <f>BJ1354+BK1354</f>
        <v>3.5</v>
      </c>
      <c r="BM1354" s="630">
        <f>BM1355*BM1353</f>
        <v>1.75</v>
      </c>
      <c r="BN1354" s="630">
        <f>BN1355*BN1353</f>
        <v>1.75</v>
      </c>
      <c r="BO1354" s="28">
        <f>BM1354+BN1354</f>
        <v>3.5</v>
      </c>
      <c r="BP1354" s="630">
        <f>BP1355*BP1353</f>
        <v>1.75</v>
      </c>
      <c r="BQ1354" s="630">
        <f>BQ1355*BQ1353</f>
        <v>1.75</v>
      </c>
      <c r="BR1354" s="28">
        <f>BP1354+BQ1354</f>
        <v>3.5</v>
      </c>
    </row>
    <row r="1355" spans="2:71" outlineLevel="2">
      <c r="C1355" s="108" t="s">
        <v>73</v>
      </c>
      <c r="D1355" s="7" t="s">
        <v>66</v>
      </c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Y1355" s="625">
        <f>Y1354/Y1353</f>
        <v>0.26923076923076922</v>
      </c>
      <c r="AC1355" s="20"/>
      <c r="AD1355" s="20">
        <f>+AD1354/AD1353</f>
        <v>0.26923076923076922</v>
      </c>
      <c r="AE1355" s="850">
        <f>+AE1354/AE1353</f>
        <v>0.26923076923076922</v>
      </c>
      <c r="AF1355" s="166">
        <f>Y1355</f>
        <v>0.26923076923076922</v>
      </c>
      <c r="AG1355" s="947">
        <f>Y1355</f>
        <v>0.26923076923076922</v>
      </c>
      <c r="AH1355" s="20">
        <f>AH1354/AH1353</f>
        <v>0.26923076923076922</v>
      </c>
      <c r="AI1355" s="22">
        <f>AF1355</f>
        <v>0.26923076923076922</v>
      </c>
      <c r="AJ1355" s="22">
        <f>AG1355</f>
        <v>0.26923076923076922</v>
      </c>
      <c r="AK1355" s="20">
        <f>AK1354/AK1353</f>
        <v>0.26923076923076922</v>
      </c>
      <c r="AL1355" s="22">
        <f>AI1355</f>
        <v>0.26923076923076922</v>
      </c>
      <c r="AM1355" s="22">
        <f>AJ1355</f>
        <v>0.26923076923076922</v>
      </c>
      <c r="AN1355" s="20">
        <f>AN1354/AN1353</f>
        <v>0.26923076923076922</v>
      </c>
      <c r="AO1355" s="22">
        <f>AL1355</f>
        <v>0.26923076923076922</v>
      </c>
      <c r="AP1355" s="22">
        <f>AM1355</f>
        <v>0.26923076923076922</v>
      </c>
      <c r="AQ1355" s="20">
        <f>AQ1354/AQ1353</f>
        <v>0.26923076923076922</v>
      </c>
      <c r="AR1355" s="22">
        <f>AO1355</f>
        <v>0.26923076923076922</v>
      </c>
      <c r="AS1355" s="22">
        <f>AP1355</f>
        <v>0.26923076923076922</v>
      </c>
      <c r="AT1355" s="20">
        <f>AT1354/AT1353</f>
        <v>0.26923076923076922</v>
      </c>
      <c r="AU1355" s="22">
        <f>AR1355</f>
        <v>0.26923076923076922</v>
      </c>
      <c r="AV1355" s="22">
        <f>AS1355</f>
        <v>0.26923076923076922</v>
      </c>
      <c r="AW1355" s="20">
        <f>AW1354/AW1353</f>
        <v>0.26923076923076922</v>
      </c>
      <c r="AX1355" s="22">
        <f>AU1355</f>
        <v>0.26923076923076922</v>
      </c>
      <c r="AY1355" s="22">
        <f>AV1355</f>
        <v>0.26923076923076922</v>
      </c>
      <c r="AZ1355" s="20">
        <f>AZ1354/AZ1353</f>
        <v>0.26923076923076922</v>
      </c>
      <c r="BA1355" s="22">
        <f>AX1355</f>
        <v>0.26923076923076922</v>
      </c>
      <c r="BB1355" s="22">
        <f>AY1355</f>
        <v>0.26923076923076922</v>
      </c>
      <c r="BC1355" s="20">
        <f>BC1354/BC1353</f>
        <v>0.26923076923076922</v>
      </c>
      <c r="BD1355" s="22">
        <f>BA1355</f>
        <v>0.26923076923076922</v>
      </c>
      <c r="BE1355" s="22">
        <f>BB1355</f>
        <v>0.26923076923076922</v>
      </c>
      <c r="BF1355" s="20">
        <f>BF1354/BF1353</f>
        <v>0.26923076923076922</v>
      </c>
      <c r="BG1355" s="22">
        <f>BD1355</f>
        <v>0.26923076923076922</v>
      </c>
      <c r="BH1355" s="22">
        <f>BE1355</f>
        <v>0.26923076923076922</v>
      </c>
      <c r="BI1355" s="20">
        <f>BI1354/BI1353</f>
        <v>0.26923076923076922</v>
      </c>
      <c r="BJ1355" s="22">
        <f>BG1355</f>
        <v>0.26923076923076922</v>
      </c>
      <c r="BK1355" s="22">
        <f>BH1355</f>
        <v>0.26923076923076922</v>
      </c>
      <c r="BL1355" s="20">
        <f>BL1354/BL1353</f>
        <v>0.26923076923076922</v>
      </c>
      <c r="BM1355" s="22">
        <f>BJ1355</f>
        <v>0.26923076923076922</v>
      </c>
      <c r="BN1355" s="22">
        <f>BK1355</f>
        <v>0.26923076923076922</v>
      </c>
      <c r="BO1355" s="20">
        <f>BO1354/BO1353</f>
        <v>0.26923076923076922</v>
      </c>
      <c r="BP1355" s="22">
        <f>BM1355</f>
        <v>0.26923076923076922</v>
      </c>
      <c r="BQ1355" s="22">
        <f>BN1355</f>
        <v>0.26923076923076922</v>
      </c>
      <c r="BR1355" s="20">
        <f>BR1354/BR1353</f>
        <v>0.26923076923076922</v>
      </c>
    </row>
    <row r="1356" spans="2:71" outlineLevel="2">
      <c r="C1356" s="9" t="s">
        <v>65</v>
      </c>
      <c r="D1356" s="7" t="s">
        <v>58</v>
      </c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Y1356" s="894">
        <v>-0.5</v>
      </c>
      <c r="AC1356" s="13"/>
      <c r="AD1356" s="501">
        <f>Y1356*0.5*(1/6)</f>
        <v>-4.1666666666666664E-2</v>
      </c>
      <c r="AE1356" s="26">
        <f>SUM(AC1356:AD1356)</f>
        <v>-4.1666666666666664E-2</v>
      </c>
      <c r="AF1356" s="167">
        <f>AH1356*0.5</f>
        <v>-0.25</v>
      </c>
      <c r="AG1356" s="1018">
        <f>AH1356*0.5</f>
        <v>-0.25</v>
      </c>
      <c r="AH1356" s="13">
        <f>Y1356</f>
        <v>-0.5</v>
      </c>
      <c r="AI1356" s="13">
        <f>AF1356</f>
        <v>-0.25</v>
      </c>
      <c r="AJ1356" s="13">
        <f>AG1356</f>
        <v>-0.25</v>
      </c>
      <c r="AK1356" s="13">
        <f>AI1356+AJ1356</f>
        <v>-0.5</v>
      </c>
      <c r="AL1356" s="13">
        <f>AI1356</f>
        <v>-0.25</v>
      </c>
      <c r="AM1356" s="13">
        <f>AJ1356</f>
        <v>-0.25</v>
      </c>
      <c r="AN1356" s="13">
        <f>AL1356+AM1356</f>
        <v>-0.5</v>
      </c>
      <c r="AO1356" s="13">
        <f>AL1356</f>
        <v>-0.25</v>
      </c>
      <c r="AP1356" s="13">
        <f>AM1356</f>
        <v>-0.25</v>
      </c>
      <c r="AQ1356" s="13">
        <f>AO1356+AP1356</f>
        <v>-0.5</v>
      </c>
      <c r="AR1356" s="13">
        <f>AO1356</f>
        <v>-0.25</v>
      </c>
      <c r="AS1356" s="13">
        <f>AP1356</f>
        <v>-0.25</v>
      </c>
      <c r="AT1356" s="13">
        <f>AR1356+AS1356</f>
        <v>-0.5</v>
      </c>
      <c r="AU1356" s="13">
        <f>AR1356</f>
        <v>-0.25</v>
      </c>
      <c r="AV1356" s="13">
        <f>AS1356</f>
        <v>-0.25</v>
      </c>
      <c r="AW1356" s="13">
        <f>AU1356+AV1356</f>
        <v>-0.5</v>
      </c>
      <c r="AX1356" s="13">
        <f>AU1356</f>
        <v>-0.25</v>
      </c>
      <c r="AY1356" s="13">
        <f>AV1356</f>
        <v>-0.25</v>
      </c>
      <c r="AZ1356" s="13">
        <f>AX1356+AY1356</f>
        <v>-0.5</v>
      </c>
      <c r="BA1356" s="13">
        <f>AX1356</f>
        <v>-0.25</v>
      </c>
      <c r="BB1356" s="13">
        <f>AY1356</f>
        <v>-0.25</v>
      </c>
      <c r="BC1356" s="13">
        <f>BA1356+BB1356</f>
        <v>-0.5</v>
      </c>
      <c r="BD1356" s="13">
        <f>BA1356</f>
        <v>-0.25</v>
      </c>
      <c r="BE1356" s="13">
        <f>BB1356</f>
        <v>-0.25</v>
      </c>
      <c r="BF1356" s="13">
        <f>BD1356+BE1356</f>
        <v>-0.5</v>
      </c>
      <c r="BG1356" s="13">
        <f>BD1356</f>
        <v>-0.25</v>
      </c>
      <c r="BH1356" s="13">
        <f>BE1356</f>
        <v>-0.25</v>
      </c>
      <c r="BI1356" s="13">
        <f>BG1356+BH1356</f>
        <v>-0.5</v>
      </c>
      <c r="BJ1356" s="13">
        <f>BG1356</f>
        <v>-0.25</v>
      </c>
      <c r="BK1356" s="13">
        <f>BH1356</f>
        <v>-0.25</v>
      </c>
      <c r="BL1356" s="13">
        <f>BJ1356+BK1356</f>
        <v>-0.5</v>
      </c>
      <c r="BM1356" s="13">
        <f>BJ1356</f>
        <v>-0.25</v>
      </c>
      <c r="BN1356" s="13">
        <f>BK1356</f>
        <v>-0.25</v>
      </c>
      <c r="BO1356" s="13">
        <f>BM1356+BN1356</f>
        <v>-0.5</v>
      </c>
      <c r="BP1356" s="13">
        <f>BM1356</f>
        <v>-0.25</v>
      </c>
      <c r="BQ1356" s="13">
        <f>BN1356</f>
        <v>-0.25</v>
      </c>
      <c r="BR1356" s="13">
        <f>BP1356+BQ1356</f>
        <v>-0.5</v>
      </c>
      <c r="BS1356" s="30"/>
    </row>
    <row r="1357" spans="2:71" outlineLevel="2">
      <c r="C1357" s="9" t="s">
        <v>78</v>
      </c>
      <c r="D1357" s="7" t="s">
        <v>58</v>
      </c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Y1357" s="626">
        <f>Y1362-Y1360</f>
        <v>3</v>
      </c>
      <c r="AC1357" s="28"/>
      <c r="AD1357" s="28">
        <f>AD1354+AD1356</f>
        <v>0.24999999999999997</v>
      </c>
      <c r="AE1357" s="629">
        <f>SUM(AC1357:AD1357)</f>
        <v>0.24999999999999997</v>
      </c>
      <c r="AF1357" s="493">
        <f>AF1354+AF1356</f>
        <v>1.5</v>
      </c>
      <c r="AG1357" s="1008">
        <f>AG1354+AG1356</f>
        <v>1.5</v>
      </c>
      <c r="AH1357" s="28">
        <f>Y1357</f>
        <v>3</v>
      </c>
      <c r="AI1357" s="28">
        <f>AI1354+AI1356</f>
        <v>1.5</v>
      </c>
      <c r="AJ1357" s="28">
        <f>AJ1354+AJ1356</f>
        <v>1.5</v>
      </c>
      <c r="AK1357" s="28">
        <f>AI1357+AJ1357</f>
        <v>3</v>
      </c>
      <c r="AL1357" s="28">
        <f>AL1354+AL1356</f>
        <v>1.5</v>
      </c>
      <c r="AM1357" s="28">
        <f>AM1354+AM1356</f>
        <v>1.5</v>
      </c>
      <c r="AN1357" s="28">
        <f>AL1357+AM1357</f>
        <v>3</v>
      </c>
      <c r="AO1357" s="28">
        <f>AO1354+AO1356</f>
        <v>1.5</v>
      </c>
      <c r="AP1357" s="28">
        <f>AP1354+AP1356</f>
        <v>1.5</v>
      </c>
      <c r="AQ1357" s="28">
        <f>AO1357+AP1357</f>
        <v>3</v>
      </c>
      <c r="AR1357" s="28">
        <f>AR1354+AR1356</f>
        <v>1.5</v>
      </c>
      <c r="AS1357" s="28">
        <f>AS1354+AS1356</f>
        <v>1.5</v>
      </c>
      <c r="AT1357" s="28">
        <f>AR1357+AS1357</f>
        <v>3</v>
      </c>
      <c r="AU1357" s="28">
        <f>AU1354+AU1356</f>
        <v>1.5</v>
      </c>
      <c r="AV1357" s="28">
        <f>AV1354+AV1356</f>
        <v>1.5</v>
      </c>
      <c r="AW1357" s="28">
        <f>AU1357+AV1357</f>
        <v>3</v>
      </c>
      <c r="AX1357" s="28">
        <f>AX1354+AX1356</f>
        <v>1.5</v>
      </c>
      <c r="AY1357" s="28">
        <f>AY1354+AY1356</f>
        <v>1.5</v>
      </c>
      <c r="AZ1357" s="28">
        <f>AX1357+AY1357</f>
        <v>3</v>
      </c>
      <c r="BA1357" s="28">
        <f>BA1354+BA1356</f>
        <v>1.5</v>
      </c>
      <c r="BB1357" s="28">
        <f>BB1354+BB1356</f>
        <v>1.5</v>
      </c>
      <c r="BC1357" s="28">
        <f>BA1357+BB1357</f>
        <v>3</v>
      </c>
      <c r="BD1357" s="28">
        <f>BD1354+BD1356</f>
        <v>1.5</v>
      </c>
      <c r="BE1357" s="28">
        <f>BE1354+BE1356</f>
        <v>1.5</v>
      </c>
      <c r="BF1357" s="28">
        <f>BD1357+BE1357</f>
        <v>3</v>
      </c>
      <c r="BG1357" s="28">
        <f>BG1354+BG1356</f>
        <v>1.5</v>
      </c>
      <c r="BH1357" s="28">
        <f>BH1354+BH1356</f>
        <v>1.5</v>
      </c>
      <c r="BI1357" s="28">
        <f>BG1357+BH1357</f>
        <v>3</v>
      </c>
      <c r="BJ1357" s="28">
        <f>BJ1354+BJ1356</f>
        <v>1.5</v>
      </c>
      <c r="BK1357" s="28">
        <f>BK1354+BK1356</f>
        <v>1.5</v>
      </c>
      <c r="BL1357" s="28">
        <f>BJ1357+BK1357</f>
        <v>3</v>
      </c>
      <c r="BM1357" s="28">
        <f>BM1354+BM1356</f>
        <v>1.5</v>
      </c>
      <c r="BN1357" s="28">
        <f>BN1354+BN1356</f>
        <v>1.5</v>
      </c>
      <c r="BO1357" s="28">
        <f>BM1357+BN1357</f>
        <v>3</v>
      </c>
      <c r="BP1357" s="28">
        <f>BP1354+BP1356</f>
        <v>1.5</v>
      </c>
      <c r="BQ1357" s="28">
        <f>BQ1354+BQ1356</f>
        <v>1.5</v>
      </c>
      <c r="BR1357" s="28">
        <f>BP1357+BQ1357</f>
        <v>3</v>
      </c>
      <c r="BS1357" s="30"/>
    </row>
    <row r="1358" spans="2:71" outlineLevel="2">
      <c r="C1358" s="93" t="s">
        <v>74</v>
      </c>
      <c r="D1358" s="31" t="s">
        <v>66</v>
      </c>
      <c r="E1358" s="31"/>
      <c r="F1358" s="31"/>
      <c r="G1358" s="31"/>
      <c r="H1358" s="31"/>
      <c r="I1358" s="31"/>
      <c r="J1358" s="31"/>
      <c r="K1358" s="31"/>
      <c r="L1358" s="31"/>
      <c r="M1358" s="31"/>
      <c r="N1358" s="31"/>
      <c r="O1358" s="31"/>
      <c r="P1358" s="30"/>
      <c r="Q1358" s="30"/>
      <c r="R1358" s="30"/>
      <c r="S1358" s="30"/>
      <c r="T1358" s="30"/>
      <c r="U1358" s="30"/>
      <c r="V1358" s="30"/>
      <c r="W1358" s="30"/>
      <c r="X1358" s="30"/>
      <c r="Y1358" s="627">
        <f>Y1357/Y1353</f>
        <v>0.23076923076923078</v>
      </c>
      <c r="AC1358" s="202"/>
      <c r="AD1358" s="202">
        <f t="shared" ref="AD1358:BR1358" si="7346">+AD1357/AD1353</f>
        <v>0.23076923076923075</v>
      </c>
      <c r="AE1358" s="801">
        <f t="shared" si="7346"/>
        <v>0.23076923076923075</v>
      </c>
      <c r="AF1358" s="801">
        <f t="shared" si="7346"/>
        <v>0.23076923076923078</v>
      </c>
      <c r="AG1358" s="1058">
        <f t="shared" si="7346"/>
        <v>0.23076923076923078</v>
      </c>
      <c r="AH1358" s="202">
        <f t="shared" si="7346"/>
        <v>0.23076923076923078</v>
      </c>
      <c r="AI1358" s="202">
        <f t="shared" si="7346"/>
        <v>0.23076923076923078</v>
      </c>
      <c r="AJ1358" s="202">
        <f t="shared" si="7346"/>
        <v>0.23076923076923078</v>
      </c>
      <c r="AK1358" s="202">
        <f t="shared" si="7346"/>
        <v>0.23076923076923078</v>
      </c>
      <c r="AL1358" s="202">
        <f t="shared" ref="AL1358:AM1358" si="7347">+AL1357/AL1353</f>
        <v>0.23076923076923078</v>
      </c>
      <c r="AM1358" s="202">
        <f t="shared" si="7347"/>
        <v>0.23076923076923078</v>
      </c>
      <c r="AN1358" s="202">
        <f t="shared" si="7346"/>
        <v>0.23076923076923078</v>
      </c>
      <c r="AO1358" s="202">
        <f t="shared" ref="AO1358:AP1358" si="7348">+AO1357/AO1353</f>
        <v>0.23076923076923078</v>
      </c>
      <c r="AP1358" s="202">
        <f t="shared" si="7348"/>
        <v>0.23076923076923078</v>
      </c>
      <c r="AQ1358" s="202">
        <f t="shared" si="7346"/>
        <v>0.23076923076923078</v>
      </c>
      <c r="AR1358" s="202">
        <f t="shared" ref="AR1358:AS1358" si="7349">+AR1357/AR1353</f>
        <v>0.23076923076923078</v>
      </c>
      <c r="AS1358" s="202">
        <f t="shared" si="7349"/>
        <v>0.23076923076923078</v>
      </c>
      <c r="AT1358" s="202">
        <f t="shared" si="7346"/>
        <v>0.23076923076923078</v>
      </c>
      <c r="AU1358" s="202">
        <f t="shared" ref="AU1358:AV1358" si="7350">+AU1357/AU1353</f>
        <v>0.23076923076923078</v>
      </c>
      <c r="AV1358" s="202">
        <f t="shared" si="7350"/>
        <v>0.23076923076923078</v>
      </c>
      <c r="AW1358" s="202">
        <f t="shared" si="7346"/>
        <v>0.23076923076923078</v>
      </c>
      <c r="AX1358" s="202">
        <f t="shared" ref="AX1358:AY1358" si="7351">+AX1357/AX1353</f>
        <v>0.23076923076923078</v>
      </c>
      <c r="AY1358" s="202">
        <f t="shared" si="7351"/>
        <v>0.23076923076923078</v>
      </c>
      <c r="AZ1358" s="202">
        <f t="shared" si="7346"/>
        <v>0.23076923076923078</v>
      </c>
      <c r="BA1358" s="202">
        <f t="shared" ref="BA1358:BB1358" si="7352">+BA1357/BA1353</f>
        <v>0.23076923076923078</v>
      </c>
      <c r="BB1358" s="202">
        <f t="shared" si="7352"/>
        <v>0.23076923076923078</v>
      </c>
      <c r="BC1358" s="202">
        <f t="shared" si="7346"/>
        <v>0.23076923076923078</v>
      </c>
      <c r="BD1358" s="202">
        <f t="shared" ref="BD1358:BE1358" si="7353">+BD1357/BD1353</f>
        <v>0.23076923076923078</v>
      </c>
      <c r="BE1358" s="202">
        <f t="shared" si="7353"/>
        <v>0.23076923076923078</v>
      </c>
      <c r="BF1358" s="202">
        <f t="shared" si="7346"/>
        <v>0.23076923076923078</v>
      </c>
      <c r="BG1358" s="202">
        <f t="shared" ref="BG1358:BH1358" si="7354">+BG1357/BG1353</f>
        <v>0.23076923076923078</v>
      </c>
      <c r="BH1358" s="202">
        <f t="shared" si="7354"/>
        <v>0.23076923076923078</v>
      </c>
      <c r="BI1358" s="202">
        <f t="shared" si="7346"/>
        <v>0.23076923076923078</v>
      </c>
      <c r="BJ1358" s="202">
        <f t="shared" ref="BJ1358:BK1358" si="7355">+BJ1357/BJ1353</f>
        <v>0.23076923076923078</v>
      </c>
      <c r="BK1358" s="202">
        <f t="shared" si="7355"/>
        <v>0.23076923076923078</v>
      </c>
      <c r="BL1358" s="202">
        <f t="shared" si="7346"/>
        <v>0.23076923076923078</v>
      </c>
      <c r="BM1358" s="202">
        <f t="shared" ref="BM1358:BN1358" si="7356">+BM1357/BM1353</f>
        <v>0.23076923076923078</v>
      </c>
      <c r="BN1358" s="202">
        <f t="shared" si="7356"/>
        <v>0.23076923076923078</v>
      </c>
      <c r="BO1358" s="202">
        <f t="shared" si="7346"/>
        <v>0.23076923076923078</v>
      </c>
      <c r="BP1358" s="202">
        <f t="shared" ref="BP1358:BQ1358" si="7357">+BP1357/BP1353</f>
        <v>0.23076923076923078</v>
      </c>
      <c r="BQ1358" s="202">
        <f t="shared" si="7357"/>
        <v>0.23076923076923078</v>
      </c>
      <c r="BR1358" s="202">
        <f t="shared" si="7346"/>
        <v>0.23076923076923078</v>
      </c>
      <c r="BS1358" s="30"/>
    </row>
    <row r="1359" spans="2:71" outlineLevel="2">
      <c r="C1359" s="84" t="s">
        <v>90</v>
      </c>
      <c r="D1359" s="31" t="s">
        <v>58</v>
      </c>
      <c r="E1359" s="31"/>
      <c r="F1359" s="31"/>
      <c r="G1359" s="31"/>
      <c r="H1359" s="31"/>
      <c r="I1359" s="31"/>
      <c r="J1359" s="31"/>
      <c r="K1359" s="31"/>
      <c r="L1359" s="31"/>
      <c r="M1359" s="31"/>
      <c r="N1359" s="31"/>
      <c r="O1359" s="31"/>
      <c r="Q1359" s="30"/>
      <c r="R1359" s="30"/>
      <c r="S1359" s="30"/>
      <c r="T1359" s="30"/>
      <c r="U1359" s="30"/>
      <c r="V1359" s="30"/>
      <c r="W1359" s="30"/>
      <c r="X1359" s="30"/>
      <c r="Y1359" s="628"/>
      <c r="AC1359" s="150"/>
      <c r="AD1359" s="897">
        <f>+AD1360-AA1360</f>
        <v>0</v>
      </c>
      <c r="AE1359" s="898">
        <f>+AE1360-AB1360</f>
        <v>0</v>
      </c>
      <c r="AF1359" s="918">
        <v>0</v>
      </c>
      <c r="AG1359" s="1059">
        <v>0.25</v>
      </c>
      <c r="AH1359" s="178">
        <f>AF1359+AG1359</f>
        <v>0.25</v>
      </c>
      <c r="AI1359" s="899">
        <v>0.25</v>
      </c>
      <c r="AJ1359" s="899">
        <v>0.25</v>
      </c>
      <c r="AK1359" s="178">
        <f>AI1359+AJ1359</f>
        <v>0.5</v>
      </c>
      <c r="AL1359" s="899">
        <v>0.25</v>
      </c>
      <c r="AM1359" s="899">
        <v>0</v>
      </c>
      <c r="AN1359" s="178">
        <f>AL1359+AM1359</f>
        <v>0.25</v>
      </c>
      <c r="AO1359" s="899">
        <v>0</v>
      </c>
      <c r="AP1359" s="899">
        <v>0</v>
      </c>
      <c r="AQ1359" s="178">
        <f>AO1359+AP1359</f>
        <v>0</v>
      </c>
      <c r="AR1359" s="899">
        <v>0</v>
      </c>
      <c r="AS1359" s="899">
        <v>0</v>
      </c>
      <c r="AT1359" s="178">
        <f>AR1359+AS1359</f>
        <v>0</v>
      </c>
      <c r="AU1359" s="899">
        <v>0</v>
      </c>
      <c r="AV1359" s="899">
        <v>0</v>
      </c>
      <c r="AW1359" s="178">
        <f>AU1359+AV1359</f>
        <v>0</v>
      </c>
      <c r="AX1359" s="899">
        <v>0</v>
      </c>
      <c r="AY1359" s="899">
        <v>0</v>
      </c>
      <c r="AZ1359" s="178">
        <f>AX1359+AY1359</f>
        <v>0</v>
      </c>
      <c r="BA1359" s="899">
        <v>0</v>
      </c>
      <c r="BB1359" s="899">
        <v>0</v>
      </c>
      <c r="BC1359" s="178">
        <f>BA1359+BB1359</f>
        <v>0</v>
      </c>
      <c r="BD1359" s="899">
        <v>0</v>
      </c>
      <c r="BE1359" s="899">
        <v>0</v>
      </c>
      <c r="BF1359" s="178">
        <f>BD1359+BE1359</f>
        <v>0</v>
      </c>
      <c r="BG1359" s="899">
        <v>0</v>
      </c>
      <c r="BH1359" s="899">
        <v>0</v>
      </c>
      <c r="BI1359" s="178">
        <f>BG1359+BH1359</f>
        <v>0</v>
      </c>
      <c r="BJ1359" s="899">
        <v>0</v>
      </c>
      <c r="BK1359" s="899">
        <v>0</v>
      </c>
      <c r="BL1359" s="178">
        <f>BJ1359+BK1359</f>
        <v>0</v>
      </c>
      <c r="BM1359" s="899">
        <v>0</v>
      </c>
      <c r="BN1359" s="899">
        <v>0</v>
      </c>
      <c r="BO1359" s="178">
        <f>BM1359+BN1359</f>
        <v>0</v>
      </c>
      <c r="BP1359" s="899">
        <v>0</v>
      </c>
      <c r="BQ1359" s="899">
        <v>0</v>
      </c>
      <c r="BR1359" s="178">
        <f>BP1359+BQ1359</f>
        <v>0</v>
      </c>
      <c r="BS1359" s="30"/>
    </row>
    <row r="1360" spans="2:71" outlineLevel="2">
      <c r="C1360" s="9" t="s">
        <v>89</v>
      </c>
      <c r="D1360" s="7" t="s">
        <v>58</v>
      </c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Y1360" s="896">
        <v>1</v>
      </c>
      <c r="AC1360" s="435"/>
      <c r="AD1360" s="407">
        <v>0</v>
      </c>
      <c r="AE1360" s="171">
        <f>+AD1360+AC1360</f>
        <v>0</v>
      </c>
      <c r="AF1360" s="376">
        <f>AC1360+AF1359</f>
        <v>0</v>
      </c>
      <c r="AG1360" s="1002">
        <f>AD1360+AG1359</f>
        <v>0.25</v>
      </c>
      <c r="AH1360" s="347">
        <f>AF1360+AG1360</f>
        <v>0.25</v>
      </c>
      <c r="AI1360" s="42">
        <f>AF1360+AI1359</f>
        <v>0.25</v>
      </c>
      <c r="AJ1360" s="42">
        <f>AG1360+AJ1359</f>
        <v>0.5</v>
      </c>
      <c r="AK1360" s="347">
        <f>AI1360+AJ1360</f>
        <v>0.75</v>
      </c>
      <c r="AL1360" s="42">
        <f>AI1360+AL1359</f>
        <v>0.5</v>
      </c>
      <c r="AM1360" s="42">
        <f>AJ1360+AM1359</f>
        <v>0.5</v>
      </c>
      <c r="AN1360" s="347">
        <f>AL1360+AM1360</f>
        <v>1</v>
      </c>
      <c r="AO1360" s="42">
        <f>AL1360+AO1359</f>
        <v>0.5</v>
      </c>
      <c r="AP1360" s="42">
        <f>AM1360+AP1359</f>
        <v>0.5</v>
      </c>
      <c r="AQ1360" s="347">
        <f>AO1360+AP1360</f>
        <v>1</v>
      </c>
      <c r="AR1360" s="42">
        <f>AO1360+AR1359</f>
        <v>0.5</v>
      </c>
      <c r="AS1360" s="42">
        <f>AP1360+AS1359</f>
        <v>0.5</v>
      </c>
      <c r="AT1360" s="347">
        <f>AR1360+AS1360</f>
        <v>1</v>
      </c>
      <c r="AU1360" s="42">
        <f>AR1360+AU1359</f>
        <v>0.5</v>
      </c>
      <c r="AV1360" s="42">
        <f>AS1360+AV1359</f>
        <v>0.5</v>
      </c>
      <c r="AW1360" s="347">
        <f>AU1360+AV1360</f>
        <v>1</v>
      </c>
      <c r="AX1360" s="42">
        <f>AU1360+AX1359</f>
        <v>0.5</v>
      </c>
      <c r="AY1360" s="42">
        <f>AV1360+AY1359</f>
        <v>0.5</v>
      </c>
      <c r="AZ1360" s="347">
        <f>AX1360+AY1360</f>
        <v>1</v>
      </c>
      <c r="BA1360" s="42">
        <f>AX1360+BA1359</f>
        <v>0.5</v>
      </c>
      <c r="BB1360" s="42">
        <f>AY1360+BB1359</f>
        <v>0.5</v>
      </c>
      <c r="BC1360" s="347">
        <f>BA1360+BB1360</f>
        <v>1</v>
      </c>
      <c r="BD1360" s="42">
        <f>BA1360+BD1359</f>
        <v>0.5</v>
      </c>
      <c r="BE1360" s="42">
        <f>BB1360+BE1359</f>
        <v>0.5</v>
      </c>
      <c r="BF1360" s="347">
        <f>BD1360+BE1360</f>
        <v>1</v>
      </c>
      <c r="BG1360" s="42">
        <f>BD1360+BG1359</f>
        <v>0.5</v>
      </c>
      <c r="BH1360" s="42">
        <f>BE1360+BH1359</f>
        <v>0.5</v>
      </c>
      <c r="BI1360" s="347">
        <f>BG1360+BH1360</f>
        <v>1</v>
      </c>
      <c r="BJ1360" s="42">
        <f>BG1360+BJ1359</f>
        <v>0.5</v>
      </c>
      <c r="BK1360" s="42">
        <f>BH1360+BK1359</f>
        <v>0.5</v>
      </c>
      <c r="BL1360" s="347">
        <f>BJ1360+BK1360</f>
        <v>1</v>
      </c>
      <c r="BM1360" s="42">
        <f>BJ1360+BM1359</f>
        <v>0.5</v>
      </c>
      <c r="BN1360" s="42">
        <f>BK1360+BN1359</f>
        <v>0.5</v>
      </c>
      <c r="BO1360" s="347">
        <f>BM1360+BN1360</f>
        <v>1</v>
      </c>
      <c r="BP1360" s="42">
        <f>BM1360+BP1359</f>
        <v>0.5</v>
      </c>
      <c r="BQ1360" s="42">
        <f>BN1360+BQ1359</f>
        <v>0.5</v>
      </c>
      <c r="BR1360" s="347">
        <f>BP1360+BQ1360</f>
        <v>1</v>
      </c>
      <c r="BS1360" s="30"/>
    </row>
    <row r="1361" spans="2:71" outlineLevel="2">
      <c r="C1361" s="93" t="s">
        <v>264</v>
      </c>
      <c r="D1361" s="31" t="s">
        <v>66</v>
      </c>
      <c r="E1361" s="31"/>
      <c r="F1361" s="31"/>
      <c r="G1361" s="31"/>
      <c r="H1361" s="31"/>
      <c r="I1361" s="31"/>
      <c r="J1361" s="31"/>
      <c r="K1361" s="31"/>
      <c r="L1361" s="31"/>
      <c r="M1361" s="31"/>
      <c r="N1361" s="31"/>
      <c r="O1361" s="31"/>
      <c r="P1361" s="30"/>
      <c r="Q1361" s="30"/>
      <c r="R1361" s="30"/>
      <c r="S1361" s="30"/>
      <c r="T1361" s="30"/>
      <c r="U1361" s="30"/>
      <c r="V1361" s="30"/>
      <c r="W1361" s="30"/>
      <c r="X1361" s="30"/>
      <c r="Y1361" s="625">
        <f>Y1360/Y1353</f>
        <v>7.6923076923076927E-2</v>
      </c>
      <c r="AC1361" s="35"/>
      <c r="AD1361" s="30"/>
      <c r="AE1361" s="168"/>
      <c r="AF1361" s="926"/>
      <c r="AG1361" s="1060"/>
      <c r="AI1361" s="29"/>
      <c r="AJ1361" s="33"/>
      <c r="AK1361" s="30"/>
      <c r="AL1361" s="29"/>
      <c r="AM1361" s="33"/>
      <c r="AN1361" s="30"/>
      <c r="AO1361" s="29"/>
      <c r="AP1361" s="33"/>
      <c r="AQ1361" s="30"/>
      <c r="AR1361" s="29"/>
      <c r="AS1361" s="33"/>
      <c r="AT1361" s="30"/>
      <c r="AU1361" s="29"/>
      <c r="AV1361" s="33"/>
      <c r="AW1361" s="30"/>
      <c r="AX1361" s="29"/>
      <c r="AY1361" s="33"/>
      <c r="AZ1361" s="30"/>
      <c r="BA1361" s="29"/>
      <c r="BB1361" s="33"/>
      <c r="BC1361" s="30"/>
      <c r="BD1361" s="29"/>
      <c r="BE1361" s="33"/>
      <c r="BF1361" s="30"/>
      <c r="BG1361" s="29"/>
      <c r="BH1361" s="33"/>
      <c r="BI1361" s="30"/>
      <c r="BJ1361" s="29"/>
      <c r="BK1361" s="33"/>
      <c r="BL1361" s="30"/>
      <c r="BM1361" s="29"/>
      <c r="BN1361" s="33"/>
      <c r="BO1361" s="30"/>
      <c r="BP1361" s="29"/>
      <c r="BQ1361" s="33"/>
      <c r="BR1361" s="30"/>
      <c r="BS1361" s="30"/>
    </row>
    <row r="1362" spans="2:71" s="8" customFormat="1" outlineLevel="2">
      <c r="C1362" s="95" t="s">
        <v>680</v>
      </c>
      <c r="D1362" s="96" t="s">
        <v>58</v>
      </c>
      <c r="E1362" s="96"/>
      <c r="F1362" s="96"/>
      <c r="G1362" s="96"/>
      <c r="H1362" s="96"/>
      <c r="I1362" s="96"/>
      <c r="J1362" s="96"/>
      <c r="K1362" s="96"/>
      <c r="L1362" s="96"/>
      <c r="M1362" s="96"/>
      <c r="N1362" s="96"/>
      <c r="O1362" s="96"/>
      <c r="Y1362" s="893">
        <v>4</v>
      </c>
      <c r="AC1362" s="378"/>
      <c r="AD1362" s="378">
        <f>AD1357+AD1360</f>
        <v>0.24999999999999997</v>
      </c>
      <c r="AE1362" s="470">
        <f>AC1362+AD1362</f>
        <v>0.24999999999999997</v>
      </c>
      <c r="AF1362" s="470">
        <f>AF1360+AF1357</f>
        <v>1.5</v>
      </c>
      <c r="AG1362" s="934">
        <f>AG1360+AG1357</f>
        <v>1.75</v>
      </c>
      <c r="AH1362" s="64">
        <f>AF1362+AG1362</f>
        <v>3.25</v>
      </c>
      <c r="AI1362" s="64">
        <f>AI1360+AI1357</f>
        <v>1.75</v>
      </c>
      <c r="AJ1362" s="64">
        <f>AJ1360+AJ1357</f>
        <v>2</v>
      </c>
      <c r="AK1362" s="64">
        <f>AI1362+AJ1362</f>
        <v>3.75</v>
      </c>
      <c r="AL1362" s="64">
        <f>AL1360+AL1357</f>
        <v>2</v>
      </c>
      <c r="AM1362" s="64">
        <f>AM1360+AM1357</f>
        <v>2</v>
      </c>
      <c r="AN1362" s="64">
        <f>AL1362+AM1362</f>
        <v>4</v>
      </c>
      <c r="AO1362" s="64">
        <f>AO1360+AO1357</f>
        <v>2</v>
      </c>
      <c r="AP1362" s="64">
        <f>AP1360+AP1357</f>
        <v>2</v>
      </c>
      <c r="AQ1362" s="64">
        <f>AO1362+AP1362</f>
        <v>4</v>
      </c>
      <c r="AR1362" s="64">
        <f>AR1360+AR1357</f>
        <v>2</v>
      </c>
      <c r="AS1362" s="64">
        <f>AS1360+AS1357</f>
        <v>2</v>
      </c>
      <c r="AT1362" s="64">
        <f>AR1362+AS1362</f>
        <v>4</v>
      </c>
      <c r="AU1362" s="64">
        <f>AU1360+AU1357</f>
        <v>2</v>
      </c>
      <c r="AV1362" s="64">
        <f>AV1360+AV1357</f>
        <v>2</v>
      </c>
      <c r="AW1362" s="64">
        <f>AU1362+AV1362</f>
        <v>4</v>
      </c>
      <c r="AX1362" s="64">
        <f>AX1360+AX1357</f>
        <v>2</v>
      </c>
      <c r="AY1362" s="64">
        <f>AY1360+AY1357</f>
        <v>2</v>
      </c>
      <c r="AZ1362" s="64">
        <f>AX1362+AY1362</f>
        <v>4</v>
      </c>
      <c r="BA1362" s="64">
        <f>BA1360+BA1357</f>
        <v>2</v>
      </c>
      <c r="BB1362" s="64">
        <f>BB1360+BB1357</f>
        <v>2</v>
      </c>
      <c r="BC1362" s="64">
        <f>BA1362+BB1362</f>
        <v>4</v>
      </c>
      <c r="BD1362" s="64">
        <f>BD1360+BD1357</f>
        <v>2</v>
      </c>
      <c r="BE1362" s="64">
        <f>BE1360+BE1357</f>
        <v>2</v>
      </c>
      <c r="BF1362" s="64">
        <f>BD1362+BE1362</f>
        <v>4</v>
      </c>
      <c r="BG1362" s="64">
        <f>BG1360+BG1357</f>
        <v>2</v>
      </c>
      <c r="BH1362" s="64">
        <f>BH1360+BH1357</f>
        <v>2</v>
      </c>
      <c r="BI1362" s="64">
        <f>BG1362+BH1362</f>
        <v>4</v>
      </c>
      <c r="BJ1362" s="64">
        <f>BJ1360+BJ1357</f>
        <v>2</v>
      </c>
      <c r="BK1362" s="64">
        <f>BK1360+BK1357</f>
        <v>2</v>
      </c>
      <c r="BL1362" s="64">
        <f>BJ1362+BK1362</f>
        <v>4</v>
      </c>
      <c r="BM1362" s="64">
        <f>BM1360+BM1357</f>
        <v>2</v>
      </c>
      <c r="BN1362" s="64">
        <f>BN1360+BN1357</f>
        <v>2</v>
      </c>
      <c r="BO1362" s="64">
        <f>BM1362+BN1362</f>
        <v>4</v>
      </c>
      <c r="BP1362" s="64">
        <f>BP1360+BP1357</f>
        <v>2</v>
      </c>
      <c r="BQ1362" s="64">
        <f>BQ1360+BQ1357</f>
        <v>2</v>
      </c>
      <c r="BR1362" s="64">
        <f>BP1362+BQ1362</f>
        <v>4</v>
      </c>
      <c r="BS1362" s="823"/>
    </row>
    <row r="1363" spans="2:71" outlineLevel="2">
      <c r="C1363" s="108" t="s">
        <v>75</v>
      </c>
      <c r="D1363" s="31" t="s">
        <v>66</v>
      </c>
      <c r="E1363" s="31"/>
      <c r="F1363" s="31"/>
      <c r="G1363" s="31"/>
      <c r="H1363" s="31"/>
      <c r="I1363" s="31"/>
      <c r="J1363" s="31"/>
      <c r="K1363" s="31"/>
      <c r="L1363" s="31"/>
      <c r="M1363" s="31"/>
      <c r="N1363" s="31"/>
      <c r="O1363" s="31"/>
      <c r="Y1363" s="738">
        <f>Y1362/Y1351</f>
        <v>0.20512820512820512</v>
      </c>
      <c r="AC1363" s="20"/>
      <c r="AD1363" s="20">
        <f>+AD1362/$Y$1351*2</f>
        <v>2.5641025641025637E-2</v>
      </c>
      <c r="AE1363" s="162">
        <f>AE1362/$Y$1351</f>
        <v>1.2820512820512818E-2</v>
      </c>
      <c r="AF1363" s="162">
        <f>AF1362/$Y$1351*2</f>
        <v>0.15384615384615385</v>
      </c>
      <c r="AG1363" s="984">
        <f>AG1362/$Y$1351*2</f>
        <v>0.17948717948717949</v>
      </c>
      <c r="AH1363" s="40">
        <f>AH1362/$Y$1371</f>
        <v>1.1607142857142858E-2</v>
      </c>
      <c r="AI1363" s="40">
        <f>AI1362/$Y$1351*2</f>
        <v>0.17948717948717949</v>
      </c>
      <c r="AJ1363" s="40">
        <f>AJ1362/$Y$1351*2</f>
        <v>0.20512820512820512</v>
      </c>
      <c r="AK1363" s="40">
        <f>AK1362/$Y$1371</f>
        <v>1.3392857142857142E-2</v>
      </c>
      <c r="AL1363" s="40">
        <f>AL1362/$Y$1351*2</f>
        <v>0.20512820512820512</v>
      </c>
      <c r="AM1363" s="40">
        <f>AM1362/$Y$1351*2</f>
        <v>0.20512820512820512</v>
      </c>
      <c r="AN1363" s="40">
        <f>AN1362/$Y$1371</f>
        <v>1.4285714285714285E-2</v>
      </c>
      <c r="AO1363" s="40">
        <f>AO1362/$Y$1351*2</f>
        <v>0.20512820512820512</v>
      </c>
      <c r="AP1363" s="40">
        <f>AP1362/$Y$1351*2</f>
        <v>0.20512820512820512</v>
      </c>
      <c r="AQ1363" s="40">
        <f>AQ1362/$Y$1371</f>
        <v>1.4285714285714285E-2</v>
      </c>
      <c r="AR1363" s="40">
        <f>AR1362/$Y$1351*2</f>
        <v>0.20512820512820512</v>
      </c>
      <c r="AS1363" s="40">
        <f>AS1362/$Y$1351*2</f>
        <v>0.20512820512820512</v>
      </c>
      <c r="AT1363" s="40">
        <f>AT1362/$Y$1371</f>
        <v>1.4285714285714285E-2</v>
      </c>
      <c r="AU1363" s="40">
        <f>AU1362/$Y$1351*2</f>
        <v>0.20512820512820512</v>
      </c>
      <c r="AV1363" s="40">
        <f>AV1362/$Y$1351*2</f>
        <v>0.20512820512820512</v>
      </c>
      <c r="AW1363" s="40">
        <f>AW1362/$Y$1371</f>
        <v>1.4285714285714285E-2</v>
      </c>
      <c r="AX1363" s="40">
        <f>AX1362/$Y$1351*2</f>
        <v>0.20512820512820512</v>
      </c>
      <c r="AY1363" s="40">
        <f>AY1362/$Y$1351*2</f>
        <v>0.20512820512820512</v>
      </c>
      <c r="AZ1363" s="40">
        <f>AZ1362/$Y$1371</f>
        <v>1.4285714285714285E-2</v>
      </c>
      <c r="BA1363" s="40">
        <f>BA1362/$Y$1351*2</f>
        <v>0.20512820512820512</v>
      </c>
      <c r="BB1363" s="40">
        <f>BB1362/$Y$1351*2</f>
        <v>0.20512820512820512</v>
      </c>
      <c r="BC1363" s="40">
        <f>BC1362/$Y$1371</f>
        <v>1.4285714285714285E-2</v>
      </c>
      <c r="BD1363" s="40">
        <f>BD1362/$Y$1351*2</f>
        <v>0.20512820512820512</v>
      </c>
      <c r="BE1363" s="40">
        <f>BE1362/$Y$1351*2</f>
        <v>0.20512820512820512</v>
      </c>
      <c r="BF1363" s="40">
        <f>BF1362/$Y$1371</f>
        <v>1.4285714285714285E-2</v>
      </c>
      <c r="BG1363" s="40">
        <f>BG1362/$Y$1351*2</f>
        <v>0.20512820512820512</v>
      </c>
      <c r="BH1363" s="40">
        <f>BH1362/$Y$1351*2</f>
        <v>0.20512820512820512</v>
      </c>
      <c r="BI1363" s="40">
        <f>BI1362/$Y$1371</f>
        <v>1.4285714285714285E-2</v>
      </c>
      <c r="BJ1363" s="40">
        <f>BJ1362/$Y$1351*2</f>
        <v>0.20512820512820512</v>
      </c>
      <c r="BK1363" s="40">
        <f>BK1362/$Y$1351*2</f>
        <v>0.20512820512820512</v>
      </c>
      <c r="BL1363" s="40">
        <f>BL1362/$Y$1371</f>
        <v>1.4285714285714285E-2</v>
      </c>
      <c r="BM1363" s="40">
        <f>BM1362/$Y$1351*2</f>
        <v>0.20512820512820512</v>
      </c>
      <c r="BN1363" s="40">
        <f>BN1362/$Y$1351*2</f>
        <v>0.20512820512820512</v>
      </c>
      <c r="BO1363" s="40">
        <f>BO1362/$Y$1371</f>
        <v>1.4285714285714285E-2</v>
      </c>
      <c r="BP1363" s="40">
        <f>BP1362/$Y$1351*2</f>
        <v>0.20512820512820512</v>
      </c>
      <c r="BQ1363" s="40">
        <f>BQ1362/$Y$1351*2</f>
        <v>0.20512820512820512</v>
      </c>
      <c r="BR1363" s="40">
        <f>BR1362/$Y$1371</f>
        <v>1.4285714285714285E-2</v>
      </c>
      <c r="BS1363" s="30"/>
    </row>
    <row r="1364" spans="2:71" outlineLevel="2">
      <c r="B1364" s="5"/>
      <c r="C1364" s="642" t="s">
        <v>267</v>
      </c>
      <c r="D1364" s="633" t="s">
        <v>58</v>
      </c>
      <c r="E1364" s="634"/>
      <c r="F1364" s="634"/>
      <c r="G1364" s="634"/>
      <c r="H1364" s="634"/>
      <c r="I1364" s="634"/>
      <c r="J1364" s="634"/>
      <c r="K1364" s="634"/>
      <c r="L1364" s="634"/>
      <c r="M1364" s="634"/>
      <c r="N1364" s="634"/>
      <c r="O1364" s="634"/>
      <c r="P1364" s="635"/>
      <c r="Q1364" s="635"/>
      <c r="R1364" s="635"/>
      <c r="S1364" s="635"/>
      <c r="T1364" s="635"/>
      <c r="U1364" s="635"/>
      <c r="V1364" s="635"/>
      <c r="W1364" s="635"/>
      <c r="X1364" s="635"/>
      <c r="Y1364" s="635"/>
      <c r="Z1364" s="635"/>
      <c r="AA1364" s="635"/>
      <c r="AB1364" s="635"/>
      <c r="AC1364" s="635"/>
      <c r="AD1364" s="895">
        <f>(AD1353-AA1353)</f>
        <v>1.0833333333333333</v>
      </c>
      <c r="AE1364" s="895">
        <f>AC1364+AD1364</f>
        <v>1.0833333333333333</v>
      </c>
      <c r="AF1364" s="927">
        <f>(AF1353-AC1353)</f>
        <v>6.5</v>
      </c>
      <c r="AG1364" s="1061">
        <f>(AG1353-AD1353)</f>
        <v>5.416666666666667</v>
      </c>
      <c r="AH1364" s="637">
        <f>AF1364+AG1364</f>
        <v>11.916666666666668</v>
      </c>
      <c r="AI1364" s="637">
        <f>(AI1353-AF1353)</f>
        <v>0</v>
      </c>
      <c r="AJ1364" s="637">
        <f>(AJ1353-AG1353)</f>
        <v>0</v>
      </c>
      <c r="AK1364" s="637">
        <f>AI1364+AJ1364</f>
        <v>0</v>
      </c>
      <c r="AL1364" s="637">
        <f>(AL1353-AI1353)</f>
        <v>0</v>
      </c>
      <c r="AM1364" s="637">
        <f>(AM1353-AJ1353)</f>
        <v>0</v>
      </c>
      <c r="AN1364" s="637">
        <f>AL1364+AM1364</f>
        <v>0</v>
      </c>
      <c r="AO1364" s="637">
        <f>(AO1353-AL1353)</f>
        <v>0</v>
      </c>
      <c r="AP1364" s="637">
        <f>(AP1353-AM1353)</f>
        <v>0</v>
      </c>
      <c r="AQ1364" s="637">
        <f>AO1364+AP1364</f>
        <v>0</v>
      </c>
      <c r="AR1364" s="637">
        <f>(AR1353-AO1353)</f>
        <v>0</v>
      </c>
      <c r="AS1364" s="637">
        <f>(AS1353-AP1353)</f>
        <v>0</v>
      </c>
      <c r="AT1364" s="637">
        <f>AR1364+AS1364</f>
        <v>0</v>
      </c>
      <c r="AU1364" s="637">
        <f>(AU1353-AR1353)</f>
        <v>0</v>
      </c>
      <c r="AV1364" s="637">
        <f>(AV1353-AS1353)</f>
        <v>0</v>
      </c>
      <c r="AW1364" s="637">
        <f>AU1364+AV1364</f>
        <v>0</v>
      </c>
      <c r="AX1364" s="637">
        <f>(AX1353-AU1353)</f>
        <v>0</v>
      </c>
      <c r="AY1364" s="637">
        <f>(AY1353-AV1353)</f>
        <v>0</v>
      </c>
      <c r="AZ1364" s="637">
        <f>AX1364+AY1364</f>
        <v>0</v>
      </c>
      <c r="BA1364" s="637">
        <f>(BA1353-AX1353)</f>
        <v>0</v>
      </c>
      <c r="BB1364" s="637">
        <f>(BB1353-AY1353)</f>
        <v>0</v>
      </c>
      <c r="BC1364" s="637">
        <f>BA1364+BB1364</f>
        <v>0</v>
      </c>
      <c r="BD1364" s="637">
        <f>(BD1353-BA1353)</f>
        <v>0</v>
      </c>
      <c r="BE1364" s="637">
        <f>(BE1353-BB1353)</f>
        <v>0</v>
      </c>
      <c r="BF1364" s="637">
        <f>BD1364+BE1364</f>
        <v>0</v>
      </c>
      <c r="BG1364" s="637">
        <f>(BG1353-BD1353)</f>
        <v>0</v>
      </c>
      <c r="BH1364" s="637">
        <f>(BH1353-BE1353)</f>
        <v>0</v>
      </c>
      <c r="BI1364" s="637">
        <f>BG1364+BH1364</f>
        <v>0</v>
      </c>
      <c r="BJ1364" s="637">
        <f>(BJ1353-BG1353)</f>
        <v>0</v>
      </c>
      <c r="BK1364" s="637">
        <f>(BK1353-BH1353)</f>
        <v>0</v>
      </c>
      <c r="BL1364" s="637">
        <f>BJ1364+BK1364</f>
        <v>0</v>
      </c>
      <c r="BM1364" s="637">
        <f>(BM1353-BJ1353)</f>
        <v>0</v>
      </c>
      <c r="BN1364" s="637">
        <f>(BN1353-BK1353)</f>
        <v>0</v>
      </c>
      <c r="BO1364" s="637">
        <f>BM1364+BN1364</f>
        <v>0</v>
      </c>
      <c r="BP1364" s="637">
        <f>(BP1353-BM1353)</f>
        <v>0</v>
      </c>
      <c r="BQ1364" s="637">
        <f>(BQ1353-BN1353)</f>
        <v>0</v>
      </c>
      <c r="BR1364" s="638">
        <f>BP1364+BQ1364</f>
        <v>0</v>
      </c>
      <c r="BS1364" s="30"/>
    </row>
    <row r="1365" spans="2:71" outlineLevel="2">
      <c r="B1365" s="5"/>
      <c r="C1365" s="643" t="s">
        <v>268</v>
      </c>
      <c r="D1365" s="632" t="s">
        <v>58</v>
      </c>
      <c r="E1365" s="401"/>
      <c r="F1365" s="401"/>
      <c r="G1365" s="401"/>
      <c r="H1365" s="401"/>
      <c r="I1365" s="401"/>
      <c r="J1365" s="401"/>
      <c r="K1365" s="401"/>
      <c r="L1365" s="401"/>
      <c r="M1365" s="401"/>
      <c r="N1365" s="401"/>
      <c r="O1365" s="401"/>
      <c r="P1365" s="130"/>
      <c r="Q1365" s="130"/>
      <c r="R1365" s="130"/>
      <c r="S1365" s="130"/>
      <c r="T1365" s="130"/>
      <c r="U1365" s="130"/>
      <c r="V1365" s="130"/>
      <c r="W1365" s="130"/>
      <c r="X1365" s="130"/>
      <c r="Y1365" s="130"/>
      <c r="Z1365" s="130"/>
      <c r="AA1365" s="130"/>
      <c r="AB1365" s="130"/>
      <c r="AC1365" s="164"/>
      <c r="AD1365" s="13">
        <f>(AD1356-AA1356)</f>
        <v>-4.1666666666666664E-2</v>
      </c>
      <c r="AE1365" s="26">
        <f>+AD1365+AC1365</f>
        <v>-4.1666666666666664E-2</v>
      </c>
      <c r="AF1365" s="493">
        <f>(AF1356-AC1356)</f>
        <v>-0.25</v>
      </c>
      <c r="AG1365" s="937">
        <f>(AG1356-AD1356)</f>
        <v>-0.20833333333333334</v>
      </c>
      <c r="AH1365" s="171">
        <f>+AG1365+AF1365</f>
        <v>-0.45833333333333337</v>
      </c>
      <c r="AI1365" s="171">
        <f>(AI1356-AF1356)</f>
        <v>0</v>
      </c>
      <c r="AJ1365" s="171">
        <f>(AJ1356-AG1356)</f>
        <v>0</v>
      </c>
      <c r="AK1365" s="171">
        <f>+AJ1365+AI1365</f>
        <v>0</v>
      </c>
      <c r="AL1365" s="171">
        <f>(AL1356-AI1356)</f>
        <v>0</v>
      </c>
      <c r="AM1365" s="171">
        <f>(AM1356-AJ1356)</f>
        <v>0</v>
      </c>
      <c r="AN1365" s="171">
        <f>+AM1365+AL1365</f>
        <v>0</v>
      </c>
      <c r="AO1365" s="171">
        <f>(AO1356-AL1356)</f>
        <v>0</v>
      </c>
      <c r="AP1365" s="171">
        <f>(AP1356-AM1356)</f>
        <v>0</v>
      </c>
      <c r="AQ1365" s="171">
        <f>+AP1365+AO1365</f>
        <v>0</v>
      </c>
      <c r="AR1365" s="171">
        <f>(AR1356-AO1356)</f>
        <v>0</v>
      </c>
      <c r="AS1365" s="171">
        <f>(AS1356-AP1356)</f>
        <v>0</v>
      </c>
      <c r="AT1365" s="171">
        <f>+AS1365+AR1365</f>
        <v>0</v>
      </c>
      <c r="AU1365" s="171">
        <f>(AU1356-AR1356)</f>
        <v>0</v>
      </c>
      <c r="AV1365" s="171">
        <f>(AV1356-AS1356)</f>
        <v>0</v>
      </c>
      <c r="AW1365" s="171">
        <f>+AV1365+AU1365</f>
        <v>0</v>
      </c>
      <c r="AX1365" s="171">
        <f>(AX1356-AU1356)</f>
        <v>0</v>
      </c>
      <c r="AY1365" s="171">
        <f>(AY1356-AV1356)</f>
        <v>0</v>
      </c>
      <c r="AZ1365" s="171">
        <f>+AY1365+AX1365</f>
        <v>0</v>
      </c>
      <c r="BA1365" s="171">
        <f>(BA1356-AX1356)</f>
        <v>0</v>
      </c>
      <c r="BB1365" s="171">
        <f>(BB1356-AY1356)</f>
        <v>0</v>
      </c>
      <c r="BC1365" s="171">
        <f>+BB1365+BA1365</f>
        <v>0</v>
      </c>
      <c r="BD1365" s="171">
        <f>(BD1356-BA1356)</f>
        <v>0</v>
      </c>
      <c r="BE1365" s="171">
        <f>(BE1356-BB1356)</f>
        <v>0</v>
      </c>
      <c r="BF1365" s="171">
        <f>+BE1365+BD1365</f>
        <v>0</v>
      </c>
      <c r="BG1365" s="171">
        <f>(BG1356-BD1356)</f>
        <v>0</v>
      </c>
      <c r="BH1365" s="171">
        <f>(BH1356-BE1356)</f>
        <v>0</v>
      </c>
      <c r="BI1365" s="171">
        <f>+BH1365+BG1365</f>
        <v>0</v>
      </c>
      <c r="BJ1365" s="171">
        <f>(BJ1356-BG1356)</f>
        <v>0</v>
      </c>
      <c r="BK1365" s="171">
        <f>(BK1356-BH1356)</f>
        <v>0</v>
      </c>
      <c r="BL1365" s="171">
        <f>+BK1365+BJ1365</f>
        <v>0</v>
      </c>
      <c r="BM1365" s="171">
        <f>(BM1356-BJ1356)</f>
        <v>0</v>
      </c>
      <c r="BN1365" s="171">
        <f>(BN1356-BK1356)</f>
        <v>0</v>
      </c>
      <c r="BO1365" s="171">
        <f>+BN1365+BM1365</f>
        <v>0</v>
      </c>
      <c r="BP1365" s="171">
        <f>(BP1356-BM1356)</f>
        <v>0</v>
      </c>
      <c r="BQ1365" s="171">
        <f>(BQ1356-BN1356)</f>
        <v>0</v>
      </c>
      <c r="BR1365" s="639">
        <f>+BQ1365+BP1365</f>
        <v>0</v>
      </c>
      <c r="BS1365" s="30"/>
    </row>
    <row r="1366" spans="2:71" outlineLevel="2">
      <c r="B1366" s="5"/>
      <c r="C1366" s="644" t="s">
        <v>269</v>
      </c>
      <c r="D1366" s="636" t="s">
        <v>58</v>
      </c>
      <c r="E1366" s="554"/>
      <c r="F1366" s="554"/>
      <c r="G1366" s="554"/>
      <c r="H1366" s="554"/>
      <c r="I1366" s="554"/>
      <c r="J1366" s="554"/>
      <c r="K1366" s="554"/>
      <c r="L1366" s="554"/>
      <c r="M1366" s="554"/>
      <c r="N1366" s="554"/>
      <c r="O1366" s="554"/>
      <c r="P1366" s="555"/>
      <c r="Q1366" s="555"/>
      <c r="R1366" s="555"/>
      <c r="S1366" s="555"/>
      <c r="T1366" s="555"/>
      <c r="U1366" s="555"/>
      <c r="V1366" s="555"/>
      <c r="W1366" s="555"/>
      <c r="X1366" s="555"/>
      <c r="Y1366" s="555"/>
      <c r="Z1366" s="555"/>
      <c r="AA1366" s="555"/>
      <c r="AB1366" s="555"/>
      <c r="AC1366" s="555"/>
      <c r="AD1366" s="555">
        <f>(AD1362-AA1362)</f>
        <v>0.24999999999999997</v>
      </c>
      <c r="AE1366" s="555">
        <f>+AD1366+AC1366</f>
        <v>0.24999999999999997</v>
      </c>
      <c r="AF1366" s="928">
        <f>(AF1362-AC1362)</f>
        <v>1.5</v>
      </c>
      <c r="AG1366" s="1062">
        <f>(AG1362-AD1362)</f>
        <v>1.5</v>
      </c>
      <c r="AH1366" s="640">
        <f>+AG1366+AF1366</f>
        <v>3</v>
      </c>
      <c r="AI1366" s="640">
        <f>(AI1362-AF1362)</f>
        <v>0.25</v>
      </c>
      <c r="AJ1366" s="640">
        <f>(AJ1362-AG1362)</f>
        <v>0.25</v>
      </c>
      <c r="AK1366" s="640">
        <f>+AJ1366+AI1366</f>
        <v>0.5</v>
      </c>
      <c r="AL1366" s="640">
        <f>(AL1362-AI1362)</f>
        <v>0.25</v>
      </c>
      <c r="AM1366" s="640">
        <f>(AM1362-AJ1362)</f>
        <v>0</v>
      </c>
      <c r="AN1366" s="640">
        <f>+AM1366+AL1366</f>
        <v>0.25</v>
      </c>
      <c r="AO1366" s="640">
        <f>(AO1362-AL1362)</f>
        <v>0</v>
      </c>
      <c r="AP1366" s="640">
        <f>(AP1362-AM1362)</f>
        <v>0</v>
      </c>
      <c r="AQ1366" s="640">
        <f>+AP1366+AO1366</f>
        <v>0</v>
      </c>
      <c r="AR1366" s="640">
        <f>(AR1362-AO1362)</f>
        <v>0</v>
      </c>
      <c r="AS1366" s="640">
        <f>(AS1362-AP1362)</f>
        <v>0</v>
      </c>
      <c r="AT1366" s="640">
        <f>+AS1366+AR1366</f>
        <v>0</v>
      </c>
      <c r="AU1366" s="640">
        <f>(AU1362-AR1362)</f>
        <v>0</v>
      </c>
      <c r="AV1366" s="640">
        <f>(AV1362-AS1362)</f>
        <v>0</v>
      </c>
      <c r="AW1366" s="640">
        <f>+AV1366+AU1366</f>
        <v>0</v>
      </c>
      <c r="AX1366" s="640">
        <f>(AX1362-AU1362)</f>
        <v>0</v>
      </c>
      <c r="AY1366" s="640">
        <f>(AY1362-AV1362)</f>
        <v>0</v>
      </c>
      <c r="AZ1366" s="640">
        <f>+AY1366+AX1366</f>
        <v>0</v>
      </c>
      <c r="BA1366" s="640">
        <f>(BA1362-AX1362)</f>
        <v>0</v>
      </c>
      <c r="BB1366" s="640">
        <f>(BB1362-AY1362)</f>
        <v>0</v>
      </c>
      <c r="BC1366" s="640">
        <f>+BB1366+BA1366</f>
        <v>0</v>
      </c>
      <c r="BD1366" s="640">
        <f>(BD1362-BA1362)</f>
        <v>0</v>
      </c>
      <c r="BE1366" s="640">
        <f>(BE1362-BB1362)</f>
        <v>0</v>
      </c>
      <c r="BF1366" s="640">
        <f>+BE1366+BD1366</f>
        <v>0</v>
      </c>
      <c r="BG1366" s="640">
        <f>(BG1362-BD1362)</f>
        <v>0</v>
      </c>
      <c r="BH1366" s="640">
        <f>(BH1362-BE1362)</f>
        <v>0</v>
      </c>
      <c r="BI1366" s="640">
        <f>+BH1366+BG1366</f>
        <v>0</v>
      </c>
      <c r="BJ1366" s="640">
        <f>(BJ1362-BG1362)</f>
        <v>0</v>
      </c>
      <c r="BK1366" s="640">
        <f>(BK1362-BH1362)</f>
        <v>0</v>
      </c>
      <c r="BL1366" s="640">
        <f>+BK1366+BJ1366</f>
        <v>0</v>
      </c>
      <c r="BM1366" s="640">
        <f>(BM1362-BJ1362)</f>
        <v>0</v>
      </c>
      <c r="BN1366" s="640">
        <f>(BN1362-BK1362)</f>
        <v>0</v>
      </c>
      <c r="BO1366" s="640">
        <f>+BN1366+BM1366</f>
        <v>0</v>
      </c>
      <c r="BP1366" s="640">
        <f>(BP1362-BM1362)</f>
        <v>0</v>
      </c>
      <c r="BQ1366" s="640">
        <f>(BQ1362-BN1362)</f>
        <v>0</v>
      </c>
      <c r="BR1366" s="641">
        <f>+BQ1366+BP1366</f>
        <v>0</v>
      </c>
      <c r="BS1366" s="30"/>
    </row>
    <row r="1367" spans="2:71" outlineLevel="2">
      <c r="B1367" s="584"/>
      <c r="BS1367" s="30"/>
    </row>
    <row r="1368" spans="2:71" outlineLevel="2">
      <c r="C1368" s="8" t="s">
        <v>71</v>
      </c>
      <c r="AP1368" s="9"/>
    </row>
    <row r="1369" spans="2:71" outlineLevel="2">
      <c r="B1369" s="5"/>
      <c r="C1369" s="9" t="s">
        <v>266</v>
      </c>
      <c r="Y1369" s="621" t="s">
        <v>679</v>
      </c>
      <c r="AP1369" s="9"/>
    </row>
    <row r="1370" spans="2:71" outlineLevel="2">
      <c r="B1370" s="5"/>
      <c r="C1370" s="9" t="s">
        <v>262</v>
      </c>
      <c r="Y1370" s="622">
        <v>42682</v>
      </c>
      <c r="AP1370" s="9"/>
    </row>
    <row r="1371" spans="2:71" outlineLevel="2">
      <c r="C1371" s="9" t="s">
        <v>72</v>
      </c>
      <c r="D1371" s="7" t="s">
        <v>58</v>
      </c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Y1371" s="623">
        <v>280</v>
      </c>
      <c r="AC1371" s="11"/>
    </row>
    <row r="1372" spans="2:71" outlineLevel="2">
      <c r="C1372" s="9" t="s">
        <v>76</v>
      </c>
      <c r="D1372" s="74" t="s">
        <v>77</v>
      </c>
      <c r="E1372" s="21"/>
      <c r="F1372" s="21"/>
      <c r="G1372" s="21"/>
      <c r="H1372" s="21"/>
      <c r="I1372" s="21"/>
      <c r="J1372" s="21"/>
      <c r="K1372" s="21"/>
      <c r="L1372" s="21"/>
      <c r="M1372" s="21"/>
      <c r="N1372" s="21"/>
      <c r="O1372" s="21"/>
      <c r="Y1372" s="623">
        <v>8</v>
      </c>
      <c r="AC1372" s="11"/>
      <c r="AE1372" s="849"/>
    </row>
    <row r="1373" spans="2:71" outlineLevel="2">
      <c r="C1373" s="9" t="s">
        <v>55</v>
      </c>
      <c r="D1373" s="7" t="s">
        <v>58</v>
      </c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Y1373" s="623">
        <v>210</v>
      </c>
      <c r="AC1373" s="501">
        <f>Y1373*0.5*(2/6)</f>
        <v>35</v>
      </c>
      <c r="AD1373" s="501">
        <f>Y1373*0.5</f>
        <v>105</v>
      </c>
      <c r="AE1373" s="629">
        <f>SUM(AC1373:AD1373)</f>
        <v>140</v>
      </c>
      <c r="AF1373" s="493">
        <f>AH1373*0.5</f>
        <v>105</v>
      </c>
      <c r="AG1373" s="1023">
        <f>AH1373*0.5</f>
        <v>105</v>
      </c>
      <c r="AH1373" s="410">
        <f>Y1373</f>
        <v>210</v>
      </c>
      <c r="AI1373" s="410">
        <f>AF1373</f>
        <v>105</v>
      </c>
      <c r="AJ1373" s="410">
        <f>AG1373</f>
        <v>105</v>
      </c>
      <c r="AK1373" s="410">
        <f>AI1373+AJ1373</f>
        <v>210</v>
      </c>
      <c r="AL1373" s="410">
        <f>AI1373</f>
        <v>105</v>
      </c>
      <c r="AM1373" s="410">
        <f>AJ1373</f>
        <v>105</v>
      </c>
      <c r="AN1373" s="410">
        <f>AL1373+AM1373</f>
        <v>210</v>
      </c>
      <c r="AO1373" s="410">
        <f>AL1373</f>
        <v>105</v>
      </c>
      <c r="AP1373" s="410">
        <f>AM1373</f>
        <v>105</v>
      </c>
      <c r="AQ1373" s="410">
        <f>AO1373+AP1373</f>
        <v>210</v>
      </c>
      <c r="AR1373" s="410">
        <f>AO1373</f>
        <v>105</v>
      </c>
      <c r="AS1373" s="410">
        <f>AP1373</f>
        <v>105</v>
      </c>
      <c r="AT1373" s="410">
        <f>AR1373+AS1373</f>
        <v>210</v>
      </c>
      <c r="AU1373" s="410">
        <f>AR1373</f>
        <v>105</v>
      </c>
      <c r="AV1373" s="410">
        <f>AS1373</f>
        <v>105</v>
      </c>
      <c r="AW1373" s="410">
        <f>AU1373+AV1373</f>
        <v>210</v>
      </c>
      <c r="AX1373" s="410">
        <f>AU1373</f>
        <v>105</v>
      </c>
      <c r="AY1373" s="410">
        <f>AV1373</f>
        <v>105</v>
      </c>
      <c r="AZ1373" s="410">
        <f>AX1373+AY1373</f>
        <v>210</v>
      </c>
      <c r="BA1373" s="410">
        <f>AX1373</f>
        <v>105</v>
      </c>
      <c r="BB1373" s="410">
        <f>AY1373</f>
        <v>105</v>
      </c>
      <c r="BC1373" s="410">
        <f>BA1373+BB1373</f>
        <v>210</v>
      </c>
      <c r="BD1373" s="410">
        <f>BA1373</f>
        <v>105</v>
      </c>
      <c r="BE1373" s="410">
        <f>BB1373</f>
        <v>105</v>
      </c>
      <c r="BF1373" s="410">
        <f>BD1373+BE1373</f>
        <v>210</v>
      </c>
      <c r="BG1373" s="410">
        <f>BD1373</f>
        <v>105</v>
      </c>
      <c r="BH1373" s="410">
        <f>BE1373</f>
        <v>105</v>
      </c>
      <c r="BI1373" s="410">
        <f>BG1373+BH1373</f>
        <v>210</v>
      </c>
      <c r="BJ1373" s="410">
        <f>BG1373</f>
        <v>105</v>
      </c>
      <c r="BK1373" s="410">
        <f>BH1373</f>
        <v>105</v>
      </c>
      <c r="BL1373" s="410">
        <f>BJ1373+BK1373</f>
        <v>210</v>
      </c>
      <c r="BM1373" s="410">
        <f>BJ1373</f>
        <v>105</v>
      </c>
      <c r="BN1373" s="410">
        <f>BK1373</f>
        <v>105</v>
      </c>
      <c r="BO1373" s="410">
        <f>BM1373+BN1373</f>
        <v>210</v>
      </c>
      <c r="BP1373" s="410">
        <f>BM1373</f>
        <v>105</v>
      </c>
      <c r="BQ1373" s="410">
        <f>BN1373</f>
        <v>105</v>
      </c>
      <c r="BR1373" s="410">
        <f>BP1373+BQ1373</f>
        <v>210</v>
      </c>
    </row>
    <row r="1374" spans="2:71" outlineLevel="2">
      <c r="C1374" s="9" t="s">
        <v>56</v>
      </c>
      <c r="D1374" s="7" t="s">
        <v>58</v>
      </c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Y1374" s="624">
        <f>Y1371/Y1372</f>
        <v>35</v>
      </c>
      <c r="AC1374" s="501">
        <f>Y1374*0.5*(2/6)</f>
        <v>5.833333333333333</v>
      </c>
      <c r="AD1374" s="501">
        <f>Y1374*0.5</f>
        <v>17.5</v>
      </c>
      <c r="AE1374" s="629">
        <f>SUM(AC1374:AD1374)</f>
        <v>23.333333333333332</v>
      </c>
      <c r="AF1374" s="925">
        <f>+AF1375*AF1373</f>
        <v>17.5</v>
      </c>
      <c r="AG1374" s="1057">
        <f>+AG1375*AG1373</f>
        <v>17.5</v>
      </c>
      <c r="AH1374" s="28">
        <f>+AG1374+AF1374</f>
        <v>35</v>
      </c>
      <c r="AI1374" s="630">
        <f>AI1375*AI1373</f>
        <v>17.5</v>
      </c>
      <c r="AJ1374" s="630">
        <f>AJ1375*AJ1373</f>
        <v>17.5</v>
      </c>
      <c r="AK1374" s="28">
        <f>AI1374+AJ1374</f>
        <v>35</v>
      </c>
      <c r="AL1374" s="630">
        <f>AL1375*AL1373</f>
        <v>17.5</v>
      </c>
      <c r="AM1374" s="630">
        <f>AM1375*AM1373</f>
        <v>17.5</v>
      </c>
      <c r="AN1374" s="28">
        <f>AL1374+AM1374</f>
        <v>35</v>
      </c>
      <c r="AO1374" s="630">
        <f>AO1375*AO1373</f>
        <v>17.5</v>
      </c>
      <c r="AP1374" s="630">
        <f>AP1375*AP1373</f>
        <v>17.5</v>
      </c>
      <c r="AQ1374" s="28">
        <f>AO1374+AP1374</f>
        <v>35</v>
      </c>
      <c r="AR1374" s="630">
        <f>AR1375*AR1373</f>
        <v>17.5</v>
      </c>
      <c r="AS1374" s="630">
        <f>AS1375*AS1373</f>
        <v>17.5</v>
      </c>
      <c r="AT1374" s="28">
        <f>AR1374+AS1374</f>
        <v>35</v>
      </c>
      <c r="AU1374" s="630">
        <f>AU1375*AU1373</f>
        <v>17.5</v>
      </c>
      <c r="AV1374" s="630">
        <f>AV1375*AV1373</f>
        <v>17.5</v>
      </c>
      <c r="AW1374" s="28">
        <f>AU1374+AV1374</f>
        <v>35</v>
      </c>
      <c r="AX1374" s="630">
        <f>AX1375*AX1373</f>
        <v>17.5</v>
      </c>
      <c r="AY1374" s="630">
        <f>AY1375*AY1373</f>
        <v>17.5</v>
      </c>
      <c r="AZ1374" s="28">
        <f>AX1374+AY1374</f>
        <v>35</v>
      </c>
      <c r="BA1374" s="630">
        <f>BA1375*BA1373</f>
        <v>17.5</v>
      </c>
      <c r="BB1374" s="630">
        <f>BB1375*BB1373</f>
        <v>17.5</v>
      </c>
      <c r="BC1374" s="28">
        <f>BA1374+BB1374</f>
        <v>35</v>
      </c>
      <c r="BD1374" s="630">
        <f>BD1375*BD1373</f>
        <v>17.5</v>
      </c>
      <c r="BE1374" s="630">
        <f>BE1375*BE1373</f>
        <v>17.5</v>
      </c>
      <c r="BF1374" s="28">
        <f>BD1374+BE1374</f>
        <v>35</v>
      </c>
      <c r="BG1374" s="630">
        <f>BG1375*BG1373</f>
        <v>17.5</v>
      </c>
      <c r="BH1374" s="630">
        <f>BH1375*BH1373</f>
        <v>17.5</v>
      </c>
      <c r="BI1374" s="28">
        <f>BG1374+BH1374</f>
        <v>35</v>
      </c>
      <c r="BJ1374" s="630">
        <f>BJ1375*BJ1373</f>
        <v>17.5</v>
      </c>
      <c r="BK1374" s="630">
        <f>BK1375*BK1373</f>
        <v>17.5</v>
      </c>
      <c r="BL1374" s="28">
        <f>BJ1374+BK1374</f>
        <v>35</v>
      </c>
      <c r="BM1374" s="630">
        <f>BM1375*BM1373</f>
        <v>17.5</v>
      </c>
      <c r="BN1374" s="630">
        <f>BN1375*BN1373</f>
        <v>17.5</v>
      </c>
      <c r="BO1374" s="28">
        <f>BM1374+BN1374</f>
        <v>35</v>
      </c>
      <c r="BP1374" s="630">
        <f>BP1375*BP1373</f>
        <v>17.5</v>
      </c>
      <c r="BQ1374" s="630">
        <f>BQ1375*BQ1373</f>
        <v>17.5</v>
      </c>
      <c r="BR1374" s="28">
        <f>BP1374+BQ1374</f>
        <v>35</v>
      </c>
    </row>
    <row r="1375" spans="2:71" outlineLevel="2">
      <c r="C1375" s="108" t="s">
        <v>73</v>
      </c>
      <c r="D1375" s="7" t="s">
        <v>66</v>
      </c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Y1375" s="625">
        <f>Y1374/Y1373</f>
        <v>0.16666666666666666</v>
      </c>
      <c r="AC1375" s="20">
        <f>+AC1374/AC1373</f>
        <v>0.16666666666666666</v>
      </c>
      <c r="AD1375" s="20">
        <f>+AD1374/AD1373</f>
        <v>0.16666666666666666</v>
      </c>
      <c r="AE1375" s="850">
        <f>+AE1374/AE1373</f>
        <v>0.16666666666666666</v>
      </c>
      <c r="AF1375" s="166">
        <f>Y1375</f>
        <v>0.16666666666666666</v>
      </c>
      <c r="AG1375" s="947">
        <f>Y1375</f>
        <v>0.16666666666666666</v>
      </c>
      <c r="AH1375" s="20">
        <f>AH1374/AH1373</f>
        <v>0.16666666666666666</v>
      </c>
      <c r="AI1375" s="22">
        <f>AF1375</f>
        <v>0.16666666666666666</v>
      </c>
      <c r="AJ1375" s="22">
        <f>AG1375</f>
        <v>0.16666666666666666</v>
      </c>
      <c r="AK1375" s="20">
        <f>AK1374/AK1373</f>
        <v>0.16666666666666666</v>
      </c>
      <c r="AL1375" s="22">
        <f>AI1375</f>
        <v>0.16666666666666666</v>
      </c>
      <c r="AM1375" s="22">
        <f>AJ1375</f>
        <v>0.16666666666666666</v>
      </c>
      <c r="AN1375" s="20">
        <f>AN1374/AN1373</f>
        <v>0.16666666666666666</v>
      </c>
      <c r="AO1375" s="22">
        <f>AL1375</f>
        <v>0.16666666666666666</v>
      </c>
      <c r="AP1375" s="22">
        <f>AM1375</f>
        <v>0.16666666666666666</v>
      </c>
      <c r="AQ1375" s="20">
        <f>AQ1374/AQ1373</f>
        <v>0.16666666666666666</v>
      </c>
      <c r="AR1375" s="22">
        <f>AO1375</f>
        <v>0.16666666666666666</v>
      </c>
      <c r="AS1375" s="22">
        <f>AP1375</f>
        <v>0.16666666666666666</v>
      </c>
      <c r="AT1375" s="20">
        <f>AT1374/AT1373</f>
        <v>0.16666666666666666</v>
      </c>
      <c r="AU1375" s="22">
        <f>AR1375</f>
        <v>0.16666666666666666</v>
      </c>
      <c r="AV1375" s="22">
        <f>AS1375</f>
        <v>0.16666666666666666</v>
      </c>
      <c r="AW1375" s="20">
        <f>AW1374/AW1373</f>
        <v>0.16666666666666666</v>
      </c>
      <c r="AX1375" s="22">
        <f>AU1375</f>
        <v>0.16666666666666666</v>
      </c>
      <c r="AY1375" s="22">
        <f>AV1375</f>
        <v>0.16666666666666666</v>
      </c>
      <c r="AZ1375" s="20">
        <f>AZ1374/AZ1373</f>
        <v>0.16666666666666666</v>
      </c>
      <c r="BA1375" s="22">
        <f>AX1375</f>
        <v>0.16666666666666666</v>
      </c>
      <c r="BB1375" s="22">
        <f>AY1375</f>
        <v>0.16666666666666666</v>
      </c>
      <c r="BC1375" s="20">
        <f>BC1374/BC1373</f>
        <v>0.16666666666666666</v>
      </c>
      <c r="BD1375" s="22">
        <f>BA1375</f>
        <v>0.16666666666666666</v>
      </c>
      <c r="BE1375" s="22">
        <f>BB1375</f>
        <v>0.16666666666666666</v>
      </c>
      <c r="BF1375" s="20">
        <f>BF1374/BF1373</f>
        <v>0.16666666666666666</v>
      </c>
      <c r="BG1375" s="22">
        <f>BD1375</f>
        <v>0.16666666666666666</v>
      </c>
      <c r="BH1375" s="22">
        <f>BE1375</f>
        <v>0.16666666666666666</v>
      </c>
      <c r="BI1375" s="20">
        <f>BI1374/BI1373</f>
        <v>0.16666666666666666</v>
      </c>
      <c r="BJ1375" s="22">
        <f>BG1375</f>
        <v>0.16666666666666666</v>
      </c>
      <c r="BK1375" s="22">
        <f>BH1375</f>
        <v>0.16666666666666666</v>
      </c>
      <c r="BL1375" s="20">
        <f>BL1374/BL1373</f>
        <v>0.16666666666666666</v>
      </c>
      <c r="BM1375" s="22">
        <f>BJ1375</f>
        <v>0.16666666666666666</v>
      </c>
      <c r="BN1375" s="22">
        <f>BK1375</f>
        <v>0.16666666666666666</v>
      </c>
      <c r="BO1375" s="20">
        <f>BO1374/BO1373</f>
        <v>0.16666666666666666</v>
      </c>
      <c r="BP1375" s="22">
        <f>BM1375</f>
        <v>0.16666666666666666</v>
      </c>
      <c r="BQ1375" s="22">
        <f>BN1375</f>
        <v>0.16666666666666666</v>
      </c>
      <c r="BR1375" s="20">
        <f>BR1374/BR1373</f>
        <v>0.16666666666666666</v>
      </c>
    </row>
    <row r="1376" spans="2:71" outlineLevel="2">
      <c r="C1376" s="9" t="s">
        <v>65</v>
      </c>
      <c r="D1376" s="7" t="s">
        <v>58</v>
      </c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Y1376" s="626">
        <f>Y1377-Y1374</f>
        <v>-5</v>
      </c>
      <c r="AC1376" s="13">
        <f>Y1376*0.5*(2/6)</f>
        <v>-0.83333333333333326</v>
      </c>
      <c r="AD1376" s="13">
        <f>Y1376*0.5</f>
        <v>-2.5</v>
      </c>
      <c r="AE1376" s="26">
        <f>SUM(AC1376:AD1376)</f>
        <v>-3.333333333333333</v>
      </c>
      <c r="AF1376" s="167">
        <f>AH1376*0.5</f>
        <v>-2.5</v>
      </c>
      <c r="AG1376" s="1018">
        <f>AH1376*0.5</f>
        <v>-2.5</v>
      </c>
      <c r="AH1376" s="13">
        <f>Y1376</f>
        <v>-5</v>
      </c>
      <c r="AI1376" s="13">
        <f>AF1376</f>
        <v>-2.5</v>
      </c>
      <c r="AJ1376" s="13">
        <f>AG1376</f>
        <v>-2.5</v>
      </c>
      <c r="AK1376" s="13">
        <f>AI1376+AJ1376</f>
        <v>-5</v>
      </c>
      <c r="AL1376" s="13">
        <f>AI1376</f>
        <v>-2.5</v>
      </c>
      <c r="AM1376" s="13">
        <f>AJ1376</f>
        <v>-2.5</v>
      </c>
      <c r="AN1376" s="13">
        <f>AL1376+AM1376</f>
        <v>-5</v>
      </c>
      <c r="AO1376" s="13">
        <f>AL1376</f>
        <v>-2.5</v>
      </c>
      <c r="AP1376" s="13">
        <f>AM1376</f>
        <v>-2.5</v>
      </c>
      <c r="AQ1376" s="13">
        <f>AO1376+AP1376</f>
        <v>-5</v>
      </c>
      <c r="AR1376" s="13">
        <f>AO1376</f>
        <v>-2.5</v>
      </c>
      <c r="AS1376" s="13">
        <f>AP1376</f>
        <v>-2.5</v>
      </c>
      <c r="AT1376" s="13">
        <f>AR1376+AS1376</f>
        <v>-5</v>
      </c>
      <c r="AU1376" s="13">
        <f>AR1376</f>
        <v>-2.5</v>
      </c>
      <c r="AV1376" s="13">
        <f>AS1376</f>
        <v>-2.5</v>
      </c>
      <c r="AW1376" s="13">
        <f>AU1376+AV1376</f>
        <v>-5</v>
      </c>
      <c r="AX1376" s="13">
        <f>AU1376</f>
        <v>-2.5</v>
      </c>
      <c r="AY1376" s="13">
        <f>AV1376</f>
        <v>-2.5</v>
      </c>
      <c r="AZ1376" s="13">
        <f>AX1376+AY1376</f>
        <v>-5</v>
      </c>
      <c r="BA1376" s="13">
        <f>AX1376</f>
        <v>-2.5</v>
      </c>
      <c r="BB1376" s="13">
        <f>AY1376</f>
        <v>-2.5</v>
      </c>
      <c r="BC1376" s="13">
        <f>BA1376+BB1376</f>
        <v>-5</v>
      </c>
      <c r="BD1376" s="13">
        <f>BA1376</f>
        <v>-2.5</v>
      </c>
      <c r="BE1376" s="13">
        <f>BB1376</f>
        <v>-2.5</v>
      </c>
      <c r="BF1376" s="13">
        <f>BD1376+BE1376</f>
        <v>-5</v>
      </c>
      <c r="BG1376" s="13">
        <f>BD1376</f>
        <v>-2.5</v>
      </c>
      <c r="BH1376" s="13">
        <f>BE1376</f>
        <v>-2.5</v>
      </c>
      <c r="BI1376" s="13">
        <f>BG1376+BH1376</f>
        <v>-5</v>
      </c>
      <c r="BJ1376" s="13">
        <f>BG1376</f>
        <v>-2.5</v>
      </c>
      <c r="BK1376" s="13">
        <f>BH1376</f>
        <v>-2.5</v>
      </c>
      <c r="BL1376" s="13">
        <f>BJ1376+BK1376</f>
        <v>-5</v>
      </c>
      <c r="BM1376" s="13">
        <f>BJ1376</f>
        <v>-2.5</v>
      </c>
      <c r="BN1376" s="13">
        <f>BK1376</f>
        <v>-2.5</v>
      </c>
      <c r="BO1376" s="13">
        <f>BM1376+BN1376</f>
        <v>-5</v>
      </c>
      <c r="BP1376" s="13">
        <f>BM1376</f>
        <v>-2.5</v>
      </c>
      <c r="BQ1376" s="13">
        <f>BN1376</f>
        <v>-2.5</v>
      </c>
      <c r="BR1376" s="13">
        <f>BP1376+BQ1376</f>
        <v>-5</v>
      </c>
      <c r="BS1376" s="30"/>
    </row>
    <row r="1377" spans="2:71" outlineLevel="2">
      <c r="C1377" s="9" t="s">
        <v>78</v>
      </c>
      <c r="D1377" s="7" t="s">
        <v>58</v>
      </c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Y1377" s="626">
        <f>Y1382-Y1380</f>
        <v>30</v>
      </c>
      <c r="AC1377" s="28">
        <f>AC1374+AC1376</f>
        <v>5</v>
      </c>
      <c r="AD1377" s="28">
        <f>AD1374+AD1376</f>
        <v>15</v>
      </c>
      <c r="AE1377" s="629">
        <f>SUM(AC1377:AD1377)</f>
        <v>20</v>
      </c>
      <c r="AF1377" s="493">
        <f>AF1374+AF1376</f>
        <v>15</v>
      </c>
      <c r="AG1377" s="1008">
        <f>AG1374+AG1376</f>
        <v>15</v>
      </c>
      <c r="AH1377" s="28">
        <f>Y1377</f>
        <v>30</v>
      </c>
      <c r="AI1377" s="28">
        <f>AI1374+AI1376</f>
        <v>15</v>
      </c>
      <c r="AJ1377" s="28">
        <f>AJ1374+AJ1376</f>
        <v>15</v>
      </c>
      <c r="AK1377" s="28">
        <f>AI1377+AJ1377</f>
        <v>30</v>
      </c>
      <c r="AL1377" s="28">
        <f>AL1374+AL1376</f>
        <v>15</v>
      </c>
      <c r="AM1377" s="28">
        <f>AM1374+AM1376</f>
        <v>15</v>
      </c>
      <c r="AN1377" s="28">
        <f>AL1377+AM1377</f>
        <v>30</v>
      </c>
      <c r="AO1377" s="28">
        <f>AO1374+AO1376</f>
        <v>15</v>
      </c>
      <c r="AP1377" s="28">
        <f>AP1374+AP1376</f>
        <v>15</v>
      </c>
      <c r="AQ1377" s="28">
        <f>AO1377+AP1377</f>
        <v>30</v>
      </c>
      <c r="AR1377" s="28">
        <f>AR1374+AR1376</f>
        <v>15</v>
      </c>
      <c r="AS1377" s="28">
        <f>AS1374+AS1376</f>
        <v>15</v>
      </c>
      <c r="AT1377" s="28">
        <f>AR1377+AS1377</f>
        <v>30</v>
      </c>
      <c r="AU1377" s="28">
        <f>AU1374+AU1376</f>
        <v>15</v>
      </c>
      <c r="AV1377" s="28">
        <f>AV1374+AV1376</f>
        <v>15</v>
      </c>
      <c r="AW1377" s="28">
        <f>AU1377+AV1377</f>
        <v>30</v>
      </c>
      <c r="AX1377" s="28">
        <f>AX1374+AX1376</f>
        <v>15</v>
      </c>
      <c r="AY1377" s="28">
        <f>AY1374+AY1376</f>
        <v>15</v>
      </c>
      <c r="AZ1377" s="28">
        <f>AX1377+AY1377</f>
        <v>30</v>
      </c>
      <c r="BA1377" s="28">
        <f>BA1374+BA1376</f>
        <v>15</v>
      </c>
      <c r="BB1377" s="28">
        <f>BB1374+BB1376</f>
        <v>15</v>
      </c>
      <c r="BC1377" s="28">
        <f>BA1377+BB1377</f>
        <v>30</v>
      </c>
      <c r="BD1377" s="28">
        <f>BD1374+BD1376</f>
        <v>15</v>
      </c>
      <c r="BE1377" s="28">
        <f>BE1374+BE1376</f>
        <v>15</v>
      </c>
      <c r="BF1377" s="28">
        <f>BD1377+BE1377</f>
        <v>30</v>
      </c>
      <c r="BG1377" s="28">
        <f>BG1374+BG1376</f>
        <v>15</v>
      </c>
      <c r="BH1377" s="28">
        <f>BH1374+BH1376</f>
        <v>15</v>
      </c>
      <c r="BI1377" s="28">
        <f>BG1377+BH1377</f>
        <v>30</v>
      </c>
      <c r="BJ1377" s="28">
        <f>BJ1374+BJ1376</f>
        <v>15</v>
      </c>
      <c r="BK1377" s="28">
        <f>BK1374+BK1376</f>
        <v>15</v>
      </c>
      <c r="BL1377" s="28">
        <f>BJ1377+BK1377</f>
        <v>30</v>
      </c>
      <c r="BM1377" s="28">
        <f>BM1374+BM1376</f>
        <v>15</v>
      </c>
      <c r="BN1377" s="28">
        <f>BN1374+BN1376</f>
        <v>15</v>
      </c>
      <c r="BO1377" s="28">
        <f>BM1377+BN1377</f>
        <v>30</v>
      </c>
      <c r="BP1377" s="28">
        <f>BP1374+BP1376</f>
        <v>15</v>
      </c>
      <c r="BQ1377" s="28">
        <f>BQ1374+BQ1376</f>
        <v>15</v>
      </c>
      <c r="BR1377" s="28">
        <f>BP1377+BQ1377</f>
        <v>30</v>
      </c>
      <c r="BS1377" s="30"/>
    </row>
    <row r="1378" spans="2:71" outlineLevel="2">
      <c r="C1378" s="93" t="s">
        <v>74</v>
      </c>
      <c r="D1378" s="31" t="s">
        <v>66</v>
      </c>
      <c r="E1378" s="31"/>
      <c r="F1378" s="31"/>
      <c r="G1378" s="31"/>
      <c r="H1378" s="31"/>
      <c r="I1378" s="31"/>
      <c r="J1378" s="31"/>
      <c r="K1378" s="31"/>
      <c r="L1378" s="31"/>
      <c r="M1378" s="31"/>
      <c r="N1378" s="31"/>
      <c r="O1378" s="31"/>
      <c r="P1378" s="30"/>
      <c r="Q1378" s="30"/>
      <c r="R1378" s="30"/>
      <c r="S1378" s="30"/>
      <c r="T1378" s="30"/>
      <c r="U1378" s="30"/>
      <c r="V1378" s="30"/>
      <c r="W1378" s="30"/>
      <c r="X1378" s="30"/>
      <c r="Y1378" s="627">
        <f>Y1377/Y1373</f>
        <v>0.14285714285714285</v>
      </c>
      <c r="AC1378" s="202">
        <f t="shared" ref="AC1378:AN1378" si="7358">+AC1377/AC1373</f>
        <v>0.14285714285714285</v>
      </c>
      <c r="AD1378" s="202">
        <f t="shared" si="7358"/>
        <v>0.14285714285714285</v>
      </c>
      <c r="AE1378" s="801">
        <f t="shared" si="7358"/>
        <v>0.14285714285714285</v>
      </c>
      <c r="AF1378" s="801">
        <f t="shared" si="7358"/>
        <v>0.14285714285714285</v>
      </c>
      <c r="AG1378" s="1058">
        <f t="shared" si="7358"/>
        <v>0.14285714285714285</v>
      </c>
      <c r="AH1378" s="202">
        <f t="shared" si="7358"/>
        <v>0.14285714285714285</v>
      </c>
      <c r="AI1378" s="202">
        <f t="shared" si="7358"/>
        <v>0.14285714285714285</v>
      </c>
      <c r="AJ1378" s="202">
        <f t="shared" si="7358"/>
        <v>0.14285714285714285</v>
      </c>
      <c r="AK1378" s="202">
        <f t="shared" si="7358"/>
        <v>0.14285714285714285</v>
      </c>
      <c r="AL1378" s="202">
        <f t="shared" si="7358"/>
        <v>0.14285714285714285</v>
      </c>
      <c r="AM1378" s="202">
        <f t="shared" si="7358"/>
        <v>0.14285714285714285</v>
      </c>
      <c r="AN1378" s="202">
        <f t="shared" si="7358"/>
        <v>0.14285714285714285</v>
      </c>
      <c r="AO1378" s="202">
        <f t="shared" ref="AO1378:AT1378" si="7359">+AO1377/AO1373</f>
        <v>0.14285714285714285</v>
      </c>
      <c r="AP1378" s="202">
        <f t="shared" si="7359"/>
        <v>0.14285714285714285</v>
      </c>
      <c r="AQ1378" s="202">
        <f t="shared" si="7359"/>
        <v>0.14285714285714285</v>
      </c>
      <c r="AR1378" s="202">
        <f t="shared" si="7359"/>
        <v>0.14285714285714285</v>
      </c>
      <c r="AS1378" s="202">
        <f t="shared" si="7359"/>
        <v>0.14285714285714285</v>
      </c>
      <c r="AT1378" s="202">
        <f t="shared" si="7359"/>
        <v>0.14285714285714285</v>
      </c>
      <c r="AU1378" s="202">
        <f t="shared" ref="AU1378:BR1378" si="7360">+AU1377/AU1373</f>
        <v>0.14285714285714285</v>
      </c>
      <c r="AV1378" s="202">
        <f t="shared" si="7360"/>
        <v>0.14285714285714285</v>
      </c>
      <c r="AW1378" s="202">
        <f t="shared" si="7360"/>
        <v>0.14285714285714285</v>
      </c>
      <c r="AX1378" s="202">
        <f t="shared" si="7360"/>
        <v>0.14285714285714285</v>
      </c>
      <c r="AY1378" s="202">
        <f t="shared" si="7360"/>
        <v>0.14285714285714285</v>
      </c>
      <c r="AZ1378" s="202">
        <f t="shared" si="7360"/>
        <v>0.14285714285714285</v>
      </c>
      <c r="BA1378" s="202">
        <f t="shared" si="7360"/>
        <v>0.14285714285714285</v>
      </c>
      <c r="BB1378" s="202">
        <f t="shared" si="7360"/>
        <v>0.14285714285714285</v>
      </c>
      <c r="BC1378" s="202">
        <f t="shared" si="7360"/>
        <v>0.14285714285714285</v>
      </c>
      <c r="BD1378" s="202">
        <f t="shared" si="7360"/>
        <v>0.14285714285714285</v>
      </c>
      <c r="BE1378" s="202">
        <f t="shared" si="7360"/>
        <v>0.14285714285714285</v>
      </c>
      <c r="BF1378" s="202">
        <f t="shared" si="7360"/>
        <v>0.14285714285714285</v>
      </c>
      <c r="BG1378" s="202">
        <f t="shared" si="7360"/>
        <v>0.14285714285714285</v>
      </c>
      <c r="BH1378" s="202">
        <f t="shared" si="7360"/>
        <v>0.14285714285714285</v>
      </c>
      <c r="BI1378" s="202">
        <f t="shared" si="7360"/>
        <v>0.14285714285714285</v>
      </c>
      <c r="BJ1378" s="202">
        <f t="shared" si="7360"/>
        <v>0.14285714285714285</v>
      </c>
      <c r="BK1378" s="202">
        <f t="shared" si="7360"/>
        <v>0.14285714285714285</v>
      </c>
      <c r="BL1378" s="202">
        <f t="shared" si="7360"/>
        <v>0.14285714285714285</v>
      </c>
      <c r="BM1378" s="202">
        <f t="shared" si="7360"/>
        <v>0.14285714285714285</v>
      </c>
      <c r="BN1378" s="202">
        <f t="shared" si="7360"/>
        <v>0.14285714285714285</v>
      </c>
      <c r="BO1378" s="202">
        <f t="shared" si="7360"/>
        <v>0.14285714285714285</v>
      </c>
      <c r="BP1378" s="202">
        <f t="shared" si="7360"/>
        <v>0.14285714285714285</v>
      </c>
      <c r="BQ1378" s="202">
        <f t="shared" si="7360"/>
        <v>0.14285714285714285</v>
      </c>
      <c r="BR1378" s="202">
        <f t="shared" si="7360"/>
        <v>0.14285714285714285</v>
      </c>
      <c r="BS1378" s="30"/>
    </row>
    <row r="1379" spans="2:71" outlineLevel="2">
      <c r="C1379" s="84" t="s">
        <v>90</v>
      </c>
      <c r="D1379" s="31" t="s">
        <v>58</v>
      </c>
      <c r="E1379" s="31"/>
      <c r="F1379" s="31"/>
      <c r="G1379" s="31"/>
      <c r="H1379" s="31"/>
      <c r="I1379" s="31"/>
      <c r="J1379" s="31"/>
      <c r="K1379" s="31"/>
      <c r="L1379" s="31"/>
      <c r="M1379" s="31"/>
      <c r="N1379" s="31"/>
      <c r="O1379" s="31"/>
      <c r="Q1379" s="30"/>
      <c r="R1379" s="30"/>
      <c r="S1379" s="30"/>
      <c r="T1379" s="30"/>
      <c r="U1379" s="30"/>
      <c r="V1379" s="30"/>
      <c r="W1379" s="30"/>
      <c r="X1379" s="30"/>
      <c r="Y1379" s="628"/>
      <c r="AC1379" s="150">
        <f>+AC1380-Z1380</f>
        <v>0</v>
      </c>
      <c r="AD1379" s="150">
        <f>+AD1380-AA1380</f>
        <v>-8</v>
      </c>
      <c r="AE1379" s="851">
        <f>+AE1380-AB1380</f>
        <v>-8</v>
      </c>
      <c r="AF1379" s="345">
        <v>0</v>
      </c>
      <c r="AG1379" s="1085">
        <v>0</v>
      </c>
      <c r="AH1379" s="347">
        <f>AF1379+AG1379</f>
        <v>0</v>
      </c>
      <c r="AI1379" s="435">
        <v>18</v>
      </c>
      <c r="AJ1379" s="435">
        <v>6</v>
      </c>
      <c r="AK1379" s="347">
        <f>AI1379+AJ1379</f>
        <v>24</v>
      </c>
      <c r="AL1379" s="435">
        <v>2</v>
      </c>
      <c r="AM1379" s="435">
        <v>2</v>
      </c>
      <c r="AN1379" s="347">
        <f>AL1379+AM1379</f>
        <v>4</v>
      </c>
      <c r="AO1379" s="435">
        <v>2</v>
      </c>
      <c r="AP1379" s="435">
        <v>2</v>
      </c>
      <c r="AQ1379" s="347">
        <f>AO1379+AP1379</f>
        <v>4</v>
      </c>
      <c r="AR1379" s="435">
        <v>0</v>
      </c>
      <c r="AS1379" s="435">
        <v>0</v>
      </c>
      <c r="AT1379" s="347">
        <f>AR1379+AS1379</f>
        <v>0</v>
      </c>
      <c r="AU1379" s="435">
        <v>0</v>
      </c>
      <c r="AV1379" s="435">
        <v>0</v>
      </c>
      <c r="AW1379" s="347">
        <f>AU1379+AV1379</f>
        <v>0</v>
      </c>
      <c r="AX1379" s="435">
        <v>0</v>
      </c>
      <c r="AY1379" s="435">
        <v>0</v>
      </c>
      <c r="AZ1379" s="347">
        <f>AX1379+AY1379</f>
        <v>0</v>
      </c>
      <c r="BA1379" s="435">
        <v>0</v>
      </c>
      <c r="BB1379" s="435">
        <v>0</v>
      </c>
      <c r="BC1379" s="347">
        <f>BA1379+BB1379</f>
        <v>0</v>
      </c>
      <c r="BD1379" s="435">
        <v>0</v>
      </c>
      <c r="BE1379" s="435">
        <v>0</v>
      </c>
      <c r="BF1379" s="347">
        <f>BD1379+BE1379</f>
        <v>0</v>
      </c>
      <c r="BG1379" s="435">
        <v>0</v>
      </c>
      <c r="BH1379" s="435">
        <v>0</v>
      </c>
      <c r="BI1379" s="347">
        <f>BG1379+BH1379</f>
        <v>0</v>
      </c>
      <c r="BJ1379" s="435">
        <v>0</v>
      </c>
      <c r="BK1379" s="435">
        <v>0</v>
      </c>
      <c r="BL1379" s="347">
        <f>BJ1379+BK1379</f>
        <v>0</v>
      </c>
      <c r="BM1379" s="435">
        <v>0</v>
      </c>
      <c r="BN1379" s="435">
        <v>0</v>
      </c>
      <c r="BO1379" s="347">
        <f>BM1379+BN1379</f>
        <v>0</v>
      </c>
      <c r="BP1379" s="435">
        <v>0</v>
      </c>
      <c r="BQ1379" s="435">
        <v>0</v>
      </c>
      <c r="BR1379" s="347">
        <f>BP1379+BQ1379</f>
        <v>0</v>
      </c>
      <c r="BS1379" s="30"/>
    </row>
    <row r="1380" spans="2:71" outlineLevel="2">
      <c r="C1380" s="9" t="s">
        <v>89</v>
      </c>
      <c r="D1380" s="7" t="s">
        <v>58</v>
      </c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Y1380" s="623">
        <v>20</v>
      </c>
      <c r="AC1380" s="435">
        <v>0</v>
      </c>
      <c r="AD1380" s="407">
        <v>-8</v>
      </c>
      <c r="AE1380" s="171">
        <f>+AD1380+AC1380</f>
        <v>-8</v>
      </c>
      <c r="AF1380" s="376">
        <f>AC1380+AF1379</f>
        <v>0</v>
      </c>
      <c r="AG1380" s="1002">
        <f>AD1380+AG1379</f>
        <v>-8</v>
      </c>
      <c r="AH1380" s="347">
        <f>AF1380+AG1380</f>
        <v>-8</v>
      </c>
      <c r="AI1380" s="42">
        <f>AF1380+AI1379</f>
        <v>18</v>
      </c>
      <c r="AJ1380" s="42">
        <f>AG1380+AJ1379</f>
        <v>-2</v>
      </c>
      <c r="AK1380" s="347">
        <f>AI1380+AJ1380</f>
        <v>16</v>
      </c>
      <c r="AL1380" s="42">
        <f>AI1380+AL1379</f>
        <v>20</v>
      </c>
      <c r="AM1380" s="42">
        <f>AJ1380+AM1379</f>
        <v>0</v>
      </c>
      <c r="AN1380" s="347">
        <f>AL1380+AM1380</f>
        <v>20</v>
      </c>
      <c r="AO1380" s="42">
        <f>AL1380+AO1379</f>
        <v>22</v>
      </c>
      <c r="AP1380" s="42">
        <f>AM1380+AP1379</f>
        <v>2</v>
      </c>
      <c r="AQ1380" s="347">
        <f>AO1380+AP1380</f>
        <v>24</v>
      </c>
      <c r="AR1380" s="42">
        <f>AO1380+AR1379</f>
        <v>22</v>
      </c>
      <c r="AS1380" s="42">
        <f>AP1380+AS1379</f>
        <v>2</v>
      </c>
      <c r="AT1380" s="347">
        <f>AR1380+AS1380</f>
        <v>24</v>
      </c>
      <c r="AU1380" s="42">
        <f>AR1380+AU1379</f>
        <v>22</v>
      </c>
      <c r="AV1380" s="42">
        <f>AS1380+AV1379</f>
        <v>2</v>
      </c>
      <c r="AW1380" s="347">
        <f>AU1380+AV1380</f>
        <v>24</v>
      </c>
      <c r="AX1380" s="42">
        <f>AU1380+AX1379</f>
        <v>22</v>
      </c>
      <c r="AY1380" s="42">
        <f>AV1380+AY1379</f>
        <v>2</v>
      </c>
      <c r="AZ1380" s="347">
        <f>AX1380+AY1380</f>
        <v>24</v>
      </c>
      <c r="BA1380" s="42">
        <f>AX1380+BA1379</f>
        <v>22</v>
      </c>
      <c r="BB1380" s="42">
        <f>AY1380+BB1379</f>
        <v>2</v>
      </c>
      <c r="BC1380" s="347">
        <f>BA1380+BB1380</f>
        <v>24</v>
      </c>
      <c r="BD1380" s="42">
        <f>BA1380+BD1379</f>
        <v>22</v>
      </c>
      <c r="BE1380" s="42">
        <f>BB1380+BE1379</f>
        <v>2</v>
      </c>
      <c r="BF1380" s="347">
        <f>BD1380+BE1380</f>
        <v>24</v>
      </c>
      <c r="BG1380" s="42">
        <f>BD1380+BG1379</f>
        <v>22</v>
      </c>
      <c r="BH1380" s="42">
        <f>BE1380+BH1379</f>
        <v>2</v>
      </c>
      <c r="BI1380" s="347">
        <f>BG1380+BH1380</f>
        <v>24</v>
      </c>
      <c r="BJ1380" s="42">
        <f>BG1380+BJ1379</f>
        <v>22</v>
      </c>
      <c r="BK1380" s="42">
        <f>BH1380+BK1379</f>
        <v>2</v>
      </c>
      <c r="BL1380" s="347">
        <f>BJ1380+BK1380</f>
        <v>24</v>
      </c>
      <c r="BM1380" s="42">
        <f>BJ1380+BM1379</f>
        <v>22</v>
      </c>
      <c r="BN1380" s="42">
        <f>BK1380+BN1379</f>
        <v>2</v>
      </c>
      <c r="BO1380" s="347">
        <f>BM1380+BN1380</f>
        <v>24</v>
      </c>
      <c r="BP1380" s="42">
        <f>BM1380+BP1379</f>
        <v>22</v>
      </c>
      <c r="BQ1380" s="42">
        <f>BN1380+BQ1379</f>
        <v>2</v>
      </c>
      <c r="BR1380" s="347">
        <f>BP1380+BQ1380</f>
        <v>24</v>
      </c>
      <c r="BS1380" s="30"/>
    </row>
    <row r="1381" spans="2:71" outlineLevel="2">
      <c r="C1381" s="93" t="s">
        <v>264</v>
      </c>
      <c r="D1381" s="31" t="s">
        <v>66</v>
      </c>
      <c r="E1381" s="31"/>
      <c r="F1381" s="31"/>
      <c r="G1381" s="31"/>
      <c r="H1381" s="31"/>
      <c r="I1381" s="31"/>
      <c r="J1381" s="31"/>
      <c r="K1381" s="31"/>
      <c r="L1381" s="31"/>
      <c r="M1381" s="31"/>
      <c r="N1381" s="31"/>
      <c r="O1381" s="31"/>
      <c r="P1381" s="30"/>
      <c r="Q1381" s="30"/>
      <c r="R1381" s="30"/>
      <c r="S1381" s="30"/>
      <c r="T1381" s="30"/>
      <c r="U1381" s="30"/>
      <c r="V1381" s="30"/>
      <c r="W1381" s="30"/>
      <c r="X1381" s="30"/>
      <c r="Y1381" s="625">
        <f>Y1380/Y1373</f>
        <v>9.5238095238095233E-2</v>
      </c>
      <c r="AC1381" s="35"/>
      <c r="AD1381" s="30"/>
      <c r="AE1381" s="168"/>
      <c r="AF1381" s="926"/>
      <c r="AG1381" s="1060"/>
      <c r="AI1381" s="29"/>
      <c r="AJ1381" s="33"/>
      <c r="AK1381" s="30"/>
      <c r="AL1381" s="33"/>
      <c r="AM1381" s="33"/>
      <c r="AN1381" s="30"/>
      <c r="AO1381" s="33"/>
      <c r="AP1381" s="33"/>
      <c r="AQ1381" s="30"/>
      <c r="AR1381" s="33"/>
      <c r="AS1381" s="33"/>
      <c r="AT1381" s="30"/>
      <c r="AU1381" s="33"/>
      <c r="AV1381" s="33"/>
      <c r="AW1381" s="30"/>
      <c r="AX1381" s="33"/>
      <c r="AY1381" s="33"/>
      <c r="AZ1381" s="30"/>
      <c r="BA1381" s="33"/>
      <c r="BB1381" s="33"/>
      <c r="BC1381" s="30"/>
      <c r="BD1381" s="33"/>
      <c r="BE1381" s="33"/>
      <c r="BF1381" s="30"/>
      <c r="BG1381" s="33"/>
      <c r="BH1381" s="33"/>
      <c r="BI1381" s="30"/>
      <c r="BJ1381" s="33"/>
      <c r="BK1381" s="33"/>
      <c r="BL1381" s="30"/>
      <c r="BM1381" s="33"/>
      <c r="BN1381" s="33"/>
      <c r="BO1381" s="30"/>
      <c r="BP1381" s="33"/>
      <c r="BQ1381" s="33"/>
      <c r="BR1381" s="30"/>
      <c r="BS1381" s="30"/>
    </row>
    <row r="1382" spans="2:71" s="8" customFormat="1" outlineLevel="2">
      <c r="C1382" s="95" t="s">
        <v>680</v>
      </c>
      <c r="D1382" s="96" t="s">
        <v>58</v>
      </c>
      <c r="E1382" s="96"/>
      <c r="F1382" s="96"/>
      <c r="G1382" s="96"/>
      <c r="H1382" s="96"/>
      <c r="I1382" s="96"/>
      <c r="J1382" s="96"/>
      <c r="K1382" s="96"/>
      <c r="L1382" s="96"/>
      <c r="M1382" s="96"/>
      <c r="N1382" s="96"/>
      <c r="O1382" s="96"/>
      <c r="Y1382" s="631">
        <v>50</v>
      </c>
      <c r="AC1382" s="378">
        <f>AC1377+AC1380</f>
        <v>5</v>
      </c>
      <c r="AD1382" s="378">
        <f>AD1377+AD1380</f>
        <v>7</v>
      </c>
      <c r="AE1382" s="470">
        <f>AC1382+AD1382</f>
        <v>12</v>
      </c>
      <c r="AF1382" s="470">
        <f>AF1380+AF1377</f>
        <v>15</v>
      </c>
      <c r="AG1382" s="934">
        <f>AG1380+AG1377</f>
        <v>7</v>
      </c>
      <c r="AH1382" s="64">
        <f>AF1382+AG1382</f>
        <v>22</v>
      </c>
      <c r="AI1382" s="64">
        <f>AI1380+AI1377</f>
        <v>33</v>
      </c>
      <c r="AJ1382" s="64">
        <f>AJ1380+AJ1377</f>
        <v>13</v>
      </c>
      <c r="AK1382" s="64">
        <f>AI1382+AJ1382</f>
        <v>46</v>
      </c>
      <c r="AL1382" s="64">
        <f>AL1380+AL1377</f>
        <v>35</v>
      </c>
      <c r="AM1382" s="64">
        <f>AM1380+AM1377</f>
        <v>15</v>
      </c>
      <c r="AN1382" s="64">
        <f>AL1382+AM1382</f>
        <v>50</v>
      </c>
      <c r="AO1382" s="64">
        <f>AO1380+AO1377</f>
        <v>37</v>
      </c>
      <c r="AP1382" s="64">
        <f>AP1380+AP1377</f>
        <v>17</v>
      </c>
      <c r="AQ1382" s="64">
        <f>AO1382+AP1382</f>
        <v>54</v>
      </c>
      <c r="AR1382" s="64">
        <f>AR1380+AR1377</f>
        <v>37</v>
      </c>
      <c r="AS1382" s="64">
        <f>AS1380+AS1377</f>
        <v>17</v>
      </c>
      <c r="AT1382" s="64">
        <f>AR1382+AS1382</f>
        <v>54</v>
      </c>
      <c r="AU1382" s="64">
        <f>AU1380+AU1377</f>
        <v>37</v>
      </c>
      <c r="AV1382" s="64">
        <f>AV1380+AV1377</f>
        <v>17</v>
      </c>
      <c r="AW1382" s="64">
        <f>AU1382+AV1382</f>
        <v>54</v>
      </c>
      <c r="AX1382" s="64">
        <f>AX1380+AX1377</f>
        <v>37</v>
      </c>
      <c r="AY1382" s="64">
        <f>AY1380+AY1377</f>
        <v>17</v>
      </c>
      <c r="AZ1382" s="64">
        <f>AX1382+AY1382</f>
        <v>54</v>
      </c>
      <c r="BA1382" s="64">
        <f>BA1380+BA1377</f>
        <v>37</v>
      </c>
      <c r="BB1382" s="64">
        <f>BB1380+BB1377</f>
        <v>17</v>
      </c>
      <c r="BC1382" s="64">
        <f>BA1382+BB1382</f>
        <v>54</v>
      </c>
      <c r="BD1382" s="64">
        <f>BD1380+BD1377</f>
        <v>37</v>
      </c>
      <c r="BE1382" s="64">
        <f>BE1380+BE1377</f>
        <v>17</v>
      </c>
      <c r="BF1382" s="64">
        <f>BD1382+BE1382</f>
        <v>54</v>
      </c>
      <c r="BG1382" s="64">
        <f>BG1380+BG1377</f>
        <v>37</v>
      </c>
      <c r="BH1382" s="64">
        <f>BH1380+BH1377</f>
        <v>17</v>
      </c>
      <c r="BI1382" s="64">
        <f>BG1382+BH1382</f>
        <v>54</v>
      </c>
      <c r="BJ1382" s="64">
        <f>BJ1380+BJ1377</f>
        <v>37</v>
      </c>
      <c r="BK1382" s="64">
        <f>BK1380+BK1377</f>
        <v>17</v>
      </c>
      <c r="BL1382" s="64">
        <f>BJ1382+BK1382</f>
        <v>54</v>
      </c>
      <c r="BM1382" s="64">
        <f>BM1380+BM1377</f>
        <v>37</v>
      </c>
      <c r="BN1382" s="64">
        <f>BN1380+BN1377</f>
        <v>17</v>
      </c>
      <c r="BO1382" s="64">
        <f>BM1382+BN1382</f>
        <v>54</v>
      </c>
      <c r="BP1382" s="64">
        <f>BP1380+BP1377</f>
        <v>37</v>
      </c>
      <c r="BQ1382" s="64">
        <f>BQ1380+BQ1377</f>
        <v>17</v>
      </c>
      <c r="BR1382" s="64">
        <f>BP1382+BQ1382</f>
        <v>54</v>
      </c>
      <c r="BS1382" s="823"/>
    </row>
    <row r="1383" spans="2:71" outlineLevel="2">
      <c r="C1383" s="108" t="s">
        <v>75</v>
      </c>
      <c r="D1383" s="31" t="s">
        <v>66</v>
      </c>
      <c r="E1383" s="31"/>
      <c r="F1383" s="31"/>
      <c r="G1383" s="31"/>
      <c r="H1383" s="31"/>
      <c r="I1383" s="31"/>
      <c r="J1383" s="31"/>
      <c r="K1383" s="31"/>
      <c r="L1383" s="31"/>
      <c r="M1383" s="31"/>
      <c r="N1383" s="31"/>
      <c r="O1383" s="31"/>
      <c r="Y1383" s="738">
        <f>Y1382/Y1371</f>
        <v>0.17857142857142858</v>
      </c>
      <c r="AC1383" s="20">
        <f>+AC1382/$Y$1371*2</f>
        <v>3.5714285714285712E-2</v>
      </c>
      <c r="AD1383" s="20">
        <f>+AD1382/$Y$1371*2</f>
        <v>0.05</v>
      </c>
      <c r="AE1383" s="162">
        <f>AE1382/$Y$1371</f>
        <v>4.2857142857142858E-2</v>
      </c>
      <c r="AF1383" s="162">
        <f>AF1382/$Y$1371*2</f>
        <v>0.10714285714285714</v>
      </c>
      <c r="AG1383" s="984">
        <f>AG1382/$Y$1371*2</f>
        <v>0.05</v>
      </c>
      <c r="AH1383" s="40">
        <f>AH1382/$Y$1371</f>
        <v>7.857142857142857E-2</v>
      </c>
      <c r="AI1383" s="40">
        <f>AI1382/$Y$1371*2</f>
        <v>0.23571428571428571</v>
      </c>
      <c r="AJ1383" s="40">
        <f>AJ1382/$Y$1371*2</f>
        <v>9.285714285714286E-2</v>
      </c>
      <c r="AK1383" s="40">
        <f>AK1382/$Y$1371</f>
        <v>0.16428571428571428</v>
      </c>
      <c r="AL1383" s="40">
        <f>AL1382/$Y$1371*2</f>
        <v>0.25</v>
      </c>
      <c r="AM1383" s="40">
        <f>AM1382/$Y$1371*2</f>
        <v>0.10714285714285714</v>
      </c>
      <c r="AN1383" s="40">
        <f>AN1382/$Y$1371</f>
        <v>0.17857142857142858</v>
      </c>
      <c r="AO1383" s="40">
        <f>AO1382/$Y$1371*2</f>
        <v>0.26428571428571429</v>
      </c>
      <c r="AP1383" s="40">
        <f>AP1382/$Y$1371*2</f>
        <v>0.12142857142857143</v>
      </c>
      <c r="AQ1383" s="40">
        <f>AQ1382/$Y$1371</f>
        <v>0.19285714285714287</v>
      </c>
      <c r="AR1383" s="40">
        <f>AR1382/$Y$1371*2</f>
        <v>0.26428571428571429</v>
      </c>
      <c r="AS1383" s="40">
        <f>AS1382/$Y$1371*2</f>
        <v>0.12142857142857143</v>
      </c>
      <c r="AT1383" s="40">
        <f>AT1382/$Y$1371</f>
        <v>0.19285714285714287</v>
      </c>
      <c r="AU1383" s="40">
        <f>AU1382/$Y$1371*2</f>
        <v>0.26428571428571429</v>
      </c>
      <c r="AV1383" s="40">
        <f>AV1382/$Y$1371*2</f>
        <v>0.12142857142857143</v>
      </c>
      <c r="AW1383" s="40">
        <f>AW1382/$Y$1371</f>
        <v>0.19285714285714287</v>
      </c>
      <c r="AX1383" s="40">
        <f>AX1382/$Y$1371*2</f>
        <v>0.26428571428571429</v>
      </c>
      <c r="AY1383" s="40">
        <f>AY1382/$Y$1371*2</f>
        <v>0.12142857142857143</v>
      </c>
      <c r="AZ1383" s="40">
        <f>AZ1382/$Y$1371</f>
        <v>0.19285714285714287</v>
      </c>
      <c r="BA1383" s="40">
        <f>BA1382/$Y$1371*2</f>
        <v>0.26428571428571429</v>
      </c>
      <c r="BB1383" s="40">
        <f>BB1382/$Y$1371*2</f>
        <v>0.12142857142857143</v>
      </c>
      <c r="BC1383" s="40">
        <f>BC1382/$Y$1371</f>
        <v>0.19285714285714287</v>
      </c>
      <c r="BD1383" s="40">
        <f>BD1382/$Y$1371*2</f>
        <v>0.26428571428571429</v>
      </c>
      <c r="BE1383" s="40">
        <f>BE1382/$Y$1371*2</f>
        <v>0.12142857142857143</v>
      </c>
      <c r="BF1383" s="40">
        <f>BF1382/$Y$1371</f>
        <v>0.19285714285714287</v>
      </c>
      <c r="BG1383" s="40">
        <f>BG1382/$Y$1371*2</f>
        <v>0.26428571428571429</v>
      </c>
      <c r="BH1383" s="40">
        <f>BH1382/$Y$1371*2</f>
        <v>0.12142857142857143</v>
      </c>
      <c r="BI1383" s="40">
        <f>BI1382/$Y$1371</f>
        <v>0.19285714285714287</v>
      </c>
      <c r="BJ1383" s="40">
        <f>BJ1382/$Y$1371*2</f>
        <v>0.26428571428571429</v>
      </c>
      <c r="BK1383" s="40">
        <f>BK1382/$Y$1371*2</f>
        <v>0.12142857142857143</v>
      </c>
      <c r="BL1383" s="40">
        <f>BL1382/$Y$1371</f>
        <v>0.19285714285714287</v>
      </c>
      <c r="BM1383" s="40">
        <f>BM1382/$Y$1371*2</f>
        <v>0.26428571428571429</v>
      </c>
      <c r="BN1383" s="40">
        <f>BN1382/$Y$1371*2</f>
        <v>0.12142857142857143</v>
      </c>
      <c r="BO1383" s="40">
        <f>BO1382/$Y$1371</f>
        <v>0.19285714285714287</v>
      </c>
      <c r="BP1383" s="40">
        <f>BP1382/$Y$1371*2</f>
        <v>0.26428571428571429</v>
      </c>
      <c r="BQ1383" s="40">
        <f>BQ1382/$Y$1371*2</f>
        <v>0.12142857142857143</v>
      </c>
      <c r="BR1383" s="40">
        <f>BR1382/$Y$1371</f>
        <v>0.19285714285714287</v>
      </c>
      <c r="BS1383" s="30"/>
    </row>
    <row r="1384" spans="2:71" outlineLevel="2">
      <c r="B1384" s="5"/>
      <c r="C1384" s="642" t="s">
        <v>267</v>
      </c>
      <c r="D1384" s="633" t="s">
        <v>58</v>
      </c>
      <c r="E1384" s="634"/>
      <c r="F1384" s="634"/>
      <c r="G1384" s="634"/>
      <c r="H1384" s="634"/>
      <c r="I1384" s="634"/>
      <c r="J1384" s="634"/>
      <c r="K1384" s="634"/>
      <c r="L1384" s="634"/>
      <c r="M1384" s="634"/>
      <c r="N1384" s="634"/>
      <c r="O1384" s="634"/>
      <c r="P1384" s="635"/>
      <c r="Q1384" s="635"/>
      <c r="R1384" s="635"/>
      <c r="S1384" s="635"/>
      <c r="T1384" s="635"/>
      <c r="U1384" s="635"/>
      <c r="V1384" s="635"/>
      <c r="W1384" s="635"/>
      <c r="X1384" s="635"/>
      <c r="Y1384" s="635"/>
      <c r="Z1384" s="635"/>
      <c r="AA1384" s="635"/>
      <c r="AB1384" s="635"/>
      <c r="AC1384" s="635">
        <f>(AC1373-Z1373)</f>
        <v>35</v>
      </c>
      <c r="AD1384" s="635">
        <f>(AD1373-AA1373)</f>
        <v>105</v>
      </c>
      <c r="AE1384" s="635">
        <f>AC1384+AD1384</f>
        <v>140</v>
      </c>
      <c r="AF1384" s="927">
        <f>(AF1373-AC1373)</f>
        <v>70</v>
      </c>
      <c r="AG1384" s="1061">
        <f>(AG1373-AD1373)</f>
        <v>0</v>
      </c>
      <c r="AH1384" s="637">
        <f>AF1384+AG1384</f>
        <v>70</v>
      </c>
      <c r="AI1384" s="637">
        <f>(AI1373-AF1373)</f>
        <v>0</v>
      </c>
      <c r="AJ1384" s="637">
        <f>(AJ1373-AG1373)</f>
        <v>0</v>
      </c>
      <c r="AK1384" s="637">
        <f>AI1384+AJ1384</f>
        <v>0</v>
      </c>
      <c r="AL1384" s="637">
        <f>(AL1373-AI1373)</f>
        <v>0</v>
      </c>
      <c r="AM1384" s="637">
        <f>(AM1373-AJ1373)</f>
        <v>0</v>
      </c>
      <c r="AN1384" s="637">
        <f>AL1384+AM1384</f>
        <v>0</v>
      </c>
      <c r="AO1384" s="637">
        <f>(AO1373-AL1373)</f>
        <v>0</v>
      </c>
      <c r="AP1384" s="637">
        <f>(AP1373-AM1373)</f>
        <v>0</v>
      </c>
      <c r="AQ1384" s="637">
        <f>AO1384+AP1384</f>
        <v>0</v>
      </c>
      <c r="AR1384" s="637">
        <f>(AR1373-AO1373)</f>
        <v>0</v>
      </c>
      <c r="AS1384" s="637">
        <f>(AS1373-AP1373)</f>
        <v>0</v>
      </c>
      <c r="AT1384" s="637">
        <f>AR1384+AS1384</f>
        <v>0</v>
      </c>
      <c r="AU1384" s="637">
        <f>(AU1373-AR1373)</f>
        <v>0</v>
      </c>
      <c r="AV1384" s="637">
        <f>(AV1373-AS1373)</f>
        <v>0</v>
      </c>
      <c r="AW1384" s="637">
        <f>AU1384+AV1384</f>
        <v>0</v>
      </c>
      <c r="AX1384" s="637">
        <f>(AX1373-AU1373)</f>
        <v>0</v>
      </c>
      <c r="AY1384" s="637">
        <f>(AY1373-AV1373)</f>
        <v>0</v>
      </c>
      <c r="AZ1384" s="637">
        <f>AX1384+AY1384</f>
        <v>0</v>
      </c>
      <c r="BA1384" s="637">
        <f>(BA1373-AX1373)</f>
        <v>0</v>
      </c>
      <c r="BB1384" s="637">
        <f>(BB1373-AY1373)</f>
        <v>0</v>
      </c>
      <c r="BC1384" s="637">
        <f>BA1384+BB1384</f>
        <v>0</v>
      </c>
      <c r="BD1384" s="637">
        <f>(BD1373-BA1373)</f>
        <v>0</v>
      </c>
      <c r="BE1384" s="637">
        <f>(BE1373-BB1373)</f>
        <v>0</v>
      </c>
      <c r="BF1384" s="637">
        <f>BD1384+BE1384</f>
        <v>0</v>
      </c>
      <c r="BG1384" s="637">
        <f>(BG1373-BD1373)</f>
        <v>0</v>
      </c>
      <c r="BH1384" s="637">
        <f>(BH1373-BE1373)</f>
        <v>0</v>
      </c>
      <c r="BI1384" s="637">
        <f>BG1384+BH1384</f>
        <v>0</v>
      </c>
      <c r="BJ1384" s="637">
        <f>(BJ1373-BG1373)</f>
        <v>0</v>
      </c>
      <c r="BK1384" s="637">
        <f>(BK1373-BH1373)</f>
        <v>0</v>
      </c>
      <c r="BL1384" s="637">
        <f>BJ1384+BK1384</f>
        <v>0</v>
      </c>
      <c r="BM1384" s="637">
        <f>(BM1373-BJ1373)</f>
        <v>0</v>
      </c>
      <c r="BN1384" s="637">
        <f>(BN1373-BK1373)</f>
        <v>0</v>
      </c>
      <c r="BO1384" s="637">
        <f>BM1384+BN1384</f>
        <v>0</v>
      </c>
      <c r="BP1384" s="637">
        <f>(BP1373-BM1373)</f>
        <v>0</v>
      </c>
      <c r="BQ1384" s="637">
        <f>(BQ1373-BN1373)</f>
        <v>0</v>
      </c>
      <c r="BR1384" s="638">
        <f>BP1384+BQ1384</f>
        <v>0</v>
      </c>
      <c r="BS1384" s="30"/>
    </row>
    <row r="1385" spans="2:71" outlineLevel="2">
      <c r="B1385" s="5"/>
      <c r="C1385" s="643" t="s">
        <v>268</v>
      </c>
      <c r="D1385" s="632" t="s">
        <v>58</v>
      </c>
      <c r="E1385" s="401"/>
      <c r="F1385" s="401"/>
      <c r="G1385" s="401"/>
      <c r="H1385" s="401"/>
      <c r="I1385" s="401"/>
      <c r="J1385" s="401"/>
      <c r="K1385" s="401"/>
      <c r="L1385" s="401"/>
      <c r="M1385" s="401"/>
      <c r="N1385" s="401"/>
      <c r="O1385" s="401"/>
      <c r="P1385" s="130"/>
      <c r="Q1385" s="130"/>
      <c r="R1385" s="130"/>
      <c r="S1385" s="130"/>
      <c r="T1385" s="130"/>
      <c r="U1385" s="130"/>
      <c r="V1385" s="130"/>
      <c r="W1385" s="130"/>
      <c r="X1385" s="130"/>
      <c r="Y1385" s="130"/>
      <c r="Z1385" s="130"/>
      <c r="AA1385" s="130"/>
      <c r="AB1385" s="130"/>
      <c r="AC1385" s="164">
        <f>(AC1376-Z1376)</f>
        <v>-0.83333333333333326</v>
      </c>
      <c r="AD1385" s="13">
        <f>(AD1376-AA1376)</f>
        <v>-2.5</v>
      </c>
      <c r="AE1385" s="26">
        <f>+AD1385+AC1385</f>
        <v>-3.333333333333333</v>
      </c>
      <c r="AF1385" s="493">
        <f>(AF1376-AC1376)</f>
        <v>-1.6666666666666667</v>
      </c>
      <c r="AG1385" s="937">
        <f>(AG1376-AD1376)</f>
        <v>0</v>
      </c>
      <c r="AH1385" s="171">
        <f>+AG1385+AF1385</f>
        <v>-1.6666666666666667</v>
      </c>
      <c r="AI1385" s="171">
        <f>(AI1376-AF1376)</f>
        <v>0</v>
      </c>
      <c r="AJ1385" s="171">
        <f>(AJ1376-AG1376)</f>
        <v>0</v>
      </c>
      <c r="AK1385" s="171">
        <f>+AJ1385+AI1385</f>
        <v>0</v>
      </c>
      <c r="AL1385" s="171">
        <f>(AL1376-AI1376)</f>
        <v>0</v>
      </c>
      <c r="AM1385" s="171">
        <f>(AM1376-AJ1376)</f>
        <v>0</v>
      </c>
      <c r="AN1385" s="171">
        <f>+AM1385+AL1385</f>
        <v>0</v>
      </c>
      <c r="AO1385" s="171">
        <f>(AO1376-AL1376)</f>
        <v>0</v>
      </c>
      <c r="AP1385" s="171">
        <f>(AP1376-AM1376)</f>
        <v>0</v>
      </c>
      <c r="AQ1385" s="171">
        <f>+AP1385+AO1385</f>
        <v>0</v>
      </c>
      <c r="AR1385" s="171">
        <f>(AR1376-AO1376)</f>
        <v>0</v>
      </c>
      <c r="AS1385" s="171">
        <f>(AS1376-AP1376)</f>
        <v>0</v>
      </c>
      <c r="AT1385" s="171">
        <f>+AS1385+AR1385</f>
        <v>0</v>
      </c>
      <c r="AU1385" s="171">
        <f>(AU1376-AR1376)</f>
        <v>0</v>
      </c>
      <c r="AV1385" s="171">
        <f>(AV1376-AS1376)</f>
        <v>0</v>
      </c>
      <c r="AW1385" s="171">
        <f>+AV1385+AU1385</f>
        <v>0</v>
      </c>
      <c r="AX1385" s="171">
        <f>(AX1376-AU1376)</f>
        <v>0</v>
      </c>
      <c r="AY1385" s="171">
        <f>(AY1376-AV1376)</f>
        <v>0</v>
      </c>
      <c r="AZ1385" s="171">
        <f>+AY1385+AX1385</f>
        <v>0</v>
      </c>
      <c r="BA1385" s="171">
        <f>(BA1376-AX1376)</f>
        <v>0</v>
      </c>
      <c r="BB1385" s="171">
        <f>(BB1376-AY1376)</f>
        <v>0</v>
      </c>
      <c r="BC1385" s="171">
        <f>+BB1385+BA1385</f>
        <v>0</v>
      </c>
      <c r="BD1385" s="171">
        <f>(BD1376-BA1376)</f>
        <v>0</v>
      </c>
      <c r="BE1385" s="171">
        <f>(BE1376-BB1376)</f>
        <v>0</v>
      </c>
      <c r="BF1385" s="171">
        <f>+BE1385+BD1385</f>
        <v>0</v>
      </c>
      <c r="BG1385" s="171">
        <f>(BG1376-BD1376)</f>
        <v>0</v>
      </c>
      <c r="BH1385" s="171">
        <f>(BH1376-BE1376)</f>
        <v>0</v>
      </c>
      <c r="BI1385" s="171">
        <f>+BH1385+BG1385</f>
        <v>0</v>
      </c>
      <c r="BJ1385" s="171">
        <f>(BJ1376-BG1376)</f>
        <v>0</v>
      </c>
      <c r="BK1385" s="171">
        <f>(BK1376-BH1376)</f>
        <v>0</v>
      </c>
      <c r="BL1385" s="171">
        <f>+BK1385+BJ1385</f>
        <v>0</v>
      </c>
      <c r="BM1385" s="171">
        <f>(BM1376-BJ1376)</f>
        <v>0</v>
      </c>
      <c r="BN1385" s="171">
        <f>(BN1376-BK1376)</f>
        <v>0</v>
      </c>
      <c r="BO1385" s="171">
        <f>+BN1385+BM1385</f>
        <v>0</v>
      </c>
      <c r="BP1385" s="171">
        <f>(BP1376-BM1376)</f>
        <v>0</v>
      </c>
      <c r="BQ1385" s="171">
        <f>(BQ1376-BN1376)</f>
        <v>0</v>
      </c>
      <c r="BR1385" s="639">
        <f>+BQ1385+BP1385</f>
        <v>0</v>
      </c>
      <c r="BS1385" s="30"/>
    </row>
    <row r="1386" spans="2:71" outlineLevel="2">
      <c r="B1386" s="5"/>
      <c r="C1386" s="644" t="s">
        <v>269</v>
      </c>
      <c r="D1386" s="636" t="s">
        <v>58</v>
      </c>
      <c r="E1386" s="554"/>
      <c r="F1386" s="554"/>
      <c r="G1386" s="554"/>
      <c r="H1386" s="554"/>
      <c r="I1386" s="554"/>
      <c r="J1386" s="554"/>
      <c r="K1386" s="554"/>
      <c r="L1386" s="554"/>
      <c r="M1386" s="554"/>
      <c r="N1386" s="554"/>
      <c r="O1386" s="554"/>
      <c r="P1386" s="555"/>
      <c r="Q1386" s="555"/>
      <c r="R1386" s="555"/>
      <c r="S1386" s="555"/>
      <c r="T1386" s="555"/>
      <c r="U1386" s="555"/>
      <c r="V1386" s="555"/>
      <c r="W1386" s="555"/>
      <c r="X1386" s="555"/>
      <c r="Y1386" s="555"/>
      <c r="Z1386" s="555"/>
      <c r="AA1386" s="555"/>
      <c r="AB1386" s="555"/>
      <c r="AC1386" s="555">
        <f>(AC1382-Z1382)</f>
        <v>5</v>
      </c>
      <c r="AD1386" s="555">
        <f>(AD1382-AA1382)</f>
        <v>7</v>
      </c>
      <c r="AE1386" s="555">
        <f>+AD1386+AC1386</f>
        <v>12</v>
      </c>
      <c r="AF1386" s="928">
        <f>(AF1382-AC1382)</f>
        <v>10</v>
      </c>
      <c r="AG1386" s="1062">
        <f>(AG1382-AD1382)</f>
        <v>0</v>
      </c>
      <c r="AH1386" s="640">
        <f>+AG1386+AF1386</f>
        <v>10</v>
      </c>
      <c r="AI1386" s="640">
        <f>(AI1382-AF1382)</f>
        <v>18</v>
      </c>
      <c r="AJ1386" s="640">
        <f>(AJ1382-AG1382)</f>
        <v>6</v>
      </c>
      <c r="AK1386" s="640">
        <f>+AJ1386+AI1386</f>
        <v>24</v>
      </c>
      <c r="AL1386" s="640">
        <f>(AL1382-AI1382)</f>
        <v>2</v>
      </c>
      <c r="AM1386" s="640">
        <f>(AM1382-AJ1382)</f>
        <v>2</v>
      </c>
      <c r="AN1386" s="640">
        <f>+AM1386+AL1386</f>
        <v>4</v>
      </c>
      <c r="AO1386" s="640">
        <f>(AO1382-AL1382)</f>
        <v>2</v>
      </c>
      <c r="AP1386" s="640">
        <f>(AP1382-AM1382)</f>
        <v>2</v>
      </c>
      <c r="AQ1386" s="640">
        <f>+AP1386+AO1386</f>
        <v>4</v>
      </c>
      <c r="AR1386" s="640">
        <f>(AR1382-AO1382)</f>
        <v>0</v>
      </c>
      <c r="AS1386" s="640">
        <f>(AS1382-AP1382)</f>
        <v>0</v>
      </c>
      <c r="AT1386" s="640">
        <f>+AS1386+AR1386</f>
        <v>0</v>
      </c>
      <c r="AU1386" s="640">
        <f>(AU1382-AR1382)</f>
        <v>0</v>
      </c>
      <c r="AV1386" s="640">
        <f>(AV1382-AS1382)</f>
        <v>0</v>
      </c>
      <c r="AW1386" s="640">
        <f>+AV1386+AU1386</f>
        <v>0</v>
      </c>
      <c r="AX1386" s="640">
        <f>(AX1382-AU1382)</f>
        <v>0</v>
      </c>
      <c r="AY1386" s="640">
        <f>(AY1382-AV1382)</f>
        <v>0</v>
      </c>
      <c r="AZ1386" s="640">
        <f>+AY1386+AX1386</f>
        <v>0</v>
      </c>
      <c r="BA1386" s="640">
        <f>(BA1382-AX1382)</f>
        <v>0</v>
      </c>
      <c r="BB1386" s="640">
        <f>(BB1382-AY1382)</f>
        <v>0</v>
      </c>
      <c r="BC1386" s="640">
        <f>+BB1386+BA1386</f>
        <v>0</v>
      </c>
      <c r="BD1386" s="640">
        <f>(BD1382-BA1382)</f>
        <v>0</v>
      </c>
      <c r="BE1386" s="640">
        <f>(BE1382-BB1382)</f>
        <v>0</v>
      </c>
      <c r="BF1386" s="640">
        <f>+BE1386+BD1386</f>
        <v>0</v>
      </c>
      <c r="BG1386" s="640">
        <f>(BG1382-BD1382)</f>
        <v>0</v>
      </c>
      <c r="BH1386" s="640">
        <f>(BH1382-BE1382)</f>
        <v>0</v>
      </c>
      <c r="BI1386" s="640">
        <f>+BH1386+BG1386</f>
        <v>0</v>
      </c>
      <c r="BJ1386" s="640">
        <f>(BJ1382-BG1382)</f>
        <v>0</v>
      </c>
      <c r="BK1386" s="640">
        <f>(BK1382-BH1382)</f>
        <v>0</v>
      </c>
      <c r="BL1386" s="640">
        <f>+BK1386+BJ1386</f>
        <v>0</v>
      </c>
      <c r="BM1386" s="640">
        <f>(BM1382-BJ1382)</f>
        <v>0</v>
      </c>
      <c r="BN1386" s="640">
        <f>(BN1382-BK1382)</f>
        <v>0</v>
      </c>
      <c r="BO1386" s="640">
        <f>+BN1386+BM1386</f>
        <v>0</v>
      </c>
      <c r="BP1386" s="640">
        <f>(BP1382-BM1382)</f>
        <v>0</v>
      </c>
      <c r="BQ1386" s="640">
        <f>(BQ1382-BN1382)</f>
        <v>0</v>
      </c>
      <c r="BR1386" s="641">
        <f>+BQ1386+BP1386</f>
        <v>0</v>
      </c>
      <c r="BS1386" s="30"/>
    </row>
    <row r="1387" spans="2:71" outlineLevel="2">
      <c r="B1387" s="584"/>
      <c r="BS1387" s="30"/>
    </row>
    <row r="1388" spans="2:71" outlineLevel="2">
      <c r="B1388" s="5"/>
      <c r="C1388" s="8" t="s">
        <v>91</v>
      </c>
    </row>
    <row r="1389" spans="2:71" outlineLevel="2">
      <c r="B1389" s="5"/>
      <c r="C1389" s="6" t="s">
        <v>266</v>
      </c>
      <c r="W1389" s="716" t="s">
        <v>679</v>
      </c>
      <c r="Z1389" s="85"/>
    </row>
    <row r="1390" spans="2:71" outlineLevel="2">
      <c r="B1390" s="5"/>
      <c r="C1390" s="6" t="s">
        <v>262</v>
      </c>
      <c r="W1390" s="702">
        <v>42502</v>
      </c>
      <c r="Z1390" s="362"/>
    </row>
    <row r="1391" spans="2:71" s="30" customFormat="1" outlineLevel="2">
      <c r="C1391" s="30" t="s">
        <v>72</v>
      </c>
      <c r="D1391" s="31" t="s">
        <v>58</v>
      </c>
      <c r="E1391" s="31"/>
      <c r="F1391" s="31"/>
      <c r="G1391" s="31"/>
      <c r="H1391" s="31"/>
      <c r="I1391" s="31"/>
      <c r="J1391" s="31"/>
      <c r="K1391" s="31"/>
      <c r="L1391" s="31"/>
      <c r="M1391" s="31"/>
      <c r="N1391" s="31"/>
      <c r="O1391" s="31"/>
      <c r="W1391" s="717">
        <v>30</v>
      </c>
      <c r="Z1391" s="35"/>
      <c r="AC1391" s="35"/>
      <c r="AE1391" s="168"/>
      <c r="AF1391" s="168"/>
      <c r="AG1391" s="964"/>
    </row>
    <row r="1392" spans="2:71" s="30" customFormat="1" outlineLevel="2">
      <c r="C1392" s="30" t="s">
        <v>263</v>
      </c>
      <c r="D1392" s="74" t="s">
        <v>77</v>
      </c>
      <c r="E1392" s="21"/>
      <c r="F1392" s="21"/>
      <c r="G1392" s="21"/>
      <c r="H1392" s="21"/>
      <c r="I1392" s="21"/>
      <c r="J1392" s="21"/>
      <c r="K1392" s="21"/>
      <c r="L1392" s="21"/>
      <c r="M1392" s="21"/>
      <c r="N1392" s="21"/>
      <c r="O1392" s="21"/>
      <c r="W1392" s="718">
        <f>W1391/W1394</f>
        <v>6</v>
      </c>
      <c r="Z1392" s="38"/>
      <c r="AC1392" s="35"/>
      <c r="AE1392" s="165"/>
      <c r="AF1392" s="168"/>
      <c r="AG1392" s="964"/>
    </row>
    <row r="1393" spans="2:70" s="30" customFormat="1" outlineLevel="2">
      <c r="C1393" s="30" t="s">
        <v>55</v>
      </c>
      <c r="D1393" s="31" t="s">
        <v>58</v>
      </c>
      <c r="E1393" s="31"/>
      <c r="F1393" s="31"/>
      <c r="G1393" s="31"/>
      <c r="H1393" s="31"/>
      <c r="I1393" s="31"/>
      <c r="J1393" s="31"/>
      <c r="K1393" s="31"/>
      <c r="L1393" s="31"/>
      <c r="M1393" s="31"/>
      <c r="N1393" s="31"/>
      <c r="O1393" s="31"/>
      <c r="W1393" s="719">
        <f>(30/38)*35</f>
        <v>27.631578947368421</v>
      </c>
      <c r="Z1393" s="36"/>
      <c r="AA1393" s="37">
        <f>W1393*0.5*(2/6)</f>
        <v>4.6052631578947363</v>
      </c>
      <c r="AB1393" s="163">
        <f>SUM(Z1393:AA1393)</f>
        <v>4.6052631578947363</v>
      </c>
      <c r="AC1393" s="164">
        <f>AE1393*0.5</f>
        <v>13.815789473684211</v>
      </c>
      <c r="AD1393" s="13">
        <f>AE1393*0.5</f>
        <v>13.815789473684211</v>
      </c>
      <c r="AE1393" s="26">
        <f>W1393</f>
        <v>27.631578947368421</v>
      </c>
      <c r="AF1393" s="164">
        <f>AD1393</f>
        <v>13.815789473684211</v>
      </c>
      <c r="AG1393" s="1018">
        <f>AD1393</f>
        <v>13.815789473684211</v>
      </c>
      <c r="AH1393" s="18">
        <f>SUM(AF1393:AG1393)</f>
        <v>27.631578947368421</v>
      </c>
      <c r="AI1393" s="13">
        <f>AF1393</f>
        <v>13.815789473684211</v>
      </c>
      <c r="AJ1393" s="13">
        <f>AG1393</f>
        <v>13.815789473684211</v>
      </c>
      <c r="AK1393" s="18">
        <f>AI1393+AJ1393</f>
        <v>27.631578947368421</v>
      </c>
      <c r="AL1393" s="13">
        <f>AI1393</f>
        <v>13.815789473684211</v>
      </c>
      <c r="AM1393" s="13">
        <f>AJ1393</f>
        <v>13.815789473684211</v>
      </c>
      <c r="AN1393" s="18">
        <f>AL1393+AM1393</f>
        <v>27.631578947368421</v>
      </c>
      <c r="AO1393" s="13">
        <f>AL1393</f>
        <v>13.815789473684211</v>
      </c>
      <c r="AP1393" s="13">
        <f>AM1393</f>
        <v>13.815789473684211</v>
      </c>
      <c r="AQ1393" s="18">
        <f>AO1393+AP1393</f>
        <v>27.631578947368421</v>
      </c>
      <c r="AR1393" s="13">
        <f>AO1393</f>
        <v>13.815789473684211</v>
      </c>
      <c r="AS1393" s="13">
        <f>AP1393</f>
        <v>13.815789473684211</v>
      </c>
      <c r="AT1393" s="18">
        <f>AR1393+AS1393</f>
        <v>27.631578947368421</v>
      </c>
      <c r="AU1393" s="13">
        <f>AR1393</f>
        <v>13.815789473684211</v>
      </c>
      <c r="AV1393" s="13">
        <f>AS1393</f>
        <v>13.815789473684211</v>
      </c>
      <c r="AW1393" s="18">
        <f>AU1393+AV1393</f>
        <v>27.631578947368421</v>
      </c>
      <c r="AX1393" s="13">
        <f>AU1393</f>
        <v>13.815789473684211</v>
      </c>
      <c r="AY1393" s="13">
        <f>AV1393</f>
        <v>13.815789473684211</v>
      </c>
      <c r="AZ1393" s="18">
        <f>AX1393+AY1393</f>
        <v>27.631578947368421</v>
      </c>
      <c r="BA1393" s="13">
        <f>AX1393</f>
        <v>13.815789473684211</v>
      </c>
      <c r="BB1393" s="13">
        <f>AY1393</f>
        <v>13.815789473684211</v>
      </c>
      <c r="BC1393" s="18">
        <f>BA1393+BB1393</f>
        <v>27.631578947368421</v>
      </c>
      <c r="BD1393" s="13">
        <f>BA1393</f>
        <v>13.815789473684211</v>
      </c>
      <c r="BE1393" s="13">
        <f>BB1393</f>
        <v>13.815789473684211</v>
      </c>
      <c r="BF1393" s="18">
        <f>BD1393+BE1393</f>
        <v>27.631578947368421</v>
      </c>
      <c r="BG1393" s="13">
        <f>BD1393</f>
        <v>13.815789473684211</v>
      </c>
      <c r="BH1393" s="13">
        <f>BE1393</f>
        <v>13.815789473684211</v>
      </c>
      <c r="BI1393" s="18">
        <f>BG1393+BH1393</f>
        <v>27.631578947368421</v>
      </c>
      <c r="BJ1393" s="13">
        <f>BG1393</f>
        <v>13.815789473684211</v>
      </c>
      <c r="BK1393" s="13">
        <f>BH1393</f>
        <v>13.815789473684211</v>
      </c>
      <c r="BL1393" s="18">
        <f>BJ1393+BK1393</f>
        <v>27.631578947368421</v>
      </c>
      <c r="BM1393" s="13">
        <f>BJ1393</f>
        <v>13.815789473684211</v>
      </c>
      <c r="BN1393" s="13">
        <f>BK1393</f>
        <v>13.815789473684211</v>
      </c>
      <c r="BO1393" s="18">
        <f>BM1393+BN1393</f>
        <v>27.631578947368421</v>
      </c>
      <c r="BP1393" s="13">
        <f>BM1393</f>
        <v>13.815789473684211</v>
      </c>
      <c r="BQ1393" s="13">
        <f>BN1393</f>
        <v>13.815789473684211</v>
      </c>
      <c r="BR1393" s="18">
        <f>BP1393+BQ1393</f>
        <v>27.631578947368421</v>
      </c>
    </row>
    <row r="1394" spans="2:70" s="30" customFormat="1" outlineLevel="2">
      <c r="C1394" s="30" t="s">
        <v>56</v>
      </c>
      <c r="D1394" s="31" t="s">
        <v>58</v>
      </c>
      <c r="E1394" s="31"/>
      <c r="F1394" s="31"/>
      <c r="G1394" s="31"/>
      <c r="H1394" s="31"/>
      <c r="I1394" s="31"/>
      <c r="J1394" s="31"/>
      <c r="K1394" s="31"/>
      <c r="L1394" s="31"/>
      <c r="M1394" s="31"/>
      <c r="N1394" s="31"/>
      <c r="O1394" s="31"/>
      <c r="W1394" s="720">
        <f>W1397-W1396</f>
        <v>5</v>
      </c>
      <c r="Z1394" s="39"/>
      <c r="AA1394" s="37">
        <f>W1394*0.5*(2/6)</f>
        <v>0.83333333333333326</v>
      </c>
      <c r="AB1394" s="163">
        <f>SUM(Z1394:AA1394)</f>
        <v>0.83333333333333326</v>
      </c>
      <c r="AC1394" s="164">
        <f>AC1395*AC1393</f>
        <v>2.5</v>
      </c>
      <c r="AD1394" s="13">
        <f>AD1395*AD1393</f>
        <v>2.5</v>
      </c>
      <c r="AE1394" s="26">
        <f>W1394</f>
        <v>5</v>
      </c>
      <c r="AF1394" s="164">
        <f>AF1395*AF1393</f>
        <v>2.5</v>
      </c>
      <c r="AG1394" s="1018">
        <f>AG1395*AG1393</f>
        <v>2.5</v>
      </c>
      <c r="AH1394" s="18">
        <f>SUM(AF1394:AG1394)</f>
        <v>5</v>
      </c>
      <c r="AI1394" s="13">
        <f>AI1395*AI1393</f>
        <v>2.5</v>
      </c>
      <c r="AJ1394" s="13">
        <f>AJ1395*AJ1393</f>
        <v>2.5</v>
      </c>
      <c r="AK1394" s="18">
        <f>AI1394+AJ1394</f>
        <v>5</v>
      </c>
      <c r="AL1394" s="13">
        <f>AL1395*AL1393</f>
        <v>2.5</v>
      </c>
      <c r="AM1394" s="13">
        <f>AM1395*AM1393</f>
        <v>2.5</v>
      </c>
      <c r="AN1394" s="18">
        <f>AL1394+AM1394</f>
        <v>5</v>
      </c>
      <c r="AO1394" s="13">
        <f>AO1395*AO1393</f>
        <v>2.5</v>
      </c>
      <c r="AP1394" s="13">
        <f>AP1395*AP1393</f>
        <v>2.5</v>
      </c>
      <c r="AQ1394" s="18">
        <f>AO1394+AP1394</f>
        <v>5</v>
      </c>
      <c r="AR1394" s="13">
        <f>AR1395*AR1393</f>
        <v>2.5</v>
      </c>
      <c r="AS1394" s="13">
        <f>AS1395*AS1393</f>
        <v>2.5</v>
      </c>
      <c r="AT1394" s="18">
        <f>AR1394+AS1394</f>
        <v>5</v>
      </c>
      <c r="AU1394" s="13">
        <f>AU1395*AU1393</f>
        <v>2.5</v>
      </c>
      <c r="AV1394" s="13">
        <f>AV1395*AV1393</f>
        <v>2.5</v>
      </c>
      <c r="AW1394" s="18">
        <f>AU1394+AV1394</f>
        <v>5</v>
      </c>
      <c r="AX1394" s="13">
        <f>AX1395*AX1393</f>
        <v>2.5</v>
      </c>
      <c r="AY1394" s="13">
        <f>AY1395*AY1393</f>
        <v>2.5</v>
      </c>
      <c r="AZ1394" s="18">
        <f>AX1394+AY1394</f>
        <v>5</v>
      </c>
      <c r="BA1394" s="13">
        <f>BA1395*BA1393</f>
        <v>2.5</v>
      </c>
      <c r="BB1394" s="13">
        <f>BB1395*BB1393</f>
        <v>2.5</v>
      </c>
      <c r="BC1394" s="18">
        <f>BA1394+BB1394</f>
        <v>5</v>
      </c>
      <c r="BD1394" s="13">
        <f>BD1395*BD1393</f>
        <v>2.5</v>
      </c>
      <c r="BE1394" s="13">
        <f>BE1395*BE1393</f>
        <v>2.5</v>
      </c>
      <c r="BF1394" s="18">
        <f>BD1394+BE1394</f>
        <v>5</v>
      </c>
      <c r="BG1394" s="13">
        <f>BG1395*BG1393</f>
        <v>2.5</v>
      </c>
      <c r="BH1394" s="13">
        <f>BH1395*BH1393</f>
        <v>2.5</v>
      </c>
      <c r="BI1394" s="18">
        <f>BG1394+BH1394</f>
        <v>5</v>
      </c>
      <c r="BJ1394" s="13">
        <f>BJ1395*BJ1393</f>
        <v>2.5</v>
      </c>
      <c r="BK1394" s="13">
        <f>BK1395*BK1393</f>
        <v>2.5</v>
      </c>
      <c r="BL1394" s="18">
        <f>BJ1394+BK1394</f>
        <v>5</v>
      </c>
      <c r="BM1394" s="13">
        <f>BM1395*BM1393</f>
        <v>2.5</v>
      </c>
      <c r="BN1394" s="13">
        <f>BN1395*BN1393</f>
        <v>2.5</v>
      </c>
      <c r="BO1394" s="18">
        <f>BM1394+BN1394</f>
        <v>5</v>
      </c>
      <c r="BP1394" s="13">
        <f>BP1395*BP1393</f>
        <v>2.5</v>
      </c>
      <c r="BQ1394" s="13">
        <f>BQ1395*BQ1393</f>
        <v>2.5</v>
      </c>
      <c r="BR1394" s="18">
        <f>BP1394+BQ1394</f>
        <v>5</v>
      </c>
    </row>
    <row r="1395" spans="2:70" s="30" customFormat="1" outlineLevel="2">
      <c r="C1395" s="30" t="s">
        <v>73</v>
      </c>
      <c r="D1395" s="31" t="s">
        <v>66</v>
      </c>
      <c r="E1395" s="31"/>
      <c r="F1395" s="31"/>
      <c r="G1395" s="31"/>
      <c r="H1395" s="31"/>
      <c r="I1395" s="31"/>
      <c r="J1395" s="31"/>
      <c r="K1395" s="31"/>
      <c r="L1395" s="31"/>
      <c r="M1395" s="31"/>
      <c r="N1395" s="31"/>
      <c r="O1395" s="31"/>
      <c r="W1395" s="721">
        <f>W1394/W1393</f>
        <v>0.18095238095238095</v>
      </c>
      <c r="Z1395" s="40"/>
      <c r="AB1395" s="165"/>
      <c r="AC1395" s="166">
        <f>W1395</f>
        <v>0.18095238095238095</v>
      </c>
      <c r="AD1395" s="87">
        <f>W1395</f>
        <v>0.18095238095238095</v>
      </c>
      <c r="AE1395" s="162">
        <f>AE1394/AE1393</f>
        <v>0.18095238095238095</v>
      </c>
      <c r="AF1395" s="166">
        <f>AC1395</f>
        <v>0.18095238095238095</v>
      </c>
      <c r="AG1395" s="983">
        <f>AD1395</f>
        <v>0.18095238095238095</v>
      </c>
      <c r="AH1395" s="40">
        <f>AH1394/AH1393</f>
        <v>0.18095238095238095</v>
      </c>
      <c r="AI1395" s="87">
        <f>AF1395</f>
        <v>0.18095238095238095</v>
      </c>
      <c r="AJ1395" s="87">
        <f>AG1395</f>
        <v>0.18095238095238095</v>
      </c>
      <c r="AK1395" s="40">
        <f>AK1394/AK1393</f>
        <v>0.18095238095238095</v>
      </c>
      <c r="AL1395" s="87">
        <f>AH1395</f>
        <v>0.18095238095238095</v>
      </c>
      <c r="AM1395" s="87">
        <f>AH1395</f>
        <v>0.18095238095238095</v>
      </c>
      <c r="AN1395" s="40">
        <f>AN1394/AN1393</f>
        <v>0.18095238095238095</v>
      </c>
      <c r="AO1395" s="87">
        <f>AK1395</f>
        <v>0.18095238095238095</v>
      </c>
      <c r="AP1395" s="87">
        <f>AK1395</f>
        <v>0.18095238095238095</v>
      </c>
      <c r="AQ1395" s="40">
        <f>AQ1394/AQ1393</f>
        <v>0.18095238095238095</v>
      </c>
      <c r="AR1395" s="87">
        <f>AN1395</f>
        <v>0.18095238095238095</v>
      </c>
      <c r="AS1395" s="87">
        <f>AN1395</f>
        <v>0.18095238095238095</v>
      </c>
      <c r="AT1395" s="40">
        <f>AT1394/AT1393</f>
        <v>0.18095238095238095</v>
      </c>
      <c r="AU1395" s="87">
        <f>AQ1395</f>
        <v>0.18095238095238095</v>
      </c>
      <c r="AV1395" s="87">
        <f>AQ1395</f>
        <v>0.18095238095238095</v>
      </c>
      <c r="AW1395" s="40">
        <f>AW1394/AW1393</f>
        <v>0.18095238095238095</v>
      </c>
      <c r="AX1395" s="87">
        <f>AT1395</f>
        <v>0.18095238095238095</v>
      </c>
      <c r="AY1395" s="87">
        <f>AT1395</f>
        <v>0.18095238095238095</v>
      </c>
      <c r="AZ1395" s="40">
        <f>AZ1394/AZ1393</f>
        <v>0.18095238095238095</v>
      </c>
      <c r="BA1395" s="87">
        <f>AW1395</f>
        <v>0.18095238095238095</v>
      </c>
      <c r="BB1395" s="87">
        <f>AW1395</f>
        <v>0.18095238095238095</v>
      </c>
      <c r="BC1395" s="40">
        <f>BC1394/BC1393</f>
        <v>0.18095238095238095</v>
      </c>
      <c r="BD1395" s="87">
        <f>AZ1395</f>
        <v>0.18095238095238095</v>
      </c>
      <c r="BE1395" s="87">
        <f>AZ1395</f>
        <v>0.18095238095238095</v>
      </c>
      <c r="BF1395" s="40">
        <f>BF1394/BF1393</f>
        <v>0.18095238095238095</v>
      </c>
      <c r="BG1395" s="87">
        <f>BC1395</f>
        <v>0.18095238095238095</v>
      </c>
      <c r="BH1395" s="87">
        <f>BC1395</f>
        <v>0.18095238095238095</v>
      </c>
      <c r="BI1395" s="40">
        <f>BI1394/BI1393</f>
        <v>0.18095238095238095</v>
      </c>
      <c r="BJ1395" s="87">
        <f>BF1395</f>
        <v>0.18095238095238095</v>
      </c>
      <c r="BK1395" s="87">
        <f>BF1395</f>
        <v>0.18095238095238095</v>
      </c>
      <c r="BL1395" s="40">
        <f>BL1394/BL1393</f>
        <v>0.18095238095238095</v>
      </c>
      <c r="BM1395" s="87">
        <f>BI1395</f>
        <v>0.18095238095238095</v>
      </c>
      <c r="BN1395" s="87">
        <f>BI1395</f>
        <v>0.18095238095238095</v>
      </c>
      <c r="BO1395" s="40">
        <f>BO1394/BO1393</f>
        <v>0.18095238095238095</v>
      </c>
      <c r="BP1395" s="87">
        <f>BL1395</f>
        <v>0.18095238095238095</v>
      </c>
      <c r="BQ1395" s="87">
        <f>BL1395</f>
        <v>0.18095238095238095</v>
      </c>
      <c r="BR1395" s="40">
        <f>BR1394/BR1393</f>
        <v>0.18095238095238095</v>
      </c>
    </row>
    <row r="1396" spans="2:70" s="30" customFormat="1" outlineLevel="2">
      <c r="C1396" s="30" t="s">
        <v>65</v>
      </c>
      <c r="D1396" s="31" t="s">
        <v>58</v>
      </c>
      <c r="E1396" s="31"/>
      <c r="F1396" s="31"/>
      <c r="G1396" s="31"/>
      <c r="H1396" s="31"/>
      <c r="I1396" s="31"/>
      <c r="J1396" s="31"/>
      <c r="K1396" s="31"/>
      <c r="L1396" s="31"/>
      <c r="M1396" s="31"/>
      <c r="N1396" s="31"/>
      <c r="O1396" s="31"/>
      <c r="W1396" s="719">
        <v>-1</v>
      </c>
      <c r="Z1396" s="36"/>
      <c r="AA1396" s="37">
        <f>W1396*0.5*(2/6)</f>
        <v>-0.16666666666666666</v>
      </c>
      <c r="AB1396" s="163">
        <f>SUM(Z1396:AA1396)</f>
        <v>-0.16666666666666666</v>
      </c>
      <c r="AC1396" s="174">
        <f>AE1396*0.5</f>
        <v>-0.5</v>
      </c>
      <c r="AD1396" s="34">
        <f>AE1396*0.5</f>
        <v>-0.5</v>
      </c>
      <c r="AE1396" s="26">
        <f>W1396</f>
        <v>-1</v>
      </c>
      <c r="AF1396" s="164">
        <f>AD1396</f>
        <v>-0.5</v>
      </c>
      <c r="AG1396" s="1018">
        <f>AD1396</f>
        <v>-0.5</v>
      </c>
      <c r="AH1396" s="18">
        <f>AF1396+AG1396</f>
        <v>-1</v>
      </c>
      <c r="AI1396" s="13">
        <f>AF1396</f>
        <v>-0.5</v>
      </c>
      <c r="AJ1396" s="13">
        <f>AG1396</f>
        <v>-0.5</v>
      </c>
      <c r="AK1396" s="18">
        <f>AI1396+AJ1396</f>
        <v>-1</v>
      </c>
      <c r="AL1396" s="13">
        <f>AI1396</f>
        <v>-0.5</v>
      </c>
      <c r="AM1396" s="13">
        <f>AJ1396</f>
        <v>-0.5</v>
      </c>
      <c r="AN1396" s="18">
        <f>AL1396+AM1396</f>
        <v>-1</v>
      </c>
      <c r="AO1396" s="13">
        <f>AL1396</f>
        <v>-0.5</v>
      </c>
      <c r="AP1396" s="13">
        <f>AM1396</f>
        <v>-0.5</v>
      </c>
      <c r="AQ1396" s="18">
        <f>AO1396+AP1396</f>
        <v>-1</v>
      </c>
      <c r="AR1396" s="13">
        <f>AO1396</f>
        <v>-0.5</v>
      </c>
      <c r="AS1396" s="13">
        <f>AP1396</f>
        <v>-0.5</v>
      </c>
      <c r="AT1396" s="18">
        <f>AR1396+AS1396</f>
        <v>-1</v>
      </c>
      <c r="AU1396" s="13">
        <f>AR1396</f>
        <v>-0.5</v>
      </c>
      <c r="AV1396" s="13">
        <f>AS1396</f>
        <v>-0.5</v>
      </c>
      <c r="AW1396" s="18">
        <f>AU1396+AV1396</f>
        <v>-1</v>
      </c>
      <c r="AX1396" s="13">
        <f>AU1396</f>
        <v>-0.5</v>
      </c>
      <c r="AY1396" s="13">
        <f>AV1396</f>
        <v>-0.5</v>
      </c>
      <c r="AZ1396" s="18">
        <f>AX1396+AY1396</f>
        <v>-1</v>
      </c>
      <c r="BA1396" s="13">
        <f>AX1396</f>
        <v>-0.5</v>
      </c>
      <c r="BB1396" s="13">
        <f>AY1396</f>
        <v>-0.5</v>
      </c>
      <c r="BC1396" s="18">
        <f>BA1396+BB1396</f>
        <v>-1</v>
      </c>
      <c r="BD1396" s="13">
        <f>BA1396</f>
        <v>-0.5</v>
      </c>
      <c r="BE1396" s="13">
        <f>BB1396</f>
        <v>-0.5</v>
      </c>
      <c r="BF1396" s="18">
        <f>BD1396+BE1396</f>
        <v>-1</v>
      </c>
      <c r="BG1396" s="13">
        <f>BD1396</f>
        <v>-0.5</v>
      </c>
      <c r="BH1396" s="13">
        <f>BE1396</f>
        <v>-0.5</v>
      </c>
      <c r="BI1396" s="18">
        <f>BG1396+BH1396</f>
        <v>-1</v>
      </c>
      <c r="BJ1396" s="13">
        <f>BG1396</f>
        <v>-0.5</v>
      </c>
      <c r="BK1396" s="13">
        <f>BH1396</f>
        <v>-0.5</v>
      </c>
      <c r="BL1396" s="18">
        <f>BJ1396+BK1396</f>
        <v>-1</v>
      </c>
      <c r="BM1396" s="13">
        <f>BJ1396</f>
        <v>-0.5</v>
      </c>
      <c r="BN1396" s="13">
        <f>BK1396</f>
        <v>-0.5</v>
      </c>
      <c r="BO1396" s="18">
        <f>BM1396+BN1396</f>
        <v>-1</v>
      </c>
      <c r="BP1396" s="13">
        <f>BM1396</f>
        <v>-0.5</v>
      </c>
      <c r="BQ1396" s="13">
        <f>BN1396</f>
        <v>-0.5</v>
      </c>
      <c r="BR1396" s="18">
        <f>BP1396+BQ1396</f>
        <v>-1</v>
      </c>
    </row>
    <row r="1397" spans="2:70" s="30" customFormat="1" outlineLevel="2">
      <c r="C1397" s="30" t="s">
        <v>78</v>
      </c>
      <c r="D1397" s="31" t="s">
        <v>58</v>
      </c>
      <c r="E1397" s="31"/>
      <c r="F1397" s="31"/>
      <c r="G1397" s="31"/>
      <c r="H1397" s="31"/>
      <c r="I1397" s="31"/>
      <c r="J1397" s="31"/>
      <c r="K1397" s="31"/>
      <c r="L1397" s="31"/>
      <c r="M1397" s="31"/>
      <c r="N1397" s="31"/>
      <c r="O1397" s="31"/>
      <c r="W1397" s="722">
        <f>W1402-W1400</f>
        <v>4</v>
      </c>
      <c r="AA1397" s="37">
        <f>AA1394+AA1396</f>
        <v>0.66666666666666663</v>
      </c>
      <c r="AB1397" s="163">
        <f>W1397</f>
        <v>4</v>
      </c>
      <c r="AC1397" s="164">
        <f>AC1394+AC1396</f>
        <v>2</v>
      </c>
      <c r="AD1397" s="13">
        <f>AD1394+AD1396</f>
        <v>2</v>
      </c>
      <c r="AE1397" s="26">
        <f>W1397</f>
        <v>4</v>
      </c>
      <c r="AF1397" s="164">
        <f>AF1394+AF1396</f>
        <v>2</v>
      </c>
      <c r="AG1397" s="1018">
        <f>AG1394+AG1396</f>
        <v>2</v>
      </c>
      <c r="AH1397" s="18">
        <f>AF1397+AG1397</f>
        <v>4</v>
      </c>
      <c r="AI1397" s="13">
        <f>AI1394+AI1396</f>
        <v>2</v>
      </c>
      <c r="AJ1397" s="13">
        <f>AJ1394+AJ1396</f>
        <v>2</v>
      </c>
      <c r="AK1397" s="18">
        <f>AI1397+AJ1397</f>
        <v>4</v>
      </c>
      <c r="AL1397" s="13">
        <f>AL1394+AL1396</f>
        <v>2</v>
      </c>
      <c r="AM1397" s="13">
        <f>AM1394+AM1396</f>
        <v>2</v>
      </c>
      <c r="AN1397" s="18">
        <f>AL1397+AM1397</f>
        <v>4</v>
      </c>
      <c r="AO1397" s="13">
        <f>AO1394+AO1396</f>
        <v>2</v>
      </c>
      <c r="AP1397" s="13">
        <f>AP1394+AP1396</f>
        <v>2</v>
      </c>
      <c r="AQ1397" s="18">
        <f>AO1397+AP1397</f>
        <v>4</v>
      </c>
      <c r="AR1397" s="13">
        <f>AR1394+AR1396</f>
        <v>2</v>
      </c>
      <c r="AS1397" s="13">
        <f>AS1394+AS1396</f>
        <v>2</v>
      </c>
      <c r="AT1397" s="18">
        <f>AR1397+AS1397</f>
        <v>4</v>
      </c>
      <c r="AU1397" s="13">
        <f>AU1394+AU1396</f>
        <v>2</v>
      </c>
      <c r="AV1397" s="13">
        <f>AV1394+AV1396</f>
        <v>2</v>
      </c>
      <c r="AW1397" s="18">
        <f>AU1397+AV1397</f>
        <v>4</v>
      </c>
      <c r="AX1397" s="13">
        <f>AX1394+AX1396</f>
        <v>2</v>
      </c>
      <c r="AY1397" s="13">
        <f>AY1394+AY1396</f>
        <v>2</v>
      </c>
      <c r="AZ1397" s="18">
        <f>AX1397+AY1397</f>
        <v>4</v>
      </c>
      <c r="BA1397" s="13">
        <f>BA1394+BA1396</f>
        <v>2</v>
      </c>
      <c r="BB1397" s="13">
        <f>BB1394+BB1396</f>
        <v>2</v>
      </c>
      <c r="BC1397" s="18">
        <f>BA1397+BB1397</f>
        <v>4</v>
      </c>
      <c r="BD1397" s="13">
        <f>BD1394+BD1396</f>
        <v>2</v>
      </c>
      <c r="BE1397" s="13">
        <f>BE1394+BE1396</f>
        <v>2</v>
      </c>
      <c r="BF1397" s="18">
        <f>BD1397+BE1397</f>
        <v>4</v>
      </c>
      <c r="BG1397" s="13">
        <f>BG1394+BG1396</f>
        <v>2</v>
      </c>
      <c r="BH1397" s="13">
        <f>BH1394+BH1396</f>
        <v>2</v>
      </c>
      <c r="BI1397" s="18">
        <f>BG1397+BH1397</f>
        <v>4</v>
      </c>
      <c r="BJ1397" s="13">
        <f>BJ1394+BJ1396</f>
        <v>2</v>
      </c>
      <c r="BK1397" s="13">
        <f>BK1394+BK1396</f>
        <v>2</v>
      </c>
      <c r="BL1397" s="18">
        <f>BJ1397+BK1397</f>
        <v>4</v>
      </c>
      <c r="BM1397" s="13">
        <f>BM1394+BM1396</f>
        <v>2</v>
      </c>
      <c r="BN1397" s="13">
        <f>BN1394+BN1396</f>
        <v>2</v>
      </c>
      <c r="BO1397" s="18">
        <f>BM1397+BN1397</f>
        <v>4</v>
      </c>
      <c r="BP1397" s="13">
        <f>BP1394+BP1396</f>
        <v>2</v>
      </c>
      <c r="BQ1397" s="13">
        <f>BQ1394+BQ1396</f>
        <v>2</v>
      </c>
      <c r="BR1397" s="18">
        <f>BP1397+BQ1397</f>
        <v>4</v>
      </c>
    </row>
    <row r="1398" spans="2:70" s="30" customFormat="1" outlineLevel="2">
      <c r="C1398" s="30" t="s">
        <v>74</v>
      </c>
      <c r="D1398" s="31" t="s">
        <v>66</v>
      </c>
      <c r="E1398" s="31"/>
      <c r="F1398" s="31"/>
      <c r="G1398" s="31"/>
      <c r="H1398" s="31"/>
      <c r="I1398" s="31"/>
      <c r="J1398" s="31"/>
      <c r="K1398" s="31"/>
      <c r="L1398" s="31"/>
      <c r="M1398" s="31"/>
      <c r="N1398" s="31"/>
      <c r="O1398" s="31"/>
      <c r="W1398" s="723">
        <f>W1397/W1393</f>
        <v>0.14476190476190476</v>
      </c>
      <c r="Z1398" s="40"/>
      <c r="AA1398" s="32"/>
      <c r="AB1398" s="359">
        <f t="shared" ref="AB1398:AN1398" si="7361">AB1397/AB1393</f>
        <v>0.86857142857142866</v>
      </c>
      <c r="AC1398" s="359">
        <f t="shared" si="7361"/>
        <v>0.14476190476190476</v>
      </c>
      <c r="AD1398" s="359">
        <f t="shared" si="7361"/>
        <v>0.14476190476190476</v>
      </c>
      <c r="AE1398" s="359">
        <f t="shared" si="7361"/>
        <v>0.14476190476190476</v>
      </c>
      <c r="AF1398" s="359">
        <f t="shared" si="7361"/>
        <v>0.14476190476190476</v>
      </c>
      <c r="AG1398" s="1025">
        <f t="shared" si="7361"/>
        <v>0.14476190476190476</v>
      </c>
      <c r="AH1398" s="359">
        <f t="shared" si="7361"/>
        <v>0.14476190476190476</v>
      </c>
      <c r="AI1398" s="359">
        <f t="shared" si="7361"/>
        <v>0.14476190476190476</v>
      </c>
      <c r="AJ1398" s="359">
        <f t="shared" si="7361"/>
        <v>0.14476190476190476</v>
      </c>
      <c r="AK1398" s="359">
        <f t="shared" si="7361"/>
        <v>0.14476190476190476</v>
      </c>
      <c r="AL1398" s="359">
        <f t="shared" si="7361"/>
        <v>0.14476190476190476</v>
      </c>
      <c r="AM1398" s="359">
        <f t="shared" si="7361"/>
        <v>0.14476190476190476</v>
      </c>
      <c r="AN1398" s="359">
        <f t="shared" si="7361"/>
        <v>0.14476190476190476</v>
      </c>
      <c r="AO1398" s="359">
        <f t="shared" ref="AO1398:BR1398" si="7362">AO1397/AO1393</f>
        <v>0.14476190476190476</v>
      </c>
      <c r="AP1398" s="359">
        <f t="shared" si="7362"/>
        <v>0.14476190476190476</v>
      </c>
      <c r="AQ1398" s="359">
        <f t="shared" si="7362"/>
        <v>0.14476190476190476</v>
      </c>
      <c r="AR1398" s="359">
        <f t="shared" si="7362"/>
        <v>0.14476190476190476</v>
      </c>
      <c r="AS1398" s="359">
        <f t="shared" si="7362"/>
        <v>0.14476190476190476</v>
      </c>
      <c r="AT1398" s="359">
        <f t="shared" si="7362"/>
        <v>0.14476190476190476</v>
      </c>
      <c r="AU1398" s="359">
        <f t="shared" si="7362"/>
        <v>0.14476190476190476</v>
      </c>
      <c r="AV1398" s="359">
        <f t="shared" si="7362"/>
        <v>0.14476190476190476</v>
      </c>
      <c r="AW1398" s="359">
        <f t="shared" si="7362"/>
        <v>0.14476190476190476</v>
      </c>
      <c r="AX1398" s="359">
        <f t="shared" si="7362"/>
        <v>0.14476190476190476</v>
      </c>
      <c r="AY1398" s="359">
        <f t="shared" si="7362"/>
        <v>0.14476190476190476</v>
      </c>
      <c r="AZ1398" s="359">
        <f t="shared" si="7362"/>
        <v>0.14476190476190476</v>
      </c>
      <c r="BA1398" s="359">
        <f t="shared" si="7362"/>
        <v>0.14476190476190476</v>
      </c>
      <c r="BB1398" s="359">
        <f t="shared" si="7362"/>
        <v>0.14476190476190476</v>
      </c>
      <c r="BC1398" s="359">
        <f t="shared" si="7362"/>
        <v>0.14476190476190476</v>
      </c>
      <c r="BD1398" s="359">
        <f t="shared" si="7362"/>
        <v>0.14476190476190476</v>
      </c>
      <c r="BE1398" s="359">
        <f t="shared" si="7362"/>
        <v>0.14476190476190476</v>
      </c>
      <c r="BF1398" s="359">
        <f t="shared" si="7362"/>
        <v>0.14476190476190476</v>
      </c>
      <c r="BG1398" s="359">
        <f t="shared" si="7362"/>
        <v>0.14476190476190476</v>
      </c>
      <c r="BH1398" s="359">
        <f t="shared" si="7362"/>
        <v>0.14476190476190476</v>
      </c>
      <c r="BI1398" s="359">
        <f t="shared" si="7362"/>
        <v>0.14476190476190476</v>
      </c>
      <c r="BJ1398" s="359">
        <f t="shared" si="7362"/>
        <v>0.14476190476190476</v>
      </c>
      <c r="BK1398" s="359">
        <f t="shared" si="7362"/>
        <v>0.14476190476190476</v>
      </c>
      <c r="BL1398" s="359">
        <f t="shared" si="7362"/>
        <v>0.14476190476190476</v>
      </c>
      <c r="BM1398" s="359">
        <f t="shared" si="7362"/>
        <v>0.14476190476190476</v>
      </c>
      <c r="BN1398" s="359">
        <f t="shared" si="7362"/>
        <v>0.14476190476190476</v>
      </c>
      <c r="BO1398" s="359">
        <f t="shared" si="7362"/>
        <v>0.14476190476190476</v>
      </c>
      <c r="BP1398" s="359">
        <f t="shared" si="7362"/>
        <v>0.14476190476190476</v>
      </c>
      <c r="BQ1398" s="359">
        <f t="shared" si="7362"/>
        <v>0.14476190476190476</v>
      </c>
      <c r="BR1398" s="359">
        <f t="shared" si="7362"/>
        <v>0.14476190476190476</v>
      </c>
    </row>
    <row r="1399" spans="2:70" s="30" customFormat="1" outlineLevel="2">
      <c r="C1399" s="30" t="s">
        <v>90</v>
      </c>
      <c r="D1399" s="31" t="s">
        <v>58</v>
      </c>
      <c r="E1399" s="31"/>
      <c r="F1399" s="31"/>
      <c r="G1399" s="31"/>
      <c r="H1399" s="31"/>
      <c r="I1399" s="31"/>
      <c r="J1399" s="31"/>
      <c r="K1399" s="31"/>
      <c r="L1399" s="31"/>
      <c r="M1399" s="31"/>
      <c r="N1399" s="31"/>
      <c r="O1399" s="31"/>
      <c r="W1399" s="722"/>
      <c r="AA1399" s="32"/>
      <c r="AB1399" s="165"/>
      <c r="AC1399" s="170">
        <v>0.5</v>
      </c>
      <c r="AD1399" s="135">
        <v>0.5</v>
      </c>
      <c r="AE1399" s="847">
        <f>AC1399+AD1399</f>
        <v>1</v>
      </c>
      <c r="AF1399" s="170">
        <v>0.5</v>
      </c>
      <c r="AG1399" s="1039">
        <v>0.5</v>
      </c>
      <c r="AH1399" s="136">
        <f>AF1399+AG1399</f>
        <v>1</v>
      </c>
      <c r="AI1399" s="135">
        <v>0</v>
      </c>
      <c r="AJ1399" s="135">
        <v>0</v>
      </c>
      <c r="AK1399" s="136">
        <f>AI1399+AJ1399</f>
        <v>0</v>
      </c>
      <c r="AL1399" s="135">
        <v>0</v>
      </c>
      <c r="AM1399" s="135">
        <v>0</v>
      </c>
      <c r="AN1399" s="136">
        <f>AL1399+AM1399</f>
        <v>0</v>
      </c>
      <c r="AO1399" s="135">
        <v>0</v>
      </c>
      <c r="AP1399" s="135">
        <v>0</v>
      </c>
      <c r="AQ1399" s="136">
        <f>AO1399+AP1399</f>
        <v>0</v>
      </c>
      <c r="AR1399" s="135">
        <v>0</v>
      </c>
      <c r="AS1399" s="135">
        <v>0</v>
      </c>
      <c r="AT1399" s="136">
        <f>AR1399+AS1399</f>
        <v>0</v>
      </c>
      <c r="AU1399" s="135">
        <v>0</v>
      </c>
      <c r="AV1399" s="135">
        <v>0</v>
      </c>
      <c r="AW1399" s="136">
        <f>AU1399+AV1399</f>
        <v>0</v>
      </c>
      <c r="AX1399" s="135">
        <v>0</v>
      </c>
      <c r="AY1399" s="135">
        <v>0</v>
      </c>
      <c r="AZ1399" s="136">
        <f>AX1399+AY1399</f>
        <v>0</v>
      </c>
      <c r="BA1399" s="135">
        <v>0</v>
      </c>
      <c r="BB1399" s="135">
        <v>0</v>
      </c>
      <c r="BC1399" s="136">
        <f>BA1399+BB1399</f>
        <v>0</v>
      </c>
      <c r="BD1399" s="135">
        <v>0</v>
      </c>
      <c r="BE1399" s="135">
        <v>0</v>
      </c>
      <c r="BF1399" s="136">
        <f>BD1399+BE1399</f>
        <v>0</v>
      </c>
      <c r="BG1399" s="135">
        <v>0</v>
      </c>
      <c r="BH1399" s="135">
        <v>0</v>
      </c>
      <c r="BI1399" s="136">
        <f>BG1399+BH1399</f>
        <v>0</v>
      </c>
      <c r="BJ1399" s="135">
        <v>0</v>
      </c>
      <c r="BK1399" s="135">
        <v>0</v>
      </c>
      <c r="BL1399" s="136">
        <f>BJ1399+BK1399</f>
        <v>0</v>
      </c>
      <c r="BM1399" s="135">
        <v>0</v>
      </c>
      <c r="BN1399" s="135">
        <v>0</v>
      </c>
      <c r="BO1399" s="136">
        <f>BM1399+BN1399</f>
        <v>0</v>
      </c>
      <c r="BP1399" s="135">
        <v>0</v>
      </c>
      <c r="BQ1399" s="135">
        <v>0</v>
      </c>
      <c r="BR1399" s="136">
        <f>BP1399+BQ1399</f>
        <v>0</v>
      </c>
    </row>
    <row r="1400" spans="2:70" s="30" customFormat="1" outlineLevel="2">
      <c r="C1400" s="30" t="s">
        <v>89</v>
      </c>
      <c r="D1400" s="31" t="s">
        <v>58</v>
      </c>
      <c r="E1400" s="31"/>
      <c r="F1400" s="31"/>
      <c r="G1400" s="31"/>
      <c r="H1400" s="31"/>
      <c r="I1400" s="31"/>
      <c r="J1400" s="31"/>
      <c r="K1400" s="31"/>
      <c r="L1400" s="31"/>
      <c r="M1400" s="31"/>
      <c r="N1400" s="31"/>
      <c r="O1400" s="31"/>
      <c r="W1400" s="719">
        <v>2</v>
      </c>
      <c r="Z1400" s="36"/>
      <c r="AA1400" s="41">
        <v>0</v>
      </c>
      <c r="AB1400" s="168">
        <f>Z1400+AA1400</f>
        <v>0</v>
      </c>
      <c r="AC1400" s="169">
        <f>Z1400+AC1399</f>
        <v>0.5</v>
      </c>
      <c r="AD1400" s="88">
        <f>AA1400+AD1399</f>
        <v>0.5</v>
      </c>
      <c r="AE1400" s="168">
        <f>AC1400+AD1400</f>
        <v>1</v>
      </c>
      <c r="AF1400" s="169">
        <f>AC1400+AF1399</f>
        <v>1</v>
      </c>
      <c r="AG1400" s="1029">
        <f>AD1400+AG1399</f>
        <v>1</v>
      </c>
      <c r="AH1400" s="30">
        <f>AF1400+AG1400</f>
        <v>2</v>
      </c>
      <c r="AI1400" s="88">
        <f>AF1400+AI1399</f>
        <v>1</v>
      </c>
      <c r="AJ1400" s="88">
        <f>AG1400+AJ1399</f>
        <v>1</v>
      </c>
      <c r="AK1400" s="30">
        <f>AI1400+AJ1400</f>
        <v>2</v>
      </c>
      <c r="AL1400" s="88">
        <f>AI1400+AL1399</f>
        <v>1</v>
      </c>
      <c r="AM1400" s="88">
        <f>AJ1400+AM1399</f>
        <v>1</v>
      </c>
      <c r="AN1400" s="30">
        <f>AL1400+AM1400</f>
        <v>2</v>
      </c>
      <c r="AO1400" s="88">
        <f>AL1400+AO1399</f>
        <v>1</v>
      </c>
      <c r="AP1400" s="88">
        <f>AM1400+AP1399</f>
        <v>1</v>
      </c>
      <c r="AQ1400" s="30">
        <f>AO1400+AP1400</f>
        <v>2</v>
      </c>
      <c r="AR1400" s="88">
        <f>AO1400+AR1399</f>
        <v>1</v>
      </c>
      <c r="AS1400" s="88">
        <f>AP1400+AS1399</f>
        <v>1</v>
      </c>
      <c r="AT1400" s="30">
        <f>AR1400+AS1400</f>
        <v>2</v>
      </c>
      <c r="AU1400" s="88">
        <f>AR1400+AU1399</f>
        <v>1</v>
      </c>
      <c r="AV1400" s="88">
        <f>AS1400+AV1399</f>
        <v>1</v>
      </c>
      <c r="AW1400" s="30">
        <f>AU1400+AV1400</f>
        <v>2</v>
      </c>
      <c r="AX1400" s="88">
        <f>AU1400+AX1399</f>
        <v>1</v>
      </c>
      <c r="AY1400" s="88">
        <f>AV1400+AY1399</f>
        <v>1</v>
      </c>
      <c r="AZ1400" s="30">
        <f>AX1400+AY1400</f>
        <v>2</v>
      </c>
      <c r="BA1400" s="88">
        <f>AX1400+BA1399</f>
        <v>1</v>
      </c>
      <c r="BB1400" s="88">
        <f>AY1400+BB1399</f>
        <v>1</v>
      </c>
      <c r="BC1400" s="30">
        <f>BA1400+BB1400</f>
        <v>2</v>
      </c>
      <c r="BD1400" s="88">
        <f>BA1400+BD1399</f>
        <v>1</v>
      </c>
      <c r="BE1400" s="88">
        <f>BB1400+BE1399</f>
        <v>1</v>
      </c>
      <c r="BF1400" s="30">
        <f>BD1400+BE1400</f>
        <v>2</v>
      </c>
      <c r="BG1400" s="88">
        <f>BD1400+BG1399</f>
        <v>1</v>
      </c>
      <c r="BH1400" s="88">
        <f>BE1400+BH1399</f>
        <v>1</v>
      </c>
      <c r="BI1400" s="30">
        <f>BG1400+BH1400</f>
        <v>2</v>
      </c>
      <c r="BJ1400" s="88">
        <f>BG1400+BJ1399</f>
        <v>1</v>
      </c>
      <c r="BK1400" s="88">
        <f>BH1400+BK1399</f>
        <v>1</v>
      </c>
      <c r="BL1400" s="30">
        <f>BJ1400+BK1400</f>
        <v>2</v>
      </c>
      <c r="BM1400" s="88">
        <f>BJ1400+BM1399</f>
        <v>1</v>
      </c>
      <c r="BN1400" s="88">
        <f>BK1400+BN1399</f>
        <v>1</v>
      </c>
      <c r="BO1400" s="30">
        <f>BM1400+BN1400</f>
        <v>2</v>
      </c>
      <c r="BP1400" s="88">
        <f>BM1400+BP1399</f>
        <v>1</v>
      </c>
      <c r="BQ1400" s="88">
        <f>BN1400+BQ1399</f>
        <v>1</v>
      </c>
      <c r="BR1400" s="30">
        <f>BP1400+BQ1400</f>
        <v>2</v>
      </c>
    </row>
    <row r="1401" spans="2:70" s="30" customFormat="1" outlineLevel="2">
      <c r="C1401" s="30" t="s">
        <v>264</v>
      </c>
      <c r="D1401" s="31" t="s">
        <v>66</v>
      </c>
      <c r="E1401" s="31"/>
      <c r="F1401" s="31"/>
      <c r="G1401" s="31"/>
      <c r="H1401" s="31"/>
      <c r="I1401" s="31"/>
      <c r="J1401" s="31"/>
      <c r="K1401" s="31"/>
      <c r="L1401" s="31"/>
      <c r="M1401" s="31"/>
      <c r="N1401" s="31"/>
      <c r="O1401" s="31"/>
      <c r="W1401" s="724">
        <f>W1400/W1393</f>
        <v>7.2380952380952379E-2</v>
      </c>
      <c r="Z1401" s="388"/>
      <c r="AA1401" s="32"/>
      <c r="AB1401" s="165"/>
      <c r="AC1401" s="170"/>
      <c r="AD1401" s="135"/>
      <c r="AE1401" s="847"/>
      <c r="AF1401" s="170"/>
      <c r="AG1401" s="1039"/>
      <c r="AH1401" s="136"/>
      <c r="AI1401" s="135"/>
      <c r="AJ1401" s="135"/>
      <c r="AK1401" s="136"/>
      <c r="AL1401" s="137"/>
      <c r="AM1401" s="137"/>
      <c r="AO1401" s="137"/>
      <c r="AP1401" s="137"/>
      <c r="AR1401" s="137"/>
      <c r="AS1401" s="137"/>
      <c r="AU1401" s="137"/>
      <c r="AV1401" s="137"/>
      <c r="AX1401" s="137"/>
      <c r="AY1401" s="137"/>
      <c r="BA1401" s="137"/>
      <c r="BB1401" s="137"/>
      <c r="BD1401" s="137"/>
      <c r="BE1401" s="137"/>
      <c r="BG1401" s="137"/>
      <c r="BH1401" s="137"/>
      <c r="BJ1401" s="137"/>
      <c r="BK1401" s="137"/>
      <c r="BM1401" s="137"/>
      <c r="BN1401" s="137"/>
      <c r="BP1401" s="137"/>
      <c r="BQ1401" s="137"/>
    </row>
    <row r="1402" spans="2:70" s="30" customFormat="1" outlineLevel="2">
      <c r="C1402" s="30" t="s">
        <v>79</v>
      </c>
      <c r="D1402" s="31" t="s">
        <v>58</v>
      </c>
      <c r="E1402" s="31"/>
      <c r="F1402" s="31"/>
      <c r="G1402" s="31"/>
      <c r="H1402" s="31"/>
      <c r="I1402" s="31"/>
      <c r="J1402" s="31"/>
      <c r="K1402" s="31"/>
      <c r="L1402" s="31"/>
      <c r="M1402" s="31"/>
      <c r="N1402" s="31"/>
      <c r="O1402" s="31"/>
      <c r="W1402" s="725">
        <f>W1403*W1391</f>
        <v>6</v>
      </c>
      <c r="Z1402" s="33"/>
      <c r="AA1402" s="42">
        <f>AA1397+AA1400</f>
        <v>0.66666666666666663</v>
      </c>
      <c r="AB1402" s="171">
        <f>Z1402+AA1402</f>
        <v>0.66666666666666663</v>
      </c>
      <c r="AC1402" s="172">
        <f>AC1400+AC1397</f>
        <v>2.5</v>
      </c>
      <c r="AD1402" s="39">
        <f>AD1400+AD1397</f>
        <v>2.5</v>
      </c>
      <c r="AE1402" s="172">
        <f>AC1402+AD1402</f>
        <v>5</v>
      </c>
      <c r="AF1402" s="168">
        <f>AF1400+AF1397</f>
        <v>3</v>
      </c>
      <c r="AG1402" s="964">
        <f>AG1400+AG1397</f>
        <v>3</v>
      </c>
      <c r="AH1402" s="30">
        <f>AF1402+AG1402</f>
        <v>6</v>
      </c>
      <c r="AI1402" s="30">
        <f>AI1400+AI1397</f>
        <v>3</v>
      </c>
      <c r="AJ1402" s="30">
        <f>AJ1400+AJ1397</f>
        <v>3</v>
      </c>
      <c r="AK1402" s="30">
        <f>AI1402+AJ1402</f>
        <v>6</v>
      </c>
      <c r="AL1402" s="30">
        <f>AL1400+AL1397</f>
        <v>3</v>
      </c>
      <c r="AM1402" s="30">
        <f>AM1400+AM1397</f>
        <v>3</v>
      </c>
      <c r="AN1402" s="30">
        <f>AL1402+AM1402</f>
        <v>6</v>
      </c>
      <c r="AO1402" s="30">
        <f>AO1400+AO1397</f>
        <v>3</v>
      </c>
      <c r="AP1402" s="30">
        <f>AP1400+AP1397</f>
        <v>3</v>
      </c>
      <c r="AQ1402" s="30">
        <f>AO1402+AP1402</f>
        <v>6</v>
      </c>
      <c r="AR1402" s="30">
        <f>AR1400+AR1397</f>
        <v>3</v>
      </c>
      <c r="AS1402" s="30">
        <f>AS1400+AS1397</f>
        <v>3</v>
      </c>
      <c r="AT1402" s="30">
        <f>AR1402+AS1402</f>
        <v>6</v>
      </c>
      <c r="AU1402" s="30">
        <f>AU1400+AU1397</f>
        <v>3</v>
      </c>
      <c r="AV1402" s="30">
        <f>AV1400+AV1397</f>
        <v>3</v>
      </c>
      <c r="AW1402" s="30">
        <f>AU1402+AV1402</f>
        <v>6</v>
      </c>
      <c r="AX1402" s="30">
        <f>AX1400+AX1397</f>
        <v>3</v>
      </c>
      <c r="AY1402" s="30">
        <f>AY1400+AY1397</f>
        <v>3</v>
      </c>
      <c r="AZ1402" s="30">
        <f>AX1402+AY1402</f>
        <v>6</v>
      </c>
      <c r="BA1402" s="30">
        <f>BA1400+BA1397</f>
        <v>3</v>
      </c>
      <c r="BB1402" s="30">
        <f>BB1400+BB1397</f>
        <v>3</v>
      </c>
      <c r="BC1402" s="30">
        <f>BA1402+BB1402</f>
        <v>6</v>
      </c>
      <c r="BD1402" s="30">
        <f>BD1400+BD1397</f>
        <v>3</v>
      </c>
      <c r="BE1402" s="30">
        <f>BE1400+BE1397</f>
        <v>3</v>
      </c>
      <c r="BF1402" s="30">
        <f>BD1402+BE1402</f>
        <v>6</v>
      </c>
      <c r="BG1402" s="30">
        <f>BG1400+BG1397</f>
        <v>3</v>
      </c>
      <c r="BH1402" s="30">
        <f>BH1400+BH1397</f>
        <v>3</v>
      </c>
      <c r="BI1402" s="30">
        <f>BG1402+BH1402</f>
        <v>6</v>
      </c>
      <c r="BJ1402" s="30">
        <f>BJ1400+BJ1397</f>
        <v>3</v>
      </c>
      <c r="BK1402" s="30">
        <f>BK1400+BK1397</f>
        <v>3</v>
      </c>
      <c r="BL1402" s="30">
        <f>BJ1402+BK1402</f>
        <v>6</v>
      </c>
      <c r="BM1402" s="30">
        <f>BM1400+BM1397</f>
        <v>3</v>
      </c>
      <c r="BN1402" s="30">
        <f>BN1400+BN1397</f>
        <v>3</v>
      </c>
      <c r="BO1402" s="30">
        <f>BM1402+BN1402</f>
        <v>6</v>
      </c>
      <c r="BP1402" s="30">
        <f>BP1400+BP1397</f>
        <v>3</v>
      </c>
      <c r="BQ1402" s="30">
        <f>BQ1400+BQ1397</f>
        <v>3</v>
      </c>
      <c r="BR1402" s="30">
        <f>BP1402+BQ1402</f>
        <v>6</v>
      </c>
    </row>
    <row r="1403" spans="2:70" s="30" customFormat="1" outlineLevel="2">
      <c r="C1403" s="30" t="s">
        <v>75</v>
      </c>
      <c r="D1403" s="31" t="s">
        <v>66</v>
      </c>
      <c r="E1403" s="31"/>
      <c r="F1403" s="31"/>
      <c r="G1403" s="31"/>
      <c r="H1403" s="31"/>
      <c r="I1403" s="31"/>
      <c r="J1403" s="31"/>
      <c r="K1403" s="31"/>
      <c r="L1403" s="31"/>
      <c r="M1403" s="31"/>
      <c r="N1403" s="31"/>
      <c r="O1403" s="31"/>
      <c r="W1403" s="726">
        <v>0.2</v>
      </c>
      <c r="Z1403" s="43"/>
      <c r="AB1403" s="162">
        <f>AB1402/$W$1412</f>
        <v>1.230012300123001E-2</v>
      </c>
      <c r="AC1403" s="162">
        <f>AC1402/$W$1412*2</f>
        <v>9.2250922509225092E-2</v>
      </c>
      <c r="AD1403" s="40">
        <f>AD1402/$W$1412*2</f>
        <v>9.2250922509225092E-2</v>
      </c>
      <c r="AE1403" s="162">
        <f>AE1402/$W$1412</f>
        <v>9.2250922509225092E-2</v>
      </c>
      <c r="AF1403" s="162">
        <f>AF1402/$W$1391*2</f>
        <v>0.2</v>
      </c>
      <c r="AG1403" s="984">
        <f>AG1402/$W$1391*2</f>
        <v>0.2</v>
      </c>
      <c r="AH1403" s="40">
        <f>AH1402/$W$1391</f>
        <v>0.2</v>
      </c>
      <c r="AI1403" s="40">
        <f>AI1402/$W$1391*2</f>
        <v>0.2</v>
      </c>
      <c r="AJ1403" s="40">
        <f>AJ1402/$W$1391*2</f>
        <v>0.2</v>
      </c>
      <c r="AK1403" s="40">
        <f>AK1402/$W$1391</f>
        <v>0.2</v>
      </c>
      <c r="AL1403" s="40">
        <f>AL1402/$W$1391*2</f>
        <v>0.2</v>
      </c>
      <c r="AM1403" s="40">
        <f>AM1402/$W$1391*2</f>
        <v>0.2</v>
      </c>
      <c r="AN1403" s="40">
        <f>AN1402/$W$1391</f>
        <v>0.2</v>
      </c>
      <c r="AO1403" s="40">
        <f>AO1402/$W$1391*2</f>
        <v>0.2</v>
      </c>
      <c r="AP1403" s="40">
        <f>AP1402/$W$1391*2</f>
        <v>0.2</v>
      </c>
      <c r="AQ1403" s="40">
        <f>AQ1402/$W$1391</f>
        <v>0.2</v>
      </c>
      <c r="AR1403" s="40">
        <f>AR1402/$W$1391*2</f>
        <v>0.2</v>
      </c>
      <c r="AS1403" s="40">
        <f>AS1402/$W$1391*2</f>
        <v>0.2</v>
      </c>
      <c r="AT1403" s="40">
        <f>AT1402/$W$1391</f>
        <v>0.2</v>
      </c>
      <c r="AU1403" s="40">
        <f>AU1402/$W$1391*2</f>
        <v>0.2</v>
      </c>
      <c r="AV1403" s="40">
        <f>AV1402/$W$1391*2</f>
        <v>0.2</v>
      </c>
      <c r="AW1403" s="40">
        <f>AW1402/$W$1391</f>
        <v>0.2</v>
      </c>
      <c r="AX1403" s="40">
        <f>AX1402/$W$1391*2</f>
        <v>0.2</v>
      </c>
      <c r="AY1403" s="40">
        <f>AY1402/$W$1391*2</f>
        <v>0.2</v>
      </c>
      <c r="AZ1403" s="40">
        <f>AZ1402/$W$1391</f>
        <v>0.2</v>
      </c>
      <c r="BA1403" s="40">
        <f>BA1402/$W$1391*2</f>
        <v>0.2</v>
      </c>
      <c r="BB1403" s="40">
        <f>BB1402/$W$1391*2</f>
        <v>0.2</v>
      </c>
      <c r="BC1403" s="40">
        <f>BC1402/$W$1391</f>
        <v>0.2</v>
      </c>
      <c r="BD1403" s="40">
        <f>BD1402/$W$1391*2</f>
        <v>0.2</v>
      </c>
      <c r="BE1403" s="40">
        <f>BE1402/$W$1391*2</f>
        <v>0.2</v>
      </c>
      <c r="BF1403" s="40">
        <f>BF1402/$W$1391</f>
        <v>0.2</v>
      </c>
      <c r="BG1403" s="40">
        <f>BG1402/$W$1391*2</f>
        <v>0.2</v>
      </c>
      <c r="BH1403" s="40">
        <f>BH1402/$W$1391*2</f>
        <v>0.2</v>
      </c>
      <c r="BI1403" s="40">
        <f>BI1402/$W$1391</f>
        <v>0.2</v>
      </c>
      <c r="BJ1403" s="40">
        <f>BJ1402/$W$1391*2</f>
        <v>0.2</v>
      </c>
      <c r="BK1403" s="40">
        <f>BK1402/$W$1391*2</f>
        <v>0.2</v>
      </c>
      <c r="BL1403" s="40">
        <f>BL1402/$W$1391</f>
        <v>0.2</v>
      </c>
      <c r="BM1403" s="40">
        <f>BM1402/$W$1391*2</f>
        <v>0.2</v>
      </c>
      <c r="BN1403" s="40">
        <f>BN1402/$W$1391*2</f>
        <v>0.2</v>
      </c>
      <c r="BO1403" s="40">
        <f>BO1402/$W$1391</f>
        <v>0.2</v>
      </c>
      <c r="BP1403" s="40">
        <f>BP1402/$W$1391*2</f>
        <v>0.2</v>
      </c>
      <c r="BQ1403" s="40">
        <f>BQ1402/$W$1391*2</f>
        <v>0.2</v>
      </c>
      <c r="BR1403" s="40">
        <f>BR1402/$W$1391</f>
        <v>0.2</v>
      </c>
    </row>
    <row r="1404" spans="2:70" outlineLevel="2">
      <c r="C1404" s="8"/>
    </row>
    <row r="1405" spans="2:70" outlineLevel="2">
      <c r="B1405" s="5"/>
      <c r="C1405" s="642" t="s">
        <v>267</v>
      </c>
      <c r="D1405" s="633" t="s">
        <v>58</v>
      </c>
      <c r="E1405" s="634"/>
      <c r="F1405" s="634"/>
      <c r="G1405" s="634"/>
      <c r="H1405" s="634"/>
      <c r="I1405" s="634"/>
      <c r="J1405" s="634"/>
      <c r="K1405" s="634"/>
      <c r="L1405" s="634"/>
      <c r="M1405" s="634"/>
      <c r="N1405" s="634"/>
      <c r="O1405" s="634"/>
      <c r="P1405" s="635"/>
      <c r="Q1405" s="635"/>
      <c r="R1405" s="635"/>
      <c r="S1405" s="635"/>
      <c r="T1405" s="635"/>
      <c r="U1405" s="635"/>
      <c r="V1405" s="635"/>
      <c r="W1405" s="635"/>
      <c r="X1405" s="635"/>
      <c r="Y1405" s="635"/>
      <c r="Z1405" s="635"/>
      <c r="AA1405" s="637">
        <f>(AA1393-X1393)</f>
        <v>4.6052631578947363</v>
      </c>
      <c r="AB1405" s="637">
        <f>Z1405+AA1405</f>
        <v>4.6052631578947363</v>
      </c>
      <c r="AC1405" s="739">
        <f>(AC1393-Z1393)</f>
        <v>13.815789473684211</v>
      </c>
      <c r="AD1405" s="637">
        <f>(AD1393-AA1393)</f>
        <v>9.2105263157894743</v>
      </c>
      <c r="AE1405" s="637">
        <f>AC1405+AD1405</f>
        <v>23.026315789473685</v>
      </c>
      <c r="AF1405" s="739">
        <f>(AF1393-AC1393)</f>
        <v>0</v>
      </c>
      <c r="AG1405" s="1061">
        <f>(AG1393-AD1393)</f>
        <v>0</v>
      </c>
      <c r="AH1405" s="637">
        <f>AF1405+AG1405</f>
        <v>0</v>
      </c>
      <c r="AI1405" s="637">
        <f>(AI1393-AF1393)</f>
        <v>0</v>
      </c>
      <c r="AJ1405" s="637">
        <f>(AJ1393-AG1393)</f>
        <v>0</v>
      </c>
      <c r="AK1405" s="637">
        <f>AI1405+AJ1405</f>
        <v>0</v>
      </c>
      <c r="AL1405" s="637">
        <f>(AL1393-AI1393)</f>
        <v>0</v>
      </c>
      <c r="AM1405" s="637">
        <f>(AM1393-AJ1393)</f>
        <v>0</v>
      </c>
      <c r="AN1405" s="637">
        <f>AL1405+AM1405</f>
        <v>0</v>
      </c>
      <c r="AO1405" s="637">
        <f>(AO1393-AL1393)</f>
        <v>0</v>
      </c>
      <c r="AP1405" s="637">
        <f>(AP1393-AM1393)</f>
        <v>0</v>
      </c>
      <c r="AQ1405" s="637">
        <f>AO1405+AP1405</f>
        <v>0</v>
      </c>
      <c r="AR1405" s="637">
        <f>(AR1393-AO1393)</f>
        <v>0</v>
      </c>
      <c r="AS1405" s="637">
        <f>(AS1393-AP1393)</f>
        <v>0</v>
      </c>
      <c r="AT1405" s="637">
        <f>AR1405+AS1405</f>
        <v>0</v>
      </c>
      <c r="AU1405" s="637">
        <f>(AU1393-AR1393)</f>
        <v>0</v>
      </c>
      <c r="AV1405" s="637">
        <f>(AV1393-AS1393)</f>
        <v>0</v>
      </c>
      <c r="AW1405" s="637">
        <f>AU1405+AV1405</f>
        <v>0</v>
      </c>
      <c r="AX1405" s="637">
        <f>(AX1393-AU1393)</f>
        <v>0</v>
      </c>
      <c r="AY1405" s="637">
        <f>(AY1393-AV1393)</f>
        <v>0</v>
      </c>
      <c r="AZ1405" s="637">
        <f>AX1405+AY1405</f>
        <v>0</v>
      </c>
      <c r="BA1405" s="637">
        <f>(BA1393-AX1393)</f>
        <v>0</v>
      </c>
      <c r="BB1405" s="637">
        <f>(BB1393-AY1393)</f>
        <v>0</v>
      </c>
      <c r="BC1405" s="637">
        <f>BA1405+BB1405</f>
        <v>0</v>
      </c>
      <c r="BD1405" s="637">
        <f>(BD1393-BA1393)</f>
        <v>0</v>
      </c>
      <c r="BE1405" s="637">
        <f>(BE1393-BB1393)</f>
        <v>0</v>
      </c>
      <c r="BF1405" s="637">
        <f>BD1405+BE1405</f>
        <v>0</v>
      </c>
      <c r="BG1405" s="637">
        <f>(BG1393-BD1393)</f>
        <v>0</v>
      </c>
      <c r="BH1405" s="637">
        <f>(BH1393-BE1393)</f>
        <v>0</v>
      </c>
      <c r="BI1405" s="637">
        <f>BG1405+BH1405</f>
        <v>0</v>
      </c>
      <c r="BJ1405" s="637">
        <f>(BJ1393-BG1393)</f>
        <v>0</v>
      </c>
      <c r="BK1405" s="637">
        <f>(BK1393-BH1393)</f>
        <v>0</v>
      </c>
      <c r="BL1405" s="637">
        <f>BJ1405+BK1405</f>
        <v>0</v>
      </c>
      <c r="BM1405" s="637">
        <f>(BM1393-BJ1393)</f>
        <v>0</v>
      </c>
      <c r="BN1405" s="637">
        <f>(BN1393-BK1393)</f>
        <v>0</v>
      </c>
      <c r="BO1405" s="637">
        <f>BM1405+BN1405</f>
        <v>0</v>
      </c>
      <c r="BP1405" s="637">
        <f>(BP1393-BM1393)</f>
        <v>0</v>
      </c>
      <c r="BQ1405" s="637">
        <f>(BQ1393-BN1393)</f>
        <v>0</v>
      </c>
      <c r="BR1405" s="638">
        <f>BP1405+BQ1405</f>
        <v>0</v>
      </c>
    </row>
    <row r="1406" spans="2:70" outlineLevel="2">
      <c r="B1406" s="5"/>
      <c r="C1406" s="643" t="s">
        <v>268</v>
      </c>
      <c r="D1406" s="632" t="s">
        <v>58</v>
      </c>
      <c r="E1406" s="401"/>
      <c r="F1406" s="401"/>
      <c r="G1406" s="401"/>
      <c r="H1406" s="401"/>
      <c r="I1406" s="401"/>
      <c r="J1406" s="401"/>
      <c r="K1406" s="401"/>
      <c r="L1406" s="401"/>
      <c r="M1406" s="401"/>
      <c r="N1406" s="401"/>
      <c r="O1406" s="401"/>
      <c r="P1406" s="130"/>
      <c r="Q1406" s="130"/>
      <c r="R1406" s="130"/>
      <c r="S1406" s="130"/>
      <c r="T1406" s="130"/>
      <c r="U1406" s="130"/>
      <c r="V1406" s="130"/>
      <c r="W1406" s="130"/>
      <c r="X1406" s="130"/>
      <c r="Y1406" s="130"/>
      <c r="Z1406" s="130"/>
      <c r="AA1406" s="348">
        <f>(AA1396-X1396)</f>
        <v>-0.16666666666666666</v>
      </c>
      <c r="AB1406" s="171">
        <f>Z1406+AA1406</f>
        <v>-0.16666666666666666</v>
      </c>
      <c r="AC1406" s="348">
        <f>(AC1396-Z1396)</f>
        <v>-0.5</v>
      </c>
      <c r="AD1406" s="171">
        <f>(AD1396-Z1396)</f>
        <v>-0.5</v>
      </c>
      <c r="AE1406" s="171">
        <f>AC1406+AD1406</f>
        <v>-1</v>
      </c>
      <c r="AF1406" s="348">
        <f>(AF1396-AC1396)</f>
        <v>0</v>
      </c>
      <c r="AG1406" s="937">
        <f>(AG1396-AC1396)</f>
        <v>0</v>
      </c>
      <c r="AH1406" s="171">
        <f>AF1406+AG1406</f>
        <v>0</v>
      </c>
      <c r="AI1406" s="171">
        <f>(AI1396-AF1396)</f>
        <v>0</v>
      </c>
      <c r="AJ1406" s="171">
        <f>(AJ1396-AF1396)</f>
        <v>0</v>
      </c>
      <c r="AK1406" s="171">
        <f>AI1406+AJ1406</f>
        <v>0</v>
      </c>
      <c r="AL1406" s="171">
        <f>(AL1396-AI1396)</f>
        <v>0</v>
      </c>
      <c r="AM1406" s="171">
        <f>(AM1396-AI1396)</f>
        <v>0</v>
      </c>
      <c r="AN1406" s="171">
        <f>AL1406+AM1406</f>
        <v>0</v>
      </c>
      <c r="AO1406" s="171">
        <f>(AO1396-AL1396)</f>
        <v>0</v>
      </c>
      <c r="AP1406" s="171">
        <f>(AP1396-AL1396)</f>
        <v>0</v>
      </c>
      <c r="AQ1406" s="171">
        <f>AO1406+AP1406</f>
        <v>0</v>
      </c>
      <c r="AR1406" s="171">
        <f>(AR1396-AO1396)</f>
        <v>0</v>
      </c>
      <c r="AS1406" s="171">
        <f>(AS1396-AO1396)</f>
        <v>0</v>
      </c>
      <c r="AT1406" s="171">
        <f>AR1406+AS1406</f>
        <v>0</v>
      </c>
      <c r="AU1406" s="171">
        <f>(AU1396-AR1396)</f>
        <v>0</v>
      </c>
      <c r="AV1406" s="171">
        <f>(AV1396-AR1396)</f>
        <v>0</v>
      </c>
      <c r="AW1406" s="171">
        <f>AU1406+AV1406</f>
        <v>0</v>
      </c>
      <c r="AX1406" s="171">
        <f>(AX1396-AU1396)</f>
        <v>0</v>
      </c>
      <c r="AY1406" s="171">
        <f>(AY1396-AU1396)</f>
        <v>0</v>
      </c>
      <c r="AZ1406" s="171">
        <f>AX1406+AY1406</f>
        <v>0</v>
      </c>
      <c r="BA1406" s="171">
        <f>(BA1396-AX1396)</f>
        <v>0</v>
      </c>
      <c r="BB1406" s="171">
        <f>(BB1396-AX1396)</f>
        <v>0</v>
      </c>
      <c r="BC1406" s="171">
        <f>BA1406+BB1406</f>
        <v>0</v>
      </c>
      <c r="BD1406" s="171">
        <f>(BD1396-BA1396)</f>
        <v>0</v>
      </c>
      <c r="BE1406" s="171">
        <f>(BE1396-BA1396)</f>
        <v>0</v>
      </c>
      <c r="BF1406" s="171">
        <f>BD1406+BE1406</f>
        <v>0</v>
      </c>
      <c r="BG1406" s="171">
        <f>(BG1396-BD1396)</f>
        <v>0</v>
      </c>
      <c r="BH1406" s="171">
        <f>(BH1396-BD1396)</f>
        <v>0</v>
      </c>
      <c r="BI1406" s="171">
        <f>BG1406+BH1406</f>
        <v>0</v>
      </c>
      <c r="BJ1406" s="171">
        <f>(BJ1396-BG1396)</f>
        <v>0</v>
      </c>
      <c r="BK1406" s="171">
        <f>(BK1396-BG1396)</f>
        <v>0</v>
      </c>
      <c r="BL1406" s="171">
        <f>BJ1406+BK1406</f>
        <v>0</v>
      </c>
      <c r="BM1406" s="171">
        <f>(BM1396-BJ1396)</f>
        <v>0</v>
      </c>
      <c r="BN1406" s="171">
        <f>(BN1396-BJ1396)</f>
        <v>0</v>
      </c>
      <c r="BO1406" s="171">
        <f>BM1406+BN1406</f>
        <v>0</v>
      </c>
      <c r="BP1406" s="171">
        <f>(BP1396-BM1396)</f>
        <v>0</v>
      </c>
      <c r="BQ1406" s="171">
        <f>(BQ1396-BM1396)</f>
        <v>0</v>
      </c>
      <c r="BR1406" s="639">
        <f>BP1406+BQ1406</f>
        <v>0</v>
      </c>
    </row>
    <row r="1407" spans="2:70" outlineLevel="2">
      <c r="B1407" s="5"/>
      <c r="C1407" s="644" t="s">
        <v>269</v>
      </c>
      <c r="D1407" s="636" t="s">
        <v>58</v>
      </c>
      <c r="E1407" s="554"/>
      <c r="F1407" s="554"/>
      <c r="G1407" s="554"/>
      <c r="H1407" s="554"/>
      <c r="I1407" s="554"/>
      <c r="J1407" s="554"/>
      <c r="K1407" s="554"/>
      <c r="L1407" s="554"/>
      <c r="M1407" s="554"/>
      <c r="N1407" s="554"/>
      <c r="O1407" s="554"/>
      <c r="P1407" s="555"/>
      <c r="Q1407" s="555"/>
      <c r="R1407" s="555"/>
      <c r="S1407" s="555"/>
      <c r="T1407" s="555"/>
      <c r="U1407" s="555"/>
      <c r="V1407" s="555"/>
      <c r="W1407" s="555"/>
      <c r="X1407" s="555"/>
      <c r="Y1407" s="555"/>
      <c r="Z1407" s="555"/>
      <c r="AA1407" s="740">
        <f>(AA1402-X1402)</f>
        <v>0.66666666666666663</v>
      </c>
      <c r="AB1407" s="640">
        <f>Z1407+AA1407</f>
        <v>0.66666666666666663</v>
      </c>
      <c r="AC1407" s="740">
        <f>(AC1402-Z1402)</f>
        <v>2.5</v>
      </c>
      <c r="AD1407" s="640">
        <f>(AD1402-Z1402)</f>
        <v>2.5</v>
      </c>
      <c r="AE1407" s="640">
        <f>AC1407+AD1407</f>
        <v>5</v>
      </c>
      <c r="AF1407" s="740">
        <f>(AF1402-AC1402)</f>
        <v>0.5</v>
      </c>
      <c r="AG1407" s="1062">
        <f>(AG1402-AC1402)</f>
        <v>0.5</v>
      </c>
      <c r="AH1407" s="640">
        <f>AF1407+AG1407</f>
        <v>1</v>
      </c>
      <c r="AI1407" s="640">
        <f>(AI1402-AF1402)</f>
        <v>0</v>
      </c>
      <c r="AJ1407" s="640">
        <f>(AJ1402-AF1402)</f>
        <v>0</v>
      </c>
      <c r="AK1407" s="640">
        <f>AI1407+AJ1407</f>
        <v>0</v>
      </c>
      <c r="AL1407" s="640">
        <f>(AL1402-AI1402)</f>
        <v>0</v>
      </c>
      <c r="AM1407" s="640">
        <f>(AM1402-AI1402)</f>
        <v>0</v>
      </c>
      <c r="AN1407" s="640">
        <f>AL1407+AM1407</f>
        <v>0</v>
      </c>
      <c r="AO1407" s="640">
        <f>(AO1402-AL1402)</f>
        <v>0</v>
      </c>
      <c r="AP1407" s="640">
        <f>(AP1402-AL1402)</f>
        <v>0</v>
      </c>
      <c r="AQ1407" s="640">
        <f>AO1407+AP1407</f>
        <v>0</v>
      </c>
      <c r="AR1407" s="640">
        <f>(AR1402-AO1402)</f>
        <v>0</v>
      </c>
      <c r="AS1407" s="640">
        <f>(AS1402-AO1402)</f>
        <v>0</v>
      </c>
      <c r="AT1407" s="640">
        <f>AR1407+AS1407</f>
        <v>0</v>
      </c>
      <c r="AU1407" s="640">
        <f>(AU1402-AR1402)</f>
        <v>0</v>
      </c>
      <c r="AV1407" s="640">
        <f>(AV1402-AR1402)</f>
        <v>0</v>
      </c>
      <c r="AW1407" s="640">
        <f>AU1407+AV1407</f>
        <v>0</v>
      </c>
      <c r="AX1407" s="640">
        <f>(AX1402-AU1402)</f>
        <v>0</v>
      </c>
      <c r="AY1407" s="640">
        <f>(AY1402-AU1402)</f>
        <v>0</v>
      </c>
      <c r="AZ1407" s="640">
        <f>AX1407+AY1407</f>
        <v>0</v>
      </c>
      <c r="BA1407" s="640">
        <f>(BA1402-AX1402)</f>
        <v>0</v>
      </c>
      <c r="BB1407" s="640">
        <f>(BB1402-AX1402)</f>
        <v>0</v>
      </c>
      <c r="BC1407" s="640">
        <f>BA1407+BB1407</f>
        <v>0</v>
      </c>
      <c r="BD1407" s="640">
        <f>(BD1402-BA1402)</f>
        <v>0</v>
      </c>
      <c r="BE1407" s="640">
        <f>(BE1402-BA1402)</f>
        <v>0</v>
      </c>
      <c r="BF1407" s="640">
        <f>BD1407+BE1407</f>
        <v>0</v>
      </c>
      <c r="BG1407" s="640">
        <f>(BG1402-BD1402)</f>
        <v>0</v>
      </c>
      <c r="BH1407" s="640">
        <f>(BH1402-BD1402)</f>
        <v>0</v>
      </c>
      <c r="BI1407" s="640">
        <f>BG1407+BH1407</f>
        <v>0</v>
      </c>
      <c r="BJ1407" s="640">
        <f>(BJ1402-BG1402)</f>
        <v>0</v>
      </c>
      <c r="BK1407" s="640">
        <f>(BK1402-BG1402)</f>
        <v>0</v>
      </c>
      <c r="BL1407" s="640">
        <f>BJ1407+BK1407</f>
        <v>0</v>
      </c>
      <c r="BM1407" s="640">
        <f>(BM1402-BJ1402)</f>
        <v>0</v>
      </c>
      <c r="BN1407" s="640">
        <f>(BN1402-BJ1402)</f>
        <v>0</v>
      </c>
      <c r="BO1407" s="640">
        <f>BM1407+BN1407</f>
        <v>0</v>
      </c>
      <c r="BP1407" s="640">
        <f>(BP1402-BM1402)</f>
        <v>0</v>
      </c>
      <c r="BQ1407" s="640">
        <f>(BQ1402-BM1402)</f>
        <v>0</v>
      </c>
      <c r="BR1407" s="641">
        <f>BP1407+BQ1407</f>
        <v>0</v>
      </c>
    </row>
    <row r="1408" spans="2:70" outlineLevel="2">
      <c r="B1408" s="584"/>
    </row>
    <row r="1409" spans="2:70" outlineLevel="2">
      <c r="B1409" s="5"/>
      <c r="C1409" s="143" t="s">
        <v>341</v>
      </c>
      <c r="D1409" s="107"/>
      <c r="E1409" s="91"/>
      <c r="F1409" s="91"/>
      <c r="G1409" s="91"/>
      <c r="H1409" s="91"/>
      <c r="I1409" s="91"/>
      <c r="J1409" s="91"/>
      <c r="K1409" s="91"/>
      <c r="L1409" s="91"/>
      <c r="M1409" s="91"/>
      <c r="N1409" s="91"/>
      <c r="O1409" s="91"/>
      <c r="P1409" s="91"/>
      <c r="Q1409" s="91"/>
      <c r="R1409" s="91"/>
      <c r="S1409" s="91"/>
      <c r="T1409" s="91"/>
      <c r="U1409" s="91"/>
      <c r="V1409" s="91"/>
      <c r="W1409" s="91"/>
      <c r="X1409" s="91"/>
    </row>
    <row r="1410" spans="2:70" outlineLevel="2">
      <c r="B1410" s="5"/>
      <c r="C1410" s="91" t="s">
        <v>266</v>
      </c>
      <c r="D1410" s="107"/>
      <c r="E1410" s="91"/>
      <c r="F1410" s="91"/>
      <c r="G1410" s="91"/>
      <c r="H1410" s="91"/>
      <c r="I1410" s="91"/>
      <c r="J1410" s="91"/>
      <c r="K1410" s="91"/>
      <c r="L1410" s="91"/>
      <c r="M1410" s="91"/>
      <c r="N1410" s="91"/>
      <c r="O1410" s="91"/>
      <c r="P1410" s="91"/>
      <c r="Q1410" s="91"/>
      <c r="R1410" s="91"/>
      <c r="S1410" s="91"/>
      <c r="T1410" s="91"/>
      <c r="U1410" s="91"/>
      <c r="V1410" s="91"/>
      <c r="W1410" s="786" t="s">
        <v>679</v>
      </c>
      <c r="X1410" s="91"/>
    </row>
    <row r="1411" spans="2:70" outlineLevel="2">
      <c r="B1411" s="5"/>
      <c r="C1411" s="91" t="s">
        <v>262</v>
      </c>
      <c r="D1411" s="107"/>
      <c r="E1411" s="91"/>
      <c r="F1411" s="91"/>
      <c r="G1411" s="91"/>
      <c r="H1411" s="91"/>
      <c r="I1411" s="91"/>
      <c r="J1411" s="91"/>
      <c r="K1411" s="91"/>
      <c r="L1411" s="91"/>
      <c r="M1411" s="91"/>
      <c r="N1411" s="91"/>
      <c r="O1411" s="91"/>
      <c r="P1411" s="91"/>
      <c r="Q1411" s="91"/>
      <c r="R1411" s="91"/>
      <c r="S1411" s="91"/>
      <c r="T1411" s="91"/>
      <c r="U1411" s="91"/>
      <c r="V1411" s="91"/>
      <c r="W1411" s="702">
        <v>42491</v>
      </c>
      <c r="X1411" s="91"/>
    </row>
    <row r="1412" spans="2:70" s="30" customFormat="1" outlineLevel="2">
      <c r="C1412" s="91" t="s">
        <v>72</v>
      </c>
      <c r="D1412" s="107" t="s">
        <v>58</v>
      </c>
      <c r="E1412" s="107"/>
      <c r="F1412" s="107"/>
      <c r="G1412" s="107"/>
      <c r="H1412" s="107"/>
      <c r="I1412" s="107"/>
      <c r="J1412" s="107"/>
      <c r="K1412" s="107"/>
      <c r="L1412" s="107"/>
      <c r="M1412" s="107"/>
      <c r="N1412" s="107"/>
      <c r="O1412" s="107"/>
      <c r="P1412" s="91"/>
      <c r="Q1412" s="91"/>
      <c r="R1412" s="91"/>
      <c r="S1412" s="91"/>
      <c r="T1412" s="91"/>
      <c r="U1412" s="91"/>
      <c r="V1412" s="91"/>
      <c r="W1412" s="717">
        <v>54.2</v>
      </c>
      <c r="X1412" s="91"/>
      <c r="AC1412" s="35"/>
      <c r="AE1412" s="168"/>
      <c r="AF1412" s="168"/>
      <c r="AG1412" s="964"/>
    </row>
    <row r="1413" spans="2:70" s="30" customFormat="1" outlineLevel="2">
      <c r="C1413" s="91" t="s">
        <v>263</v>
      </c>
      <c r="D1413" s="619" t="s">
        <v>77</v>
      </c>
      <c r="E1413" s="173"/>
      <c r="F1413" s="173"/>
      <c r="G1413" s="173"/>
      <c r="H1413" s="173"/>
      <c r="I1413" s="173"/>
      <c r="J1413" s="173"/>
      <c r="K1413" s="173"/>
      <c r="L1413" s="173"/>
      <c r="M1413" s="173"/>
      <c r="N1413" s="173"/>
      <c r="O1413" s="173"/>
      <c r="P1413" s="91"/>
      <c r="Q1413" s="91"/>
      <c r="R1413" s="91"/>
      <c r="S1413" s="91"/>
      <c r="T1413" s="91"/>
      <c r="U1413" s="91"/>
      <c r="V1413" s="91"/>
      <c r="W1413" s="720">
        <f>W1412/W1415</f>
        <v>5.9299781181619258</v>
      </c>
      <c r="X1413" s="91"/>
      <c r="AC1413" s="35"/>
      <c r="AE1413" s="165"/>
      <c r="AF1413" s="168"/>
      <c r="AG1413" s="964"/>
    </row>
    <row r="1414" spans="2:70" s="30" customFormat="1" outlineLevel="2">
      <c r="C1414" s="91" t="s">
        <v>55</v>
      </c>
      <c r="D1414" s="107" t="s">
        <v>58</v>
      </c>
      <c r="E1414" s="107"/>
      <c r="F1414" s="107"/>
      <c r="G1414" s="107"/>
      <c r="H1414" s="107"/>
      <c r="I1414" s="107"/>
      <c r="J1414" s="107"/>
      <c r="K1414" s="107"/>
      <c r="L1414" s="107"/>
      <c r="M1414" s="107"/>
      <c r="N1414" s="107"/>
      <c r="O1414" s="107"/>
      <c r="P1414" s="91"/>
      <c r="Q1414" s="91"/>
      <c r="R1414" s="91"/>
      <c r="S1414" s="91"/>
      <c r="T1414" s="91"/>
      <c r="U1414" s="91"/>
      <c r="V1414" s="91"/>
      <c r="W1414" s="727">
        <v>110</v>
      </c>
      <c r="X1414" s="91"/>
      <c r="Z1414" s="37"/>
      <c r="AA1414" s="37">
        <f>W1414*0.5*(2/6)</f>
        <v>18.333333333333332</v>
      </c>
      <c r="AB1414" s="163">
        <f>SUM(Z1414:AA1414)</f>
        <v>18.333333333333332</v>
      </c>
      <c r="AC1414" s="164">
        <f>AE1414*0.5</f>
        <v>55</v>
      </c>
      <c r="AD1414" s="13">
        <f>AE1414*0.5</f>
        <v>55</v>
      </c>
      <c r="AE1414" s="26">
        <f>W1414</f>
        <v>110</v>
      </c>
      <c r="AF1414" s="164">
        <f>AC1414</f>
        <v>55</v>
      </c>
      <c r="AG1414" s="1018">
        <f>AD1414</f>
        <v>55</v>
      </c>
      <c r="AH1414" s="18">
        <f>AF1414+AG1414</f>
        <v>110</v>
      </c>
      <c r="AI1414" s="13">
        <f>AF1414</f>
        <v>55</v>
      </c>
      <c r="AJ1414" s="13">
        <f>AG1414</f>
        <v>55</v>
      </c>
      <c r="AK1414" s="18">
        <f>AI1414+AJ1414</f>
        <v>110</v>
      </c>
      <c r="AL1414" s="13">
        <f>AI1414</f>
        <v>55</v>
      </c>
      <c r="AM1414" s="13">
        <f>AJ1414</f>
        <v>55</v>
      </c>
      <c r="AN1414" s="18">
        <f>AL1414+AM1414</f>
        <v>110</v>
      </c>
      <c r="AO1414" s="13">
        <f>AL1414</f>
        <v>55</v>
      </c>
      <c r="AP1414" s="13">
        <f>AM1414</f>
        <v>55</v>
      </c>
      <c r="AQ1414" s="18">
        <f>AO1414+AP1414</f>
        <v>110</v>
      </c>
      <c r="AR1414" s="13">
        <f>AO1414</f>
        <v>55</v>
      </c>
      <c r="AS1414" s="13">
        <f>AP1414</f>
        <v>55</v>
      </c>
      <c r="AT1414" s="18">
        <f>AR1414+AS1414</f>
        <v>110</v>
      </c>
      <c r="AU1414" s="13">
        <f>AR1414</f>
        <v>55</v>
      </c>
      <c r="AV1414" s="13">
        <f>AS1414</f>
        <v>55</v>
      </c>
      <c r="AW1414" s="18">
        <f>AU1414+AV1414</f>
        <v>110</v>
      </c>
      <c r="AX1414" s="13">
        <f>AU1414</f>
        <v>55</v>
      </c>
      <c r="AY1414" s="13">
        <f>AV1414</f>
        <v>55</v>
      </c>
      <c r="AZ1414" s="18">
        <f>AX1414+AY1414</f>
        <v>110</v>
      </c>
      <c r="BA1414" s="13">
        <f>AX1414</f>
        <v>55</v>
      </c>
      <c r="BB1414" s="13">
        <f>AY1414</f>
        <v>55</v>
      </c>
      <c r="BC1414" s="18">
        <f>BA1414+BB1414</f>
        <v>110</v>
      </c>
      <c r="BD1414" s="13">
        <f>BA1414</f>
        <v>55</v>
      </c>
      <c r="BE1414" s="13">
        <f>BB1414</f>
        <v>55</v>
      </c>
      <c r="BF1414" s="18">
        <f>BD1414+BE1414</f>
        <v>110</v>
      </c>
      <c r="BG1414" s="13">
        <f>BD1414</f>
        <v>55</v>
      </c>
      <c r="BH1414" s="13">
        <f>BE1414</f>
        <v>55</v>
      </c>
      <c r="BI1414" s="18">
        <f>BG1414+BH1414</f>
        <v>110</v>
      </c>
      <c r="BJ1414" s="13">
        <f>BG1414</f>
        <v>55</v>
      </c>
      <c r="BK1414" s="13">
        <f>BH1414</f>
        <v>55</v>
      </c>
      <c r="BL1414" s="18">
        <f>BJ1414+BK1414</f>
        <v>110</v>
      </c>
      <c r="BM1414" s="13">
        <f>BJ1414</f>
        <v>55</v>
      </c>
      <c r="BN1414" s="13">
        <f>BK1414</f>
        <v>55</v>
      </c>
      <c r="BO1414" s="18">
        <f>BM1414+BN1414</f>
        <v>110</v>
      </c>
      <c r="BP1414" s="13">
        <f>BM1414</f>
        <v>55</v>
      </c>
      <c r="BQ1414" s="13">
        <f>BN1414</f>
        <v>55</v>
      </c>
      <c r="BR1414" s="18">
        <f>BP1414+BQ1414</f>
        <v>110</v>
      </c>
    </row>
    <row r="1415" spans="2:70" s="30" customFormat="1" outlineLevel="2">
      <c r="C1415" s="91" t="s">
        <v>56</v>
      </c>
      <c r="D1415" s="107" t="s">
        <v>58</v>
      </c>
      <c r="E1415" s="107"/>
      <c r="F1415" s="107"/>
      <c r="G1415" s="107"/>
      <c r="H1415" s="107"/>
      <c r="I1415" s="107"/>
      <c r="J1415" s="107"/>
      <c r="K1415" s="107"/>
      <c r="L1415" s="107"/>
      <c r="M1415" s="107"/>
      <c r="N1415" s="107"/>
      <c r="O1415" s="107"/>
      <c r="P1415" s="91"/>
      <c r="Q1415" s="91"/>
      <c r="R1415" s="91"/>
      <c r="S1415" s="91"/>
      <c r="T1415" s="91"/>
      <c r="U1415" s="91"/>
      <c r="V1415" s="91"/>
      <c r="W1415" s="728">
        <f>W1418-W1417</f>
        <v>9.14</v>
      </c>
      <c r="X1415" s="91"/>
      <c r="Z1415" s="37"/>
      <c r="AA1415" s="37">
        <f>W1415*0.5*(2/6)</f>
        <v>1.5233333333333334</v>
      </c>
      <c r="AB1415" s="163">
        <f>SUM(Z1415:AA1415)</f>
        <v>1.5233333333333334</v>
      </c>
      <c r="AC1415" s="164">
        <f>AC1416*AC1414</f>
        <v>4.57</v>
      </c>
      <c r="AD1415" s="13">
        <f>AD1416*AD1414</f>
        <v>4.57</v>
      </c>
      <c r="AE1415" s="26">
        <f>W1415</f>
        <v>9.14</v>
      </c>
      <c r="AF1415" s="164">
        <f>AF1416*AF1414</f>
        <v>4.57</v>
      </c>
      <c r="AG1415" s="1018">
        <f>AG1416*AG1414</f>
        <v>4.57</v>
      </c>
      <c r="AH1415" s="18">
        <f>AF1415+AG1415</f>
        <v>9.14</v>
      </c>
      <c r="AI1415" s="13">
        <f>AI1416*AI1414</f>
        <v>4.57</v>
      </c>
      <c r="AJ1415" s="13">
        <f>AJ1416*AJ1414</f>
        <v>4.57</v>
      </c>
      <c r="AK1415" s="18">
        <f>AI1415+AJ1415</f>
        <v>9.14</v>
      </c>
      <c r="AL1415" s="13">
        <f>AL1416*AL1414</f>
        <v>4.57</v>
      </c>
      <c r="AM1415" s="13">
        <f>AM1416*AM1414</f>
        <v>4.57</v>
      </c>
      <c r="AN1415" s="18">
        <f>AL1415+AM1415</f>
        <v>9.14</v>
      </c>
      <c r="AO1415" s="13">
        <f>AO1416*AO1414</f>
        <v>4.57</v>
      </c>
      <c r="AP1415" s="13">
        <f>AP1416*AP1414</f>
        <v>4.57</v>
      </c>
      <c r="AQ1415" s="18">
        <f>AO1415+AP1415</f>
        <v>9.14</v>
      </c>
      <c r="AR1415" s="13">
        <f>AR1416*AR1414</f>
        <v>4.57</v>
      </c>
      <c r="AS1415" s="13">
        <f>AS1416*AS1414</f>
        <v>4.57</v>
      </c>
      <c r="AT1415" s="18">
        <f>AR1415+AS1415</f>
        <v>9.14</v>
      </c>
      <c r="AU1415" s="13">
        <f>AU1416*AU1414</f>
        <v>4.57</v>
      </c>
      <c r="AV1415" s="13">
        <f>AV1416*AV1414</f>
        <v>4.57</v>
      </c>
      <c r="AW1415" s="18">
        <f>AU1415+AV1415</f>
        <v>9.14</v>
      </c>
      <c r="AX1415" s="13">
        <f>AX1416*AX1414</f>
        <v>4.57</v>
      </c>
      <c r="AY1415" s="13">
        <f>AY1416*AY1414</f>
        <v>4.57</v>
      </c>
      <c r="AZ1415" s="18">
        <f>AX1415+AY1415</f>
        <v>9.14</v>
      </c>
      <c r="BA1415" s="13">
        <f>BA1416*BA1414</f>
        <v>4.57</v>
      </c>
      <c r="BB1415" s="13">
        <f>BB1416*BB1414</f>
        <v>4.57</v>
      </c>
      <c r="BC1415" s="18">
        <f>BA1415+BB1415</f>
        <v>9.14</v>
      </c>
      <c r="BD1415" s="13">
        <f>BD1416*BD1414</f>
        <v>4.57</v>
      </c>
      <c r="BE1415" s="13">
        <f>BE1416*BE1414</f>
        <v>4.57</v>
      </c>
      <c r="BF1415" s="18">
        <f>BD1415+BE1415</f>
        <v>9.14</v>
      </c>
      <c r="BG1415" s="13">
        <f>BG1416*BG1414</f>
        <v>4.57</v>
      </c>
      <c r="BH1415" s="13">
        <f>BH1416*BH1414</f>
        <v>4.57</v>
      </c>
      <c r="BI1415" s="18">
        <f>BG1415+BH1415</f>
        <v>9.14</v>
      </c>
      <c r="BJ1415" s="13">
        <f>BJ1416*BJ1414</f>
        <v>4.57</v>
      </c>
      <c r="BK1415" s="13">
        <f>BK1416*BK1414</f>
        <v>4.57</v>
      </c>
      <c r="BL1415" s="18">
        <f>BJ1415+BK1415</f>
        <v>9.14</v>
      </c>
      <c r="BM1415" s="13">
        <f>BM1416*BM1414</f>
        <v>4.57</v>
      </c>
      <c r="BN1415" s="13">
        <f>BN1416*BN1414</f>
        <v>4.57</v>
      </c>
      <c r="BO1415" s="18">
        <f>BM1415+BN1415</f>
        <v>9.14</v>
      </c>
      <c r="BP1415" s="13">
        <f>BP1416*BP1414</f>
        <v>4.57</v>
      </c>
      <c r="BQ1415" s="13">
        <f>BQ1416*BQ1414</f>
        <v>4.57</v>
      </c>
      <c r="BR1415" s="18">
        <f>BP1415+BQ1415</f>
        <v>9.14</v>
      </c>
    </row>
    <row r="1416" spans="2:70" s="30" customFormat="1" outlineLevel="2">
      <c r="C1416" s="91" t="s">
        <v>73</v>
      </c>
      <c r="D1416" s="107" t="s">
        <v>66</v>
      </c>
      <c r="E1416" s="107"/>
      <c r="F1416" s="107"/>
      <c r="G1416" s="107"/>
      <c r="H1416" s="107"/>
      <c r="I1416" s="107"/>
      <c r="J1416" s="107"/>
      <c r="K1416" s="107"/>
      <c r="L1416" s="107"/>
      <c r="M1416" s="107"/>
      <c r="N1416" s="107"/>
      <c r="O1416" s="107"/>
      <c r="P1416" s="91"/>
      <c r="Q1416" s="91"/>
      <c r="R1416" s="91"/>
      <c r="S1416" s="91"/>
      <c r="T1416" s="91"/>
      <c r="U1416" s="91"/>
      <c r="V1416" s="91"/>
      <c r="W1416" s="729">
        <f>W1415/W1414</f>
        <v>8.309090909090909E-2</v>
      </c>
      <c r="X1416" s="91"/>
      <c r="AB1416" s="165"/>
      <c r="AC1416" s="166">
        <f>W1416</f>
        <v>8.309090909090909E-2</v>
      </c>
      <c r="AD1416" s="87">
        <f>W1416</f>
        <v>8.309090909090909E-2</v>
      </c>
      <c r="AE1416" s="162">
        <f>AE1415/AE1414</f>
        <v>8.309090909090909E-2</v>
      </c>
      <c r="AF1416" s="166">
        <f>AC1416</f>
        <v>8.309090909090909E-2</v>
      </c>
      <c r="AG1416" s="983">
        <f>AD1416</f>
        <v>8.309090909090909E-2</v>
      </c>
      <c r="AH1416" s="40">
        <f>AH1415/AH1414</f>
        <v>8.309090909090909E-2</v>
      </c>
      <c r="AI1416" s="87">
        <f>AE1416</f>
        <v>8.309090909090909E-2</v>
      </c>
      <c r="AJ1416" s="87">
        <f>AE1416</f>
        <v>8.309090909090909E-2</v>
      </c>
      <c r="AK1416" s="40">
        <f>AK1415/AK1414</f>
        <v>8.309090909090909E-2</v>
      </c>
      <c r="AL1416" s="87">
        <f>AH1416</f>
        <v>8.309090909090909E-2</v>
      </c>
      <c r="AM1416" s="87">
        <f>AH1416</f>
        <v>8.309090909090909E-2</v>
      </c>
      <c r="AN1416" s="40">
        <f>AN1415/AN1414</f>
        <v>8.309090909090909E-2</v>
      </c>
      <c r="AO1416" s="87">
        <f>AK1416</f>
        <v>8.309090909090909E-2</v>
      </c>
      <c r="AP1416" s="87">
        <f>AK1416</f>
        <v>8.309090909090909E-2</v>
      </c>
      <c r="AQ1416" s="40">
        <f>AQ1415/AQ1414</f>
        <v>8.309090909090909E-2</v>
      </c>
      <c r="AR1416" s="87">
        <f>AN1416</f>
        <v>8.309090909090909E-2</v>
      </c>
      <c r="AS1416" s="87">
        <f>AN1416</f>
        <v>8.309090909090909E-2</v>
      </c>
      <c r="AT1416" s="40">
        <f>AT1415/AT1414</f>
        <v>8.309090909090909E-2</v>
      </c>
      <c r="AU1416" s="87">
        <f>AQ1416</f>
        <v>8.309090909090909E-2</v>
      </c>
      <c r="AV1416" s="87">
        <f>AQ1416</f>
        <v>8.309090909090909E-2</v>
      </c>
      <c r="AW1416" s="40">
        <f>AW1415/AW1414</f>
        <v>8.309090909090909E-2</v>
      </c>
      <c r="AX1416" s="87">
        <f>AT1416</f>
        <v>8.309090909090909E-2</v>
      </c>
      <c r="AY1416" s="87">
        <f>AT1416</f>
        <v>8.309090909090909E-2</v>
      </c>
      <c r="AZ1416" s="40">
        <f>AZ1415/AZ1414</f>
        <v>8.309090909090909E-2</v>
      </c>
      <c r="BA1416" s="87">
        <f>AW1416</f>
        <v>8.309090909090909E-2</v>
      </c>
      <c r="BB1416" s="87">
        <f>AW1416</f>
        <v>8.309090909090909E-2</v>
      </c>
      <c r="BC1416" s="40">
        <f>BC1415/BC1414</f>
        <v>8.309090909090909E-2</v>
      </c>
      <c r="BD1416" s="87">
        <f>AZ1416</f>
        <v>8.309090909090909E-2</v>
      </c>
      <c r="BE1416" s="87">
        <f>AZ1416</f>
        <v>8.309090909090909E-2</v>
      </c>
      <c r="BF1416" s="40">
        <f>BF1415/BF1414</f>
        <v>8.309090909090909E-2</v>
      </c>
      <c r="BG1416" s="87">
        <f>BC1416</f>
        <v>8.309090909090909E-2</v>
      </c>
      <c r="BH1416" s="87">
        <f>BC1416</f>
        <v>8.309090909090909E-2</v>
      </c>
      <c r="BI1416" s="40">
        <f>BI1415/BI1414</f>
        <v>8.309090909090909E-2</v>
      </c>
      <c r="BJ1416" s="87">
        <f>BF1416</f>
        <v>8.309090909090909E-2</v>
      </c>
      <c r="BK1416" s="87">
        <f>BF1416</f>
        <v>8.309090909090909E-2</v>
      </c>
      <c r="BL1416" s="40">
        <f>BL1415/BL1414</f>
        <v>8.309090909090909E-2</v>
      </c>
      <c r="BM1416" s="87">
        <f>BI1416</f>
        <v>8.309090909090909E-2</v>
      </c>
      <c r="BN1416" s="87">
        <f>BI1416</f>
        <v>8.309090909090909E-2</v>
      </c>
      <c r="BO1416" s="40">
        <f>BO1415/BO1414</f>
        <v>8.309090909090909E-2</v>
      </c>
      <c r="BP1416" s="87">
        <f>BL1416</f>
        <v>8.309090909090909E-2</v>
      </c>
      <c r="BQ1416" s="87">
        <f>BL1416</f>
        <v>8.309090909090909E-2</v>
      </c>
      <c r="BR1416" s="40">
        <f>BR1415/BR1414</f>
        <v>8.309090909090909E-2</v>
      </c>
    </row>
    <row r="1417" spans="2:70" s="30" customFormat="1" outlineLevel="2">
      <c r="C1417" s="91" t="s">
        <v>65</v>
      </c>
      <c r="D1417" s="107" t="s">
        <v>58</v>
      </c>
      <c r="E1417" s="107"/>
      <c r="F1417" s="107"/>
      <c r="G1417" s="107"/>
      <c r="H1417" s="107"/>
      <c r="I1417" s="107"/>
      <c r="J1417" s="107"/>
      <c r="K1417" s="107"/>
      <c r="L1417" s="107"/>
      <c r="M1417" s="107"/>
      <c r="N1417" s="107"/>
      <c r="O1417" s="107"/>
      <c r="P1417" s="91"/>
      <c r="Q1417" s="91"/>
      <c r="R1417" s="91"/>
      <c r="S1417" s="91"/>
      <c r="T1417" s="91"/>
      <c r="U1417" s="91"/>
      <c r="V1417" s="91"/>
      <c r="W1417" s="730">
        <v>-0.5</v>
      </c>
      <c r="X1417" s="91"/>
      <c r="Z1417" s="37"/>
      <c r="AA1417" s="37">
        <f>W1417*0.5*(2/6)</f>
        <v>-8.3333333333333329E-2</v>
      </c>
      <c r="AB1417" s="174">
        <f>SUM(Z1417:AA1417)</f>
        <v>-8.3333333333333329E-2</v>
      </c>
      <c r="AC1417" s="174">
        <f>AE1417*0.5</f>
        <v>-0.25</v>
      </c>
      <c r="AD1417" s="34">
        <f>AE1417*0.5</f>
        <v>-0.25</v>
      </c>
      <c r="AE1417" s="26">
        <f>W1417</f>
        <v>-0.5</v>
      </c>
      <c r="AF1417" s="164">
        <f>AC1417</f>
        <v>-0.25</v>
      </c>
      <c r="AG1417" s="1018">
        <f>AD1417</f>
        <v>-0.25</v>
      </c>
      <c r="AH1417" s="18">
        <f>AF1417+AG1417</f>
        <v>-0.5</v>
      </c>
      <c r="AI1417" s="13">
        <f>AF1417</f>
        <v>-0.25</v>
      </c>
      <c r="AJ1417" s="13">
        <f>AG1417</f>
        <v>-0.25</v>
      </c>
      <c r="AK1417" s="18">
        <f>AI1417+AJ1417</f>
        <v>-0.5</v>
      </c>
      <c r="AL1417" s="13">
        <f>AI1417</f>
        <v>-0.25</v>
      </c>
      <c r="AM1417" s="13">
        <f>AJ1417</f>
        <v>-0.25</v>
      </c>
      <c r="AN1417" s="18">
        <f>AL1417+AM1417</f>
        <v>-0.5</v>
      </c>
      <c r="AO1417" s="13">
        <f>AL1417</f>
        <v>-0.25</v>
      </c>
      <c r="AP1417" s="13">
        <f>AM1417</f>
        <v>-0.25</v>
      </c>
      <c r="AQ1417" s="18">
        <f>AO1417+AP1417</f>
        <v>-0.5</v>
      </c>
      <c r="AR1417" s="13">
        <f>AO1417</f>
        <v>-0.25</v>
      </c>
      <c r="AS1417" s="13">
        <f>AP1417</f>
        <v>-0.25</v>
      </c>
      <c r="AT1417" s="18">
        <f>AR1417+AS1417</f>
        <v>-0.5</v>
      </c>
      <c r="AU1417" s="13">
        <f>AR1417</f>
        <v>-0.25</v>
      </c>
      <c r="AV1417" s="13">
        <f>AS1417</f>
        <v>-0.25</v>
      </c>
      <c r="AW1417" s="18">
        <f>AU1417+AV1417</f>
        <v>-0.5</v>
      </c>
      <c r="AX1417" s="13">
        <f>AU1417</f>
        <v>-0.25</v>
      </c>
      <c r="AY1417" s="13">
        <f>AV1417</f>
        <v>-0.25</v>
      </c>
      <c r="AZ1417" s="18">
        <f>AX1417+AY1417</f>
        <v>-0.5</v>
      </c>
      <c r="BA1417" s="13">
        <f>AX1417</f>
        <v>-0.25</v>
      </c>
      <c r="BB1417" s="13">
        <f>AY1417</f>
        <v>-0.25</v>
      </c>
      <c r="BC1417" s="18">
        <f>BA1417+BB1417</f>
        <v>-0.5</v>
      </c>
      <c r="BD1417" s="13">
        <f>BA1417</f>
        <v>-0.25</v>
      </c>
      <c r="BE1417" s="13">
        <f>BB1417</f>
        <v>-0.25</v>
      </c>
      <c r="BF1417" s="18">
        <f>BD1417+BE1417</f>
        <v>-0.5</v>
      </c>
      <c r="BG1417" s="13">
        <f>BD1417</f>
        <v>-0.25</v>
      </c>
      <c r="BH1417" s="13">
        <f>BE1417</f>
        <v>-0.25</v>
      </c>
      <c r="BI1417" s="18">
        <f>BG1417+BH1417</f>
        <v>-0.5</v>
      </c>
      <c r="BJ1417" s="13">
        <f>BG1417</f>
        <v>-0.25</v>
      </c>
      <c r="BK1417" s="13">
        <f>BH1417</f>
        <v>-0.25</v>
      </c>
      <c r="BL1417" s="18">
        <f>BJ1417+BK1417</f>
        <v>-0.5</v>
      </c>
      <c r="BM1417" s="13">
        <f>BJ1417</f>
        <v>-0.25</v>
      </c>
      <c r="BN1417" s="13">
        <f>BK1417</f>
        <v>-0.25</v>
      </c>
      <c r="BO1417" s="18">
        <f>BM1417+BN1417</f>
        <v>-0.5</v>
      </c>
      <c r="BP1417" s="13">
        <f>BM1417</f>
        <v>-0.25</v>
      </c>
      <c r="BQ1417" s="13">
        <f>BN1417</f>
        <v>-0.25</v>
      </c>
      <c r="BR1417" s="18">
        <f>BP1417+BQ1417</f>
        <v>-0.5</v>
      </c>
    </row>
    <row r="1418" spans="2:70" s="30" customFormat="1" outlineLevel="2">
      <c r="C1418" s="91" t="s">
        <v>78</v>
      </c>
      <c r="D1418" s="107" t="s">
        <v>58</v>
      </c>
      <c r="E1418" s="107"/>
      <c r="F1418" s="107"/>
      <c r="G1418" s="107"/>
      <c r="H1418" s="107"/>
      <c r="I1418" s="107"/>
      <c r="J1418" s="107"/>
      <c r="K1418" s="107"/>
      <c r="L1418" s="107"/>
      <c r="M1418" s="107"/>
      <c r="N1418" s="107"/>
      <c r="O1418" s="107"/>
      <c r="P1418" s="91"/>
      <c r="Q1418" s="91"/>
      <c r="R1418" s="91"/>
      <c r="S1418" s="91"/>
      <c r="T1418" s="91"/>
      <c r="U1418" s="91"/>
      <c r="V1418" s="91"/>
      <c r="W1418" s="728">
        <f>W1423-W1421</f>
        <v>8.64</v>
      </c>
      <c r="X1418" s="91"/>
      <c r="Z1418" s="37"/>
      <c r="AA1418" s="37">
        <f>AA1415+AA1417</f>
        <v>1.4400000000000002</v>
      </c>
      <c r="AB1418" s="163">
        <f>W1418</f>
        <v>8.64</v>
      </c>
      <c r="AC1418" s="164">
        <f>AC1415+AC1417</f>
        <v>4.32</v>
      </c>
      <c r="AD1418" s="13">
        <f>AD1415+AD1417</f>
        <v>4.32</v>
      </c>
      <c r="AE1418" s="26">
        <f>W1418</f>
        <v>8.64</v>
      </c>
      <c r="AF1418" s="164">
        <f>AF1415+AF1417</f>
        <v>4.32</v>
      </c>
      <c r="AG1418" s="1018">
        <f>AG1415+AG1417</f>
        <v>4.32</v>
      </c>
      <c r="AH1418" s="18">
        <f>AF1418+AG1418</f>
        <v>8.64</v>
      </c>
      <c r="AI1418" s="13">
        <f>AI1415+AI1417</f>
        <v>4.32</v>
      </c>
      <c r="AJ1418" s="13">
        <f>AJ1415+AJ1417</f>
        <v>4.32</v>
      </c>
      <c r="AK1418" s="18">
        <f>AI1418+AJ1418</f>
        <v>8.64</v>
      </c>
      <c r="AL1418" s="13">
        <f>AL1415+AL1417</f>
        <v>4.32</v>
      </c>
      <c r="AM1418" s="13">
        <f>AM1415+AM1417</f>
        <v>4.32</v>
      </c>
      <c r="AN1418" s="18">
        <f>AL1418+AM1418</f>
        <v>8.64</v>
      </c>
      <c r="AO1418" s="13">
        <f>AO1415+AO1417</f>
        <v>4.32</v>
      </c>
      <c r="AP1418" s="13">
        <f>AP1415+AP1417</f>
        <v>4.32</v>
      </c>
      <c r="AQ1418" s="18">
        <f>AO1418+AP1418</f>
        <v>8.64</v>
      </c>
      <c r="AR1418" s="13">
        <f>AR1415+AR1417</f>
        <v>4.32</v>
      </c>
      <c r="AS1418" s="13">
        <f>AS1415+AS1417</f>
        <v>4.32</v>
      </c>
      <c r="AT1418" s="18">
        <f>AR1418+AS1418</f>
        <v>8.64</v>
      </c>
      <c r="AU1418" s="13">
        <f>AU1415+AU1417</f>
        <v>4.32</v>
      </c>
      <c r="AV1418" s="13">
        <f>AV1415+AV1417</f>
        <v>4.32</v>
      </c>
      <c r="AW1418" s="18">
        <f>AU1418+AV1418</f>
        <v>8.64</v>
      </c>
      <c r="AX1418" s="13">
        <f>AX1415+AX1417</f>
        <v>4.32</v>
      </c>
      <c r="AY1418" s="13">
        <f>AY1415+AY1417</f>
        <v>4.32</v>
      </c>
      <c r="AZ1418" s="18">
        <f>AX1418+AY1418</f>
        <v>8.64</v>
      </c>
      <c r="BA1418" s="13">
        <f>BA1415+BA1417</f>
        <v>4.32</v>
      </c>
      <c r="BB1418" s="13">
        <f>BB1415+BB1417</f>
        <v>4.32</v>
      </c>
      <c r="BC1418" s="18">
        <f>BA1418+BB1418</f>
        <v>8.64</v>
      </c>
      <c r="BD1418" s="13">
        <f>BD1415+BD1417</f>
        <v>4.32</v>
      </c>
      <c r="BE1418" s="13">
        <f>BE1415+BE1417</f>
        <v>4.32</v>
      </c>
      <c r="BF1418" s="18">
        <f>BD1418+BE1418</f>
        <v>8.64</v>
      </c>
      <c r="BG1418" s="13">
        <f>BG1415+BG1417</f>
        <v>4.32</v>
      </c>
      <c r="BH1418" s="13">
        <f>BH1415+BH1417</f>
        <v>4.32</v>
      </c>
      <c r="BI1418" s="18">
        <f>BG1418+BH1418</f>
        <v>8.64</v>
      </c>
      <c r="BJ1418" s="13">
        <f>BJ1415+BJ1417</f>
        <v>4.32</v>
      </c>
      <c r="BK1418" s="13">
        <f>BK1415+BK1417</f>
        <v>4.32</v>
      </c>
      <c r="BL1418" s="18">
        <f>BJ1418+BK1418</f>
        <v>8.64</v>
      </c>
      <c r="BM1418" s="13">
        <f>BM1415+BM1417</f>
        <v>4.32</v>
      </c>
      <c r="BN1418" s="13">
        <f>BN1415+BN1417</f>
        <v>4.32</v>
      </c>
      <c r="BO1418" s="18">
        <f>BM1418+BN1418</f>
        <v>8.64</v>
      </c>
      <c r="BP1418" s="13">
        <f>BP1415+BP1417</f>
        <v>4.32</v>
      </c>
      <c r="BQ1418" s="13">
        <f>BQ1415+BQ1417</f>
        <v>4.32</v>
      </c>
      <c r="BR1418" s="18">
        <f>BP1418+BQ1418</f>
        <v>8.64</v>
      </c>
    </row>
    <row r="1419" spans="2:70" s="30" customFormat="1" outlineLevel="2">
      <c r="C1419" s="91" t="s">
        <v>74</v>
      </c>
      <c r="D1419" s="107" t="s">
        <v>66</v>
      </c>
      <c r="E1419" s="107"/>
      <c r="F1419" s="107"/>
      <c r="G1419" s="107"/>
      <c r="H1419" s="107"/>
      <c r="I1419" s="107"/>
      <c r="J1419" s="107"/>
      <c r="K1419" s="107"/>
      <c r="L1419" s="107"/>
      <c r="M1419" s="107"/>
      <c r="N1419" s="107"/>
      <c r="O1419" s="107"/>
      <c r="P1419" s="91"/>
      <c r="Q1419" s="91"/>
      <c r="R1419" s="91"/>
      <c r="S1419" s="91"/>
      <c r="T1419" s="91"/>
      <c r="U1419" s="91"/>
      <c r="V1419" s="91"/>
      <c r="W1419" s="729">
        <f>W1418/W1414</f>
        <v>7.8545454545454557E-2</v>
      </c>
      <c r="X1419" s="91"/>
      <c r="Z1419" s="32"/>
      <c r="AA1419" s="32"/>
      <c r="AB1419" s="359">
        <f t="shared" ref="AB1419:AN1419" si="7363">AB1418/AB1414</f>
        <v>0.47127272727272734</v>
      </c>
      <c r="AC1419" s="359">
        <f t="shared" si="7363"/>
        <v>7.8545454545454557E-2</v>
      </c>
      <c r="AD1419" s="359">
        <f t="shared" si="7363"/>
        <v>7.8545454545454557E-2</v>
      </c>
      <c r="AE1419" s="359">
        <f t="shared" si="7363"/>
        <v>7.8545454545454557E-2</v>
      </c>
      <c r="AF1419" s="359">
        <f t="shared" si="7363"/>
        <v>7.8545454545454557E-2</v>
      </c>
      <c r="AG1419" s="1025">
        <f t="shared" si="7363"/>
        <v>7.8545454545454557E-2</v>
      </c>
      <c r="AH1419" s="359">
        <f t="shared" si="7363"/>
        <v>7.8545454545454557E-2</v>
      </c>
      <c r="AI1419" s="359">
        <f t="shared" si="7363"/>
        <v>7.8545454545454557E-2</v>
      </c>
      <c r="AJ1419" s="359">
        <f t="shared" si="7363"/>
        <v>7.8545454545454557E-2</v>
      </c>
      <c r="AK1419" s="359">
        <f t="shared" si="7363"/>
        <v>7.8545454545454557E-2</v>
      </c>
      <c r="AL1419" s="359">
        <f t="shared" si="7363"/>
        <v>7.8545454545454557E-2</v>
      </c>
      <c r="AM1419" s="359">
        <f t="shared" si="7363"/>
        <v>7.8545454545454557E-2</v>
      </c>
      <c r="AN1419" s="359">
        <f t="shared" si="7363"/>
        <v>7.8545454545454557E-2</v>
      </c>
      <c r="AO1419" s="359">
        <f t="shared" ref="AO1419:BR1419" si="7364">AO1418/AO1414</f>
        <v>7.8545454545454557E-2</v>
      </c>
      <c r="AP1419" s="359">
        <f t="shared" si="7364"/>
        <v>7.8545454545454557E-2</v>
      </c>
      <c r="AQ1419" s="359">
        <f t="shared" si="7364"/>
        <v>7.8545454545454557E-2</v>
      </c>
      <c r="AR1419" s="359">
        <f t="shared" si="7364"/>
        <v>7.8545454545454557E-2</v>
      </c>
      <c r="AS1419" s="359">
        <f t="shared" si="7364"/>
        <v>7.8545454545454557E-2</v>
      </c>
      <c r="AT1419" s="359">
        <f t="shared" si="7364"/>
        <v>7.8545454545454557E-2</v>
      </c>
      <c r="AU1419" s="359">
        <f t="shared" si="7364"/>
        <v>7.8545454545454557E-2</v>
      </c>
      <c r="AV1419" s="359">
        <f t="shared" si="7364"/>
        <v>7.8545454545454557E-2</v>
      </c>
      <c r="AW1419" s="359">
        <f t="shared" si="7364"/>
        <v>7.8545454545454557E-2</v>
      </c>
      <c r="AX1419" s="359">
        <f t="shared" si="7364"/>
        <v>7.8545454545454557E-2</v>
      </c>
      <c r="AY1419" s="359">
        <f t="shared" si="7364"/>
        <v>7.8545454545454557E-2</v>
      </c>
      <c r="AZ1419" s="359">
        <f t="shared" si="7364"/>
        <v>7.8545454545454557E-2</v>
      </c>
      <c r="BA1419" s="359">
        <f t="shared" si="7364"/>
        <v>7.8545454545454557E-2</v>
      </c>
      <c r="BB1419" s="359">
        <f t="shared" si="7364"/>
        <v>7.8545454545454557E-2</v>
      </c>
      <c r="BC1419" s="359">
        <f t="shared" si="7364"/>
        <v>7.8545454545454557E-2</v>
      </c>
      <c r="BD1419" s="359">
        <f t="shared" si="7364"/>
        <v>7.8545454545454557E-2</v>
      </c>
      <c r="BE1419" s="359">
        <f t="shared" si="7364"/>
        <v>7.8545454545454557E-2</v>
      </c>
      <c r="BF1419" s="359">
        <f t="shared" si="7364"/>
        <v>7.8545454545454557E-2</v>
      </c>
      <c r="BG1419" s="359">
        <f t="shared" si="7364"/>
        <v>7.8545454545454557E-2</v>
      </c>
      <c r="BH1419" s="359">
        <f t="shared" si="7364"/>
        <v>7.8545454545454557E-2</v>
      </c>
      <c r="BI1419" s="359">
        <f t="shared" si="7364"/>
        <v>7.8545454545454557E-2</v>
      </c>
      <c r="BJ1419" s="359">
        <f t="shared" si="7364"/>
        <v>7.8545454545454557E-2</v>
      </c>
      <c r="BK1419" s="359">
        <f t="shared" si="7364"/>
        <v>7.8545454545454557E-2</v>
      </c>
      <c r="BL1419" s="359">
        <f t="shared" si="7364"/>
        <v>7.8545454545454557E-2</v>
      </c>
      <c r="BM1419" s="359">
        <f t="shared" si="7364"/>
        <v>7.8545454545454557E-2</v>
      </c>
      <c r="BN1419" s="359">
        <f t="shared" si="7364"/>
        <v>7.8545454545454557E-2</v>
      </c>
      <c r="BO1419" s="359">
        <f t="shared" si="7364"/>
        <v>7.8545454545454557E-2</v>
      </c>
      <c r="BP1419" s="359">
        <f t="shared" si="7364"/>
        <v>7.8545454545454557E-2</v>
      </c>
      <c r="BQ1419" s="359">
        <f t="shared" si="7364"/>
        <v>7.8545454545454557E-2</v>
      </c>
      <c r="BR1419" s="359">
        <f t="shared" si="7364"/>
        <v>7.8545454545454557E-2</v>
      </c>
    </row>
    <row r="1420" spans="2:70" s="30" customFormat="1" outlineLevel="2">
      <c r="C1420" s="91" t="s">
        <v>90</v>
      </c>
      <c r="D1420" s="107" t="s">
        <v>58</v>
      </c>
      <c r="E1420" s="107"/>
      <c r="F1420" s="107"/>
      <c r="G1420" s="107"/>
      <c r="H1420" s="107"/>
      <c r="I1420" s="107"/>
      <c r="J1420" s="107"/>
      <c r="K1420" s="107"/>
      <c r="L1420" s="107"/>
      <c r="M1420" s="107"/>
      <c r="N1420" s="107"/>
      <c r="O1420" s="107"/>
      <c r="P1420" s="91"/>
      <c r="Q1420" s="91"/>
      <c r="R1420" s="91"/>
      <c r="S1420" s="91"/>
      <c r="T1420" s="91"/>
      <c r="U1420" s="91"/>
      <c r="V1420" s="91"/>
      <c r="W1420" s="731"/>
      <c r="X1420" s="91"/>
      <c r="Z1420" s="32"/>
      <c r="AA1420" s="347"/>
      <c r="AB1420" s="502"/>
      <c r="AC1420" s="390">
        <v>0.5</v>
      </c>
      <c r="AD1420" s="435">
        <v>0.5</v>
      </c>
      <c r="AE1420" s="171">
        <f>AC1420+AD1420</f>
        <v>1</v>
      </c>
      <c r="AF1420" s="390">
        <v>0.7</v>
      </c>
      <c r="AG1420" s="946">
        <v>0.5</v>
      </c>
      <c r="AH1420" s="347">
        <f>AF1420+AG1420</f>
        <v>1.2</v>
      </c>
      <c r="AI1420" s="435">
        <v>0</v>
      </c>
      <c r="AJ1420" s="435">
        <v>0</v>
      </c>
      <c r="AK1420" s="347">
        <f>AI1420+AJ1420</f>
        <v>0</v>
      </c>
      <c r="AL1420" s="435">
        <v>0</v>
      </c>
      <c r="AM1420" s="435">
        <v>0</v>
      </c>
      <c r="AN1420" s="347">
        <f>AL1420+AM1420</f>
        <v>0</v>
      </c>
      <c r="AO1420" s="435">
        <v>0</v>
      </c>
      <c r="AP1420" s="435">
        <v>0</v>
      </c>
      <c r="AQ1420" s="347">
        <f>AO1420+AP1420</f>
        <v>0</v>
      </c>
      <c r="AR1420" s="435">
        <v>0</v>
      </c>
      <c r="AS1420" s="435">
        <v>0</v>
      </c>
      <c r="AT1420" s="347">
        <f>AR1420+AS1420</f>
        <v>0</v>
      </c>
      <c r="AU1420" s="435">
        <v>0</v>
      </c>
      <c r="AV1420" s="435">
        <v>0</v>
      </c>
      <c r="AW1420" s="347">
        <f>AU1420+AV1420</f>
        <v>0</v>
      </c>
      <c r="AX1420" s="435">
        <v>0</v>
      </c>
      <c r="AY1420" s="435">
        <v>0</v>
      </c>
      <c r="AZ1420" s="347">
        <f>AX1420+AY1420</f>
        <v>0</v>
      </c>
      <c r="BA1420" s="435">
        <v>0</v>
      </c>
      <c r="BB1420" s="435">
        <v>0</v>
      </c>
      <c r="BC1420" s="347">
        <f>BA1420+BB1420</f>
        <v>0</v>
      </c>
      <c r="BD1420" s="435">
        <v>0</v>
      </c>
      <c r="BE1420" s="435">
        <v>0</v>
      </c>
      <c r="BF1420" s="347">
        <f>BD1420+BE1420</f>
        <v>0</v>
      </c>
      <c r="BG1420" s="435">
        <v>0</v>
      </c>
      <c r="BH1420" s="435">
        <v>0</v>
      </c>
      <c r="BI1420" s="347">
        <f>BG1420+BH1420</f>
        <v>0</v>
      </c>
      <c r="BJ1420" s="435">
        <v>0</v>
      </c>
      <c r="BK1420" s="435">
        <v>0</v>
      </c>
      <c r="BL1420" s="347">
        <f>BJ1420+BK1420</f>
        <v>0</v>
      </c>
      <c r="BM1420" s="435">
        <v>0</v>
      </c>
      <c r="BN1420" s="435">
        <v>0</v>
      </c>
      <c r="BO1420" s="347">
        <f>BM1420+BN1420</f>
        <v>0</v>
      </c>
      <c r="BP1420" s="435">
        <v>0</v>
      </c>
      <c r="BQ1420" s="435">
        <v>0</v>
      </c>
      <c r="BR1420" s="347">
        <f>BP1420+BQ1420</f>
        <v>0</v>
      </c>
    </row>
    <row r="1421" spans="2:70" s="30" customFormat="1" outlineLevel="2">
      <c r="C1421" s="91" t="s">
        <v>89</v>
      </c>
      <c r="D1421" s="107" t="s">
        <v>58</v>
      </c>
      <c r="E1421" s="107"/>
      <c r="F1421" s="107"/>
      <c r="G1421" s="107"/>
      <c r="H1421" s="107"/>
      <c r="I1421" s="107"/>
      <c r="J1421" s="107"/>
      <c r="K1421" s="107"/>
      <c r="L1421" s="107"/>
      <c r="M1421" s="107"/>
      <c r="N1421" s="107"/>
      <c r="O1421" s="107"/>
      <c r="P1421" s="91"/>
      <c r="Q1421" s="91"/>
      <c r="R1421" s="91"/>
      <c r="S1421" s="91"/>
      <c r="T1421" s="91"/>
      <c r="U1421" s="91"/>
      <c r="V1421" s="91"/>
      <c r="W1421" s="732">
        <f>W1422*W1414</f>
        <v>2.2000000000000002</v>
      </c>
      <c r="X1421" s="91"/>
      <c r="Z1421" s="41"/>
      <c r="AA1421" s="435">
        <v>0</v>
      </c>
      <c r="AB1421" s="171">
        <f>Z1421+AA1421</f>
        <v>0</v>
      </c>
      <c r="AC1421" s="376">
        <f>Z1421+AC1420</f>
        <v>0.5</v>
      </c>
      <c r="AD1421" s="42">
        <f>AA1421+AD1420</f>
        <v>0.5</v>
      </c>
      <c r="AE1421" s="171">
        <f>AC1421+AD1421</f>
        <v>1</v>
      </c>
      <c r="AF1421" s="376">
        <f>AC1421+AF1420</f>
        <v>1.2</v>
      </c>
      <c r="AG1421" s="1002">
        <f>AD1421+AG1420</f>
        <v>1</v>
      </c>
      <c r="AH1421" s="347">
        <f>AF1421+AG1421</f>
        <v>2.2000000000000002</v>
      </c>
      <c r="AI1421" s="42">
        <f>AF1421+AI1420</f>
        <v>1.2</v>
      </c>
      <c r="AJ1421" s="42">
        <f>AG1421+AJ1420</f>
        <v>1</v>
      </c>
      <c r="AK1421" s="347">
        <f>AI1421+AJ1421</f>
        <v>2.2000000000000002</v>
      </c>
      <c r="AL1421" s="42">
        <f>AI1421+AL1420</f>
        <v>1.2</v>
      </c>
      <c r="AM1421" s="42">
        <f>AJ1421+AM1420</f>
        <v>1</v>
      </c>
      <c r="AN1421" s="347">
        <f>AL1421+AM1421</f>
        <v>2.2000000000000002</v>
      </c>
      <c r="AO1421" s="42">
        <f>AL1421+AO1420</f>
        <v>1.2</v>
      </c>
      <c r="AP1421" s="42">
        <f>AM1421+AP1420</f>
        <v>1</v>
      </c>
      <c r="AQ1421" s="347">
        <f>AO1421+AP1421</f>
        <v>2.2000000000000002</v>
      </c>
      <c r="AR1421" s="42">
        <f>AO1421+AR1420</f>
        <v>1.2</v>
      </c>
      <c r="AS1421" s="42">
        <f>AP1421+AS1420</f>
        <v>1</v>
      </c>
      <c r="AT1421" s="347">
        <f>AR1421+AS1421</f>
        <v>2.2000000000000002</v>
      </c>
      <c r="AU1421" s="42">
        <f>AR1421+AU1420</f>
        <v>1.2</v>
      </c>
      <c r="AV1421" s="42">
        <f>AS1421+AV1420</f>
        <v>1</v>
      </c>
      <c r="AW1421" s="347">
        <f>AU1421+AV1421</f>
        <v>2.2000000000000002</v>
      </c>
      <c r="AX1421" s="42">
        <f>AU1421+AX1420</f>
        <v>1.2</v>
      </c>
      <c r="AY1421" s="42">
        <f>AV1421+AY1420</f>
        <v>1</v>
      </c>
      <c r="AZ1421" s="347">
        <f>AX1421+AY1421</f>
        <v>2.2000000000000002</v>
      </c>
      <c r="BA1421" s="42">
        <f>AX1421+BA1420</f>
        <v>1.2</v>
      </c>
      <c r="BB1421" s="42">
        <f>AY1421+BB1420</f>
        <v>1</v>
      </c>
      <c r="BC1421" s="347">
        <f>BA1421+BB1421</f>
        <v>2.2000000000000002</v>
      </c>
      <c r="BD1421" s="42">
        <f>BA1421+BD1420</f>
        <v>1.2</v>
      </c>
      <c r="BE1421" s="42">
        <f>BB1421+BE1420</f>
        <v>1</v>
      </c>
      <c r="BF1421" s="347">
        <f>BD1421+BE1421</f>
        <v>2.2000000000000002</v>
      </c>
      <c r="BG1421" s="42">
        <f>BD1421+BG1420</f>
        <v>1.2</v>
      </c>
      <c r="BH1421" s="42">
        <f>BE1421+BH1420</f>
        <v>1</v>
      </c>
      <c r="BI1421" s="347">
        <f>BG1421+BH1421</f>
        <v>2.2000000000000002</v>
      </c>
      <c r="BJ1421" s="42">
        <f>BG1421+BJ1420</f>
        <v>1.2</v>
      </c>
      <c r="BK1421" s="42">
        <f>BH1421+BK1420</f>
        <v>1</v>
      </c>
      <c r="BL1421" s="347">
        <f>BJ1421+BK1421</f>
        <v>2.2000000000000002</v>
      </c>
      <c r="BM1421" s="42">
        <f>BJ1421+BM1420</f>
        <v>1.2</v>
      </c>
      <c r="BN1421" s="42">
        <f>BK1421+BN1420</f>
        <v>1</v>
      </c>
      <c r="BO1421" s="347">
        <f>BM1421+BN1421</f>
        <v>2.2000000000000002</v>
      </c>
      <c r="BP1421" s="42">
        <f>BM1421+BP1420</f>
        <v>1.2</v>
      </c>
      <c r="BQ1421" s="42">
        <f>BN1421+BQ1420</f>
        <v>1</v>
      </c>
      <c r="BR1421" s="347">
        <f>BP1421+BQ1421</f>
        <v>2.2000000000000002</v>
      </c>
    </row>
    <row r="1422" spans="2:70" s="30" customFormat="1" outlineLevel="2">
      <c r="C1422" s="91" t="s">
        <v>264</v>
      </c>
      <c r="D1422" s="107" t="s">
        <v>66</v>
      </c>
      <c r="E1422" s="107"/>
      <c r="F1422" s="107"/>
      <c r="G1422" s="107"/>
      <c r="H1422" s="107"/>
      <c r="I1422" s="107"/>
      <c r="J1422" s="107"/>
      <c r="K1422" s="107"/>
      <c r="L1422" s="107"/>
      <c r="M1422" s="107"/>
      <c r="N1422" s="107"/>
      <c r="O1422" s="107"/>
      <c r="P1422" s="91"/>
      <c r="Q1422" s="91"/>
      <c r="R1422" s="91"/>
      <c r="S1422" s="91"/>
      <c r="T1422" s="91"/>
      <c r="U1422" s="91"/>
      <c r="V1422" s="91"/>
      <c r="W1422" s="733">
        <v>0.02</v>
      </c>
      <c r="X1422" s="91"/>
      <c r="Z1422" s="32"/>
      <c r="AA1422" s="32"/>
      <c r="AB1422" s="165"/>
      <c r="AC1422" s="170"/>
      <c r="AD1422" s="135"/>
      <c r="AE1422" s="847"/>
      <c r="AF1422" s="170"/>
      <c r="AG1422" s="1039"/>
      <c r="AH1422" s="136"/>
      <c r="AI1422" s="137"/>
      <c r="AJ1422" s="137"/>
      <c r="AL1422" s="137"/>
      <c r="AM1422" s="137"/>
      <c r="AO1422" s="137"/>
      <c r="AP1422" s="137"/>
      <c r="AR1422" s="137"/>
      <c r="AS1422" s="137"/>
      <c r="AU1422" s="137"/>
      <c r="AV1422" s="137"/>
      <c r="AX1422" s="137"/>
      <c r="AY1422" s="137"/>
      <c r="BA1422" s="137"/>
      <c r="BB1422" s="137"/>
      <c r="BD1422" s="137"/>
      <c r="BE1422" s="137"/>
      <c r="BG1422" s="137"/>
      <c r="BH1422" s="137"/>
      <c r="BJ1422" s="137"/>
      <c r="BK1422" s="137"/>
      <c r="BM1422" s="137"/>
      <c r="BN1422" s="137"/>
      <c r="BP1422" s="137"/>
      <c r="BQ1422" s="137"/>
    </row>
    <row r="1423" spans="2:70" s="30" customFormat="1" outlineLevel="2">
      <c r="C1423" s="91" t="s">
        <v>79</v>
      </c>
      <c r="D1423" s="107" t="s">
        <v>58</v>
      </c>
      <c r="E1423" s="107"/>
      <c r="F1423" s="107"/>
      <c r="G1423" s="107"/>
      <c r="H1423" s="107"/>
      <c r="I1423" s="107"/>
      <c r="J1423" s="107"/>
      <c r="K1423" s="107"/>
      <c r="L1423" s="107"/>
      <c r="M1423" s="107"/>
      <c r="N1423" s="107"/>
      <c r="O1423" s="107"/>
      <c r="P1423" s="91"/>
      <c r="Q1423" s="91"/>
      <c r="R1423" s="91"/>
      <c r="S1423" s="91"/>
      <c r="T1423" s="91"/>
      <c r="U1423" s="91"/>
      <c r="V1423" s="91"/>
      <c r="W1423" s="734">
        <f>W1424*W1412</f>
        <v>10.840000000000002</v>
      </c>
      <c r="X1423" s="91"/>
      <c r="Z1423" s="42"/>
      <c r="AA1423" s="42">
        <f>AA1418+AA1421</f>
        <v>1.4400000000000002</v>
      </c>
      <c r="AB1423" s="171">
        <f>Z1423+AA1423</f>
        <v>1.4400000000000002</v>
      </c>
      <c r="AC1423" s="172">
        <f>AC1421+AC1418</f>
        <v>4.82</v>
      </c>
      <c r="AD1423" s="39">
        <f>AD1421+AD1418</f>
        <v>4.82</v>
      </c>
      <c r="AE1423" s="172">
        <f>AC1423+AD1423</f>
        <v>9.64</v>
      </c>
      <c r="AF1423" s="172">
        <f>AF1421+AF1418</f>
        <v>5.5200000000000005</v>
      </c>
      <c r="AG1423" s="1016">
        <f>AG1421+AG1418</f>
        <v>5.32</v>
      </c>
      <c r="AH1423" s="39">
        <f>AF1423+AG1423</f>
        <v>10.84</v>
      </c>
      <c r="AI1423" s="39">
        <f>AI1421+AI1418</f>
        <v>5.5200000000000005</v>
      </c>
      <c r="AJ1423" s="39">
        <f>AJ1421+AJ1418</f>
        <v>5.32</v>
      </c>
      <c r="AK1423" s="39">
        <f>AI1423+AJ1423</f>
        <v>10.84</v>
      </c>
      <c r="AL1423" s="39">
        <f>AL1421+AL1418</f>
        <v>5.5200000000000005</v>
      </c>
      <c r="AM1423" s="39">
        <f>AM1421+AM1418</f>
        <v>5.32</v>
      </c>
      <c r="AN1423" s="39">
        <f>AL1423+AM1423</f>
        <v>10.84</v>
      </c>
      <c r="AO1423" s="39">
        <f>AO1421+AO1418</f>
        <v>5.5200000000000005</v>
      </c>
      <c r="AP1423" s="39">
        <f>AP1421+AP1418</f>
        <v>5.32</v>
      </c>
      <c r="AQ1423" s="39">
        <f>AO1423+AP1423</f>
        <v>10.84</v>
      </c>
      <c r="AR1423" s="39">
        <f>AR1421+AR1418</f>
        <v>5.5200000000000005</v>
      </c>
      <c r="AS1423" s="39">
        <f>AS1421+AS1418</f>
        <v>5.32</v>
      </c>
      <c r="AT1423" s="39">
        <f>AR1423+AS1423</f>
        <v>10.84</v>
      </c>
      <c r="AU1423" s="39">
        <f>AU1421+AU1418</f>
        <v>5.5200000000000005</v>
      </c>
      <c r="AV1423" s="39">
        <f>AV1421+AV1418</f>
        <v>5.32</v>
      </c>
      <c r="AW1423" s="39">
        <f>AU1423+AV1423</f>
        <v>10.84</v>
      </c>
      <c r="AX1423" s="39">
        <f>AX1421+AX1418</f>
        <v>5.5200000000000005</v>
      </c>
      <c r="AY1423" s="39">
        <f>AY1421+AY1418</f>
        <v>5.32</v>
      </c>
      <c r="AZ1423" s="39">
        <f>AX1423+AY1423</f>
        <v>10.84</v>
      </c>
      <c r="BA1423" s="39">
        <f>BA1421+BA1418</f>
        <v>5.5200000000000005</v>
      </c>
      <c r="BB1423" s="39">
        <f>BB1421+BB1418</f>
        <v>5.32</v>
      </c>
      <c r="BC1423" s="39">
        <f>BA1423+BB1423</f>
        <v>10.84</v>
      </c>
      <c r="BD1423" s="39">
        <f>BD1421+BD1418</f>
        <v>5.5200000000000005</v>
      </c>
      <c r="BE1423" s="39">
        <f>BE1421+BE1418</f>
        <v>5.32</v>
      </c>
      <c r="BF1423" s="39">
        <f>BD1423+BE1423</f>
        <v>10.84</v>
      </c>
      <c r="BG1423" s="39">
        <f>BG1421+BG1418</f>
        <v>5.5200000000000005</v>
      </c>
      <c r="BH1423" s="39">
        <f>BH1421+BH1418</f>
        <v>5.32</v>
      </c>
      <c r="BI1423" s="39">
        <f>BG1423+BH1423</f>
        <v>10.84</v>
      </c>
      <c r="BJ1423" s="39">
        <f>BJ1421+BJ1418</f>
        <v>5.5200000000000005</v>
      </c>
      <c r="BK1423" s="39">
        <f>BK1421+BK1418</f>
        <v>5.32</v>
      </c>
      <c r="BL1423" s="39">
        <f>BJ1423+BK1423</f>
        <v>10.84</v>
      </c>
      <c r="BM1423" s="39">
        <f>BM1421+BM1418</f>
        <v>5.5200000000000005</v>
      </c>
      <c r="BN1423" s="39">
        <f>BN1421+BN1418</f>
        <v>5.32</v>
      </c>
      <c r="BO1423" s="39">
        <f>BM1423+BN1423</f>
        <v>10.84</v>
      </c>
      <c r="BP1423" s="39">
        <f>BP1421+BP1418</f>
        <v>5.5200000000000005</v>
      </c>
      <c r="BQ1423" s="39">
        <f>BQ1421+BQ1418</f>
        <v>5.32</v>
      </c>
      <c r="BR1423" s="39">
        <f>BP1423+BQ1423</f>
        <v>10.84</v>
      </c>
    </row>
    <row r="1424" spans="2:70" s="30" customFormat="1" outlineLevel="2">
      <c r="C1424" s="91" t="s">
        <v>75</v>
      </c>
      <c r="D1424" s="107" t="s">
        <v>66</v>
      </c>
      <c r="E1424" s="107"/>
      <c r="F1424" s="107"/>
      <c r="G1424" s="107"/>
      <c r="H1424" s="107"/>
      <c r="I1424" s="107"/>
      <c r="J1424" s="107"/>
      <c r="K1424" s="107"/>
      <c r="L1424" s="107"/>
      <c r="M1424" s="107"/>
      <c r="N1424" s="107"/>
      <c r="O1424" s="107"/>
      <c r="P1424" s="91"/>
      <c r="Q1424" s="91"/>
      <c r="R1424" s="91"/>
      <c r="S1424" s="91"/>
      <c r="T1424" s="91"/>
      <c r="U1424" s="91"/>
      <c r="V1424" s="91"/>
      <c r="W1424" s="735">
        <v>0.2</v>
      </c>
      <c r="X1424" s="91"/>
      <c r="AB1424" s="162">
        <f>AB1423/$W$1412</f>
        <v>2.6568265682656828E-2</v>
      </c>
      <c r="AC1424" s="162">
        <f>AC1423/$W$1412*2</f>
        <v>0.17785977859778598</v>
      </c>
      <c r="AD1424" s="40">
        <f>AD1423/$W$1412*2</f>
        <v>0.17785977859778598</v>
      </c>
      <c r="AE1424" s="162">
        <f>AE1423/$W$1412</f>
        <v>0.17785977859778598</v>
      </c>
      <c r="AF1424" s="162">
        <f>AF1423/$W$1412*2</f>
        <v>0.20369003690036902</v>
      </c>
      <c r="AG1424" s="984">
        <f>AG1423/$W$1412*2</f>
        <v>0.196309963099631</v>
      </c>
      <c r="AH1424" s="40">
        <f>AH1423/$W$1412</f>
        <v>0.19999999999999998</v>
      </c>
      <c r="AI1424" s="40">
        <f>AI1423/$W$1412*2</f>
        <v>0.20369003690036902</v>
      </c>
      <c r="AJ1424" s="40">
        <f>AJ1423/$W$1412*2</f>
        <v>0.196309963099631</v>
      </c>
      <c r="AK1424" s="40">
        <f>AK1423/$W$1412</f>
        <v>0.19999999999999998</v>
      </c>
      <c r="AL1424" s="40">
        <f>AL1423/$W$1412*2</f>
        <v>0.20369003690036902</v>
      </c>
      <c r="AM1424" s="40">
        <f>AM1423/$W$1412*2</f>
        <v>0.196309963099631</v>
      </c>
      <c r="AN1424" s="40">
        <f>AN1423/$W$1412</f>
        <v>0.19999999999999998</v>
      </c>
      <c r="AO1424" s="40">
        <f>AO1423/$W$1412*2</f>
        <v>0.20369003690036902</v>
      </c>
      <c r="AP1424" s="40">
        <f>AP1423/$W$1412*2</f>
        <v>0.196309963099631</v>
      </c>
      <c r="AQ1424" s="40">
        <f>AQ1423/$W$1412</f>
        <v>0.19999999999999998</v>
      </c>
      <c r="AR1424" s="40">
        <f>AR1423/$W$1412*2</f>
        <v>0.20369003690036902</v>
      </c>
      <c r="AS1424" s="40">
        <f>AS1423/$W$1412*2</f>
        <v>0.196309963099631</v>
      </c>
      <c r="AT1424" s="40">
        <f>AT1423/$W$1412</f>
        <v>0.19999999999999998</v>
      </c>
      <c r="AU1424" s="40">
        <f>AU1423/$W$1412*2</f>
        <v>0.20369003690036902</v>
      </c>
      <c r="AV1424" s="40">
        <f>AV1423/$W$1412*2</f>
        <v>0.196309963099631</v>
      </c>
      <c r="AW1424" s="40">
        <f>AW1423/$W$1412</f>
        <v>0.19999999999999998</v>
      </c>
      <c r="AX1424" s="40">
        <f>AX1423/$W$1412*2</f>
        <v>0.20369003690036902</v>
      </c>
      <c r="AY1424" s="40">
        <f>AY1423/$W$1412*2</f>
        <v>0.196309963099631</v>
      </c>
      <c r="AZ1424" s="40">
        <f>AZ1423/$W$1412</f>
        <v>0.19999999999999998</v>
      </c>
      <c r="BA1424" s="40">
        <f>BA1423/$W$1412*2</f>
        <v>0.20369003690036902</v>
      </c>
      <c r="BB1424" s="40">
        <f>BB1423/$W$1412*2</f>
        <v>0.196309963099631</v>
      </c>
      <c r="BC1424" s="40">
        <f>BC1423/$W$1412</f>
        <v>0.19999999999999998</v>
      </c>
      <c r="BD1424" s="40">
        <f>BD1423/$W$1412*2</f>
        <v>0.20369003690036902</v>
      </c>
      <c r="BE1424" s="40">
        <f>BE1423/$W$1412*2</f>
        <v>0.196309963099631</v>
      </c>
      <c r="BF1424" s="40">
        <f>BF1423/$W$1412</f>
        <v>0.19999999999999998</v>
      </c>
      <c r="BG1424" s="40">
        <f>BG1423/$W$1412*2</f>
        <v>0.20369003690036902</v>
      </c>
      <c r="BH1424" s="40">
        <f>BH1423/$W$1412*2</f>
        <v>0.196309963099631</v>
      </c>
      <c r="BI1424" s="40">
        <f>BI1423/$W$1412</f>
        <v>0.19999999999999998</v>
      </c>
      <c r="BJ1424" s="40">
        <f>BJ1423/$W$1412*2</f>
        <v>0.20369003690036902</v>
      </c>
      <c r="BK1424" s="40">
        <f>BK1423/$W$1412*2</f>
        <v>0.196309963099631</v>
      </c>
      <c r="BL1424" s="40">
        <f>BL1423/$W$1412</f>
        <v>0.19999999999999998</v>
      </c>
      <c r="BM1424" s="40">
        <f>BM1423/$W$1412*2</f>
        <v>0.20369003690036902</v>
      </c>
      <c r="BN1424" s="40">
        <f>BN1423/$W$1412*2</f>
        <v>0.196309963099631</v>
      </c>
      <c r="BO1424" s="40">
        <f>BO1423/$W$1412</f>
        <v>0.19999999999999998</v>
      </c>
      <c r="BP1424" s="40">
        <f>BP1423/$W$1412*2</f>
        <v>0.20369003690036902</v>
      </c>
      <c r="BQ1424" s="40">
        <f>BQ1423/$W$1412*2</f>
        <v>0.196309963099631</v>
      </c>
      <c r="BR1424" s="40">
        <f>BR1423/$W$1412</f>
        <v>0.19999999999999998</v>
      </c>
    </row>
    <row r="1425" spans="2:70" s="30" customFormat="1" outlineLevel="2">
      <c r="D1425" s="31"/>
      <c r="E1425" s="31"/>
      <c r="F1425" s="31"/>
      <c r="G1425" s="31"/>
      <c r="H1425" s="31"/>
      <c r="I1425" s="31"/>
      <c r="J1425" s="31"/>
      <c r="K1425" s="31"/>
      <c r="L1425" s="31"/>
      <c r="M1425" s="31"/>
      <c r="N1425" s="31"/>
      <c r="O1425" s="31"/>
      <c r="Z1425" s="43"/>
      <c r="AE1425" s="162"/>
      <c r="AF1425" s="162"/>
      <c r="AG1425" s="984"/>
      <c r="AH1425" s="40"/>
      <c r="AI1425" s="40"/>
      <c r="AJ1425" s="40"/>
      <c r="AK1425" s="40"/>
      <c r="AL1425" s="40"/>
      <c r="AM1425" s="40"/>
      <c r="AN1425" s="40"/>
      <c r="AO1425" s="40"/>
      <c r="AP1425" s="40"/>
      <c r="AQ1425" s="40"/>
      <c r="AR1425" s="40"/>
      <c r="AS1425" s="40"/>
      <c r="AT1425" s="40"/>
      <c r="AU1425" s="40"/>
      <c r="AV1425" s="40"/>
      <c r="AW1425" s="40"/>
      <c r="AX1425" s="40"/>
      <c r="AY1425" s="40"/>
      <c r="AZ1425" s="40"/>
      <c r="BA1425" s="40"/>
      <c r="BB1425" s="40"/>
      <c r="BC1425" s="40"/>
      <c r="BD1425" s="40"/>
      <c r="BE1425" s="40"/>
      <c r="BF1425" s="40"/>
      <c r="BG1425" s="40"/>
      <c r="BH1425" s="40"/>
      <c r="BI1425" s="40"/>
      <c r="BJ1425" s="40"/>
      <c r="BK1425" s="40"/>
      <c r="BL1425" s="40"/>
      <c r="BM1425" s="40"/>
      <c r="BN1425" s="40"/>
      <c r="BO1425" s="40"/>
      <c r="BP1425" s="40"/>
      <c r="BQ1425" s="40"/>
      <c r="BR1425" s="40"/>
    </row>
    <row r="1426" spans="2:70" outlineLevel="2">
      <c r="B1426" s="5"/>
      <c r="C1426" s="642" t="s">
        <v>267</v>
      </c>
      <c r="D1426" s="633" t="s">
        <v>58</v>
      </c>
      <c r="E1426" s="634"/>
      <c r="F1426" s="634"/>
      <c r="G1426" s="634"/>
      <c r="H1426" s="634"/>
      <c r="I1426" s="634"/>
      <c r="J1426" s="634"/>
      <c r="K1426" s="634"/>
      <c r="L1426" s="634"/>
      <c r="M1426" s="634"/>
      <c r="N1426" s="634"/>
      <c r="O1426" s="634"/>
      <c r="P1426" s="635"/>
      <c r="Q1426" s="635"/>
      <c r="R1426" s="635"/>
      <c r="S1426" s="635"/>
      <c r="T1426" s="635"/>
      <c r="U1426" s="635"/>
      <c r="V1426" s="635"/>
      <c r="W1426" s="635"/>
      <c r="X1426" s="635"/>
      <c r="Y1426" s="635"/>
      <c r="Z1426" s="635"/>
      <c r="AA1426" s="739">
        <f>(AA1414-X1414)</f>
        <v>18.333333333333332</v>
      </c>
      <c r="AB1426" s="739">
        <f>Z1426+AA1426</f>
        <v>18.333333333333332</v>
      </c>
      <c r="AC1426" s="739">
        <f>(AC1414-Z1414)</f>
        <v>55</v>
      </c>
      <c r="AD1426" s="637">
        <f>(AD1414-AA1414)</f>
        <v>36.666666666666671</v>
      </c>
      <c r="AE1426" s="637">
        <f>AC1426+AD1426</f>
        <v>91.666666666666671</v>
      </c>
      <c r="AF1426" s="739">
        <f>(AF1414-AC1414)</f>
        <v>0</v>
      </c>
      <c r="AG1426" s="1061">
        <f>(AG1414-AD1414)</f>
        <v>0</v>
      </c>
      <c r="AH1426" s="637">
        <f>AF1426+AG1426</f>
        <v>0</v>
      </c>
      <c r="AI1426" s="637">
        <f>(AI1414-AF1414)</f>
        <v>0</v>
      </c>
      <c r="AJ1426" s="637">
        <f>(AJ1414-AG1414)</f>
        <v>0</v>
      </c>
      <c r="AK1426" s="637">
        <f>AI1426+AJ1426</f>
        <v>0</v>
      </c>
      <c r="AL1426" s="637">
        <f>(AL1414-AI1414)</f>
        <v>0</v>
      </c>
      <c r="AM1426" s="637">
        <f>(AM1414-AJ1414)</f>
        <v>0</v>
      </c>
      <c r="AN1426" s="637">
        <f>AL1426+AM1426</f>
        <v>0</v>
      </c>
      <c r="AO1426" s="637">
        <f>(AO1414-AL1414)</f>
        <v>0</v>
      </c>
      <c r="AP1426" s="637">
        <f>(AP1414-AM1414)</f>
        <v>0</v>
      </c>
      <c r="AQ1426" s="637">
        <f>AO1426+AP1426</f>
        <v>0</v>
      </c>
      <c r="AR1426" s="637">
        <f>(AR1414-AO1414)</f>
        <v>0</v>
      </c>
      <c r="AS1426" s="637">
        <f>(AS1414-AP1414)</f>
        <v>0</v>
      </c>
      <c r="AT1426" s="637">
        <f>AR1426+AS1426</f>
        <v>0</v>
      </c>
      <c r="AU1426" s="637">
        <f>(AU1414-AR1414)</f>
        <v>0</v>
      </c>
      <c r="AV1426" s="637">
        <f>(AV1414-AS1414)</f>
        <v>0</v>
      </c>
      <c r="AW1426" s="637">
        <f>AU1426+AV1426</f>
        <v>0</v>
      </c>
      <c r="AX1426" s="637">
        <f>(AX1414-AU1414)</f>
        <v>0</v>
      </c>
      <c r="AY1426" s="637">
        <f>(AY1414-AV1414)</f>
        <v>0</v>
      </c>
      <c r="AZ1426" s="637">
        <f>AX1426+AY1426</f>
        <v>0</v>
      </c>
      <c r="BA1426" s="637">
        <f>(BA1414-AX1414)</f>
        <v>0</v>
      </c>
      <c r="BB1426" s="637">
        <f>(BB1414-AY1414)</f>
        <v>0</v>
      </c>
      <c r="BC1426" s="637">
        <f>BA1426+BB1426</f>
        <v>0</v>
      </c>
      <c r="BD1426" s="637">
        <f>(BD1414-BA1414)</f>
        <v>0</v>
      </c>
      <c r="BE1426" s="637">
        <f>(BE1414-BB1414)</f>
        <v>0</v>
      </c>
      <c r="BF1426" s="637">
        <f>BD1426+BE1426</f>
        <v>0</v>
      </c>
      <c r="BG1426" s="637">
        <f>(BG1414-BD1414)</f>
        <v>0</v>
      </c>
      <c r="BH1426" s="637">
        <f>(BH1414-BE1414)</f>
        <v>0</v>
      </c>
      <c r="BI1426" s="637">
        <f>BG1426+BH1426</f>
        <v>0</v>
      </c>
      <c r="BJ1426" s="637">
        <f>(BJ1414-BG1414)</f>
        <v>0</v>
      </c>
      <c r="BK1426" s="637">
        <f>(BK1414-BH1414)</f>
        <v>0</v>
      </c>
      <c r="BL1426" s="637">
        <f>BJ1426+BK1426</f>
        <v>0</v>
      </c>
      <c r="BM1426" s="637">
        <f>(BM1414-BJ1414)</f>
        <v>0</v>
      </c>
      <c r="BN1426" s="637">
        <f>(BN1414-BK1414)</f>
        <v>0</v>
      </c>
      <c r="BO1426" s="637">
        <f>BM1426+BN1426</f>
        <v>0</v>
      </c>
      <c r="BP1426" s="637">
        <f>(BP1414-BM1414)</f>
        <v>0</v>
      </c>
      <c r="BQ1426" s="637">
        <f>(BQ1414-BN1414)</f>
        <v>0</v>
      </c>
      <c r="BR1426" s="638">
        <f>BP1426+BQ1426</f>
        <v>0</v>
      </c>
    </row>
    <row r="1427" spans="2:70" outlineLevel="2">
      <c r="B1427" s="5"/>
      <c r="C1427" s="643" t="s">
        <v>268</v>
      </c>
      <c r="D1427" s="632" t="s">
        <v>58</v>
      </c>
      <c r="E1427" s="401"/>
      <c r="F1427" s="401"/>
      <c r="G1427" s="401"/>
      <c r="H1427" s="401"/>
      <c r="I1427" s="401"/>
      <c r="J1427" s="401"/>
      <c r="K1427" s="401"/>
      <c r="L1427" s="401"/>
      <c r="M1427" s="401"/>
      <c r="N1427" s="401"/>
      <c r="O1427" s="401"/>
      <c r="P1427" s="130"/>
      <c r="Q1427" s="130"/>
      <c r="R1427" s="130"/>
      <c r="S1427" s="130"/>
      <c r="T1427" s="130"/>
      <c r="U1427" s="130"/>
      <c r="V1427" s="130"/>
      <c r="W1427" s="130"/>
      <c r="X1427" s="130"/>
      <c r="Y1427" s="130"/>
      <c r="Z1427" s="130"/>
      <c r="AA1427" s="348">
        <f>(AA1417-X1417)</f>
        <v>-8.3333333333333329E-2</v>
      </c>
      <c r="AB1427" s="348">
        <f>Z1427+AA1427</f>
        <v>-8.3333333333333329E-2</v>
      </c>
      <c r="AC1427" s="348">
        <f>(AC1417-Z1417)</f>
        <v>-0.25</v>
      </c>
      <c r="AD1427" s="171">
        <f>(AD1417-Z1417)</f>
        <v>-0.25</v>
      </c>
      <c r="AE1427" s="171">
        <f>AC1427+AD1427</f>
        <v>-0.5</v>
      </c>
      <c r="AF1427" s="348">
        <f>(AF1417-AC1417)</f>
        <v>0</v>
      </c>
      <c r="AG1427" s="937">
        <f>(AG1417-AC1417)</f>
        <v>0</v>
      </c>
      <c r="AH1427" s="171">
        <f>AF1427+AG1427</f>
        <v>0</v>
      </c>
      <c r="AI1427" s="171">
        <f>(AI1417-AF1417)</f>
        <v>0</v>
      </c>
      <c r="AJ1427" s="171">
        <f>(AJ1417-AF1417)</f>
        <v>0</v>
      </c>
      <c r="AK1427" s="171">
        <f>AI1427+AJ1427</f>
        <v>0</v>
      </c>
      <c r="AL1427" s="171">
        <f>(AL1417-AI1417)</f>
        <v>0</v>
      </c>
      <c r="AM1427" s="171">
        <f>(AM1417-AI1417)</f>
        <v>0</v>
      </c>
      <c r="AN1427" s="171">
        <f>AL1427+AM1427</f>
        <v>0</v>
      </c>
      <c r="AO1427" s="171">
        <f>(AO1417-AL1417)</f>
        <v>0</v>
      </c>
      <c r="AP1427" s="171">
        <f>(AP1417-AL1417)</f>
        <v>0</v>
      </c>
      <c r="AQ1427" s="171">
        <f>AO1427+AP1427</f>
        <v>0</v>
      </c>
      <c r="AR1427" s="171">
        <f>(AR1417-AO1417)</f>
        <v>0</v>
      </c>
      <c r="AS1427" s="171">
        <f>(AS1417-AO1417)</f>
        <v>0</v>
      </c>
      <c r="AT1427" s="171">
        <f>AR1427+AS1427</f>
        <v>0</v>
      </c>
      <c r="AU1427" s="171">
        <f>(AU1417-AR1417)</f>
        <v>0</v>
      </c>
      <c r="AV1427" s="171">
        <f>(AV1417-AR1417)</f>
        <v>0</v>
      </c>
      <c r="AW1427" s="171">
        <f>AU1427+AV1427</f>
        <v>0</v>
      </c>
      <c r="AX1427" s="171">
        <f>(AX1417-AU1417)</f>
        <v>0</v>
      </c>
      <c r="AY1427" s="171">
        <f>(AY1417-AU1417)</f>
        <v>0</v>
      </c>
      <c r="AZ1427" s="171">
        <f>AX1427+AY1427</f>
        <v>0</v>
      </c>
      <c r="BA1427" s="171">
        <f>(BA1417-AX1417)</f>
        <v>0</v>
      </c>
      <c r="BB1427" s="171">
        <f>(BB1417-AX1417)</f>
        <v>0</v>
      </c>
      <c r="BC1427" s="171">
        <f>BA1427+BB1427</f>
        <v>0</v>
      </c>
      <c r="BD1427" s="171">
        <f>(BD1417-BA1417)</f>
        <v>0</v>
      </c>
      <c r="BE1427" s="171">
        <f>(BE1417-BA1417)</f>
        <v>0</v>
      </c>
      <c r="BF1427" s="171">
        <f>BD1427+BE1427</f>
        <v>0</v>
      </c>
      <c r="BG1427" s="171">
        <f>(BG1417-BD1417)</f>
        <v>0</v>
      </c>
      <c r="BH1427" s="171">
        <f>(BH1417-BD1417)</f>
        <v>0</v>
      </c>
      <c r="BI1427" s="171">
        <f>BG1427+BH1427</f>
        <v>0</v>
      </c>
      <c r="BJ1427" s="171">
        <f>(BJ1417-BG1417)</f>
        <v>0</v>
      </c>
      <c r="BK1427" s="171">
        <f>(BK1417-BG1417)</f>
        <v>0</v>
      </c>
      <c r="BL1427" s="171">
        <f>BJ1427+BK1427</f>
        <v>0</v>
      </c>
      <c r="BM1427" s="171">
        <f>(BM1417-BJ1417)</f>
        <v>0</v>
      </c>
      <c r="BN1427" s="171">
        <f>(BN1417-BJ1417)</f>
        <v>0</v>
      </c>
      <c r="BO1427" s="171">
        <f>BM1427+BN1427</f>
        <v>0</v>
      </c>
      <c r="BP1427" s="171">
        <f>(BP1417-BM1417)</f>
        <v>0</v>
      </c>
      <c r="BQ1427" s="171">
        <f>(BQ1417-BM1417)</f>
        <v>0</v>
      </c>
      <c r="BR1427" s="639">
        <f>BP1427+BQ1427</f>
        <v>0</v>
      </c>
    </row>
    <row r="1428" spans="2:70" outlineLevel="2">
      <c r="B1428" s="5"/>
      <c r="C1428" s="644" t="s">
        <v>269</v>
      </c>
      <c r="D1428" s="636" t="s">
        <v>58</v>
      </c>
      <c r="E1428" s="554"/>
      <c r="F1428" s="554"/>
      <c r="G1428" s="554"/>
      <c r="H1428" s="554"/>
      <c r="I1428" s="554"/>
      <c r="J1428" s="554"/>
      <c r="K1428" s="554"/>
      <c r="L1428" s="554"/>
      <c r="M1428" s="554"/>
      <c r="N1428" s="554"/>
      <c r="O1428" s="554"/>
      <c r="P1428" s="555"/>
      <c r="Q1428" s="555"/>
      <c r="R1428" s="555"/>
      <c r="S1428" s="555"/>
      <c r="T1428" s="555"/>
      <c r="U1428" s="555"/>
      <c r="V1428" s="555"/>
      <c r="W1428" s="555"/>
      <c r="X1428" s="555"/>
      <c r="Y1428" s="555"/>
      <c r="Z1428" s="555"/>
      <c r="AA1428" s="740">
        <f>(AA1423-X1423)</f>
        <v>1.4400000000000002</v>
      </c>
      <c r="AB1428" s="740">
        <f>Z1428+AA1428</f>
        <v>1.4400000000000002</v>
      </c>
      <c r="AC1428" s="740">
        <f>(AC1423-Z1423)</f>
        <v>4.82</v>
      </c>
      <c r="AD1428" s="640">
        <f>(AD1423-Z1423)</f>
        <v>4.82</v>
      </c>
      <c r="AE1428" s="640">
        <f>AC1428+AD1428</f>
        <v>9.64</v>
      </c>
      <c r="AF1428" s="740">
        <f>(AF1423-AC1423)</f>
        <v>0.70000000000000018</v>
      </c>
      <c r="AG1428" s="1062">
        <f>(AG1423-AC1423)</f>
        <v>0.5</v>
      </c>
      <c r="AH1428" s="640">
        <f>AF1428+AG1428</f>
        <v>1.2000000000000002</v>
      </c>
      <c r="AI1428" s="640">
        <f>(AI1423-AF1423)</f>
        <v>0</v>
      </c>
      <c r="AJ1428" s="640">
        <f>(AJ1423-AF1423)</f>
        <v>-0.20000000000000018</v>
      </c>
      <c r="AK1428" s="640">
        <f>AI1428+AJ1428</f>
        <v>-0.20000000000000018</v>
      </c>
      <c r="AL1428" s="640">
        <f>(AL1423-AI1423)</f>
        <v>0</v>
      </c>
      <c r="AM1428" s="640">
        <f>(AM1423-AI1423)</f>
        <v>-0.20000000000000018</v>
      </c>
      <c r="AN1428" s="640">
        <f>AL1428+AM1428</f>
        <v>-0.20000000000000018</v>
      </c>
      <c r="AO1428" s="640">
        <f>(AO1423-AL1423)</f>
        <v>0</v>
      </c>
      <c r="AP1428" s="640">
        <f>(AP1423-AL1423)</f>
        <v>-0.20000000000000018</v>
      </c>
      <c r="AQ1428" s="640">
        <f>AO1428+AP1428</f>
        <v>-0.20000000000000018</v>
      </c>
      <c r="AR1428" s="640">
        <f>(AR1423-AO1423)</f>
        <v>0</v>
      </c>
      <c r="AS1428" s="640">
        <f>(AS1423-AO1423)</f>
        <v>-0.20000000000000018</v>
      </c>
      <c r="AT1428" s="640">
        <f>AR1428+AS1428</f>
        <v>-0.20000000000000018</v>
      </c>
      <c r="AU1428" s="640">
        <f>(AU1423-AR1423)</f>
        <v>0</v>
      </c>
      <c r="AV1428" s="640">
        <f>(AV1423-AR1423)</f>
        <v>-0.20000000000000018</v>
      </c>
      <c r="AW1428" s="640">
        <f>AU1428+AV1428</f>
        <v>-0.20000000000000018</v>
      </c>
      <c r="AX1428" s="640">
        <f>(AX1423-AU1423)</f>
        <v>0</v>
      </c>
      <c r="AY1428" s="640">
        <f>(AY1423-AU1423)</f>
        <v>-0.20000000000000018</v>
      </c>
      <c r="AZ1428" s="640">
        <f>AX1428+AY1428</f>
        <v>-0.20000000000000018</v>
      </c>
      <c r="BA1428" s="640">
        <f>(BA1423-AX1423)</f>
        <v>0</v>
      </c>
      <c r="BB1428" s="640">
        <f>(BB1423-AX1423)</f>
        <v>-0.20000000000000018</v>
      </c>
      <c r="BC1428" s="640">
        <f>BA1428+BB1428</f>
        <v>-0.20000000000000018</v>
      </c>
      <c r="BD1428" s="640">
        <f>(BD1423-BA1423)</f>
        <v>0</v>
      </c>
      <c r="BE1428" s="640">
        <f>(BE1423-BA1423)</f>
        <v>-0.20000000000000018</v>
      </c>
      <c r="BF1428" s="640">
        <f>BD1428+BE1428</f>
        <v>-0.20000000000000018</v>
      </c>
      <c r="BG1428" s="640">
        <f>(BG1423-BD1423)</f>
        <v>0</v>
      </c>
      <c r="BH1428" s="640">
        <f>(BH1423-BD1423)</f>
        <v>-0.20000000000000018</v>
      </c>
      <c r="BI1428" s="640">
        <f>BG1428+BH1428</f>
        <v>-0.20000000000000018</v>
      </c>
      <c r="BJ1428" s="640">
        <f>(BJ1423-BG1423)</f>
        <v>0</v>
      </c>
      <c r="BK1428" s="640">
        <f>(BK1423-BG1423)</f>
        <v>-0.20000000000000018</v>
      </c>
      <c r="BL1428" s="640">
        <f>BJ1428+BK1428</f>
        <v>-0.20000000000000018</v>
      </c>
      <c r="BM1428" s="640">
        <f>(BM1423-BJ1423)</f>
        <v>0</v>
      </c>
      <c r="BN1428" s="640">
        <f>(BN1423-BJ1423)</f>
        <v>-0.20000000000000018</v>
      </c>
      <c r="BO1428" s="640">
        <f>BM1428+BN1428</f>
        <v>-0.20000000000000018</v>
      </c>
      <c r="BP1428" s="640">
        <f>(BP1423-BM1423)</f>
        <v>0</v>
      </c>
      <c r="BQ1428" s="640">
        <f>(BQ1423-BM1423)</f>
        <v>-0.20000000000000018</v>
      </c>
      <c r="BR1428" s="641">
        <f>BP1428+BQ1428</f>
        <v>-0.20000000000000018</v>
      </c>
    </row>
    <row r="1429" spans="2:70" outlineLevel="2">
      <c r="B1429" s="584"/>
    </row>
    <row r="1430" spans="2:70" outlineLevel="2">
      <c r="B1430" s="5"/>
      <c r="C1430" s="8" t="s">
        <v>557</v>
      </c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AF1430" s="26"/>
      <c r="AG1430" s="933"/>
      <c r="AH1430" s="18"/>
      <c r="AI1430" s="18"/>
      <c r="AJ1430" s="18"/>
      <c r="AK1430" s="18"/>
      <c r="AL1430" s="18"/>
      <c r="AM1430" s="18"/>
      <c r="AN1430" s="18"/>
      <c r="AO1430" s="18"/>
      <c r="AP1430" s="18"/>
      <c r="AQ1430" s="18"/>
      <c r="AR1430" s="18"/>
      <c r="AS1430" s="18"/>
      <c r="AT1430" s="18"/>
      <c r="AU1430" s="18"/>
      <c r="AV1430" s="18"/>
      <c r="AW1430" s="18"/>
      <c r="AX1430" s="18"/>
      <c r="AY1430" s="18"/>
      <c r="AZ1430" s="18"/>
      <c r="BA1430" s="18"/>
      <c r="BB1430" s="18"/>
      <c r="BC1430" s="18"/>
      <c r="BD1430" s="18"/>
      <c r="BE1430" s="18"/>
      <c r="BF1430" s="18"/>
      <c r="BG1430" s="18"/>
      <c r="BH1430" s="18"/>
      <c r="BI1430" s="18"/>
      <c r="BJ1430" s="18"/>
      <c r="BK1430" s="18"/>
      <c r="BL1430" s="18"/>
      <c r="BM1430" s="18"/>
      <c r="BN1430" s="18"/>
      <c r="BO1430" s="18"/>
      <c r="BP1430" s="18"/>
      <c r="BQ1430" s="18"/>
      <c r="BR1430" s="18"/>
    </row>
    <row r="1431" spans="2:70" outlineLevel="2">
      <c r="B1431" s="5"/>
      <c r="C1431" s="6" t="s">
        <v>266</v>
      </c>
      <c r="D1431" s="31"/>
      <c r="E1431" s="7"/>
      <c r="F1431" s="7"/>
      <c r="G1431" s="786" t="s">
        <v>679</v>
      </c>
      <c r="H1431" s="7"/>
      <c r="I1431" s="7"/>
      <c r="AF1431" s="26"/>
      <c r="AG1431" s="933"/>
      <c r="AH1431" s="18"/>
      <c r="AI1431" s="18"/>
      <c r="AJ1431" s="18"/>
      <c r="AK1431" s="18"/>
      <c r="AL1431" s="18"/>
      <c r="AM1431" s="18"/>
      <c r="AN1431" s="18"/>
      <c r="AO1431" s="18"/>
      <c r="AP1431" s="18"/>
      <c r="AQ1431" s="18"/>
      <c r="AR1431" s="18"/>
      <c r="AS1431" s="18"/>
      <c r="AT1431" s="18"/>
      <c r="AU1431" s="18"/>
      <c r="AV1431" s="18"/>
      <c r="AW1431" s="18"/>
      <c r="AX1431" s="18"/>
      <c r="AY1431" s="18"/>
      <c r="AZ1431" s="18"/>
      <c r="BA1431" s="18"/>
      <c r="BB1431" s="18"/>
      <c r="BC1431" s="18"/>
      <c r="BD1431" s="18"/>
      <c r="BE1431" s="18"/>
      <c r="BF1431" s="18"/>
      <c r="BG1431" s="18"/>
      <c r="BH1431" s="18"/>
      <c r="BI1431" s="18"/>
      <c r="BJ1431" s="18"/>
      <c r="BK1431" s="18"/>
      <c r="BL1431" s="18"/>
      <c r="BM1431" s="18"/>
      <c r="BN1431" s="18"/>
      <c r="BO1431" s="18"/>
      <c r="BP1431" s="18"/>
      <c r="BQ1431" s="18"/>
      <c r="BR1431" s="18"/>
    </row>
    <row r="1432" spans="2:70" outlineLevel="2">
      <c r="B1432" s="5"/>
      <c r="C1432" s="6" t="s">
        <v>262</v>
      </c>
      <c r="D1432" s="74"/>
      <c r="E1432" s="7"/>
      <c r="F1432" s="7"/>
      <c r="G1432" s="702">
        <v>40393</v>
      </c>
      <c r="H1432" s="7"/>
      <c r="I1432" s="7"/>
      <c r="AF1432" s="26"/>
      <c r="AG1432" s="933"/>
      <c r="AH1432" s="18"/>
      <c r="AI1432" s="18"/>
      <c r="AJ1432" s="18"/>
      <c r="AK1432" s="18"/>
      <c r="AL1432" s="18"/>
      <c r="AM1432" s="18"/>
      <c r="AN1432" s="18"/>
      <c r="AO1432" s="18"/>
      <c r="AP1432" s="18"/>
      <c r="AQ1432" s="18"/>
      <c r="AR1432" s="18"/>
      <c r="AS1432" s="18"/>
      <c r="AT1432" s="18"/>
      <c r="AU1432" s="18"/>
      <c r="AV1432" s="18"/>
      <c r="AW1432" s="18"/>
      <c r="AX1432" s="18"/>
      <c r="AY1432" s="18"/>
      <c r="AZ1432" s="18"/>
      <c r="BA1432" s="18"/>
      <c r="BB1432" s="18"/>
      <c r="BC1432" s="18"/>
      <c r="BD1432" s="18"/>
      <c r="BE1432" s="18"/>
      <c r="BF1432" s="18"/>
      <c r="BG1432" s="18"/>
      <c r="BH1432" s="18"/>
      <c r="BI1432" s="18"/>
      <c r="BJ1432" s="18"/>
      <c r="BK1432" s="18"/>
      <c r="BL1432" s="18"/>
      <c r="BM1432" s="18"/>
      <c r="BN1432" s="18"/>
      <c r="BO1432" s="18"/>
      <c r="BP1432" s="18"/>
      <c r="BQ1432" s="18"/>
      <c r="BR1432" s="18"/>
    </row>
    <row r="1433" spans="2:70" outlineLevel="2">
      <c r="B1433" s="5"/>
      <c r="C1433" s="30" t="s">
        <v>72</v>
      </c>
      <c r="D1433" s="31" t="s">
        <v>58</v>
      </c>
      <c r="E1433" s="7"/>
      <c r="F1433" s="7"/>
      <c r="G1433" s="703">
        <v>280</v>
      </c>
      <c r="H1433" s="7"/>
      <c r="I1433" s="7"/>
      <c r="AF1433" s="26"/>
      <c r="AG1433" s="933"/>
      <c r="AH1433" s="18"/>
      <c r="AI1433" s="18"/>
      <c r="AJ1433" s="18"/>
      <c r="AK1433" s="18"/>
      <c r="AL1433" s="18"/>
      <c r="AM1433" s="18"/>
      <c r="AN1433" s="18"/>
      <c r="AO1433" s="18"/>
      <c r="AP1433" s="18"/>
      <c r="AQ1433" s="18"/>
      <c r="AR1433" s="18"/>
      <c r="AS1433" s="18"/>
      <c r="AT1433" s="18"/>
      <c r="AU1433" s="18"/>
      <c r="AV1433" s="18"/>
      <c r="AW1433" s="18"/>
      <c r="AX1433" s="18"/>
      <c r="AY1433" s="18"/>
      <c r="AZ1433" s="18"/>
      <c r="BA1433" s="18"/>
      <c r="BB1433" s="18"/>
      <c r="BC1433" s="18"/>
      <c r="BD1433" s="18"/>
      <c r="BE1433" s="18"/>
      <c r="BF1433" s="18"/>
      <c r="BG1433" s="18"/>
      <c r="BH1433" s="18"/>
      <c r="BI1433" s="18"/>
      <c r="BJ1433" s="18"/>
      <c r="BK1433" s="18"/>
      <c r="BL1433" s="18"/>
      <c r="BM1433" s="18"/>
      <c r="BN1433" s="18"/>
      <c r="BO1433" s="18"/>
      <c r="BP1433" s="18"/>
      <c r="BQ1433" s="18"/>
      <c r="BR1433" s="18"/>
    </row>
    <row r="1434" spans="2:70" outlineLevel="2">
      <c r="B1434" s="5"/>
      <c r="C1434" s="30" t="s">
        <v>76</v>
      </c>
      <c r="D1434" s="74" t="s">
        <v>77</v>
      </c>
      <c r="E1434" s="7"/>
      <c r="F1434" s="7"/>
      <c r="G1434" s="703">
        <v>4</v>
      </c>
      <c r="H1434" s="7"/>
      <c r="I1434" s="7"/>
      <c r="AF1434" s="26"/>
      <c r="AG1434" s="933"/>
      <c r="AH1434" s="18"/>
      <c r="AI1434" s="18"/>
      <c r="AJ1434" s="18"/>
      <c r="AK1434" s="18"/>
      <c r="AL1434" s="18"/>
      <c r="AM1434" s="18"/>
      <c r="AN1434" s="18"/>
      <c r="AO1434" s="18"/>
      <c r="AP1434" s="18"/>
      <c r="AQ1434" s="18"/>
      <c r="AR1434" s="18"/>
      <c r="AS1434" s="18"/>
      <c r="AT1434" s="18"/>
      <c r="AU1434" s="18"/>
      <c r="AV1434" s="18"/>
      <c r="AW1434" s="18"/>
      <c r="AX1434" s="18"/>
      <c r="AY1434" s="18"/>
      <c r="AZ1434" s="18"/>
      <c r="BA1434" s="18"/>
      <c r="BB1434" s="18"/>
      <c r="BC1434" s="18"/>
      <c r="BD1434" s="18"/>
      <c r="BE1434" s="18"/>
      <c r="BF1434" s="18"/>
      <c r="BG1434" s="18"/>
      <c r="BH1434" s="18"/>
      <c r="BI1434" s="18"/>
      <c r="BJ1434" s="18"/>
      <c r="BK1434" s="18"/>
      <c r="BL1434" s="18"/>
      <c r="BM1434" s="18"/>
      <c r="BN1434" s="18"/>
      <c r="BO1434" s="18"/>
      <c r="BP1434" s="18"/>
      <c r="BQ1434" s="18"/>
      <c r="BR1434" s="18"/>
    </row>
    <row r="1435" spans="2:70" outlineLevel="2">
      <c r="B1435" s="5"/>
      <c r="C1435" s="30" t="s">
        <v>55</v>
      </c>
      <c r="D1435" s="31" t="s">
        <v>58</v>
      </c>
      <c r="E1435" s="7"/>
      <c r="F1435" s="7"/>
      <c r="G1435" s="703">
        <v>600</v>
      </c>
      <c r="H1435" s="7"/>
      <c r="I1435" s="7"/>
      <c r="K1435" s="167">
        <f>G1435*0.5*(5/6)</f>
        <v>250</v>
      </c>
      <c r="L1435" s="6">
        <f>G1435*0.5</f>
        <v>300</v>
      </c>
      <c r="M1435" s="167">
        <f>SUM(K1435:L1435)</f>
        <v>550</v>
      </c>
      <c r="N1435" s="149">
        <f>P1435*0.5</f>
        <v>300</v>
      </c>
      <c r="O1435" s="19">
        <f>P1435*0.5</f>
        <v>300</v>
      </c>
      <c r="P1435" s="390">
        <f>G1435</f>
        <v>600</v>
      </c>
      <c r="Q1435" s="149">
        <f t="shared" ref="Q1435:Q1436" si="7365">S1435*0.5</f>
        <v>300</v>
      </c>
      <c r="R1435" s="19">
        <f t="shared" ref="R1435:R1436" si="7366">S1435*0.5</f>
        <v>300</v>
      </c>
      <c r="S1435" s="390">
        <f>P1435</f>
        <v>600</v>
      </c>
      <c r="T1435" s="149">
        <f t="shared" ref="T1435:T1436" si="7367">V1435*0.5</f>
        <v>300</v>
      </c>
      <c r="U1435" s="19">
        <f t="shared" ref="U1435:U1436" si="7368">V1435*0.5</f>
        <v>300</v>
      </c>
      <c r="V1435" s="390">
        <f>S1435</f>
        <v>600</v>
      </c>
      <c r="W1435" s="149">
        <f t="shared" ref="W1435:W1436" si="7369">Y1435*0.5</f>
        <v>300</v>
      </c>
      <c r="X1435" s="19">
        <f t="shared" ref="X1435:X1436" si="7370">Y1435*0.5</f>
        <v>300</v>
      </c>
      <c r="Y1435" s="390">
        <f>V1435</f>
        <v>600</v>
      </c>
      <c r="Z1435" s="149">
        <f t="shared" ref="Z1435:Z1436" si="7371">AB1435*0.5</f>
        <v>300</v>
      </c>
      <c r="AA1435" s="19">
        <f t="shared" ref="AA1435:AA1436" si="7372">AB1435*0.5</f>
        <v>300</v>
      </c>
      <c r="AB1435" s="390">
        <f>Y1435</f>
        <v>600</v>
      </c>
      <c r="AC1435" s="149">
        <f t="shared" ref="AC1435:AC1436" si="7373">AE1435*0.5</f>
        <v>300</v>
      </c>
      <c r="AD1435" s="19">
        <f t="shared" ref="AD1435:AD1436" si="7374">AE1435*0.5</f>
        <v>300</v>
      </c>
      <c r="AE1435" s="390">
        <f>AB1435</f>
        <v>600</v>
      </c>
      <c r="AF1435" s="149">
        <f t="shared" ref="AF1435:AF1436" si="7375">AH1435*0.5</f>
        <v>300</v>
      </c>
      <c r="AG1435" s="943">
        <f t="shared" ref="AG1435:AG1436" si="7376">AH1435*0.5</f>
        <v>300</v>
      </c>
      <c r="AH1435" s="390">
        <f>AE1435</f>
        <v>600</v>
      </c>
      <c r="AI1435" s="149">
        <f t="shared" ref="AI1435:AI1436" si="7377">AK1435*0.5</f>
        <v>300</v>
      </c>
      <c r="AJ1435" s="19">
        <f t="shared" ref="AJ1435:AJ1436" si="7378">AK1435*0.5</f>
        <v>300</v>
      </c>
      <c r="AK1435" s="390">
        <f>AH1435</f>
        <v>600</v>
      </c>
      <c r="AL1435" s="149">
        <f t="shared" ref="AL1435:AL1436" si="7379">AN1435*0.5</f>
        <v>300</v>
      </c>
      <c r="AM1435" s="19">
        <f t="shared" ref="AM1435:AM1436" si="7380">AN1435*0.5</f>
        <v>300</v>
      </c>
      <c r="AN1435" s="390">
        <f>AK1435</f>
        <v>600</v>
      </c>
      <c r="AO1435" s="149">
        <f t="shared" ref="AO1435:AO1436" si="7381">AQ1435*0.5</f>
        <v>300</v>
      </c>
      <c r="AP1435" s="19">
        <f t="shared" ref="AP1435:AP1436" si="7382">AQ1435*0.5</f>
        <v>300</v>
      </c>
      <c r="AQ1435" s="390">
        <f>AN1435</f>
        <v>600</v>
      </c>
      <c r="AR1435" s="149">
        <f t="shared" ref="AR1435:AR1436" si="7383">AT1435*0.5</f>
        <v>300</v>
      </c>
      <c r="AS1435" s="19">
        <f t="shared" ref="AS1435:AS1436" si="7384">AT1435*0.5</f>
        <v>300</v>
      </c>
      <c r="AT1435" s="390">
        <f>AQ1435</f>
        <v>600</v>
      </c>
      <c r="AU1435" s="149">
        <f t="shared" ref="AU1435:AU1436" si="7385">AW1435*0.5</f>
        <v>300</v>
      </c>
      <c r="AV1435" s="19">
        <f t="shared" ref="AV1435:AV1436" si="7386">AW1435*0.5</f>
        <v>300</v>
      </c>
      <c r="AW1435" s="390">
        <f>AT1435</f>
        <v>600</v>
      </c>
      <c r="AX1435" s="149">
        <f t="shared" ref="AX1435:AX1436" si="7387">AZ1435*0.5</f>
        <v>300</v>
      </c>
      <c r="AY1435" s="19">
        <f t="shared" ref="AY1435:AY1436" si="7388">AZ1435*0.5</f>
        <v>300</v>
      </c>
      <c r="AZ1435" s="390">
        <f>AW1435</f>
        <v>600</v>
      </c>
      <c r="BA1435" s="149">
        <f t="shared" ref="BA1435:BA1436" si="7389">BC1435*0.5</f>
        <v>300</v>
      </c>
      <c r="BB1435" s="19">
        <f t="shared" ref="BB1435:BB1436" si="7390">BC1435*0.5</f>
        <v>300</v>
      </c>
      <c r="BC1435" s="390">
        <f>AZ1435</f>
        <v>600</v>
      </c>
      <c r="BD1435" s="149">
        <f t="shared" ref="BD1435:BD1436" si="7391">BF1435*0.5</f>
        <v>300</v>
      </c>
      <c r="BE1435" s="19">
        <f t="shared" ref="BE1435:BE1436" si="7392">BF1435*0.5</f>
        <v>300</v>
      </c>
      <c r="BF1435" s="390">
        <f>BC1435</f>
        <v>600</v>
      </c>
      <c r="BG1435" s="149">
        <f t="shared" ref="BG1435:BG1436" si="7393">BI1435*0.5</f>
        <v>300</v>
      </c>
      <c r="BH1435" s="19">
        <f t="shared" ref="BH1435:BH1436" si="7394">BI1435*0.5</f>
        <v>300</v>
      </c>
      <c r="BI1435" s="390">
        <f>BF1435</f>
        <v>600</v>
      </c>
      <c r="BJ1435" s="149">
        <f t="shared" ref="BJ1435:BJ1436" si="7395">BL1435*0.5</f>
        <v>300</v>
      </c>
      <c r="BK1435" s="19">
        <f t="shared" ref="BK1435:BK1436" si="7396">BL1435*0.5</f>
        <v>300</v>
      </c>
      <c r="BL1435" s="390">
        <f>BI1435</f>
        <v>600</v>
      </c>
      <c r="BM1435" s="149">
        <f t="shared" ref="BM1435:BM1436" si="7397">BO1435*0.5</f>
        <v>300</v>
      </c>
      <c r="BN1435" s="19">
        <f t="shared" ref="BN1435:BN1436" si="7398">BO1435*0.5</f>
        <v>300</v>
      </c>
      <c r="BO1435" s="390">
        <f>BL1435</f>
        <v>600</v>
      </c>
      <c r="BP1435" s="149">
        <f t="shared" ref="BP1435:BP1436" si="7399">BR1435*0.5</f>
        <v>300</v>
      </c>
      <c r="BQ1435" s="19">
        <f t="shared" ref="BQ1435:BQ1436" si="7400">BR1435*0.5</f>
        <v>300</v>
      </c>
      <c r="BR1435" s="390">
        <f>BO1435</f>
        <v>600</v>
      </c>
    </row>
    <row r="1436" spans="2:70" outlineLevel="2">
      <c r="B1436" s="5"/>
      <c r="C1436" s="30" t="s">
        <v>56</v>
      </c>
      <c r="D1436" s="31" t="s">
        <v>58</v>
      </c>
      <c r="E1436" s="7"/>
      <c r="F1436" s="7"/>
      <c r="G1436" s="705">
        <f>G1433/G1434</f>
        <v>70</v>
      </c>
      <c r="H1436" s="7"/>
      <c r="I1436" s="7"/>
      <c r="K1436" s="167">
        <f>G1436*0.5*(5/6)</f>
        <v>29.166666666666668</v>
      </c>
      <c r="L1436" s="24">
        <f>G1436*0.5</f>
        <v>35</v>
      </c>
      <c r="M1436" s="167">
        <f>SUM(K1436:L1436)</f>
        <v>64.166666666666671</v>
      </c>
      <c r="N1436" s="149">
        <f>P1436*0.5</f>
        <v>35</v>
      </c>
      <c r="O1436" s="19">
        <f>P1436*0.5</f>
        <v>35</v>
      </c>
      <c r="P1436" s="167">
        <f>P1435*P1437</f>
        <v>70</v>
      </c>
      <c r="Q1436" s="149">
        <f t="shared" si="7365"/>
        <v>35</v>
      </c>
      <c r="R1436" s="19">
        <f t="shared" si="7366"/>
        <v>35</v>
      </c>
      <c r="S1436" s="167">
        <f t="shared" ref="S1436" si="7401">S1435*S1437</f>
        <v>70</v>
      </c>
      <c r="T1436" s="149">
        <f t="shared" si="7367"/>
        <v>35</v>
      </c>
      <c r="U1436" s="19">
        <f t="shared" si="7368"/>
        <v>35</v>
      </c>
      <c r="V1436" s="167">
        <f t="shared" ref="V1436" si="7402">V1435*V1437</f>
        <v>70</v>
      </c>
      <c r="W1436" s="149">
        <f t="shared" si="7369"/>
        <v>35</v>
      </c>
      <c r="X1436" s="19">
        <f t="shared" si="7370"/>
        <v>35</v>
      </c>
      <c r="Y1436" s="167">
        <f t="shared" ref="Y1436" si="7403">Y1435*Y1437</f>
        <v>70</v>
      </c>
      <c r="Z1436" s="149">
        <f t="shared" si="7371"/>
        <v>35</v>
      </c>
      <c r="AA1436" s="19">
        <f t="shared" si="7372"/>
        <v>35</v>
      </c>
      <c r="AB1436" s="167">
        <f t="shared" ref="AB1436" si="7404">AB1435*AB1437</f>
        <v>70</v>
      </c>
      <c r="AC1436" s="149">
        <f t="shared" si="7373"/>
        <v>35</v>
      </c>
      <c r="AD1436" s="19">
        <f t="shared" si="7374"/>
        <v>35</v>
      </c>
      <c r="AE1436" s="167">
        <f t="shared" ref="AE1436" si="7405">AE1435*AE1437</f>
        <v>70</v>
      </c>
      <c r="AF1436" s="149">
        <f t="shared" si="7375"/>
        <v>35</v>
      </c>
      <c r="AG1436" s="943">
        <f t="shared" si="7376"/>
        <v>35</v>
      </c>
      <c r="AH1436" s="167">
        <f t="shared" ref="AH1436" si="7406">AH1435*AH1437</f>
        <v>70</v>
      </c>
      <c r="AI1436" s="149">
        <f t="shared" si="7377"/>
        <v>35</v>
      </c>
      <c r="AJ1436" s="19">
        <f t="shared" si="7378"/>
        <v>35</v>
      </c>
      <c r="AK1436" s="167">
        <f t="shared" ref="AK1436" si="7407">AK1435*AK1437</f>
        <v>70</v>
      </c>
      <c r="AL1436" s="149">
        <f t="shared" si="7379"/>
        <v>35</v>
      </c>
      <c r="AM1436" s="19">
        <f t="shared" si="7380"/>
        <v>35</v>
      </c>
      <c r="AN1436" s="167">
        <f t="shared" ref="AN1436" si="7408">AN1435*AN1437</f>
        <v>70</v>
      </c>
      <c r="AO1436" s="149">
        <f t="shared" si="7381"/>
        <v>35</v>
      </c>
      <c r="AP1436" s="19">
        <f t="shared" si="7382"/>
        <v>35</v>
      </c>
      <c r="AQ1436" s="167">
        <f t="shared" ref="AQ1436" si="7409">AQ1435*AQ1437</f>
        <v>70</v>
      </c>
      <c r="AR1436" s="149">
        <f t="shared" si="7383"/>
        <v>35</v>
      </c>
      <c r="AS1436" s="19">
        <f t="shared" si="7384"/>
        <v>35</v>
      </c>
      <c r="AT1436" s="167">
        <f t="shared" ref="AT1436" si="7410">AT1435*AT1437</f>
        <v>70</v>
      </c>
      <c r="AU1436" s="149">
        <f t="shared" si="7385"/>
        <v>35</v>
      </c>
      <c r="AV1436" s="19">
        <f t="shared" si="7386"/>
        <v>35</v>
      </c>
      <c r="AW1436" s="167">
        <f t="shared" ref="AW1436" si="7411">AW1435*AW1437</f>
        <v>70</v>
      </c>
      <c r="AX1436" s="149">
        <f t="shared" si="7387"/>
        <v>35</v>
      </c>
      <c r="AY1436" s="19">
        <f t="shared" si="7388"/>
        <v>35</v>
      </c>
      <c r="AZ1436" s="167">
        <f t="shared" ref="AZ1436" si="7412">AZ1435*AZ1437</f>
        <v>70</v>
      </c>
      <c r="BA1436" s="149">
        <f t="shared" si="7389"/>
        <v>35</v>
      </c>
      <c r="BB1436" s="19">
        <f t="shared" si="7390"/>
        <v>35</v>
      </c>
      <c r="BC1436" s="167">
        <f t="shared" ref="BC1436" si="7413">BC1435*BC1437</f>
        <v>70</v>
      </c>
      <c r="BD1436" s="149">
        <f t="shared" si="7391"/>
        <v>35</v>
      </c>
      <c r="BE1436" s="19">
        <f t="shared" si="7392"/>
        <v>35</v>
      </c>
      <c r="BF1436" s="167">
        <f t="shared" ref="BF1436" si="7414">BF1435*BF1437</f>
        <v>70</v>
      </c>
      <c r="BG1436" s="149">
        <f t="shared" si="7393"/>
        <v>35</v>
      </c>
      <c r="BH1436" s="19">
        <f t="shared" si="7394"/>
        <v>35</v>
      </c>
      <c r="BI1436" s="167">
        <f t="shared" ref="BI1436" si="7415">BI1435*BI1437</f>
        <v>70</v>
      </c>
      <c r="BJ1436" s="149">
        <f t="shared" si="7395"/>
        <v>35</v>
      </c>
      <c r="BK1436" s="19">
        <f t="shared" si="7396"/>
        <v>35</v>
      </c>
      <c r="BL1436" s="167">
        <f t="shared" ref="BL1436" si="7416">BL1435*BL1437</f>
        <v>70</v>
      </c>
      <c r="BM1436" s="149">
        <f t="shared" si="7397"/>
        <v>35</v>
      </c>
      <c r="BN1436" s="19">
        <f t="shared" si="7398"/>
        <v>35</v>
      </c>
      <c r="BO1436" s="167">
        <f t="shared" ref="BO1436" si="7417">BO1435*BO1437</f>
        <v>70</v>
      </c>
      <c r="BP1436" s="149">
        <f t="shared" si="7399"/>
        <v>35</v>
      </c>
      <c r="BQ1436" s="19">
        <f t="shared" si="7400"/>
        <v>35</v>
      </c>
      <c r="BR1436" s="167">
        <f t="shared" ref="BR1436" si="7418">BR1435*BR1437</f>
        <v>70</v>
      </c>
    </row>
    <row r="1437" spans="2:70" outlineLevel="2">
      <c r="B1437" s="5"/>
      <c r="C1437" s="30" t="s">
        <v>73</v>
      </c>
      <c r="D1437" s="31" t="s">
        <v>66</v>
      </c>
      <c r="E1437" s="7"/>
      <c r="F1437" s="7"/>
      <c r="G1437" s="706">
        <f>G1436/G1435</f>
        <v>0.11666666666666667</v>
      </c>
      <c r="H1437" s="7"/>
      <c r="I1437" s="7"/>
      <c r="K1437" s="133">
        <f t="shared" ref="K1437:O1437" si="7419">K1436/K1435</f>
        <v>0.11666666666666667</v>
      </c>
      <c r="L1437" s="133">
        <f t="shared" si="7419"/>
        <v>0.11666666666666667</v>
      </c>
      <c r="M1437" s="133">
        <f t="shared" si="7419"/>
        <v>0.11666666666666667</v>
      </c>
      <c r="N1437" s="133">
        <f t="shared" si="7419"/>
        <v>0.11666666666666667</v>
      </c>
      <c r="O1437" s="133">
        <f t="shared" si="7419"/>
        <v>0.11666666666666667</v>
      </c>
      <c r="P1437" s="133">
        <f>M1437</f>
        <v>0.11666666666666667</v>
      </c>
      <c r="Q1437" s="133">
        <f t="shared" ref="Q1437:R1437" si="7420">Q1436/Q1435</f>
        <v>0.11666666666666667</v>
      </c>
      <c r="R1437" s="133">
        <f t="shared" si="7420"/>
        <v>0.11666666666666667</v>
      </c>
      <c r="S1437" s="133">
        <f t="shared" ref="S1437" si="7421">P1437</f>
        <v>0.11666666666666667</v>
      </c>
      <c r="T1437" s="133">
        <f t="shared" ref="T1437:U1437" si="7422">T1436/T1435</f>
        <v>0.11666666666666667</v>
      </c>
      <c r="U1437" s="133">
        <f t="shared" si="7422"/>
        <v>0.11666666666666667</v>
      </c>
      <c r="V1437" s="133">
        <f t="shared" ref="V1437" si="7423">S1437</f>
        <v>0.11666666666666667</v>
      </c>
      <c r="W1437" s="133">
        <f t="shared" ref="W1437:X1437" si="7424">W1436/W1435</f>
        <v>0.11666666666666667</v>
      </c>
      <c r="X1437" s="133">
        <f t="shared" si="7424"/>
        <v>0.11666666666666667</v>
      </c>
      <c r="Y1437" s="133">
        <f t="shared" ref="Y1437" si="7425">V1437</f>
        <v>0.11666666666666667</v>
      </c>
      <c r="Z1437" s="133">
        <f t="shared" ref="Z1437:AA1437" si="7426">Z1436/Z1435</f>
        <v>0.11666666666666667</v>
      </c>
      <c r="AA1437" s="133">
        <f t="shared" si="7426"/>
        <v>0.11666666666666667</v>
      </c>
      <c r="AB1437" s="133">
        <f t="shared" ref="AB1437" si="7427">Y1437</f>
        <v>0.11666666666666667</v>
      </c>
      <c r="AC1437" s="133">
        <f t="shared" ref="AC1437:AD1437" si="7428">AC1436/AC1435</f>
        <v>0.11666666666666667</v>
      </c>
      <c r="AD1437" s="133">
        <f t="shared" si="7428"/>
        <v>0.11666666666666667</v>
      </c>
      <c r="AE1437" s="133">
        <f t="shared" ref="AE1437" si="7429">AB1437</f>
        <v>0.11666666666666667</v>
      </c>
      <c r="AF1437" s="133">
        <f t="shared" ref="AF1437:AG1437" si="7430">AF1436/AF1435</f>
        <v>0.11666666666666667</v>
      </c>
      <c r="AG1437" s="938">
        <f t="shared" si="7430"/>
        <v>0.11666666666666667</v>
      </c>
      <c r="AH1437" s="133">
        <f t="shared" ref="AH1437" si="7431">AE1437</f>
        <v>0.11666666666666667</v>
      </c>
      <c r="AI1437" s="133">
        <f t="shared" ref="AI1437:AJ1437" si="7432">AI1436/AI1435</f>
        <v>0.11666666666666667</v>
      </c>
      <c r="AJ1437" s="133">
        <f t="shared" si="7432"/>
        <v>0.11666666666666667</v>
      </c>
      <c r="AK1437" s="133">
        <f t="shared" ref="AK1437" si="7433">AH1437</f>
        <v>0.11666666666666667</v>
      </c>
      <c r="AL1437" s="133">
        <f t="shared" ref="AL1437:AM1437" si="7434">AL1436/AL1435</f>
        <v>0.11666666666666667</v>
      </c>
      <c r="AM1437" s="133">
        <f t="shared" si="7434"/>
        <v>0.11666666666666667</v>
      </c>
      <c r="AN1437" s="133">
        <f t="shared" ref="AN1437" si="7435">AK1437</f>
        <v>0.11666666666666667</v>
      </c>
      <c r="AO1437" s="133">
        <f t="shared" ref="AO1437:AP1437" si="7436">AO1436/AO1435</f>
        <v>0.11666666666666667</v>
      </c>
      <c r="AP1437" s="133">
        <f t="shared" si="7436"/>
        <v>0.11666666666666667</v>
      </c>
      <c r="AQ1437" s="133">
        <f t="shared" ref="AQ1437" si="7437">AN1437</f>
        <v>0.11666666666666667</v>
      </c>
      <c r="AR1437" s="133">
        <f t="shared" ref="AR1437:AS1437" si="7438">AR1436/AR1435</f>
        <v>0.11666666666666667</v>
      </c>
      <c r="AS1437" s="133">
        <f t="shared" si="7438"/>
        <v>0.11666666666666667</v>
      </c>
      <c r="AT1437" s="133">
        <f t="shared" ref="AT1437" si="7439">AQ1437</f>
        <v>0.11666666666666667</v>
      </c>
      <c r="AU1437" s="133">
        <f t="shared" ref="AU1437:AV1437" si="7440">AU1436/AU1435</f>
        <v>0.11666666666666667</v>
      </c>
      <c r="AV1437" s="133">
        <f t="shared" si="7440"/>
        <v>0.11666666666666667</v>
      </c>
      <c r="AW1437" s="133">
        <f t="shared" ref="AW1437" si="7441">AT1437</f>
        <v>0.11666666666666667</v>
      </c>
      <c r="AX1437" s="133">
        <f t="shared" ref="AX1437:AY1437" si="7442">AX1436/AX1435</f>
        <v>0.11666666666666667</v>
      </c>
      <c r="AY1437" s="133">
        <f t="shared" si="7442"/>
        <v>0.11666666666666667</v>
      </c>
      <c r="AZ1437" s="133">
        <f t="shared" ref="AZ1437" si="7443">AW1437</f>
        <v>0.11666666666666667</v>
      </c>
      <c r="BA1437" s="133">
        <f t="shared" ref="BA1437:BB1437" si="7444">BA1436/BA1435</f>
        <v>0.11666666666666667</v>
      </c>
      <c r="BB1437" s="133">
        <f t="shared" si="7444"/>
        <v>0.11666666666666667</v>
      </c>
      <c r="BC1437" s="133">
        <f t="shared" ref="BC1437" si="7445">AZ1437</f>
        <v>0.11666666666666667</v>
      </c>
      <c r="BD1437" s="133">
        <f t="shared" ref="BD1437:BE1437" si="7446">BD1436/BD1435</f>
        <v>0.11666666666666667</v>
      </c>
      <c r="BE1437" s="133">
        <f t="shared" si="7446"/>
        <v>0.11666666666666667</v>
      </c>
      <c r="BF1437" s="133">
        <f t="shared" ref="BF1437" si="7447">BC1437</f>
        <v>0.11666666666666667</v>
      </c>
      <c r="BG1437" s="133">
        <f t="shared" ref="BG1437:BH1437" si="7448">BG1436/BG1435</f>
        <v>0.11666666666666667</v>
      </c>
      <c r="BH1437" s="133">
        <f t="shared" si="7448"/>
        <v>0.11666666666666667</v>
      </c>
      <c r="BI1437" s="133">
        <f t="shared" ref="BI1437" si="7449">BF1437</f>
        <v>0.11666666666666667</v>
      </c>
      <c r="BJ1437" s="133">
        <f t="shared" ref="BJ1437:BK1437" si="7450">BJ1436/BJ1435</f>
        <v>0.11666666666666667</v>
      </c>
      <c r="BK1437" s="133">
        <f t="shared" si="7450"/>
        <v>0.11666666666666667</v>
      </c>
      <c r="BL1437" s="133">
        <f t="shared" ref="BL1437" si="7451">BI1437</f>
        <v>0.11666666666666667</v>
      </c>
      <c r="BM1437" s="133">
        <f t="shared" ref="BM1437:BN1437" si="7452">BM1436/BM1435</f>
        <v>0.11666666666666667</v>
      </c>
      <c r="BN1437" s="133">
        <f t="shared" si="7452"/>
        <v>0.11666666666666667</v>
      </c>
      <c r="BO1437" s="133">
        <f t="shared" ref="BO1437" si="7453">BL1437</f>
        <v>0.11666666666666667</v>
      </c>
      <c r="BP1437" s="133">
        <f t="shared" ref="BP1437:BQ1437" si="7454">BP1436/BP1435</f>
        <v>0.11666666666666667</v>
      </c>
      <c r="BQ1437" s="133">
        <f t="shared" si="7454"/>
        <v>0.11666666666666667</v>
      </c>
      <c r="BR1437" s="133">
        <f t="shared" ref="BR1437" si="7455">BO1437</f>
        <v>0.11666666666666667</v>
      </c>
    </row>
    <row r="1438" spans="2:70" outlineLevel="2">
      <c r="B1438" s="5"/>
      <c r="C1438" s="30" t="s">
        <v>65</v>
      </c>
      <c r="D1438" s="31" t="s">
        <v>58</v>
      </c>
      <c r="E1438" s="7"/>
      <c r="F1438" s="7"/>
      <c r="G1438" s="707">
        <f>G1435*-3%</f>
        <v>-18</v>
      </c>
      <c r="H1438" s="7"/>
      <c r="I1438" s="7"/>
      <c r="K1438" s="167">
        <f>G1438*0.5*(5/6)</f>
        <v>-7.5</v>
      </c>
      <c r="L1438" s="24">
        <f>G1438*0.5</f>
        <v>-9</v>
      </c>
      <c r="M1438" s="167">
        <f>SUM(K1438:L1438)</f>
        <v>-16.5</v>
      </c>
      <c r="N1438" s="167">
        <f>P1438*0.5</f>
        <v>-9</v>
      </c>
      <c r="O1438" s="167">
        <f>P1438*0.5</f>
        <v>-9</v>
      </c>
      <c r="P1438" s="360">
        <f>G1438</f>
        <v>-18</v>
      </c>
      <c r="Q1438" s="167">
        <f t="shared" ref="Q1438" si="7456">S1438*0.5</f>
        <v>-9</v>
      </c>
      <c r="R1438" s="167">
        <f t="shared" ref="R1438" si="7457">S1438*0.5</f>
        <v>-9</v>
      </c>
      <c r="S1438" s="360">
        <f t="shared" ref="S1438" si="7458">P1438*(S1435/P1435)</f>
        <v>-18</v>
      </c>
      <c r="T1438" s="167">
        <f t="shared" ref="T1438" si="7459">V1438*0.5</f>
        <v>-9</v>
      </c>
      <c r="U1438" s="167">
        <f t="shared" ref="U1438" si="7460">V1438*0.5</f>
        <v>-9</v>
      </c>
      <c r="V1438" s="360">
        <f t="shared" ref="V1438" si="7461">S1438*(V1435/S1435)</f>
        <v>-18</v>
      </c>
      <c r="W1438" s="167">
        <f t="shared" ref="W1438" si="7462">Y1438*0.5</f>
        <v>-9</v>
      </c>
      <c r="X1438" s="167">
        <f t="shared" ref="X1438" si="7463">Y1438*0.5</f>
        <v>-9</v>
      </c>
      <c r="Y1438" s="360">
        <f t="shared" ref="Y1438" si="7464">V1438*(Y1435/V1435)</f>
        <v>-18</v>
      </c>
      <c r="Z1438" s="167">
        <f t="shared" ref="Z1438" si="7465">AB1438*0.5</f>
        <v>-9</v>
      </c>
      <c r="AA1438" s="167">
        <f t="shared" ref="AA1438" si="7466">AB1438*0.5</f>
        <v>-9</v>
      </c>
      <c r="AB1438" s="360">
        <f t="shared" ref="AB1438" si="7467">Y1438*(AB1435/Y1435)</f>
        <v>-18</v>
      </c>
      <c r="AC1438" s="167">
        <f t="shared" ref="AC1438" si="7468">AE1438*0.5</f>
        <v>-9</v>
      </c>
      <c r="AD1438" s="167">
        <f t="shared" ref="AD1438" si="7469">AE1438*0.5</f>
        <v>-9</v>
      </c>
      <c r="AE1438" s="360">
        <f t="shared" ref="AE1438" si="7470">AB1438*(AE1435/AB1435)</f>
        <v>-18</v>
      </c>
      <c r="AF1438" s="167">
        <f t="shared" ref="AF1438" si="7471">AH1438*0.5</f>
        <v>-9</v>
      </c>
      <c r="AG1438" s="1017">
        <f t="shared" ref="AG1438" si="7472">AH1438*0.5</f>
        <v>-9</v>
      </c>
      <c r="AH1438" s="360">
        <f t="shared" ref="AH1438" si="7473">AE1438*(AH1435/AE1435)</f>
        <v>-18</v>
      </c>
      <c r="AI1438" s="167">
        <f t="shared" ref="AI1438" si="7474">AK1438*0.5</f>
        <v>-9</v>
      </c>
      <c r="AJ1438" s="167">
        <f t="shared" ref="AJ1438" si="7475">AK1438*0.5</f>
        <v>-9</v>
      </c>
      <c r="AK1438" s="360">
        <f t="shared" ref="AK1438" si="7476">AH1438*(AK1435/AH1435)</f>
        <v>-18</v>
      </c>
      <c r="AL1438" s="167">
        <f t="shared" ref="AL1438" si="7477">AN1438*0.5</f>
        <v>-9</v>
      </c>
      <c r="AM1438" s="167">
        <f t="shared" ref="AM1438" si="7478">AN1438*0.5</f>
        <v>-9</v>
      </c>
      <c r="AN1438" s="360">
        <f t="shared" ref="AN1438" si="7479">AK1438*(AN1435/AK1435)</f>
        <v>-18</v>
      </c>
      <c r="AO1438" s="167">
        <f t="shared" ref="AO1438" si="7480">AQ1438*0.5</f>
        <v>-9</v>
      </c>
      <c r="AP1438" s="167">
        <f t="shared" ref="AP1438" si="7481">AQ1438*0.5</f>
        <v>-9</v>
      </c>
      <c r="AQ1438" s="360">
        <f t="shared" ref="AQ1438" si="7482">AN1438*(AQ1435/AN1435)</f>
        <v>-18</v>
      </c>
      <c r="AR1438" s="167">
        <f t="shared" ref="AR1438" si="7483">AT1438*0.5</f>
        <v>-9</v>
      </c>
      <c r="AS1438" s="167">
        <f t="shared" ref="AS1438" si="7484">AT1438*0.5</f>
        <v>-9</v>
      </c>
      <c r="AT1438" s="360">
        <f t="shared" ref="AT1438" si="7485">AQ1438*(AT1435/AQ1435)</f>
        <v>-18</v>
      </c>
      <c r="AU1438" s="167">
        <f t="shared" ref="AU1438" si="7486">AW1438*0.5</f>
        <v>-9</v>
      </c>
      <c r="AV1438" s="167">
        <f t="shared" ref="AV1438" si="7487">AW1438*0.5</f>
        <v>-9</v>
      </c>
      <c r="AW1438" s="360">
        <f t="shared" ref="AW1438" si="7488">AT1438*(AW1435/AT1435)</f>
        <v>-18</v>
      </c>
      <c r="AX1438" s="167">
        <f t="shared" ref="AX1438" si="7489">AZ1438*0.5</f>
        <v>-9</v>
      </c>
      <c r="AY1438" s="167">
        <f t="shared" ref="AY1438" si="7490">AZ1438*0.5</f>
        <v>-9</v>
      </c>
      <c r="AZ1438" s="360">
        <f t="shared" ref="AZ1438" si="7491">AW1438*(AZ1435/AW1435)</f>
        <v>-18</v>
      </c>
      <c r="BA1438" s="167">
        <f t="shared" ref="BA1438" si="7492">BC1438*0.5</f>
        <v>-9</v>
      </c>
      <c r="BB1438" s="167">
        <f t="shared" ref="BB1438" si="7493">BC1438*0.5</f>
        <v>-9</v>
      </c>
      <c r="BC1438" s="360">
        <f t="shared" ref="BC1438" si="7494">AZ1438*(BC1435/AZ1435)</f>
        <v>-18</v>
      </c>
      <c r="BD1438" s="167">
        <f t="shared" ref="BD1438" si="7495">BF1438*0.5</f>
        <v>-9</v>
      </c>
      <c r="BE1438" s="167">
        <f t="shared" ref="BE1438" si="7496">BF1438*0.5</f>
        <v>-9</v>
      </c>
      <c r="BF1438" s="360">
        <f t="shared" ref="BF1438" si="7497">BC1438*(BF1435/BC1435)</f>
        <v>-18</v>
      </c>
      <c r="BG1438" s="167">
        <f t="shared" ref="BG1438" si="7498">BI1438*0.5</f>
        <v>-9</v>
      </c>
      <c r="BH1438" s="167">
        <f t="shared" ref="BH1438" si="7499">BI1438*0.5</f>
        <v>-9</v>
      </c>
      <c r="BI1438" s="360">
        <f t="shared" ref="BI1438" si="7500">BF1438*(BI1435/BF1435)</f>
        <v>-18</v>
      </c>
      <c r="BJ1438" s="167">
        <f t="shared" ref="BJ1438" si="7501">BL1438*0.5</f>
        <v>-9</v>
      </c>
      <c r="BK1438" s="167">
        <f t="shared" ref="BK1438" si="7502">BL1438*0.5</f>
        <v>-9</v>
      </c>
      <c r="BL1438" s="360">
        <f t="shared" ref="BL1438" si="7503">BI1438*(BL1435/BI1435)</f>
        <v>-18</v>
      </c>
      <c r="BM1438" s="167">
        <f t="shared" ref="BM1438" si="7504">BO1438*0.5</f>
        <v>-9</v>
      </c>
      <c r="BN1438" s="167">
        <f t="shared" ref="BN1438" si="7505">BO1438*0.5</f>
        <v>-9</v>
      </c>
      <c r="BO1438" s="360">
        <f t="shared" ref="BO1438" si="7506">BL1438*(BO1435/BL1435)</f>
        <v>-18</v>
      </c>
      <c r="BP1438" s="167">
        <f t="shared" ref="BP1438" si="7507">BR1438*0.5</f>
        <v>-9</v>
      </c>
      <c r="BQ1438" s="167">
        <f t="shared" ref="BQ1438" si="7508">BR1438*0.5</f>
        <v>-9</v>
      </c>
      <c r="BR1438" s="360">
        <f t="shared" ref="BR1438" si="7509">BO1438*(BR1435/BO1435)</f>
        <v>-18</v>
      </c>
    </row>
    <row r="1439" spans="2:70" outlineLevel="2">
      <c r="B1439" s="5"/>
      <c r="C1439" s="30" t="s">
        <v>78</v>
      </c>
      <c r="D1439" s="31" t="s">
        <v>58</v>
      </c>
      <c r="E1439" s="7"/>
      <c r="F1439" s="7"/>
      <c r="G1439" s="708">
        <f>G1436+G1438</f>
        <v>52</v>
      </c>
      <c r="H1439" s="7"/>
      <c r="I1439" s="7"/>
      <c r="K1439" s="360">
        <f>K1436+K1438</f>
        <v>21.666666666666668</v>
      </c>
      <c r="L1439" s="360">
        <f>L1436+L1438</f>
        <v>26</v>
      </c>
      <c r="M1439" s="167">
        <f>SUM(K1439:L1439)</f>
        <v>47.666666666666671</v>
      </c>
      <c r="N1439" s="167">
        <f>N1436+N1438</f>
        <v>26</v>
      </c>
      <c r="O1439" s="167">
        <f>O1436+O1438</f>
        <v>26</v>
      </c>
      <c r="P1439" s="172">
        <f>SUM(N1439:O1439)</f>
        <v>52</v>
      </c>
      <c r="Q1439" s="167">
        <f t="shared" ref="Q1439:R1439" si="7510">Q1436+Q1438</f>
        <v>26</v>
      </c>
      <c r="R1439" s="167">
        <f t="shared" si="7510"/>
        <v>26</v>
      </c>
      <c r="S1439" s="172">
        <f t="shared" ref="S1439" si="7511">SUM(Q1439:R1439)</f>
        <v>52</v>
      </c>
      <c r="T1439" s="167">
        <f t="shared" ref="T1439:U1439" si="7512">T1436+T1438</f>
        <v>26</v>
      </c>
      <c r="U1439" s="167">
        <f t="shared" si="7512"/>
        <v>26</v>
      </c>
      <c r="V1439" s="172">
        <f t="shared" ref="V1439" si="7513">SUM(T1439:U1439)</f>
        <v>52</v>
      </c>
      <c r="W1439" s="167">
        <f t="shared" ref="W1439:X1439" si="7514">W1436+W1438</f>
        <v>26</v>
      </c>
      <c r="X1439" s="167">
        <f t="shared" si="7514"/>
        <v>26</v>
      </c>
      <c r="Y1439" s="172">
        <f t="shared" ref="Y1439" si="7515">SUM(W1439:X1439)</f>
        <v>52</v>
      </c>
      <c r="Z1439" s="167">
        <f t="shared" ref="Z1439:AA1439" si="7516">Z1436+Z1438</f>
        <v>26</v>
      </c>
      <c r="AA1439" s="167">
        <f t="shared" si="7516"/>
        <v>26</v>
      </c>
      <c r="AB1439" s="172">
        <f t="shared" ref="AB1439" si="7517">SUM(Z1439:AA1439)</f>
        <v>52</v>
      </c>
      <c r="AC1439" s="167">
        <f t="shared" ref="AC1439:AD1439" si="7518">AC1436+AC1438</f>
        <v>26</v>
      </c>
      <c r="AD1439" s="167">
        <f t="shared" si="7518"/>
        <v>26</v>
      </c>
      <c r="AE1439" s="172">
        <f t="shared" ref="AE1439" si="7519">SUM(AC1439:AD1439)</f>
        <v>52</v>
      </c>
      <c r="AF1439" s="167">
        <f t="shared" ref="AF1439:AG1439" si="7520">AF1436+AF1438</f>
        <v>26</v>
      </c>
      <c r="AG1439" s="1017">
        <f t="shared" si="7520"/>
        <v>26</v>
      </c>
      <c r="AH1439" s="172">
        <f t="shared" ref="AH1439" si="7521">SUM(AF1439:AG1439)</f>
        <v>52</v>
      </c>
      <c r="AI1439" s="167">
        <f t="shared" ref="AI1439:AJ1439" si="7522">AI1436+AI1438</f>
        <v>26</v>
      </c>
      <c r="AJ1439" s="167">
        <f t="shared" si="7522"/>
        <v>26</v>
      </c>
      <c r="AK1439" s="172">
        <f t="shared" ref="AK1439" si="7523">SUM(AI1439:AJ1439)</f>
        <v>52</v>
      </c>
      <c r="AL1439" s="167">
        <f t="shared" ref="AL1439:AM1439" si="7524">AL1436+AL1438</f>
        <v>26</v>
      </c>
      <c r="AM1439" s="167">
        <f t="shared" si="7524"/>
        <v>26</v>
      </c>
      <c r="AN1439" s="172">
        <f t="shared" ref="AN1439" si="7525">SUM(AL1439:AM1439)</f>
        <v>52</v>
      </c>
      <c r="AO1439" s="167">
        <f t="shared" ref="AO1439:AP1439" si="7526">AO1436+AO1438</f>
        <v>26</v>
      </c>
      <c r="AP1439" s="167">
        <f t="shared" si="7526"/>
        <v>26</v>
      </c>
      <c r="AQ1439" s="172">
        <f t="shared" ref="AQ1439" si="7527">SUM(AO1439:AP1439)</f>
        <v>52</v>
      </c>
      <c r="AR1439" s="167">
        <f t="shared" ref="AR1439:AS1439" si="7528">AR1436+AR1438</f>
        <v>26</v>
      </c>
      <c r="AS1439" s="167">
        <f t="shared" si="7528"/>
        <v>26</v>
      </c>
      <c r="AT1439" s="172">
        <f t="shared" ref="AT1439" si="7529">SUM(AR1439:AS1439)</f>
        <v>52</v>
      </c>
      <c r="AU1439" s="167">
        <f t="shared" ref="AU1439:AV1439" si="7530">AU1436+AU1438</f>
        <v>26</v>
      </c>
      <c r="AV1439" s="167">
        <f t="shared" si="7530"/>
        <v>26</v>
      </c>
      <c r="AW1439" s="172">
        <f t="shared" ref="AW1439" si="7531">SUM(AU1439:AV1439)</f>
        <v>52</v>
      </c>
      <c r="AX1439" s="167">
        <f t="shared" ref="AX1439:AY1439" si="7532">AX1436+AX1438</f>
        <v>26</v>
      </c>
      <c r="AY1439" s="167">
        <f t="shared" si="7532"/>
        <v>26</v>
      </c>
      <c r="AZ1439" s="172">
        <f t="shared" ref="AZ1439" si="7533">SUM(AX1439:AY1439)</f>
        <v>52</v>
      </c>
      <c r="BA1439" s="167">
        <f t="shared" ref="BA1439:BB1439" si="7534">BA1436+BA1438</f>
        <v>26</v>
      </c>
      <c r="BB1439" s="167">
        <f t="shared" si="7534"/>
        <v>26</v>
      </c>
      <c r="BC1439" s="172">
        <f t="shared" ref="BC1439" si="7535">SUM(BA1439:BB1439)</f>
        <v>52</v>
      </c>
      <c r="BD1439" s="167">
        <f t="shared" ref="BD1439:BE1439" si="7536">BD1436+BD1438</f>
        <v>26</v>
      </c>
      <c r="BE1439" s="167">
        <f t="shared" si="7536"/>
        <v>26</v>
      </c>
      <c r="BF1439" s="172">
        <f t="shared" ref="BF1439" si="7537">SUM(BD1439:BE1439)</f>
        <v>52</v>
      </c>
      <c r="BG1439" s="167">
        <f t="shared" ref="BG1439:BH1439" si="7538">BG1436+BG1438</f>
        <v>26</v>
      </c>
      <c r="BH1439" s="167">
        <f t="shared" si="7538"/>
        <v>26</v>
      </c>
      <c r="BI1439" s="172">
        <f t="shared" ref="BI1439" si="7539">SUM(BG1439:BH1439)</f>
        <v>52</v>
      </c>
      <c r="BJ1439" s="167">
        <f t="shared" ref="BJ1439:BK1439" si="7540">BJ1436+BJ1438</f>
        <v>26</v>
      </c>
      <c r="BK1439" s="167">
        <f t="shared" si="7540"/>
        <v>26</v>
      </c>
      <c r="BL1439" s="172">
        <f t="shared" ref="BL1439" si="7541">SUM(BJ1439:BK1439)</f>
        <v>52</v>
      </c>
      <c r="BM1439" s="167">
        <f t="shared" ref="BM1439:BN1439" si="7542">BM1436+BM1438</f>
        <v>26</v>
      </c>
      <c r="BN1439" s="167">
        <f t="shared" si="7542"/>
        <v>26</v>
      </c>
      <c r="BO1439" s="172">
        <f t="shared" ref="BO1439" si="7543">SUM(BM1439:BN1439)</f>
        <v>52</v>
      </c>
      <c r="BP1439" s="167">
        <f t="shared" ref="BP1439:BQ1439" si="7544">BP1436+BP1438</f>
        <v>26</v>
      </c>
      <c r="BQ1439" s="167">
        <f t="shared" si="7544"/>
        <v>26</v>
      </c>
      <c r="BR1439" s="172">
        <f t="shared" ref="BR1439" si="7545">SUM(BP1439:BQ1439)</f>
        <v>52</v>
      </c>
    </row>
    <row r="1440" spans="2:70" outlineLevel="2">
      <c r="B1440" s="5"/>
      <c r="C1440" s="30" t="s">
        <v>74</v>
      </c>
      <c r="D1440" s="31" t="s">
        <v>66</v>
      </c>
      <c r="E1440" s="7"/>
      <c r="F1440" s="7"/>
      <c r="G1440" s="736">
        <f>G1439/G1435</f>
        <v>8.666666666666667E-2</v>
      </c>
      <c r="H1440" s="7"/>
      <c r="I1440" s="7"/>
      <c r="K1440" s="133">
        <f>K1439/K1435</f>
        <v>8.666666666666667E-2</v>
      </c>
      <c r="L1440" s="133">
        <f>L1439/L1435</f>
        <v>8.666666666666667E-2</v>
      </c>
      <c r="M1440" s="162">
        <f t="shared" ref="M1440:V1440" si="7546">M1439/M1435</f>
        <v>8.666666666666667E-2</v>
      </c>
      <c r="N1440" s="162">
        <f t="shared" si="7546"/>
        <v>8.666666666666667E-2</v>
      </c>
      <c r="O1440" s="133">
        <f t="shared" si="7546"/>
        <v>8.666666666666667E-2</v>
      </c>
      <c r="P1440" s="162">
        <f t="shared" si="7546"/>
        <v>8.666666666666667E-2</v>
      </c>
      <c r="Q1440" s="162">
        <f t="shared" si="7546"/>
        <v>8.666666666666667E-2</v>
      </c>
      <c r="R1440" s="133">
        <f t="shared" si="7546"/>
        <v>8.666666666666667E-2</v>
      </c>
      <c r="S1440" s="162">
        <f t="shared" si="7546"/>
        <v>8.666666666666667E-2</v>
      </c>
      <c r="T1440" s="162">
        <f t="shared" si="7546"/>
        <v>8.666666666666667E-2</v>
      </c>
      <c r="U1440" s="133">
        <f t="shared" si="7546"/>
        <v>8.666666666666667E-2</v>
      </c>
      <c r="V1440" s="133">
        <f t="shared" si="7546"/>
        <v>8.666666666666667E-2</v>
      </c>
      <c r="W1440" s="162">
        <f t="shared" ref="W1440:AN1440" si="7547">W1439/W1435</f>
        <v>8.666666666666667E-2</v>
      </c>
      <c r="X1440" s="133">
        <f t="shared" si="7547"/>
        <v>8.666666666666667E-2</v>
      </c>
      <c r="Y1440" s="133">
        <f t="shared" si="7547"/>
        <v>8.666666666666667E-2</v>
      </c>
      <c r="Z1440" s="162">
        <f t="shared" si="7547"/>
        <v>8.666666666666667E-2</v>
      </c>
      <c r="AA1440" s="133">
        <f t="shared" si="7547"/>
        <v>8.666666666666667E-2</v>
      </c>
      <c r="AB1440" s="133">
        <f t="shared" si="7547"/>
        <v>8.666666666666667E-2</v>
      </c>
      <c r="AC1440" s="162">
        <f t="shared" si="7547"/>
        <v>8.666666666666667E-2</v>
      </c>
      <c r="AD1440" s="133">
        <f t="shared" si="7547"/>
        <v>8.666666666666667E-2</v>
      </c>
      <c r="AE1440" s="133">
        <f t="shared" si="7547"/>
        <v>8.666666666666667E-2</v>
      </c>
      <c r="AF1440" s="162">
        <f t="shared" si="7547"/>
        <v>8.666666666666667E-2</v>
      </c>
      <c r="AG1440" s="938">
        <f t="shared" si="7547"/>
        <v>8.666666666666667E-2</v>
      </c>
      <c r="AH1440" s="133">
        <f t="shared" si="7547"/>
        <v>8.666666666666667E-2</v>
      </c>
      <c r="AI1440" s="162">
        <f t="shared" si="7547"/>
        <v>8.666666666666667E-2</v>
      </c>
      <c r="AJ1440" s="133">
        <f t="shared" si="7547"/>
        <v>8.666666666666667E-2</v>
      </c>
      <c r="AK1440" s="133">
        <f t="shared" si="7547"/>
        <v>8.666666666666667E-2</v>
      </c>
      <c r="AL1440" s="162">
        <f t="shared" si="7547"/>
        <v>8.666666666666667E-2</v>
      </c>
      <c r="AM1440" s="133">
        <f t="shared" si="7547"/>
        <v>8.666666666666667E-2</v>
      </c>
      <c r="AN1440" s="133">
        <f t="shared" si="7547"/>
        <v>8.666666666666667E-2</v>
      </c>
      <c r="AO1440" s="162">
        <f t="shared" ref="AO1440:BR1440" si="7548">AO1439/AO1435</f>
        <v>8.666666666666667E-2</v>
      </c>
      <c r="AP1440" s="133">
        <f t="shared" si="7548"/>
        <v>8.666666666666667E-2</v>
      </c>
      <c r="AQ1440" s="133">
        <f t="shared" si="7548"/>
        <v>8.666666666666667E-2</v>
      </c>
      <c r="AR1440" s="162">
        <f t="shared" si="7548"/>
        <v>8.666666666666667E-2</v>
      </c>
      <c r="AS1440" s="133">
        <f t="shared" si="7548"/>
        <v>8.666666666666667E-2</v>
      </c>
      <c r="AT1440" s="133">
        <f t="shared" si="7548"/>
        <v>8.666666666666667E-2</v>
      </c>
      <c r="AU1440" s="162">
        <f t="shared" si="7548"/>
        <v>8.666666666666667E-2</v>
      </c>
      <c r="AV1440" s="133">
        <f t="shared" si="7548"/>
        <v>8.666666666666667E-2</v>
      </c>
      <c r="AW1440" s="133">
        <f t="shared" si="7548"/>
        <v>8.666666666666667E-2</v>
      </c>
      <c r="AX1440" s="162">
        <f t="shared" si="7548"/>
        <v>8.666666666666667E-2</v>
      </c>
      <c r="AY1440" s="133">
        <f t="shared" si="7548"/>
        <v>8.666666666666667E-2</v>
      </c>
      <c r="AZ1440" s="133">
        <f t="shared" si="7548"/>
        <v>8.666666666666667E-2</v>
      </c>
      <c r="BA1440" s="162">
        <f t="shared" si="7548"/>
        <v>8.666666666666667E-2</v>
      </c>
      <c r="BB1440" s="133">
        <f t="shared" si="7548"/>
        <v>8.666666666666667E-2</v>
      </c>
      <c r="BC1440" s="133">
        <f t="shared" si="7548"/>
        <v>8.666666666666667E-2</v>
      </c>
      <c r="BD1440" s="162">
        <f t="shared" si="7548"/>
        <v>8.666666666666667E-2</v>
      </c>
      <c r="BE1440" s="133">
        <f t="shared" si="7548"/>
        <v>8.666666666666667E-2</v>
      </c>
      <c r="BF1440" s="133">
        <f t="shared" si="7548"/>
        <v>8.666666666666667E-2</v>
      </c>
      <c r="BG1440" s="162">
        <f t="shared" si="7548"/>
        <v>8.666666666666667E-2</v>
      </c>
      <c r="BH1440" s="133">
        <f t="shared" si="7548"/>
        <v>8.666666666666667E-2</v>
      </c>
      <c r="BI1440" s="133">
        <f t="shared" si="7548"/>
        <v>8.666666666666667E-2</v>
      </c>
      <c r="BJ1440" s="162">
        <f t="shared" si="7548"/>
        <v>8.666666666666667E-2</v>
      </c>
      <c r="BK1440" s="133">
        <f t="shared" si="7548"/>
        <v>8.666666666666667E-2</v>
      </c>
      <c r="BL1440" s="133">
        <f t="shared" si="7548"/>
        <v>8.666666666666667E-2</v>
      </c>
      <c r="BM1440" s="162">
        <f t="shared" si="7548"/>
        <v>8.666666666666667E-2</v>
      </c>
      <c r="BN1440" s="133">
        <f t="shared" si="7548"/>
        <v>8.666666666666667E-2</v>
      </c>
      <c r="BO1440" s="133">
        <f t="shared" si="7548"/>
        <v>8.666666666666667E-2</v>
      </c>
      <c r="BP1440" s="162">
        <f t="shared" si="7548"/>
        <v>8.666666666666667E-2</v>
      </c>
      <c r="BQ1440" s="133">
        <f t="shared" si="7548"/>
        <v>8.666666666666667E-2</v>
      </c>
      <c r="BR1440" s="133">
        <f t="shared" si="7548"/>
        <v>8.666666666666667E-2</v>
      </c>
    </row>
    <row r="1441" spans="2:70" outlineLevel="2">
      <c r="B1441" s="5"/>
      <c r="C1441" s="30" t="s">
        <v>90</v>
      </c>
      <c r="D1441" s="31" t="s">
        <v>58</v>
      </c>
      <c r="E1441" s="7"/>
      <c r="F1441" s="7"/>
      <c r="G1441" s="705"/>
      <c r="H1441" s="7"/>
      <c r="I1441" s="7"/>
      <c r="K1441" s="402">
        <v>0</v>
      </c>
      <c r="L1441" s="402">
        <v>0</v>
      </c>
      <c r="M1441" s="167">
        <f>SUM(K1441:L1441)</f>
        <v>0</v>
      </c>
      <c r="N1441" s="402">
        <v>10</v>
      </c>
      <c r="O1441" s="402">
        <v>10</v>
      </c>
      <c r="P1441" s="364">
        <f>N1441+O1441</f>
        <v>20</v>
      </c>
      <c r="Q1441" s="402">
        <v>10</v>
      </c>
      <c r="R1441" s="402">
        <v>5</v>
      </c>
      <c r="S1441" s="364">
        <f>Q1441+R1441</f>
        <v>15</v>
      </c>
      <c r="T1441" s="402">
        <v>0</v>
      </c>
      <c r="U1441" s="402">
        <v>0</v>
      </c>
      <c r="V1441" s="364">
        <f>T1441+U1441</f>
        <v>0</v>
      </c>
      <c r="W1441" s="402">
        <v>0</v>
      </c>
      <c r="X1441" s="402">
        <v>0</v>
      </c>
      <c r="Y1441" s="364">
        <f>W1441+X1441</f>
        <v>0</v>
      </c>
      <c r="Z1441" s="402">
        <v>0</v>
      </c>
      <c r="AA1441" s="402">
        <v>0</v>
      </c>
      <c r="AB1441" s="364">
        <f>Z1441+AA1441</f>
        <v>0</v>
      </c>
      <c r="AC1441" s="402">
        <v>0</v>
      </c>
      <c r="AD1441" s="402">
        <v>0</v>
      </c>
      <c r="AE1441" s="364">
        <f>AC1441+AD1441</f>
        <v>0</v>
      </c>
      <c r="AF1441" s="402">
        <v>0</v>
      </c>
      <c r="AG1441" s="1030">
        <v>0</v>
      </c>
      <c r="AH1441" s="364">
        <f>AF1441+AG1441</f>
        <v>0</v>
      </c>
      <c r="AI1441" s="402">
        <v>0</v>
      </c>
      <c r="AJ1441" s="402">
        <v>0</v>
      </c>
      <c r="AK1441" s="364">
        <f>AI1441+AJ1441</f>
        <v>0</v>
      </c>
      <c r="AL1441" s="402">
        <v>0</v>
      </c>
      <c r="AM1441" s="402">
        <v>0</v>
      </c>
      <c r="AN1441" s="364">
        <f>AL1441+AM1441</f>
        <v>0</v>
      </c>
      <c r="AO1441" s="402">
        <v>0</v>
      </c>
      <c r="AP1441" s="402">
        <v>0</v>
      </c>
      <c r="AQ1441" s="364">
        <f>AO1441+AP1441</f>
        <v>0</v>
      </c>
      <c r="AR1441" s="402">
        <v>0</v>
      </c>
      <c r="AS1441" s="402">
        <v>0</v>
      </c>
      <c r="AT1441" s="364">
        <f>AR1441+AS1441</f>
        <v>0</v>
      </c>
      <c r="AU1441" s="402">
        <v>0</v>
      </c>
      <c r="AV1441" s="402">
        <v>0</v>
      </c>
      <c r="AW1441" s="364">
        <f>AU1441+AV1441</f>
        <v>0</v>
      </c>
      <c r="AX1441" s="402">
        <v>0</v>
      </c>
      <c r="AY1441" s="402">
        <v>0</v>
      </c>
      <c r="AZ1441" s="364">
        <f>AX1441+AY1441</f>
        <v>0</v>
      </c>
      <c r="BA1441" s="402">
        <v>0</v>
      </c>
      <c r="BB1441" s="402">
        <v>0</v>
      </c>
      <c r="BC1441" s="364">
        <f>BA1441+BB1441</f>
        <v>0</v>
      </c>
      <c r="BD1441" s="402">
        <v>0</v>
      </c>
      <c r="BE1441" s="402">
        <v>0</v>
      </c>
      <c r="BF1441" s="364">
        <f>BD1441+BE1441</f>
        <v>0</v>
      </c>
      <c r="BG1441" s="402">
        <v>0</v>
      </c>
      <c r="BH1441" s="402">
        <v>0</v>
      </c>
      <c r="BI1441" s="364">
        <f>BG1441+BH1441</f>
        <v>0</v>
      </c>
      <c r="BJ1441" s="402">
        <v>0</v>
      </c>
      <c r="BK1441" s="402">
        <v>0</v>
      </c>
      <c r="BL1441" s="364">
        <f>BJ1441+BK1441</f>
        <v>0</v>
      </c>
      <c r="BM1441" s="402">
        <v>0</v>
      </c>
      <c r="BN1441" s="402">
        <v>0</v>
      </c>
      <c r="BO1441" s="364">
        <f>BM1441+BN1441</f>
        <v>0</v>
      </c>
      <c r="BP1441" s="402">
        <v>0</v>
      </c>
      <c r="BQ1441" s="402">
        <v>0</v>
      </c>
      <c r="BR1441" s="364">
        <f>BP1441+BQ1441</f>
        <v>0</v>
      </c>
    </row>
    <row r="1442" spans="2:70" outlineLevel="2">
      <c r="B1442" s="5"/>
      <c r="C1442" s="30" t="s">
        <v>89</v>
      </c>
      <c r="D1442" s="31"/>
      <c r="E1442" s="7"/>
      <c r="F1442" s="7"/>
      <c r="G1442" s="704">
        <v>35</v>
      </c>
      <c r="H1442" s="7"/>
      <c r="I1442" s="7"/>
      <c r="K1442" s="24">
        <f>K1441*K990/K1435</f>
        <v>0</v>
      </c>
      <c r="L1442" s="24">
        <f>L1441*L990/L1435</f>
        <v>0</v>
      </c>
      <c r="M1442" s="167">
        <f>SUM(K1442:L1442)</f>
        <v>0</v>
      </c>
      <c r="N1442" s="156">
        <f>K1442+N1441</f>
        <v>10</v>
      </c>
      <c r="O1442" s="156">
        <f>L1442+O1441</f>
        <v>10</v>
      </c>
      <c r="P1442" s="156">
        <f>SUM(N1442:O1442)</f>
        <v>20</v>
      </c>
      <c r="Q1442" s="156">
        <f>N1442+Q1441</f>
        <v>20</v>
      </c>
      <c r="R1442" s="156">
        <f>O1442+R1441</f>
        <v>15</v>
      </c>
      <c r="S1442" s="156">
        <f>SUM(Q1442:R1442)</f>
        <v>35</v>
      </c>
      <c r="T1442" s="156">
        <f>Q1442+T1441</f>
        <v>20</v>
      </c>
      <c r="U1442" s="156">
        <f>R1442+U1441</f>
        <v>15</v>
      </c>
      <c r="V1442" s="156">
        <f>SUM(T1442:U1442)</f>
        <v>35</v>
      </c>
      <c r="W1442" s="156">
        <f>T1442+W1441</f>
        <v>20</v>
      </c>
      <c r="X1442" s="156">
        <f>U1442+X1441</f>
        <v>15</v>
      </c>
      <c r="Y1442" s="156">
        <f>SUM(W1442:X1442)</f>
        <v>35</v>
      </c>
      <c r="Z1442" s="156">
        <f>W1442+Z1441</f>
        <v>20</v>
      </c>
      <c r="AA1442" s="156">
        <f>X1442+AA1441</f>
        <v>15</v>
      </c>
      <c r="AB1442" s="156">
        <f>SUM(Z1442:AA1442)</f>
        <v>35</v>
      </c>
      <c r="AC1442" s="156">
        <f>Z1442+AC1441</f>
        <v>20</v>
      </c>
      <c r="AD1442" s="156">
        <f>AA1442+AD1441</f>
        <v>15</v>
      </c>
      <c r="AE1442" s="157">
        <f>SUM(AC1442:AD1442)</f>
        <v>35</v>
      </c>
      <c r="AF1442" s="157">
        <f>AC1442+AF1441</f>
        <v>20</v>
      </c>
      <c r="AG1442" s="1031">
        <f>AD1442+AG1441</f>
        <v>15</v>
      </c>
      <c r="AH1442" s="156">
        <f>SUM(AF1442:AG1442)</f>
        <v>35</v>
      </c>
      <c r="AI1442" s="156">
        <f>AF1442+AI1441</f>
        <v>20</v>
      </c>
      <c r="AJ1442" s="156">
        <f>AG1442+AJ1441</f>
        <v>15</v>
      </c>
      <c r="AK1442" s="156">
        <f>SUM(AI1442:AJ1442)</f>
        <v>35</v>
      </c>
      <c r="AL1442" s="156">
        <f>AI1442+AL1441</f>
        <v>20</v>
      </c>
      <c r="AM1442" s="156">
        <f>AJ1442+AM1441</f>
        <v>15</v>
      </c>
      <c r="AN1442" s="156">
        <f>SUM(AL1442:AM1442)</f>
        <v>35</v>
      </c>
      <c r="AO1442" s="156">
        <f>AL1442+AO1441</f>
        <v>20</v>
      </c>
      <c r="AP1442" s="156">
        <f>AM1442+AP1441</f>
        <v>15</v>
      </c>
      <c r="AQ1442" s="156">
        <f>SUM(AO1442:AP1442)</f>
        <v>35</v>
      </c>
      <c r="AR1442" s="156">
        <f>AO1442+AR1441</f>
        <v>20</v>
      </c>
      <c r="AS1442" s="156">
        <f>AP1442+AS1441</f>
        <v>15</v>
      </c>
      <c r="AT1442" s="156">
        <f>SUM(AR1442:AS1442)</f>
        <v>35</v>
      </c>
      <c r="AU1442" s="156">
        <f>AR1442+AU1441</f>
        <v>20</v>
      </c>
      <c r="AV1442" s="156">
        <f>AS1442+AV1441</f>
        <v>15</v>
      </c>
      <c r="AW1442" s="156">
        <f>SUM(AU1442:AV1442)</f>
        <v>35</v>
      </c>
      <c r="AX1442" s="156">
        <f>AU1442+AX1441</f>
        <v>20</v>
      </c>
      <c r="AY1442" s="156">
        <f>AV1442+AY1441</f>
        <v>15</v>
      </c>
      <c r="AZ1442" s="156">
        <f>SUM(AX1442:AY1442)</f>
        <v>35</v>
      </c>
      <c r="BA1442" s="156">
        <f>AX1442+BA1441</f>
        <v>20</v>
      </c>
      <c r="BB1442" s="156">
        <f>AY1442+BB1441</f>
        <v>15</v>
      </c>
      <c r="BC1442" s="156">
        <f>SUM(BA1442:BB1442)</f>
        <v>35</v>
      </c>
      <c r="BD1442" s="156">
        <f>BA1442+BD1441</f>
        <v>20</v>
      </c>
      <c r="BE1442" s="156">
        <f>BB1442+BE1441</f>
        <v>15</v>
      </c>
      <c r="BF1442" s="156">
        <f>SUM(BD1442:BE1442)</f>
        <v>35</v>
      </c>
      <c r="BG1442" s="156">
        <f>BD1442+BG1441</f>
        <v>20</v>
      </c>
      <c r="BH1442" s="156">
        <f>BE1442+BH1441</f>
        <v>15</v>
      </c>
      <c r="BI1442" s="156">
        <f>SUM(BG1442:BH1442)</f>
        <v>35</v>
      </c>
      <c r="BJ1442" s="156">
        <f>BG1442+BJ1441</f>
        <v>20</v>
      </c>
      <c r="BK1442" s="156">
        <f>BH1442+BK1441</f>
        <v>15</v>
      </c>
      <c r="BL1442" s="156">
        <f>SUM(BJ1442:BK1442)</f>
        <v>35</v>
      </c>
      <c r="BM1442" s="156">
        <f>BJ1442+BM1441</f>
        <v>20</v>
      </c>
      <c r="BN1442" s="156">
        <f>BK1442+BN1441</f>
        <v>15</v>
      </c>
      <c r="BO1442" s="156">
        <f>SUM(BM1442:BN1442)</f>
        <v>35</v>
      </c>
      <c r="BP1442" s="156">
        <f>BM1442+BP1441</f>
        <v>20</v>
      </c>
      <c r="BQ1442" s="156">
        <f>BN1442+BQ1441</f>
        <v>15</v>
      </c>
      <c r="BR1442" s="156">
        <f>SUM(BP1442:BQ1442)</f>
        <v>35</v>
      </c>
    </row>
    <row r="1443" spans="2:70" outlineLevel="2">
      <c r="B1443" s="5"/>
      <c r="C1443" s="30" t="s">
        <v>264</v>
      </c>
      <c r="D1443" s="31" t="s">
        <v>66</v>
      </c>
      <c r="E1443" s="7"/>
      <c r="F1443" s="7"/>
      <c r="G1443" s="737">
        <f>G1441/G1435</f>
        <v>0</v>
      </c>
      <c r="H1443" s="7"/>
      <c r="I1443" s="7"/>
      <c r="K1443" s="130"/>
      <c r="L1443" s="156"/>
      <c r="M1443" s="156"/>
      <c r="N1443" s="156"/>
      <c r="O1443" s="156"/>
      <c r="P1443" s="156"/>
      <c r="Q1443" s="156"/>
      <c r="R1443" s="156"/>
      <c r="S1443" s="156"/>
      <c r="T1443" s="156"/>
      <c r="U1443" s="156"/>
      <c r="V1443" s="156"/>
      <c r="W1443" s="156"/>
      <c r="X1443" s="156"/>
      <c r="Y1443" s="156"/>
      <c r="Z1443" s="156"/>
      <c r="AA1443" s="156"/>
      <c r="AB1443" s="156"/>
      <c r="AC1443" s="156"/>
      <c r="AD1443" s="156"/>
      <c r="AE1443" s="157"/>
      <c r="AF1443" s="157"/>
      <c r="AG1443" s="1031"/>
      <c r="AH1443" s="156"/>
      <c r="AI1443" s="156"/>
      <c r="AJ1443" s="156"/>
      <c r="AK1443" s="156"/>
      <c r="AL1443" s="156"/>
      <c r="AM1443" s="156"/>
      <c r="AN1443" s="156"/>
      <c r="AO1443" s="156"/>
      <c r="AP1443" s="156"/>
      <c r="AQ1443" s="156"/>
      <c r="AR1443" s="156"/>
      <c r="AS1443" s="156"/>
      <c r="AT1443" s="156"/>
      <c r="AU1443" s="156"/>
      <c r="AV1443" s="156"/>
      <c r="AW1443" s="156"/>
      <c r="AX1443" s="156"/>
      <c r="AY1443" s="156"/>
      <c r="AZ1443" s="156"/>
      <c r="BA1443" s="156"/>
      <c r="BB1443" s="156"/>
      <c r="BC1443" s="156"/>
      <c r="BD1443" s="156"/>
      <c r="BE1443" s="156"/>
      <c r="BF1443" s="156"/>
      <c r="BG1443" s="156"/>
      <c r="BH1443" s="156"/>
      <c r="BI1443" s="156"/>
      <c r="BJ1443" s="156"/>
      <c r="BK1443" s="156"/>
      <c r="BL1443" s="156"/>
      <c r="BM1443" s="156"/>
      <c r="BN1443" s="156"/>
      <c r="BO1443" s="156"/>
      <c r="BP1443" s="156"/>
      <c r="BQ1443" s="156"/>
      <c r="BR1443" s="156"/>
    </row>
    <row r="1444" spans="2:70" outlineLevel="2">
      <c r="B1444" s="5"/>
      <c r="C1444" s="30" t="s">
        <v>79</v>
      </c>
      <c r="D1444" s="31" t="s">
        <v>58</v>
      </c>
      <c r="E1444" s="7"/>
      <c r="F1444" s="7"/>
      <c r="G1444" s="708">
        <f>G1439+G1442</f>
        <v>87</v>
      </c>
      <c r="H1444" s="7"/>
      <c r="I1444" s="7"/>
      <c r="K1444" s="13">
        <f t="shared" ref="K1444:L1444" si="7549">K1442+K1439</f>
        <v>21.666666666666668</v>
      </c>
      <c r="L1444" s="13">
        <f t="shared" si="7549"/>
        <v>26</v>
      </c>
      <c r="M1444" s="167">
        <f>SUM(K1444:L1444)</f>
        <v>47.666666666666671</v>
      </c>
      <c r="N1444" s="13">
        <f t="shared" ref="N1444:V1444" si="7550">N1442+N1439</f>
        <v>36</v>
      </c>
      <c r="O1444" s="13">
        <f t="shared" si="7550"/>
        <v>36</v>
      </c>
      <c r="P1444" s="13">
        <f t="shared" si="7550"/>
        <v>72</v>
      </c>
      <c r="Q1444" s="13">
        <f t="shared" si="7550"/>
        <v>46</v>
      </c>
      <c r="R1444" s="13">
        <f t="shared" si="7550"/>
        <v>41</v>
      </c>
      <c r="S1444" s="13">
        <f t="shared" si="7550"/>
        <v>87</v>
      </c>
      <c r="T1444" s="13">
        <f t="shared" si="7550"/>
        <v>46</v>
      </c>
      <c r="U1444" s="13">
        <f t="shared" si="7550"/>
        <v>41</v>
      </c>
      <c r="V1444" s="13">
        <f t="shared" si="7550"/>
        <v>87</v>
      </c>
      <c r="W1444" s="13">
        <f t="shared" ref="W1444:AN1444" si="7551">W1442+W1439</f>
        <v>46</v>
      </c>
      <c r="X1444" s="13">
        <f t="shared" si="7551"/>
        <v>41</v>
      </c>
      <c r="Y1444" s="13">
        <f t="shared" si="7551"/>
        <v>87</v>
      </c>
      <c r="Z1444" s="13">
        <f t="shared" si="7551"/>
        <v>46</v>
      </c>
      <c r="AA1444" s="13">
        <f t="shared" si="7551"/>
        <v>41</v>
      </c>
      <c r="AB1444" s="13">
        <f t="shared" si="7551"/>
        <v>87</v>
      </c>
      <c r="AC1444" s="13">
        <f t="shared" si="7551"/>
        <v>46</v>
      </c>
      <c r="AD1444" s="13">
        <f t="shared" si="7551"/>
        <v>41</v>
      </c>
      <c r="AE1444" s="164">
        <f t="shared" si="7551"/>
        <v>87</v>
      </c>
      <c r="AF1444" s="164">
        <f t="shared" si="7551"/>
        <v>46</v>
      </c>
      <c r="AG1444" s="1018">
        <f t="shared" si="7551"/>
        <v>41</v>
      </c>
      <c r="AH1444" s="13">
        <f t="shared" si="7551"/>
        <v>87</v>
      </c>
      <c r="AI1444" s="13">
        <f t="shared" si="7551"/>
        <v>46</v>
      </c>
      <c r="AJ1444" s="13">
        <f t="shared" si="7551"/>
        <v>41</v>
      </c>
      <c r="AK1444" s="13">
        <f t="shared" si="7551"/>
        <v>87</v>
      </c>
      <c r="AL1444" s="13">
        <f t="shared" si="7551"/>
        <v>46</v>
      </c>
      <c r="AM1444" s="13">
        <f t="shared" si="7551"/>
        <v>41</v>
      </c>
      <c r="AN1444" s="13">
        <f t="shared" si="7551"/>
        <v>87</v>
      </c>
      <c r="AO1444" s="13">
        <f t="shared" ref="AO1444:BR1444" si="7552">AO1442+AO1439</f>
        <v>46</v>
      </c>
      <c r="AP1444" s="13">
        <f t="shared" si="7552"/>
        <v>41</v>
      </c>
      <c r="AQ1444" s="13">
        <f t="shared" si="7552"/>
        <v>87</v>
      </c>
      <c r="AR1444" s="13">
        <f t="shared" si="7552"/>
        <v>46</v>
      </c>
      <c r="AS1444" s="13">
        <f t="shared" si="7552"/>
        <v>41</v>
      </c>
      <c r="AT1444" s="13">
        <f t="shared" si="7552"/>
        <v>87</v>
      </c>
      <c r="AU1444" s="13">
        <f t="shared" si="7552"/>
        <v>46</v>
      </c>
      <c r="AV1444" s="13">
        <f t="shared" si="7552"/>
        <v>41</v>
      </c>
      <c r="AW1444" s="13">
        <f t="shared" si="7552"/>
        <v>87</v>
      </c>
      <c r="AX1444" s="13">
        <f t="shared" si="7552"/>
        <v>46</v>
      </c>
      <c r="AY1444" s="13">
        <f t="shared" si="7552"/>
        <v>41</v>
      </c>
      <c r="AZ1444" s="13">
        <f t="shared" si="7552"/>
        <v>87</v>
      </c>
      <c r="BA1444" s="13">
        <f t="shared" si="7552"/>
        <v>46</v>
      </c>
      <c r="BB1444" s="13">
        <f t="shared" si="7552"/>
        <v>41</v>
      </c>
      <c r="BC1444" s="13">
        <f t="shared" si="7552"/>
        <v>87</v>
      </c>
      <c r="BD1444" s="13">
        <f t="shared" si="7552"/>
        <v>46</v>
      </c>
      <c r="BE1444" s="13">
        <f t="shared" si="7552"/>
        <v>41</v>
      </c>
      <c r="BF1444" s="13">
        <f t="shared" si="7552"/>
        <v>87</v>
      </c>
      <c r="BG1444" s="13">
        <f t="shared" si="7552"/>
        <v>46</v>
      </c>
      <c r="BH1444" s="13">
        <f t="shared" si="7552"/>
        <v>41</v>
      </c>
      <c r="BI1444" s="13">
        <f t="shared" si="7552"/>
        <v>87</v>
      </c>
      <c r="BJ1444" s="13">
        <f t="shared" si="7552"/>
        <v>46</v>
      </c>
      <c r="BK1444" s="13">
        <f t="shared" si="7552"/>
        <v>41</v>
      </c>
      <c r="BL1444" s="13">
        <f t="shared" si="7552"/>
        <v>87</v>
      </c>
      <c r="BM1444" s="13">
        <f t="shared" si="7552"/>
        <v>46</v>
      </c>
      <c r="BN1444" s="13">
        <f t="shared" si="7552"/>
        <v>41</v>
      </c>
      <c r="BO1444" s="13">
        <f t="shared" si="7552"/>
        <v>87</v>
      </c>
      <c r="BP1444" s="13">
        <f t="shared" si="7552"/>
        <v>46</v>
      </c>
      <c r="BQ1444" s="13">
        <f t="shared" si="7552"/>
        <v>41</v>
      </c>
      <c r="BR1444" s="13">
        <f t="shared" si="7552"/>
        <v>87</v>
      </c>
    </row>
    <row r="1445" spans="2:70" outlineLevel="2">
      <c r="B1445" s="5"/>
      <c r="C1445" s="30" t="s">
        <v>75</v>
      </c>
      <c r="D1445" s="31" t="s">
        <v>66</v>
      </c>
      <c r="E1445" s="7"/>
      <c r="F1445" s="7"/>
      <c r="G1445" s="711">
        <f>G1444/G1433</f>
        <v>0.31071428571428572</v>
      </c>
      <c r="H1445" s="7"/>
      <c r="I1445" s="7"/>
      <c r="K1445" s="20">
        <f>K1444/G1433*2</f>
        <v>0.15476190476190477</v>
      </c>
      <c r="L1445" s="20">
        <f>L1444/G1433*2</f>
        <v>0.18571428571428572</v>
      </c>
      <c r="M1445" s="20">
        <f>M1444/$G$1433</f>
        <v>0.17023809523809524</v>
      </c>
      <c r="N1445" s="20">
        <f>N1444/$G$1433*2</f>
        <v>0.25714285714285712</v>
      </c>
      <c r="O1445" s="20">
        <f>O1444/$G$1433*2</f>
        <v>0.25714285714285712</v>
      </c>
      <c r="P1445" s="20">
        <f>P1444/$G$1433</f>
        <v>0.25714285714285712</v>
      </c>
      <c r="Q1445" s="20">
        <f>Q1444/$G$1433*2</f>
        <v>0.32857142857142857</v>
      </c>
      <c r="R1445" s="20">
        <f>R1444/$G$1433*2</f>
        <v>0.29285714285714287</v>
      </c>
      <c r="S1445" s="20">
        <f>S1444/$G$1433</f>
        <v>0.31071428571428572</v>
      </c>
      <c r="T1445" s="20">
        <f>T1444/$G$1433*2</f>
        <v>0.32857142857142857</v>
      </c>
      <c r="U1445" s="20">
        <f>U1444/$G$1433*2</f>
        <v>0.29285714285714287</v>
      </c>
      <c r="V1445" s="20">
        <f>V1444/$G$1433</f>
        <v>0.31071428571428572</v>
      </c>
      <c r="W1445" s="20">
        <f>W1444/$G$1433*2</f>
        <v>0.32857142857142857</v>
      </c>
      <c r="X1445" s="20">
        <f>X1444/$G$1433*2</f>
        <v>0.29285714285714287</v>
      </c>
      <c r="Y1445" s="20">
        <f>Y1444/$G$1433</f>
        <v>0.31071428571428572</v>
      </c>
      <c r="Z1445" s="20">
        <f>Z1444/$G$1433*2</f>
        <v>0.32857142857142857</v>
      </c>
      <c r="AA1445" s="20">
        <f>AA1444/$G$1433*2</f>
        <v>0.29285714285714287</v>
      </c>
      <c r="AB1445" s="20">
        <f>AB1444/$G$1433</f>
        <v>0.31071428571428572</v>
      </c>
      <c r="AC1445" s="20">
        <f>AC1444/$G$1433*2</f>
        <v>0.32857142857142857</v>
      </c>
      <c r="AD1445" s="20">
        <f>AD1444/$G$1433*2</f>
        <v>0.29285714285714287</v>
      </c>
      <c r="AE1445" s="133">
        <f>AE1444/$G$1433</f>
        <v>0.31071428571428572</v>
      </c>
      <c r="AF1445" s="133">
        <f>AF1444/$G$1433*2</f>
        <v>0.32857142857142857</v>
      </c>
      <c r="AG1445" s="938">
        <f>AG1444/$G$1433*2</f>
        <v>0.29285714285714287</v>
      </c>
      <c r="AH1445" s="20">
        <f>AH1444/$G$1433</f>
        <v>0.31071428571428572</v>
      </c>
      <c r="AI1445" s="20">
        <f>AI1444/$G$1433*2</f>
        <v>0.32857142857142857</v>
      </c>
      <c r="AJ1445" s="20">
        <f>AJ1444/$G$1433*2</f>
        <v>0.29285714285714287</v>
      </c>
      <c r="AK1445" s="20">
        <f>AK1444/$G$1433</f>
        <v>0.31071428571428572</v>
      </c>
      <c r="AL1445" s="20">
        <f>AL1444/$G$1433*2</f>
        <v>0.32857142857142857</v>
      </c>
      <c r="AM1445" s="20">
        <f>AM1444/$G$1433*2</f>
        <v>0.29285714285714287</v>
      </c>
      <c r="AN1445" s="20">
        <f>AN1444/$G$1433</f>
        <v>0.31071428571428572</v>
      </c>
      <c r="AO1445" s="20">
        <f>AO1444/$G$1433*2</f>
        <v>0.32857142857142857</v>
      </c>
      <c r="AP1445" s="20">
        <f>AP1444/$G$1433*2</f>
        <v>0.29285714285714287</v>
      </c>
      <c r="AQ1445" s="20">
        <f>AQ1444/$G$1433</f>
        <v>0.31071428571428572</v>
      </c>
      <c r="AR1445" s="20">
        <f>AR1444/$G$1433*2</f>
        <v>0.32857142857142857</v>
      </c>
      <c r="AS1445" s="20">
        <f>AS1444/$G$1433*2</f>
        <v>0.29285714285714287</v>
      </c>
      <c r="AT1445" s="20">
        <f>AT1444/$G$1433</f>
        <v>0.31071428571428572</v>
      </c>
      <c r="AU1445" s="20">
        <f>AU1444/$G$1433*2</f>
        <v>0.32857142857142857</v>
      </c>
      <c r="AV1445" s="20">
        <f>AV1444/$G$1433*2</f>
        <v>0.29285714285714287</v>
      </c>
      <c r="AW1445" s="20">
        <f>AW1444/$G$1433</f>
        <v>0.31071428571428572</v>
      </c>
      <c r="AX1445" s="20">
        <f>AX1444/$G$1433*2</f>
        <v>0.32857142857142857</v>
      </c>
      <c r="AY1445" s="20">
        <f>AY1444/$G$1433*2</f>
        <v>0.29285714285714287</v>
      </c>
      <c r="AZ1445" s="20">
        <f>AZ1444/$G$1433</f>
        <v>0.31071428571428572</v>
      </c>
      <c r="BA1445" s="20">
        <f>BA1444/$G$1433*2</f>
        <v>0.32857142857142857</v>
      </c>
      <c r="BB1445" s="20">
        <f>BB1444/$G$1433*2</f>
        <v>0.29285714285714287</v>
      </c>
      <c r="BC1445" s="20">
        <f>BC1444/$G$1433</f>
        <v>0.31071428571428572</v>
      </c>
      <c r="BD1445" s="20">
        <f>BD1444/$G$1433*2</f>
        <v>0.32857142857142857</v>
      </c>
      <c r="BE1445" s="20">
        <f>BE1444/$G$1433*2</f>
        <v>0.29285714285714287</v>
      </c>
      <c r="BF1445" s="20">
        <f>BF1444/$G$1433</f>
        <v>0.31071428571428572</v>
      </c>
      <c r="BG1445" s="20">
        <f>BG1444/$G$1433*2</f>
        <v>0.32857142857142857</v>
      </c>
      <c r="BH1445" s="20">
        <f>BH1444/$G$1433*2</f>
        <v>0.29285714285714287</v>
      </c>
      <c r="BI1445" s="20">
        <f>BI1444/$G$1433</f>
        <v>0.31071428571428572</v>
      </c>
      <c r="BJ1445" s="20">
        <f>BJ1444/$G$1433*2</f>
        <v>0.32857142857142857</v>
      </c>
      <c r="BK1445" s="20">
        <f>BK1444/$G$1433*2</f>
        <v>0.29285714285714287</v>
      </c>
      <c r="BL1445" s="20">
        <f>BL1444/$G$1433</f>
        <v>0.31071428571428572</v>
      </c>
      <c r="BM1445" s="20">
        <f>BM1444/$G$1433*2</f>
        <v>0.32857142857142857</v>
      </c>
      <c r="BN1445" s="20">
        <f>BN1444/$G$1433*2</f>
        <v>0.29285714285714287</v>
      </c>
      <c r="BO1445" s="20">
        <f>BO1444/$G$1433</f>
        <v>0.31071428571428572</v>
      </c>
      <c r="BP1445" s="20">
        <f>BP1444/$G$1433*2</f>
        <v>0.32857142857142857</v>
      </c>
      <c r="BQ1445" s="20">
        <f>BQ1444/$G$1433*2</f>
        <v>0.29285714285714287</v>
      </c>
      <c r="BR1445" s="20">
        <f>BR1444/$G$1433</f>
        <v>0.31071428571428572</v>
      </c>
    </row>
    <row r="1446" spans="2:70" outlineLevel="2">
      <c r="B1446" s="5"/>
      <c r="C1446" s="642" t="s">
        <v>267</v>
      </c>
      <c r="D1446" s="633" t="s">
        <v>58</v>
      </c>
      <c r="E1446" s="634"/>
      <c r="F1446" s="634"/>
      <c r="G1446" s="634"/>
      <c r="H1446" s="634"/>
      <c r="I1446" s="634"/>
      <c r="J1446" s="634"/>
      <c r="K1446" s="739">
        <f>(K1435-H1435)</f>
        <v>250</v>
      </c>
      <c r="L1446" s="739">
        <f>(L1435-I1435)</f>
        <v>300</v>
      </c>
      <c r="M1446" s="739">
        <f>K1446+L1446</f>
        <v>550</v>
      </c>
      <c r="N1446" s="739">
        <f>(N1435-K1435)</f>
        <v>50</v>
      </c>
      <c r="O1446" s="739">
        <f>(O1435-L1435)</f>
        <v>0</v>
      </c>
      <c r="P1446" s="739">
        <f>N1446+O1446</f>
        <v>50</v>
      </c>
      <c r="Q1446" s="739">
        <f>(Q1435-N1435)</f>
        <v>0</v>
      </c>
      <c r="R1446" s="739">
        <f>(R1435-O1435)</f>
        <v>0</v>
      </c>
      <c r="S1446" s="739">
        <f>Q1446+R1446</f>
        <v>0</v>
      </c>
      <c r="T1446" s="739">
        <f>(T1435-Q1435)</f>
        <v>0</v>
      </c>
      <c r="U1446" s="739">
        <f>(U1435-R1435)</f>
        <v>0</v>
      </c>
      <c r="V1446" s="739">
        <f>T1446+U1446</f>
        <v>0</v>
      </c>
      <c r="W1446" s="739">
        <f>(W1435-T1435)</f>
        <v>0</v>
      </c>
      <c r="X1446" s="739">
        <f>(X1435-U1435)</f>
        <v>0</v>
      </c>
      <c r="Y1446" s="739">
        <f>W1446+X1446</f>
        <v>0</v>
      </c>
      <c r="Z1446" s="739">
        <f>(Z1435-W1435)</f>
        <v>0</v>
      </c>
      <c r="AA1446" s="739">
        <f>(AA1435-X1435)</f>
        <v>0</v>
      </c>
      <c r="AB1446" s="739">
        <f>Z1446+AA1446</f>
        <v>0</v>
      </c>
      <c r="AC1446" s="739">
        <f>(AC1435-Z1435)</f>
        <v>0</v>
      </c>
      <c r="AD1446" s="739">
        <f>(AD1435-AA1435)</f>
        <v>0</v>
      </c>
      <c r="AE1446" s="739">
        <f>AC1446+AD1446</f>
        <v>0</v>
      </c>
      <c r="AF1446" s="739">
        <f>(AF1435-AC1435)</f>
        <v>0</v>
      </c>
      <c r="AG1446" s="1063">
        <f>(AG1435-AD1435)</f>
        <v>0</v>
      </c>
      <c r="AH1446" s="739">
        <f>AF1446+AG1446</f>
        <v>0</v>
      </c>
      <c r="AI1446" s="739">
        <f>(AI1435-AF1435)</f>
        <v>0</v>
      </c>
      <c r="AJ1446" s="739">
        <f>(AJ1435-AG1435)</f>
        <v>0</v>
      </c>
      <c r="AK1446" s="739">
        <f>AI1446+AJ1446</f>
        <v>0</v>
      </c>
      <c r="AL1446" s="739">
        <f>(AL1435-AI1435)</f>
        <v>0</v>
      </c>
      <c r="AM1446" s="739">
        <f>(AM1435-AJ1435)</f>
        <v>0</v>
      </c>
      <c r="AN1446" s="739">
        <f>AL1446+AM1446</f>
        <v>0</v>
      </c>
      <c r="AO1446" s="739">
        <f>(AO1435-AL1435)</f>
        <v>0</v>
      </c>
      <c r="AP1446" s="739">
        <f>(AP1435-AM1435)</f>
        <v>0</v>
      </c>
      <c r="AQ1446" s="739">
        <f>AO1446+AP1446</f>
        <v>0</v>
      </c>
      <c r="AR1446" s="739">
        <f>(AR1435-AO1435)</f>
        <v>0</v>
      </c>
      <c r="AS1446" s="739">
        <f>(AS1435-AP1435)</f>
        <v>0</v>
      </c>
      <c r="AT1446" s="739">
        <f>AR1446+AS1446</f>
        <v>0</v>
      </c>
      <c r="AU1446" s="739">
        <f>(AU1435-AR1435)</f>
        <v>0</v>
      </c>
      <c r="AV1446" s="739">
        <f>(AV1435-AS1435)</f>
        <v>0</v>
      </c>
      <c r="AW1446" s="739">
        <f>AU1446+AV1446</f>
        <v>0</v>
      </c>
      <c r="AX1446" s="739">
        <f>(AX1435-AU1435)</f>
        <v>0</v>
      </c>
      <c r="AY1446" s="739">
        <f>(AY1435-AV1435)</f>
        <v>0</v>
      </c>
      <c r="AZ1446" s="739">
        <f>AX1446+AY1446</f>
        <v>0</v>
      </c>
      <c r="BA1446" s="739">
        <f>(BA1435-AX1435)</f>
        <v>0</v>
      </c>
      <c r="BB1446" s="739">
        <f>(BB1435-AY1435)</f>
        <v>0</v>
      </c>
      <c r="BC1446" s="739">
        <f>BA1446+BB1446</f>
        <v>0</v>
      </c>
      <c r="BD1446" s="739">
        <f>(BD1435-BA1435)</f>
        <v>0</v>
      </c>
      <c r="BE1446" s="739">
        <f>(BE1435-BB1435)</f>
        <v>0</v>
      </c>
      <c r="BF1446" s="739">
        <f>BD1446+BE1446</f>
        <v>0</v>
      </c>
      <c r="BG1446" s="739">
        <f>(BG1435-BD1435)</f>
        <v>0</v>
      </c>
      <c r="BH1446" s="739">
        <f>(BH1435-BE1435)</f>
        <v>0</v>
      </c>
      <c r="BI1446" s="739">
        <f>BG1446+BH1446</f>
        <v>0</v>
      </c>
      <c r="BJ1446" s="739">
        <f>(BJ1435-BG1435)</f>
        <v>0</v>
      </c>
      <c r="BK1446" s="739">
        <f>(BK1435-BH1435)</f>
        <v>0</v>
      </c>
      <c r="BL1446" s="739">
        <f>BJ1446+BK1446</f>
        <v>0</v>
      </c>
      <c r="BM1446" s="739">
        <f>(BM1435-BJ1435)</f>
        <v>0</v>
      </c>
      <c r="BN1446" s="739">
        <f>(BN1435-BK1435)</f>
        <v>0</v>
      </c>
      <c r="BO1446" s="739">
        <f>BM1446+BN1446</f>
        <v>0</v>
      </c>
      <c r="BP1446" s="739">
        <f>(BP1435-BM1435)</f>
        <v>0</v>
      </c>
      <c r="BQ1446" s="739">
        <f>(BQ1435-BN1435)</f>
        <v>0</v>
      </c>
      <c r="BR1446" s="741">
        <f>BP1446+BQ1446</f>
        <v>0</v>
      </c>
    </row>
    <row r="1447" spans="2:70" outlineLevel="2">
      <c r="B1447" s="5"/>
      <c r="C1447" s="643" t="s">
        <v>268</v>
      </c>
      <c r="D1447" s="632" t="s">
        <v>58</v>
      </c>
      <c r="E1447" s="401"/>
      <c r="F1447" s="401"/>
      <c r="G1447" s="401"/>
      <c r="H1447" s="401"/>
      <c r="I1447" s="401"/>
      <c r="J1447" s="401"/>
      <c r="K1447" s="348">
        <f>(K1438-H1438)</f>
        <v>-7.5</v>
      </c>
      <c r="L1447" s="348">
        <f>(L1438-I1438)</f>
        <v>-9</v>
      </c>
      <c r="M1447" s="348">
        <f>K1447+L1447</f>
        <v>-16.5</v>
      </c>
      <c r="N1447" s="348">
        <f>(N1438-K1438)</f>
        <v>-1.5</v>
      </c>
      <c r="O1447" s="348">
        <f>(O1438-L1438)</f>
        <v>0</v>
      </c>
      <c r="P1447" s="348">
        <f>N1447+O1447</f>
        <v>-1.5</v>
      </c>
      <c r="Q1447" s="348">
        <f>(Q1438-N1438)</f>
        <v>0</v>
      </c>
      <c r="R1447" s="348">
        <f>(R1438-O1438)</f>
        <v>0</v>
      </c>
      <c r="S1447" s="348">
        <f>Q1447+R1447</f>
        <v>0</v>
      </c>
      <c r="T1447" s="348">
        <f>(T1438-Q1438)</f>
        <v>0</v>
      </c>
      <c r="U1447" s="348">
        <f>(U1438-R1438)</f>
        <v>0</v>
      </c>
      <c r="V1447" s="348">
        <f>T1447+U1447</f>
        <v>0</v>
      </c>
      <c r="W1447" s="348">
        <f>(W1438-T1438)</f>
        <v>0</v>
      </c>
      <c r="X1447" s="348">
        <f>(X1438-U1438)</f>
        <v>0</v>
      </c>
      <c r="Y1447" s="348">
        <f>W1447+X1447</f>
        <v>0</v>
      </c>
      <c r="Z1447" s="348">
        <f>(Z1438-W1438)</f>
        <v>0</v>
      </c>
      <c r="AA1447" s="348">
        <f>(AA1438-X1438)</f>
        <v>0</v>
      </c>
      <c r="AB1447" s="348">
        <f>Z1447+AA1447</f>
        <v>0</v>
      </c>
      <c r="AC1447" s="348">
        <f>(AC1438-Z1438)</f>
        <v>0</v>
      </c>
      <c r="AD1447" s="348">
        <f>(AD1438-AA1438)</f>
        <v>0</v>
      </c>
      <c r="AE1447" s="348">
        <f>AC1447+AD1447</f>
        <v>0</v>
      </c>
      <c r="AF1447" s="348">
        <f>(AF1438-AC1438)</f>
        <v>0</v>
      </c>
      <c r="AG1447" s="1008">
        <f>(AG1438-AD1438)</f>
        <v>0</v>
      </c>
      <c r="AH1447" s="348">
        <f>AF1447+AG1447</f>
        <v>0</v>
      </c>
      <c r="AI1447" s="348">
        <f>(AI1438-AF1438)</f>
        <v>0</v>
      </c>
      <c r="AJ1447" s="348">
        <f>(AJ1438-AG1438)</f>
        <v>0</v>
      </c>
      <c r="AK1447" s="348">
        <f>AI1447+AJ1447</f>
        <v>0</v>
      </c>
      <c r="AL1447" s="348">
        <f>(AL1438-AI1438)</f>
        <v>0</v>
      </c>
      <c r="AM1447" s="348">
        <f>(AM1438-AJ1438)</f>
        <v>0</v>
      </c>
      <c r="AN1447" s="348">
        <f>AL1447+AM1447</f>
        <v>0</v>
      </c>
      <c r="AO1447" s="348">
        <f>(AO1438-AL1438)</f>
        <v>0</v>
      </c>
      <c r="AP1447" s="348">
        <f>(AP1438-AM1438)</f>
        <v>0</v>
      </c>
      <c r="AQ1447" s="348">
        <f>AO1447+AP1447</f>
        <v>0</v>
      </c>
      <c r="AR1447" s="348">
        <f>(AR1438-AO1438)</f>
        <v>0</v>
      </c>
      <c r="AS1447" s="348">
        <f>(AS1438-AP1438)</f>
        <v>0</v>
      </c>
      <c r="AT1447" s="348">
        <f>AR1447+AS1447</f>
        <v>0</v>
      </c>
      <c r="AU1447" s="348">
        <f>(AU1438-AR1438)</f>
        <v>0</v>
      </c>
      <c r="AV1447" s="348">
        <f>(AV1438-AS1438)</f>
        <v>0</v>
      </c>
      <c r="AW1447" s="348">
        <f>AU1447+AV1447</f>
        <v>0</v>
      </c>
      <c r="AX1447" s="348">
        <f>(AX1438-AU1438)</f>
        <v>0</v>
      </c>
      <c r="AY1447" s="348">
        <f>(AY1438-AV1438)</f>
        <v>0</v>
      </c>
      <c r="AZ1447" s="348">
        <f>AX1447+AY1447</f>
        <v>0</v>
      </c>
      <c r="BA1447" s="348">
        <f>(BA1438-AX1438)</f>
        <v>0</v>
      </c>
      <c r="BB1447" s="348">
        <f>(BB1438-AY1438)</f>
        <v>0</v>
      </c>
      <c r="BC1447" s="348">
        <f>BA1447+BB1447</f>
        <v>0</v>
      </c>
      <c r="BD1447" s="348">
        <f>(BD1438-BA1438)</f>
        <v>0</v>
      </c>
      <c r="BE1447" s="348">
        <f>(BE1438-BB1438)</f>
        <v>0</v>
      </c>
      <c r="BF1447" s="348">
        <f>BD1447+BE1447</f>
        <v>0</v>
      </c>
      <c r="BG1447" s="348">
        <f>(BG1438-BD1438)</f>
        <v>0</v>
      </c>
      <c r="BH1447" s="348">
        <f>(BH1438-BE1438)</f>
        <v>0</v>
      </c>
      <c r="BI1447" s="348">
        <f>BG1447+BH1447</f>
        <v>0</v>
      </c>
      <c r="BJ1447" s="348">
        <f>(BJ1438-BG1438)</f>
        <v>0</v>
      </c>
      <c r="BK1447" s="348">
        <f>(BK1438-BH1438)</f>
        <v>0</v>
      </c>
      <c r="BL1447" s="348">
        <f>BJ1447+BK1447</f>
        <v>0</v>
      </c>
      <c r="BM1447" s="348">
        <f>(BM1438-BJ1438)</f>
        <v>0</v>
      </c>
      <c r="BN1447" s="348">
        <f>(BN1438-BK1438)</f>
        <v>0</v>
      </c>
      <c r="BO1447" s="348">
        <f>BM1447+BN1447</f>
        <v>0</v>
      </c>
      <c r="BP1447" s="348">
        <f>(BP1438-BM1438)</f>
        <v>0</v>
      </c>
      <c r="BQ1447" s="348">
        <f>(BQ1438-BN1438)</f>
        <v>0</v>
      </c>
      <c r="BR1447" s="742">
        <f>BP1447+BQ1447</f>
        <v>0</v>
      </c>
    </row>
    <row r="1448" spans="2:70" outlineLevel="2">
      <c r="B1448" s="5"/>
      <c r="C1448" s="644" t="s">
        <v>269</v>
      </c>
      <c r="D1448" s="636" t="s">
        <v>58</v>
      </c>
      <c r="E1448" s="554"/>
      <c r="F1448" s="554"/>
      <c r="G1448" s="554"/>
      <c r="H1448" s="554"/>
      <c r="I1448" s="554"/>
      <c r="J1448" s="554"/>
      <c r="K1448" s="740">
        <f>(K1444-H1444)</f>
        <v>21.666666666666668</v>
      </c>
      <c r="L1448" s="740">
        <f>(L1444-I1444)</f>
        <v>26</v>
      </c>
      <c r="M1448" s="740">
        <f>K1448+L1448</f>
        <v>47.666666666666671</v>
      </c>
      <c r="N1448" s="740">
        <f>(N1444-K1444)</f>
        <v>14.333333333333332</v>
      </c>
      <c r="O1448" s="740">
        <f>(O1444-L1444)</f>
        <v>10</v>
      </c>
      <c r="P1448" s="740">
        <f>N1448+O1448</f>
        <v>24.333333333333332</v>
      </c>
      <c r="Q1448" s="740">
        <f>(Q1444-N1444)</f>
        <v>10</v>
      </c>
      <c r="R1448" s="740">
        <f>(R1444-O1444)</f>
        <v>5</v>
      </c>
      <c r="S1448" s="740">
        <f>Q1448+R1448</f>
        <v>15</v>
      </c>
      <c r="T1448" s="740">
        <f>(T1444-Q1444)</f>
        <v>0</v>
      </c>
      <c r="U1448" s="740">
        <f>(U1444-R1444)</f>
        <v>0</v>
      </c>
      <c r="V1448" s="740">
        <f>T1448+U1448</f>
        <v>0</v>
      </c>
      <c r="W1448" s="740">
        <f>(W1444-T1444)</f>
        <v>0</v>
      </c>
      <c r="X1448" s="740">
        <f>(X1444-U1444)</f>
        <v>0</v>
      </c>
      <c r="Y1448" s="740">
        <f>W1448+X1448</f>
        <v>0</v>
      </c>
      <c r="Z1448" s="740">
        <f>(Z1444-W1444)</f>
        <v>0</v>
      </c>
      <c r="AA1448" s="740">
        <f>(AA1444-X1444)</f>
        <v>0</v>
      </c>
      <c r="AB1448" s="740">
        <f>Z1448+AA1448</f>
        <v>0</v>
      </c>
      <c r="AC1448" s="740">
        <f>(AC1444-Z1444)</f>
        <v>0</v>
      </c>
      <c r="AD1448" s="740">
        <f>(AD1444-AA1444)</f>
        <v>0</v>
      </c>
      <c r="AE1448" s="740">
        <f>AC1448+AD1448</f>
        <v>0</v>
      </c>
      <c r="AF1448" s="740">
        <f>(AF1444-AC1444)</f>
        <v>0</v>
      </c>
      <c r="AG1448" s="1064">
        <f>(AG1444-AD1444)</f>
        <v>0</v>
      </c>
      <c r="AH1448" s="740">
        <f>AF1448+AG1448</f>
        <v>0</v>
      </c>
      <c r="AI1448" s="740">
        <f>(AI1444-AF1444)</f>
        <v>0</v>
      </c>
      <c r="AJ1448" s="740">
        <f>(AJ1444-AG1444)</f>
        <v>0</v>
      </c>
      <c r="AK1448" s="740">
        <f>AI1448+AJ1448</f>
        <v>0</v>
      </c>
      <c r="AL1448" s="740">
        <f>(AL1444-AI1444)</f>
        <v>0</v>
      </c>
      <c r="AM1448" s="740">
        <f>(AM1444-AJ1444)</f>
        <v>0</v>
      </c>
      <c r="AN1448" s="740">
        <f>AL1448+AM1448</f>
        <v>0</v>
      </c>
      <c r="AO1448" s="740">
        <f>(AO1444-AL1444)</f>
        <v>0</v>
      </c>
      <c r="AP1448" s="740">
        <f>(AP1444-AM1444)</f>
        <v>0</v>
      </c>
      <c r="AQ1448" s="740">
        <f>AO1448+AP1448</f>
        <v>0</v>
      </c>
      <c r="AR1448" s="740">
        <f>(AR1444-AO1444)</f>
        <v>0</v>
      </c>
      <c r="AS1448" s="740">
        <f>(AS1444-AP1444)</f>
        <v>0</v>
      </c>
      <c r="AT1448" s="740">
        <f>AR1448+AS1448</f>
        <v>0</v>
      </c>
      <c r="AU1448" s="740">
        <f>(AU1444-AR1444)</f>
        <v>0</v>
      </c>
      <c r="AV1448" s="740">
        <f>(AV1444-AS1444)</f>
        <v>0</v>
      </c>
      <c r="AW1448" s="740">
        <f>AU1448+AV1448</f>
        <v>0</v>
      </c>
      <c r="AX1448" s="740">
        <f>(AX1444-AU1444)</f>
        <v>0</v>
      </c>
      <c r="AY1448" s="740">
        <f>(AY1444-AV1444)</f>
        <v>0</v>
      </c>
      <c r="AZ1448" s="740">
        <f>AX1448+AY1448</f>
        <v>0</v>
      </c>
      <c r="BA1448" s="740">
        <f>(BA1444-AX1444)</f>
        <v>0</v>
      </c>
      <c r="BB1448" s="740">
        <f>(BB1444-AY1444)</f>
        <v>0</v>
      </c>
      <c r="BC1448" s="740">
        <f>BA1448+BB1448</f>
        <v>0</v>
      </c>
      <c r="BD1448" s="740">
        <f>(BD1444-BA1444)</f>
        <v>0</v>
      </c>
      <c r="BE1448" s="740">
        <f>(BE1444-BB1444)</f>
        <v>0</v>
      </c>
      <c r="BF1448" s="740">
        <f>BD1448+BE1448</f>
        <v>0</v>
      </c>
      <c r="BG1448" s="740">
        <f>(BG1444-BD1444)</f>
        <v>0</v>
      </c>
      <c r="BH1448" s="740">
        <f>(BH1444-BE1444)</f>
        <v>0</v>
      </c>
      <c r="BI1448" s="740">
        <f>BG1448+BH1448</f>
        <v>0</v>
      </c>
      <c r="BJ1448" s="740">
        <f>(BJ1444-BG1444)</f>
        <v>0</v>
      </c>
      <c r="BK1448" s="740">
        <f>(BK1444-BH1444)</f>
        <v>0</v>
      </c>
      <c r="BL1448" s="740">
        <f>BJ1448+BK1448</f>
        <v>0</v>
      </c>
      <c r="BM1448" s="740">
        <f>(BM1444-BJ1444)</f>
        <v>0</v>
      </c>
      <c r="BN1448" s="740">
        <f>(BN1444-BK1444)</f>
        <v>0</v>
      </c>
      <c r="BO1448" s="740">
        <f>BM1448+BN1448</f>
        <v>0</v>
      </c>
      <c r="BP1448" s="740">
        <f>(BP1444-BM1444)</f>
        <v>0</v>
      </c>
      <c r="BQ1448" s="740">
        <f>(BQ1444-BN1444)</f>
        <v>0</v>
      </c>
      <c r="BR1448" s="743">
        <f>BP1448+BQ1448</f>
        <v>0</v>
      </c>
    </row>
    <row r="1449" spans="2:70" outlineLevel="1">
      <c r="B1449" s="539" t="s">
        <v>690</v>
      </c>
    </row>
    <row r="1450" spans="2:70" outlineLevel="1">
      <c r="C1450" s="8" t="s">
        <v>286</v>
      </c>
    </row>
    <row r="1451" spans="2:70" outlineLevel="1">
      <c r="B1451" s="5"/>
      <c r="C1451" s="6" t="s">
        <v>293</v>
      </c>
      <c r="D1451" s="7" t="s">
        <v>66</v>
      </c>
      <c r="T1451" s="429">
        <f t="shared" ref="T1451:AN1451" si="7553">+T1279</f>
        <v>4.9661399548532666E-2</v>
      </c>
      <c r="U1451" s="429">
        <f t="shared" si="7553"/>
        <v>5.4176072234762847E-2</v>
      </c>
      <c r="V1451" s="429">
        <f t="shared" si="7553"/>
        <v>5.1918735891647749E-2</v>
      </c>
      <c r="W1451" s="429">
        <f t="shared" si="7553"/>
        <v>0.11827956989247305</v>
      </c>
      <c r="X1451" s="429">
        <f t="shared" si="7553"/>
        <v>0.21657387580299794</v>
      </c>
      <c r="Y1451" s="429">
        <f t="shared" si="7553"/>
        <v>0.15557939914163099</v>
      </c>
      <c r="Z1451" s="429">
        <f t="shared" si="7553"/>
        <v>-4.4230769230769129E-2</v>
      </c>
      <c r="AA1451" s="429">
        <f t="shared" si="7553"/>
        <v>0.13439856373429082</v>
      </c>
      <c r="AB1451" s="429">
        <f t="shared" si="7553"/>
        <v>5.8495821727019504E-2</v>
      </c>
      <c r="AC1451" s="429">
        <f t="shared" si="7553"/>
        <v>-0.45875251509054327</v>
      </c>
      <c r="AD1451" s="429">
        <f t="shared" si="7553"/>
        <v>-0.61599274235355117</v>
      </c>
      <c r="AE1451" s="429">
        <f t="shared" si="7553"/>
        <v>-0.54744152046783634</v>
      </c>
      <c r="AF1451" s="429">
        <f t="shared" ref="AF1451" si="7554">+AF1279</f>
        <v>1.3011152416356947E-2</v>
      </c>
      <c r="AG1451" s="974">
        <f t="shared" si="7553"/>
        <v>2.599326169184531E-2</v>
      </c>
      <c r="AH1451" s="429">
        <f t="shared" si="7553"/>
        <v>1.9238547194540993E-2</v>
      </c>
      <c r="AI1451" s="429">
        <f t="shared" si="7553"/>
        <v>2.8028470096865467E-2</v>
      </c>
      <c r="AJ1451" s="429">
        <f t="shared" si="7553"/>
        <v>4.8788229000143526E-2</v>
      </c>
      <c r="AK1451" s="429">
        <f t="shared" si="7553"/>
        <v>3.8039721899691514E-2</v>
      </c>
      <c r="AL1451" s="429">
        <f t="shared" si="7553"/>
        <v>0.10723159540799503</v>
      </c>
      <c r="AM1451" s="429">
        <f t="shared" si="7553"/>
        <v>8.898890490194554E-2</v>
      </c>
      <c r="AN1451" s="429">
        <f t="shared" si="7553"/>
        <v>9.8343088763006792E-2</v>
      </c>
      <c r="AO1451" s="429">
        <f t="shared" ref="AO1451:BR1451" si="7555">+AO1279</f>
        <v>4.6719042229832565E-2</v>
      </c>
      <c r="AP1451" s="429">
        <f t="shared" si="7555"/>
        <v>3.3833750000000003E-2</v>
      </c>
      <c r="AQ1451" s="429">
        <f t="shared" si="7555"/>
        <v>4.0494325149520227E-2</v>
      </c>
      <c r="AR1451" s="429">
        <f t="shared" si="7555"/>
        <v>3.3833749999999996E-2</v>
      </c>
      <c r="AS1451" s="429">
        <f t="shared" si="7555"/>
        <v>3.3833749999999996E-2</v>
      </c>
      <c r="AT1451" s="429">
        <f t="shared" si="7555"/>
        <v>3.3833750000000107E-2</v>
      </c>
      <c r="AU1451" s="429">
        <f t="shared" si="7555"/>
        <v>3.3833749999999996E-2</v>
      </c>
      <c r="AV1451" s="429">
        <f t="shared" si="7555"/>
        <v>3.3833749999999996E-2</v>
      </c>
      <c r="AW1451" s="429">
        <f t="shared" si="7555"/>
        <v>3.3833749999999885E-2</v>
      </c>
      <c r="AX1451" s="429">
        <f t="shared" si="7555"/>
        <v>3.3833749999999996E-2</v>
      </c>
      <c r="AY1451" s="429">
        <f t="shared" si="7555"/>
        <v>3.3833749999999996E-2</v>
      </c>
      <c r="AZ1451" s="429">
        <f t="shared" si="7555"/>
        <v>3.3833749999999663E-2</v>
      </c>
      <c r="BA1451" s="429">
        <f t="shared" si="7555"/>
        <v>3.3833749999999996E-2</v>
      </c>
      <c r="BB1451" s="429">
        <f t="shared" si="7555"/>
        <v>3.3833749999999996E-2</v>
      </c>
      <c r="BC1451" s="429">
        <f t="shared" si="7555"/>
        <v>3.3833750000000107E-2</v>
      </c>
      <c r="BD1451" s="429">
        <f t="shared" si="7555"/>
        <v>3.3833749999999996E-2</v>
      </c>
      <c r="BE1451" s="429">
        <f t="shared" si="7555"/>
        <v>3.3833749999999996E-2</v>
      </c>
      <c r="BF1451" s="429">
        <f t="shared" si="7555"/>
        <v>3.3833749999999663E-2</v>
      </c>
      <c r="BG1451" s="429">
        <f t="shared" si="7555"/>
        <v>3.3833749999999996E-2</v>
      </c>
      <c r="BH1451" s="429">
        <f t="shared" si="7555"/>
        <v>3.3833749999999989E-2</v>
      </c>
      <c r="BI1451" s="429">
        <f t="shared" si="7555"/>
        <v>3.3833750000000107E-2</v>
      </c>
      <c r="BJ1451" s="429">
        <f t="shared" si="7555"/>
        <v>3.3833749999999996E-2</v>
      </c>
      <c r="BK1451" s="429">
        <f t="shared" si="7555"/>
        <v>3.3833750000000003E-2</v>
      </c>
      <c r="BL1451" s="429">
        <f t="shared" si="7555"/>
        <v>3.3833749999999663E-2</v>
      </c>
      <c r="BM1451" s="429">
        <f t="shared" si="7555"/>
        <v>3.3833749999999996E-2</v>
      </c>
      <c r="BN1451" s="429">
        <f t="shared" si="7555"/>
        <v>3.3833749999999996E-2</v>
      </c>
      <c r="BO1451" s="429">
        <f t="shared" si="7555"/>
        <v>3.3833749999999885E-2</v>
      </c>
      <c r="BP1451" s="429">
        <f t="shared" si="7555"/>
        <v>3.3833749999999996E-2</v>
      </c>
      <c r="BQ1451" s="429">
        <f t="shared" si="7555"/>
        <v>3.3833749999999996E-2</v>
      </c>
      <c r="BR1451" s="429">
        <f t="shared" si="7555"/>
        <v>3.3833749999999885E-2</v>
      </c>
    </row>
    <row r="1452" spans="2:70" outlineLevel="1">
      <c r="B1452" s="5"/>
      <c r="C1452" s="6" t="s">
        <v>292</v>
      </c>
      <c r="D1452" s="7" t="s">
        <v>66</v>
      </c>
      <c r="T1452" s="429">
        <f t="shared" ref="T1452:AN1452" si="7556">+T1242</f>
        <v>-3.0217186024551465E-2</v>
      </c>
      <c r="U1452" s="429">
        <f t="shared" si="7556"/>
        <v>-4.0290088638194428E-3</v>
      </c>
      <c r="V1452" s="429">
        <f t="shared" si="7556"/>
        <v>-1.6086956521739082E-2</v>
      </c>
      <c r="W1452" s="429">
        <f t="shared" si="7556"/>
        <v>1.6553067185978522E-2</v>
      </c>
      <c r="X1452" s="429">
        <f t="shared" si="7556"/>
        <v>-3.1553398058252496E-2</v>
      </c>
      <c r="Y1452" s="429">
        <f t="shared" si="7556"/>
        <v>-9.7216084843128048E-3</v>
      </c>
      <c r="Z1452" s="429">
        <f t="shared" si="7556"/>
        <v>2.011494252873559E-2</v>
      </c>
      <c r="AA1452" s="429">
        <f t="shared" si="7556"/>
        <v>-5.2910052910052831E-2</v>
      </c>
      <c r="AB1452" s="429">
        <f t="shared" si="7556"/>
        <v>-1.8890376320095215E-2</v>
      </c>
      <c r="AC1452" s="429">
        <f t="shared" si="7556"/>
        <v>-1.126760563380283E-2</v>
      </c>
      <c r="AD1452" s="429">
        <f t="shared" si="7556"/>
        <v>5.3935185185185246E-2</v>
      </c>
      <c r="AE1452" s="429">
        <f t="shared" si="7556"/>
        <v>2.3154412870245181E-2</v>
      </c>
      <c r="AF1452" s="429">
        <f t="shared" ref="AF1452" si="7557">+AF1242</f>
        <v>-0.16513619996954654</v>
      </c>
      <c r="AG1452" s="974">
        <f t="shared" si="7556"/>
        <v>4.0021513768499432E-2</v>
      </c>
      <c r="AH1452" s="429">
        <f t="shared" si="7556"/>
        <v>-3.0547908797389303E-2</v>
      </c>
      <c r="AI1452" s="429">
        <f t="shared" si="7556"/>
        <v>5.36940914647367E-2</v>
      </c>
      <c r="AJ1452" s="429">
        <f t="shared" si="7556"/>
        <v>3.4442235485525073E-2</v>
      </c>
      <c r="AK1452" s="429">
        <f t="shared" si="7556"/>
        <v>1.3860088028941231E-2</v>
      </c>
      <c r="AL1452" s="429">
        <f t="shared" si="7556"/>
        <v>1.9977435853959023E-2</v>
      </c>
      <c r="AM1452" s="429">
        <f t="shared" si="7556"/>
        <v>2.355165195721021E-2</v>
      </c>
      <c r="AN1452" s="429">
        <f t="shared" si="7556"/>
        <v>2.1989438713498455E-2</v>
      </c>
      <c r="AO1452" s="429">
        <f t="shared" ref="AO1452:BR1452" si="7558">+AO1242</f>
        <v>2.2179330272653473E-2</v>
      </c>
      <c r="AP1452" s="429">
        <f t="shared" si="7558"/>
        <v>1.580651016619589E-2</v>
      </c>
      <c r="AQ1452" s="429">
        <f t="shared" si="7558"/>
        <v>1.8586449534525817E-2</v>
      </c>
      <c r="AR1452" s="429">
        <f t="shared" si="7558"/>
        <v>1.4428187092516073E-2</v>
      </c>
      <c r="AS1452" s="429">
        <f t="shared" si="7558"/>
        <v>1.5999280981580748E-2</v>
      </c>
      <c r="AT1452" s="429">
        <f t="shared" si="7558"/>
        <v>1.53115240053181E-2</v>
      </c>
      <c r="AU1452" s="429">
        <f t="shared" si="7558"/>
        <v>1.4615300884574177E-2</v>
      </c>
      <c r="AV1452" s="429">
        <f t="shared" si="7558"/>
        <v>1.6191906533465618E-2</v>
      </c>
      <c r="AW1452" s="429">
        <f t="shared" si="7558"/>
        <v>1.5502337205572703E-2</v>
      </c>
      <c r="AX1452" s="429">
        <f t="shared" si="7558"/>
        <v>1.4802667247227785E-2</v>
      </c>
      <c r="AY1452" s="429">
        <f t="shared" si="7558"/>
        <v>1.6384332974972087E-2</v>
      </c>
      <c r="AZ1452" s="429">
        <f t="shared" si="7558"/>
        <v>1.5693154759108596E-2</v>
      </c>
      <c r="BA1452" s="429">
        <f t="shared" si="7558"/>
        <v>1.4990237371261025E-2</v>
      </c>
      <c r="BB1452" s="429">
        <f t="shared" si="7558"/>
        <v>1.6576506609036909E-2</v>
      </c>
      <c r="BC1452" s="429">
        <f t="shared" si="7558"/>
        <v>1.5883924427159357E-2</v>
      </c>
      <c r="BD1452" s="429">
        <f t="shared" si="7558"/>
        <v>1.5177962111132174E-2</v>
      </c>
      <c r="BE1452" s="429">
        <f t="shared" si="7558"/>
        <v>1.6768373954044038E-2</v>
      </c>
      <c r="BF1452" s="429">
        <f t="shared" si="7558"/>
        <v>1.6074593931493464E-2</v>
      </c>
      <c r="BG1452" s="429">
        <f t="shared" si="7558"/>
        <v>1.5365792041079126E-2</v>
      </c>
      <c r="BH1452" s="429">
        <f t="shared" si="7558"/>
        <v>1.6959881808944227E-2</v>
      </c>
      <c r="BI1452" s="429">
        <f t="shared" si="7558"/>
        <v>1.6265111017328637E-2</v>
      </c>
      <c r="BJ1452" s="429">
        <f t="shared" si="7558"/>
        <v>1.555367751200646E-2</v>
      </c>
      <c r="BK1452" s="429">
        <f t="shared" si="7558"/>
        <v>1.715097731768939E-2</v>
      </c>
      <c r="BL1452" s="429">
        <f t="shared" si="7558"/>
        <v>1.6455423516245737E-2</v>
      </c>
      <c r="BM1452" s="429">
        <f t="shared" si="7558"/>
        <v>1.5741568709011607E-2</v>
      </c>
      <c r="BN1452" s="429">
        <f t="shared" si="7558"/>
        <v>1.7341608032812296E-2</v>
      </c>
      <c r="BO1452" s="429">
        <f t="shared" si="7558"/>
        <v>1.6645479408946784E-2</v>
      </c>
      <c r="BP1452" s="429">
        <f t="shared" si="7558"/>
        <v>1.5929415709404406E-2</v>
      </c>
      <c r="BQ1452" s="429">
        <f t="shared" si="7558"/>
        <v>1.7531721977985748E-2</v>
      </c>
      <c r="BR1452" s="429">
        <f t="shared" si="7558"/>
        <v>1.6835226887684129E-2</v>
      </c>
    </row>
    <row r="1453" spans="2:70" outlineLevel="1">
      <c r="B1453" s="5"/>
      <c r="C1453" s="8" t="s">
        <v>691</v>
      </c>
      <c r="D1453" s="7" t="s">
        <v>66</v>
      </c>
      <c r="T1453" s="429">
        <f t="shared" ref="T1453:AN1453" si="7559">+T1287</f>
        <v>-4.676018704074858E-3</v>
      </c>
      <c r="U1453" s="429">
        <f t="shared" si="7559"/>
        <v>1.189060642092743E-2</v>
      </c>
      <c r="V1453" s="429">
        <f t="shared" si="7559"/>
        <v>4.0893362692671076E-3</v>
      </c>
      <c r="W1453" s="429">
        <f t="shared" si="7559"/>
        <v>4.8993288590603923E-2</v>
      </c>
      <c r="X1453" s="429">
        <f t="shared" si="7559"/>
        <v>3.0552291421856559E-2</v>
      </c>
      <c r="Y1453" s="429">
        <f t="shared" si="7559"/>
        <v>3.9160401002506173E-2</v>
      </c>
      <c r="Z1453" s="429">
        <f t="shared" si="7559"/>
        <v>-6.3979526551505295E-4</v>
      </c>
      <c r="AA1453" s="429">
        <f t="shared" si="7559"/>
        <v>1.2922843025465567E-2</v>
      </c>
      <c r="AB1453" s="429">
        <f t="shared" si="7559"/>
        <v>6.5320068334840447E-3</v>
      </c>
      <c r="AC1453" s="429">
        <f t="shared" si="7559"/>
        <v>-0.15364916773367482</v>
      </c>
      <c r="AD1453" s="429">
        <f t="shared" si="7559"/>
        <v>-0.18537604456824508</v>
      </c>
      <c r="AE1453" s="429">
        <f t="shared" si="7559"/>
        <v>-0.17061364313375038</v>
      </c>
      <c r="AF1453" s="429">
        <f t="shared" ref="AF1453" si="7560">+AF1287</f>
        <v>-8.5330428467683322E-2</v>
      </c>
      <c r="AG1453" s="974">
        <f t="shared" si="7559"/>
        <v>3.6902176091826118E-2</v>
      </c>
      <c r="AH1453" s="429">
        <f t="shared" si="7559"/>
        <v>-2.1601229010170687E-2</v>
      </c>
      <c r="AI1453" s="429">
        <f t="shared" si="7559"/>
        <v>-3.2226064107395702E-3</v>
      </c>
      <c r="AJ1453" s="429">
        <f t="shared" si="7559"/>
        <v>3.6830795628506108E-2</v>
      </c>
      <c r="AK1453" s="429">
        <f t="shared" si="7559"/>
        <v>1.8358032377483013E-2</v>
      </c>
      <c r="AL1453" s="429">
        <f t="shared" si="7559"/>
        <v>3.8770207953646496E-2</v>
      </c>
      <c r="AM1453" s="429">
        <f t="shared" si="7559"/>
        <v>3.4572386122381005E-2</v>
      </c>
      <c r="AN1453" s="429">
        <f t="shared" si="7559"/>
        <v>3.6467407627409631E-2</v>
      </c>
      <c r="AO1453" s="429">
        <f t="shared" ref="AO1453:BR1453" si="7561">+AO1287</f>
        <v>2.7813022957422495E-2</v>
      </c>
      <c r="AP1453" s="429">
        <f t="shared" si="7561"/>
        <v>1.9002293124809055E-2</v>
      </c>
      <c r="AQ1453" s="429">
        <f t="shared" si="7561"/>
        <v>2.2988555320839099E-2</v>
      </c>
      <c r="AR1453" s="429">
        <f t="shared" si="7561"/>
        <v>1.8965157493795237E-2</v>
      </c>
      <c r="AS1453" s="429">
        <f t="shared" si="7561"/>
        <v>1.9206907299791576E-2</v>
      </c>
      <c r="AT1453" s="429">
        <f t="shared" si="7561"/>
        <v>1.9097015964179676E-2</v>
      </c>
      <c r="AU1453" s="429">
        <f t="shared" si="7561"/>
        <v>1.9174089036797515E-2</v>
      </c>
      <c r="AV1453" s="429">
        <f t="shared" si="7561"/>
        <v>1.9410424192475517E-2</v>
      </c>
      <c r="AW1453" s="429">
        <f t="shared" si="7561"/>
        <v>1.9303008074997186E-2</v>
      </c>
      <c r="AX1453" s="429">
        <f t="shared" si="7561"/>
        <v>1.9381944117069727E-2</v>
      </c>
      <c r="AY1453" s="429">
        <f t="shared" si="7561"/>
        <v>1.9612786133007098E-2</v>
      </c>
      <c r="AZ1453" s="429">
        <f t="shared" si="7561"/>
        <v>1.9507879959091312E-2</v>
      </c>
      <c r="BA1453" s="429">
        <f t="shared" si="7561"/>
        <v>1.9588661621265047E-2</v>
      </c>
      <c r="BB1453" s="429">
        <f t="shared" si="7561"/>
        <v>1.9813936891360129E-2</v>
      </c>
      <c r="BC1453" s="429">
        <f t="shared" si="7561"/>
        <v>1.9711573171723451E-2</v>
      </c>
      <c r="BD1453" s="429">
        <f t="shared" si="7561"/>
        <v>1.9794181891001239E-2</v>
      </c>
      <c r="BE1453" s="429">
        <f t="shared" si="7561"/>
        <v>2.0013821737553394E-2</v>
      </c>
      <c r="BF1453" s="429">
        <f t="shared" si="7561"/>
        <v>1.9914030750092682E-2</v>
      </c>
      <c r="BG1453" s="429">
        <f t="shared" si="7561"/>
        <v>1.9998446790195024E-2</v>
      </c>
      <c r="BH1453" s="429">
        <f t="shared" si="7561"/>
        <v>2.0212387497809958E-2</v>
      </c>
      <c r="BI1453" s="429">
        <f t="shared" si="7561"/>
        <v>2.011519727449973E-2</v>
      </c>
      <c r="BJ1453" s="429">
        <f t="shared" si="7561"/>
        <v>2.0201399768150718E-2</v>
      </c>
      <c r="BK1453" s="429">
        <f t="shared" si="7561"/>
        <v>2.0409582606563559E-2</v>
      </c>
      <c r="BL1453" s="429">
        <f t="shared" si="7561"/>
        <v>2.0315018925305628E-2</v>
      </c>
      <c r="BM1453" s="429">
        <f t="shared" si="7561"/>
        <v>2.0402985918283711E-2</v>
      </c>
      <c r="BN1453" s="429">
        <f t="shared" si="7561"/>
        <v>2.0605357154239279E-2</v>
      </c>
      <c r="BO1453" s="429">
        <f t="shared" si="7561"/>
        <v>2.051344353559359E-2</v>
      </c>
      <c r="BP1453" s="429">
        <f t="shared" si="7561"/>
        <v>2.0603152032382832E-2</v>
      </c>
      <c r="BQ1453" s="429">
        <f t="shared" si="7561"/>
        <v>2.079966293074631E-2</v>
      </c>
      <c r="BR1453" s="429">
        <f t="shared" si="7561"/>
        <v>2.0710420639461491E-2</v>
      </c>
    </row>
    <row r="1454" spans="2:70" outlineLevel="1">
      <c r="B1454" s="5"/>
      <c r="C1454" s="8" t="s">
        <v>654</v>
      </c>
      <c r="D1454" s="7" t="s">
        <v>66</v>
      </c>
      <c r="T1454" s="133">
        <f t="shared" ref="T1454:AN1454" si="7562">(T1216+T1230+T1259+T1267+T1275)/Q1285</f>
        <v>0</v>
      </c>
      <c r="U1454" s="133">
        <f t="shared" si="7562"/>
        <v>0</v>
      </c>
      <c r="V1454" s="133">
        <f t="shared" si="7562"/>
        <v>0</v>
      </c>
      <c r="W1454" s="133">
        <f t="shared" si="7562"/>
        <v>0</v>
      </c>
      <c r="X1454" s="133">
        <f t="shared" si="7562"/>
        <v>0</v>
      </c>
      <c r="Y1454" s="133">
        <f t="shared" si="7562"/>
        <v>0</v>
      </c>
      <c r="Z1454" s="133">
        <f t="shared" si="7562"/>
        <v>0</v>
      </c>
      <c r="AA1454" s="133">
        <f t="shared" si="7562"/>
        <v>1.0452299505891296E-2</v>
      </c>
      <c r="AB1454" s="133">
        <f t="shared" si="7562"/>
        <v>5.5270827052557531E-3</v>
      </c>
      <c r="AC1454" s="133">
        <f t="shared" si="7562"/>
        <v>3.5211267605633804E-2</v>
      </c>
      <c r="AD1454" s="133">
        <f t="shared" si="7562"/>
        <v>2.1030640668523681E-2</v>
      </c>
      <c r="AE1454" s="133">
        <f t="shared" si="7562"/>
        <v>2.7628835269585941E-2</v>
      </c>
      <c r="AF1454" s="133">
        <f t="shared" si="7562"/>
        <v>5.5555555555555552E-2</v>
      </c>
      <c r="AG1454" s="938">
        <f t="shared" si="7562"/>
        <v>3.6111111111111114E-3</v>
      </c>
      <c r="AH1454" s="133">
        <f t="shared" si="7562"/>
        <v>2.8472946356158036E-2</v>
      </c>
      <c r="AI1454" s="133">
        <f t="shared" si="7562"/>
        <v>0</v>
      </c>
      <c r="AJ1454" s="133">
        <f t="shared" si="7562"/>
        <v>0</v>
      </c>
      <c r="AK1454" s="133">
        <f t="shared" si="7562"/>
        <v>0</v>
      </c>
      <c r="AL1454" s="133">
        <f t="shared" si="7562"/>
        <v>0</v>
      </c>
      <c r="AM1454" s="133">
        <f t="shared" si="7562"/>
        <v>0</v>
      </c>
      <c r="AN1454" s="133">
        <f t="shared" si="7562"/>
        <v>0</v>
      </c>
      <c r="AO1454" s="133">
        <f t="shared" ref="AO1454" si="7563">(AO1216+AO1230+AO1259+AO1267+AO1275)/AL1285</f>
        <v>0</v>
      </c>
      <c r="AP1454" s="133">
        <f t="shared" ref="AP1454" si="7564">(AP1216+AP1230+AP1259+AP1267+AP1275)/AM1285</f>
        <v>0</v>
      </c>
      <c r="AQ1454" s="133">
        <f t="shared" ref="AQ1454" si="7565">(AQ1216+AQ1230+AQ1259+AQ1267+AQ1275)/AN1285</f>
        <v>0</v>
      </c>
      <c r="AR1454" s="133">
        <f t="shared" ref="AR1454" si="7566">(AR1216+AR1230+AR1259+AR1267+AR1275)/AO1285</f>
        <v>0</v>
      </c>
      <c r="AS1454" s="133">
        <f t="shared" ref="AS1454" si="7567">(AS1216+AS1230+AS1259+AS1267+AS1275)/AP1285</f>
        <v>0</v>
      </c>
      <c r="AT1454" s="133">
        <f t="shared" ref="AT1454" si="7568">(AT1216+AT1230+AT1259+AT1267+AT1275)/AQ1285</f>
        <v>0</v>
      </c>
      <c r="AU1454" s="133">
        <f t="shared" ref="AU1454" si="7569">(AU1216+AU1230+AU1259+AU1267+AU1275)/AR1285</f>
        <v>0</v>
      </c>
      <c r="AV1454" s="133">
        <f t="shared" ref="AV1454" si="7570">(AV1216+AV1230+AV1259+AV1267+AV1275)/AS1285</f>
        <v>0</v>
      </c>
      <c r="AW1454" s="133">
        <f t="shared" ref="AW1454" si="7571">(AW1216+AW1230+AW1259+AW1267+AW1275)/AT1285</f>
        <v>0</v>
      </c>
      <c r="AX1454" s="133">
        <f t="shared" ref="AX1454" si="7572">(AX1216+AX1230+AX1259+AX1267+AX1275)/AU1285</f>
        <v>0</v>
      </c>
      <c r="AY1454" s="133">
        <f t="shared" ref="AY1454" si="7573">(AY1216+AY1230+AY1259+AY1267+AY1275)/AV1285</f>
        <v>0</v>
      </c>
      <c r="AZ1454" s="133">
        <f t="shared" ref="AZ1454" si="7574">(AZ1216+AZ1230+AZ1259+AZ1267+AZ1275)/AW1285</f>
        <v>0</v>
      </c>
      <c r="BA1454" s="133">
        <f t="shared" ref="BA1454" si="7575">(BA1216+BA1230+BA1259+BA1267+BA1275)/AX1285</f>
        <v>0</v>
      </c>
      <c r="BB1454" s="133">
        <f t="shared" ref="BB1454" si="7576">(BB1216+BB1230+BB1259+BB1267+BB1275)/AY1285</f>
        <v>0</v>
      </c>
      <c r="BC1454" s="133">
        <f t="shared" ref="BC1454" si="7577">(BC1216+BC1230+BC1259+BC1267+BC1275)/AZ1285</f>
        <v>0</v>
      </c>
      <c r="BD1454" s="133">
        <f t="shared" ref="BD1454" si="7578">(BD1216+BD1230+BD1259+BD1267+BD1275)/BA1285</f>
        <v>0</v>
      </c>
      <c r="BE1454" s="133">
        <f t="shared" ref="BE1454" si="7579">(BE1216+BE1230+BE1259+BE1267+BE1275)/BB1285</f>
        <v>0</v>
      </c>
      <c r="BF1454" s="133">
        <f t="shared" ref="BF1454" si="7580">(BF1216+BF1230+BF1259+BF1267+BF1275)/BC1285</f>
        <v>0</v>
      </c>
      <c r="BG1454" s="133">
        <f t="shared" ref="BG1454" si="7581">(BG1216+BG1230+BG1259+BG1267+BG1275)/BD1285</f>
        <v>0</v>
      </c>
      <c r="BH1454" s="133">
        <f t="shared" ref="BH1454" si="7582">(BH1216+BH1230+BH1259+BH1267+BH1275)/BE1285</f>
        <v>0</v>
      </c>
      <c r="BI1454" s="133">
        <f t="shared" ref="BI1454" si="7583">(BI1216+BI1230+BI1259+BI1267+BI1275)/BF1285</f>
        <v>0</v>
      </c>
      <c r="BJ1454" s="133">
        <f t="shared" ref="BJ1454" si="7584">(BJ1216+BJ1230+BJ1259+BJ1267+BJ1275)/BG1285</f>
        <v>0</v>
      </c>
      <c r="BK1454" s="133">
        <f t="shared" ref="BK1454" si="7585">(BK1216+BK1230+BK1259+BK1267+BK1275)/BH1285</f>
        <v>0</v>
      </c>
      <c r="BL1454" s="133">
        <f t="shared" ref="BL1454" si="7586">(BL1216+BL1230+BL1259+BL1267+BL1275)/BI1285</f>
        <v>0</v>
      </c>
      <c r="BM1454" s="133">
        <f t="shared" ref="BM1454" si="7587">(BM1216+BM1230+BM1259+BM1267+BM1275)/BJ1285</f>
        <v>0</v>
      </c>
      <c r="BN1454" s="133">
        <f t="shared" ref="BN1454" si="7588">(BN1216+BN1230+BN1259+BN1267+BN1275)/BK1285</f>
        <v>0</v>
      </c>
      <c r="BO1454" s="133">
        <f t="shared" ref="BO1454" si="7589">(BO1216+BO1230+BO1259+BO1267+BO1275)/BL1285</f>
        <v>0</v>
      </c>
      <c r="BP1454" s="133">
        <f t="shared" ref="BP1454" si="7590">(BP1216+BP1230+BP1259+BP1267+BP1275)/BM1285</f>
        <v>0</v>
      </c>
      <c r="BQ1454" s="133">
        <f t="shared" ref="BQ1454" si="7591">(BQ1216+BQ1230+BQ1259+BQ1267+BQ1275)/BN1285</f>
        <v>0</v>
      </c>
      <c r="BR1454" s="133">
        <f t="shared" ref="BR1454" si="7592">(BR1216+BR1230+BR1259+BR1267+BR1275)/BO1285</f>
        <v>0</v>
      </c>
    </row>
    <row r="1455" spans="2:70" outlineLevel="1">
      <c r="B1455" s="5"/>
      <c r="C1455" s="8" t="s">
        <v>584</v>
      </c>
      <c r="D1455" s="7" t="s">
        <v>66</v>
      </c>
      <c r="T1455" s="429">
        <f t="shared" ref="T1455:AH1455" si="7593">+T1454+T1453</f>
        <v>-4.676018704074858E-3</v>
      </c>
      <c r="U1455" s="429">
        <f t="shared" si="7593"/>
        <v>1.189060642092743E-2</v>
      </c>
      <c r="V1455" s="429">
        <f t="shared" si="7593"/>
        <v>4.0893362692671076E-3</v>
      </c>
      <c r="W1455" s="429">
        <f t="shared" si="7593"/>
        <v>4.8993288590603923E-2</v>
      </c>
      <c r="X1455" s="429">
        <f t="shared" si="7593"/>
        <v>3.0552291421856559E-2</v>
      </c>
      <c r="Y1455" s="429">
        <f t="shared" si="7593"/>
        <v>3.9160401002506173E-2</v>
      </c>
      <c r="Z1455" s="429">
        <f t="shared" si="7593"/>
        <v>-6.3979526551505295E-4</v>
      </c>
      <c r="AA1455" s="429">
        <f t="shared" si="7593"/>
        <v>2.3375142531356863E-2</v>
      </c>
      <c r="AB1455" s="429">
        <f t="shared" si="7593"/>
        <v>1.2059089538739798E-2</v>
      </c>
      <c r="AC1455" s="429">
        <f t="shared" si="7593"/>
        <v>-0.11843790012804101</v>
      </c>
      <c r="AD1455" s="429">
        <f t="shared" si="7593"/>
        <v>-0.16434540389972141</v>
      </c>
      <c r="AE1455" s="429">
        <f t="shared" si="7593"/>
        <v>-0.14298480786416445</v>
      </c>
      <c r="AF1455" s="429">
        <f t="shared" ref="AF1455" si="7594">+AF1454+AF1453</f>
        <v>-2.977487291212777E-2</v>
      </c>
      <c r="AG1455" s="974">
        <f t="shared" si="7593"/>
        <v>4.0513287202937232E-2</v>
      </c>
      <c r="AH1455" s="429">
        <f t="shared" si="7593"/>
        <v>6.8717173459873493E-3</v>
      </c>
      <c r="AI1455" s="429">
        <f t="shared" ref="AI1455:AN1455" si="7595">+AI1454+AI1453</f>
        <v>-3.2226064107395702E-3</v>
      </c>
      <c r="AJ1455" s="429">
        <f t="shared" si="7595"/>
        <v>3.6830795628506108E-2</v>
      </c>
      <c r="AK1455" s="429">
        <f t="shared" si="7595"/>
        <v>1.8358032377483013E-2</v>
      </c>
      <c r="AL1455" s="429">
        <f t="shared" si="7595"/>
        <v>3.8770207953646496E-2</v>
      </c>
      <c r="AM1455" s="429">
        <f t="shared" si="7595"/>
        <v>3.4572386122381005E-2</v>
      </c>
      <c r="AN1455" s="429">
        <f t="shared" si="7595"/>
        <v>3.6467407627409631E-2</v>
      </c>
      <c r="AO1455" s="429">
        <f t="shared" ref="AO1455:BR1455" si="7596">+AO1454+AO1453</f>
        <v>2.7813022957422495E-2</v>
      </c>
      <c r="AP1455" s="429">
        <f t="shared" si="7596"/>
        <v>1.9002293124809055E-2</v>
      </c>
      <c r="AQ1455" s="429">
        <f t="shared" si="7596"/>
        <v>2.2988555320839099E-2</v>
      </c>
      <c r="AR1455" s="429">
        <f t="shared" si="7596"/>
        <v>1.8965157493795237E-2</v>
      </c>
      <c r="AS1455" s="429">
        <f t="shared" si="7596"/>
        <v>1.9206907299791576E-2</v>
      </c>
      <c r="AT1455" s="429">
        <f t="shared" si="7596"/>
        <v>1.9097015964179676E-2</v>
      </c>
      <c r="AU1455" s="429">
        <f t="shared" si="7596"/>
        <v>1.9174089036797515E-2</v>
      </c>
      <c r="AV1455" s="429">
        <f t="shared" si="7596"/>
        <v>1.9410424192475517E-2</v>
      </c>
      <c r="AW1455" s="429">
        <f t="shared" si="7596"/>
        <v>1.9303008074997186E-2</v>
      </c>
      <c r="AX1455" s="429">
        <f t="shared" si="7596"/>
        <v>1.9381944117069727E-2</v>
      </c>
      <c r="AY1455" s="429">
        <f t="shared" si="7596"/>
        <v>1.9612786133007098E-2</v>
      </c>
      <c r="AZ1455" s="429">
        <f t="shared" si="7596"/>
        <v>1.9507879959091312E-2</v>
      </c>
      <c r="BA1455" s="429">
        <f t="shared" si="7596"/>
        <v>1.9588661621265047E-2</v>
      </c>
      <c r="BB1455" s="429">
        <f t="shared" si="7596"/>
        <v>1.9813936891360129E-2</v>
      </c>
      <c r="BC1455" s="429">
        <f t="shared" si="7596"/>
        <v>1.9711573171723451E-2</v>
      </c>
      <c r="BD1455" s="429">
        <f t="shared" si="7596"/>
        <v>1.9794181891001239E-2</v>
      </c>
      <c r="BE1455" s="429">
        <f t="shared" si="7596"/>
        <v>2.0013821737553394E-2</v>
      </c>
      <c r="BF1455" s="429">
        <f t="shared" si="7596"/>
        <v>1.9914030750092682E-2</v>
      </c>
      <c r="BG1455" s="429">
        <f t="shared" si="7596"/>
        <v>1.9998446790195024E-2</v>
      </c>
      <c r="BH1455" s="429">
        <f t="shared" si="7596"/>
        <v>2.0212387497809958E-2</v>
      </c>
      <c r="BI1455" s="429">
        <f t="shared" si="7596"/>
        <v>2.011519727449973E-2</v>
      </c>
      <c r="BJ1455" s="429">
        <f t="shared" si="7596"/>
        <v>2.0201399768150718E-2</v>
      </c>
      <c r="BK1455" s="429">
        <f t="shared" si="7596"/>
        <v>2.0409582606563559E-2</v>
      </c>
      <c r="BL1455" s="429">
        <f t="shared" si="7596"/>
        <v>2.0315018925305628E-2</v>
      </c>
      <c r="BM1455" s="429">
        <f t="shared" si="7596"/>
        <v>2.0402985918283711E-2</v>
      </c>
      <c r="BN1455" s="429">
        <f t="shared" si="7596"/>
        <v>2.0605357154239279E-2</v>
      </c>
      <c r="BO1455" s="429">
        <f t="shared" si="7596"/>
        <v>2.051344353559359E-2</v>
      </c>
      <c r="BP1455" s="429">
        <f t="shared" si="7596"/>
        <v>2.0603152032382832E-2</v>
      </c>
      <c r="BQ1455" s="429">
        <f t="shared" si="7596"/>
        <v>2.079966293074631E-2</v>
      </c>
      <c r="BR1455" s="429">
        <f t="shared" si="7596"/>
        <v>2.0710420639461491E-2</v>
      </c>
    </row>
    <row r="1456" spans="2:70" outlineLevel="1">
      <c r="B1456" s="5"/>
      <c r="C1456" s="648" t="s">
        <v>576</v>
      </c>
      <c r="T1456" s="549">
        <f t="shared" ref="T1456:AN1456" si="7597">+T1286-T1455</f>
        <v>0</v>
      </c>
      <c r="U1456" s="549">
        <f t="shared" si="7597"/>
        <v>0</v>
      </c>
      <c r="V1456" s="549">
        <f t="shared" si="7597"/>
        <v>0</v>
      </c>
      <c r="W1456" s="549">
        <f t="shared" si="7597"/>
        <v>0</v>
      </c>
      <c r="X1456" s="549">
        <f t="shared" si="7597"/>
        <v>0</v>
      </c>
      <c r="Y1456" s="549">
        <f t="shared" si="7597"/>
        <v>0</v>
      </c>
      <c r="Z1456" s="549">
        <f t="shared" si="7597"/>
        <v>0</v>
      </c>
      <c r="AA1456" s="549">
        <f t="shared" si="7597"/>
        <v>0</v>
      </c>
      <c r="AB1456" s="549">
        <f t="shared" si="7597"/>
        <v>0</v>
      </c>
      <c r="AC1456" s="549">
        <f t="shared" si="7597"/>
        <v>0</v>
      </c>
      <c r="AD1456" s="549">
        <f t="shared" si="7597"/>
        <v>0</v>
      </c>
      <c r="AE1456" s="549">
        <f t="shared" si="7597"/>
        <v>0</v>
      </c>
      <c r="AF1456" s="549">
        <f t="shared" ref="AF1456" si="7598">+AF1286-AF1455</f>
        <v>0</v>
      </c>
      <c r="AG1456" s="992">
        <f t="shared" si="7597"/>
        <v>0</v>
      </c>
      <c r="AH1456" s="549">
        <f t="shared" si="7597"/>
        <v>0</v>
      </c>
      <c r="AI1456" s="549">
        <f t="shared" si="7597"/>
        <v>0</v>
      </c>
      <c r="AJ1456" s="549">
        <f t="shared" si="7597"/>
        <v>0</v>
      </c>
      <c r="AK1456" s="549">
        <f t="shared" si="7597"/>
        <v>0</v>
      </c>
      <c r="AL1456" s="549">
        <f t="shared" si="7597"/>
        <v>0</v>
      </c>
      <c r="AM1456" s="549">
        <f t="shared" si="7597"/>
        <v>0</v>
      </c>
      <c r="AN1456" s="549">
        <f t="shared" si="7597"/>
        <v>0</v>
      </c>
      <c r="AO1456" s="549">
        <f t="shared" ref="AO1456:BR1456" si="7599">+AO1286-AO1455</f>
        <v>0</v>
      </c>
      <c r="AP1456" s="549">
        <f t="shared" si="7599"/>
        <v>0</v>
      </c>
      <c r="AQ1456" s="549">
        <f t="shared" si="7599"/>
        <v>0</v>
      </c>
      <c r="AR1456" s="549">
        <f t="shared" si="7599"/>
        <v>0</v>
      </c>
      <c r="AS1456" s="549">
        <f t="shared" si="7599"/>
        <v>0</v>
      </c>
      <c r="AT1456" s="549">
        <f t="shared" si="7599"/>
        <v>0</v>
      </c>
      <c r="AU1456" s="549">
        <f t="shared" si="7599"/>
        <v>0</v>
      </c>
      <c r="AV1456" s="549">
        <f t="shared" si="7599"/>
        <v>0</v>
      </c>
      <c r="AW1456" s="549">
        <f t="shared" si="7599"/>
        <v>0</v>
      </c>
      <c r="AX1456" s="549">
        <f t="shared" si="7599"/>
        <v>0</v>
      </c>
      <c r="AY1456" s="549">
        <f t="shared" si="7599"/>
        <v>0</v>
      </c>
      <c r="AZ1456" s="549">
        <f t="shared" si="7599"/>
        <v>0</v>
      </c>
      <c r="BA1456" s="549">
        <f t="shared" si="7599"/>
        <v>0</v>
      </c>
      <c r="BB1456" s="549">
        <f t="shared" si="7599"/>
        <v>0</v>
      </c>
      <c r="BC1456" s="549">
        <f t="shared" si="7599"/>
        <v>0</v>
      </c>
      <c r="BD1456" s="549">
        <f t="shared" si="7599"/>
        <v>0</v>
      </c>
      <c r="BE1456" s="549">
        <f t="shared" si="7599"/>
        <v>0</v>
      </c>
      <c r="BF1456" s="549">
        <f t="shared" si="7599"/>
        <v>0</v>
      </c>
      <c r="BG1456" s="549">
        <f t="shared" si="7599"/>
        <v>0</v>
      </c>
      <c r="BH1456" s="549">
        <f t="shared" si="7599"/>
        <v>0</v>
      </c>
      <c r="BI1456" s="549">
        <f t="shared" si="7599"/>
        <v>0</v>
      </c>
      <c r="BJ1456" s="549">
        <f t="shared" si="7599"/>
        <v>0</v>
      </c>
      <c r="BK1456" s="549">
        <f t="shared" si="7599"/>
        <v>0</v>
      </c>
      <c r="BL1456" s="549">
        <f t="shared" si="7599"/>
        <v>0</v>
      </c>
      <c r="BM1456" s="549">
        <f t="shared" si="7599"/>
        <v>0</v>
      </c>
      <c r="BN1456" s="549">
        <f t="shared" si="7599"/>
        <v>0</v>
      </c>
      <c r="BO1456" s="549">
        <f t="shared" si="7599"/>
        <v>0</v>
      </c>
      <c r="BP1456" s="549">
        <f t="shared" si="7599"/>
        <v>0</v>
      </c>
      <c r="BQ1456" s="549">
        <f t="shared" si="7599"/>
        <v>0</v>
      </c>
      <c r="BR1456" s="549">
        <f t="shared" si="7599"/>
        <v>0</v>
      </c>
    </row>
    <row r="1458" spans="1:70">
      <c r="A1458" s="4" t="s">
        <v>304</v>
      </c>
    </row>
    <row r="1459" spans="1:70" outlineLevel="1">
      <c r="A1459" s="130"/>
      <c r="B1459" s="1076" t="s">
        <v>698</v>
      </c>
      <c r="C1459" s="654" t="s">
        <v>302</v>
      </c>
      <c r="D1459" s="655" t="s">
        <v>58</v>
      </c>
      <c r="E1459" s="655"/>
      <c r="F1459" s="655"/>
      <c r="G1459" s="650">
        <f t="shared" ref="G1459:S1459" si="7600">G1463</f>
        <v>45.65941357277741</v>
      </c>
      <c r="H1459" s="650">
        <f t="shared" si="7600"/>
        <v>13.884168206019776</v>
      </c>
      <c r="I1459" s="650">
        <f t="shared" si="7600"/>
        <v>21.483325274038013</v>
      </c>
      <c r="J1459" s="650">
        <f t="shared" si="7600"/>
        <v>35.367493480057789</v>
      </c>
      <c r="K1459" s="650">
        <f t="shared" si="7600"/>
        <v>18.051144910579975</v>
      </c>
      <c r="L1459" s="650">
        <f t="shared" si="7600"/>
        <v>16.338558810549944</v>
      </c>
      <c r="M1459" s="650">
        <f t="shared" si="7600"/>
        <v>34.389703721129919</v>
      </c>
      <c r="N1459" s="650">
        <f t="shared" si="7600"/>
        <v>14.932368852293667</v>
      </c>
      <c r="O1459" s="650">
        <f t="shared" si="7600"/>
        <v>16.94469623559608</v>
      </c>
      <c r="P1459" s="650">
        <f t="shared" si="7600"/>
        <v>31.877065087889747</v>
      </c>
      <c r="Q1459" s="650">
        <f t="shared" si="7600"/>
        <v>11.840610398982928</v>
      </c>
      <c r="R1459" s="650">
        <f t="shared" si="7600"/>
        <v>12.999910594838354</v>
      </c>
      <c r="S1459" s="650">
        <f t="shared" si="7600"/>
        <v>24.840520993821283</v>
      </c>
      <c r="T1459" s="650">
        <f t="shared" ref="T1459:AA1459" si="7601">T1463</f>
        <v>8.4</v>
      </c>
      <c r="U1459" s="650">
        <f t="shared" si="7601"/>
        <v>11.499999999999998</v>
      </c>
      <c r="V1459" s="650">
        <f t="shared" si="7601"/>
        <v>19.899999999999999</v>
      </c>
      <c r="W1459" s="650">
        <f t="shared" si="7601"/>
        <v>14.5</v>
      </c>
      <c r="X1459" s="650">
        <f t="shared" si="7601"/>
        <v>6.8000000000000007</v>
      </c>
      <c r="Y1459" s="650">
        <f t="shared" si="7601"/>
        <v>21.3</v>
      </c>
      <c r="Z1459" s="650">
        <f t="shared" si="7601"/>
        <v>11.5</v>
      </c>
      <c r="AA1459" s="650">
        <f t="shared" si="7601"/>
        <v>6.6999999999999993</v>
      </c>
      <c r="AB1459" s="650">
        <f>AB1463</f>
        <v>18.2</v>
      </c>
      <c r="AC1459" s="650">
        <f t="shared" ref="AC1459:AN1459" si="7602">AC1463</f>
        <v>6</v>
      </c>
      <c r="AD1459" s="650">
        <f t="shared" si="7602"/>
        <v>9</v>
      </c>
      <c r="AE1459" s="650">
        <f t="shared" si="7602"/>
        <v>15</v>
      </c>
      <c r="AF1459" s="650">
        <f t="shared" si="7602"/>
        <v>7.1</v>
      </c>
      <c r="AG1459" s="1065">
        <f t="shared" si="7602"/>
        <v>8.370000000000001</v>
      </c>
      <c r="AH1459" s="650">
        <f t="shared" si="7602"/>
        <v>15.47</v>
      </c>
      <c r="AI1459" s="650">
        <f t="shared" si="7602"/>
        <v>7.2100499999999998</v>
      </c>
      <c r="AJ1459" s="650">
        <f t="shared" si="7602"/>
        <v>8.4997350000000012</v>
      </c>
      <c r="AK1459" s="650">
        <f t="shared" si="7602"/>
        <v>15.709785</v>
      </c>
      <c r="AL1459" s="650">
        <f t="shared" si="7602"/>
        <v>7.3218057750000005</v>
      </c>
      <c r="AM1459" s="650">
        <f t="shared" si="7602"/>
        <v>8.6314808925000026</v>
      </c>
      <c r="AN1459" s="650">
        <f t="shared" si="7602"/>
        <v>15.953286667500002</v>
      </c>
      <c r="AO1459" s="650">
        <f t="shared" ref="AO1459:BR1459" si="7603">AO1463</f>
        <v>7.2156395912625007</v>
      </c>
      <c r="AP1459" s="650">
        <f t="shared" si="7603"/>
        <v>8.5063244195587533</v>
      </c>
      <c r="AQ1459" s="650">
        <f t="shared" si="7603"/>
        <v>15.721964010821253</v>
      </c>
      <c r="AR1459" s="650">
        <f t="shared" si="7603"/>
        <v>7.2192474110581317</v>
      </c>
      <c r="AS1459" s="650">
        <f t="shared" si="7603"/>
        <v>8.5105775817685316</v>
      </c>
      <c r="AT1459" s="650">
        <f t="shared" si="7603"/>
        <v>15.729824992826664</v>
      </c>
      <c r="AU1459" s="650">
        <f t="shared" si="7603"/>
        <v>7.2228570347636607</v>
      </c>
      <c r="AV1459" s="650">
        <f t="shared" si="7603"/>
        <v>8.514832870559415</v>
      </c>
      <c r="AW1459" s="650">
        <f t="shared" si="7603"/>
        <v>15.737689905323077</v>
      </c>
      <c r="AX1459" s="650">
        <f t="shared" si="7603"/>
        <v>7.2264684632810425</v>
      </c>
      <c r="AY1459" s="650">
        <f t="shared" si="7603"/>
        <v>8.5190902869946949</v>
      </c>
      <c r="AZ1459" s="650">
        <f t="shared" si="7603"/>
        <v>15.745558750275737</v>
      </c>
      <c r="BA1459" s="650">
        <f t="shared" si="7603"/>
        <v>7.2300816975126825</v>
      </c>
      <c r="BB1459" s="650">
        <f t="shared" si="7603"/>
        <v>8.5233498321381926</v>
      </c>
      <c r="BC1459" s="650">
        <f t="shared" si="7603"/>
        <v>15.753431529650875</v>
      </c>
      <c r="BD1459" s="650">
        <f t="shared" si="7603"/>
        <v>7.2336967383614388</v>
      </c>
      <c r="BE1459" s="650">
        <f t="shared" si="7603"/>
        <v>8.527611507054262</v>
      </c>
      <c r="BF1459" s="650">
        <f t="shared" si="7603"/>
        <v>15.761308245415702</v>
      </c>
      <c r="BG1459" s="650">
        <f t="shared" si="7603"/>
        <v>7.2373135867306191</v>
      </c>
      <c r="BH1459" s="650">
        <f t="shared" si="7603"/>
        <v>8.531875312807788</v>
      </c>
      <c r="BI1459" s="650">
        <f t="shared" si="7603"/>
        <v>15.769188899538406</v>
      </c>
      <c r="BJ1459" s="650">
        <f t="shared" si="7603"/>
        <v>7.240932243523984</v>
      </c>
      <c r="BK1459" s="650">
        <f t="shared" si="7603"/>
        <v>8.5361412504641923</v>
      </c>
      <c r="BL1459" s="650">
        <f t="shared" si="7603"/>
        <v>15.777073493988176</v>
      </c>
      <c r="BM1459" s="650">
        <f t="shared" si="7603"/>
        <v>7.2445527096457454</v>
      </c>
      <c r="BN1459" s="650">
        <f t="shared" si="7603"/>
        <v>8.5404093210894239</v>
      </c>
      <c r="BO1459" s="650">
        <f t="shared" si="7603"/>
        <v>15.784962030735169</v>
      </c>
      <c r="BP1459" s="650">
        <f t="shared" si="7603"/>
        <v>7.248174986000568</v>
      </c>
      <c r="BQ1459" s="650">
        <f t="shared" si="7603"/>
        <v>8.5446795257499684</v>
      </c>
      <c r="BR1459" s="650">
        <f t="shared" si="7603"/>
        <v>15.792854511750537</v>
      </c>
    </row>
    <row r="1460" spans="1:70" outlineLevel="1">
      <c r="A1460" s="130"/>
      <c r="B1460" s="1076"/>
      <c r="C1460" s="654" t="s">
        <v>303</v>
      </c>
      <c r="D1460" s="655" t="s">
        <v>58</v>
      </c>
      <c r="E1460" s="655"/>
      <c r="F1460" s="655"/>
      <c r="G1460" s="650">
        <f t="shared" ref="G1460:S1460" si="7604">G1467-G1462</f>
        <v>-49.00687791095757</v>
      </c>
      <c r="H1460" s="650">
        <f t="shared" si="7604"/>
        <v>-26.850374877757254</v>
      </c>
      <c r="I1460" s="650">
        <f t="shared" si="7604"/>
        <v>-18.909801933918878</v>
      </c>
      <c r="J1460" s="650">
        <f t="shared" si="7604"/>
        <v>-45.760176811676132</v>
      </c>
      <c r="K1460" s="650">
        <f t="shared" si="7604"/>
        <v>-23.118132955655053</v>
      </c>
      <c r="L1460" s="650">
        <f t="shared" si="7604"/>
        <v>-47.662186352669373</v>
      </c>
      <c r="M1460" s="650">
        <f t="shared" si="7604"/>
        <v>-70.780319308324437</v>
      </c>
      <c r="N1460" s="650">
        <f t="shared" si="7604"/>
        <v>-29.379920534058314</v>
      </c>
      <c r="O1460" s="650">
        <f t="shared" si="7604"/>
        <v>-37.56881222520731</v>
      </c>
      <c r="P1460" s="650">
        <f t="shared" si="7604"/>
        <v>-66.948732759265638</v>
      </c>
      <c r="Q1460" s="650">
        <f t="shared" si="7604"/>
        <v>-29.457128309664846</v>
      </c>
      <c r="R1460" s="650">
        <f t="shared" si="7604"/>
        <v>-26.098305360849729</v>
      </c>
      <c r="S1460" s="650">
        <f t="shared" si="7604"/>
        <v>-55.555433670514567</v>
      </c>
      <c r="T1460" s="650">
        <f t="shared" ref="T1460:AN1460" si="7605">T1467-T1462</f>
        <v>-31.6</v>
      </c>
      <c r="U1460" s="650">
        <f t="shared" si="7605"/>
        <v>-23.2</v>
      </c>
      <c r="V1460" s="650">
        <f t="shared" si="7605"/>
        <v>-54.8</v>
      </c>
      <c r="W1460" s="650">
        <f t="shared" si="7605"/>
        <v>-28.099999999999998</v>
      </c>
      <c r="X1460" s="650">
        <f t="shared" si="7605"/>
        <v>-25.400000000000002</v>
      </c>
      <c r="Y1460" s="650">
        <f t="shared" si="7605"/>
        <v>-53.5</v>
      </c>
      <c r="Z1460" s="650">
        <f t="shared" si="7605"/>
        <v>-25.4</v>
      </c>
      <c r="AA1460" s="650">
        <f t="shared" si="7605"/>
        <v>-36.199999999999996</v>
      </c>
      <c r="AB1460" s="650">
        <f t="shared" si="7605"/>
        <v>-61.599999999999994</v>
      </c>
      <c r="AC1460" s="650">
        <f t="shared" si="7605"/>
        <v>-21.9</v>
      </c>
      <c r="AD1460" s="650">
        <f t="shared" si="7605"/>
        <v>-42.400000000000006</v>
      </c>
      <c r="AE1460" s="650">
        <f t="shared" si="7605"/>
        <v>-64.3</v>
      </c>
      <c r="AF1460" s="650">
        <f t="shared" si="7605"/>
        <v>-30.699999999999996</v>
      </c>
      <c r="AG1460" s="1065">
        <f t="shared" si="7605"/>
        <v>-44.720000000000013</v>
      </c>
      <c r="AH1460" s="650">
        <f t="shared" si="7605"/>
        <v>-75.42</v>
      </c>
      <c r="AI1460" s="650">
        <f t="shared" si="7605"/>
        <v>-31.175999999999995</v>
      </c>
      <c r="AJ1460" s="650">
        <f t="shared" si="7605"/>
        <v>-45.416049999999998</v>
      </c>
      <c r="AK1460" s="650">
        <f t="shared" si="7605"/>
        <v>-76.59205</v>
      </c>
      <c r="AL1460" s="650">
        <f t="shared" si="7605"/>
        <v>-31.65929499999999</v>
      </c>
      <c r="AM1460" s="650">
        <f t="shared" si="7605"/>
        <v>-46.122793249999994</v>
      </c>
      <c r="AN1460" s="650">
        <f t="shared" si="7605"/>
        <v>-77.782088249999987</v>
      </c>
      <c r="AO1460" s="650">
        <f t="shared" ref="AO1460:BR1460" si="7606">AO1467-AO1462</f>
        <v>-32.149995974999982</v>
      </c>
      <c r="AP1460" s="650">
        <f t="shared" si="7606"/>
        <v>-46.840392673749989</v>
      </c>
      <c r="AQ1460" s="650">
        <f t="shared" si="7606"/>
        <v>-78.99038864874997</v>
      </c>
      <c r="AR1460" s="650">
        <f t="shared" si="7606"/>
        <v>-32.648215580124983</v>
      </c>
      <c r="AS1460" s="650">
        <f t="shared" si="7606"/>
        <v>-47.569013664106237</v>
      </c>
      <c r="AT1460" s="650">
        <f t="shared" si="7606"/>
        <v>-80.21722924423122</v>
      </c>
      <c r="AU1460" s="650">
        <f t="shared" si="7606"/>
        <v>-33.154068175981848</v>
      </c>
      <c r="AV1460" s="650">
        <f t="shared" si="7606"/>
        <v>-48.308824120320324</v>
      </c>
      <c r="AW1460" s="650">
        <f t="shared" si="7606"/>
        <v>-81.462892296302172</v>
      </c>
      <c r="AX1460" s="650">
        <f t="shared" si="7606"/>
        <v>-33.667669854398127</v>
      </c>
      <c r="AY1460" s="650">
        <f t="shared" si="7606"/>
        <v>-49.059994485890144</v>
      </c>
      <c r="AZ1460" s="650">
        <f t="shared" si="7606"/>
        <v>-82.727664340288257</v>
      </c>
      <c r="BA1460" s="650">
        <f t="shared" si="7606"/>
        <v>-34.189138464548407</v>
      </c>
      <c r="BB1460" s="650">
        <f t="shared" si="7606"/>
        <v>-49.822697786981166</v>
      </c>
      <c r="BC1460" s="650">
        <f t="shared" si="7606"/>
        <v>-84.011836251529587</v>
      </c>
      <c r="BD1460" s="650">
        <f t="shared" si="7606"/>
        <v>-34.718593639474292</v>
      </c>
      <c r="BE1460" s="650">
        <f t="shared" si="7606"/>
        <v>-50.59710967142658</v>
      </c>
      <c r="BF1460" s="650">
        <f t="shared" si="7606"/>
        <v>-85.315703310900872</v>
      </c>
      <c r="BG1460" s="650">
        <f t="shared" si="7606"/>
        <v>-35.256156823003636</v>
      </c>
      <c r="BH1460" s="650">
        <f t="shared" si="7606"/>
        <v>-51.383408448315087</v>
      </c>
      <c r="BI1460" s="650">
        <f t="shared" si="7606"/>
        <v>-86.639565271318716</v>
      </c>
      <c r="BJ1460" s="650">
        <f t="shared" si="7606"/>
        <v>-35.801951297075291</v>
      </c>
      <c r="BK1460" s="650">
        <f t="shared" si="7606"/>
        <v>-52.18177512817509</v>
      </c>
      <c r="BL1460" s="650">
        <f t="shared" si="7606"/>
        <v>-87.983726425250381</v>
      </c>
      <c r="BM1460" s="650">
        <f t="shared" si="7606"/>
        <v>-36.356102209475289</v>
      </c>
      <c r="BN1460" s="650">
        <f t="shared" si="7606"/>
        <v>-52.992393463764344</v>
      </c>
      <c r="BO1460" s="650">
        <f t="shared" si="7606"/>
        <v>-89.348495673239626</v>
      </c>
      <c r="BP1460" s="650">
        <f t="shared" si="7606"/>
        <v>-36.918736601990723</v>
      </c>
      <c r="BQ1460" s="650">
        <f t="shared" si="7606"/>
        <v>-53.815449991474097</v>
      </c>
      <c r="BR1460" s="650">
        <f t="shared" si="7606"/>
        <v>-90.734186593464827</v>
      </c>
    </row>
    <row r="1461" spans="1:70" s="8" customFormat="1" outlineLevel="1">
      <c r="A1461" s="409"/>
      <c r="B1461" s="1076"/>
      <c r="C1461" s="409" t="s">
        <v>696</v>
      </c>
      <c r="D1461" s="656" t="s">
        <v>58</v>
      </c>
      <c r="E1461" s="656"/>
      <c r="F1461" s="656"/>
      <c r="G1461" s="470">
        <f t="shared" ref="G1461:S1461" si="7607">+G1460+G1459</f>
        <v>-3.3474643381801599</v>
      </c>
      <c r="H1461" s="470">
        <f t="shared" si="7607"/>
        <v>-12.966206671737478</v>
      </c>
      <c r="I1461" s="470">
        <f t="shared" si="7607"/>
        <v>2.5735233401191344</v>
      </c>
      <c r="J1461" s="470">
        <f t="shared" si="7607"/>
        <v>-10.392683331618343</v>
      </c>
      <c r="K1461" s="470">
        <f t="shared" si="7607"/>
        <v>-5.0669880450750782</v>
      </c>
      <c r="L1461" s="470">
        <f t="shared" si="7607"/>
        <v>-31.323627542119429</v>
      </c>
      <c r="M1461" s="470">
        <f t="shared" si="7607"/>
        <v>-36.390615587194517</v>
      </c>
      <c r="N1461" s="470">
        <f t="shared" si="7607"/>
        <v>-14.447551681764647</v>
      </c>
      <c r="O1461" s="470">
        <f t="shared" si="7607"/>
        <v>-20.62411598961123</v>
      </c>
      <c r="P1461" s="470">
        <f t="shared" si="7607"/>
        <v>-35.071667671375891</v>
      </c>
      <c r="Q1461" s="470">
        <f t="shared" si="7607"/>
        <v>-17.616517910681917</v>
      </c>
      <c r="R1461" s="470">
        <f t="shared" si="7607"/>
        <v>-13.098394766011374</v>
      </c>
      <c r="S1461" s="470">
        <f t="shared" si="7607"/>
        <v>-30.714912676693285</v>
      </c>
      <c r="T1461" s="341">
        <f t="shared" ref="T1461:AA1461" si="7608">T1459+T1460</f>
        <v>-23.200000000000003</v>
      </c>
      <c r="U1461" s="341">
        <f t="shared" si="7608"/>
        <v>-11.700000000000001</v>
      </c>
      <c r="V1461" s="341">
        <f t="shared" si="7608"/>
        <v>-34.9</v>
      </c>
      <c r="W1461" s="341">
        <f t="shared" si="7608"/>
        <v>-13.599999999999998</v>
      </c>
      <c r="X1461" s="341">
        <f t="shared" si="7608"/>
        <v>-18.600000000000001</v>
      </c>
      <c r="Y1461" s="341">
        <f t="shared" si="7608"/>
        <v>-32.200000000000003</v>
      </c>
      <c r="Z1461" s="341">
        <f t="shared" si="7608"/>
        <v>-13.899999999999999</v>
      </c>
      <c r="AA1461" s="341">
        <f t="shared" si="7608"/>
        <v>-29.499999999999996</v>
      </c>
      <c r="AB1461" s="341">
        <f t="shared" ref="AB1461:AN1461" si="7609">AB1459+AB1460</f>
        <v>-43.399999999999991</v>
      </c>
      <c r="AC1461" s="341">
        <f t="shared" si="7609"/>
        <v>-15.899999999999999</v>
      </c>
      <c r="AD1461" s="341">
        <f t="shared" si="7609"/>
        <v>-33.400000000000006</v>
      </c>
      <c r="AE1461" s="341">
        <f t="shared" si="7609"/>
        <v>-49.3</v>
      </c>
      <c r="AF1461" s="341">
        <f t="shared" si="7609"/>
        <v>-23.599999999999994</v>
      </c>
      <c r="AG1461" s="934">
        <f t="shared" si="7609"/>
        <v>-36.350000000000009</v>
      </c>
      <c r="AH1461" s="341">
        <f t="shared" si="7609"/>
        <v>-59.95</v>
      </c>
      <c r="AI1461" s="341">
        <f t="shared" si="7609"/>
        <v>-23.965949999999996</v>
      </c>
      <c r="AJ1461" s="341">
        <f t="shared" si="7609"/>
        <v>-36.916314999999997</v>
      </c>
      <c r="AK1461" s="341">
        <f t="shared" si="7609"/>
        <v>-60.882265000000004</v>
      </c>
      <c r="AL1461" s="341">
        <f t="shared" si="7609"/>
        <v>-24.337489224999988</v>
      </c>
      <c r="AM1461" s="341">
        <f t="shared" si="7609"/>
        <v>-37.491312357499993</v>
      </c>
      <c r="AN1461" s="341">
        <f t="shared" si="7609"/>
        <v>-61.828801582499985</v>
      </c>
      <c r="AO1461" s="341">
        <f t="shared" ref="AO1461:BR1461" si="7610">AO1459+AO1460</f>
        <v>-24.93435638373748</v>
      </c>
      <c r="AP1461" s="341">
        <f t="shared" si="7610"/>
        <v>-38.334068254191237</v>
      </c>
      <c r="AQ1461" s="341">
        <f t="shared" si="7610"/>
        <v>-63.268424637928717</v>
      </c>
      <c r="AR1461" s="341">
        <f t="shared" si="7610"/>
        <v>-25.428968169066852</v>
      </c>
      <c r="AS1461" s="341">
        <f t="shared" si="7610"/>
        <v>-39.058436082337707</v>
      </c>
      <c r="AT1461" s="341">
        <f t="shared" si="7610"/>
        <v>-64.487404251404556</v>
      </c>
      <c r="AU1461" s="341">
        <f t="shared" si="7610"/>
        <v>-25.931211141218188</v>
      </c>
      <c r="AV1461" s="341">
        <f t="shared" si="7610"/>
        <v>-39.793991249760907</v>
      </c>
      <c r="AW1461" s="341">
        <f t="shared" si="7610"/>
        <v>-65.725202390979092</v>
      </c>
      <c r="AX1461" s="341">
        <f t="shared" si="7610"/>
        <v>-26.441201391117083</v>
      </c>
      <c r="AY1461" s="341">
        <f t="shared" si="7610"/>
        <v>-40.540904198895447</v>
      </c>
      <c r="AZ1461" s="341">
        <f t="shared" si="7610"/>
        <v>-66.982105590012523</v>
      </c>
      <c r="BA1461" s="341">
        <f t="shared" si="7610"/>
        <v>-26.959056767035726</v>
      </c>
      <c r="BB1461" s="341">
        <f t="shared" si="7610"/>
        <v>-41.299347954842972</v>
      </c>
      <c r="BC1461" s="341">
        <f t="shared" si="7610"/>
        <v>-68.258404721878719</v>
      </c>
      <c r="BD1461" s="341">
        <f t="shared" si="7610"/>
        <v>-27.484896901112855</v>
      </c>
      <c r="BE1461" s="341">
        <f t="shared" si="7610"/>
        <v>-42.06949816437232</v>
      </c>
      <c r="BF1461" s="341">
        <f t="shared" si="7610"/>
        <v>-69.554395065485167</v>
      </c>
      <c r="BG1461" s="341">
        <f t="shared" si="7610"/>
        <v>-28.018843236273018</v>
      </c>
      <c r="BH1461" s="341">
        <f t="shared" si="7610"/>
        <v>-42.851533135507296</v>
      </c>
      <c r="BI1461" s="341">
        <f t="shared" si="7610"/>
        <v>-70.87037637178031</v>
      </c>
      <c r="BJ1461" s="341">
        <f t="shared" si="7610"/>
        <v>-28.561019053551306</v>
      </c>
      <c r="BK1461" s="341">
        <f t="shared" si="7610"/>
        <v>-43.6456338777109</v>
      </c>
      <c r="BL1461" s="341">
        <f t="shared" si="7610"/>
        <v>-72.206652931262198</v>
      </c>
      <c r="BM1461" s="341">
        <f t="shared" si="7610"/>
        <v>-29.111549499829543</v>
      </c>
      <c r="BN1461" s="341">
        <f t="shared" si="7610"/>
        <v>-44.451984142674917</v>
      </c>
      <c r="BO1461" s="341">
        <f t="shared" si="7610"/>
        <v>-73.563533642504453</v>
      </c>
      <c r="BP1461" s="341">
        <f t="shared" si="7610"/>
        <v>-29.670561615990156</v>
      </c>
      <c r="BQ1461" s="341">
        <f t="shared" si="7610"/>
        <v>-45.270770465724127</v>
      </c>
      <c r="BR1461" s="341">
        <f t="shared" si="7610"/>
        <v>-74.941332081714293</v>
      </c>
    </row>
    <row r="1462" spans="1:70" outlineLevel="1">
      <c r="A1462" s="130"/>
      <c r="B1462" s="1076"/>
      <c r="C1462" s="130" t="s">
        <v>309</v>
      </c>
      <c r="D1462" s="655" t="s">
        <v>58</v>
      </c>
      <c r="E1462" s="657"/>
      <c r="F1462" s="657"/>
      <c r="G1462" s="651">
        <f t="shared" ref="G1462:I1463" si="7611">G1477/G$260</f>
        <v>-2.5440728970169229</v>
      </c>
      <c r="H1462" s="651">
        <f t="shared" si="7611"/>
        <v>-0.68847115071172449</v>
      </c>
      <c r="I1462" s="651">
        <f t="shared" si="7611"/>
        <v>-2.5735233401191362</v>
      </c>
      <c r="J1462" s="651">
        <f>SUM(H1462:I1462)</f>
        <v>-3.2619944908308609</v>
      </c>
      <c r="K1462" s="651">
        <f>K1477/K$260</f>
        <v>-1.1611847603297061</v>
      </c>
      <c r="L1462" s="651">
        <f>L1477/L$260</f>
        <v>9.6677862784319293E-2</v>
      </c>
      <c r="M1462" s="651">
        <f>SUM(K1462:L1462)</f>
        <v>-1.0645068975453869</v>
      </c>
      <c r="N1462" s="651">
        <f>N1477/N$260</f>
        <v>-1.1635612092696364</v>
      </c>
      <c r="O1462" s="651">
        <f>O1477/O$260</f>
        <v>-1.0650951919517535</v>
      </c>
      <c r="P1462" s="651">
        <f>SUM(N1462:O1462)</f>
        <v>-2.2286564012213899</v>
      </c>
      <c r="Q1462" s="651">
        <f>Q1477/Q$260</f>
        <v>-0.86638612675484838</v>
      </c>
      <c r="R1462" s="651">
        <f>R1477/R$260</f>
        <v>-0.88635754055716065</v>
      </c>
      <c r="S1462" s="651">
        <f>SUM(Q1462:R1462)</f>
        <v>-1.7527436673120089</v>
      </c>
      <c r="T1462" s="25">
        <v>-1.4</v>
      </c>
      <c r="U1462" s="376">
        <f>V1462-T1462</f>
        <v>-2.2000000000000002</v>
      </c>
      <c r="V1462" s="25">
        <v>-3.6</v>
      </c>
      <c r="W1462" s="25">
        <v>-3.3</v>
      </c>
      <c r="X1462" s="376">
        <f>Y1462-W1462</f>
        <v>-5.2</v>
      </c>
      <c r="Y1462" s="345">
        <v>-8.5</v>
      </c>
      <c r="Z1462" s="25">
        <v>-4.8</v>
      </c>
      <c r="AA1462" s="376">
        <f>AB1462-Z1462</f>
        <v>-4.8999999999999995</v>
      </c>
      <c r="AB1462" s="345">
        <v>-9.6999999999999993</v>
      </c>
      <c r="AC1462" s="345">
        <v>-4.9000000000000004</v>
      </c>
      <c r="AD1462" s="376">
        <f>AE1462-AC1462</f>
        <v>-5</v>
      </c>
      <c r="AE1462" s="345">
        <v>-9.9</v>
      </c>
      <c r="AF1462" s="151">
        <v>-3.1</v>
      </c>
      <c r="AG1462" s="1003">
        <f>AD1462*1.01</f>
        <v>-5.05</v>
      </c>
      <c r="AH1462" s="651">
        <f>AF1462+AG1462</f>
        <v>-8.15</v>
      </c>
      <c r="AI1462" s="405">
        <f>AF1462*1.01</f>
        <v>-3.1310000000000002</v>
      </c>
      <c r="AJ1462" s="405">
        <f>AG1462*1.01</f>
        <v>-5.1005000000000003</v>
      </c>
      <c r="AK1462" s="651">
        <f>AI1462+AJ1462</f>
        <v>-8.2315000000000005</v>
      </c>
      <c r="AL1462" s="405">
        <f>AI1462*1.01</f>
        <v>-3.1623100000000002</v>
      </c>
      <c r="AM1462" s="405">
        <f>AJ1462*1.01</f>
        <v>-5.1515050000000002</v>
      </c>
      <c r="AN1462" s="651">
        <f>AL1462+AM1462</f>
        <v>-8.313815</v>
      </c>
      <c r="AO1462" s="405">
        <f>AL1462*1.01</f>
        <v>-3.1939331000000002</v>
      </c>
      <c r="AP1462" s="405">
        <f>AM1462*1.01</f>
        <v>-5.2030200500000001</v>
      </c>
      <c r="AQ1462" s="651">
        <f>AO1462+AP1462</f>
        <v>-8.3969531499999999</v>
      </c>
      <c r="AR1462" s="405">
        <f>AO1462*1.01</f>
        <v>-3.2258724310000004</v>
      </c>
      <c r="AS1462" s="405">
        <f>AP1462*1.01</f>
        <v>-5.2550502505000001</v>
      </c>
      <c r="AT1462" s="651">
        <f>AR1462+AS1462</f>
        <v>-8.4809226815000009</v>
      </c>
      <c r="AU1462" s="405">
        <f>AR1462*1.01</f>
        <v>-3.2581311553100005</v>
      </c>
      <c r="AV1462" s="405">
        <f>AS1462*1.01</f>
        <v>-5.3076007530050004</v>
      </c>
      <c r="AW1462" s="651">
        <f>AU1462+AV1462</f>
        <v>-8.5657319083150014</v>
      </c>
      <c r="AX1462" s="405">
        <f>AU1462*1.01</f>
        <v>-3.2907124668631007</v>
      </c>
      <c r="AY1462" s="405">
        <f>AV1462*1.01</f>
        <v>-5.3606767605350507</v>
      </c>
      <c r="AZ1462" s="651">
        <f>AX1462+AY1462</f>
        <v>-8.6513892273981519</v>
      </c>
      <c r="BA1462" s="405">
        <f>AX1462*1.01</f>
        <v>-3.3236195915317319</v>
      </c>
      <c r="BB1462" s="405">
        <f>AY1462*1.01</f>
        <v>-5.4142835281404009</v>
      </c>
      <c r="BC1462" s="651">
        <f>BA1462+BB1462</f>
        <v>-8.7379031196721328</v>
      </c>
      <c r="BD1462" s="405">
        <f>BA1462*1.01</f>
        <v>-3.3568557874470493</v>
      </c>
      <c r="BE1462" s="405">
        <f>BB1462*1.01</f>
        <v>-5.4684263634218047</v>
      </c>
      <c r="BF1462" s="651">
        <f>BD1462+BE1462</f>
        <v>-8.8252821508688548</v>
      </c>
      <c r="BG1462" s="405">
        <f>BD1462*1.01</f>
        <v>-3.3904243453215197</v>
      </c>
      <c r="BH1462" s="405">
        <f>BE1462*1.01</f>
        <v>-5.5231106270560231</v>
      </c>
      <c r="BI1462" s="651">
        <f>BG1462+BH1462</f>
        <v>-8.9135349723775423</v>
      </c>
      <c r="BJ1462" s="405">
        <f>BG1462*1.01</f>
        <v>-3.4243285887747348</v>
      </c>
      <c r="BK1462" s="405">
        <f>BH1462*1.01</f>
        <v>-5.5783417333265835</v>
      </c>
      <c r="BL1462" s="651">
        <f>BJ1462+BK1462</f>
        <v>-9.0026703221013182</v>
      </c>
      <c r="BM1462" s="405">
        <f>BJ1462*1.01</f>
        <v>-3.4585718746624821</v>
      </c>
      <c r="BN1462" s="405">
        <f>BK1462*1.01</f>
        <v>-5.6341251506598491</v>
      </c>
      <c r="BO1462" s="651">
        <f>BM1462+BN1462</f>
        <v>-9.0926970253223303</v>
      </c>
      <c r="BP1462" s="405">
        <f>BM1462*1.01</f>
        <v>-3.4931575934091068</v>
      </c>
      <c r="BQ1462" s="405">
        <f>BN1462*1.01</f>
        <v>-5.6904664021664475</v>
      </c>
      <c r="BR1462" s="651">
        <f>BP1462+BQ1462</f>
        <v>-9.1836239955755552</v>
      </c>
    </row>
    <row r="1463" spans="1:70" outlineLevel="1">
      <c r="A1463" s="130"/>
      <c r="B1463" s="1076"/>
      <c r="C1463" s="658" t="s">
        <v>302</v>
      </c>
      <c r="D1463" s="655" t="s">
        <v>58</v>
      </c>
      <c r="E1463" s="657"/>
      <c r="F1463" s="657"/>
      <c r="G1463" s="651">
        <f t="shared" si="7611"/>
        <v>45.65941357277741</v>
      </c>
      <c r="H1463" s="651">
        <f t="shared" si="7611"/>
        <v>13.884168206019776</v>
      </c>
      <c r="I1463" s="651">
        <f t="shared" si="7611"/>
        <v>21.483325274038013</v>
      </c>
      <c r="J1463" s="651">
        <f>SUM(H1463:I1463)</f>
        <v>35.367493480057789</v>
      </c>
      <c r="K1463" s="651">
        <f>K1478/K$260</f>
        <v>18.051144910579975</v>
      </c>
      <c r="L1463" s="651">
        <f>L1478/L$260</f>
        <v>16.338558810549944</v>
      </c>
      <c r="M1463" s="651">
        <f>SUM(K1463:L1463)</f>
        <v>34.389703721129919</v>
      </c>
      <c r="N1463" s="651">
        <f>N1478/N$260</f>
        <v>14.932368852293667</v>
      </c>
      <c r="O1463" s="651">
        <f>O1478/O$260</f>
        <v>16.94469623559608</v>
      </c>
      <c r="P1463" s="651">
        <f>SUM(N1463:O1463)</f>
        <v>31.877065087889747</v>
      </c>
      <c r="Q1463" s="651">
        <f>Q1478/Q$260</f>
        <v>11.840610398982928</v>
      </c>
      <c r="R1463" s="651">
        <f>R1478/R$260</f>
        <v>12.999910594838354</v>
      </c>
      <c r="S1463" s="651">
        <f>SUM(Q1463:R1463)</f>
        <v>24.840520993821283</v>
      </c>
      <c r="T1463" s="345">
        <v>8.4</v>
      </c>
      <c r="U1463" s="376">
        <f>V1463-T1463</f>
        <v>11.499999999999998</v>
      </c>
      <c r="V1463" s="345">
        <v>19.899999999999999</v>
      </c>
      <c r="W1463" s="345">
        <v>14.5</v>
      </c>
      <c r="X1463" s="376">
        <f>Y1463-W1463</f>
        <v>6.8000000000000007</v>
      </c>
      <c r="Y1463" s="345">
        <v>21.3</v>
      </c>
      <c r="Z1463" s="345">
        <v>11.5</v>
      </c>
      <c r="AA1463" s="376">
        <f>AB1463-Z1463</f>
        <v>6.6999999999999993</v>
      </c>
      <c r="AB1463" s="345">
        <v>18.2</v>
      </c>
      <c r="AC1463" s="345">
        <v>6</v>
      </c>
      <c r="AD1463" s="376">
        <f>AE1463-AC1463</f>
        <v>9</v>
      </c>
      <c r="AE1463" s="345">
        <v>15</v>
      </c>
      <c r="AF1463" s="25">
        <v>7.1</v>
      </c>
      <c r="AG1463" s="1065">
        <f>AD1463*(1+AG1465+AG1466)</f>
        <v>8.370000000000001</v>
      </c>
      <c r="AH1463" s="650">
        <f>AF1463+AG1463</f>
        <v>15.47</v>
      </c>
      <c r="AI1463" s="650">
        <f>AF1463*(1+AI1465+AI1466)</f>
        <v>7.2100499999999998</v>
      </c>
      <c r="AJ1463" s="650">
        <f>AG1463*(1+AJ1465+AJ1466)</f>
        <v>8.4997350000000012</v>
      </c>
      <c r="AK1463" s="650">
        <f>AI1463+AJ1463</f>
        <v>15.709785</v>
      </c>
      <c r="AL1463" s="650">
        <f>AI1463*(1+AL1465+AL1466)</f>
        <v>7.3218057750000005</v>
      </c>
      <c r="AM1463" s="650">
        <f>AJ1463*(1+AM1465+AM1466)</f>
        <v>8.6314808925000026</v>
      </c>
      <c r="AN1463" s="650">
        <f>AL1463+AM1463</f>
        <v>15.953286667500002</v>
      </c>
      <c r="AO1463" s="650">
        <f>AL1463*(1+AO1465+AO1466)</f>
        <v>7.2156395912625007</v>
      </c>
      <c r="AP1463" s="650">
        <f>AM1463*(1+AP1465+AP1466)</f>
        <v>8.5063244195587533</v>
      </c>
      <c r="AQ1463" s="650">
        <f>AO1463+AP1463</f>
        <v>15.721964010821253</v>
      </c>
      <c r="AR1463" s="650">
        <f>AO1463*(1+AR1465+AR1466)</f>
        <v>7.2192474110581317</v>
      </c>
      <c r="AS1463" s="650">
        <f>AP1463*(1+AS1465+AS1466)</f>
        <v>8.5105775817685316</v>
      </c>
      <c r="AT1463" s="650">
        <f>AR1463+AS1463</f>
        <v>15.729824992826664</v>
      </c>
      <c r="AU1463" s="650">
        <f>AR1463*(1+AU1465+AU1466)</f>
        <v>7.2228570347636607</v>
      </c>
      <c r="AV1463" s="650">
        <f>AS1463*(1+AV1465+AV1466)</f>
        <v>8.514832870559415</v>
      </c>
      <c r="AW1463" s="650">
        <f>AU1463+AV1463</f>
        <v>15.737689905323077</v>
      </c>
      <c r="AX1463" s="650">
        <f>AU1463*(1+AX1465+AX1466)</f>
        <v>7.2264684632810425</v>
      </c>
      <c r="AY1463" s="650">
        <f>AV1463*(1+AY1465+AY1466)</f>
        <v>8.5190902869946949</v>
      </c>
      <c r="AZ1463" s="650">
        <f>AX1463+AY1463</f>
        <v>15.745558750275737</v>
      </c>
      <c r="BA1463" s="650">
        <f>AX1463*(1+BA1465+BA1466)</f>
        <v>7.2300816975126825</v>
      </c>
      <c r="BB1463" s="650">
        <f>AY1463*(1+BB1465+BB1466)</f>
        <v>8.5233498321381926</v>
      </c>
      <c r="BC1463" s="650">
        <f>BA1463+BB1463</f>
        <v>15.753431529650875</v>
      </c>
      <c r="BD1463" s="650">
        <f>BA1463*(1+BD1465+BD1466)</f>
        <v>7.2336967383614388</v>
      </c>
      <c r="BE1463" s="650">
        <f>BB1463*(1+BE1465+BE1466)</f>
        <v>8.527611507054262</v>
      </c>
      <c r="BF1463" s="650">
        <f>BD1463+BE1463</f>
        <v>15.761308245415702</v>
      </c>
      <c r="BG1463" s="650">
        <f>BD1463*(1+BG1465+BG1466)</f>
        <v>7.2373135867306191</v>
      </c>
      <c r="BH1463" s="650">
        <f>BE1463*(1+BH1465+BH1466)</f>
        <v>8.531875312807788</v>
      </c>
      <c r="BI1463" s="650">
        <f>BG1463+BH1463</f>
        <v>15.769188899538406</v>
      </c>
      <c r="BJ1463" s="650">
        <f>BG1463*(1+BJ1465+BJ1466)</f>
        <v>7.240932243523984</v>
      </c>
      <c r="BK1463" s="650">
        <f>BH1463*(1+BK1465+BK1466)</f>
        <v>8.5361412504641923</v>
      </c>
      <c r="BL1463" s="650">
        <f>BJ1463+BK1463</f>
        <v>15.777073493988176</v>
      </c>
      <c r="BM1463" s="650">
        <f>BJ1463*(1+BM1465+BM1466)</f>
        <v>7.2445527096457454</v>
      </c>
      <c r="BN1463" s="650">
        <f>BK1463*(1+BN1465+BN1466)</f>
        <v>8.5404093210894239</v>
      </c>
      <c r="BO1463" s="650">
        <f>BM1463+BN1463</f>
        <v>15.784962030735169</v>
      </c>
      <c r="BP1463" s="650">
        <f>BM1463*(1+BP1465+BP1466)</f>
        <v>7.248174986000568</v>
      </c>
      <c r="BQ1463" s="650">
        <f>BN1463*(1+BQ1465+BQ1466)</f>
        <v>8.5446795257499684</v>
      </c>
      <c r="BR1463" s="650">
        <f>BP1463+BQ1463</f>
        <v>15.792854511750537</v>
      </c>
    </row>
    <row r="1464" spans="1:70" outlineLevel="1">
      <c r="A1464" s="130"/>
      <c r="B1464" s="1076"/>
      <c r="C1464" s="659" t="s">
        <v>694</v>
      </c>
      <c r="D1464" s="655" t="s">
        <v>66</v>
      </c>
      <c r="E1464" s="657"/>
      <c r="F1464" s="657"/>
      <c r="G1464" s="660"/>
      <c r="H1464" s="660"/>
      <c r="I1464" s="660"/>
      <c r="J1464" s="652">
        <f t="shared" ref="J1464:V1464" si="7612">+J1463/G1463-1</f>
        <v>-0.22540631355930874</v>
      </c>
      <c r="K1464" s="652">
        <f t="shared" si="7612"/>
        <v>0.30012433173731767</v>
      </c>
      <c r="L1464" s="652">
        <f t="shared" si="7612"/>
        <v>-0.23947719442228865</v>
      </c>
      <c r="M1464" s="652">
        <f t="shared" si="7612"/>
        <v>-2.7646566457394051E-2</v>
      </c>
      <c r="N1464" s="652">
        <f t="shared" si="7612"/>
        <v>-0.17277441811784244</v>
      </c>
      <c r="O1464" s="652">
        <f t="shared" si="7612"/>
        <v>3.7098585748869484E-2</v>
      </c>
      <c r="P1464" s="652">
        <f t="shared" si="7612"/>
        <v>-7.3063689458200853E-2</v>
      </c>
      <c r="Q1464" s="652">
        <f t="shared" si="7612"/>
        <v>-0.20705076896328023</v>
      </c>
      <c r="R1464" s="652">
        <f t="shared" si="7612"/>
        <v>-0.23280356200607666</v>
      </c>
      <c r="S1464" s="652">
        <f t="shared" si="7612"/>
        <v>-0.22074002342021382</v>
      </c>
      <c r="T1464" s="652">
        <f t="shared" si="7612"/>
        <v>-0.29057711410540676</v>
      </c>
      <c r="U1464" s="652">
        <f t="shared" si="7612"/>
        <v>-0.11537853155958622</v>
      </c>
      <c r="V1464" s="652">
        <f t="shared" si="7612"/>
        <v>-0.1988895883081585</v>
      </c>
      <c r="W1464" s="652">
        <f t="shared" ref="W1464:AF1464" si="7613">+W1463/T1463-1</f>
        <v>0.72619047619047605</v>
      </c>
      <c r="X1464" s="652">
        <f t="shared" si="7613"/>
        <v>-0.4086956521739129</v>
      </c>
      <c r="Y1464" s="652">
        <f t="shared" si="7613"/>
        <v>7.0351758793969932E-2</v>
      </c>
      <c r="Z1464" s="652">
        <f t="shared" si="7613"/>
        <v>-0.2068965517241379</v>
      </c>
      <c r="AA1464" s="652">
        <f t="shared" si="7613"/>
        <v>-1.4705882352941346E-2</v>
      </c>
      <c r="AB1464" s="652">
        <f t="shared" si="7613"/>
        <v>-0.14553990610328649</v>
      </c>
      <c r="AC1464" s="652">
        <f t="shared" si="7613"/>
        <v>-0.47826086956521741</v>
      </c>
      <c r="AD1464" s="652">
        <f t="shared" si="7613"/>
        <v>0.34328358208955234</v>
      </c>
      <c r="AE1464" s="652">
        <f t="shared" si="7613"/>
        <v>-0.17582417582417575</v>
      </c>
      <c r="AF1464" s="464">
        <f t="shared" si="7613"/>
        <v>0.18333333333333335</v>
      </c>
      <c r="AG1464" s="1066">
        <f>+AG1465+AG1466</f>
        <v>-6.9999999999999993E-2</v>
      </c>
      <c r="AH1464" s="652">
        <f>+AH1463/AE1463-1</f>
        <v>3.1333333333333435E-2</v>
      </c>
      <c r="AI1464" s="464">
        <f>+AI1465+AI1466</f>
        <v>1.55E-2</v>
      </c>
      <c r="AJ1464" s="464">
        <f>+AJ1465+AJ1466</f>
        <v>1.55E-2</v>
      </c>
      <c r="AK1464" s="652">
        <f>+AK1463/AH1463-1</f>
        <v>1.5500000000000069E-2</v>
      </c>
      <c r="AL1464" s="464">
        <f>+AL1465+AL1466</f>
        <v>1.55E-2</v>
      </c>
      <c r="AM1464" s="464">
        <f>+AM1465+AM1466</f>
        <v>1.55E-2</v>
      </c>
      <c r="AN1464" s="652">
        <f>+AN1463/AK1463-1</f>
        <v>1.5500000000000069E-2</v>
      </c>
      <c r="AO1464" s="464">
        <f>+AO1465+AO1466</f>
        <v>-1.4499999999999999E-2</v>
      </c>
      <c r="AP1464" s="464">
        <f>+AP1465+AP1466</f>
        <v>-1.4499999999999999E-2</v>
      </c>
      <c r="AQ1464" s="652">
        <f>+AQ1463/AN1463-1</f>
        <v>-1.4499999999999957E-2</v>
      </c>
      <c r="AR1464" s="464">
        <f>+AR1465+AR1466</f>
        <v>5.0000000000000044E-4</v>
      </c>
      <c r="AS1464" s="464">
        <f>+AS1465+AS1466</f>
        <v>5.0000000000000044E-4</v>
      </c>
      <c r="AT1464" s="652">
        <f>+AT1463/AQ1463-1</f>
        <v>4.9999999999994493E-4</v>
      </c>
      <c r="AU1464" s="464">
        <f>+AU1465+AU1466</f>
        <v>5.0000000000000044E-4</v>
      </c>
      <c r="AV1464" s="464">
        <f>+AV1465+AV1466</f>
        <v>5.0000000000000044E-4</v>
      </c>
      <c r="AW1464" s="652">
        <f>+AW1463/AT1463-1</f>
        <v>4.9999999999994493E-4</v>
      </c>
      <c r="AX1464" s="464">
        <f>+AX1465+AX1466</f>
        <v>5.0000000000000044E-4</v>
      </c>
      <c r="AY1464" s="464">
        <f>+AY1465+AY1466</f>
        <v>5.0000000000000044E-4</v>
      </c>
      <c r="AZ1464" s="652">
        <f>+AZ1463/AW1463-1</f>
        <v>4.9999999999994493E-4</v>
      </c>
      <c r="BA1464" s="464">
        <f>+BA1465+BA1466</f>
        <v>5.0000000000000044E-4</v>
      </c>
      <c r="BB1464" s="464">
        <f>+BB1465+BB1466</f>
        <v>5.0000000000000044E-4</v>
      </c>
      <c r="BC1464" s="652">
        <f>+BC1463/AZ1463-1</f>
        <v>4.9999999999994493E-4</v>
      </c>
      <c r="BD1464" s="464">
        <f>+BD1465+BD1466</f>
        <v>5.0000000000000044E-4</v>
      </c>
      <c r="BE1464" s="464">
        <f>+BE1465+BE1466</f>
        <v>5.0000000000000044E-4</v>
      </c>
      <c r="BF1464" s="652">
        <f>+BF1463/BC1463-1</f>
        <v>5.0000000000016698E-4</v>
      </c>
      <c r="BG1464" s="464">
        <f>+BG1465+BG1466</f>
        <v>5.0000000000000044E-4</v>
      </c>
      <c r="BH1464" s="464">
        <f>+BH1465+BH1466</f>
        <v>5.0000000000000044E-4</v>
      </c>
      <c r="BI1464" s="652">
        <f>+BI1463/BF1463-1</f>
        <v>4.9999999999972289E-4</v>
      </c>
      <c r="BJ1464" s="464">
        <f>+BJ1465+BJ1466</f>
        <v>5.0000000000000044E-4</v>
      </c>
      <c r="BK1464" s="464">
        <f>+BK1465+BK1466</f>
        <v>5.0000000000000044E-4</v>
      </c>
      <c r="BL1464" s="652">
        <f>+BL1463/BI1463-1</f>
        <v>4.9999999999994493E-4</v>
      </c>
      <c r="BM1464" s="464">
        <f>+BM1465+BM1466</f>
        <v>5.0000000000000044E-4</v>
      </c>
      <c r="BN1464" s="464">
        <f>+BN1465+BN1466</f>
        <v>5.0000000000000044E-4</v>
      </c>
      <c r="BO1464" s="652">
        <f>+BO1463/BL1463-1</f>
        <v>4.9999999999994493E-4</v>
      </c>
      <c r="BP1464" s="464">
        <f>+BP1465+BP1466</f>
        <v>5.0000000000000044E-4</v>
      </c>
      <c r="BQ1464" s="464">
        <f>+BQ1465+BQ1466</f>
        <v>5.0000000000000044E-4</v>
      </c>
      <c r="BR1464" s="652">
        <f>+BR1463/BO1463-1</f>
        <v>4.9999999999994493E-4</v>
      </c>
    </row>
    <row r="1465" spans="1:70" outlineLevel="1">
      <c r="A1465" s="130"/>
      <c r="B1465" s="1076"/>
      <c r="C1465" s="661" t="s">
        <v>692</v>
      </c>
      <c r="D1465" s="655" t="s">
        <v>66</v>
      </c>
      <c r="E1465" s="657"/>
      <c r="F1465" s="657"/>
      <c r="G1465" s="660"/>
      <c r="H1465" s="660"/>
      <c r="I1465" s="660"/>
      <c r="J1465" s="660"/>
      <c r="K1465" s="660"/>
      <c r="L1465" s="660"/>
      <c r="M1465" s="660"/>
      <c r="N1465" s="660"/>
      <c r="O1465" s="660"/>
      <c r="P1465" s="660"/>
      <c r="Q1465" s="660"/>
      <c r="R1465" s="660"/>
      <c r="S1465" s="660"/>
      <c r="T1465" s="575"/>
      <c r="U1465" s="662"/>
      <c r="V1465" s="575"/>
      <c r="W1465" s="575"/>
      <c r="X1465" s="662"/>
      <c r="Y1465" s="575"/>
      <c r="Z1465" s="575"/>
      <c r="AA1465" s="662"/>
      <c r="AB1465" s="575"/>
      <c r="AC1465" s="575"/>
      <c r="AD1465" s="662"/>
      <c r="AE1465" s="575"/>
      <c r="AF1465" s="929">
        <f>+AF313+AF314</f>
        <v>-7.2499999999999995E-2</v>
      </c>
      <c r="AG1465" s="1066">
        <f>+AG313+AG314</f>
        <v>-6.9999999999999993E-2</v>
      </c>
      <c r="AH1465" s="387">
        <f>AVERAGE(AF1465,AG1465)</f>
        <v>-7.1249999999999994E-2</v>
      </c>
      <c r="AI1465" s="464">
        <f>+AI313+AI314</f>
        <v>1.55E-2</v>
      </c>
      <c r="AJ1465" s="464">
        <f>+AJ313+AJ314</f>
        <v>1.55E-2</v>
      </c>
      <c r="AK1465" s="387">
        <f>AVERAGE(AI1465,AJ1465)</f>
        <v>1.55E-2</v>
      </c>
      <c r="AL1465" s="464">
        <f>+AL313+AL314</f>
        <v>1.55E-2</v>
      </c>
      <c r="AM1465" s="464">
        <f>+AM313+AM314</f>
        <v>1.55E-2</v>
      </c>
      <c r="AN1465" s="387">
        <f>AVERAGE(AL1465,AM1465)</f>
        <v>1.55E-2</v>
      </c>
      <c r="AO1465" s="464">
        <f>+AO313+AO314</f>
        <v>-1.4499999999999999E-2</v>
      </c>
      <c r="AP1465" s="464">
        <f>+AP313+AP314</f>
        <v>-1.4499999999999999E-2</v>
      </c>
      <c r="AQ1465" s="387">
        <f>AVERAGE(AO1465,AP1465)</f>
        <v>-1.4499999999999999E-2</v>
      </c>
      <c r="AR1465" s="464">
        <f>+AR313+AR314</f>
        <v>5.0000000000000044E-4</v>
      </c>
      <c r="AS1465" s="464">
        <f>+AS313+AS314</f>
        <v>5.0000000000000044E-4</v>
      </c>
      <c r="AT1465" s="387">
        <f>AVERAGE(AR1465,AS1465)</f>
        <v>5.0000000000000044E-4</v>
      </c>
      <c r="AU1465" s="464">
        <f>+AU313+AU314</f>
        <v>5.0000000000000044E-4</v>
      </c>
      <c r="AV1465" s="464">
        <f>+AV313+AV314</f>
        <v>5.0000000000000044E-4</v>
      </c>
      <c r="AW1465" s="387">
        <f>AVERAGE(AU1465,AV1465)</f>
        <v>5.0000000000000044E-4</v>
      </c>
      <c r="AX1465" s="464">
        <f>+AX313+AX314</f>
        <v>5.0000000000000044E-4</v>
      </c>
      <c r="AY1465" s="464">
        <f>+AY313+AY314</f>
        <v>5.0000000000000044E-4</v>
      </c>
      <c r="AZ1465" s="387">
        <f>AVERAGE(AX1465,AY1465)</f>
        <v>5.0000000000000044E-4</v>
      </c>
      <c r="BA1465" s="464">
        <f>+BA313+BA314</f>
        <v>5.0000000000000044E-4</v>
      </c>
      <c r="BB1465" s="464">
        <f>+BB313+BB314</f>
        <v>5.0000000000000044E-4</v>
      </c>
      <c r="BC1465" s="387">
        <f>AVERAGE(BA1465,BB1465)</f>
        <v>5.0000000000000044E-4</v>
      </c>
      <c r="BD1465" s="464">
        <f>+BD313+BD314</f>
        <v>5.0000000000000044E-4</v>
      </c>
      <c r="BE1465" s="464">
        <f>+BE313+BE314</f>
        <v>5.0000000000000044E-4</v>
      </c>
      <c r="BF1465" s="387">
        <f>AVERAGE(BD1465,BE1465)</f>
        <v>5.0000000000000044E-4</v>
      </c>
      <c r="BG1465" s="464">
        <f>+BG313+BG314</f>
        <v>5.0000000000000044E-4</v>
      </c>
      <c r="BH1465" s="464">
        <f>+BH313+BH314</f>
        <v>5.0000000000000044E-4</v>
      </c>
      <c r="BI1465" s="387">
        <f>AVERAGE(BG1465,BH1465)</f>
        <v>5.0000000000000044E-4</v>
      </c>
      <c r="BJ1465" s="464">
        <f>+BJ313+BJ314</f>
        <v>5.0000000000000044E-4</v>
      </c>
      <c r="BK1465" s="464">
        <f>+BK313+BK314</f>
        <v>5.0000000000000044E-4</v>
      </c>
      <c r="BL1465" s="387">
        <f>AVERAGE(BJ1465,BK1465)</f>
        <v>5.0000000000000044E-4</v>
      </c>
      <c r="BM1465" s="464">
        <f>+BM313+BM314</f>
        <v>5.0000000000000044E-4</v>
      </c>
      <c r="BN1465" s="464">
        <f>+BN313+BN314</f>
        <v>5.0000000000000044E-4</v>
      </c>
      <c r="BO1465" s="387">
        <f>AVERAGE(BM1465,BN1465)</f>
        <v>5.0000000000000044E-4</v>
      </c>
      <c r="BP1465" s="464">
        <f>+BP313+BP314</f>
        <v>5.0000000000000044E-4</v>
      </c>
      <c r="BQ1465" s="464">
        <f>+BQ313+BQ314</f>
        <v>5.0000000000000044E-4</v>
      </c>
      <c r="BR1465" s="387">
        <f>AVERAGE(BP1465,BQ1465)</f>
        <v>5.0000000000000044E-4</v>
      </c>
    </row>
    <row r="1466" spans="1:70" outlineLevel="1">
      <c r="A1466" s="130"/>
      <c r="B1466" s="1076"/>
      <c r="C1466" s="661" t="s">
        <v>693</v>
      </c>
      <c r="D1466" s="655" t="s">
        <v>66</v>
      </c>
      <c r="E1466" s="657"/>
      <c r="F1466" s="657"/>
      <c r="G1466" s="660"/>
      <c r="H1466" s="660"/>
      <c r="I1466" s="660"/>
      <c r="J1466" s="660"/>
      <c r="K1466" s="660"/>
      <c r="L1466" s="660"/>
      <c r="M1466" s="660"/>
      <c r="N1466" s="660"/>
      <c r="O1466" s="660"/>
      <c r="P1466" s="660"/>
      <c r="Q1466" s="660"/>
      <c r="R1466" s="660"/>
      <c r="S1466" s="660"/>
      <c r="T1466" s="575"/>
      <c r="U1466" s="662"/>
      <c r="V1466" s="575"/>
      <c r="W1466" s="575"/>
      <c r="X1466" s="662"/>
      <c r="Y1466" s="575"/>
      <c r="Z1466" s="575"/>
      <c r="AA1466" s="662"/>
      <c r="AB1466" s="575"/>
      <c r="AC1466" s="575"/>
      <c r="AD1466" s="662"/>
      <c r="AE1466" s="575"/>
      <c r="AF1466" s="930">
        <v>0</v>
      </c>
      <c r="AG1466" s="985">
        <v>0</v>
      </c>
      <c r="AH1466" s="653">
        <f>AVERAGE(AF1466,AG1466)</f>
        <v>0</v>
      </c>
      <c r="AI1466" s="432">
        <v>0</v>
      </c>
      <c r="AJ1466" s="432">
        <v>0</v>
      </c>
      <c r="AK1466" s="653">
        <f>AVERAGE(AI1466,AJ1466)</f>
        <v>0</v>
      </c>
      <c r="AL1466" s="432">
        <v>0</v>
      </c>
      <c r="AM1466" s="432">
        <v>0</v>
      </c>
      <c r="AN1466" s="653">
        <f>AVERAGE(AL1466,AM1466)</f>
        <v>0</v>
      </c>
      <c r="AO1466" s="432">
        <v>0</v>
      </c>
      <c r="AP1466" s="432">
        <v>0</v>
      </c>
      <c r="AQ1466" s="653">
        <f>AVERAGE(AO1466,AP1466)</f>
        <v>0</v>
      </c>
      <c r="AR1466" s="432">
        <v>0</v>
      </c>
      <c r="AS1466" s="432">
        <v>0</v>
      </c>
      <c r="AT1466" s="653">
        <f>AVERAGE(AR1466,AS1466)</f>
        <v>0</v>
      </c>
      <c r="AU1466" s="432">
        <v>0</v>
      </c>
      <c r="AV1466" s="432">
        <v>0</v>
      </c>
      <c r="AW1466" s="653">
        <f>AVERAGE(AU1466,AV1466)</f>
        <v>0</v>
      </c>
      <c r="AX1466" s="432">
        <v>0</v>
      </c>
      <c r="AY1466" s="432">
        <v>0</v>
      </c>
      <c r="AZ1466" s="653">
        <f>AVERAGE(AX1466,AY1466)</f>
        <v>0</v>
      </c>
      <c r="BA1466" s="432">
        <v>0</v>
      </c>
      <c r="BB1466" s="432">
        <v>0</v>
      </c>
      <c r="BC1466" s="653">
        <f>AVERAGE(BA1466,BB1466)</f>
        <v>0</v>
      </c>
      <c r="BD1466" s="432">
        <v>0</v>
      </c>
      <c r="BE1466" s="432">
        <v>0</v>
      </c>
      <c r="BF1466" s="653">
        <f>AVERAGE(BD1466,BE1466)</f>
        <v>0</v>
      </c>
      <c r="BG1466" s="432">
        <v>0</v>
      </c>
      <c r="BH1466" s="432">
        <v>0</v>
      </c>
      <c r="BI1466" s="653">
        <f>AVERAGE(BG1466,BH1466)</f>
        <v>0</v>
      </c>
      <c r="BJ1466" s="432">
        <v>0</v>
      </c>
      <c r="BK1466" s="432">
        <v>0</v>
      </c>
      <c r="BL1466" s="653">
        <f>AVERAGE(BJ1466,BK1466)</f>
        <v>0</v>
      </c>
      <c r="BM1466" s="432">
        <v>0</v>
      </c>
      <c r="BN1466" s="432">
        <v>0</v>
      </c>
      <c r="BO1466" s="653">
        <f>AVERAGE(BM1466,BN1466)</f>
        <v>0</v>
      </c>
      <c r="BP1466" s="432">
        <v>0</v>
      </c>
      <c r="BQ1466" s="432">
        <v>0</v>
      </c>
      <c r="BR1466" s="653">
        <f>AVERAGE(BP1466,BQ1466)</f>
        <v>0</v>
      </c>
    </row>
    <row r="1467" spans="1:70" outlineLevel="1">
      <c r="A1467" s="130"/>
      <c r="B1467" s="1076"/>
      <c r="C1467" s="658" t="s">
        <v>303</v>
      </c>
      <c r="D1467" s="655" t="s">
        <v>58</v>
      </c>
      <c r="E1467" s="657"/>
      <c r="F1467" s="657"/>
      <c r="G1467" s="651">
        <f>G1479/G$260</f>
        <v>-51.550950807974495</v>
      </c>
      <c r="H1467" s="651">
        <f>H1479/H$260</f>
        <v>-27.538846028468978</v>
      </c>
      <c r="I1467" s="651">
        <f>I1479/I$260</f>
        <v>-21.483325274038013</v>
      </c>
      <c r="J1467" s="651">
        <f>SUM(H1467:I1467)</f>
        <v>-49.02217130250699</v>
      </c>
      <c r="K1467" s="651">
        <f>K1479/K$260</f>
        <v>-24.27931771598476</v>
      </c>
      <c r="L1467" s="651">
        <f>L1479/L$260</f>
        <v>-47.565508489885055</v>
      </c>
      <c r="M1467" s="651">
        <f>SUM(K1467:L1467)</f>
        <v>-71.844826205869822</v>
      </c>
      <c r="N1467" s="651">
        <f>N1479/N$260</f>
        <v>-30.543481743327952</v>
      </c>
      <c r="O1467" s="651">
        <f>O1479/O$260</f>
        <v>-38.633907417159065</v>
      </c>
      <c r="P1467" s="651">
        <f>SUM(N1467:O1467)</f>
        <v>-69.177389160487024</v>
      </c>
      <c r="Q1467" s="651">
        <f>Q1479/Q$260</f>
        <v>-30.323514436419693</v>
      </c>
      <c r="R1467" s="651">
        <f>R1479/R$260</f>
        <v>-26.984662901406889</v>
      </c>
      <c r="S1467" s="651">
        <f>SUM(Q1467:R1467)</f>
        <v>-57.308177337826578</v>
      </c>
      <c r="T1467" s="345">
        <v>-33</v>
      </c>
      <c r="U1467" s="376">
        <f>V1467-T1467</f>
        <v>-25.4</v>
      </c>
      <c r="V1467" s="345">
        <v>-58.4</v>
      </c>
      <c r="W1467" s="345">
        <v>-31.4</v>
      </c>
      <c r="X1467" s="376">
        <f>Y1467-W1467</f>
        <v>-30.6</v>
      </c>
      <c r="Y1467" s="345">
        <v>-62</v>
      </c>
      <c r="Z1467" s="345">
        <v>-30.2</v>
      </c>
      <c r="AA1467" s="376">
        <f>AB1467-Z1467</f>
        <v>-41.099999999999994</v>
      </c>
      <c r="AB1467" s="345">
        <v>-71.3</v>
      </c>
      <c r="AC1467" s="345">
        <v>-26.8</v>
      </c>
      <c r="AD1467" s="376">
        <f>AE1467-AC1467</f>
        <v>-47.400000000000006</v>
      </c>
      <c r="AE1467" s="345">
        <v>-74.2</v>
      </c>
      <c r="AF1467" s="25">
        <v>-33.799999999999997</v>
      </c>
      <c r="AG1467" s="1065">
        <f>AD1467*(1+AG1468)</f>
        <v>-49.77000000000001</v>
      </c>
      <c r="AH1467" s="650">
        <f>AF1467+AG1467</f>
        <v>-83.570000000000007</v>
      </c>
      <c r="AI1467" s="650">
        <f>AF1467*(1+AI1468)</f>
        <v>-34.306999999999995</v>
      </c>
      <c r="AJ1467" s="650">
        <f>AG1467*(1+AJ1468)</f>
        <v>-50.516550000000002</v>
      </c>
      <c r="AK1467" s="650">
        <f>AI1467+AJ1467</f>
        <v>-84.823549999999997</v>
      </c>
      <c r="AL1467" s="650">
        <f>AI1467*(1+AL1468)</f>
        <v>-34.821604999999991</v>
      </c>
      <c r="AM1467" s="650">
        <f>AJ1467*(1+AM1468)</f>
        <v>-51.274298249999994</v>
      </c>
      <c r="AN1467" s="650">
        <f>AL1467+AM1467</f>
        <v>-86.095903249999992</v>
      </c>
      <c r="AO1467" s="650">
        <f>AL1467*(1+AO1468)</f>
        <v>-35.343929074999984</v>
      </c>
      <c r="AP1467" s="650">
        <f>AM1467*(1+AP1468)</f>
        <v>-52.043412723749988</v>
      </c>
      <c r="AQ1467" s="650">
        <f>AO1467+AP1467</f>
        <v>-87.387341798749972</v>
      </c>
      <c r="AR1467" s="650">
        <f>AO1467*(1+AR1468)</f>
        <v>-35.874088011124982</v>
      </c>
      <c r="AS1467" s="650">
        <f>AP1467*(1+AS1468)</f>
        <v>-52.824063914606235</v>
      </c>
      <c r="AT1467" s="650">
        <f>AR1467+AS1467</f>
        <v>-88.698151925731224</v>
      </c>
      <c r="AU1467" s="650">
        <f>AR1467*(1+AU1468)</f>
        <v>-36.412199331291852</v>
      </c>
      <c r="AV1467" s="650">
        <f>AS1467*(1+AV1468)</f>
        <v>-53.616424873325322</v>
      </c>
      <c r="AW1467" s="650">
        <f>AU1467+AV1467</f>
        <v>-90.028624204617174</v>
      </c>
      <c r="AX1467" s="650">
        <f>AU1467*(1+AX1468)</f>
        <v>-36.958382321261226</v>
      </c>
      <c r="AY1467" s="650">
        <f>AV1467*(1+AY1468)</f>
        <v>-54.420671246425194</v>
      </c>
      <c r="AZ1467" s="650">
        <f>AX1467+AY1467</f>
        <v>-91.379053567686412</v>
      </c>
      <c r="BA1467" s="650">
        <f>AX1467*(1+BA1468)</f>
        <v>-37.512758056080138</v>
      </c>
      <c r="BB1467" s="650">
        <f>AY1467*(1+BB1468)</f>
        <v>-55.236981315121568</v>
      </c>
      <c r="BC1467" s="650">
        <f>BA1467+BB1467</f>
        <v>-92.749739371201713</v>
      </c>
      <c r="BD1467" s="650">
        <f>BA1467*(1+BD1468)</f>
        <v>-38.075449426921338</v>
      </c>
      <c r="BE1467" s="650">
        <f>BB1467*(1+BE1468)</f>
        <v>-56.065536034848385</v>
      </c>
      <c r="BF1467" s="650">
        <f>BD1467+BE1467</f>
        <v>-94.140985461769731</v>
      </c>
      <c r="BG1467" s="650">
        <f>BD1467*(1+BG1468)</f>
        <v>-38.646581168325156</v>
      </c>
      <c r="BH1467" s="650">
        <f>BE1467*(1+BH1468)</f>
        <v>-56.906519075371108</v>
      </c>
      <c r="BI1467" s="650">
        <f>BG1467+BH1467</f>
        <v>-95.553100243696264</v>
      </c>
      <c r="BJ1467" s="650">
        <f>BG1467*(1+BJ1468)</f>
        <v>-39.226279885850026</v>
      </c>
      <c r="BK1467" s="650">
        <f>BH1467*(1+BK1468)</f>
        <v>-57.760116861501672</v>
      </c>
      <c r="BL1467" s="650">
        <f>BJ1467+BK1467</f>
        <v>-96.986396747351705</v>
      </c>
      <c r="BM1467" s="650">
        <f>BJ1467*(1+BM1468)</f>
        <v>-39.814674084137771</v>
      </c>
      <c r="BN1467" s="650">
        <f>BK1467*(1+BN1468)</f>
        <v>-58.626518614424192</v>
      </c>
      <c r="BO1467" s="650">
        <f>BM1467+BN1467</f>
        <v>-98.441192698561963</v>
      </c>
      <c r="BP1467" s="650">
        <f>BM1467*(1+BP1468)</f>
        <v>-40.411894195399832</v>
      </c>
      <c r="BQ1467" s="650">
        <f>BN1467*(1+BQ1468)</f>
        <v>-59.505916393640547</v>
      </c>
      <c r="BR1467" s="650">
        <f>BP1467+BQ1467</f>
        <v>-99.917810589040386</v>
      </c>
    </row>
    <row r="1468" spans="1:70" outlineLevel="1">
      <c r="A1468" s="130"/>
      <c r="B1468" s="1076"/>
      <c r="C1468" s="659" t="s">
        <v>697</v>
      </c>
      <c r="D1468" s="655" t="s">
        <v>66</v>
      </c>
      <c r="E1468" s="657"/>
      <c r="F1468" s="657"/>
      <c r="G1468" s="660"/>
      <c r="H1468" s="660"/>
      <c r="I1468" s="660"/>
      <c r="J1468" s="652">
        <f t="shared" ref="J1468:V1468" si="7614">+J1467/G1467-1</f>
        <v>-4.9053983793375999E-2</v>
      </c>
      <c r="K1468" s="652">
        <f t="shared" si="7614"/>
        <v>-0.11836110740132677</v>
      </c>
      <c r="L1468" s="652">
        <f t="shared" si="7614"/>
        <v>1.2140663925694324</v>
      </c>
      <c r="M1468" s="652">
        <f t="shared" si="7614"/>
        <v>0.4655578138823826</v>
      </c>
      <c r="N1468" s="652">
        <f t="shared" si="7614"/>
        <v>0.25800412106387394</v>
      </c>
      <c r="O1468" s="652">
        <f t="shared" si="7614"/>
        <v>-0.18777474174643416</v>
      </c>
      <c r="P1468" s="652">
        <f t="shared" si="7614"/>
        <v>-3.712775416477887E-2</v>
      </c>
      <c r="Q1468" s="652">
        <f t="shared" si="7614"/>
        <v>-7.2017757751638989E-3</v>
      </c>
      <c r="R1468" s="652">
        <f t="shared" si="7614"/>
        <v>-0.3015290270788975</v>
      </c>
      <c r="S1468" s="652">
        <f t="shared" si="7614"/>
        <v>-0.17157646402532845</v>
      </c>
      <c r="T1468" s="652">
        <f t="shared" si="7614"/>
        <v>8.8264358974359025E-2</v>
      </c>
      <c r="U1468" s="652">
        <f t="shared" si="7614"/>
        <v>-5.8724576519511462E-2</v>
      </c>
      <c r="V1468" s="652">
        <f t="shared" si="7614"/>
        <v>1.9051777824606431E-2</v>
      </c>
      <c r="W1468" s="652">
        <f t="shared" ref="W1468" si="7615">+W1467/T1467-1</f>
        <v>-4.8484848484848575E-2</v>
      </c>
      <c r="X1468" s="652">
        <f t="shared" ref="X1468" si="7616">+X1467/U1467-1</f>
        <v>0.20472440944881898</v>
      </c>
      <c r="Y1468" s="652">
        <f t="shared" ref="Y1468" si="7617">+Y1467/V1467-1</f>
        <v>6.164383561643838E-2</v>
      </c>
      <c r="Z1468" s="652">
        <f t="shared" ref="Z1468" si="7618">+Z1467/W1467-1</f>
        <v>-3.8216560509554132E-2</v>
      </c>
      <c r="AA1468" s="652">
        <f t="shared" ref="AA1468" si="7619">+AA1467/X1467-1</f>
        <v>0.34313725490196045</v>
      </c>
      <c r="AB1468" s="652">
        <f t="shared" ref="AB1468" si="7620">+AB1467/Y1467-1</f>
        <v>0.14999999999999991</v>
      </c>
      <c r="AC1468" s="652">
        <f t="shared" ref="AC1468" si="7621">+AC1467/Z1467-1</f>
        <v>-0.11258278145695355</v>
      </c>
      <c r="AD1468" s="652">
        <f t="shared" ref="AD1468" si="7622">+AD1467/AA1467-1</f>
        <v>0.15328467153284708</v>
      </c>
      <c r="AE1468" s="652">
        <f t="shared" ref="AE1468:AF1468" si="7623">+AE1467/AB1467-1</f>
        <v>4.0673211781206309E-2</v>
      </c>
      <c r="AF1468" s="464">
        <f t="shared" si="7623"/>
        <v>0.26119402985074602</v>
      </c>
      <c r="AG1468" s="1066">
        <f>+AG1469+AG1470</f>
        <v>0.05</v>
      </c>
      <c r="AH1468" s="652">
        <f t="shared" ref="AH1468" si="7624">+AH1467/AE1467-1</f>
        <v>0.12628032345013485</v>
      </c>
      <c r="AI1468" s="464">
        <f>+AI1469+AI1470</f>
        <v>1.4999999999999999E-2</v>
      </c>
      <c r="AJ1468" s="464">
        <f>+AJ1469+AJ1470</f>
        <v>1.4999999999999999E-2</v>
      </c>
      <c r="AK1468" s="652">
        <f t="shared" ref="AK1468" si="7625">+AK1467/AH1467-1</f>
        <v>1.4999999999999902E-2</v>
      </c>
      <c r="AL1468" s="464">
        <f>+AL1469+AL1470</f>
        <v>1.4999999999999999E-2</v>
      </c>
      <c r="AM1468" s="464">
        <f>+AM1469+AM1470</f>
        <v>1.4999999999999999E-2</v>
      </c>
      <c r="AN1468" s="652">
        <f t="shared" ref="AN1468" si="7626">+AN1467/AK1467-1</f>
        <v>1.4999999999999902E-2</v>
      </c>
      <c r="AO1468" s="464">
        <f>+AO1469+AO1470</f>
        <v>1.4999999999999999E-2</v>
      </c>
      <c r="AP1468" s="464">
        <f>+AP1469+AP1470</f>
        <v>1.4999999999999999E-2</v>
      </c>
      <c r="AQ1468" s="652">
        <f t="shared" ref="AQ1468" si="7627">+AQ1467/AN1467-1</f>
        <v>1.499999999999968E-2</v>
      </c>
      <c r="AR1468" s="464">
        <f>+AR1469+AR1470</f>
        <v>1.4999999999999999E-2</v>
      </c>
      <c r="AS1468" s="464">
        <f>+AS1469+AS1470</f>
        <v>1.4999999999999999E-2</v>
      </c>
      <c r="AT1468" s="652">
        <f t="shared" ref="AT1468" si="7628">+AT1467/AQ1467-1</f>
        <v>1.5000000000000124E-2</v>
      </c>
      <c r="AU1468" s="464">
        <f>+AU1469+AU1470</f>
        <v>1.4999999999999999E-2</v>
      </c>
      <c r="AV1468" s="464">
        <f>+AV1469+AV1470</f>
        <v>1.4999999999999999E-2</v>
      </c>
      <c r="AW1468" s="652">
        <f t="shared" ref="AW1468" si="7629">+AW1467/AT1467-1</f>
        <v>1.499999999999968E-2</v>
      </c>
      <c r="AX1468" s="464">
        <f>+AX1469+AX1470</f>
        <v>1.4999999999999999E-2</v>
      </c>
      <c r="AY1468" s="464">
        <f>+AY1469+AY1470</f>
        <v>1.4999999999999999E-2</v>
      </c>
      <c r="AZ1468" s="652">
        <f t="shared" ref="AZ1468" si="7630">+AZ1467/AW1467-1</f>
        <v>1.499999999999968E-2</v>
      </c>
      <c r="BA1468" s="464">
        <f>+BA1469+BA1470</f>
        <v>1.4999999999999999E-2</v>
      </c>
      <c r="BB1468" s="464">
        <f>+BB1469+BB1470</f>
        <v>1.4999999999999999E-2</v>
      </c>
      <c r="BC1468" s="652">
        <f t="shared" ref="BC1468" si="7631">+BC1467/AZ1467-1</f>
        <v>1.5000000000000124E-2</v>
      </c>
      <c r="BD1468" s="464">
        <f>+BD1469+BD1470</f>
        <v>1.4999999999999999E-2</v>
      </c>
      <c r="BE1468" s="464">
        <f>+BE1469+BE1470</f>
        <v>1.4999999999999999E-2</v>
      </c>
      <c r="BF1468" s="652">
        <f t="shared" ref="BF1468" si="7632">+BF1467/BC1467-1</f>
        <v>1.4999999999999902E-2</v>
      </c>
      <c r="BG1468" s="464">
        <f>+BG1469+BG1470</f>
        <v>1.4999999999999999E-2</v>
      </c>
      <c r="BH1468" s="464">
        <f>+BH1469+BH1470</f>
        <v>1.4999999999999999E-2</v>
      </c>
      <c r="BI1468" s="652">
        <f t="shared" ref="BI1468" si="7633">+BI1467/BF1467-1</f>
        <v>1.4999999999999902E-2</v>
      </c>
      <c r="BJ1468" s="464">
        <f>+BJ1469+BJ1470</f>
        <v>1.4999999999999999E-2</v>
      </c>
      <c r="BK1468" s="464">
        <f>+BK1469+BK1470</f>
        <v>1.4999999999999999E-2</v>
      </c>
      <c r="BL1468" s="652">
        <f t="shared" ref="BL1468" si="7634">+BL1467/BI1467-1</f>
        <v>1.4999999999999902E-2</v>
      </c>
      <c r="BM1468" s="464">
        <f>+BM1469+BM1470</f>
        <v>1.4999999999999999E-2</v>
      </c>
      <c r="BN1468" s="464">
        <f>+BN1469+BN1470</f>
        <v>1.4999999999999999E-2</v>
      </c>
      <c r="BO1468" s="652">
        <f t="shared" ref="BO1468" si="7635">+BO1467/BL1467-1</f>
        <v>1.4999999999999902E-2</v>
      </c>
      <c r="BP1468" s="464">
        <f>+BP1469+BP1470</f>
        <v>1.4999999999999999E-2</v>
      </c>
      <c r="BQ1468" s="464">
        <f>+BQ1469+BQ1470</f>
        <v>1.4999999999999999E-2</v>
      </c>
      <c r="BR1468" s="652">
        <f t="shared" ref="BR1468" si="7636">+BR1467/BO1467-1</f>
        <v>1.4999999999999902E-2</v>
      </c>
    </row>
    <row r="1469" spans="1:70" outlineLevel="1">
      <c r="A1469" s="130"/>
      <c r="B1469" s="1076"/>
      <c r="C1469" s="661" t="s">
        <v>692</v>
      </c>
      <c r="D1469" s="655" t="s">
        <v>66</v>
      </c>
      <c r="E1469" s="657"/>
      <c r="F1469" s="657"/>
      <c r="G1469" s="660"/>
      <c r="H1469" s="660"/>
      <c r="I1469" s="660"/>
      <c r="J1469" s="660"/>
      <c r="K1469" s="660"/>
      <c r="L1469" s="660"/>
      <c r="M1469" s="660"/>
      <c r="N1469" s="660"/>
      <c r="O1469" s="660"/>
      <c r="P1469" s="660"/>
      <c r="Q1469" s="660"/>
      <c r="R1469" s="660"/>
      <c r="S1469" s="660"/>
      <c r="T1469" s="575"/>
      <c r="U1469" s="662"/>
      <c r="V1469" s="575"/>
      <c r="W1469" s="575"/>
      <c r="X1469" s="662"/>
      <c r="Y1469" s="575"/>
      <c r="Z1469" s="575"/>
      <c r="AA1469" s="662"/>
      <c r="AB1469" s="575"/>
      <c r="AC1469" s="575"/>
      <c r="AD1469" s="662"/>
      <c r="AE1469" s="575"/>
      <c r="AF1469" s="930">
        <v>0.05</v>
      </c>
      <c r="AG1469" s="985">
        <v>0.05</v>
      </c>
      <c r="AH1469" s="653">
        <f>AH1467/AE1467-1</f>
        <v>0.12628032345013485</v>
      </c>
      <c r="AI1469" s="432">
        <v>1.4999999999999999E-2</v>
      </c>
      <c r="AJ1469" s="432">
        <v>1.4999999999999999E-2</v>
      </c>
      <c r="AK1469" s="653">
        <f>AK1467/AH1467-1</f>
        <v>1.4999999999999902E-2</v>
      </c>
      <c r="AL1469" s="432">
        <v>1.4999999999999999E-2</v>
      </c>
      <c r="AM1469" s="432">
        <v>1.4999999999999999E-2</v>
      </c>
      <c r="AN1469" s="653">
        <f>AN1467/AK1467-1</f>
        <v>1.4999999999999902E-2</v>
      </c>
      <c r="AO1469" s="432">
        <v>1.4999999999999999E-2</v>
      </c>
      <c r="AP1469" s="432">
        <v>1.4999999999999999E-2</v>
      </c>
      <c r="AQ1469" s="653">
        <f>AQ1467/AN1467-1</f>
        <v>1.499999999999968E-2</v>
      </c>
      <c r="AR1469" s="432">
        <v>1.4999999999999999E-2</v>
      </c>
      <c r="AS1469" s="432">
        <v>1.4999999999999999E-2</v>
      </c>
      <c r="AT1469" s="653">
        <f>AT1467/AQ1467-1</f>
        <v>1.5000000000000124E-2</v>
      </c>
      <c r="AU1469" s="432">
        <v>1.4999999999999999E-2</v>
      </c>
      <c r="AV1469" s="432">
        <v>1.4999999999999999E-2</v>
      </c>
      <c r="AW1469" s="653">
        <f>AW1467/AT1467-1</f>
        <v>1.499999999999968E-2</v>
      </c>
      <c r="AX1469" s="432">
        <v>1.4999999999999999E-2</v>
      </c>
      <c r="AY1469" s="432">
        <v>1.4999999999999999E-2</v>
      </c>
      <c r="AZ1469" s="653">
        <f>AZ1467/AW1467-1</f>
        <v>1.499999999999968E-2</v>
      </c>
      <c r="BA1469" s="432">
        <v>1.4999999999999999E-2</v>
      </c>
      <c r="BB1469" s="432">
        <v>1.4999999999999999E-2</v>
      </c>
      <c r="BC1469" s="653">
        <f>BC1467/AZ1467-1</f>
        <v>1.5000000000000124E-2</v>
      </c>
      <c r="BD1469" s="432">
        <v>1.4999999999999999E-2</v>
      </c>
      <c r="BE1469" s="432">
        <v>1.4999999999999999E-2</v>
      </c>
      <c r="BF1469" s="653">
        <f>BF1467/BC1467-1</f>
        <v>1.4999999999999902E-2</v>
      </c>
      <c r="BG1469" s="432">
        <v>1.4999999999999999E-2</v>
      </c>
      <c r="BH1469" s="432">
        <v>1.4999999999999999E-2</v>
      </c>
      <c r="BI1469" s="653">
        <f>BI1467/BF1467-1</f>
        <v>1.4999999999999902E-2</v>
      </c>
      <c r="BJ1469" s="432">
        <v>1.4999999999999999E-2</v>
      </c>
      <c r="BK1469" s="432">
        <v>1.4999999999999999E-2</v>
      </c>
      <c r="BL1469" s="653">
        <f>BL1467/BI1467-1</f>
        <v>1.4999999999999902E-2</v>
      </c>
      <c r="BM1469" s="432">
        <v>1.4999999999999999E-2</v>
      </c>
      <c r="BN1469" s="432">
        <v>1.4999999999999999E-2</v>
      </c>
      <c r="BO1469" s="653">
        <f>BO1467/BL1467-1</f>
        <v>1.4999999999999902E-2</v>
      </c>
      <c r="BP1469" s="432">
        <v>1.4999999999999999E-2</v>
      </c>
      <c r="BQ1469" s="432">
        <v>1.4999999999999999E-2</v>
      </c>
      <c r="BR1469" s="653">
        <f>BR1467/BO1467-1</f>
        <v>1.4999999999999902E-2</v>
      </c>
    </row>
    <row r="1470" spans="1:70" outlineLevel="1">
      <c r="A1470" s="130"/>
      <c r="B1470" s="1076"/>
      <c r="C1470" s="661" t="s">
        <v>693</v>
      </c>
      <c r="D1470" s="655" t="s">
        <v>66</v>
      </c>
      <c r="E1470" s="657"/>
      <c r="F1470" s="657"/>
      <c r="G1470" s="660"/>
      <c r="H1470" s="660"/>
      <c r="I1470" s="660"/>
      <c r="J1470" s="660"/>
      <c r="K1470" s="660"/>
      <c r="L1470" s="660"/>
      <c r="M1470" s="660"/>
      <c r="N1470" s="660"/>
      <c r="O1470" s="660"/>
      <c r="P1470" s="660"/>
      <c r="Q1470" s="660"/>
      <c r="R1470" s="660"/>
      <c r="S1470" s="660"/>
      <c r="T1470" s="575"/>
      <c r="U1470" s="662"/>
      <c r="V1470" s="575"/>
      <c r="W1470" s="575"/>
      <c r="X1470" s="662"/>
      <c r="Y1470" s="575"/>
      <c r="Z1470" s="575"/>
      <c r="AA1470" s="662"/>
      <c r="AB1470" s="575"/>
      <c r="AC1470" s="575"/>
      <c r="AD1470" s="662"/>
      <c r="AE1470" s="575"/>
      <c r="AF1470" s="930">
        <v>0</v>
      </c>
      <c r="AG1470" s="985">
        <v>0</v>
      </c>
      <c r="AH1470" s="653">
        <f>AVERAGE(AF1470,AG1470)</f>
        <v>0</v>
      </c>
      <c r="AI1470" s="432">
        <v>0</v>
      </c>
      <c r="AJ1470" s="432">
        <v>0</v>
      </c>
      <c r="AK1470" s="653">
        <f>AVERAGE(AI1470,AJ1470)</f>
        <v>0</v>
      </c>
      <c r="AL1470" s="432">
        <v>0</v>
      </c>
      <c r="AM1470" s="432">
        <v>0</v>
      </c>
      <c r="AN1470" s="653">
        <f>AVERAGE(AL1470,AM1470)</f>
        <v>0</v>
      </c>
      <c r="AO1470" s="432">
        <v>0</v>
      </c>
      <c r="AP1470" s="432">
        <v>0</v>
      </c>
      <c r="AQ1470" s="653">
        <f>AVERAGE(AO1470,AP1470)</f>
        <v>0</v>
      </c>
      <c r="AR1470" s="432">
        <v>0</v>
      </c>
      <c r="AS1470" s="432">
        <v>0</v>
      </c>
      <c r="AT1470" s="653">
        <f>AVERAGE(AR1470,AS1470)</f>
        <v>0</v>
      </c>
      <c r="AU1470" s="432">
        <v>0</v>
      </c>
      <c r="AV1470" s="432">
        <v>0</v>
      </c>
      <c r="AW1470" s="653">
        <f>AVERAGE(AU1470,AV1470)</f>
        <v>0</v>
      </c>
      <c r="AX1470" s="432">
        <v>0</v>
      </c>
      <c r="AY1470" s="432">
        <v>0</v>
      </c>
      <c r="AZ1470" s="653">
        <f>AVERAGE(AX1470,AY1470)</f>
        <v>0</v>
      </c>
      <c r="BA1470" s="432">
        <v>0</v>
      </c>
      <c r="BB1470" s="432">
        <v>0</v>
      </c>
      <c r="BC1470" s="653">
        <f>AVERAGE(BA1470,BB1470)</f>
        <v>0</v>
      </c>
      <c r="BD1470" s="432">
        <v>0</v>
      </c>
      <c r="BE1470" s="432">
        <v>0</v>
      </c>
      <c r="BF1470" s="653">
        <f>AVERAGE(BD1470,BE1470)</f>
        <v>0</v>
      </c>
      <c r="BG1470" s="432">
        <v>0</v>
      </c>
      <c r="BH1470" s="432">
        <v>0</v>
      </c>
      <c r="BI1470" s="653">
        <f>AVERAGE(BG1470,BH1470)</f>
        <v>0</v>
      </c>
      <c r="BJ1470" s="432">
        <v>0</v>
      </c>
      <c r="BK1470" s="432">
        <v>0</v>
      </c>
      <c r="BL1470" s="653">
        <f>AVERAGE(BJ1470,BK1470)</f>
        <v>0</v>
      </c>
      <c r="BM1470" s="432">
        <v>0</v>
      </c>
      <c r="BN1470" s="432">
        <v>0</v>
      </c>
      <c r="BO1470" s="653">
        <f>AVERAGE(BM1470,BN1470)</f>
        <v>0</v>
      </c>
      <c r="BP1470" s="432">
        <v>0</v>
      </c>
      <c r="BQ1470" s="432">
        <v>0</v>
      </c>
      <c r="BR1470" s="653">
        <f>AVERAGE(BP1470,BQ1470)</f>
        <v>0</v>
      </c>
    </row>
    <row r="1471" spans="1:70" outlineLevel="1">
      <c r="A1471" s="130"/>
      <c r="B1471" s="1076"/>
      <c r="C1471" s="663" t="s">
        <v>695</v>
      </c>
      <c r="D1471" s="656" t="s">
        <v>58</v>
      </c>
      <c r="E1471" s="664"/>
      <c r="F1471" s="664"/>
      <c r="G1471" s="470">
        <f t="shared" ref="G1471:I1472" si="7637">G1480/G$260</f>
        <v>-5.8915372351970827</v>
      </c>
      <c r="H1471" s="470">
        <f t="shared" si="7637"/>
        <v>-13.654677822449202</v>
      </c>
      <c r="I1471" s="470">
        <f t="shared" si="7637"/>
        <v>0</v>
      </c>
      <c r="J1471" s="470">
        <f>SUM(H1471:I1471)</f>
        <v>-13.654677822449202</v>
      </c>
      <c r="K1471" s="470">
        <f>K1480/K$260</f>
        <v>-6.2281728054047854</v>
      </c>
      <c r="L1471" s="470">
        <f>L1480/L$260</f>
        <v>-31.22694967933511</v>
      </c>
      <c r="M1471" s="470">
        <f>SUM(K1471:L1471)</f>
        <v>-37.455122484739896</v>
      </c>
      <c r="N1471" s="470">
        <f>N1480/N$260</f>
        <v>-15.611112891034288</v>
      </c>
      <c r="O1471" s="470">
        <f>O1480/O$260</f>
        <v>-21.689211181562985</v>
      </c>
      <c r="P1471" s="470">
        <f>SUM(N1471:O1471)</f>
        <v>-37.300324072597277</v>
      </c>
      <c r="Q1471" s="470">
        <f>Q1480/Q$260</f>
        <v>-18.482904037436764</v>
      </c>
      <c r="R1471" s="470">
        <f>R1480/R$260</f>
        <v>-13.984752306568533</v>
      </c>
      <c r="S1471" s="470">
        <f>SUM(Q1471:R1471)</f>
        <v>-32.467656344005299</v>
      </c>
      <c r="T1471" s="341">
        <f t="shared" ref="T1471:AB1471" si="7638">T1463+T1467</f>
        <v>-24.6</v>
      </c>
      <c r="U1471" s="341">
        <f t="shared" si="7638"/>
        <v>-13.9</v>
      </c>
      <c r="V1471" s="341">
        <f t="shared" si="7638"/>
        <v>-38.5</v>
      </c>
      <c r="W1471" s="341">
        <f t="shared" si="7638"/>
        <v>-16.899999999999999</v>
      </c>
      <c r="X1471" s="341">
        <f t="shared" si="7638"/>
        <v>-23.8</v>
      </c>
      <c r="Y1471" s="341">
        <f t="shared" si="7638"/>
        <v>-40.700000000000003</v>
      </c>
      <c r="Z1471" s="341">
        <f t="shared" si="7638"/>
        <v>-18.7</v>
      </c>
      <c r="AA1471" s="341">
        <f t="shared" si="7638"/>
        <v>-34.399999999999991</v>
      </c>
      <c r="AB1471" s="341">
        <f t="shared" si="7638"/>
        <v>-53.099999999999994</v>
      </c>
      <c r="AC1471" s="341">
        <f t="shared" ref="AC1471:AH1471" si="7639">AC1463+AC1467</f>
        <v>-20.8</v>
      </c>
      <c r="AD1471" s="341">
        <f t="shared" si="7639"/>
        <v>-38.400000000000006</v>
      </c>
      <c r="AE1471" s="341">
        <f t="shared" si="7639"/>
        <v>-59.2</v>
      </c>
      <c r="AF1471" s="341">
        <f t="shared" si="7639"/>
        <v>-26.699999999999996</v>
      </c>
      <c r="AG1471" s="934">
        <f t="shared" si="7639"/>
        <v>-41.400000000000006</v>
      </c>
      <c r="AH1471" s="341">
        <f t="shared" si="7639"/>
        <v>-68.100000000000009</v>
      </c>
      <c r="AI1471" s="341">
        <f t="shared" ref="AI1471:AN1471" si="7640">AI1463+AI1467</f>
        <v>-27.096949999999996</v>
      </c>
      <c r="AJ1471" s="341">
        <f t="shared" si="7640"/>
        <v>-42.016815000000001</v>
      </c>
      <c r="AK1471" s="341">
        <f t="shared" si="7640"/>
        <v>-69.113765000000001</v>
      </c>
      <c r="AL1471" s="341">
        <f t="shared" si="7640"/>
        <v>-27.49979922499999</v>
      </c>
      <c r="AM1471" s="341">
        <f t="shared" si="7640"/>
        <v>-42.642817357499993</v>
      </c>
      <c r="AN1471" s="341">
        <f t="shared" si="7640"/>
        <v>-70.142616582499983</v>
      </c>
      <c r="AO1471" s="341">
        <f t="shared" ref="AO1471:BR1471" si="7641">AO1463+AO1467</f>
        <v>-28.128289483737483</v>
      </c>
      <c r="AP1471" s="341">
        <f t="shared" si="7641"/>
        <v>-43.537088304191236</v>
      </c>
      <c r="AQ1471" s="341">
        <f t="shared" si="7641"/>
        <v>-71.665377787928719</v>
      </c>
      <c r="AR1471" s="341">
        <f t="shared" si="7641"/>
        <v>-28.654840600066851</v>
      </c>
      <c r="AS1471" s="341">
        <f t="shared" si="7641"/>
        <v>-44.313486332837705</v>
      </c>
      <c r="AT1471" s="341">
        <f t="shared" si="7641"/>
        <v>-72.96832693290456</v>
      </c>
      <c r="AU1471" s="341">
        <f t="shared" si="7641"/>
        <v>-29.189342296528192</v>
      </c>
      <c r="AV1471" s="341">
        <f t="shared" si="7641"/>
        <v>-45.101592002765905</v>
      </c>
      <c r="AW1471" s="341">
        <f t="shared" si="7641"/>
        <v>-74.290934299294094</v>
      </c>
      <c r="AX1471" s="341">
        <f t="shared" si="7641"/>
        <v>-29.731913857980182</v>
      </c>
      <c r="AY1471" s="341">
        <f t="shared" si="7641"/>
        <v>-45.901580959430497</v>
      </c>
      <c r="AZ1471" s="341">
        <f t="shared" si="7641"/>
        <v>-75.633494817410678</v>
      </c>
      <c r="BA1471" s="341">
        <f t="shared" si="7641"/>
        <v>-30.282676358567457</v>
      </c>
      <c r="BB1471" s="341">
        <f t="shared" si="7641"/>
        <v>-46.713631482983374</v>
      </c>
      <c r="BC1471" s="341">
        <f t="shared" si="7641"/>
        <v>-76.996307841550845</v>
      </c>
      <c r="BD1471" s="341">
        <f t="shared" si="7641"/>
        <v>-30.8417526885599</v>
      </c>
      <c r="BE1471" s="341">
        <f t="shared" si="7641"/>
        <v>-47.537924527794125</v>
      </c>
      <c r="BF1471" s="341">
        <f t="shared" si="7641"/>
        <v>-78.379677216354025</v>
      </c>
      <c r="BG1471" s="341">
        <f t="shared" si="7641"/>
        <v>-31.409267581594538</v>
      </c>
      <c r="BH1471" s="341">
        <f t="shared" si="7641"/>
        <v>-48.374643762563323</v>
      </c>
      <c r="BI1471" s="341">
        <f t="shared" si="7641"/>
        <v>-79.783911344157858</v>
      </c>
      <c r="BJ1471" s="341">
        <f t="shared" si="7641"/>
        <v>-31.98534764232604</v>
      </c>
      <c r="BK1471" s="341">
        <f t="shared" si="7641"/>
        <v>-49.223975611037481</v>
      </c>
      <c r="BL1471" s="341">
        <f t="shared" si="7641"/>
        <v>-81.209323253363522</v>
      </c>
      <c r="BM1471" s="341">
        <f t="shared" si="7641"/>
        <v>-32.570121374492025</v>
      </c>
      <c r="BN1471" s="341">
        <f t="shared" si="7641"/>
        <v>-50.086109293334772</v>
      </c>
      <c r="BO1471" s="341">
        <f t="shared" si="7641"/>
        <v>-82.65623066782679</v>
      </c>
      <c r="BP1471" s="341">
        <f t="shared" si="7641"/>
        <v>-33.163719209399261</v>
      </c>
      <c r="BQ1471" s="341">
        <f t="shared" si="7641"/>
        <v>-50.961236867890577</v>
      </c>
      <c r="BR1471" s="341">
        <f t="shared" si="7641"/>
        <v>-84.124956077289852</v>
      </c>
    </row>
    <row r="1472" spans="1:70" outlineLevel="1">
      <c r="A1472" s="130"/>
      <c r="B1472" s="1076"/>
      <c r="C1472" s="168" t="s">
        <v>190</v>
      </c>
      <c r="D1472" s="665" t="s">
        <v>58</v>
      </c>
      <c r="E1472" s="666"/>
      <c r="F1472" s="666"/>
      <c r="G1472" s="651">
        <f t="shared" si="7637"/>
        <v>-7.6322186910507694</v>
      </c>
      <c r="H1472" s="651">
        <f t="shared" si="7637"/>
        <v>-4.5898076714114966</v>
      </c>
      <c r="I1472" s="651">
        <f t="shared" si="7637"/>
        <v>-4.4756927654245846</v>
      </c>
      <c r="J1472" s="651">
        <f>SUM(H1472:I1472)</f>
        <v>-9.0655004368360821</v>
      </c>
      <c r="K1472" s="651">
        <f>K1481/K$260</f>
        <v>-5.8587049271180618</v>
      </c>
      <c r="L1472" s="651">
        <f>L1481/L$260</f>
        <v>-5.3656213845297156</v>
      </c>
      <c r="M1472" s="651">
        <f>SUM(K1472:L1472)</f>
        <v>-11.224326311647777</v>
      </c>
      <c r="N1472" s="651">
        <f>N1481/N$260</f>
        <v>-4.363354534761136</v>
      </c>
      <c r="O1472" s="651">
        <f>O1481/O$260</f>
        <v>-4.3572076034389919</v>
      </c>
      <c r="P1472" s="651">
        <f>SUM(N1472:O1472)</f>
        <v>-8.7205621382001279</v>
      </c>
      <c r="Q1472" s="651">
        <f>Q1481/Q$260</f>
        <v>-6.2091005750764134</v>
      </c>
      <c r="R1472" s="651">
        <f>R1481/R$260</f>
        <v>-6.3522290406596511</v>
      </c>
      <c r="S1472" s="651">
        <f>SUM(Q1472:R1472)</f>
        <v>-12.561329615736064</v>
      </c>
      <c r="T1472" s="19">
        <f>V1472/2</f>
        <v>-7.65</v>
      </c>
      <c r="U1472" s="376">
        <f>V1472-T1472</f>
        <v>-7.65</v>
      </c>
      <c r="V1472" s="25">
        <v>-15.3</v>
      </c>
      <c r="W1472" s="25">
        <v>-4.5</v>
      </c>
      <c r="X1472" s="376">
        <f>Y1472-W1472</f>
        <v>-18.5</v>
      </c>
      <c r="Y1472" s="25">
        <v>-23</v>
      </c>
      <c r="Z1472" s="25">
        <v>-8.1</v>
      </c>
      <c r="AA1472" s="376">
        <f>AB1472-Z1472</f>
        <v>-0.59999999999999964</v>
      </c>
      <c r="AB1472" s="25">
        <v>-8.6999999999999993</v>
      </c>
      <c r="AC1472" s="25">
        <v>-0.6</v>
      </c>
      <c r="AD1472" s="650">
        <f>AE1472-AC1472</f>
        <v>-1.6</v>
      </c>
      <c r="AE1472" s="25">
        <v>-2.2000000000000002</v>
      </c>
      <c r="AF1472" s="151">
        <v>-2.1</v>
      </c>
      <c r="AG1472" s="1003">
        <f>+AG1473*AG1462</f>
        <v>-2.5249999999999999</v>
      </c>
      <c r="AH1472" s="651">
        <f>AF1472+AG1472</f>
        <v>-4.625</v>
      </c>
      <c r="AI1472" s="405">
        <f t="shared" ref="AI1472:AJ1472" si="7642">+AI1473*AI1462</f>
        <v>-2.3482500000000002</v>
      </c>
      <c r="AJ1472" s="405">
        <f t="shared" si="7642"/>
        <v>-3.8253750000000002</v>
      </c>
      <c r="AK1472" s="651">
        <f t="shared" ref="AK1472" si="7643">AI1472+AJ1472</f>
        <v>-6.1736250000000004</v>
      </c>
      <c r="AL1472" s="405">
        <f t="shared" ref="AL1472:AM1472" si="7644">+AL1473*AL1462</f>
        <v>-3.1623100000000002</v>
      </c>
      <c r="AM1472" s="405">
        <f t="shared" si="7644"/>
        <v>-5.1515050000000002</v>
      </c>
      <c r="AN1472" s="651">
        <f t="shared" ref="AN1472" si="7645">AL1472+AM1472</f>
        <v>-8.313815</v>
      </c>
      <c r="AO1472" s="405">
        <f t="shared" ref="AO1472:AP1472" si="7646">+AO1473*AO1462</f>
        <v>-3.1939331000000002</v>
      </c>
      <c r="AP1472" s="405">
        <f t="shared" si="7646"/>
        <v>-5.2030200500000001</v>
      </c>
      <c r="AQ1472" s="651">
        <f t="shared" ref="AQ1472" si="7647">AO1472+AP1472</f>
        <v>-8.3969531499999999</v>
      </c>
      <c r="AR1472" s="405">
        <f t="shared" ref="AR1472:AS1472" si="7648">+AR1473*AR1462</f>
        <v>-3.2258724310000004</v>
      </c>
      <c r="AS1472" s="405">
        <f t="shared" si="7648"/>
        <v>-5.2550502505000001</v>
      </c>
      <c r="AT1472" s="651">
        <f t="shared" ref="AT1472" si="7649">AR1472+AS1472</f>
        <v>-8.4809226815000009</v>
      </c>
      <c r="AU1472" s="405">
        <f t="shared" ref="AU1472:AV1472" si="7650">+AU1473*AU1462</f>
        <v>-3.2581311553100005</v>
      </c>
      <c r="AV1472" s="405">
        <f t="shared" si="7650"/>
        <v>-5.3076007530050004</v>
      </c>
      <c r="AW1472" s="651">
        <f t="shared" ref="AW1472" si="7651">AU1472+AV1472</f>
        <v>-8.5657319083150014</v>
      </c>
      <c r="AX1472" s="405">
        <f t="shared" ref="AX1472:AY1472" si="7652">+AX1473*AX1462</f>
        <v>-3.2907124668631007</v>
      </c>
      <c r="AY1472" s="405">
        <f t="shared" si="7652"/>
        <v>-5.3606767605350507</v>
      </c>
      <c r="AZ1472" s="651">
        <f t="shared" ref="AZ1472" si="7653">AX1472+AY1472</f>
        <v>-8.6513892273981519</v>
      </c>
      <c r="BA1472" s="405">
        <f t="shared" ref="BA1472:BB1472" si="7654">+BA1473*BA1462</f>
        <v>-3.3236195915317319</v>
      </c>
      <c r="BB1472" s="405">
        <f t="shared" si="7654"/>
        <v>-5.4142835281404009</v>
      </c>
      <c r="BC1472" s="651">
        <f t="shared" ref="BC1472" si="7655">BA1472+BB1472</f>
        <v>-8.7379031196721328</v>
      </c>
      <c r="BD1472" s="405">
        <f t="shared" ref="BD1472:BE1472" si="7656">+BD1473*BD1462</f>
        <v>-3.3568557874470493</v>
      </c>
      <c r="BE1472" s="405">
        <f t="shared" si="7656"/>
        <v>-5.4684263634218047</v>
      </c>
      <c r="BF1472" s="651">
        <f t="shared" ref="BF1472" si="7657">BD1472+BE1472</f>
        <v>-8.8252821508688548</v>
      </c>
      <c r="BG1472" s="405">
        <f t="shared" ref="BG1472:BH1472" si="7658">+BG1473*BG1462</f>
        <v>-3.3904243453215197</v>
      </c>
      <c r="BH1472" s="405">
        <f t="shared" si="7658"/>
        <v>-5.5231106270560231</v>
      </c>
      <c r="BI1472" s="651">
        <f t="shared" ref="BI1472" si="7659">BG1472+BH1472</f>
        <v>-8.9135349723775423</v>
      </c>
      <c r="BJ1472" s="405">
        <f t="shared" ref="BJ1472:BK1472" si="7660">+BJ1473*BJ1462</f>
        <v>-3.4243285887747348</v>
      </c>
      <c r="BK1472" s="405">
        <f t="shared" si="7660"/>
        <v>-5.5783417333265835</v>
      </c>
      <c r="BL1472" s="651">
        <f t="shared" ref="BL1472" si="7661">BJ1472+BK1472</f>
        <v>-9.0026703221013182</v>
      </c>
      <c r="BM1472" s="405">
        <f t="shared" ref="BM1472:BN1472" si="7662">+BM1473*BM1462</f>
        <v>-3.4585718746624821</v>
      </c>
      <c r="BN1472" s="405">
        <f t="shared" si="7662"/>
        <v>-5.6341251506598491</v>
      </c>
      <c r="BO1472" s="651">
        <f t="shared" ref="BO1472" si="7663">BM1472+BN1472</f>
        <v>-9.0926970253223303</v>
      </c>
      <c r="BP1472" s="405">
        <f t="shared" ref="BP1472:BQ1472" si="7664">+BP1473*BP1462</f>
        <v>-3.4931575934091068</v>
      </c>
      <c r="BQ1472" s="405">
        <f t="shared" si="7664"/>
        <v>-5.6904664021664475</v>
      </c>
      <c r="BR1472" s="651">
        <f t="shared" ref="BR1472" si="7665">BP1472+BQ1472</f>
        <v>-9.1836239955755552</v>
      </c>
    </row>
    <row r="1473" spans="1:70" outlineLevel="1">
      <c r="A1473" s="130"/>
      <c r="B1473" s="1077"/>
      <c r="C1473" s="667" t="s">
        <v>578</v>
      </c>
      <c r="D1473" s="668"/>
      <c r="E1473" s="569"/>
      <c r="F1473" s="569"/>
      <c r="G1473" s="669">
        <f t="shared" ref="G1473:S1473" si="7666">+G1472/G1462</f>
        <v>3.0000000000000004</v>
      </c>
      <c r="H1473" s="669">
        <f t="shared" si="7666"/>
        <v>6.666666666666667</v>
      </c>
      <c r="I1473" s="669">
        <f t="shared" si="7666"/>
        <v>1.7391304347826086</v>
      </c>
      <c r="J1473" s="669">
        <f t="shared" si="7666"/>
        <v>2.7791280648444667</v>
      </c>
      <c r="K1473" s="669">
        <f t="shared" si="7666"/>
        <v>5.045454545454545</v>
      </c>
      <c r="L1473" s="669">
        <f t="shared" si="7666"/>
        <v>-55.499999999999943</v>
      </c>
      <c r="M1473" s="669">
        <f t="shared" si="7666"/>
        <v>10.544155549888497</v>
      </c>
      <c r="N1473" s="669">
        <f t="shared" si="7666"/>
        <v>3.7499999999999996</v>
      </c>
      <c r="O1473" s="669">
        <f t="shared" si="7666"/>
        <v>4.0909090909090908</v>
      </c>
      <c r="P1473" s="669">
        <f t="shared" si="7666"/>
        <v>3.9129235594239304</v>
      </c>
      <c r="Q1473" s="669">
        <f t="shared" si="7666"/>
        <v>7.166666666666667</v>
      </c>
      <c r="R1473" s="669">
        <f t="shared" si="7666"/>
        <v>7.1666666666666661</v>
      </c>
      <c r="S1473" s="669">
        <f t="shared" si="7666"/>
        <v>7.1666666666666661</v>
      </c>
      <c r="T1473" s="669">
        <f t="shared" ref="T1473:AF1473" si="7667">+T1472/T1462</f>
        <v>5.4642857142857153</v>
      </c>
      <c r="U1473" s="669">
        <f t="shared" si="7667"/>
        <v>3.4772727272727271</v>
      </c>
      <c r="V1473" s="669">
        <f t="shared" si="7667"/>
        <v>4.25</v>
      </c>
      <c r="W1473" s="669">
        <f t="shared" si="7667"/>
        <v>1.3636363636363638</v>
      </c>
      <c r="X1473" s="669">
        <f t="shared" si="7667"/>
        <v>3.5576923076923075</v>
      </c>
      <c r="Y1473" s="669">
        <f t="shared" si="7667"/>
        <v>2.7058823529411766</v>
      </c>
      <c r="Z1473" s="669">
        <f t="shared" si="7667"/>
        <v>1.6875</v>
      </c>
      <c r="AA1473" s="669">
        <f t="shared" si="7667"/>
        <v>0.12244897959183668</v>
      </c>
      <c r="AB1473" s="669">
        <f t="shared" si="7667"/>
        <v>0.89690721649484539</v>
      </c>
      <c r="AC1473" s="669">
        <f t="shared" si="7667"/>
        <v>0.12244897959183672</v>
      </c>
      <c r="AD1473" s="669">
        <f t="shared" si="7667"/>
        <v>0.32</v>
      </c>
      <c r="AE1473" s="669">
        <f t="shared" si="7667"/>
        <v>0.22222222222222224</v>
      </c>
      <c r="AF1473" s="556">
        <f t="shared" si="7667"/>
        <v>0.67741935483870974</v>
      </c>
      <c r="AG1473" s="1067">
        <v>0.5</v>
      </c>
      <c r="AH1473" s="671">
        <f>+AH1472/AH1462</f>
        <v>0.56748466257668706</v>
      </c>
      <c r="AI1473" s="670">
        <v>0.75</v>
      </c>
      <c r="AJ1473" s="670">
        <v>0.75</v>
      </c>
      <c r="AK1473" s="671">
        <f t="shared" ref="AK1473" si="7668">+AK1472/AK1462</f>
        <v>0.75</v>
      </c>
      <c r="AL1473" s="670">
        <v>1</v>
      </c>
      <c r="AM1473" s="670">
        <v>1</v>
      </c>
      <c r="AN1473" s="671">
        <f t="shared" ref="AN1473" si="7669">+AN1472/AN1462</f>
        <v>1</v>
      </c>
      <c r="AO1473" s="670">
        <v>1</v>
      </c>
      <c r="AP1473" s="670">
        <v>1</v>
      </c>
      <c r="AQ1473" s="671">
        <f t="shared" ref="AQ1473" si="7670">+AQ1472/AQ1462</f>
        <v>1</v>
      </c>
      <c r="AR1473" s="670">
        <v>1</v>
      </c>
      <c r="AS1473" s="670">
        <v>1</v>
      </c>
      <c r="AT1473" s="671">
        <f t="shared" ref="AT1473" si="7671">+AT1472/AT1462</f>
        <v>1</v>
      </c>
      <c r="AU1473" s="670">
        <v>1</v>
      </c>
      <c r="AV1473" s="670">
        <v>1</v>
      </c>
      <c r="AW1473" s="671">
        <f t="shared" ref="AW1473" si="7672">+AW1472/AW1462</f>
        <v>1</v>
      </c>
      <c r="AX1473" s="670">
        <v>1</v>
      </c>
      <c r="AY1473" s="670">
        <v>1</v>
      </c>
      <c r="AZ1473" s="671">
        <f t="shared" ref="AZ1473" si="7673">+AZ1472/AZ1462</f>
        <v>1</v>
      </c>
      <c r="BA1473" s="670">
        <v>1</v>
      </c>
      <c r="BB1473" s="670">
        <v>1</v>
      </c>
      <c r="BC1473" s="671">
        <f t="shared" ref="BC1473" si="7674">+BC1472/BC1462</f>
        <v>1</v>
      </c>
      <c r="BD1473" s="670">
        <v>1</v>
      </c>
      <c r="BE1473" s="670">
        <v>1</v>
      </c>
      <c r="BF1473" s="671">
        <f t="shared" ref="BF1473" si="7675">+BF1472/BF1462</f>
        <v>1</v>
      </c>
      <c r="BG1473" s="670">
        <v>1</v>
      </c>
      <c r="BH1473" s="670">
        <v>1</v>
      </c>
      <c r="BI1473" s="671">
        <f t="shared" ref="BI1473" si="7676">+BI1472/BI1462</f>
        <v>1</v>
      </c>
      <c r="BJ1473" s="670">
        <v>1</v>
      </c>
      <c r="BK1473" s="670">
        <v>1</v>
      </c>
      <c r="BL1473" s="671">
        <f t="shared" ref="BL1473" si="7677">+BL1472/BL1462</f>
        <v>1</v>
      </c>
      <c r="BM1473" s="670">
        <v>1</v>
      </c>
      <c r="BN1473" s="670">
        <v>1</v>
      </c>
      <c r="BO1473" s="671">
        <f t="shared" ref="BO1473" si="7678">+BO1472/BO1462</f>
        <v>1</v>
      </c>
      <c r="BP1473" s="670">
        <v>1</v>
      </c>
      <c r="BQ1473" s="670">
        <v>1</v>
      </c>
      <c r="BR1473" s="671">
        <f t="shared" ref="BR1473" si="7679">+BR1472/BR1462</f>
        <v>1</v>
      </c>
    </row>
    <row r="1474" spans="1:70" outlineLevel="1">
      <c r="B1474" s="1075"/>
      <c r="C1474" s="84" t="s">
        <v>302</v>
      </c>
      <c r="D1474" s="31" t="s">
        <v>102</v>
      </c>
      <c r="E1474" s="565"/>
      <c r="F1474" s="565"/>
      <c r="G1474" s="18">
        <f t="shared" ref="G1474:S1474" si="7680">G1478</f>
        <v>34.1</v>
      </c>
      <c r="H1474" s="18">
        <f t="shared" si="7680"/>
        <v>12.1</v>
      </c>
      <c r="I1474" s="18">
        <f t="shared" si="7680"/>
        <v>19.200000000000003</v>
      </c>
      <c r="J1474" s="18">
        <f t="shared" si="7680"/>
        <v>31.3</v>
      </c>
      <c r="K1474" s="18">
        <f t="shared" si="7680"/>
        <v>17.100000000000001</v>
      </c>
      <c r="L1474" s="18">
        <f t="shared" si="7680"/>
        <v>16.899999999999999</v>
      </c>
      <c r="M1474" s="18">
        <f t="shared" si="7680"/>
        <v>34</v>
      </c>
      <c r="N1474" s="18">
        <f t="shared" si="7680"/>
        <v>15.4</v>
      </c>
      <c r="O1474" s="18">
        <f t="shared" si="7680"/>
        <v>17.5</v>
      </c>
      <c r="P1474" s="18">
        <f t="shared" si="7680"/>
        <v>32.9</v>
      </c>
      <c r="Q1474" s="18">
        <f t="shared" si="7680"/>
        <v>12.3</v>
      </c>
      <c r="R1474" s="18">
        <f t="shared" si="7680"/>
        <v>13.2</v>
      </c>
      <c r="S1474" s="18">
        <f t="shared" si="7680"/>
        <v>25.5</v>
      </c>
    </row>
    <row r="1475" spans="1:70" outlineLevel="1">
      <c r="B1475" s="1075"/>
      <c r="C1475" s="84" t="s">
        <v>303</v>
      </c>
      <c r="D1475" s="31" t="s">
        <v>102</v>
      </c>
      <c r="E1475" s="565"/>
      <c r="F1475" s="565"/>
      <c r="G1475" s="18">
        <f t="shared" ref="G1475:S1475" si="7681">G1479-G1477</f>
        <v>-36.6</v>
      </c>
      <c r="H1475" s="18">
        <f t="shared" si="7681"/>
        <v>-23.4</v>
      </c>
      <c r="I1475" s="18">
        <f t="shared" si="7681"/>
        <v>-16.900000000000002</v>
      </c>
      <c r="J1475" s="18">
        <f t="shared" si="7681"/>
        <v>-40.300000000000004</v>
      </c>
      <c r="K1475" s="18">
        <f t="shared" si="7681"/>
        <v>-21.9</v>
      </c>
      <c r="L1475" s="18">
        <f t="shared" si="7681"/>
        <v>-49.300000000000004</v>
      </c>
      <c r="M1475" s="18">
        <f t="shared" si="7681"/>
        <v>-71.2</v>
      </c>
      <c r="N1475" s="18">
        <f t="shared" si="7681"/>
        <v>-30.3</v>
      </c>
      <c r="O1475" s="18">
        <f t="shared" si="7681"/>
        <v>-38.800000000000004</v>
      </c>
      <c r="P1475" s="18">
        <f t="shared" si="7681"/>
        <v>-69.100000000000009</v>
      </c>
      <c r="Q1475" s="18">
        <f t="shared" si="7681"/>
        <v>-30.6</v>
      </c>
      <c r="R1475" s="18">
        <f t="shared" si="7681"/>
        <v>-26.5</v>
      </c>
      <c r="S1475" s="18">
        <f t="shared" si="7681"/>
        <v>-57.1</v>
      </c>
    </row>
    <row r="1476" spans="1:70" outlineLevel="1">
      <c r="B1476" s="1075"/>
      <c r="C1476" s="85" t="s">
        <v>696</v>
      </c>
      <c r="D1476" s="31" t="s">
        <v>102</v>
      </c>
      <c r="E1476" s="565"/>
      <c r="F1476" s="565"/>
      <c r="G1476" s="379">
        <f>+G1475+G1474</f>
        <v>-2.5</v>
      </c>
      <c r="H1476" s="379">
        <f t="shared" ref="H1476:S1476" si="7682">+H1475+H1474</f>
        <v>-11.299999999999999</v>
      </c>
      <c r="I1476" s="379">
        <f t="shared" si="7682"/>
        <v>2.3000000000000007</v>
      </c>
      <c r="J1476" s="379">
        <f t="shared" si="7682"/>
        <v>-9.0000000000000036</v>
      </c>
      <c r="K1476" s="379">
        <f t="shared" si="7682"/>
        <v>-4.7999999999999972</v>
      </c>
      <c r="L1476" s="379">
        <f t="shared" si="7682"/>
        <v>-32.400000000000006</v>
      </c>
      <c r="M1476" s="379">
        <f t="shared" si="7682"/>
        <v>-37.200000000000003</v>
      </c>
      <c r="N1476" s="379">
        <f t="shared" si="7682"/>
        <v>-14.9</v>
      </c>
      <c r="O1476" s="379">
        <f t="shared" si="7682"/>
        <v>-21.300000000000004</v>
      </c>
      <c r="P1476" s="379">
        <f t="shared" si="7682"/>
        <v>-36.20000000000001</v>
      </c>
      <c r="Q1476" s="379">
        <f t="shared" si="7682"/>
        <v>-18.3</v>
      </c>
      <c r="R1476" s="379">
        <f t="shared" si="7682"/>
        <v>-13.3</v>
      </c>
      <c r="S1476" s="379">
        <f t="shared" si="7682"/>
        <v>-31.6</v>
      </c>
    </row>
    <row r="1477" spans="1:70" outlineLevel="1">
      <c r="B1477" s="1075"/>
      <c r="C1477" s="30" t="s">
        <v>309</v>
      </c>
      <c r="D1477" s="31" t="s">
        <v>102</v>
      </c>
      <c r="E1477" s="565"/>
      <c r="F1477" s="565"/>
      <c r="G1477" s="98">
        <v>-1.9</v>
      </c>
      <c r="H1477" s="98">
        <v>-0.6</v>
      </c>
      <c r="I1477" s="347">
        <f>J1477-H1477</f>
        <v>-2.2999999999999998</v>
      </c>
      <c r="J1477" s="98">
        <v>-2.9</v>
      </c>
      <c r="K1477" s="98">
        <v>-1.1000000000000001</v>
      </c>
      <c r="L1477" s="347">
        <f>M1477-K1477</f>
        <v>0.10000000000000009</v>
      </c>
      <c r="M1477" s="98">
        <v>-1</v>
      </c>
      <c r="N1477" s="98">
        <v>-1.2</v>
      </c>
      <c r="O1477" s="347">
        <f>P1477-N1477</f>
        <v>-1.0999999999999999</v>
      </c>
      <c r="P1477" s="98">
        <v>-2.2999999999999998</v>
      </c>
      <c r="Q1477" s="98">
        <v>-0.9</v>
      </c>
      <c r="R1477" s="347">
        <f>S1477-Q1477</f>
        <v>-0.9</v>
      </c>
      <c r="S1477" s="98">
        <v>-1.8</v>
      </c>
    </row>
    <row r="1478" spans="1:70" outlineLevel="1">
      <c r="B1478" s="1075"/>
      <c r="C1478" s="84" t="s">
        <v>302</v>
      </c>
      <c r="D1478" s="31" t="s">
        <v>102</v>
      </c>
      <c r="E1478" s="565"/>
      <c r="F1478" s="565"/>
      <c r="G1478" s="98">
        <v>34.1</v>
      </c>
      <c r="H1478" s="98">
        <v>12.1</v>
      </c>
      <c r="I1478" s="347">
        <f t="shared" ref="I1478:I1479" si="7683">J1478-H1478</f>
        <v>19.200000000000003</v>
      </c>
      <c r="J1478" s="98">
        <v>31.3</v>
      </c>
      <c r="K1478" s="98">
        <v>17.100000000000001</v>
      </c>
      <c r="L1478" s="347">
        <f t="shared" ref="L1478:L1479" si="7684">M1478-K1478</f>
        <v>16.899999999999999</v>
      </c>
      <c r="M1478" s="98">
        <v>34</v>
      </c>
      <c r="N1478" s="98">
        <v>15.4</v>
      </c>
      <c r="O1478" s="347">
        <f t="shared" ref="O1478:O1479" si="7685">P1478-N1478</f>
        <v>17.5</v>
      </c>
      <c r="P1478" s="98">
        <v>32.9</v>
      </c>
      <c r="Q1478" s="98">
        <v>12.3</v>
      </c>
      <c r="R1478" s="347">
        <f t="shared" ref="R1478:R1479" si="7686">S1478-Q1478</f>
        <v>13.2</v>
      </c>
      <c r="S1478" s="98">
        <v>25.5</v>
      </c>
    </row>
    <row r="1479" spans="1:70" outlineLevel="1">
      <c r="B1479" s="1075"/>
      <c r="C1479" s="84" t="s">
        <v>303</v>
      </c>
      <c r="D1479" s="31" t="s">
        <v>102</v>
      </c>
      <c r="E1479" s="565"/>
      <c r="F1479" s="565"/>
      <c r="G1479" s="98">
        <v>-38.5</v>
      </c>
      <c r="H1479" s="98">
        <v>-24</v>
      </c>
      <c r="I1479" s="347">
        <f t="shared" si="7683"/>
        <v>-19.200000000000003</v>
      </c>
      <c r="J1479" s="98">
        <v>-43.2</v>
      </c>
      <c r="K1479" s="98">
        <v>-23</v>
      </c>
      <c r="L1479" s="347">
        <f t="shared" si="7684"/>
        <v>-49.2</v>
      </c>
      <c r="M1479" s="98">
        <v>-72.2</v>
      </c>
      <c r="N1479" s="98">
        <v>-31.5</v>
      </c>
      <c r="O1479" s="347">
        <f t="shared" si="7685"/>
        <v>-39.900000000000006</v>
      </c>
      <c r="P1479" s="98">
        <v>-71.400000000000006</v>
      </c>
      <c r="Q1479" s="98">
        <v>-31.5</v>
      </c>
      <c r="R1479" s="347">
        <f t="shared" si="7686"/>
        <v>-27.4</v>
      </c>
      <c r="S1479" s="98">
        <v>-58.9</v>
      </c>
    </row>
    <row r="1480" spans="1:70" outlineLevel="1">
      <c r="B1480" s="1075"/>
      <c r="C1480" s="85" t="s">
        <v>695</v>
      </c>
      <c r="D1480" s="445" t="s">
        <v>102</v>
      </c>
      <c r="E1480" s="563"/>
      <c r="F1480" s="563"/>
      <c r="G1480" s="379">
        <f>+G1479+G1478</f>
        <v>-4.3999999999999986</v>
      </c>
      <c r="H1480" s="379">
        <f t="shared" ref="H1480:S1480" si="7687">+H1479+H1478</f>
        <v>-11.9</v>
      </c>
      <c r="I1480" s="379">
        <f t="shared" si="7687"/>
        <v>0</v>
      </c>
      <c r="J1480" s="379">
        <f t="shared" si="7687"/>
        <v>-11.900000000000002</v>
      </c>
      <c r="K1480" s="379">
        <f t="shared" si="7687"/>
        <v>-5.8999999999999986</v>
      </c>
      <c r="L1480" s="379">
        <f t="shared" si="7687"/>
        <v>-32.300000000000004</v>
      </c>
      <c r="M1480" s="379">
        <f t="shared" si="7687"/>
        <v>-38.200000000000003</v>
      </c>
      <c r="N1480" s="379">
        <f t="shared" si="7687"/>
        <v>-16.100000000000001</v>
      </c>
      <c r="O1480" s="379">
        <f t="shared" si="7687"/>
        <v>-22.400000000000006</v>
      </c>
      <c r="P1480" s="379">
        <f t="shared" si="7687"/>
        <v>-38.500000000000007</v>
      </c>
      <c r="Q1480" s="379">
        <f t="shared" si="7687"/>
        <v>-19.2</v>
      </c>
      <c r="R1480" s="379">
        <f t="shared" si="7687"/>
        <v>-14.2</v>
      </c>
      <c r="S1480" s="379">
        <f t="shared" si="7687"/>
        <v>-33.4</v>
      </c>
    </row>
    <row r="1481" spans="1:70" outlineLevel="1">
      <c r="B1481" s="1075"/>
      <c r="C1481" s="30" t="s">
        <v>190</v>
      </c>
      <c r="D1481" s="31" t="s">
        <v>102</v>
      </c>
      <c r="E1481" s="565"/>
      <c r="F1481" s="565"/>
      <c r="G1481" s="98">
        <v>-5.7</v>
      </c>
      <c r="H1481" s="23">
        <f>J1481/2</f>
        <v>-4</v>
      </c>
      <c r="I1481" s="42">
        <f>J1481-H1481</f>
        <v>-4</v>
      </c>
      <c r="J1481" s="98">
        <v>-8</v>
      </c>
      <c r="K1481" s="23">
        <f>M1481/2</f>
        <v>-5.55</v>
      </c>
      <c r="L1481" s="42">
        <f>M1481-K1481</f>
        <v>-5.55</v>
      </c>
      <c r="M1481" s="98">
        <v>-11.1</v>
      </c>
      <c r="N1481" s="23">
        <f>P1481/2</f>
        <v>-4.5</v>
      </c>
      <c r="O1481" s="42">
        <f>P1481-N1481</f>
        <v>-4.5</v>
      </c>
      <c r="P1481" s="98">
        <v>-9</v>
      </c>
      <c r="Q1481" s="23">
        <f>S1481/2</f>
        <v>-6.45</v>
      </c>
      <c r="R1481" s="42">
        <f>S1481-Q1481</f>
        <v>-6.45</v>
      </c>
      <c r="S1481" s="98">
        <v>-12.9</v>
      </c>
    </row>
    <row r="1483" spans="1:70">
      <c r="A1483" s="672" t="s">
        <v>699</v>
      </c>
    </row>
  </sheetData>
  <mergeCells count="4">
    <mergeCell ref="B604:B622"/>
    <mergeCell ref="B623:B634"/>
    <mergeCell ref="B1459:B1473"/>
    <mergeCell ref="B1474:B1481"/>
  </mergeCells>
  <conditionalFormatting sqref="D2">
    <cfRule type="expression" dxfId="1" priority="2">
      <formula>ROUND(ABS(SUM($F$104:$BR$104)),2)&gt;0</formula>
    </cfRule>
  </conditionalFormatting>
  <conditionalFormatting sqref="D3">
    <cfRule type="expression" dxfId="0" priority="1">
      <formula>ROUND(ABS(SUM($G$57:$BR$57)),2)&gt;0</formula>
    </cfRule>
  </conditionalFormatting>
  <dataValidations count="2">
    <dataValidation type="list" allowBlank="1" showInputMessage="1" showErrorMessage="1" sqref="AG1">
      <formula1>$D$253:$D$256</formula1>
    </dataValidation>
    <dataValidation type="list" allowBlank="1" showInputMessage="1" showErrorMessage="1" sqref="E252:O252">
      <formula1>$D$1293:$D$1295</formula1>
    </dataValidation>
  </dataValidations>
  <pageMargins left="0.7" right="0.7" top="0.75" bottom="0.75" header="0.3" footer="0.3"/>
  <pageSetup paperSize="9" scale="46" fitToHeight="10" orientation="portrait" r:id="rId1"/>
  <rowBreaks count="10" manualBreakCount="10">
    <brk id="148" max="44" man="1"/>
    <brk id="291" max="44" man="1"/>
    <brk id="430" max="44" man="1"/>
    <brk id="571" max="44" man="1"/>
    <brk id="709" max="44" man="1"/>
    <brk id="842" max="44" man="1"/>
    <brk id="989" max="44" man="1"/>
    <brk id="1116" max="44" man="1"/>
    <brk id="1250" max="44" man="1"/>
    <brk id="1387" max="44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2"/>
  <sheetViews>
    <sheetView workbookViewId="0"/>
  </sheetViews>
  <sheetFormatPr defaultRowHeight="15"/>
  <sheetData>
    <row r="1" spans="1:8">
      <c r="A1" t="s">
        <v>757</v>
      </c>
    </row>
    <row r="2" spans="1:8">
      <c r="A2" s="825" t="s">
        <v>756</v>
      </c>
      <c r="B2" s="825" t="s">
        <v>771</v>
      </c>
      <c r="C2" s="825" t="s">
        <v>752</v>
      </c>
      <c r="D2" s="825" t="s">
        <v>738</v>
      </c>
      <c r="E2" s="825" t="s">
        <v>753</v>
      </c>
      <c r="F2" s="825" t="s">
        <v>755</v>
      </c>
      <c r="G2" s="825" t="s">
        <v>754</v>
      </c>
      <c r="H2" s="825" t="s">
        <v>772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B74"/>
  <sheetViews>
    <sheetView showGridLines="0" zoomScale="85" zoomScaleNormal="85" workbookViewId="0"/>
  </sheetViews>
  <sheetFormatPr defaultRowHeight="11.25" outlineLevelCol="1"/>
  <cols>
    <col min="1" max="1" width="30" style="6" customWidth="1"/>
    <col min="2" max="2" width="8.7109375" style="6" customWidth="1"/>
    <col min="3" max="3" width="8.7109375" style="6" hidden="1" customWidth="1" outlineLevel="1"/>
    <col min="4" max="4" width="9.7109375" style="6" customWidth="1" collapsed="1"/>
    <col min="5" max="7" width="9.7109375" style="6" customWidth="1"/>
    <col min="8" max="12" width="9.140625" style="6" hidden="1" customWidth="1" outlineLevel="1"/>
    <col min="13" max="13" width="1.28515625" style="6" customWidth="1" collapsed="1"/>
    <col min="14" max="14" width="23.5703125" style="6" bestFit="1" customWidth="1"/>
    <col min="15" max="15" width="8.7109375" style="6" customWidth="1"/>
    <col min="16" max="16" width="8.7109375" style="6" customWidth="1" outlineLevel="1"/>
    <col min="17" max="20" width="8.7109375" style="6" customWidth="1"/>
    <col min="21" max="25" width="9.28515625" style="6" hidden="1" customWidth="1" outlineLevel="1"/>
    <col min="26" max="26" width="9.140625" style="6" collapsed="1"/>
    <col min="27" max="16384" width="9.140625" style="6"/>
  </cols>
  <sheetData>
    <row r="1" spans="1:28">
      <c r="A1" s="140" t="s">
        <v>407</v>
      </c>
      <c r="C1" s="192"/>
      <c r="D1" s="192"/>
      <c r="E1" s="13"/>
      <c r="F1" s="192"/>
      <c r="G1" s="192"/>
      <c r="H1" s="192"/>
      <c r="I1" s="192"/>
      <c r="J1" s="192"/>
      <c r="K1" s="192"/>
      <c r="L1" s="192"/>
      <c r="P1" s="192"/>
      <c r="Q1" s="192"/>
      <c r="R1" s="192"/>
      <c r="S1" s="192"/>
      <c r="T1" s="192"/>
      <c r="U1" s="192"/>
      <c r="V1" s="192"/>
      <c r="W1" s="192"/>
      <c r="X1" s="192"/>
      <c r="Y1" s="192"/>
    </row>
    <row r="2" spans="1:28" ht="12" thickBot="1">
      <c r="A2" s="128" t="s">
        <v>344</v>
      </c>
      <c r="C2" s="192"/>
      <c r="D2" s="192"/>
      <c r="E2" s="192"/>
      <c r="F2" s="192"/>
      <c r="G2" s="192"/>
      <c r="H2" s="192"/>
      <c r="I2" s="192"/>
      <c r="J2" s="192"/>
      <c r="K2" s="192"/>
      <c r="L2" s="192"/>
      <c r="P2" s="192"/>
      <c r="Q2" s="1078">
        <v>43194.30265046296</v>
      </c>
      <c r="R2" s="1078"/>
      <c r="S2" s="1078"/>
      <c r="T2" s="1078"/>
      <c r="U2" s="1078"/>
      <c r="V2" s="192"/>
      <c r="W2" s="192"/>
      <c r="X2" s="192"/>
      <c r="Y2" s="192"/>
      <c r="AA2" s="7" t="s">
        <v>410</v>
      </c>
      <c r="AB2" s="205">
        <f ca="1">NOW()</f>
        <v>43200.454685185185</v>
      </c>
    </row>
    <row r="3" spans="1:28" ht="12" thickBot="1">
      <c r="A3" s="49" t="s">
        <v>227</v>
      </c>
      <c r="B3" s="49"/>
      <c r="C3" s="1" t="s">
        <v>345</v>
      </c>
      <c r="D3" s="1" t="s">
        <v>346</v>
      </c>
      <c r="E3" s="1" t="s">
        <v>347</v>
      </c>
      <c r="F3" s="1" t="s">
        <v>348</v>
      </c>
      <c r="G3" s="1" t="s">
        <v>349</v>
      </c>
      <c r="H3" s="1" t="s">
        <v>350</v>
      </c>
      <c r="I3" s="1" t="s">
        <v>351</v>
      </c>
      <c r="J3" s="1" t="s">
        <v>352</v>
      </c>
      <c r="K3" s="1" t="s">
        <v>353</v>
      </c>
      <c r="L3" s="1" t="s">
        <v>406</v>
      </c>
      <c r="N3" s="49" t="s">
        <v>764</v>
      </c>
      <c r="O3" s="49"/>
      <c r="P3" s="1"/>
      <c r="Q3" s="1"/>
      <c r="R3" s="1"/>
      <c r="S3" s="1"/>
      <c r="T3" s="1" t="s">
        <v>354</v>
      </c>
      <c r="U3" s="192"/>
      <c r="V3" s="192"/>
      <c r="W3" s="192"/>
      <c r="X3" s="192"/>
      <c r="Y3" s="192"/>
      <c r="AA3" s="206" t="s">
        <v>411</v>
      </c>
      <c r="AB3" s="333">
        <v>13.98</v>
      </c>
    </row>
    <row r="4" spans="1:28" ht="12" thickBot="1">
      <c r="A4" s="6" t="s">
        <v>55</v>
      </c>
      <c r="B4" s="57" t="s">
        <v>58</v>
      </c>
      <c r="C4" s="118">
        <f>Model!AB8</f>
        <v>9422.9</v>
      </c>
      <c r="D4" s="118">
        <f>Model!AE8</f>
        <v>9103.5</v>
      </c>
      <c r="E4" s="118">
        <f>Model!AH8</f>
        <v>9399.6702498281284</v>
      </c>
      <c r="F4" s="118">
        <f>Model!AK8</f>
        <v>9511.7388240664059</v>
      </c>
      <c r="G4" s="118">
        <f>Model!AN8</f>
        <v>10035.307582586229</v>
      </c>
      <c r="H4" s="118">
        <f>Model!AQ8</f>
        <v>10219.15903756976</v>
      </c>
      <c r="I4" s="118">
        <f>Model!AT8</f>
        <v>10397.988361670727</v>
      </c>
      <c r="J4" s="118">
        <f>Model!AW8</f>
        <v>10582.491512409579</v>
      </c>
      <c r="K4" s="118">
        <f>Model!AZ8</f>
        <v>10772.855846261531</v>
      </c>
      <c r="L4" s="118">
        <f>Model!BC8</f>
        <v>10969.276112496027</v>
      </c>
      <c r="N4" s="9" t="s">
        <v>355</v>
      </c>
      <c r="P4" s="192"/>
      <c r="Q4" s="192"/>
      <c r="R4" s="192"/>
      <c r="S4" s="192"/>
      <c r="T4" s="193">
        <f>AB3</f>
        <v>13.98</v>
      </c>
      <c r="U4" s="192"/>
      <c r="V4" s="192"/>
      <c r="W4" s="192"/>
      <c r="X4" s="192"/>
      <c r="Y4" s="192"/>
      <c r="AA4" s="207" t="s">
        <v>367</v>
      </c>
      <c r="AB4" s="333">
        <f>+T17</f>
        <v>14.799999999999999</v>
      </c>
    </row>
    <row r="5" spans="1:28" ht="12" thickBot="1">
      <c r="A5" s="99" t="s">
        <v>278</v>
      </c>
      <c r="B5" s="99" t="s">
        <v>66</v>
      </c>
      <c r="C5" s="180">
        <f>C4/Model!Y8-1</f>
        <v>-1.9632527362770102E-2</v>
      </c>
      <c r="D5" s="180">
        <f>D4/C4-1</f>
        <v>-3.38961466215284E-2</v>
      </c>
      <c r="E5" s="180">
        <f t="shared" ref="E5:L5" si="0">E4/D4-1</f>
        <v>3.2533668350428702E-2</v>
      </c>
      <c r="F5" s="180">
        <f t="shared" si="0"/>
        <v>1.1922606991487505E-2</v>
      </c>
      <c r="G5" s="180">
        <f t="shared" si="0"/>
        <v>5.5044484316064235E-2</v>
      </c>
      <c r="H5" s="180">
        <f t="shared" si="0"/>
        <v>1.8320460381559212E-2</v>
      </c>
      <c r="I5" s="180">
        <f t="shared" si="0"/>
        <v>1.7499416874081186E-2</v>
      </c>
      <c r="J5" s="180">
        <f t="shared" si="0"/>
        <v>1.774411975868051E-2</v>
      </c>
      <c r="K5" s="180">
        <f t="shared" si="0"/>
        <v>1.7988612003961624E-2</v>
      </c>
      <c r="L5" s="180">
        <f t="shared" si="0"/>
        <v>1.8232887271266929E-2</v>
      </c>
      <c r="N5" s="9" t="s">
        <v>356</v>
      </c>
      <c r="P5" s="192"/>
      <c r="Q5" s="192"/>
      <c r="R5" s="192"/>
      <c r="S5" s="192"/>
      <c r="T5" s="193">
        <f>+T17</f>
        <v>14.799999999999999</v>
      </c>
      <c r="U5" s="194"/>
      <c r="V5" s="194"/>
      <c r="W5" s="194"/>
      <c r="X5" s="194"/>
      <c r="Y5" s="194"/>
      <c r="AA5" s="207" t="s">
        <v>280</v>
      </c>
      <c r="AB5" s="398">
        <v>0.77</v>
      </c>
    </row>
    <row r="6" spans="1:28">
      <c r="A6" s="8" t="s">
        <v>56</v>
      </c>
      <c r="B6" s="55" t="s">
        <v>58</v>
      </c>
      <c r="C6" s="132">
        <f>Model!AB9</f>
        <v>1409.3</v>
      </c>
      <c r="D6" s="132">
        <f>Model!AE9</f>
        <v>1447</v>
      </c>
      <c r="E6" s="132">
        <f>Model!AH9</f>
        <v>1514.7902765109873</v>
      </c>
      <c r="F6" s="132">
        <f>Model!AK9</f>
        <v>1618.1487397787434</v>
      </c>
      <c r="G6" s="132">
        <f>Model!AN9</f>
        <v>1719.9525536146616</v>
      </c>
      <c r="H6" s="132">
        <f>Model!AQ9</f>
        <v>1764.9539246601814</v>
      </c>
      <c r="I6" s="132">
        <f>Model!AT9</f>
        <v>1792.7769581909063</v>
      </c>
      <c r="J6" s="132">
        <f>Model!AW9</f>
        <v>1821.4265470825912</v>
      </c>
      <c r="K6" s="132">
        <f>Model!AZ9</f>
        <v>1850.9296629803807</v>
      </c>
      <c r="L6" s="132">
        <f>Model!BC9</f>
        <v>1881.3143536788978</v>
      </c>
      <c r="N6" s="8" t="s">
        <v>357</v>
      </c>
      <c r="O6" s="8"/>
      <c r="P6" s="112"/>
      <c r="Q6" s="112"/>
      <c r="R6" s="112"/>
      <c r="S6" s="112"/>
      <c r="T6" s="181">
        <f>T5/T4-1</f>
        <v>5.8655221745350428E-2</v>
      </c>
      <c r="U6" s="182"/>
      <c r="V6" s="182"/>
      <c r="W6" s="182"/>
      <c r="X6" s="182"/>
      <c r="Y6" s="182"/>
    </row>
    <row r="7" spans="1:28">
      <c r="A7" s="99" t="s">
        <v>95</v>
      </c>
      <c r="B7" s="99" t="s">
        <v>66</v>
      </c>
      <c r="C7" s="183">
        <f>C6/C4</f>
        <v>0.14956117543431427</v>
      </c>
      <c r="D7" s="183">
        <f t="shared" ref="D7:L7" si="1">D6/D4</f>
        <v>0.15894985445158455</v>
      </c>
      <c r="E7" s="183">
        <f t="shared" si="1"/>
        <v>0.16115355499185569</v>
      </c>
      <c r="F7" s="183">
        <f t="shared" si="1"/>
        <v>0.17012123332113965</v>
      </c>
      <c r="G7" s="183">
        <f t="shared" si="1"/>
        <v>0.17139011828588194</v>
      </c>
      <c r="H7" s="183">
        <f t="shared" si="1"/>
        <v>0.1727102903645493</v>
      </c>
      <c r="I7" s="183">
        <f t="shared" si="1"/>
        <v>0.17241574964629472</v>
      </c>
      <c r="J7" s="183">
        <f t="shared" si="1"/>
        <v>0.17211698633981345</v>
      </c>
      <c r="K7" s="183">
        <f t="shared" si="1"/>
        <v>0.17181420501627734</v>
      </c>
      <c r="L7" s="183">
        <f t="shared" si="1"/>
        <v>0.1715076122056709</v>
      </c>
      <c r="N7" s="6" t="s">
        <v>358</v>
      </c>
      <c r="P7" s="192"/>
      <c r="Q7" s="192"/>
      <c r="R7" s="192"/>
      <c r="S7" s="192"/>
      <c r="T7" s="195">
        <f>T6+R30</f>
        <v>0.1009755834965364</v>
      </c>
      <c r="U7" s="13"/>
      <c r="V7" s="13"/>
      <c r="W7" s="13"/>
      <c r="X7" s="13"/>
      <c r="Y7" s="13"/>
    </row>
    <row r="8" spans="1:28">
      <c r="A8" s="6" t="s">
        <v>65</v>
      </c>
      <c r="B8" s="57" t="s">
        <v>58</v>
      </c>
      <c r="C8" s="118">
        <f>Model!AB10</f>
        <v>-354</v>
      </c>
      <c r="D8" s="118">
        <f>Model!AE10</f>
        <v>-358.79999999999995</v>
      </c>
      <c r="E8" s="118">
        <f>Model!AH10</f>
        <v>-370.59801833333341</v>
      </c>
      <c r="F8" s="118">
        <f>Model!AK10</f>
        <v>-373.65105876666678</v>
      </c>
      <c r="G8" s="118">
        <f>Model!AN10</f>
        <v>-392.09541195833344</v>
      </c>
      <c r="H8" s="118">
        <f>Model!AQ10</f>
        <v>-396.01636607791676</v>
      </c>
      <c r="I8" s="118">
        <f>Model!AT10</f>
        <v>-399.97652973869594</v>
      </c>
      <c r="J8" s="118">
        <f>Model!AW10</f>
        <v>-403.97629503608289</v>
      </c>
      <c r="K8" s="118">
        <f>Model!AZ10</f>
        <v>-408.01605798644374</v>
      </c>
      <c r="L8" s="118">
        <f>Model!BC10</f>
        <v>-412.09621856630815</v>
      </c>
      <c r="N8" s="9" t="s">
        <v>359</v>
      </c>
      <c r="P8" s="192"/>
      <c r="Q8" s="192"/>
      <c r="R8" s="192"/>
      <c r="S8" s="192"/>
      <c r="T8" s="196">
        <f>Model!AE172</f>
        <v>1158.1410000000001</v>
      </c>
      <c r="U8" s="194"/>
      <c r="V8" s="194"/>
      <c r="W8" s="194"/>
      <c r="X8" s="194"/>
      <c r="Y8" s="194"/>
    </row>
    <row r="9" spans="1:28">
      <c r="A9" s="8" t="s">
        <v>57</v>
      </c>
      <c r="B9" s="55" t="s">
        <v>58</v>
      </c>
      <c r="C9" s="104">
        <f>Model!AB11</f>
        <v>1055.3</v>
      </c>
      <c r="D9" s="104">
        <f>Model!AE11</f>
        <v>1088.2</v>
      </c>
      <c r="E9" s="104">
        <f>Model!AH11</f>
        <v>1144.1922581776539</v>
      </c>
      <c r="F9" s="104">
        <f>Model!AK11</f>
        <v>1244.4976810120766</v>
      </c>
      <c r="G9" s="104">
        <f>Model!AN11</f>
        <v>1327.8571416563282</v>
      </c>
      <c r="H9" s="104">
        <f>Model!AQ11</f>
        <v>1368.9375585822647</v>
      </c>
      <c r="I9" s="104">
        <f>Model!AT11</f>
        <v>1392.8004284522103</v>
      </c>
      <c r="J9" s="104">
        <f>Model!AW11</f>
        <v>1417.4502520465085</v>
      </c>
      <c r="K9" s="104">
        <f>Model!AZ11</f>
        <v>1442.913604993937</v>
      </c>
      <c r="L9" s="104">
        <f>Model!BC11</f>
        <v>1469.2181351125896</v>
      </c>
      <c r="N9" s="9" t="s">
        <v>412</v>
      </c>
      <c r="P9" s="192"/>
      <c r="Q9" s="192"/>
      <c r="R9" s="192"/>
      <c r="S9" s="192"/>
      <c r="T9" s="196">
        <f>T8*T4</f>
        <v>16190.811180000002</v>
      </c>
      <c r="U9" s="194"/>
      <c r="V9" s="194"/>
      <c r="W9" s="194"/>
      <c r="X9" s="194"/>
      <c r="Y9" s="194"/>
    </row>
    <row r="10" spans="1:28">
      <c r="A10" s="99" t="s">
        <v>95</v>
      </c>
      <c r="B10" s="99" t="s">
        <v>66</v>
      </c>
      <c r="C10" s="183">
        <f>C9/C4</f>
        <v>0.11199312313618949</v>
      </c>
      <c r="D10" s="183">
        <f t="shared" ref="D10:L10" si="2">D9/D4</f>
        <v>0.11953644202779151</v>
      </c>
      <c r="E10" s="183">
        <f t="shared" si="2"/>
        <v>0.12172685081145004</v>
      </c>
      <c r="F10" s="183">
        <f t="shared" si="2"/>
        <v>0.13083808376479747</v>
      </c>
      <c r="G10" s="183">
        <f t="shared" si="2"/>
        <v>0.13231852942509631</v>
      </c>
      <c r="H10" s="183">
        <f t="shared" si="2"/>
        <v>0.13395794639749678</v>
      </c>
      <c r="I10" s="183">
        <f t="shared" si="2"/>
        <v>0.13394902744711459</v>
      </c>
      <c r="J10" s="183">
        <f t="shared" si="2"/>
        <v>0.13394296138903894</v>
      </c>
      <c r="K10" s="183">
        <f t="shared" si="2"/>
        <v>0.13393974871525516</v>
      </c>
      <c r="L10" s="183">
        <f t="shared" si="2"/>
        <v>0.13393938852891846</v>
      </c>
      <c r="P10" s="192"/>
      <c r="Q10" s="192"/>
      <c r="R10" s="192"/>
      <c r="S10" s="192"/>
      <c r="T10" s="192"/>
      <c r="U10" s="192"/>
      <c r="V10" s="192"/>
      <c r="W10" s="192"/>
      <c r="X10" s="192"/>
      <c r="Y10" s="192"/>
    </row>
    <row r="11" spans="1:28">
      <c r="A11" s="6" t="s">
        <v>360</v>
      </c>
      <c r="B11" s="57" t="s">
        <v>58</v>
      </c>
      <c r="C11" s="118">
        <f>Model!AB13</f>
        <v>-166.79999999999998</v>
      </c>
      <c r="D11" s="118">
        <f>Model!AE13</f>
        <v>-187</v>
      </c>
      <c r="E11" s="118">
        <f>Model!AH13</f>
        <v>-200.50348557715677</v>
      </c>
      <c r="F11" s="118">
        <f>Model!AK13</f>
        <v>-192.95289739025765</v>
      </c>
      <c r="G11" s="118">
        <f>Model!AN13</f>
        <v>-183.8559510577544</v>
      </c>
      <c r="H11" s="118">
        <f>Model!AQ13</f>
        <v>-169.59853767436115</v>
      </c>
      <c r="I11" s="118">
        <f>Model!AT13</f>
        <v>-155.1935629761862</v>
      </c>
      <c r="J11" s="118">
        <f>Model!AW13</f>
        <v>-140.41056637558648</v>
      </c>
      <c r="K11" s="118">
        <f>Model!AZ13</f>
        <v>-125.16908940346332</v>
      </c>
      <c r="L11" s="118">
        <f>Model!BC13</f>
        <v>-110.4010194051757</v>
      </c>
      <c r="N11" s="49" t="s">
        <v>361</v>
      </c>
      <c r="O11" s="49"/>
      <c r="P11" s="1"/>
      <c r="Q11" s="1"/>
      <c r="R11" s="1"/>
      <c r="S11" s="1"/>
      <c r="T11" s="1" t="s">
        <v>354</v>
      </c>
      <c r="U11" s="194"/>
      <c r="V11" s="194"/>
      <c r="W11" s="194"/>
      <c r="X11" s="194"/>
      <c r="Y11" s="194"/>
    </row>
    <row r="12" spans="1:28">
      <c r="A12" s="8" t="s">
        <v>362</v>
      </c>
      <c r="B12" s="55" t="s">
        <v>58</v>
      </c>
      <c r="C12" s="104">
        <f t="shared" ref="C12:L12" si="3">SUM(C9,C11)</f>
        <v>888.5</v>
      </c>
      <c r="D12" s="104">
        <f t="shared" si="3"/>
        <v>901.2</v>
      </c>
      <c r="E12" s="104">
        <f t="shared" si="3"/>
        <v>943.68877260049715</v>
      </c>
      <c r="F12" s="104">
        <f t="shared" si="3"/>
        <v>1051.5447836218189</v>
      </c>
      <c r="G12" s="104">
        <f t="shared" si="3"/>
        <v>1144.0011905985739</v>
      </c>
      <c r="H12" s="104">
        <f t="shared" si="3"/>
        <v>1199.3390209079037</v>
      </c>
      <c r="I12" s="104">
        <f t="shared" si="3"/>
        <v>1237.606865476024</v>
      </c>
      <c r="J12" s="104">
        <f t="shared" si="3"/>
        <v>1277.0396856709219</v>
      </c>
      <c r="K12" s="104">
        <f t="shared" si="3"/>
        <v>1317.7445155904738</v>
      </c>
      <c r="L12" s="104">
        <f t="shared" si="3"/>
        <v>1358.8171157074139</v>
      </c>
      <c r="N12" s="9" t="s">
        <v>165</v>
      </c>
      <c r="P12" s="192"/>
      <c r="Q12" s="192"/>
      <c r="R12" s="192"/>
      <c r="S12" s="192"/>
      <c r="T12" s="193">
        <f>Valuation!D17</f>
        <v>13.2</v>
      </c>
      <c r="U12" s="194"/>
      <c r="V12" s="194"/>
      <c r="W12" s="194"/>
      <c r="X12" s="194"/>
      <c r="Y12" s="194"/>
    </row>
    <row r="13" spans="1:28">
      <c r="A13" s="6" t="s">
        <v>363</v>
      </c>
      <c r="B13" s="57" t="s">
        <v>58</v>
      </c>
      <c r="C13" s="118">
        <f>Model!AB15</f>
        <v>-187.9</v>
      </c>
      <c r="D13" s="118">
        <f>Model!AE15</f>
        <v>-183</v>
      </c>
      <c r="E13" s="118">
        <f>Model!AH15</f>
        <v>-189.83364224610438</v>
      </c>
      <c r="F13" s="118">
        <f>Model!AK15</f>
        <v>-220.82440456058197</v>
      </c>
      <c r="G13" s="118">
        <f>Model!AN15</f>
        <v>-240.2402500257005</v>
      </c>
      <c r="H13" s="118">
        <f>Model!AQ15</f>
        <v>-251.86119439065973</v>
      </c>
      <c r="I13" s="118">
        <f>Model!AT15</f>
        <v>-259.89744174996508</v>
      </c>
      <c r="J13" s="118">
        <f>Model!AW15</f>
        <v>-268.17833399089358</v>
      </c>
      <c r="K13" s="118">
        <f>Model!AZ15</f>
        <v>-276.72634827399952</v>
      </c>
      <c r="L13" s="118">
        <f>Model!BC15</f>
        <v>-285.35159429855696</v>
      </c>
      <c r="N13" s="9" t="s">
        <v>364</v>
      </c>
      <c r="P13" s="192"/>
      <c r="Q13" s="192"/>
      <c r="R13" s="192"/>
      <c r="S13" s="192"/>
      <c r="T13" s="193">
        <f>Valuation!D18</f>
        <v>14.7</v>
      </c>
      <c r="U13" s="194"/>
      <c r="V13" s="194"/>
      <c r="W13" s="194"/>
      <c r="X13" s="194"/>
      <c r="Y13" s="194"/>
    </row>
    <row r="14" spans="1:28">
      <c r="A14" s="6" t="s">
        <v>107</v>
      </c>
      <c r="B14" s="57" t="s">
        <v>58</v>
      </c>
      <c r="C14" s="118">
        <f>Model!AB16</f>
        <v>-29.5</v>
      </c>
      <c r="D14" s="118">
        <f>Model!AE16</f>
        <v>-17</v>
      </c>
      <c r="E14" s="118">
        <f>Model!AH16</f>
        <v>-13.899999999999999</v>
      </c>
      <c r="F14" s="118">
        <f>Model!AK16</f>
        <v>-13.899999999999999</v>
      </c>
      <c r="G14" s="118">
        <f>Model!AN16</f>
        <v>-13.899999999999999</v>
      </c>
      <c r="H14" s="118">
        <f>Model!AQ16</f>
        <v>-13.899999999999999</v>
      </c>
      <c r="I14" s="118">
        <f>Model!AT16</f>
        <v>-13.899999999999999</v>
      </c>
      <c r="J14" s="118">
        <f>Model!AW16</f>
        <v>-13.899999999999999</v>
      </c>
      <c r="K14" s="118">
        <f>Model!AZ16</f>
        <v>-13.899999999999999</v>
      </c>
      <c r="L14" s="118">
        <f>Model!BC16</f>
        <v>-13.899999999999999</v>
      </c>
      <c r="N14" s="9" t="s">
        <v>365</v>
      </c>
      <c r="P14" s="192"/>
      <c r="Q14" s="192"/>
      <c r="R14" s="192"/>
      <c r="S14" s="192"/>
      <c r="T14" s="193">
        <f>Valuation!D16</f>
        <v>14.5</v>
      </c>
      <c r="U14" s="194"/>
      <c r="V14" s="194"/>
      <c r="W14" s="194"/>
      <c r="X14" s="194"/>
      <c r="Y14" s="194"/>
    </row>
    <row r="15" spans="1:28">
      <c r="A15" s="8" t="s">
        <v>366</v>
      </c>
      <c r="B15" s="55" t="s">
        <v>58</v>
      </c>
      <c r="C15" s="104">
        <f t="shared" ref="C15:L15" si="4">SUM(C12,C13:C14)</f>
        <v>671.1</v>
      </c>
      <c r="D15" s="104">
        <f t="shared" si="4"/>
        <v>701.2</v>
      </c>
      <c r="E15" s="104">
        <f t="shared" si="4"/>
        <v>739.95513035439274</v>
      </c>
      <c r="F15" s="104">
        <f t="shared" si="4"/>
        <v>816.82037906123685</v>
      </c>
      <c r="G15" s="104">
        <f t="shared" si="4"/>
        <v>889.86094057287335</v>
      </c>
      <c r="H15" s="104">
        <f t="shared" si="4"/>
        <v>933.57782651724392</v>
      </c>
      <c r="I15" s="104">
        <f t="shared" si="4"/>
        <v>963.80942372605898</v>
      </c>
      <c r="J15" s="104">
        <f t="shared" si="4"/>
        <v>994.96135168002832</v>
      </c>
      <c r="K15" s="104">
        <f t="shared" si="4"/>
        <v>1027.1181673164742</v>
      </c>
      <c r="L15" s="104">
        <f t="shared" si="4"/>
        <v>1059.565521408857</v>
      </c>
      <c r="N15" s="8" t="s">
        <v>769</v>
      </c>
      <c r="O15" s="8"/>
      <c r="P15" s="112"/>
      <c r="Q15" s="112"/>
      <c r="R15" s="112"/>
      <c r="S15" s="112"/>
      <c r="T15" s="858">
        <f>+Valuation!D8</f>
        <v>14.1</v>
      </c>
      <c r="U15" s="437"/>
      <c r="V15" s="437"/>
      <c r="W15" s="437"/>
      <c r="X15" s="437"/>
      <c r="Y15" s="437"/>
      <c r="Z15" s="181"/>
      <c r="AA15" s="858"/>
    </row>
    <row r="16" spans="1:28">
      <c r="A16" s="6" t="s">
        <v>368</v>
      </c>
      <c r="B16" s="57" t="s">
        <v>58</v>
      </c>
      <c r="C16" s="118">
        <f>Model!AB18</f>
        <v>-427</v>
      </c>
      <c r="D16" s="118">
        <f>Model!AE18</f>
        <v>-104.2</v>
      </c>
      <c r="E16" s="118">
        <f>Model!AH18</f>
        <v>0</v>
      </c>
      <c r="F16" s="118">
        <f>Model!AK18</f>
        <v>0</v>
      </c>
      <c r="G16" s="118">
        <f>Model!AN18</f>
        <v>0</v>
      </c>
      <c r="H16" s="118">
        <f>Model!AQ18</f>
        <v>0</v>
      </c>
      <c r="I16" s="118">
        <f>Model!AT18</f>
        <v>0</v>
      </c>
      <c r="J16" s="118">
        <f>Model!AW18</f>
        <v>0</v>
      </c>
      <c r="K16" s="118">
        <f>Model!AZ18</f>
        <v>0</v>
      </c>
      <c r="L16" s="118">
        <f>Model!BC18</f>
        <v>0</v>
      </c>
      <c r="N16" s="865" t="s">
        <v>766</v>
      </c>
      <c r="T16" s="879">
        <f>Z16/T15</f>
        <v>4.9645390070921981E-2</v>
      </c>
      <c r="U16" s="192"/>
      <c r="V16" s="192"/>
      <c r="W16" s="192"/>
      <c r="X16" s="192"/>
      <c r="Y16" s="192"/>
      <c r="Z16" s="193">
        <v>0.7</v>
      </c>
    </row>
    <row r="17" spans="1:28">
      <c r="A17" s="8" t="s">
        <v>369</v>
      </c>
      <c r="B17" s="55" t="s">
        <v>58</v>
      </c>
      <c r="C17" s="104">
        <f t="shared" ref="C17:L17" si="5">SUM(C15,C16)</f>
        <v>244.10000000000002</v>
      </c>
      <c r="D17" s="104">
        <f t="shared" si="5"/>
        <v>597</v>
      </c>
      <c r="E17" s="104">
        <f t="shared" si="5"/>
        <v>739.95513035439274</v>
      </c>
      <c r="F17" s="104">
        <f t="shared" si="5"/>
        <v>816.82037906123685</v>
      </c>
      <c r="G17" s="104">
        <f t="shared" si="5"/>
        <v>889.86094057287335</v>
      </c>
      <c r="H17" s="104">
        <f t="shared" si="5"/>
        <v>933.57782651724392</v>
      </c>
      <c r="I17" s="104">
        <f t="shared" si="5"/>
        <v>963.80942372605898</v>
      </c>
      <c r="J17" s="104">
        <f t="shared" si="5"/>
        <v>994.96135168002832</v>
      </c>
      <c r="K17" s="104">
        <f t="shared" si="5"/>
        <v>1027.1181673164742</v>
      </c>
      <c r="L17" s="104">
        <f t="shared" si="5"/>
        <v>1059.565521408857</v>
      </c>
      <c r="N17" s="8" t="s">
        <v>762</v>
      </c>
      <c r="T17" s="857">
        <f>+Z16+T15</f>
        <v>14.799999999999999</v>
      </c>
      <c r="U17" s="104"/>
      <c r="V17" s="104"/>
      <c r="W17" s="104"/>
      <c r="X17" s="104"/>
      <c r="Y17" s="104"/>
      <c r="AA17" s="198"/>
    </row>
    <row r="18" spans="1:28">
      <c r="C18" s="192"/>
      <c r="D18" s="199"/>
      <c r="E18" s="192"/>
      <c r="F18" s="192"/>
      <c r="G18" s="192"/>
      <c r="H18" s="192"/>
      <c r="I18" s="192"/>
      <c r="J18" s="192"/>
      <c r="K18" s="192"/>
      <c r="L18" s="192"/>
      <c r="N18" s="859" t="s">
        <v>355</v>
      </c>
      <c r="P18" s="192"/>
      <c r="Q18" s="192"/>
      <c r="R18" s="192"/>
      <c r="S18" s="192"/>
      <c r="T18" s="197">
        <f>AB3</f>
        <v>13.98</v>
      </c>
      <c r="U18" s="104"/>
      <c r="V18" s="104"/>
      <c r="W18" s="104"/>
      <c r="X18" s="104"/>
      <c r="Y18" s="104"/>
      <c r="AA18" s="51"/>
    </row>
    <row r="19" spans="1:28">
      <c r="A19" s="6" t="s">
        <v>176</v>
      </c>
      <c r="B19" s="57" t="s">
        <v>239</v>
      </c>
      <c r="C19" s="184">
        <f>Model!AB178</f>
        <v>0.57699999999999996</v>
      </c>
      <c r="D19" s="184">
        <f>Model!AE178</f>
        <v>0.60599999999999998</v>
      </c>
      <c r="E19" s="184">
        <f>Model!AH178</f>
        <v>0.6392359094051524</v>
      </c>
      <c r="F19" s="184">
        <f>Model!AK178</f>
        <v>0.70528578045439794</v>
      </c>
      <c r="G19" s="184">
        <f>Model!AN178</f>
        <v>0.7683528521767844</v>
      </c>
      <c r="H19" s="184">
        <f>Model!AQ178</f>
        <v>0.80610031638396684</v>
      </c>
      <c r="I19" s="184">
        <f>Model!AT178</f>
        <v>0.83220387131278395</v>
      </c>
      <c r="J19" s="184">
        <f>Model!AW178</f>
        <v>0.85910208832951107</v>
      </c>
      <c r="K19" s="184">
        <f>Model!AZ178</f>
        <v>0.88686797835192277</v>
      </c>
      <c r="L19" s="184">
        <f>Model!BC178</f>
        <v>0.91488473459523223</v>
      </c>
      <c r="N19" s="113" t="s">
        <v>370</v>
      </c>
      <c r="O19" s="8"/>
      <c r="P19" s="112"/>
      <c r="Q19" s="112"/>
      <c r="R19" s="112"/>
      <c r="S19" s="112"/>
      <c r="T19" s="877">
        <f>+T17/T18-1</f>
        <v>5.8655221745350428E-2</v>
      </c>
      <c r="U19" s="13"/>
      <c r="V19" s="13"/>
      <c r="W19" s="13"/>
      <c r="X19" s="13"/>
      <c r="Y19" s="13"/>
      <c r="AA19" s="51"/>
    </row>
    <row r="20" spans="1:28">
      <c r="A20" s="6" t="s">
        <v>170</v>
      </c>
      <c r="B20" s="57" t="s">
        <v>239</v>
      </c>
      <c r="C20" s="184">
        <f>Model!AB182</f>
        <v>0.41</v>
      </c>
      <c r="D20" s="184">
        <f>Model!AE182</f>
        <v>0.43</v>
      </c>
      <c r="E20" s="184">
        <f>Model!AH182</f>
        <v>0.45556176610681653</v>
      </c>
      <c r="F20" s="184">
        <f>Model!AK182</f>
        <v>0.50268329977951964</v>
      </c>
      <c r="G20" s="184">
        <f>Model!AN182</f>
        <v>0.54800552417215276</v>
      </c>
      <c r="H20" s="184">
        <f>Model!AQ182</f>
        <v>0.57494404901282103</v>
      </c>
      <c r="I20" s="184">
        <f>Model!AT182</f>
        <v>0.59357946357181712</v>
      </c>
      <c r="J20" s="184">
        <f>Model!AW182</f>
        <v>0.6127811712911595</v>
      </c>
      <c r="K20" s="184">
        <f>Model!AZ182</f>
        <v>0.63260231646715548</v>
      </c>
      <c r="L20" s="184">
        <f>Model!BC182</f>
        <v>0.65261591579943312</v>
      </c>
      <c r="N20" s="6" t="s">
        <v>371</v>
      </c>
      <c r="P20" s="192"/>
      <c r="Q20" s="192"/>
      <c r="R20" s="192"/>
      <c r="S20" s="192"/>
      <c r="T20" s="200">
        <f>+R36</f>
        <v>3.9975584951458108E-2</v>
      </c>
      <c r="U20" s="194"/>
      <c r="V20" s="194"/>
      <c r="W20" s="194"/>
      <c r="X20" s="194"/>
      <c r="Y20" s="194"/>
      <c r="AB20" s="17"/>
    </row>
    <row r="21" spans="1:28">
      <c r="C21" s="192"/>
      <c r="D21" s="192"/>
      <c r="E21" s="192"/>
      <c r="F21" s="192"/>
      <c r="G21" s="15"/>
      <c r="H21" s="118"/>
      <c r="I21" s="118"/>
      <c r="J21" s="118"/>
      <c r="K21" s="118"/>
      <c r="L21" s="118"/>
      <c r="N21" s="185" t="s">
        <v>372</v>
      </c>
      <c r="O21" s="8"/>
      <c r="P21" s="112"/>
      <c r="Q21" s="112"/>
      <c r="R21" s="112"/>
      <c r="S21" s="112"/>
      <c r="T21" s="186">
        <f>+T20+T19</f>
        <v>9.8630806696808543E-2</v>
      </c>
      <c r="U21" s="192"/>
      <c r="V21" s="192"/>
      <c r="W21" s="192"/>
      <c r="X21" s="192"/>
      <c r="Y21" s="192"/>
    </row>
    <row r="22" spans="1:28">
      <c r="A22" s="49" t="s">
        <v>373</v>
      </c>
      <c r="B22" s="49"/>
      <c r="C22" s="1" t="str">
        <f>C3</f>
        <v>FY16A</v>
      </c>
      <c r="D22" s="1" t="str">
        <f t="shared" ref="D22:L22" si="6">D3</f>
        <v>FY17A</v>
      </c>
      <c r="E22" s="1" t="str">
        <f t="shared" si="6"/>
        <v>FY18E</v>
      </c>
      <c r="F22" s="1" t="str">
        <f t="shared" si="6"/>
        <v>FY19E</v>
      </c>
      <c r="G22" s="1" t="str">
        <f t="shared" si="6"/>
        <v>FY20E</v>
      </c>
      <c r="H22" s="1" t="str">
        <f t="shared" si="6"/>
        <v>FY21E</v>
      </c>
      <c r="I22" s="1" t="str">
        <f t="shared" si="6"/>
        <v>FY22E</v>
      </c>
      <c r="J22" s="1" t="str">
        <f t="shared" si="6"/>
        <v>FY23E</v>
      </c>
      <c r="K22" s="1" t="str">
        <f t="shared" si="6"/>
        <v>FY24E</v>
      </c>
      <c r="L22" s="1" t="str">
        <f t="shared" si="6"/>
        <v>FY25E</v>
      </c>
    </row>
    <row r="23" spans="1:28">
      <c r="A23" s="9" t="s">
        <v>56</v>
      </c>
      <c r="B23" s="57" t="s">
        <v>58</v>
      </c>
      <c r="C23" s="118">
        <f>Model!AB59</f>
        <v>1409.3</v>
      </c>
      <c r="D23" s="118">
        <f>Model!AE59</f>
        <v>1447</v>
      </c>
      <c r="E23" s="118">
        <f>Model!AH59</f>
        <v>1514.7902765109873</v>
      </c>
      <c r="F23" s="118">
        <f>Model!AK59</f>
        <v>1618.1487397787434</v>
      </c>
      <c r="G23" s="118">
        <f>Model!AN59</f>
        <v>1719.9525536146616</v>
      </c>
      <c r="H23" s="118">
        <f>Model!AQ59</f>
        <v>1764.9539246601814</v>
      </c>
      <c r="I23" s="118">
        <f>Model!AT59</f>
        <v>1792.7769581909063</v>
      </c>
      <c r="J23" s="118">
        <f>Model!AW59</f>
        <v>1821.4265470825912</v>
      </c>
      <c r="K23" s="118">
        <f>Model!AZ59</f>
        <v>1850.9296629803807</v>
      </c>
      <c r="L23" s="118">
        <f>Model!BC59</f>
        <v>1881.3143536788978</v>
      </c>
      <c r="AA23" s="18"/>
    </row>
    <row r="24" spans="1:28">
      <c r="A24" s="9" t="s">
        <v>375</v>
      </c>
      <c r="B24" s="57" t="s">
        <v>58</v>
      </c>
      <c r="C24" s="118">
        <f>Model!AB60</f>
        <v>-153.4</v>
      </c>
      <c r="D24" s="118">
        <f>Model!AE60</f>
        <v>-176.7</v>
      </c>
      <c r="E24" s="118">
        <f>Model!AH60</f>
        <v>-179.50348557715677</v>
      </c>
      <c r="F24" s="118">
        <f>Model!AK60</f>
        <v>-192.95289739025765</v>
      </c>
      <c r="G24" s="118">
        <f>Model!AN60</f>
        <v>-183.8559510577544</v>
      </c>
      <c r="H24" s="118">
        <f>Model!AQ60</f>
        <v>-169.59853767436115</v>
      </c>
      <c r="I24" s="118">
        <f>Model!AT60</f>
        <v>-155.1935629761862</v>
      </c>
      <c r="J24" s="118">
        <f>Model!AW60</f>
        <v>-140.41056637558648</v>
      </c>
      <c r="K24" s="118">
        <f>Model!AZ60</f>
        <v>-125.16908940346332</v>
      </c>
      <c r="L24" s="118">
        <f>Model!BC60</f>
        <v>-110.4010194051757</v>
      </c>
      <c r="N24" s="49" t="s">
        <v>374</v>
      </c>
      <c r="O24" s="49"/>
      <c r="P24" s="1" t="str">
        <f t="shared" ref="P24:Y24" si="7">C3</f>
        <v>FY16A</v>
      </c>
      <c r="Q24" s="1" t="str">
        <f t="shared" si="7"/>
        <v>FY17A</v>
      </c>
      <c r="R24" s="1" t="str">
        <f t="shared" si="7"/>
        <v>FY18E</v>
      </c>
      <c r="S24" s="1" t="str">
        <f t="shared" si="7"/>
        <v>FY19E</v>
      </c>
      <c r="T24" s="1" t="str">
        <f t="shared" si="7"/>
        <v>FY20E</v>
      </c>
      <c r="U24" s="1" t="str">
        <f t="shared" si="7"/>
        <v>FY21E</v>
      </c>
      <c r="V24" s="1" t="str">
        <f t="shared" si="7"/>
        <v>FY22E</v>
      </c>
      <c r="W24" s="1" t="str">
        <f t="shared" si="7"/>
        <v>FY23E</v>
      </c>
      <c r="X24" s="1" t="str">
        <f t="shared" si="7"/>
        <v>FY24E</v>
      </c>
      <c r="Y24" s="1" t="str">
        <f t="shared" si="7"/>
        <v>FY25E</v>
      </c>
      <c r="AA24" s="18"/>
    </row>
    <row r="25" spans="1:28">
      <c r="A25" s="9" t="s">
        <v>377</v>
      </c>
      <c r="B25" s="57" t="s">
        <v>58</v>
      </c>
      <c r="C25" s="118">
        <f>Model!AB61</f>
        <v>-170.3</v>
      </c>
      <c r="D25" s="118">
        <f>Model!AE61</f>
        <v>-160.19999999999999</v>
      </c>
      <c r="E25" s="118">
        <f>Model!AH61</f>
        <v>-172.65196013379915</v>
      </c>
      <c r="F25" s="118">
        <f>Model!AK61</f>
        <v>-209.78318433255282</v>
      </c>
      <c r="G25" s="118">
        <f>Model!AN61</f>
        <v>-221.69565258053356</v>
      </c>
      <c r="H25" s="118">
        <f>Model!AQ61</f>
        <v>-239.26813467112672</v>
      </c>
      <c r="I25" s="118">
        <f>Model!AT61</f>
        <v>-246.90256966246682</v>
      </c>
      <c r="J25" s="118">
        <f>Model!AW61</f>
        <v>-254.76941729134887</v>
      </c>
      <c r="K25" s="118">
        <f>Model!AZ61</f>
        <v>-262.89003086029953</v>
      </c>
      <c r="L25" s="118">
        <f>Model!BC61</f>
        <v>-271.08401458362908</v>
      </c>
      <c r="N25" s="201">
        <f>AB3</f>
        <v>13.98</v>
      </c>
      <c r="P25" s="192"/>
      <c r="Q25" s="192"/>
      <c r="R25" s="192"/>
      <c r="S25" s="192"/>
      <c r="T25" s="194"/>
      <c r="U25" s="194"/>
      <c r="V25" s="194"/>
      <c r="W25" s="194"/>
      <c r="X25" s="194"/>
      <c r="Y25" s="194"/>
      <c r="AA25" s="18"/>
    </row>
    <row r="26" spans="1:28">
      <c r="A26" s="9" t="s">
        <v>378</v>
      </c>
      <c r="B26" s="57" t="s">
        <v>58</v>
      </c>
      <c r="C26" s="118">
        <f>Model!AB62</f>
        <v>99.100000000000364</v>
      </c>
      <c r="D26" s="118">
        <f>Model!AE62</f>
        <v>105.20000000000005</v>
      </c>
      <c r="E26" s="118">
        <f>Model!AH62</f>
        <v>-7.4918190026412503</v>
      </c>
      <c r="F26" s="118">
        <f>Model!AK62</f>
        <v>-3.5484480589593659</v>
      </c>
      <c r="G26" s="118">
        <f>Model!AN62</f>
        <v>-6.2089825679338446</v>
      </c>
      <c r="H26" s="118">
        <f>Model!AQ62</f>
        <v>-2.4741104031108989</v>
      </c>
      <c r="I26" s="118">
        <f>Model!AT62</f>
        <v>-2.6966150047137489</v>
      </c>
      <c r="J26" s="118">
        <f>Model!AW62</f>
        <v>-2.7813463621509982</v>
      </c>
      <c r="K26" s="118">
        <f>Model!AZ62</f>
        <v>-2.8688799789699715</v>
      </c>
      <c r="L26" s="118">
        <f>Model!BC62</f>
        <v>-2.9593258102465825</v>
      </c>
      <c r="N26" s="9" t="s">
        <v>376</v>
      </c>
      <c r="O26" s="6" t="s">
        <v>77</v>
      </c>
      <c r="P26" s="187">
        <f>Model!AB195</f>
        <v>18.656152512998268</v>
      </c>
      <c r="Q26" s="187">
        <f>Model!AE195</f>
        <v>17.763366336633663</v>
      </c>
      <c r="R26" s="187">
        <f>Model!AH195</f>
        <v>16.839792385908215</v>
      </c>
      <c r="S26" s="187">
        <f>Model!AK195</f>
        <v>15.262749226369824</v>
      </c>
      <c r="T26" s="187">
        <f>Model!AN195</f>
        <v>14.009969468458817</v>
      </c>
      <c r="U26" s="187">
        <f>Model!AQ195</f>
        <v>13.353921070628306</v>
      </c>
      <c r="V26" s="187">
        <f>Model!AT195</f>
        <v>12.935051579391324</v>
      </c>
      <c r="W26" s="187">
        <f>Model!AW195</f>
        <v>12.530059170187009</v>
      </c>
      <c r="X26" s="187">
        <f>Model!AZ195</f>
        <v>12.137770516874431</v>
      </c>
      <c r="Y26" s="187">
        <f>Model!BC195</f>
        <v>11.766072372780956</v>
      </c>
      <c r="AA26" s="18"/>
    </row>
    <row r="27" spans="1:28">
      <c r="A27" s="9" t="s">
        <v>379</v>
      </c>
      <c r="B27" s="57" t="s">
        <v>58</v>
      </c>
      <c r="C27" s="118">
        <f>Model!AB63</f>
        <v>-17.3</v>
      </c>
      <c r="D27" s="118">
        <f>Model!AE63</f>
        <v>-14.2</v>
      </c>
      <c r="E27" s="118">
        <f>Model!AH63</f>
        <v>-14.649000000000001</v>
      </c>
      <c r="F27" s="118">
        <f>Model!AK63</f>
        <v>-14.876059500000002</v>
      </c>
      <c r="G27" s="118">
        <f>Model!AN63</f>
        <v>-15.106638422250002</v>
      </c>
      <c r="H27" s="118">
        <f>Model!AQ63</f>
        <v>-14.887592165127378</v>
      </c>
      <c r="I27" s="118">
        <f>Model!AT63</f>
        <v>-14.89503596120994</v>
      </c>
      <c r="J27" s="118">
        <f>Model!AW63</f>
        <v>-14.902483479190543</v>
      </c>
      <c r="K27" s="118">
        <f>Model!AZ63</f>
        <v>-14.909934720930137</v>
      </c>
      <c r="L27" s="118">
        <f>Model!BC63</f>
        <v>-14.917389688290601</v>
      </c>
      <c r="N27" s="9" t="s">
        <v>165</v>
      </c>
      <c r="O27" s="6" t="s">
        <v>77</v>
      </c>
      <c r="Q27" s="187">
        <f>Model!AE200</f>
        <v>15.168438816394048</v>
      </c>
      <c r="R27" s="187">
        <f>Model!AH200</f>
        <v>14.43500818202142</v>
      </c>
      <c r="S27" s="187">
        <f>Model!AK200</f>
        <v>13.271559168489704</v>
      </c>
      <c r="T27" s="187">
        <f>Model!AN200</f>
        <v>12.438404772969717</v>
      </c>
      <c r="U27" s="187">
        <f>Model!AQ202</f>
        <v>9.3579919440559998</v>
      </c>
      <c r="V27" s="187">
        <f>Model!AT202</f>
        <v>9.2127604235089819</v>
      </c>
      <c r="W27" s="187">
        <f>Model!AW202</f>
        <v>9.0678510396450669</v>
      </c>
      <c r="X27" s="187">
        <f>Model!AZ202</f>
        <v>8.9233129377834537</v>
      </c>
      <c r="Y27" s="187">
        <f>Model!BC202</f>
        <v>8.7791944904381563</v>
      </c>
      <c r="AA27" s="18"/>
    </row>
    <row r="28" spans="1:28">
      <c r="A28" s="9" t="s">
        <v>380</v>
      </c>
      <c r="B28" s="57" t="s">
        <v>58</v>
      </c>
      <c r="C28" s="118">
        <f>Model!AB64</f>
        <v>19.600000000000001</v>
      </c>
      <c r="D28" s="118">
        <f>Model!AE64</f>
        <v>6.9</v>
      </c>
      <c r="E28" s="118">
        <f>Model!AH64</f>
        <v>6.1740000000000013</v>
      </c>
      <c r="F28" s="118">
        <f>Model!AK64</f>
        <v>6.2696970000000007</v>
      </c>
      <c r="G28" s="118">
        <f>Model!AN64</f>
        <v>6.3668773035000017</v>
      </c>
      <c r="H28" s="118">
        <f>Model!AQ64</f>
        <v>6.2745575825992521</v>
      </c>
      <c r="I28" s="118">
        <f>Model!AT64</f>
        <v>6.2776948613905521</v>
      </c>
      <c r="J28" s="118">
        <f>Model!AW64</f>
        <v>6.2808337088212465</v>
      </c>
      <c r="K28" s="118">
        <f>Model!AZ64</f>
        <v>6.2839741256756572</v>
      </c>
      <c r="L28" s="118">
        <f>Model!BC64</f>
        <v>6.2871161127384942</v>
      </c>
      <c r="N28" s="9" t="s">
        <v>167</v>
      </c>
      <c r="O28" s="6" t="s">
        <v>77</v>
      </c>
      <c r="P28" s="187">
        <f>Model!AB202</f>
        <v>11.594421429078267</v>
      </c>
      <c r="Q28" s="187">
        <f>Model!AE202</f>
        <v>11.407253020041466</v>
      </c>
      <c r="R28" s="187">
        <f>Model!AH202</f>
        <v>10.903439812567479</v>
      </c>
      <c r="S28" s="187">
        <f>Model!AK202</f>
        <v>10.206987900789862</v>
      </c>
      <c r="T28" s="187">
        <f>Model!AN202</f>
        <v>9.6028373421632995</v>
      </c>
      <c r="U28" s="202">
        <f>Model!AQ206</f>
        <v>7.6872561485304261E-2</v>
      </c>
      <c r="V28" s="202">
        <f>Model!AT206</f>
        <v>7.9319067443109417E-2</v>
      </c>
      <c r="W28" s="202">
        <f>Model!AW206</f>
        <v>8.1851502544027274E-2</v>
      </c>
      <c r="X28" s="202">
        <f>Model!AZ206</f>
        <v>8.4465464312683258E-2</v>
      </c>
      <c r="Y28" s="202">
        <f>Model!BC206</f>
        <v>8.7102883558321506E-2</v>
      </c>
    </row>
    <row r="29" spans="1:28">
      <c r="A29" s="204" t="s">
        <v>381</v>
      </c>
      <c r="B29" s="57" t="s">
        <v>58</v>
      </c>
      <c r="C29" s="118">
        <f>Model!AB65</f>
        <v>93.400000000000034</v>
      </c>
      <c r="D29" s="118">
        <f>Model!AE65</f>
        <v>7.5999999999999659</v>
      </c>
      <c r="E29" s="118">
        <f>Model!AH65</f>
        <v>-31.500000000000028</v>
      </c>
      <c r="F29" s="118">
        <f>Model!AK65</f>
        <v>0</v>
      </c>
      <c r="G29" s="118">
        <f>Model!AN65</f>
        <v>0</v>
      </c>
      <c r="H29" s="118">
        <f>Model!AQ65</f>
        <v>0</v>
      </c>
      <c r="I29" s="118">
        <f>Model!AT65</f>
        <v>0</v>
      </c>
      <c r="J29" s="118">
        <f>Model!AW65</f>
        <v>0</v>
      </c>
      <c r="K29" s="118">
        <f>Model!AZ65</f>
        <v>0</v>
      </c>
      <c r="L29" s="118">
        <f>Model!BC65</f>
        <v>0</v>
      </c>
      <c r="N29" s="9" t="s">
        <v>171</v>
      </c>
      <c r="O29" s="6" t="s">
        <v>66</v>
      </c>
      <c r="P29" s="202">
        <f>Model!AB206</f>
        <v>8.185047214917314E-3</v>
      </c>
      <c r="Q29" s="202">
        <f>Model!AE206</f>
        <v>3.1693545265597985E-2</v>
      </c>
      <c r="R29" s="202">
        <f>Model!AH206</f>
        <v>5.7597231787497746E-2</v>
      </c>
      <c r="S29" s="202">
        <f>Model!AK206</f>
        <v>6.7404747646221258E-2</v>
      </c>
      <c r="T29" s="202">
        <f>Model!AN206</f>
        <v>7.3526120697281316E-2</v>
      </c>
      <c r="U29" s="202">
        <f>Model!AQ204</f>
        <v>5.3410628264201274E-2</v>
      </c>
      <c r="V29" s="202">
        <f>Model!AT204</f>
        <v>5.5141804021683775E-2</v>
      </c>
      <c r="W29" s="202">
        <f>Model!AW204</f>
        <v>5.6925586765059502E-2</v>
      </c>
      <c r="X29" s="202">
        <f>Model!AZ204</f>
        <v>5.8766913444731388E-2</v>
      </c>
      <c r="Y29" s="202">
        <f>Model!BC204</f>
        <v>6.0626118555211821E-2</v>
      </c>
    </row>
    <row r="30" spans="1:28">
      <c r="A30" s="9" t="s">
        <v>96</v>
      </c>
      <c r="B30" s="57" t="s">
        <v>58</v>
      </c>
      <c r="C30" s="118">
        <f>C31-SUM(C23:C29)</f>
        <v>-181.00000000000023</v>
      </c>
      <c r="D30" s="118">
        <f t="shared" ref="D30:L30" si="8">D31-SUM(D23:D29)</f>
        <v>-188.19999999999982</v>
      </c>
      <c r="E30" s="118">
        <f t="shared" si="8"/>
        <v>-121.1999999999997</v>
      </c>
      <c r="F30" s="118">
        <f t="shared" si="8"/>
        <v>0</v>
      </c>
      <c r="G30" s="118">
        <f t="shared" si="8"/>
        <v>0</v>
      </c>
      <c r="H30" s="118">
        <f t="shared" si="8"/>
        <v>0</v>
      </c>
      <c r="I30" s="118">
        <f t="shared" si="8"/>
        <v>0</v>
      </c>
      <c r="J30" s="118">
        <f t="shared" si="8"/>
        <v>0</v>
      </c>
      <c r="K30" s="118">
        <f t="shared" si="8"/>
        <v>0</v>
      </c>
      <c r="L30" s="118">
        <f t="shared" si="8"/>
        <v>0</v>
      </c>
      <c r="N30" s="9" t="s">
        <v>169</v>
      </c>
      <c r="O30" s="6" t="s">
        <v>66</v>
      </c>
      <c r="P30" s="202">
        <f>Model!AB204</f>
        <v>3.8087806328149676E-2</v>
      </c>
      <c r="Q30" s="202">
        <f>Model!AE204</f>
        <v>3.9945748100254537E-2</v>
      </c>
      <c r="R30" s="202">
        <f>Model!AH204</f>
        <v>4.2320361751185975E-2</v>
      </c>
      <c r="S30" s="202">
        <f>Model!AK204</f>
        <v>4.6697815039994026E-2</v>
      </c>
      <c r="T30" s="202">
        <f>Model!AN204</f>
        <v>5.0908117735183174E-2</v>
      </c>
      <c r="U30" s="192"/>
      <c r="V30" s="192"/>
      <c r="W30" s="192"/>
      <c r="X30" s="192"/>
      <c r="Y30" s="192"/>
      <c r="AA30" s="18"/>
    </row>
    <row r="31" spans="1:28">
      <c r="A31" s="8" t="s">
        <v>297</v>
      </c>
      <c r="B31" s="55" t="s">
        <v>58</v>
      </c>
      <c r="C31" s="104">
        <f>Model!AB69</f>
        <v>1099.4000000000001</v>
      </c>
      <c r="D31" s="104">
        <f>Model!AE69</f>
        <v>1027.4000000000001</v>
      </c>
      <c r="E31" s="104">
        <f>Model!AH69</f>
        <v>993.96801179739043</v>
      </c>
      <c r="F31" s="104">
        <f>Model!AK69</f>
        <v>1203.2578474969735</v>
      </c>
      <c r="G31" s="104">
        <f>Model!AN69</f>
        <v>1299.4522062896899</v>
      </c>
      <c r="H31" s="104">
        <f>Model!AQ69</f>
        <v>1345.0001073290546</v>
      </c>
      <c r="I31" s="104">
        <f>Model!AT69</f>
        <v>1379.3668694477201</v>
      </c>
      <c r="J31" s="104">
        <f>Model!AW69</f>
        <v>1414.8435672831356</v>
      </c>
      <c r="K31" s="104">
        <f>Model!AZ69</f>
        <v>1451.3757021423937</v>
      </c>
      <c r="L31" s="104">
        <f>Model!BC69</f>
        <v>1488.2397203042942</v>
      </c>
      <c r="N31" s="203">
        <f>AB4</f>
        <v>14.799999999999999</v>
      </c>
      <c r="P31" s="192"/>
      <c r="Q31" s="192"/>
      <c r="R31" s="192"/>
      <c r="S31" s="192"/>
      <c r="T31" s="192"/>
      <c r="U31" s="187">
        <f>Model!AQ210</f>
        <v>14.137198272195919</v>
      </c>
      <c r="V31" s="187">
        <f>Model!AT210</f>
        <v>13.693759898068066</v>
      </c>
      <c r="W31" s="187">
        <f>Model!AW210</f>
        <v>13.265012569296688</v>
      </c>
      <c r="X31" s="187">
        <f>Model!AZ210</f>
        <v>12.849714138035878</v>
      </c>
      <c r="Y31" s="187">
        <f>Model!BC210</f>
        <v>12.456213956878265</v>
      </c>
      <c r="AA31" s="18"/>
    </row>
    <row r="32" spans="1:28">
      <c r="A32" s="9" t="s">
        <v>382</v>
      </c>
      <c r="B32" s="57" t="s">
        <v>58</v>
      </c>
      <c r="C32" s="118">
        <f>Model!AB72</f>
        <v>-348.9</v>
      </c>
      <c r="D32" s="118">
        <f>Model!AE72</f>
        <v>-379.2</v>
      </c>
      <c r="E32" s="118">
        <f>Model!AH72</f>
        <v>-369.40766543859661</v>
      </c>
      <c r="F32" s="118">
        <f>Model!AK72</f>
        <v>-362.92794032982465</v>
      </c>
      <c r="G32" s="118">
        <f>Model!AN72</f>
        <v>-382.8076027938597</v>
      </c>
      <c r="H32" s="118">
        <f>Model!AQ72</f>
        <v>-386.63567882179836</v>
      </c>
      <c r="I32" s="118">
        <f>Model!AT72</f>
        <v>-390.50203561001632</v>
      </c>
      <c r="J32" s="118">
        <f>Model!AW72</f>
        <v>-394.40705596611645</v>
      </c>
      <c r="K32" s="118">
        <f>Model!AZ72</f>
        <v>-398.35112652577766</v>
      </c>
      <c r="L32" s="118">
        <f>Model!BC72</f>
        <v>-402.33463779103545</v>
      </c>
      <c r="N32" s="9" t="s">
        <v>376</v>
      </c>
      <c r="O32" s="6" t="s">
        <v>77</v>
      </c>
      <c r="P32" s="187">
        <f>Model!AB210</f>
        <v>19.750433275563257</v>
      </c>
      <c r="Q32" s="187">
        <f>Model!AE210</f>
        <v>18.805280528052805</v>
      </c>
      <c r="R32" s="187">
        <f>Model!AH210</f>
        <v>17.827534142449327</v>
      </c>
      <c r="S32" s="187">
        <f>Model!AK210</f>
        <v>16.157989166686221</v>
      </c>
      <c r="T32" s="187">
        <f>Model!AN210</f>
        <v>14.831727334276858</v>
      </c>
      <c r="U32" s="187">
        <f>Model!AQ217</f>
        <v>9.7723088376490121</v>
      </c>
      <c r="V32" s="187">
        <f>Model!AT217</f>
        <v>9.620647318785629</v>
      </c>
      <c r="W32" s="187">
        <f>Model!AW217</f>
        <v>9.4693221989247292</v>
      </c>
      <c r="X32" s="187">
        <f>Model!AZ217</f>
        <v>9.3183847992514544</v>
      </c>
      <c r="Y32" s="187">
        <f>Model!BC217</f>
        <v>9.1678856339304939</v>
      </c>
    </row>
    <row r="33" spans="1:26">
      <c r="A33" s="9" t="s">
        <v>311</v>
      </c>
      <c r="B33" s="57" t="s">
        <v>58</v>
      </c>
      <c r="C33" s="118">
        <f>Model!AB73</f>
        <v>30.4</v>
      </c>
      <c r="D33" s="118">
        <f>Model!AE73</f>
        <v>82.8</v>
      </c>
      <c r="E33" s="118">
        <f>Model!AH73</f>
        <v>107</v>
      </c>
      <c r="F33" s="118">
        <f>Model!AK73</f>
        <v>0</v>
      </c>
      <c r="G33" s="118">
        <f>Model!AN73</f>
        <v>0</v>
      </c>
      <c r="H33" s="118">
        <f>Model!AQ73</f>
        <v>0</v>
      </c>
      <c r="I33" s="118">
        <f>Model!AT73</f>
        <v>0</v>
      </c>
      <c r="J33" s="118">
        <f>Model!AW73</f>
        <v>0</v>
      </c>
      <c r="K33" s="118">
        <f>Model!AZ73</f>
        <v>0</v>
      </c>
      <c r="L33" s="118">
        <f>Model!BC73</f>
        <v>0</v>
      </c>
      <c r="N33" s="9" t="s">
        <v>165</v>
      </c>
      <c r="O33" s="6" t="s">
        <v>77</v>
      </c>
      <c r="Q33" s="187">
        <f>Model!AE215</f>
        <v>15.849728759419222</v>
      </c>
      <c r="R33" s="187">
        <f>Model!AH215</f>
        <v>15.074105520929004</v>
      </c>
      <c r="S33" s="187">
        <f>Model!AK215</f>
        <v>13.859145821769214</v>
      </c>
      <c r="T33" s="187">
        <f>Model!AN215</f>
        <v>12.989104245420391</v>
      </c>
      <c r="U33" s="202">
        <f>Model!AQ221</f>
        <v>7.2613406051659016E-2</v>
      </c>
      <c r="V33" s="202">
        <f>Model!AT221</f>
        <v>7.4924362355045238E-2</v>
      </c>
      <c r="W33" s="202">
        <f>Model!AW221</f>
        <v>7.7316486862533867E-2</v>
      </c>
      <c r="X33" s="202">
        <f>Model!AZ221</f>
        <v>7.9785621019683242E-2</v>
      </c>
      <c r="Y33" s="202">
        <f>Model!BC221</f>
        <v>8.2276912982792882E-2</v>
      </c>
    </row>
    <row r="34" spans="1:26">
      <c r="A34" s="9" t="s">
        <v>383</v>
      </c>
      <c r="B34" s="57" t="s">
        <v>58</v>
      </c>
      <c r="C34" s="118">
        <f>Model!AB71</f>
        <v>-498.1</v>
      </c>
      <c r="D34" s="118">
        <f>Model!AE71</f>
        <v>-336.2</v>
      </c>
      <c r="E34" s="118">
        <f>Model!AH71</f>
        <v>-12.2</v>
      </c>
      <c r="F34" s="118">
        <f>Model!AK71</f>
        <v>0</v>
      </c>
      <c r="G34" s="118">
        <f>Model!AN71</f>
        <v>0</v>
      </c>
      <c r="H34" s="118">
        <f>Model!AQ71</f>
        <v>0</v>
      </c>
      <c r="I34" s="118">
        <f>Model!AT71</f>
        <v>0</v>
      </c>
      <c r="J34" s="118">
        <f>Model!AW71</f>
        <v>0</v>
      </c>
      <c r="K34" s="118">
        <f>Model!AZ71</f>
        <v>0</v>
      </c>
      <c r="L34" s="118">
        <f>Model!BC71</f>
        <v>0</v>
      </c>
      <c r="N34" s="9" t="s">
        <v>167</v>
      </c>
      <c r="O34" s="6" t="s">
        <v>77</v>
      </c>
      <c r="P34" s="187">
        <f>Model!AB217</f>
        <v>12.082292511175762</v>
      </c>
      <c r="Q34" s="187">
        <f>Model!AE217</f>
        <v>11.919609423635105</v>
      </c>
      <c r="R34" s="187">
        <f>Model!AH217</f>
        <v>11.386180056374883</v>
      </c>
      <c r="S34" s="187">
        <f>Model!AK217</f>
        <v>10.658893346453645</v>
      </c>
      <c r="T34" s="187">
        <f>Model!AN217</f>
        <v>10.027994551217237</v>
      </c>
      <c r="U34" s="202">
        <f>Model!AQ219</f>
        <v>5.0451390752265804E-2</v>
      </c>
      <c r="V34" s="202">
        <f>Model!AT219</f>
        <v>5.2086650015076973E-2</v>
      </c>
      <c r="W34" s="202">
        <f>Model!AW219</f>
        <v>5.3771601552400801E-2</v>
      </c>
      <c r="X34" s="202">
        <f>Model!AZ219</f>
        <v>5.5510908780901681E-2</v>
      </c>
      <c r="Y34" s="202">
        <f>Model!BC219</f>
        <v>5.7267103878504137E-2</v>
      </c>
    </row>
    <row r="35" spans="1:26">
      <c r="A35" s="9" t="s">
        <v>312</v>
      </c>
      <c r="B35" s="57" t="s">
        <v>58</v>
      </c>
      <c r="C35" s="118">
        <f>Model!AB74</f>
        <v>1.5</v>
      </c>
      <c r="D35" s="118">
        <f>Model!AE74</f>
        <v>0</v>
      </c>
      <c r="E35" s="118">
        <f>Model!AH74</f>
        <v>0</v>
      </c>
      <c r="F35" s="118">
        <f>Model!AK74</f>
        <v>0</v>
      </c>
      <c r="G35" s="118">
        <f>Model!AN74</f>
        <v>0</v>
      </c>
      <c r="H35" s="118">
        <f>Model!AQ74</f>
        <v>0</v>
      </c>
      <c r="I35" s="118">
        <f>Model!AT74</f>
        <v>0</v>
      </c>
      <c r="J35" s="118">
        <f>Model!AW74</f>
        <v>0</v>
      </c>
      <c r="K35" s="118">
        <f>Model!AZ74</f>
        <v>0</v>
      </c>
      <c r="L35" s="118">
        <f>Model!BC74</f>
        <v>0</v>
      </c>
      <c r="N35" s="9" t="s">
        <v>171</v>
      </c>
      <c r="O35" s="6" t="s">
        <v>66</v>
      </c>
      <c r="P35" s="202">
        <f>Model!AB221</f>
        <v>7.7586485459102076E-3</v>
      </c>
      <c r="Q35" s="202">
        <f>Model!AE221</f>
        <v>2.9913227010989724E-2</v>
      </c>
      <c r="R35" s="202">
        <f>Model!AH221</f>
        <v>5.4406033810082327E-2</v>
      </c>
      <c r="S35" s="202">
        <f>Model!AK221</f>
        <v>6.3670160276633331E-2</v>
      </c>
      <c r="T35" s="202">
        <f>Model!AN221</f>
        <v>6.945237617216167E-2</v>
      </c>
      <c r="U35" s="188"/>
      <c r="V35" s="188"/>
      <c r="W35" s="188"/>
      <c r="X35" s="188"/>
      <c r="Y35" s="188"/>
    </row>
    <row r="36" spans="1:26">
      <c r="A36" s="9" t="s">
        <v>96</v>
      </c>
      <c r="B36" s="57" t="s">
        <v>58</v>
      </c>
      <c r="C36" s="118">
        <f>C37-SUM(C32:C35)</f>
        <v>-181.89999999999998</v>
      </c>
      <c r="D36" s="118">
        <f t="shared" ref="D36:L36" si="9">D37-SUM(D32:D35)</f>
        <v>0</v>
      </c>
      <c r="E36" s="118">
        <f t="shared" si="9"/>
        <v>-1.3000000000000114</v>
      </c>
      <c r="F36" s="118">
        <f t="shared" si="9"/>
        <v>0</v>
      </c>
      <c r="G36" s="118">
        <f t="shared" si="9"/>
        <v>0</v>
      </c>
      <c r="H36" s="118">
        <f t="shared" si="9"/>
        <v>0</v>
      </c>
      <c r="I36" s="118">
        <f t="shared" si="9"/>
        <v>0</v>
      </c>
      <c r="J36" s="118">
        <f t="shared" si="9"/>
        <v>0</v>
      </c>
      <c r="K36" s="118">
        <f t="shared" si="9"/>
        <v>0</v>
      </c>
      <c r="L36" s="118">
        <f t="shared" si="9"/>
        <v>0</v>
      </c>
      <c r="N36" s="9" t="s">
        <v>169</v>
      </c>
      <c r="O36" s="6" t="s">
        <v>66</v>
      </c>
      <c r="P36" s="202">
        <f>Model!AB219</f>
        <v>3.5977535977535981E-2</v>
      </c>
      <c r="Q36" s="202">
        <f>Model!AE219</f>
        <v>3.7732537732537735E-2</v>
      </c>
      <c r="R36" s="202">
        <f>Model!AH219</f>
        <v>3.9975584951458108E-2</v>
      </c>
      <c r="S36" s="202">
        <f>Model!AK219</f>
        <v>4.4110503666156521E-2</v>
      </c>
      <c r="T36" s="202">
        <f>Model!AN219</f>
        <v>4.8087532833639243E-2</v>
      </c>
    </row>
    <row r="37" spans="1:26">
      <c r="A37" s="8" t="s">
        <v>385</v>
      </c>
      <c r="B37" s="55" t="s">
        <v>58</v>
      </c>
      <c r="C37" s="189">
        <f>Model!AB76</f>
        <v>-997</v>
      </c>
      <c r="D37" s="189">
        <f>Model!AE76</f>
        <v>-632.6</v>
      </c>
      <c r="E37" s="189">
        <f>Model!AH76</f>
        <v>-275.90766543859661</v>
      </c>
      <c r="F37" s="189">
        <f>Model!AK76</f>
        <v>-362.92794032982465</v>
      </c>
      <c r="G37" s="189">
        <f>Model!AN76</f>
        <v>-382.8076027938597</v>
      </c>
      <c r="H37" s="189">
        <f>Model!AQ76</f>
        <v>-386.63567882179836</v>
      </c>
      <c r="I37" s="189">
        <f>Model!AT76</f>
        <v>-390.50203561001632</v>
      </c>
      <c r="J37" s="189">
        <f>Model!AW76</f>
        <v>-394.40705596611645</v>
      </c>
      <c r="K37" s="189">
        <f>Model!AZ76</f>
        <v>-398.35112652577766</v>
      </c>
      <c r="L37" s="189">
        <f>Model!BC76</f>
        <v>-402.33463779103545</v>
      </c>
      <c r="P37" s="192"/>
      <c r="Q37" s="192"/>
      <c r="R37" s="192"/>
      <c r="S37" s="192"/>
      <c r="T37" s="188"/>
    </row>
    <row r="38" spans="1:26">
      <c r="A38" s="8" t="s">
        <v>172</v>
      </c>
      <c r="B38" s="55" t="s">
        <v>58</v>
      </c>
      <c r="C38" s="189">
        <f>Model!AB77</f>
        <v>102.40000000000009</v>
      </c>
      <c r="D38" s="189">
        <f>Model!AE77</f>
        <v>394.80000000000007</v>
      </c>
      <c r="E38" s="189">
        <f>Model!AH77</f>
        <v>718.06034635879382</v>
      </c>
      <c r="F38" s="189">
        <f>Model!AK77</f>
        <v>840.3299071671488</v>
      </c>
      <c r="G38" s="189">
        <f>Model!AN77</f>
        <v>916.64460349583021</v>
      </c>
      <c r="H38" s="189">
        <f>Model!AQ77</f>
        <v>958.36442850725621</v>
      </c>
      <c r="I38" s="189">
        <f>Model!AT77</f>
        <v>988.86483383770383</v>
      </c>
      <c r="J38" s="189">
        <f>Model!AW77</f>
        <v>1020.4365113170192</v>
      </c>
      <c r="K38" s="189">
        <f>Model!AZ77</f>
        <v>1053.0245756166159</v>
      </c>
      <c r="L38" s="189">
        <f>Model!BC77</f>
        <v>1085.9050825132588</v>
      </c>
      <c r="N38" s="49" t="s">
        <v>384</v>
      </c>
      <c r="O38" s="49"/>
      <c r="P38" s="1" t="str">
        <f t="shared" ref="P38:Y38" si="10">C3</f>
        <v>FY16A</v>
      </c>
      <c r="Q38" s="1" t="str">
        <f t="shared" si="10"/>
        <v>FY17A</v>
      </c>
      <c r="R38" s="1" t="str">
        <f t="shared" si="10"/>
        <v>FY18E</v>
      </c>
      <c r="S38" s="1" t="str">
        <f t="shared" si="10"/>
        <v>FY19E</v>
      </c>
      <c r="T38" s="1" t="str">
        <f t="shared" si="10"/>
        <v>FY20E</v>
      </c>
      <c r="U38" s="1" t="str">
        <f t="shared" si="10"/>
        <v>FY21E</v>
      </c>
      <c r="V38" s="1" t="str">
        <f t="shared" si="10"/>
        <v>FY22E</v>
      </c>
      <c r="W38" s="1" t="str">
        <f t="shared" si="10"/>
        <v>FY23E</v>
      </c>
      <c r="X38" s="1" t="str">
        <f t="shared" si="10"/>
        <v>FY24E</v>
      </c>
      <c r="Y38" s="1" t="str">
        <f t="shared" si="10"/>
        <v>FY25E</v>
      </c>
    </row>
    <row r="39" spans="1:26">
      <c r="A39" s="9" t="s">
        <v>317</v>
      </c>
      <c r="B39" s="57" t="s">
        <v>58</v>
      </c>
      <c r="C39" s="118">
        <f>Model!AB80</f>
        <v>665</v>
      </c>
      <c r="D39" s="118">
        <f>Model!AE80</f>
        <v>214.40000000000009</v>
      </c>
      <c r="E39" s="118">
        <f>Model!AH80</f>
        <v>-338.72350425353034</v>
      </c>
      <c r="F39" s="118">
        <f>Model!AK80</f>
        <v>-286.61659799203733</v>
      </c>
      <c r="G39" s="118">
        <f>Model!AN80</f>
        <v>-303.10758730459372</v>
      </c>
      <c r="H39" s="118">
        <f>Model!AQ80</f>
        <v>-308.60762122190931</v>
      </c>
      <c r="I39" s="118">
        <f>Model!AT80</f>
        <v>-312.43523311924912</v>
      </c>
      <c r="J39" s="118">
        <f>Model!AW80</f>
        <v>-322.12282432492668</v>
      </c>
      <c r="K39" s="118">
        <f>Model!AZ80</f>
        <v>-332.12142734740792</v>
      </c>
      <c r="L39" s="118">
        <f>Model!BC80</f>
        <v>-202.76520443634558</v>
      </c>
      <c r="N39" s="6" t="s">
        <v>244</v>
      </c>
      <c r="O39" s="6" t="s">
        <v>66</v>
      </c>
      <c r="P39" s="202">
        <f>Model!AB228</f>
        <v>3.4050179211469356E-2</v>
      </c>
      <c r="Q39" s="202">
        <f>Model!AE228</f>
        <v>5.0259965337954959E-2</v>
      </c>
      <c r="R39" s="202">
        <f>Model!AH228</f>
        <v>5.484473499200071E-2</v>
      </c>
      <c r="S39" s="202">
        <f>Model!AK228</f>
        <v>0.1033262838921376</v>
      </c>
      <c r="T39" s="202">
        <f>Model!AN228</f>
        <v>8.9420591581690356E-2</v>
      </c>
      <c r="U39" s="202">
        <f>Model!AQ228</f>
        <v>4.9127772611557097E-2</v>
      </c>
      <c r="V39" s="202">
        <f>Model!AT228</f>
        <v>3.2382514183735056E-2</v>
      </c>
      <c r="W39" s="202">
        <f>Model!AW228</f>
        <v>3.2321667735450088E-2</v>
      </c>
      <c r="X39" s="202">
        <f>Model!AZ228</f>
        <v>3.231966305238676E-2</v>
      </c>
      <c r="Y39" s="202">
        <f>Model!BC228</f>
        <v>3.1590672938009767E-2</v>
      </c>
    </row>
    <row r="40" spans="1:26">
      <c r="A40" s="9" t="s">
        <v>387</v>
      </c>
      <c r="B40" s="57" t="s">
        <v>58</v>
      </c>
      <c r="C40" s="118">
        <f>Model!AB81</f>
        <v>39.5</v>
      </c>
      <c r="D40" s="118">
        <f>Model!AE81</f>
        <v>23.8</v>
      </c>
      <c r="E40" s="118">
        <f>Model!AH81</f>
        <v>26.4</v>
      </c>
      <c r="F40" s="118">
        <f>Model!AK81</f>
        <v>0</v>
      </c>
      <c r="G40" s="118">
        <f>Model!AN81</f>
        <v>0</v>
      </c>
      <c r="H40" s="118">
        <f>Model!AQ81</f>
        <v>0</v>
      </c>
      <c r="I40" s="118">
        <f>Model!AT81</f>
        <v>0</v>
      </c>
      <c r="J40" s="118">
        <f>Model!AW81</f>
        <v>0</v>
      </c>
      <c r="K40" s="118">
        <f>Model!AZ81</f>
        <v>0</v>
      </c>
      <c r="L40" s="118">
        <f>Model!BC81</f>
        <v>0</v>
      </c>
      <c r="N40" s="6" t="s">
        <v>386</v>
      </c>
      <c r="O40" s="6" t="s">
        <v>66</v>
      </c>
      <c r="P40" s="202">
        <f>Model!AB229</f>
        <v>0.55177800616649553</v>
      </c>
      <c r="Q40" s="202">
        <f>Model!AE229</f>
        <v>0.80736902705814628</v>
      </c>
      <c r="R40" s="202">
        <f>Model!AH229</f>
        <v>0.73030838168533352</v>
      </c>
      <c r="S40" s="202">
        <f>Model!AK229</f>
        <v>0.64143739661508659</v>
      </c>
      <c r="T40" s="202">
        <f>Model!AN229</f>
        <v>0.57150906337076079</v>
      </c>
      <c r="U40" s="202">
        <f>Model!AQ229</f>
        <v>0.50436136560980671</v>
      </c>
      <c r="V40" s="202">
        <f>Model!AT229</f>
        <v>0.44817709666596833</v>
      </c>
      <c r="W40" s="202">
        <f>Model!AW229</f>
        <v>0.40504463767504995</v>
      </c>
      <c r="X40" s="202">
        <f>Model!AZ229</f>
        <v>0.37056596146813991</v>
      </c>
      <c r="Y40" s="202">
        <f>Model!BC229</f>
        <v>0.34218887635541528</v>
      </c>
    </row>
    <row r="41" spans="1:26">
      <c r="A41" s="9" t="s">
        <v>324</v>
      </c>
      <c r="B41" s="57" t="s">
        <v>58</v>
      </c>
      <c r="C41" s="118">
        <f>Model!AB85</f>
        <v>-480.3</v>
      </c>
      <c r="D41" s="118">
        <f>Model!AE85</f>
        <v>-489.1</v>
      </c>
      <c r="E41" s="118">
        <f>Model!AH85</f>
        <v>-525.13684210526321</v>
      </c>
      <c r="F41" s="118">
        <f>Model!AK85</f>
        <v>-553.71330917511148</v>
      </c>
      <c r="G41" s="118">
        <f>Model!AN85</f>
        <v>-613.53701619123649</v>
      </c>
      <c r="H41" s="118">
        <f>Model!AQ85</f>
        <v>-649.75680728534689</v>
      </c>
      <c r="I41" s="118">
        <f>Model!AT85</f>
        <v>-676.42960071845471</v>
      </c>
      <c r="J41" s="118">
        <f>Model!AW85</f>
        <v>-698.31368699209247</v>
      </c>
      <c r="K41" s="118">
        <f>Model!AZ85</f>
        <v>-720.90314826920803</v>
      </c>
      <c r="L41" s="118">
        <f>Model!BC85</f>
        <v>-744.2216758070814</v>
      </c>
      <c r="N41" s="6" t="s">
        <v>75</v>
      </c>
      <c r="O41" s="6" t="s">
        <v>66</v>
      </c>
      <c r="P41" s="202">
        <f>Model!AB232</f>
        <v>0.23086094308871949</v>
      </c>
      <c r="Q41" s="202">
        <f>Model!AE232</f>
        <v>0.22633346852608699</v>
      </c>
      <c r="R41" s="202">
        <f>Model!AH232</f>
        <v>0.22445727969001347</v>
      </c>
      <c r="S41" s="202">
        <f>Model!AK232</f>
        <v>0.24459537880371926</v>
      </c>
      <c r="T41" s="202">
        <f>Model!AN232</f>
        <v>0.26164148979727286</v>
      </c>
      <c r="U41" s="202">
        <f>Model!AQ232</f>
        <v>0.27031584579671297</v>
      </c>
      <c r="V41" s="202">
        <f>Model!AT232</f>
        <v>0.27563506943921007</v>
      </c>
      <c r="W41" s="202">
        <f>Model!AW232</f>
        <v>0.28115732066493704</v>
      </c>
      <c r="X41" s="202">
        <f>Model!AZ232</f>
        <v>0.2868913237685945</v>
      </c>
      <c r="Y41" s="202">
        <f>Model!BC232</f>
        <v>0.29284569955380235</v>
      </c>
    </row>
    <row r="42" spans="1:26">
      <c r="A42" s="9" t="s">
        <v>96</v>
      </c>
      <c r="B42" s="57" t="s">
        <v>58</v>
      </c>
      <c r="C42" s="118">
        <f>C43-SUM(C39:C41)</f>
        <v>-351.09999999999997</v>
      </c>
      <c r="D42" s="118">
        <f t="shared" ref="D42:L42" si="11">D43-SUM(D39:D41)</f>
        <v>-86.100000000000023</v>
      </c>
      <c r="E42" s="118">
        <f t="shared" si="11"/>
        <v>-71.800000000000068</v>
      </c>
      <c r="F42" s="118">
        <f t="shared" si="11"/>
        <v>0</v>
      </c>
      <c r="G42" s="118">
        <f t="shared" si="11"/>
        <v>0</v>
      </c>
      <c r="H42" s="118">
        <f t="shared" si="11"/>
        <v>0</v>
      </c>
      <c r="I42" s="118">
        <f t="shared" si="11"/>
        <v>0</v>
      </c>
      <c r="J42" s="118">
        <f t="shared" si="11"/>
        <v>0</v>
      </c>
      <c r="K42" s="118">
        <f t="shared" si="11"/>
        <v>0</v>
      </c>
      <c r="L42" s="118">
        <f t="shared" si="11"/>
        <v>0</v>
      </c>
      <c r="N42" s="6" t="s">
        <v>246</v>
      </c>
      <c r="O42" s="6" t="s">
        <v>66</v>
      </c>
      <c r="P42" s="202">
        <f>Model!AB230</f>
        <v>7.7902630418127367E-2</v>
      </c>
      <c r="Q42" s="202">
        <f>Model!AE230</f>
        <v>7.8939961948506651E-2</v>
      </c>
      <c r="R42" s="202">
        <f>Model!AH230</f>
        <v>8.0949615687892579E-2</v>
      </c>
      <c r="S42" s="202">
        <f>Model!AK230</f>
        <v>8.8459492843601287E-2</v>
      </c>
      <c r="T42" s="202">
        <f>Model!AN230</f>
        <v>9.5351906568778996E-2</v>
      </c>
      <c r="U42" s="202">
        <f>Model!AQ230</f>
        <v>9.9099439897285285E-2</v>
      </c>
      <c r="V42" s="202">
        <f>Model!AT230</f>
        <v>0.1017456252702057</v>
      </c>
      <c r="W42" s="202">
        <f>Model!AW230</f>
        <v>0.10442598027145157</v>
      </c>
      <c r="X42" s="202">
        <f>Model!AZ230</f>
        <v>0.10716162885386189</v>
      </c>
      <c r="Y42" s="202">
        <f>Model!BC230</f>
        <v>0.10908968434043678</v>
      </c>
    </row>
    <row r="43" spans="1:26">
      <c r="A43" s="8" t="s">
        <v>390</v>
      </c>
      <c r="B43" s="55" t="s">
        <v>58</v>
      </c>
      <c r="C43" s="189">
        <f>Model!AB86</f>
        <v>-126.89999999999998</v>
      </c>
      <c r="D43" s="189">
        <f>Model!AE86</f>
        <v>-336.99999999999994</v>
      </c>
      <c r="E43" s="189">
        <f>Model!AH86</f>
        <v>-909.26034635879364</v>
      </c>
      <c r="F43" s="189">
        <f>Model!AK86</f>
        <v>-840.3299071671488</v>
      </c>
      <c r="G43" s="189">
        <f>Model!AN86</f>
        <v>-916.64460349583021</v>
      </c>
      <c r="H43" s="189">
        <f>Model!AQ86</f>
        <v>-958.36442850725621</v>
      </c>
      <c r="I43" s="189">
        <f>Model!AT86</f>
        <v>-988.86483383770383</v>
      </c>
      <c r="J43" s="189">
        <f>Model!AW86</f>
        <v>-1020.4365113170192</v>
      </c>
      <c r="K43" s="189">
        <f>Model!AZ86</f>
        <v>-1053.0245756166159</v>
      </c>
      <c r="L43" s="189">
        <f>Model!BC86</f>
        <v>-946.98688024342698</v>
      </c>
      <c r="N43" s="6" t="s">
        <v>388</v>
      </c>
      <c r="O43" s="6" t="s">
        <v>66</v>
      </c>
      <c r="P43" s="202">
        <f>Model!AB241</f>
        <v>3.7026817646372133E-2</v>
      </c>
      <c r="Q43" s="202">
        <f>Model!AE241</f>
        <v>4.1654308782336461E-2</v>
      </c>
      <c r="R43" s="202">
        <f>Model!AH241</f>
        <v>3.9300066451304627E-2</v>
      </c>
      <c r="S43" s="202">
        <f>Model!AK241</f>
        <v>3.8155793282670027E-2</v>
      </c>
      <c r="T43" s="202">
        <f>Model!AN241</f>
        <v>3.8146075707547494E-2</v>
      </c>
      <c r="U43" s="202">
        <f>Model!AQ241</f>
        <v>3.783439296720692E-2</v>
      </c>
      <c r="V43" s="202">
        <f>Model!AT241</f>
        <v>3.7555536900723295E-2</v>
      </c>
      <c r="W43" s="202">
        <f>Model!AW241</f>
        <v>3.7269772955037507E-2</v>
      </c>
      <c r="X43" s="202">
        <f>Model!AZ241</f>
        <v>3.6977300375184742E-2</v>
      </c>
      <c r="Y43" s="202">
        <f>Model!BC241</f>
        <v>3.6678321674545336E-2</v>
      </c>
    </row>
    <row r="44" spans="1:26">
      <c r="A44" s="9" t="s">
        <v>392</v>
      </c>
      <c r="B44" s="57" t="s">
        <v>58</v>
      </c>
      <c r="C44" s="118">
        <f>Model!AB87</f>
        <v>-24.499999999999886</v>
      </c>
      <c r="D44" s="118">
        <f>Model!AE87</f>
        <v>57.800000000000125</v>
      </c>
      <c r="E44" s="118">
        <f>Model!AH87</f>
        <v>-191.19999999999982</v>
      </c>
      <c r="F44" s="118">
        <f>Model!AK87</f>
        <v>0</v>
      </c>
      <c r="G44" s="118">
        <f>Model!AN87</f>
        <v>0</v>
      </c>
      <c r="H44" s="118">
        <f>Model!AQ87</f>
        <v>0</v>
      </c>
      <c r="I44" s="118">
        <f>Model!AT87</f>
        <v>0</v>
      </c>
      <c r="J44" s="118">
        <f>Model!AW87</f>
        <v>0</v>
      </c>
      <c r="K44" s="118">
        <f>Model!AZ87</f>
        <v>0</v>
      </c>
      <c r="L44" s="118">
        <f>Model!BC87</f>
        <v>138.9182022698318</v>
      </c>
      <c r="N44" s="6" t="s">
        <v>389</v>
      </c>
      <c r="O44" s="6" t="s">
        <v>77</v>
      </c>
      <c r="P44" s="187">
        <f>Model!AB237</f>
        <v>1.0938290808627213</v>
      </c>
      <c r="Q44" s="187">
        <f>Model!AE237</f>
        <v>1.0248573068999289</v>
      </c>
      <c r="R44" s="187">
        <f>Model!AH237</f>
        <v>1.0283051810885888</v>
      </c>
      <c r="S44" s="187">
        <f>Model!AK237</f>
        <v>1.0300962292404154</v>
      </c>
      <c r="T44" s="187">
        <f>Model!AN237</f>
        <v>1.0753204993891505</v>
      </c>
      <c r="U44" s="187">
        <f>Model!AQ237</f>
        <v>1.0847654133157998</v>
      </c>
      <c r="V44" s="187">
        <f>Model!AT237</f>
        <v>1.09767533017109</v>
      </c>
      <c r="W44" s="187">
        <f>Model!AW237</f>
        <v>1.1106833929093898</v>
      </c>
      <c r="X44" s="187">
        <f>Model!AZ237</f>
        <v>1.1239571225863938</v>
      </c>
      <c r="Y44" s="187">
        <f>Model!BC237</f>
        <v>1.1293637291671903</v>
      </c>
    </row>
    <row r="45" spans="1:26">
      <c r="C45" s="192"/>
      <c r="D45" s="192"/>
      <c r="E45" s="192"/>
      <c r="F45" s="192"/>
      <c r="G45" s="118"/>
      <c r="H45" s="118"/>
      <c r="I45" s="118"/>
      <c r="J45" s="118"/>
      <c r="K45" s="118"/>
      <c r="L45" s="118"/>
      <c r="N45" s="6" t="s">
        <v>253</v>
      </c>
      <c r="O45" s="6" t="s">
        <v>77</v>
      </c>
      <c r="P45" s="187">
        <f>Model!AB240</f>
        <v>0.985593220338983</v>
      </c>
      <c r="Q45" s="187">
        <f>Model!AE240</f>
        <v>1.0568561872909701</v>
      </c>
      <c r="R45" s="187">
        <f>Model!AH240</f>
        <v>0.99678802142523559</v>
      </c>
      <c r="S45" s="187">
        <f>Model!AK240</f>
        <v>0.97130178495348951</v>
      </c>
      <c r="T45" s="187">
        <f>Model!AN240</f>
        <v>0.97631237479141753</v>
      </c>
      <c r="U45" s="187">
        <f>Model!AQ240</f>
        <v>0.97631237479141775</v>
      </c>
      <c r="V45" s="187">
        <f>Model!AT240</f>
        <v>0.97631237479141764</v>
      </c>
      <c r="W45" s="187">
        <f>Model!AW240</f>
        <v>0.97631237479141764</v>
      </c>
      <c r="X45" s="187">
        <f>Model!AZ240</f>
        <v>0.97631237479141764</v>
      </c>
      <c r="Y45" s="187">
        <f>Model!BC240</f>
        <v>0.97631237479141775</v>
      </c>
    </row>
    <row r="46" spans="1:26">
      <c r="A46" s="49" t="s">
        <v>112</v>
      </c>
      <c r="B46" s="49"/>
      <c r="C46" s="1" t="str">
        <f>C3</f>
        <v>FY16A</v>
      </c>
      <c r="D46" s="1" t="str">
        <f t="shared" ref="D46:L46" si="12">D3</f>
        <v>FY17A</v>
      </c>
      <c r="E46" s="1" t="str">
        <f t="shared" si="12"/>
        <v>FY18E</v>
      </c>
      <c r="F46" s="1" t="str">
        <f t="shared" si="12"/>
        <v>FY19E</v>
      </c>
      <c r="G46" s="1" t="str">
        <f t="shared" si="12"/>
        <v>FY20E</v>
      </c>
      <c r="H46" s="1" t="str">
        <f t="shared" si="12"/>
        <v>FY21E</v>
      </c>
      <c r="I46" s="1" t="str">
        <f t="shared" si="12"/>
        <v>FY22E</v>
      </c>
      <c r="J46" s="1" t="str">
        <f t="shared" si="12"/>
        <v>FY23E</v>
      </c>
      <c r="K46" s="1" t="str">
        <f t="shared" si="12"/>
        <v>FY24E</v>
      </c>
      <c r="L46" s="1" t="str">
        <f t="shared" si="12"/>
        <v>FY25E</v>
      </c>
      <c r="N46" s="6" t="s">
        <v>391</v>
      </c>
      <c r="O46" s="6" t="s">
        <v>66</v>
      </c>
      <c r="P46" s="202">
        <f>Model!AB126</f>
        <v>2.5215167305182046E-2</v>
      </c>
      <c r="Q46" s="202">
        <f>Model!AE126</f>
        <v>1.454385675838959E-2</v>
      </c>
      <c r="R46" s="202">
        <f>Model!AH126</f>
        <v>1.4882630484319278E-2</v>
      </c>
      <c r="S46" s="202">
        <f>Model!AK126</f>
        <v>1.5080341219911428E-2</v>
      </c>
      <c r="T46" s="202">
        <f>Model!AN126</f>
        <v>1.4912273330736118E-2</v>
      </c>
      <c r="U46" s="202">
        <f>Model!AQ126</f>
        <v>1.4886093804135744E-2</v>
      </c>
      <c r="V46" s="202">
        <f>Model!AT126</f>
        <v>1.4889416072829937E-2</v>
      </c>
      <c r="W46" s="202">
        <f>Model!AW126</f>
        <v>1.4892648032337065E-2</v>
      </c>
      <c r="X46" s="202">
        <f>Model!AZ126</f>
        <v>1.4895790277762548E-2</v>
      </c>
      <c r="Y46" s="202">
        <f>Model!BC126</f>
        <v>1.4898843416162202E-2</v>
      </c>
    </row>
    <row r="47" spans="1:26">
      <c r="A47" s="9" t="s">
        <v>113</v>
      </c>
      <c r="B47" s="57" t="s">
        <v>58</v>
      </c>
      <c r="C47" s="118">
        <f>Model!AB21</f>
        <v>515.70000000000005</v>
      </c>
      <c r="D47" s="118">
        <f>Model!AE21</f>
        <v>561.5</v>
      </c>
      <c r="E47" s="118">
        <f>Model!AH21</f>
        <v>419.9</v>
      </c>
      <c r="F47" s="118">
        <f>Model!AK21</f>
        <v>419.9</v>
      </c>
      <c r="G47" s="118">
        <f>Model!AN21</f>
        <v>419.9</v>
      </c>
      <c r="H47" s="118">
        <f>Model!AQ21</f>
        <v>419.9</v>
      </c>
      <c r="I47" s="118">
        <f>Model!AT21</f>
        <v>419.9</v>
      </c>
      <c r="J47" s="118">
        <f>Model!AW21</f>
        <v>419.9</v>
      </c>
      <c r="K47" s="118">
        <f>Model!AZ21</f>
        <v>419.9</v>
      </c>
      <c r="L47" s="118">
        <f>Model!BC21</f>
        <v>558.81820226983177</v>
      </c>
      <c r="N47" s="6" t="s">
        <v>393</v>
      </c>
      <c r="O47" s="6" t="s">
        <v>77</v>
      </c>
      <c r="P47" s="187">
        <f>Model!AB249</f>
        <v>6.3267386091127102</v>
      </c>
      <c r="Q47" s="187">
        <f>Model!AE249</f>
        <v>5.8192513368983958</v>
      </c>
      <c r="R47" s="187">
        <f>Model!AH249</f>
        <v>5.7065953486247576</v>
      </c>
      <c r="S47" s="187">
        <f>Model!AK249</f>
        <v>6.4497486062363336</v>
      </c>
      <c r="T47" s="187">
        <f>Model!AN249</f>
        <v>7.2222690319075413</v>
      </c>
      <c r="U47" s="187">
        <f>Model!AQ249</f>
        <v>8.0716353888068468</v>
      </c>
      <c r="V47" s="187">
        <f>Model!AT249</f>
        <v>8.9746017923818773</v>
      </c>
      <c r="W47" s="187">
        <f>Model!AW249</f>
        <v>10.095039772540678</v>
      </c>
      <c r="X47" s="187">
        <f>Model!AZ249</f>
        <v>11.527715124162379</v>
      </c>
      <c r="Y47" s="187">
        <f>Model!BC249</f>
        <v>13.308012399056809</v>
      </c>
      <c r="Z47" s="118"/>
    </row>
    <row r="48" spans="1:26">
      <c r="A48" s="9" t="s">
        <v>114</v>
      </c>
      <c r="B48" s="57" t="s">
        <v>58</v>
      </c>
      <c r="C48" s="118">
        <f>Model!AB22</f>
        <v>1411.6</v>
      </c>
      <c r="D48" s="118">
        <f>Model!AE22</f>
        <v>1405.2</v>
      </c>
      <c r="E48" s="118">
        <f>Model!AH22</f>
        <v>1484.7128705627802</v>
      </c>
      <c r="F48" s="118">
        <f>Model!AK22</f>
        <v>1522.3735896900419</v>
      </c>
      <c r="G48" s="118">
        <f>Model!AN22</f>
        <v>1588.2713412343112</v>
      </c>
      <c r="H48" s="118">
        <f>Model!AQ22</f>
        <v>1614.5297999839411</v>
      </c>
      <c r="I48" s="118">
        <f>Model!AT22</f>
        <v>1643.1497652756625</v>
      </c>
      <c r="J48" s="118">
        <f>Model!AW22</f>
        <v>1672.669009294505</v>
      </c>
      <c r="K48" s="118">
        <f>Model!AZ22</f>
        <v>1703.1172732404889</v>
      </c>
      <c r="L48" s="118">
        <f>Model!BC22</f>
        <v>1734.5254652990864</v>
      </c>
      <c r="N48" s="6" t="s">
        <v>258</v>
      </c>
      <c r="O48" s="6" t="s">
        <v>77</v>
      </c>
      <c r="P48" s="187">
        <f>Model!AB247</f>
        <v>2.7172355069892857</v>
      </c>
      <c r="Q48" s="187">
        <f>Model!AE247</f>
        <v>2.7985487214927436</v>
      </c>
      <c r="R48" s="187">
        <f>Model!AH247</f>
        <v>2.6159901850398017</v>
      </c>
      <c r="S48" s="187">
        <f>Model!AK247</f>
        <v>2.2717688475640854</v>
      </c>
      <c r="T48" s="187">
        <f>Model!AN247</f>
        <v>1.961072881552008</v>
      </c>
      <c r="U48" s="187">
        <f>Model!AQ247</f>
        <v>1.7362179524419759</v>
      </c>
      <c r="V48" s="187">
        <f>Model!AT247</f>
        <v>1.5349982291637863</v>
      </c>
      <c r="W48" s="187">
        <f>Model!AW247</f>
        <v>1.3340019863417401</v>
      </c>
      <c r="X48" s="187">
        <f>Model!AZ247</f>
        <v>1.1333035751659357</v>
      </c>
      <c r="Y48" s="187">
        <f>Model!BC247</f>
        <v>0.93338032227115986</v>
      </c>
      <c r="Z48" s="118"/>
    </row>
    <row r="49" spans="1:28">
      <c r="A49" s="9" t="s">
        <v>115</v>
      </c>
      <c r="B49" s="57" t="s">
        <v>58</v>
      </c>
      <c r="C49" s="118">
        <f>Model!AB23</f>
        <v>1244.4000000000001</v>
      </c>
      <c r="D49" s="118">
        <f>Model!AE23</f>
        <v>1305.5</v>
      </c>
      <c r="E49" s="118">
        <f>Model!AH23</f>
        <v>1379.3713724165314</v>
      </c>
      <c r="F49" s="118">
        <f>Model!AK23</f>
        <v>1414.3600351126886</v>
      </c>
      <c r="G49" s="118">
        <f>Model!AN23</f>
        <v>1475.5822914755149</v>
      </c>
      <c r="H49" s="118">
        <f>Model!AQ23</f>
        <v>1499.9776927690259</v>
      </c>
      <c r="I49" s="118">
        <f>Model!AT23</f>
        <v>1526.5670499340861</v>
      </c>
      <c r="J49" s="118">
        <f>Model!AW23</f>
        <v>1553.991881322215</v>
      </c>
      <c r="K49" s="118">
        <f>Model!AZ23</f>
        <v>1582.279817972857</v>
      </c>
      <c r="L49" s="118">
        <f>Model!BC23</f>
        <v>1611.4595751124093</v>
      </c>
      <c r="N49" s="853" t="s">
        <v>457</v>
      </c>
      <c r="O49" s="822" t="s">
        <v>58</v>
      </c>
      <c r="P49" s="202"/>
      <c r="Q49" s="188">
        <f>Model!AE244</f>
        <v>4049.5</v>
      </c>
      <c r="R49" s="188">
        <f>Model!AH244</f>
        <v>3962.6764957464698</v>
      </c>
      <c r="S49" s="188">
        <f>Model!AK244</f>
        <v>3676.0598977544328</v>
      </c>
      <c r="T49" s="188">
        <f>Model!AN244</f>
        <v>3372.9523104498389</v>
      </c>
      <c r="U49" s="188">
        <f>Model!AQ244</f>
        <v>3064.3446892279294</v>
      </c>
      <c r="V49" s="188">
        <f>Model!AT244</f>
        <v>2751.9094561086804</v>
      </c>
      <c r="W49" s="188">
        <f>Model!AW244</f>
        <v>2429.7866317837538</v>
      </c>
      <c r="X49" s="188">
        <f>Model!AZ244</f>
        <v>2097.6652044363459</v>
      </c>
      <c r="Y49" s="188">
        <f>Model!BC244</f>
        <v>1755.9817977301684</v>
      </c>
      <c r="Z49" s="118"/>
      <c r="AB49" s="863"/>
    </row>
    <row r="50" spans="1:28">
      <c r="A50" s="84" t="s">
        <v>151</v>
      </c>
      <c r="B50" s="57" t="s">
        <v>58</v>
      </c>
      <c r="C50" s="118">
        <f>C51-SUM(C47:C49)</f>
        <v>21.400000000000091</v>
      </c>
      <c r="D50" s="118">
        <f t="shared" ref="D50:L50" si="13">D51-SUM(D47:D49)</f>
        <v>14.299999999999727</v>
      </c>
      <c r="E50" s="118">
        <f t="shared" si="13"/>
        <v>26.299999999999727</v>
      </c>
      <c r="F50" s="118">
        <f t="shared" si="13"/>
        <v>26.299999999999727</v>
      </c>
      <c r="G50" s="118">
        <f t="shared" si="13"/>
        <v>26.299999999999727</v>
      </c>
      <c r="H50" s="118">
        <f t="shared" si="13"/>
        <v>26.299999999999727</v>
      </c>
      <c r="I50" s="118">
        <f t="shared" si="13"/>
        <v>26.299999999999727</v>
      </c>
      <c r="J50" s="118">
        <f t="shared" si="13"/>
        <v>26.299999999999727</v>
      </c>
      <c r="K50" s="118">
        <f t="shared" si="13"/>
        <v>26.299999999999727</v>
      </c>
      <c r="L50" s="118">
        <f t="shared" si="13"/>
        <v>26.299999999999727</v>
      </c>
      <c r="Z50" s="191"/>
      <c r="AB50" s="18"/>
    </row>
    <row r="51" spans="1:28">
      <c r="A51" s="85" t="s">
        <v>116</v>
      </c>
      <c r="B51" s="55" t="s">
        <v>58</v>
      </c>
      <c r="C51" s="191">
        <f>Model!AB26</f>
        <v>3193.1</v>
      </c>
      <c r="D51" s="191">
        <f>Model!AE26</f>
        <v>3286.4999999999995</v>
      </c>
      <c r="E51" s="191">
        <f>Model!AH26</f>
        <v>3310.2842429793113</v>
      </c>
      <c r="F51" s="191">
        <f>Model!AK26</f>
        <v>3382.9336248027298</v>
      </c>
      <c r="G51" s="191">
        <f>Model!AN26</f>
        <v>3510.0536327098257</v>
      </c>
      <c r="H51" s="191">
        <f>Model!AQ26</f>
        <v>3560.7074927529666</v>
      </c>
      <c r="I51" s="191">
        <f>Model!AT26</f>
        <v>3615.9168152097486</v>
      </c>
      <c r="J51" s="191">
        <f>Model!AW26</f>
        <v>3672.8608906167196</v>
      </c>
      <c r="K51" s="191">
        <f>Model!AZ26</f>
        <v>3731.5970912133457</v>
      </c>
      <c r="L51" s="191">
        <f>Model!BC26</f>
        <v>3931.1032426813272</v>
      </c>
      <c r="N51" s="49" t="s">
        <v>394</v>
      </c>
      <c r="O51" s="49"/>
      <c r="P51" s="190" t="str">
        <f t="shared" ref="P51:Y51" si="14">C3</f>
        <v>FY16A</v>
      </c>
      <c r="Q51" s="190" t="str">
        <f t="shared" si="14"/>
        <v>FY17A</v>
      </c>
      <c r="R51" s="190" t="str">
        <f t="shared" si="14"/>
        <v>FY18E</v>
      </c>
      <c r="S51" s="190" t="str">
        <f t="shared" si="14"/>
        <v>FY19E</v>
      </c>
      <c r="T51" s="190" t="str">
        <f t="shared" si="14"/>
        <v>FY20E</v>
      </c>
      <c r="U51" s="190" t="str">
        <f t="shared" si="14"/>
        <v>FY21E</v>
      </c>
      <c r="V51" s="190" t="str">
        <f t="shared" si="14"/>
        <v>FY22E</v>
      </c>
      <c r="W51" s="190" t="str">
        <f t="shared" si="14"/>
        <v>FY23E</v>
      </c>
      <c r="X51" s="190" t="str">
        <f t="shared" si="14"/>
        <v>FY24E</v>
      </c>
      <c r="Y51" s="190" t="str">
        <f t="shared" si="14"/>
        <v>FY25E</v>
      </c>
    </row>
    <row r="52" spans="1:28">
      <c r="A52" s="9" t="s">
        <v>395</v>
      </c>
      <c r="B52" s="57" t="s">
        <v>58</v>
      </c>
      <c r="C52" s="118">
        <f>Model!AB29</f>
        <v>2690.9</v>
      </c>
      <c r="D52" s="118">
        <f>Model!AE29</f>
        <v>2765.3</v>
      </c>
      <c r="E52" s="118">
        <f>Model!AH29</f>
        <v>2773.3096471052631</v>
      </c>
      <c r="F52" s="118">
        <f>Model!AK29</f>
        <v>2762.5865286684211</v>
      </c>
      <c r="G52" s="118">
        <f>Model!AN29</f>
        <v>2753.2987195039473</v>
      </c>
      <c r="H52" s="118">
        <f>Model!AQ29</f>
        <v>2743.9180322478287</v>
      </c>
      <c r="I52" s="118">
        <f>Model!AT29</f>
        <v>2734.4435381191488</v>
      </c>
      <c r="J52" s="118">
        <f>Model!AW29</f>
        <v>2724.8742990491824</v>
      </c>
      <c r="K52" s="118">
        <f>Model!AZ29</f>
        <v>2715.2093675885162</v>
      </c>
      <c r="L52" s="118">
        <f>Model!BC29</f>
        <v>2705.4477868132435</v>
      </c>
      <c r="N52" s="9" t="s">
        <v>306</v>
      </c>
      <c r="O52" s="822" t="s">
        <v>85</v>
      </c>
      <c r="P52" s="118">
        <f>Model!AB626</f>
        <v>681.2</v>
      </c>
      <c r="Q52" s="118">
        <f>Model!AE626</f>
        <v>738.8</v>
      </c>
      <c r="R52" s="118">
        <f>Model!AH626</f>
        <v>734.09579017810324</v>
      </c>
      <c r="S52" s="118">
        <f>Model!AK626</f>
        <v>797.13916056853964</v>
      </c>
      <c r="T52" s="118">
        <f>Model!AN626</f>
        <v>805.52399783702367</v>
      </c>
      <c r="U52" s="118">
        <f>Model!AQ626</f>
        <v>830.21785338427617</v>
      </c>
      <c r="V52" s="118">
        <f>Model!AT626</f>
        <v>844.35435032671307</v>
      </c>
      <c r="W52" s="118">
        <f>Model!AW626</f>
        <v>858.95403318222338</v>
      </c>
      <c r="X52" s="118">
        <f>Model!AZ626</f>
        <v>874.03275078701495</v>
      </c>
      <c r="Y52" s="118">
        <f>Model!BC626</f>
        <v>889.60703071327998</v>
      </c>
    </row>
    <row r="53" spans="1:28">
      <c r="A53" s="9" t="s">
        <v>121</v>
      </c>
      <c r="B53" s="57" t="s">
        <v>58</v>
      </c>
      <c r="C53" s="118">
        <f>Model!AB31</f>
        <v>2102.1</v>
      </c>
      <c r="D53" s="118">
        <f>Model!AE31</f>
        <v>2409.3000000000002</v>
      </c>
      <c r="E53" s="118">
        <f>Model!AH31</f>
        <v>2434.1</v>
      </c>
      <c r="F53" s="118">
        <f>Model!AK31</f>
        <v>2434.1</v>
      </c>
      <c r="G53" s="118">
        <f>Model!AN31</f>
        <v>2434.1</v>
      </c>
      <c r="H53" s="118">
        <f>Model!AQ31</f>
        <v>2434.1</v>
      </c>
      <c r="I53" s="118">
        <f>Model!AT31</f>
        <v>2434.1</v>
      </c>
      <c r="J53" s="118">
        <f>Model!AW31</f>
        <v>2434.1</v>
      </c>
      <c r="K53" s="118">
        <f>Model!AZ31</f>
        <v>2434.1</v>
      </c>
      <c r="L53" s="118">
        <f>Model!BC31</f>
        <v>2434.1</v>
      </c>
      <c r="N53" s="9" t="s">
        <v>306</v>
      </c>
      <c r="O53" s="57" t="s">
        <v>58</v>
      </c>
      <c r="P53" s="118">
        <f>Model!AB555</f>
        <v>755.9</v>
      </c>
      <c r="Q53" s="118">
        <f>Model!AE555</f>
        <v>804.69999999999993</v>
      </c>
      <c r="R53" s="118">
        <f>Model!AH555</f>
        <v>866.88451136105243</v>
      </c>
      <c r="S53" s="118">
        <f>Model!AK555</f>
        <v>939.87651181315346</v>
      </c>
      <c r="T53" s="118">
        <f>Model!AN555</f>
        <v>1006.9049972962795</v>
      </c>
      <c r="U53" s="118">
        <f>Model!AQ555</f>
        <v>1037.772316730345</v>
      </c>
      <c r="V53" s="118">
        <f>Model!AT555</f>
        <v>1055.4429379083913</v>
      </c>
      <c r="W53" s="118">
        <f>Model!AW555</f>
        <v>1073.6925414777793</v>
      </c>
      <c r="X53" s="118">
        <f>Model!AZ555</f>
        <v>1092.5409384837687</v>
      </c>
      <c r="Y53" s="118">
        <f>Model!BC555</f>
        <v>1112.0087883915999</v>
      </c>
    </row>
    <row r="54" spans="1:28">
      <c r="A54" s="9" t="s">
        <v>396</v>
      </c>
      <c r="B54" s="57" t="s">
        <v>58</v>
      </c>
      <c r="C54" s="118">
        <f>Model!AB27</f>
        <v>446.5</v>
      </c>
      <c r="D54" s="118">
        <f>Model!AE27</f>
        <v>411.9</v>
      </c>
      <c r="E54" s="118">
        <f>Model!AH27</f>
        <v>434.17500000000001</v>
      </c>
      <c r="F54" s="118">
        <f>Model!AK27</f>
        <v>442.7813625</v>
      </c>
      <c r="G54" s="118">
        <f>Model!AN27</f>
        <v>451.52112361875004</v>
      </c>
      <c r="H54" s="118">
        <f>Model!AQ27</f>
        <v>460.13415820127818</v>
      </c>
      <c r="I54" s="118">
        <f>Model!AT27</f>
        <v>468.75149930109757</v>
      </c>
      <c r="J54" s="118">
        <f>Model!AW27</f>
        <v>477.37314907146686</v>
      </c>
      <c r="K54" s="118">
        <f>Model!AZ27</f>
        <v>485.99910966672132</v>
      </c>
      <c r="L54" s="118">
        <f>Model!BC27</f>
        <v>494.62938324227343</v>
      </c>
      <c r="N54" s="9" t="s">
        <v>307</v>
      </c>
      <c r="O54" s="57" t="s">
        <v>58</v>
      </c>
      <c r="P54" s="118">
        <f>Model!AB556</f>
        <v>352.5</v>
      </c>
      <c r="Q54" s="118">
        <f>Model!AE556</f>
        <v>342.7</v>
      </c>
      <c r="R54" s="118">
        <f>Model!AH556</f>
        <v>345.40774681660139</v>
      </c>
      <c r="S54" s="118">
        <f>Model!AK556</f>
        <v>373.73493419892304</v>
      </c>
      <c r="T54" s="118">
        <f>Model!AN556</f>
        <v>391.0947609425487</v>
      </c>
      <c r="U54" s="118">
        <f>Model!AQ556</f>
        <v>402.83061963984841</v>
      </c>
      <c r="V54" s="118">
        <f>Model!AT556</f>
        <v>410.32581747672356</v>
      </c>
      <c r="W54" s="118">
        <f>Model!AW556</f>
        <v>418.04864486802325</v>
      </c>
      <c r="X54" s="118">
        <f>Model!AZ556</f>
        <v>426.00616132757898</v>
      </c>
      <c r="Y54" s="118">
        <f>Model!BC556</f>
        <v>434.2056545625403</v>
      </c>
    </row>
    <row r="55" spans="1:28">
      <c r="A55" s="84" t="s">
        <v>397</v>
      </c>
      <c r="B55" s="57" t="s">
        <v>58</v>
      </c>
      <c r="C55" s="118">
        <f>C56-SUM(C52:C54)</f>
        <v>249.5</v>
      </c>
      <c r="D55" s="118">
        <f t="shared" ref="D55:L55" si="15">D56-SUM(D52:D54)</f>
        <v>210.30000000000018</v>
      </c>
      <c r="E55" s="118">
        <f t="shared" si="15"/>
        <v>246.69999999999891</v>
      </c>
      <c r="F55" s="118">
        <f t="shared" si="15"/>
        <v>246.70000000000073</v>
      </c>
      <c r="G55" s="118">
        <f t="shared" si="15"/>
        <v>246.70000000000073</v>
      </c>
      <c r="H55" s="118">
        <f t="shared" si="15"/>
        <v>246.70000000000073</v>
      </c>
      <c r="I55" s="118">
        <f t="shared" si="15"/>
        <v>246.69999999999982</v>
      </c>
      <c r="J55" s="118">
        <f t="shared" si="15"/>
        <v>246.69999999999982</v>
      </c>
      <c r="K55" s="118">
        <f t="shared" si="15"/>
        <v>246.69999999999982</v>
      </c>
      <c r="L55" s="118">
        <f t="shared" si="15"/>
        <v>246.69999999999891</v>
      </c>
      <c r="N55" s="9" t="s">
        <v>308</v>
      </c>
      <c r="O55" s="57" t="s">
        <v>58</v>
      </c>
      <c r="P55" s="118">
        <f>Model!AB557</f>
        <v>-53.099999999999994</v>
      </c>
      <c r="Q55" s="118">
        <f>Model!AE557</f>
        <v>-59.199999999999996</v>
      </c>
      <c r="R55" s="118">
        <f>Model!AH557</f>
        <v>-68.099999999999994</v>
      </c>
      <c r="S55" s="118">
        <f>Model!AK557</f>
        <v>-69.113765000000001</v>
      </c>
      <c r="T55" s="118">
        <f>Model!AN557</f>
        <v>-70.142616582499983</v>
      </c>
      <c r="U55" s="118">
        <f>Model!AQ557</f>
        <v>-71.665377787928719</v>
      </c>
      <c r="V55" s="118">
        <f>Model!AT557</f>
        <v>-72.96832693290456</v>
      </c>
      <c r="W55" s="118">
        <f>Model!AW557</f>
        <v>-74.290934299294094</v>
      </c>
      <c r="X55" s="118">
        <f>Model!AZ557</f>
        <v>-75.633494817410678</v>
      </c>
      <c r="Y55" s="118">
        <f>Model!BC557</f>
        <v>-76.996307841550831</v>
      </c>
    </row>
    <row r="56" spans="1:28">
      <c r="A56" s="8" t="s">
        <v>123</v>
      </c>
      <c r="B56" s="55" t="s">
        <v>58</v>
      </c>
      <c r="C56" s="191">
        <f>Model!AB34</f>
        <v>5489</v>
      </c>
      <c r="D56" s="191">
        <f>Model!AE34</f>
        <v>5796.8</v>
      </c>
      <c r="E56" s="191">
        <f>Model!AH34</f>
        <v>5888.2846471052626</v>
      </c>
      <c r="F56" s="191">
        <f>Model!AK34</f>
        <v>5886.1678911684212</v>
      </c>
      <c r="G56" s="191">
        <f>Model!AN34</f>
        <v>5885.6198431226976</v>
      </c>
      <c r="H56" s="191">
        <f>Model!AQ34</f>
        <v>5884.8521904491072</v>
      </c>
      <c r="I56" s="191">
        <f>Model!AT34</f>
        <v>5883.9950374202463</v>
      </c>
      <c r="J56" s="191">
        <f>Model!AW34</f>
        <v>5883.0474481206493</v>
      </c>
      <c r="K56" s="191">
        <f>Model!AZ34</f>
        <v>5882.0084772552373</v>
      </c>
      <c r="L56" s="191">
        <f>Model!BC34</f>
        <v>5880.8771700555162</v>
      </c>
      <c r="N56" s="113" t="s">
        <v>398</v>
      </c>
      <c r="O56" s="55" t="s">
        <v>58</v>
      </c>
      <c r="P56" s="191">
        <f>Model!AB558</f>
        <v>1055.3000000000002</v>
      </c>
      <c r="Q56" s="191">
        <f>Model!AE558</f>
        <v>1088.1999999999998</v>
      </c>
      <c r="R56" s="191">
        <f>Model!AH558</f>
        <v>1144.1922581776539</v>
      </c>
      <c r="S56" s="191">
        <f>Model!AK558</f>
        <v>1244.4976810120766</v>
      </c>
      <c r="T56" s="191">
        <f>Model!AN558</f>
        <v>1327.8571416563282</v>
      </c>
      <c r="U56" s="191">
        <f>Model!AQ558</f>
        <v>1368.9375585822647</v>
      </c>
      <c r="V56" s="191">
        <f>Model!AT558</f>
        <v>1392.8004284522103</v>
      </c>
      <c r="W56" s="191">
        <f>Model!AW558</f>
        <v>1417.4502520465085</v>
      </c>
      <c r="X56" s="191">
        <f>Model!AZ558</f>
        <v>1442.913604993937</v>
      </c>
      <c r="Y56" s="191">
        <f>Model!BC558</f>
        <v>1469.2181351125894</v>
      </c>
    </row>
    <row r="57" spans="1:28">
      <c r="A57" s="8" t="s">
        <v>124</v>
      </c>
      <c r="B57" s="55" t="s">
        <v>58</v>
      </c>
      <c r="C57" s="191">
        <f>Model!AB35</f>
        <v>8682.1</v>
      </c>
      <c r="D57" s="191">
        <f>Model!AE35</f>
        <v>9083.2999999999993</v>
      </c>
      <c r="E57" s="191">
        <f>Model!AH35</f>
        <v>9198.5688900845744</v>
      </c>
      <c r="F57" s="191">
        <f>Model!AK35</f>
        <v>9269.1015159711515</v>
      </c>
      <c r="G57" s="191">
        <f>Model!AN35</f>
        <v>9395.6734758325238</v>
      </c>
      <c r="H57" s="191">
        <f>Model!AQ35</f>
        <v>9445.5596832020747</v>
      </c>
      <c r="I57" s="191">
        <f>Model!AT35</f>
        <v>9499.9118526299953</v>
      </c>
      <c r="J57" s="191">
        <f>Model!AW35</f>
        <v>9555.9083387373685</v>
      </c>
      <c r="K57" s="191">
        <f>Model!AZ35</f>
        <v>9613.6055684685834</v>
      </c>
      <c r="L57" s="191">
        <f>Model!BC35</f>
        <v>9811.9804127368443</v>
      </c>
      <c r="P57" s="192"/>
      <c r="Q57" s="192"/>
      <c r="R57" s="192"/>
      <c r="S57" s="192"/>
      <c r="T57" s="192"/>
    </row>
    <row r="58" spans="1:28">
      <c r="A58" s="9" t="s">
        <v>399</v>
      </c>
      <c r="B58" s="57" t="s">
        <v>58</v>
      </c>
      <c r="C58" s="118">
        <f>Model!AB36</f>
        <v>2418.4</v>
      </c>
      <c r="D58" s="118">
        <f>Model!AE36</f>
        <v>2578.3000000000002</v>
      </c>
      <c r="E58" s="118">
        <f>Model!AH36</f>
        <v>2724.1924239766704</v>
      </c>
      <c r="F58" s="118">
        <f>Model!AK36</f>
        <v>2793.29335774113</v>
      </c>
      <c r="G58" s="118">
        <f>Model!AN36</f>
        <v>2914.2043830802918</v>
      </c>
      <c r="H58" s="118">
        <f>Model!AQ36</f>
        <v>2962.3841327203218</v>
      </c>
      <c r="I58" s="118">
        <f>Model!AT36</f>
        <v>3014.8968401723896</v>
      </c>
      <c r="J58" s="118">
        <f>Model!AW36</f>
        <v>3069.0595692172101</v>
      </c>
      <c r="K58" s="118">
        <f>Model!AZ36</f>
        <v>3124.926889834866</v>
      </c>
      <c r="L58" s="118">
        <f>Model!BC36</f>
        <v>3182.5555132227692</v>
      </c>
      <c r="N58" s="49" t="s">
        <v>400</v>
      </c>
      <c r="O58" s="49"/>
      <c r="P58" s="190" t="s">
        <v>345</v>
      </c>
      <c r="Q58" s="190" t="s">
        <v>346</v>
      </c>
      <c r="R58" s="190" t="s">
        <v>347</v>
      </c>
      <c r="S58" s="190" t="s">
        <v>348</v>
      </c>
      <c r="T58" s="190" t="s">
        <v>349</v>
      </c>
      <c r="U58" s="190" t="str">
        <f>H3</f>
        <v>FY21E</v>
      </c>
      <c r="V58" s="190" t="str">
        <f>I3</f>
        <v>FY22E</v>
      </c>
      <c r="W58" s="190" t="str">
        <f>J3</f>
        <v>FY23E</v>
      </c>
      <c r="X58" s="190" t="str">
        <f>K3</f>
        <v>FY24E</v>
      </c>
      <c r="Y58" s="190" t="str">
        <f>L3</f>
        <v>FY25E</v>
      </c>
    </row>
    <row r="59" spans="1:28">
      <c r="A59" s="9" t="s">
        <v>401</v>
      </c>
      <c r="B59" s="57" t="s">
        <v>58</v>
      </c>
      <c r="C59" s="118">
        <f>Model!AB37</f>
        <v>916.7</v>
      </c>
      <c r="D59" s="118">
        <f>Model!AE37</f>
        <v>1124.5999999999999</v>
      </c>
      <c r="E59" s="118">
        <f>Model!AH37</f>
        <v>2314.8000000000002</v>
      </c>
      <c r="F59" s="118">
        <f>Model!AK37</f>
        <v>2314.8000000000002</v>
      </c>
      <c r="G59" s="118">
        <f>Model!AN37</f>
        <v>2314.8000000000002</v>
      </c>
      <c r="H59" s="118">
        <f>Model!AQ37</f>
        <v>2314.8000000000002</v>
      </c>
      <c r="I59" s="118">
        <f>Model!AT37</f>
        <v>2314.8000000000002</v>
      </c>
      <c r="J59" s="118">
        <f>Model!AW37</f>
        <v>2314.8000000000002</v>
      </c>
      <c r="K59" s="118">
        <f>Model!AZ37</f>
        <v>2314.8000000000002</v>
      </c>
      <c r="L59" s="118">
        <f>Model!BC37</f>
        <v>2314.8000000000002</v>
      </c>
      <c r="N59" s="6" t="s">
        <v>408</v>
      </c>
      <c r="P59" s="184">
        <f>Model!AB259</f>
        <v>1.1096594245449207</v>
      </c>
      <c r="Q59" s="184">
        <f>Model!AE259</f>
        <v>1.0891987005955606</v>
      </c>
      <c r="R59" s="184">
        <f>Model!AH259</f>
        <v>1.1805260818020153</v>
      </c>
      <c r="S59" s="184">
        <f>Model!AK259</f>
        <v>1.1775</v>
      </c>
      <c r="T59" s="184">
        <f>Model!AN259</f>
        <v>1.25</v>
      </c>
      <c r="U59" s="184">
        <f>Model!AQ259</f>
        <v>1.25</v>
      </c>
      <c r="V59" s="184">
        <f>Model!AT259</f>
        <v>1.25</v>
      </c>
      <c r="W59" s="184">
        <f>Model!AW259</f>
        <v>1.25</v>
      </c>
      <c r="X59" s="184">
        <f>Model!AZ259</f>
        <v>1.25</v>
      </c>
      <c r="Y59" s="184">
        <f>Model!BC259</f>
        <v>1.25</v>
      </c>
    </row>
    <row r="60" spans="1:28">
      <c r="A60" s="9" t="s">
        <v>402</v>
      </c>
      <c r="B60" s="57" t="s">
        <v>58</v>
      </c>
      <c r="C60" s="118">
        <f>C61-SUM(C58:C59)</f>
        <v>310.09999999999991</v>
      </c>
      <c r="D60" s="118">
        <f t="shared" ref="D60:L60" si="16">D61-SUM(D58:D59)</f>
        <v>309.50000000000045</v>
      </c>
      <c r="E60" s="118">
        <f t="shared" si="16"/>
        <v>289.5</v>
      </c>
      <c r="F60" s="118">
        <f t="shared" si="16"/>
        <v>289.5</v>
      </c>
      <c r="G60" s="118">
        <f t="shared" si="16"/>
        <v>289.5</v>
      </c>
      <c r="H60" s="118">
        <f t="shared" si="16"/>
        <v>289.5</v>
      </c>
      <c r="I60" s="118">
        <f t="shared" si="16"/>
        <v>289.5</v>
      </c>
      <c r="J60" s="118">
        <f t="shared" si="16"/>
        <v>289.5</v>
      </c>
      <c r="K60" s="118">
        <f t="shared" si="16"/>
        <v>289.5</v>
      </c>
      <c r="L60" s="118">
        <f t="shared" si="16"/>
        <v>289.5</v>
      </c>
      <c r="N60" s="864" t="s">
        <v>99</v>
      </c>
      <c r="O60" s="30"/>
      <c r="P60" s="188"/>
      <c r="Q60" s="188"/>
      <c r="R60" s="188"/>
      <c r="S60" s="188"/>
      <c r="T60" s="437"/>
      <c r="U60" s="192"/>
      <c r="V60" s="192"/>
      <c r="W60" s="192"/>
      <c r="X60" s="192"/>
      <c r="Y60" s="192"/>
    </row>
    <row r="61" spans="1:28">
      <c r="A61" s="8" t="s">
        <v>129</v>
      </c>
      <c r="B61" s="55" t="s">
        <v>58</v>
      </c>
      <c r="C61" s="189">
        <f>Model!AB41</f>
        <v>3645.2000000000003</v>
      </c>
      <c r="D61" s="189">
        <f>Model!AE41</f>
        <v>4012.4000000000005</v>
      </c>
      <c r="E61" s="189">
        <f>Model!AH41</f>
        <v>5328.4924239766706</v>
      </c>
      <c r="F61" s="189">
        <f>Model!AK41</f>
        <v>5397.5933577411306</v>
      </c>
      <c r="G61" s="189">
        <f>Model!AN41</f>
        <v>5518.5043830802915</v>
      </c>
      <c r="H61" s="189">
        <f>Model!AQ41</f>
        <v>5566.6841327203219</v>
      </c>
      <c r="I61" s="189">
        <f>Model!AT41</f>
        <v>5619.1968401723898</v>
      </c>
      <c r="J61" s="189">
        <f>Model!AW41</f>
        <v>5673.3595692172103</v>
      </c>
      <c r="K61" s="189">
        <f>Model!AZ41</f>
        <v>5729.2268898348666</v>
      </c>
      <c r="L61" s="189">
        <f>Model!BC41</f>
        <v>5786.8555132227693</v>
      </c>
      <c r="N61" s="30" t="s">
        <v>306</v>
      </c>
      <c r="O61" s="30"/>
      <c r="P61" s="30"/>
      <c r="Q61" s="30"/>
      <c r="R61" s="30"/>
      <c r="S61" s="30"/>
      <c r="T61" s="30"/>
      <c r="U61" s="192"/>
      <c r="V61" s="192"/>
      <c r="W61" s="192"/>
      <c r="X61" s="192"/>
      <c r="Y61" s="192"/>
    </row>
    <row r="62" spans="1:28">
      <c r="A62" s="9" t="s">
        <v>401</v>
      </c>
      <c r="B62" s="57" t="s">
        <v>58</v>
      </c>
      <c r="C62" s="118">
        <f>Model!AB42</f>
        <v>3428.4</v>
      </c>
      <c r="D62" s="118">
        <f>Model!AE42</f>
        <v>3486.4</v>
      </c>
      <c r="E62" s="118">
        <f>Model!AH42</f>
        <v>2067.7764957464697</v>
      </c>
      <c r="F62" s="118">
        <f>Model!AK42</f>
        <v>1781.1598977544327</v>
      </c>
      <c r="G62" s="118">
        <f>Model!AN42</f>
        <v>1478.0523104498388</v>
      </c>
      <c r="H62" s="118">
        <f>Model!AQ42</f>
        <v>1169.4446892279293</v>
      </c>
      <c r="I62" s="118">
        <f>Model!AT42</f>
        <v>857.0094561086803</v>
      </c>
      <c r="J62" s="118">
        <f>Model!AW42</f>
        <v>534.8866317837535</v>
      </c>
      <c r="K62" s="118">
        <f>Model!AZ42</f>
        <v>202.7652044363457</v>
      </c>
      <c r="L62" s="118">
        <f>Model!BC42</f>
        <v>0</v>
      </c>
      <c r="N62" s="84" t="s">
        <v>80</v>
      </c>
      <c r="O62" s="30" t="s">
        <v>66</v>
      </c>
      <c r="P62" s="15"/>
      <c r="Q62" s="15">
        <f>Model!AE637</f>
        <v>-8.2585278276481322E-3</v>
      </c>
      <c r="R62" s="15">
        <f>Model!AH637</f>
        <v>1.700798125943237E-2</v>
      </c>
      <c r="S62" s="15">
        <f>Model!AK637</f>
        <v>2.4494861175995641E-2</v>
      </c>
      <c r="T62" s="15">
        <f>Model!AN637</f>
        <v>1.8985568648425488E-2</v>
      </c>
      <c r="U62" s="192"/>
      <c r="V62" s="192"/>
      <c r="W62" s="192"/>
      <c r="X62" s="192"/>
      <c r="Y62" s="192"/>
    </row>
    <row r="63" spans="1:28">
      <c r="A63" s="9" t="s">
        <v>128</v>
      </c>
      <c r="B63" s="57" t="s">
        <v>58</v>
      </c>
      <c r="C63" s="118">
        <f>Model!AB45</f>
        <v>95.4</v>
      </c>
      <c r="D63" s="118">
        <f>Model!AE45</f>
        <v>111.4</v>
      </c>
      <c r="E63" s="118">
        <f>Model!AH45</f>
        <v>118.1</v>
      </c>
      <c r="F63" s="118">
        <f>Model!AK45</f>
        <v>118.1</v>
      </c>
      <c r="G63" s="118">
        <f>Model!AN45</f>
        <v>118.1</v>
      </c>
      <c r="H63" s="118">
        <f>Model!AQ45</f>
        <v>118.1</v>
      </c>
      <c r="I63" s="118">
        <f>Model!AT45</f>
        <v>118.1</v>
      </c>
      <c r="J63" s="118">
        <f>Model!AW45</f>
        <v>118.1</v>
      </c>
      <c r="K63" s="118">
        <f>Model!AZ45</f>
        <v>118.1</v>
      </c>
      <c r="L63" s="118">
        <f>Model!BC45</f>
        <v>118.1</v>
      </c>
      <c r="N63" s="84" t="s">
        <v>81</v>
      </c>
      <c r="O63" s="30" t="s">
        <v>66</v>
      </c>
      <c r="P63" s="15"/>
      <c r="Q63" s="15">
        <f>Model!AE645</f>
        <v>0.65161290322580645</v>
      </c>
      <c r="R63" s="15">
        <f>Model!AH645</f>
        <v>-5.7020421258023313E-2</v>
      </c>
      <c r="S63" s="15">
        <f>Model!AK645</f>
        <v>1.6428754740745344E-2</v>
      </c>
      <c r="T63" s="15">
        <f>Model!AN645</f>
        <v>-1.9294212688702128E-2</v>
      </c>
      <c r="U63" s="192"/>
      <c r="V63" s="192"/>
      <c r="W63" s="192"/>
      <c r="X63" s="192"/>
      <c r="Y63" s="192"/>
    </row>
    <row r="64" spans="1:28">
      <c r="A64" s="84" t="s">
        <v>133</v>
      </c>
      <c r="B64" s="57" t="s">
        <v>58</v>
      </c>
      <c r="C64" s="118">
        <v>181.89999999999998</v>
      </c>
      <c r="D64" s="118">
        <v>193.6</v>
      </c>
      <c r="E64" s="118">
        <v>193.6</v>
      </c>
      <c r="F64" s="118">
        <v>193.6</v>
      </c>
      <c r="G64" s="118">
        <v>193.6</v>
      </c>
      <c r="H64" s="118">
        <v>193.6</v>
      </c>
      <c r="I64" s="118">
        <v>193.6</v>
      </c>
      <c r="J64" s="118">
        <v>193.6</v>
      </c>
      <c r="K64" s="118">
        <v>193.6</v>
      </c>
      <c r="L64" s="118">
        <v>193.6</v>
      </c>
      <c r="N64" s="84" t="s">
        <v>83</v>
      </c>
      <c r="O64" s="30" t="s">
        <v>66</v>
      </c>
      <c r="P64" s="15"/>
      <c r="Q64" s="15">
        <f>Model!AE653</f>
        <v>4.8433048433048409E-2</v>
      </c>
      <c r="R64" s="15">
        <f>Model!AH653</f>
        <v>-4.6741874253803495E-2</v>
      </c>
      <c r="S64" s="15">
        <f>Model!AK653</f>
        <v>-4.3471789475776346E-3</v>
      </c>
      <c r="T64" s="15">
        <f>Model!AN653</f>
        <v>-4.3523434489904922E-3</v>
      </c>
      <c r="U64" s="192"/>
      <c r="V64" s="192"/>
      <c r="W64" s="192"/>
      <c r="X64" s="192"/>
      <c r="Y64" s="192"/>
    </row>
    <row r="65" spans="1:25">
      <c r="A65" s="113" t="s">
        <v>134</v>
      </c>
      <c r="B65" s="55" t="s">
        <v>58</v>
      </c>
      <c r="C65" s="189">
        <f>Model!AB48</f>
        <v>4191.4000000000005</v>
      </c>
      <c r="D65" s="189">
        <f>Model!AE48</f>
        <v>4179.4000000000005</v>
      </c>
      <c r="E65" s="189">
        <f>Model!AH48</f>
        <v>2735.1581778587747</v>
      </c>
      <c r="F65" s="189">
        <f>Model!AK48</f>
        <v>2459.5828000947672</v>
      </c>
      <c r="G65" s="189">
        <f>Model!AN48</f>
        <v>2175.0198102353402</v>
      </c>
      <c r="H65" s="189">
        <f>Model!AQ48</f>
        <v>1879.0052487329633</v>
      </c>
      <c r="I65" s="189">
        <f>Model!AT48</f>
        <v>1579.5648877012127</v>
      </c>
      <c r="J65" s="189">
        <f>Model!AW48</f>
        <v>1270.8509800758306</v>
      </c>
      <c r="K65" s="189">
        <f>Model!AZ48</f>
        <v>952.56587014212289</v>
      </c>
      <c r="L65" s="189">
        <f>Model!BC48</f>
        <v>764.06824542070501</v>
      </c>
      <c r="N65" s="84" t="s">
        <v>82</v>
      </c>
      <c r="O65" s="30" t="s">
        <v>66</v>
      </c>
      <c r="P65" s="15"/>
      <c r="Q65" s="15">
        <f>Model!AE661</f>
        <v>-6.2550771730300547E-2</v>
      </c>
      <c r="R65" s="15">
        <f>Model!AH661</f>
        <v>-0.13814061470981887</v>
      </c>
      <c r="S65" s="15">
        <f>Model!AK661</f>
        <v>-1.1831339729886703E-2</v>
      </c>
      <c r="T65" s="15">
        <f>Model!AN661</f>
        <v>-2.5114005707494114E-2</v>
      </c>
      <c r="U65" s="192"/>
      <c r="V65" s="192"/>
      <c r="W65" s="192"/>
      <c r="X65" s="192"/>
      <c r="Y65" s="192"/>
    </row>
    <row r="66" spans="1:25">
      <c r="A66" s="8" t="s">
        <v>135</v>
      </c>
      <c r="B66" s="55" t="s">
        <v>58</v>
      </c>
      <c r="C66" s="189">
        <f>Model!AB49</f>
        <v>7836.6</v>
      </c>
      <c r="D66" s="189">
        <f>Model!AE49</f>
        <v>8191.8000000000011</v>
      </c>
      <c r="E66" s="189">
        <f>Model!AH49</f>
        <v>8063.6506018354448</v>
      </c>
      <c r="F66" s="189">
        <f>Model!AK49</f>
        <v>7857.1761578358983</v>
      </c>
      <c r="G66" s="189">
        <f>Model!AN49</f>
        <v>7693.5241933156321</v>
      </c>
      <c r="H66" s="189">
        <f>Model!AQ49</f>
        <v>7445.689381453285</v>
      </c>
      <c r="I66" s="189">
        <f>Model!AT49</f>
        <v>7198.7617278736025</v>
      </c>
      <c r="J66" s="189">
        <f>Model!AW49</f>
        <v>6944.2105492930405</v>
      </c>
      <c r="K66" s="189">
        <f>Model!AZ49</f>
        <v>6681.7927599769891</v>
      </c>
      <c r="L66" s="189">
        <f>Model!BC49</f>
        <v>6550.9237586434747</v>
      </c>
      <c r="N66" s="30" t="s">
        <v>307</v>
      </c>
      <c r="O66" s="30"/>
      <c r="P66" s="15"/>
      <c r="Q66" s="15"/>
      <c r="R66" s="15"/>
      <c r="S66" s="15"/>
      <c r="T66" s="15"/>
      <c r="U66" s="192"/>
      <c r="V66" s="192"/>
      <c r="W66" s="192"/>
      <c r="X66" s="192"/>
      <c r="Y66" s="192"/>
    </row>
    <row r="67" spans="1:25">
      <c r="A67" s="6" t="s">
        <v>403</v>
      </c>
      <c r="B67" s="57" t="s">
        <v>58</v>
      </c>
      <c r="C67" s="118">
        <f>Model!AB51</f>
        <v>1445.1</v>
      </c>
      <c r="D67" s="118">
        <f>Model!AE51</f>
        <v>1416.9</v>
      </c>
      <c r="E67" s="118">
        <f>Model!AH51</f>
        <v>1431.7</v>
      </c>
      <c r="F67" s="118">
        <f>Model!AK51</f>
        <v>1431.7</v>
      </c>
      <c r="G67" s="118">
        <f>Model!AN51</f>
        <v>1431.7</v>
      </c>
      <c r="H67" s="118">
        <f>Model!AQ51</f>
        <v>1431.7</v>
      </c>
      <c r="I67" s="118">
        <f>Model!AT51</f>
        <v>1431.7</v>
      </c>
      <c r="J67" s="118">
        <f>Model!AW51</f>
        <v>1431.7</v>
      </c>
      <c r="K67" s="118">
        <f>Model!AZ51</f>
        <v>1431.7</v>
      </c>
      <c r="L67" s="118">
        <f>Model!BC51</f>
        <v>1431.7</v>
      </c>
      <c r="N67" s="84" t="s">
        <v>59</v>
      </c>
      <c r="O67" s="30" t="s">
        <v>66</v>
      </c>
      <c r="P67" s="15"/>
      <c r="Q67" s="15">
        <f>Model!AE1241</f>
        <v>6.4501578709968532E-2</v>
      </c>
      <c r="R67" s="15">
        <f>Model!AH1241</f>
        <v>-8.8689184823675937E-4</v>
      </c>
      <c r="S67" s="15">
        <f>Model!AK1241</f>
        <v>1.3860088028941231E-2</v>
      </c>
      <c r="T67" s="15">
        <f>Model!AN1241</f>
        <v>2.1989438713498455E-2</v>
      </c>
      <c r="U67" s="192"/>
      <c r="V67" s="192"/>
      <c r="W67" s="192"/>
      <c r="X67" s="192"/>
      <c r="Y67" s="192"/>
    </row>
    <row r="68" spans="1:25">
      <c r="A68" s="6" t="s">
        <v>138</v>
      </c>
      <c r="B68" s="57" t="s">
        <v>58</v>
      </c>
      <c r="C68" s="118">
        <f>Model!AB52</f>
        <v>-800.2</v>
      </c>
      <c r="D68" s="118">
        <f>Model!AE52</f>
        <v>-881.7</v>
      </c>
      <c r="E68" s="118">
        <f>Model!AH52</f>
        <v>-881.3</v>
      </c>
      <c r="F68" s="118">
        <f>Model!AK52</f>
        <v>-881.3</v>
      </c>
      <c r="G68" s="118">
        <f>Model!AN52</f>
        <v>-881.3</v>
      </c>
      <c r="H68" s="118">
        <f>Model!AQ52</f>
        <v>-881.3</v>
      </c>
      <c r="I68" s="118">
        <f>Model!AT52</f>
        <v>-881.3</v>
      </c>
      <c r="J68" s="118">
        <f>Model!AW52</f>
        <v>-881.3</v>
      </c>
      <c r="K68" s="118">
        <f>Model!AZ52</f>
        <v>-881.3</v>
      </c>
      <c r="L68" s="118">
        <f>Model!BC52</f>
        <v>-881.3</v>
      </c>
      <c r="N68" s="84" t="s">
        <v>93</v>
      </c>
      <c r="O68" s="30" t="s">
        <v>66</v>
      </c>
      <c r="P68" s="15"/>
      <c r="Q68" s="15">
        <f>Model!AE1278</f>
        <v>-0.54649122807017547</v>
      </c>
      <c r="R68" s="15">
        <f>Model!AH1278</f>
        <v>4.2288192584611917E-2</v>
      </c>
      <c r="S68" s="15">
        <f>Model!AK1278</f>
        <v>3.8039721899691514E-2</v>
      </c>
      <c r="T68" s="15">
        <f>Model!AN1278</f>
        <v>9.8343088763006792E-2</v>
      </c>
      <c r="U68" s="192"/>
      <c r="V68" s="192"/>
      <c r="W68" s="192"/>
      <c r="X68" s="192"/>
      <c r="Y68" s="192"/>
    </row>
    <row r="69" spans="1:25">
      <c r="A69" s="6" t="s">
        <v>404</v>
      </c>
      <c r="B69" s="57" t="s">
        <v>58</v>
      </c>
      <c r="C69" s="118">
        <f>Model!AB53</f>
        <v>139</v>
      </c>
      <c r="D69" s="118">
        <f>Model!AE53</f>
        <v>286.7</v>
      </c>
      <c r="E69" s="118">
        <f>Model!AH53</f>
        <v>510.31828824912941</v>
      </c>
      <c r="F69" s="118">
        <f>Model!AK53</f>
        <v>773.4253581352549</v>
      </c>
      <c r="G69" s="118">
        <f>Model!AN53</f>
        <v>1049.7492825168918</v>
      </c>
      <c r="H69" s="118">
        <f>Model!AQ53</f>
        <v>1333.570301748789</v>
      </c>
      <c r="I69" s="118">
        <f>Model!AT53</f>
        <v>1620.9501247563933</v>
      </c>
      <c r="J69" s="118">
        <f>Model!AW53</f>
        <v>1917.5977894443288</v>
      </c>
      <c r="K69" s="118">
        <f>Model!AZ53</f>
        <v>2223.8128084915948</v>
      </c>
      <c r="L69" s="118">
        <f>Model!BC53</f>
        <v>2539.1566540933704</v>
      </c>
      <c r="P69" s="192"/>
      <c r="Q69" s="192"/>
      <c r="R69" s="192"/>
      <c r="S69" s="192"/>
      <c r="T69" s="192"/>
      <c r="U69" s="192"/>
      <c r="V69" s="192"/>
      <c r="W69" s="192"/>
      <c r="X69" s="192"/>
      <c r="Y69" s="192"/>
    </row>
    <row r="70" spans="1:25">
      <c r="A70" s="6" t="s">
        <v>141</v>
      </c>
      <c r="B70" s="57" t="s">
        <v>58</v>
      </c>
      <c r="C70" s="118">
        <f>Model!AB55</f>
        <v>61.6</v>
      </c>
      <c r="D70" s="118">
        <f>Model!AE55</f>
        <v>69.599999999999994</v>
      </c>
      <c r="E70" s="118">
        <f>Model!AH55</f>
        <v>74.2</v>
      </c>
      <c r="F70" s="118">
        <f>Model!AK55</f>
        <v>88.100000000000009</v>
      </c>
      <c r="G70" s="118">
        <f>Model!AN55</f>
        <v>102.00000000000001</v>
      </c>
      <c r="H70" s="118">
        <f>Model!AQ55</f>
        <v>115.90000000000002</v>
      </c>
      <c r="I70" s="118">
        <f>Model!AT55</f>
        <v>129.80000000000001</v>
      </c>
      <c r="J70" s="118">
        <f>Model!AW55</f>
        <v>143.69999999999999</v>
      </c>
      <c r="K70" s="118">
        <f>Model!AZ55</f>
        <v>157.59999999999997</v>
      </c>
      <c r="L70" s="118">
        <f>Model!BC55</f>
        <v>171.49999999999994</v>
      </c>
      <c r="P70" s="192"/>
      <c r="Q70" s="192"/>
      <c r="R70" s="192"/>
      <c r="S70" s="192"/>
      <c r="T70" s="192"/>
      <c r="U70" s="192"/>
      <c r="V70" s="192"/>
      <c r="W70" s="192"/>
      <c r="X70" s="192"/>
      <c r="Y70" s="192"/>
    </row>
    <row r="71" spans="1:25">
      <c r="A71" s="8" t="s">
        <v>405</v>
      </c>
      <c r="B71" s="55" t="s">
        <v>58</v>
      </c>
      <c r="C71" s="189">
        <f>Model!AB56</f>
        <v>845.49999999999989</v>
      </c>
      <c r="D71" s="189">
        <f>Model!AE56</f>
        <v>891.50000000000011</v>
      </c>
      <c r="E71" s="189">
        <f>Model!AH56</f>
        <v>1134.9182882491295</v>
      </c>
      <c r="F71" s="189">
        <f>Model!AK56</f>
        <v>1411.925358135255</v>
      </c>
      <c r="G71" s="189">
        <f>Model!AN56</f>
        <v>1702.1492825168918</v>
      </c>
      <c r="H71" s="189">
        <f>Model!AQ56</f>
        <v>1999.8703017487892</v>
      </c>
      <c r="I71" s="189">
        <f>Model!AT56</f>
        <v>2301.1501247563938</v>
      </c>
      <c r="J71" s="189">
        <f>Model!AW56</f>
        <v>2611.6977894443289</v>
      </c>
      <c r="K71" s="189">
        <f>Model!AZ56</f>
        <v>2931.8128084915948</v>
      </c>
      <c r="L71" s="189">
        <f>Model!BC56</f>
        <v>3261.0566540933705</v>
      </c>
      <c r="P71" s="192"/>
      <c r="Q71" s="192"/>
      <c r="R71" s="192"/>
      <c r="S71" s="192"/>
      <c r="T71" s="192"/>
      <c r="U71" s="192"/>
      <c r="V71" s="192"/>
      <c r="W71" s="192"/>
      <c r="X71" s="192"/>
      <c r="Y71" s="192"/>
    </row>
    <row r="72" spans="1:25">
      <c r="U72" s="192"/>
      <c r="V72" s="192"/>
      <c r="W72" s="192"/>
      <c r="X72" s="192"/>
      <c r="Y72" s="192"/>
    </row>
    <row r="73" spans="1:25">
      <c r="U73" s="192"/>
      <c r="V73" s="192"/>
      <c r="W73" s="192"/>
      <c r="X73" s="192"/>
      <c r="Y73" s="192"/>
    </row>
    <row r="74" spans="1:25">
      <c r="U74" s="192"/>
      <c r="V74" s="192"/>
      <c r="W74" s="192"/>
      <c r="X74" s="192"/>
      <c r="Y74" s="192"/>
    </row>
  </sheetData>
  <mergeCells count="1">
    <mergeCell ref="Q2:U2"/>
  </mergeCells>
  <pageMargins left="0" right="0" top="0" bottom="0" header="0.3" footer="0.3"/>
  <pageSetup paperSize="9" scale="55" orientation="portrait" r:id="rId1"/>
  <colBreaks count="1" manualBreakCount="1">
    <brk id="25" max="7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  <pageSetUpPr fitToPage="1"/>
  </sheetPr>
  <dimension ref="A1:Q128"/>
  <sheetViews>
    <sheetView showGridLines="0" zoomScale="85" zoomScaleNormal="85" workbookViewId="0">
      <selection activeCell="B1" sqref="B1"/>
    </sheetView>
  </sheetViews>
  <sheetFormatPr defaultRowHeight="11.25" outlineLevelRow="1"/>
  <cols>
    <col min="1" max="1" width="2.5703125" style="215" customWidth="1"/>
    <col min="2" max="2" width="20.7109375" style="215" bestFit="1" customWidth="1"/>
    <col min="3" max="3" width="8.42578125" style="215" bestFit="1" customWidth="1"/>
    <col min="4" max="16384" width="9.140625" style="215"/>
  </cols>
  <sheetData>
    <row r="1" spans="1:16">
      <c r="A1" s="214" t="s">
        <v>491</v>
      </c>
    </row>
    <row r="2" spans="1:16">
      <c r="A2" s="214"/>
    </row>
    <row r="3" spans="1:16">
      <c r="B3" s="216"/>
      <c r="C3" s="217"/>
      <c r="D3" s="217"/>
      <c r="E3" s="1080" t="s">
        <v>417</v>
      </c>
      <c r="F3" s="1081"/>
      <c r="G3" s="1080" t="s">
        <v>418</v>
      </c>
      <c r="H3" s="1081"/>
      <c r="I3" s="1080" t="s">
        <v>419</v>
      </c>
      <c r="J3" s="1082"/>
    </row>
    <row r="4" spans="1:16">
      <c r="B4" s="218" t="s">
        <v>759</v>
      </c>
      <c r="C4" s="219" t="s">
        <v>420</v>
      </c>
      <c r="D4" s="219" t="s">
        <v>421</v>
      </c>
      <c r="E4" s="220" t="s">
        <v>422</v>
      </c>
      <c r="F4" s="219" t="s">
        <v>423</v>
      </c>
      <c r="G4" s="220" t="s">
        <v>422</v>
      </c>
      <c r="H4" s="219" t="s">
        <v>423</v>
      </c>
      <c r="I4" s="220" t="s">
        <v>422</v>
      </c>
      <c r="J4" s="221" t="s">
        <v>423</v>
      </c>
      <c r="L4" s="222"/>
      <c r="M4" s="223" t="s">
        <v>422</v>
      </c>
      <c r="N4" s="223" t="s">
        <v>423</v>
      </c>
      <c r="O4" s="223" t="s">
        <v>424</v>
      </c>
      <c r="P4" s="223" t="s">
        <v>425</v>
      </c>
    </row>
    <row r="5" spans="1:16">
      <c r="B5" s="224" t="s">
        <v>159</v>
      </c>
      <c r="C5" s="225">
        <f>1/3</f>
        <v>0.33333333333333331</v>
      </c>
      <c r="D5" s="226">
        <f>ROUND(E42,1)</f>
        <v>14.5</v>
      </c>
      <c r="E5" s="227">
        <f>((D5*D41*C54)-E67-E68)/M5</f>
        <v>11.456070542630085</v>
      </c>
      <c r="F5" s="228">
        <f>((D5*D41*C54)-E67-E68)/N5</f>
        <v>10.724319611912085</v>
      </c>
      <c r="G5" s="227">
        <f>((D5*D41*C54)-E67-E68)/M6</f>
        <v>15.166633178097936</v>
      </c>
      <c r="H5" s="228">
        <f>((D5*D41*C54)-E67-E68)/N6</f>
        <v>13.944215830830148</v>
      </c>
      <c r="I5" s="227">
        <f>+D5*$D$41/M7</f>
        <v>17.466165207129411</v>
      </c>
      <c r="J5" s="229">
        <f>+D5*$D$41/N7</f>
        <v>15.830462359253396</v>
      </c>
      <c r="L5" s="230">
        <v>19.8</v>
      </c>
      <c r="M5" s="231">
        <f>'Financial Summary'!E6</f>
        <v>1514.7902765109873</v>
      </c>
      <c r="N5" s="231">
        <f>'Financial Summary'!F6</f>
        <v>1618.1487397787434</v>
      </c>
      <c r="O5" s="231">
        <f>'Financial Summary'!G6</f>
        <v>1719.9525536146616</v>
      </c>
      <c r="P5" s="231">
        <f>'Financial Summary'!H6</f>
        <v>1764.9539246601814</v>
      </c>
    </row>
    <row r="6" spans="1:16">
      <c r="B6" s="224" t="s">
        <v>165</v>
      </c>
      <c r="C6" s="225">
        <f>1/3</f>
        <v>0.33333333333333331</v>
      </c>
      <c r="D6" s="226">
        <f>ROUND(H73,1)</f>
        <v>13.2</v>
      </c>
      <c r="E6" s="227">
        <f>((D6*D41*C54)-E67-E68)/M5</f>
        <v>10.690750643911029</v>
      </c>
      <c r="F6" s="228">
        <f>((D6*D41*C54)-E67-E68)/N5</f>
        <v>10.007884149274382</v>
      </c>
      <c r="G6" s="227">
        <f>((D6*D41*C54)-E67-E68)/M6</f>
        <v>14.15343007982981</v>
      </c>
      <c r="H6" s="228">
        <f>((D6*D41*C54)-E67-E68)/N6</f>
        <v>13.012676014655309</v>
      </c>
      <c r="I6" s="227">
        <f>+D6*$D$41/M7</f>
        <v>15.900233154076428</v>
      </c>
      <c r="J6" s="229">
        <f>+D6*$D$41/N7</f>
        <v>14.411179527044469</v>
      </c>
      <c r="L6" s="222" t="s">
        <v>57</v>
      </c>
      <c r="M6" s="231">
        <f>'Financial Summary'!E9</f>
        <v>1144.1922581776539</v>
      </c>
      <c r="N6" s="231">
        <f>'Financial Summary'!F9</f>
        <v>1244.4976810120766</v>
      </c>
      <c r="O6" s="231">
        <f>'Financial Summary'!G9</f>
        <v>1327.8571416563282</v>
      </c>
      <c r="P6" s="231">
        <f>'Financial Summary'!H9</f>
        <v>1368.9375585822647</v>
      </c>
    </row>
    <row r="7" spans="1:16">
      <c r="B7" s="232" t="s">
        <v>364</v>
      </c>
      <c r="C7" s="233">
        <f>1/3</f>
        <v>0.33333333333333331</v>
      </c>
      <c r="D7" s="234">
        <f>D127</f>
        <v>14.7</v>
      </c>
      <c r="E7" s="235">
        <f>((D7*D41*C54)-E67-E68)/M5</f>
        <v>11.573812065509939</v>
      </c>
      <c r="F7" s="236">
        <f>((D7*D41*C54)-E67-E68)/N5</f>
        <v>10.834540452317885</v>
      </c>
      <c r="G7" s="235">
        <f>((D7*D41*C54)-E67-E68)/M6</f>
        <v>15.322510577831491</v>
      </c>
      <c r="H7" s="236">
        <f>((D7*D41*C54)-E67-E68)/N6</f>
        <v>14.087529648703196</v>
      </c>
      <c r="I7" s="235">
        <f>+D7*$D$41/M7</f>
        <v>17.70707783067602</v>
      </c>
      <c r="J7" s="237">
        <f>+D7*$D$41/N7</f>
        <v>16.048813564208611</v>
      </c>
      <c r="L7" s="222" t="s">
        <v>160</v>
      </c>
      <c r="M7" s="238">
        <f>'Financial Summary'!E19</f>
        <v>0.6392359094051524</v>
      </c>
      <c r="N7" s="238">
        <f>'Financial Summary'!F19</f>
        <v>0.70528578045439794</v>
      </c>
      <c r="O7" s="238">
        <f>'Financial Summary'!G19</f>
        <v>0.7683528521767844</v>
      </c>
      <c r="P7" s="238">
        <f>'Financial Summary'!H19</f>
        <v>0.80610031638396684</v>
      </c>
    </row>
    <row r="8" spans="1:16">
      <c r="B8" s="871" t="s">
        <v>769</v>
      </c>
      <c r="C8" s="872"/>
      <c r="D8" s="873">
        <f>ROUND(IFERROR((D5*C5)+(D6*C6)+(D7*C7),""),1)</f>
        <v>14.1</v>
      </c>
      <c r="E8" s="242">
        <f>((D8*D41*C54)-E67-E68)/M5</f>
        <v>11.220587496870372</v>
      </c>
      <c r="F8" s="243">
        <f>((D8*D41*C54)-E67-E68)/N5</f>
        <v>10.503877931100481</v>
      </c>
      <c r="G8" s="242">
        <f>((D8*D41*C54)-E67-E68)/M6</f>
        <v>14.854878378630815</v>
      </c>
      <c r="H8" s="243">
        <f>((D8*D41*C54)-E67-E68)/N6</f>
        <v>13.657588195084038</v>
      </c>
      <c r="I8" s="242">
        <f>+D8*D41/M7</f>
        <v>16.984339960036184</v>
      </c>
      <c r="J8" s="244">
        <f>+D8*D41/N7</f>
        <v>15.393759949342956</v>
      </c>
    </row>
    <row r="9" spans="1:16">
      <c r="B9" s="871" t="s">
        <v>768</v>
      </c>
      <c r="C9" s="225"/>
      <c r="D9" s="880">
        <f>I25</f>
        <v>4.9645390070921981E-2</v>
      </c>
      <c r="E9" s="868"/>
      <c r="F9" s="869"/>
      <c r="G9" s="868"/>
      <c r="H9" s="869"/>
      <c r="I9" s="868"/>
      <c r="J9" s="870"/>
    </row>
    <row r="10" spans="1:16">
      <c r="B10" s="874" t="s">
        <v>762</v>
      </c>
      <c r="C10" s="875"/>
      <c r="D10" s="876">
        <f>D8+H25</f>
        <v>14.799999999999999</v>
      </c>
      <c r="E10" s="868">
        <f>((D10*D41*C54)-E67-E68)/M5</f>
        <v>11.632682826949866</v>
      </c>
      <c r="F10" s="869">
        <f>((D10*D41*C54)-E67-E68)/N5</f>
        <v>10.889650872520784</v>
      </c>
      <c r="G10" s="868">
        <f>((D10*D41*C54)-E67-E68)/M6</f>
        <v>15.400449277698268</v>
      </c>
      <c r="H10" s="869">
        <f>((D10*D41*C54)-E67-E68)/N6</f>
        <v>14.159186557639721</v>
      </c>
      <c r="I10" s="868">
        <f>+D10*D41/M7</f>
        <v>17.827534142449327</v>
      </c>
      <c r="J10" s="870">
        <f>+D10*D41/N7</f>
        <v>16.157989166686221</v>
      </c>
    </row>
    <row r="11" spans="1:16">
      <c r="B11" s="245" t="s">
        <v>426</v>
      </c>
      <c r="C11" s="246"/>
      <c r="D11" s="247">
        <f>F19</f>
        <v>2.9197080291970767E-2</v>
      </c>
      <c r="E11" s="248"/>
      <c r="F11" s="249"/>
      <c r="G11" s="248"/>
      <c r="H11" s="249"/>
      <c r="I11" s="248"/>
      <c r="J11" s="250"/>
    </row>
    <row r="12" spans="1:16">
      <c r="B12" s="251" t="s">
        <v>427</v>
      </c>
      <c r="C12" s="252"/>
      <c r="D12" s="253">
        <f>IFERROR(D10/'Financial Summary'!AB3-1,"nm")</f>
        <v>5.8655221745350428E-2</v>
      </c>
      <c r="E12" s="232"/>
      <c r="F12" s="254"/>
      <c r="G12" s="232"/>
      <c r="H12" s="254"/>
      <c r="I12" s="232"/>
      <c r="J12" s="255"/>
    </row>
    <row r="13" spans="1:16">
      <c r="A13" s="256"/>
      <c r="B13" s="256"/>
      <c r="C13" s="257"/>
      <c r="D13" s="256"/>
      <c r="E13" s="256"/>
      <c r="F13" s="256"/>
      <c r="G13" s="256"/>
      <c r="H13" s="256"/>
      <c r="I13" s="256"/>
      <c r="J13" s="256"/>
    </row>
    <row r="14" spans="1:16">
      <c r="A14" s="256"/>
      <c r="B14" s="256"/>
      <c r="C14" s="257"/>
      <c r="D14" s="256"/>
      <c r="E14" s="256"/>
      <c r="F14" s="256"/>
      <c r="G14" s="256"/>
      <c r="H14" s="256"/>
      <c r="I14" s="256"/>
      <c r="J14" s="256"/>
    </row>
    <row r="15" spans="1:16" ht="11.25" customHeight="1">
      <c r="A15" s="256"/>
      <c r="B15" s="258" t="s">
        <v>759</v>
      </c>
      <c r="C15" s="259"/>
      <c r="D15" s="260" t="s">
        <v>428</v>
      </c>
      <c r="E15" s="261" t="s">
        <v>429</v>
      </c>
      <c r="F15" s="261" t="s">
        <v>198</v>
      </c>
      <c r="G15" s="256"/>
      <c r="H15" s="256"/>
      <c r="I15" s="256"/>
      <c r="J15" s="256"/>
    </row>
    <row r="16" spans="1:16" ht="11.25" customHeight="1">
      <c r="A16" s="256"/>
      <c r="B16" s="256" t="s">
        <v>159</v>
      </c>
      <c r="C16" s="225"/>
      <c r="D16" s="226">
        <f t="shared" ref="D16:D21" si="0">D5</f>
        <v>14.5</v>
      </c>
      <c r="E16" s="226">
        <v>14.1</v>
      </c>
      <c r="F16" s="323">
        <f>D16/E16-1</f>
        <v>2.8368794326241176E-2</v>
      </c>
      <c r="G16" s="256"/>
      <c r="H16" s="256"/>
      <c r="I16" s="256"/>
      <c r="J16" s="256"/>
    </row>
    <row r="17" spans="1:10" ht="11.25" customHeight="1">
      <c r="A17" s="256"/>
      <c r="B17" s="256" t="s">
        <v>165</v>
      </c>
      <c r="C17" s="225"/>
      <c r="D17" s="226">
        <f t="shared" si="0"/>
        <v>13.2</v>
      </c>
      <c r="E17" s="226">
        <v>12.9</v>
      </c>
      <c r="F17" s="323">
        <f>D17/E17-1</f>
        <v>2.3255813953488191E-2</v>
      </c>
      <c r="G17" s="256"/>
      <c r="H17" s="256"/>
      <c r="I17" s="256"/>
      <c r="J17" s="256"/>
    </row>
    <row r="18" spans="1:10" ht="11.25" customHeight="1">
      <c r="A18" s="256"/>
      <c r="B18" s="256" t="s">
        <v>364</v>
      </c>
      <c r="C18" s="225"/>
      <c r="D18" s="226">
        <f t="shared" si="0"/>
        <v>14.7</v>
      </c>
      <c r="E18" s="234">
        <v>14</v>
      </c>
      <c r="F18" s="323">
        <f>D18/E18-1</f>
        <v>5.0000000000000044E-2</v>
      </c>
      <c r="G18" s="256"/>
      <c r="H18" s="256"/>
      <c r="I18" s="256"/>
      <c r="J18" s="256"/>
    </row>
    <row r="19" spans="1:10" ht="11.25" customHeight="1">
      <c r="B19" s="239" t="s">
        <v>769</v>
      </c>
      <c r="C19" s="240"/>
      <c r="D19" s="241">
        <f t="shared" si="0"/>
        <v>14.1</v>
      </c>
      <c r="E19" s="241">
        <v>13.7</v>
      </c>
      <c r="F19" s="323">
        <f>D19/E19-1</f>
        <v>2.9197080291970767E-2</v>
      </c>
      <c r="G19" s="256"/>
      <c r="H19" s="256"/>
      <c r="I19" s="256"/>
      <c r="J19" s="256"/>
    </row>
    <row r="20" spans="1:10" ht="11.25" customHeight="1">
      <c r="B20" s="866" t="s">
        <v>766</v>
      </c>
      <c r="C20" s="246"/>
      <c r="D20" s="1069">
        <f t="shared" si="0"/>
        <v>4.9645390070921981E-2</v>
      </c>
      <c r="E20" s="1069">
        <v>5.1094890510948905E-2</v>
      </c>
      <c r="F20" s="323"/>
      <c r="G20" s="256"/>
      <c r="H20" s="256"/>
      <c r="I20" s="256"/>
      <c r="J20" s="256"/>
    </row>
    <row r="21" spans="1:10" ht="11.25" customHeight="1">
      <c r="B21" s="249" t="s">
        <v>367</v>
      </c>
      <c r="C21" s="246"/>
      <c r="D21" s="890">
        <f t="shared" si="0"/>
        <v>14.799999999999999</v>
      </c>
      <c r="E21" s="890">
        <v>14.399999999999999</v>
      </c>
      <c r="F21" s="323">
        <f>D21/E21-1</f>
        <v>2.7777777777777901E-2</v>
      </c>
      <c r="G21" s="256"/>
      <c r="H21" s="256"/>
      <c r="I21" s="256"/>
      <c r="J21" s="256"/>
    </row>
    <row r="22" spans="1:10">
      <c r="B22" s="249"/>
      <c r="C22" s="246"/>
      <c r="D22" s="246"/>
      <c r="E22" s="246"/>
      <c r="F22" s="246"/>
      <c r="G22" s="246"/>
      <c r="H22" s="256"/>
      <c r="I22" s="256"/>
      <c r="J22" s="256"/>
    </row>
    <row r="23" spans="1:10">
      <c r="B23" s="262" t="s">
        <v>430</v>
      </c>
      <c r="C23" s="252"/>
      <c r="D23" s="263" t="s">
        <v>428</v>
      </c>
      <c r="E23" s="261" t="s">
        <v>429</v>
      </c>
      <c r="F23" s="261" t="s">
        <v>198</v>
      </c>
      <c r="G23" s="854"/>
      <c r="H23" s="866" t="s">
        <v>763</v>
      </c>
      <c r="I23" s="866" t="s">
        <v>767</v>
      </c>
      <c r="J23" s="256"/>
    </row>
    <row r="24" spans="1:10" ht="14.25" customHeight="1">
      <c r="B24" s="245" t="s">
        <v>431</v>
      </c>
      <c r="C24" s="246"/>
      <c r="D24" s="226">
        <f>18.5+H24</f>
        <v>19.600000000000001</v>
      </c>
      <c r="E24" s="264">
        <v>19</v>
      </c>
      <c r="F24" s="324">
        <f>D24/E24-1</f>
        <v>3.1578947368421151E-2</v>
      </c>
      <c r="G24" s="855"/>
      <c r="H24" s="867">
        <v>1.1000000000000001</v>
      </c>
      <c r="I24" s="855">
        <f>H24/$D$8</f>
        <v>7.8014184397163122E-2</v>
      </c>
      <c r="J24" s="256"/>
    </row>
    <row r="25" spans="1:10" ht="14.25" customHeight="1">
      <c r="B25" s="245" t="s">
        <v>432</v>
      </c>
      <c r="C25" s="246"/>
      <c r="D25" s="226">
        <f>D10</f>
        <v>14.799999999999999</v>
      </c>
      <c r="E25" s="226">
        <f>E21</f>
        <v>14.399999999999999</v>
      </c>
      <c r="F25" s="325">
        <f>D25/E25-1</f>
        <v>2.7777777777777901E-2</v>
      </c>
      <c r="G25" s="256"/>
      <c r="H25" s="867">
        <f>ROUND(AVERAGE(H24,H26),1)</f>
        <v>0.7</v>
      </c>
      <c r="I25" s="855">
        <f t="shared" ref="I25:I26" si="1">H25/$D$8</f>
        <v>4.9645390070921981E-2</v>
      </c>
      <c r="J25" s="256"/>
    </row>
    <row r="26" spans="1:10" s="254" customFormat="1" ht="14.25" customHeight="1">
      <c r="B26" s="251" t="s">
        <v>433</v>
      </c>
      <c r="C26" s="252"/>
      <c r="D26" s="234">
        <f>11.3+H26</f>
        <v>11.600000000000001</v>
      </c>
      <c r="E26" s="234">
        <v>11.4</v>
      </c>
      <c r="F26" s="326">
        <f>D26/E26-1</f>
        <v>1.7543859649122862E-2</v>
      </c>
      <c r="G26" s="856"/>
      <c r="H26" s="867">
        <f>ROUND((0.02*'Financial Summary'!T15),1)</f>
        <v>0.3</v>
      </c>
      <c r="I26" s="855">
        <f t="shared" si="1"/>
        <v>2.1276595744680851E-2</v>
      </c>
    </row>
    <row r="28" spans="1:10" collapsed="1">
      <c r="A28" s="1083">
        <f>+D5</f>
        <v>14.5</v>
      </c>
      <c r="B28" s="1083"/>
      <c r="C28" s="1083"/>
      <c r="D28" s="1083"/>
    </row>
    <row r="29" spans="1:10" hidden="1" outlineLevel="1">
      <c r="A29" s="230"/>
      <c r="B29" s="214" t="s">
        <v>434</v>
      </c>
    </row>
    <row r="30" spans="1:10" hidden="1" outlineLevel="1">
      <c r="B30" s="265" t="s">
        <v>435</v>
      </c>
      <c r="C30" s="266" t="s">
        <v>436</v>
      </c>
      <c r="D30" s="266" t="s">
        <v>15</v>
      </c>
      <c r="E30" s="266" t="s">
        <v>18</v>
      </c>
      <c r="F30" s="266" t="s">
        <v>21</v>
      </c>
    </row>
    <row r="31" spans="1:10" hidden="1" outlineLevel="1">
      <c r="B31" s="215" t="s">
        <v>437</v>
      </c>
      <c r="C31" s="267"/>
      <c r="D31" s="267">
        <v>20.5</v>
      </c>
      <c r="E31" s="267">
        <v>18.75</v>
      </c>
      <c r="F31" s="267">
        <v>17.600000000000001</v>
      </c>
      <c r="H31" s="852"/>
    </row>
    <row r="32" spans="1:10" hidden="1" outlineLevel="1">
      <c r="B32" s="215" t="s">
        <v>438</v>
      </c>
      <c r="C32" s="215">
        <v>18.5</v>
      </c>
      <c r="D32" s="268">
        <v>20.5</v>
      </c>
      <c r="E32" s="268">
        <v>18.75</v>
      </c>
      <c r="F32" s="215">
        <v>17.600000000000001</v>
      </c>
    </row>
    <row r="33" spans="1:6" hidden="1" outlineLevel="1"/>
    <row r="34" spans="1:6" hidden="1" outlineLevel="1">
      <c r="B34" s="214" t="s">
        <v>439</v>
      </c>
    </row>
    <row r="35" spans="1:6" hidden="1" outlineLevel="1">
      <c r="B35" s="239" t="s">
        <v>440</v>
      </c>
      <c r="C35" s="269"/>
      <c r="D35" s="270" t="s">
        <v>15</v>
      </c>
      <c r="E35" s="270" t="s">
        <v>18</v>
      </c>
      <c r="F35" s="271" t="s">
        <v>21</v>
      </c>
    </row>
    <row r="36" spans="1:6" hidden="1" outlineLevel="1">
      <c r="B36" s="224" t="s">
        <v>761</v>
      </c>
      <c r="C36" s="256"/>
      <c r="D36" s="272">
        <f>'Financial Summary'!E19</f>
        <v>0.6392359094051524</v>
      </c>
      <c r="E36" s="272">
        <f>'Financial Summary'!F19</f>
        <v>0.70528578045439794</v>
      </c>
      <c r="F36" s="273">
        <f>'Financial Summary'!G19</f>
        <v>0.7683528521767844</v>
      </c>
    </row>
    <row r="37" spans="1:6" hidden="1" outlineLevel="1">
      <c r="B37" s="274" t="s">
        <v>441</v>
      </c>
      <c r="C37" s="256"/>
      <c r="D37" s="275">
        <f>D32</f>
        <v>20.5</v>
      </c>
      <c r="E37" s="275">
        <f t="shared" ref="E37:F37" si="2">E32</f>
        <v>18.75</v>
      </c>
      <c r="F37" s="276">
        <f t="shared" si="2"/>
        <v>17.600000000000001</v>
      </c>
    </row>
    <row r="38" spans="1:6" hidden="1" outlineLevel="1">
      <c r="B38" s="274" t="s">
        <v>442</v>
      </c>
      <c r="C38" s="256"/>
      <c r="D38" s="225">
        <v>0</v>
      </c>
      <c r="E38" s="225">
        <v>-0.15</v>
      </c>
      <c r="F38" s="277">
        <v>0</v>
      </c>
    </row>
    <row r="39" spans="1:6" hidden="1" outlineLevel="1">
      <c r="B39" s="224" t="s">
        <v>443</v>
      </c>
      <c r="C39" s="256"/>
      <c r="D39" s="275">
        <f>(1+D38)*D37</f>
        <v>20.5</v>
      </c>
      <c r="E39" s="275">
        <f>(1+E38)*E37</f>
        <v>15.9375</v>
      </c>
      <c r="F39" s="276">
        <f>(1+F38)*F37</f>
        <v>17.600000000000001</v>
      </c>
    </row>
    <row r="40" spans="1:6" hidden="1" outlineLevel="1">
      <c r="B40" s="239" t="s">
        <v>444</v>
      </c>
      <c r="C40" s="269"/>
      <c r="D40" s="278">
        <f>ROUND((D39*D36),1)</f>
        <v>13.1</v>
      </c>
      <c r="E40" s="279">
        <f>ROUND((E39*E36),1)</f>
        <v>11.2</v>
      </c>
      <c r="F40" s="280">
        <f>ROUND((F39*F36),1)</f>
        <v>13.5</v>
      </c>
    </row>
    <row r="41" spans="1:6" hidden="1" outlineLevel="1">
      <c r="B41" s="239" t="s">
        <v>760</v>
      </c>
      <c r="C41" s="256"/>
      <c r="D41" s="328">
        <f>'Financial Summary'!AB5</f>
        <v>0.77</v>
      </c>
      <c r="E41" s="328">
        <f>D41</f>
        <v>0.77</v>
      </c>
      <c r="F41" s="329">
        <f>E41</f>
        <v>0.77</v>
      </c>
    </row>
    <row r="42" spans="1:6" hidden="1" outlineLevel="1">
      <c r="B42" s="239" t="s">
        <v>444</v>
      </c>
      <c r="C42" s="269"/>
      <c r="D42" s="278">
        <f>ROUND(D40/D41,1)</f>
        <v>17</v>
      </c>
      <c r="E42" s="279">
        <f>ROUND(E40/E41,1)</f>
        <v>14.5</v>
      </c>
      <c r="F42" s="280">
        <f>ROUND(F40/F41,1)</f>
        <v>17.5</v>
      </c>
    </row>
    <row r="44" spans="1:6" collapsed="1">
      <c r="A44" s="1084">
        <f>+D6</f>
        <v>13.2</v>
      </c>
      <c r="B44" s="1084"/>
      <c r="C44" s="1084"/>
      <c r="D44" s="1084"/>
    </row>
    <row r="45" spans="1:6" hidden="1" outlineLevel="1">
      <c r="B45" s="214" t="s">
        <v>434</v>
      </c>
    </row>
    <row r="46" spans="1:6" hidden="1" outlineLevel="1">
      <c r="B46" s="281" t="s">
        <v>445</v>
      </c>
      <c r="C46" s="282">
        <f>Model!AE55</f>
        <v>69.599999999999994</v>
      </c>
    </row>
    <row r="47" spans="1:6" hidden="1" outlineLevel="1">
      <c r="B47" s="281" t="s">
        <v>446</v>
      </c>
      <c r="C47" s="283">
        <v>0</v>
      </c>
    </row>
    <row r="48" spans="1:6" hidden="1" outlineLevel="1">
      <c r="B48" s="284" t="s">
        <v>447</v>
      </c>
      <c r="C48" s="282">
        <f>+C47+C46</f>
        <v>69.599999999999994</v>
      </c>
    </row>
    <row r="49" spans="2:11" hidden="1" outlineLevel="1">
      <c r="B49" s="281" t="s">
        <v>445</v>
      </c>
      <c r="C49" s="282">
        <f>Model!AF144</f>
        <v>4353.3000000000011</v>
      </c>
      <c r="D49" s="282"/>
      <c r="E49" s="282"/>
      <c r="F49" s="282"/>
    </row>
    <row r="50" spans="2:11" hidden="1" outlineLevel="1">
      <c r="B50" s="281" t="s">
        <v>446</v>
      </c>
      <c r="C50" s="283">
        <v>0</v>
      </c>
      <c r="D50" s="282"/>
      <c r="E50" s="282"/>
      <c r="F50" s="282"/>
    </row>
    <row r="51" spans="2:11" hidden="1" outlineLevel="1">
      <c r="B51" s="285" t="s">
        <v>448</v>
      </c>
      <c r="C51" s="286">
        <f>+C50+C49</f>
        <v>4353.3000000000011</v>
      </c>
    </row>
    <row r="52" spans="2:11" hidden="1" outlineLevel="1">
      <c r="B52" s="281" t="s">
        <v>445</v>
      </c>
      <c r="C52" s="287">
        <f>Model!AE172</f>
        <v>1158.1410000000001</v>
      </c>
    </row>
    <row r="53" spans="2:11" hidden="1" outlineLevel="1">
      <c r="B53" s="281" t="s">
        <v>446</v>
      </c>
      <c r="C53" s="288">
        <v>0</v>
      </c>
    </row>
    <row r="54" spans="2:11" hidden="1" outlineLevel="1">
      <c r="B54" s="285" t="s">
        <v>449</v>
      </c>
      <c r="C54" s="286">
        <f>+C53+C52</f>
        <v>1158.1410000000001</v>
      </c>
    </row>
    <row r="55" spans="2:11" hidden="1" outlineLevel="1">
      <c r="B55" s="265" t="s">
        <v>450</v>
      </c>
      <c r="D55" s="266" t="s">
        <v>15</v>
      </c>
      <c r="E55" s="266" t="s">
        <v>18</v>
      </c>
      <c r="F55" s="266" t="s">
        <v>21</v>
      </c>
    </row>
    <row r="56" spans="2:11" hidden="1" outlineLevel="1">
      <c r="B56" s="215" t="s">
        <v>451</v>
      </c>
    </row>
    <row r="57" spans="2:11" hidden="1" outlineLevel="1">
      <c r="B57" s="281" t="s">
        <v>492</v>
      </c>
      <c r="D57" s="289">
        <v>13.417948150720953</v>
      </c>
      <c r="E57" s="289">
        <v>12.130934446262975</v>
      </c>
      <c r="F57" s="290"/>
    </row>
    <row r="58" spans="2:11" hidden="1" outlineLevel="1">
      <c r="B58" s="215" t="s">
        <v>452</v>
      </c>
      <c r="D58" s="291"/>
      <c r="E58" s="291"/>
      <c r="F58" s="291"/>
    </row>
    <row r="59" spans="2:11" hidden="1" outlineLevel="1">
      <c r="B59" s="281" t="s">
        <v>492</v>
      </c>
      <c r="D59" s="291">
        <v>15</v>
      </c>
      <c r="E59" s="291">
        <v>13</v>
      </c>
      <c r="F59" s="291"/>
    </row>
    <row r="60" spans="2:11" hidden="1" outlineLevel="1">
      <c r="B60" s="215" t="s">
        <v>453</v>
      </c>
    </row>
    <row r="61" spans="2:11" hidden="1" outlineLevel="1">
      <c r="B61" s="281" t="s">
        <v>492</v>
      </c>
      <c r="D61" s="292">
        <v>0</v>
      </c>
      <c r="E61" s="292">
        <v>0</v>
      </c>
      <c r="F61" s="292">
        <v>0</v>
      </c>
    </row>
    <row r="62" spans="2:11" hidden="1" outlineLevel="1"/>
    <row r="63" spans="2:11" hidden="1" outlineLevel="1">
      <c r="B63" s="214" t="s">
        <v>439</v>
      </c>
    </row>
    <row r="64" spans="2:11" hidden="1" outlineLevel="1">
      <c r="B64" s="293"/>
      <c r="C64" s="293"/>
      <c r="D64" s="294" t="s">
        <v>15</v>
      </c>
      <c r="E64" s="295"/>
      <c r="F64" s="293"/>
      <c r="G64" s="294" t="s">
        <v>18</v>
      </c>
      <c r="H64" s="295"/>
      <c r="I64" s="293"/>
      <c r="J64" s="294" t="s">
        <v>21</v>
      </c>
      <c r="K64" s="296"/>
    </row>
    <row r="65" spans="1:11" hidden="1" outlineLevel="1">
      <c r="B65" s="232" t="s">
        <v>102</v>
      </c>
      <c r="C65" s="297" t="s">
        <v>57</v>
      </c>
      <c r="D65" s="298" t="s">
        <v>454</v>
      </c>
      <c r="E65" s="298" t="s">
        <v>455</v>
      </c>
      <c r="F65" s="297" t="s">
        <v>57</v>
      </c>
      <c r="G65" s="298" t="s">
        <v>454</v>
      </c>
      <c r="H65" s="298" t="s">
        <v>455</v>
      </c>
      <c r="I65" s="297" t="s">
        <v>57</v>
      </c>
      <c r="J65" s="298" t="s">
        <v>454</v>
      </c>
      <c r="K65" s="299" t="s">
        <v>455</v>
      </c>
    </row>
    <row r="66" spans="1:11" hidden="1" outlineLevel="1">
      <c r="B66" s="248" t="s">
        <v>456</v>
      </c>
      <c r="C66" s="300">
        <f>Model!AH11</f>
        <v>1144.1922581776539</v>
      </c>
      <c r="D66" s="301">
        <f>+D59*(1+D61)</f>
        <v>15</v>
      </c>
      <c r="E66" s="302">
        <f>+D66*C66</f>
        <v>17162.88387266481</v>
      </c>
      <c r="F66" s="300">
        <f>Model!AK11</f>
        <v>1244.4976810120766</v>
      </c>
      <c r="G66" s="301">
        <f>+E59*(1+E61)</f>
        <v>13</v>
      </c>
      <c r="H66" s="302">
        <f>+G66*F66</f>
        <v>16178.469853156996</v>
      </c>
      <c r="I66" s="300">
        <f>Model!AN11</f>
        <v>1327.8571416563282</v>
      </c>
      <c r="J66" s="301">
        <f>+E59*(1+E61)</f>
        <v>13</v>
      </c>
      <c r="K66" s="302">
        <f>+J66*I66</f>
        <v>17262.142841532266</v>
      </c>
    </row>
    <row r="67" spans="1:11" hidden="1" outlineLevel="1">
      <c r="B67" s="274" t="s">
        <v>457</v>
      </c>
      <c r="C67" s="303"/>
      <c r="D67" s="256"/>
      <c r="E67" s="304">
        <f>-C51</f>
        <v>-4353.3000000000011</v>
      </c>
      <c r="F67" s="303"/>
      <c r="G67" s="256"/>
      <c r="H67" s="304">
        <f>+E67</f>
        <v>-4353.3000000000011</v>
      </c>
      <c r="I67" s="303"/>
      <c r="J67" s="256"/>
      <c r="K67" s="305">
        <f>+H67</f>
        <v>-4353.3000000000011</v>
      </c>
    </row>
    <row r="68" spans="1:11" hidden="1" outlineLevel="1">
      <c r="B68" s="274" t="s">
        <v>447</v>
      </c>
      <c r="C68" s="224"/>
      <c r="D68" s="256"/>
      <c r="E68" s="304">
        <f>-C48</f>
        <v>-69.599999999999994</v>
      </c>
      <c r="F68" s="224"/>
      <c r="G68" s="256"/>
      <c r="H68" s="304">
        <f>+E68</f>
        <v>-69.599999999999994</v>
      </c>
      <c r="I68" s="224"/>
      <c r="J68" s="256"/>
      <c r="K68" s="305">
        <f>+H68</f>
        <v>-69.599999999999994</v>
      </c>
    </row>
    <row r="69" spans="1:11" hidden="1" outlineLevel="1">
      <c r="B69" s="251" t="s">
        <v>96</v>
      </c>
      <c r="C69" s="232"/>
      <c r="D69" s="254"/>
      <c r="E69" s="306">
        <v>0</v>
      </c>
      <c r="F69" s="232"/>
      <c r="G69" s="254"/>
      <c r="H69" s="254">
        <f>+E69</f>
        <v>0</v>
      </c>
      <c r="I69" s="232"/>
      <c r="J69" s="254"/>
      <c r="K69" s="255">
        <f>+H69</f>
        <v>0</v>
      </c>
    </row>
    <row r="70" spans="1:11" hidden="1" outlineLevel="1">
      <c r="B70" s="248" t="s">
        <v>458</v>
      </c>
      <c r="C70" s="224"/>
      <c r="D70" s="256"/>
      <c r="E70" s="304">
        <f>+E66+E67+E68+E69</f>
        <v>12739.983872664809</v>
      </c>
      <c r="F70" s="224"/>
      <c r="G70" s="256"/>
      <c r="H70" s="304">
        <f>+H66+H67+H68+H69</f>
        <v>11755.569853156994</v>
      </c>
      <c r="I70" s="224"/>
      <c r="J70" s="256"/>
      <c r="K70" s="305">
        <f>+K66+K67+K68+K69</f>
        <v>12839.242841532265</v>
      </c>
    </row>
    <row r="71" spans="1:11" hidden="1" outlineLevel="1">
      <c r="B71" s="307" t="s">
        <v>175</v>
      </c>
      <c r="C71" s="232"/>
      <c r="D71" s="254"/>
      <c r="E71" s="308">
        <f>ROUND(E70/$C54,1)</f>
        <v>11</v>
      </c>
      <c r="F71" s="232"/>
      <c r="G71" s="254"/>
      <c r="H71" s="309">
        <f>ROUND(H70/$C54,1)</f>
        <v>10.199999999999999</v>
      </c>
      <c r="I71" s="232"/>
      <c r="J71" s="254"/>
      <c r="K71" s="310">
        <f>ROUND(K70/$C54,1)</f>
        <v>11.1</v>
      </c>
    </row>
    <row r="72" spans="1:11" hidden="1" outlineLevel="1">
      <c r="B72" s="239" t="s">
        <v>493</v>
      </c>
      <c r="C72" s="256"/>
      <c r="D72" s="256"/>
      <c r="E72" s="328">
        <f>D41</f>
        <v>0.77</v>
      </c>
      <c r="F72" s="256"/>
      <c r="G72" s="256"/>
      <c r="H72" s="328">
        <f>D41</f>
        <v>0.77</v>
      </c>
      <c r="I72" s="256"/>
      <c r="J72" s="256"/>
      <c r="K72" s="329">
        <f>D41</f>
        <v>0.77</v>
      </c>
    </row>
    <row r="73" spans="1:11" hidden="1" outlineLevel="1">
      <c r="B73" s="239" t="s">
        <v>542</v>
      </c>
      <c r="C73" s="269"/>
      <c r="D73" s="269"/>
      <c r="E73" s="278">
        <f>ROUND(E71/E72,1)</f>
        <v>14.3</v>
      </c>
      <c r="F73" s="269"/>
      <c r="G73" s="269"/>
      <c r="H73" s="278">
        <f>ROUND(H71/H72,1)</f>
        <v>13.2</v>
      </c>
      <c r="I73" s="269"/>
      <c r="J73" s="269"/>
      <c r="K73" s="280">
        <f>ROUND(K71/K72,1)</f>
        <v>14.4</v>
      </c>
    </row>
    <row r="75" spans="1:11" collapsed="1">
      <c r="A75" s="1079">
        <f>+D7</f>
        <v>14.7</v>
      </c>
      <c r="B75" s="1079"/>
      <c r="C75" s="1079"/>
      <c r="D75" s="1079"/>
    </row>
    <row r="76" spans="1:11" hidden="1" outlineLevel="1">
      <c r="A76" s="214" t="s">
        <v>459</v>
      </c>
    </row>
    <row r="77" spans="1:11" hidden="1" outlineLevel="1">
      <c r="A77" s="214"/>
      <c r="B77" s="281" t="s">
        <v>445</v>
      </c>
      <c r="C77" s="315">
        <f>+C46</f>
        <v>69.599999999999994</v>
      </c>
    </row>
    <row r="78" spans="1:11" hidden="1" outlineLevel="1">
      <c r="A78" s="214"/>
      <c r="B78" s="281" t="s">
        <v>446</v>
      </c>
      <c r="C78" s="315">
        <f>+C47</f>
        <v>0</v>
      </c>
    </row>
    <row r="79" spans="1:11" hidden="1" outlineLevel="1">
      <c r="A79" s="214"/>
      <c r="B79" s="284" t="s">
        <v>447</v>
      </c>
      <c r="C79" s="315">
        <f>+C78+C77</f>
        <v>69.599999999999994</v>
      </c>
    </row>
    <row r="80" spans="1:11" hidden="1" outlineLevel="1">
      <c r="B80" s="281" t="s">
        <v>445</v>
      </c>
      <c r="C80" s="315">
        <f>+C49</f>
        <v>4353.3000000000011</v>
      </c>
    </row>
    <row r="81" spans="2:16" hidden="1" outlineLevel="1">
      <c r="B81" s="281" t="s">
        <v>446</v>
      </c>
      <c r="C81" s="315">
        <f>+C50</f>
        <v>0</v>
      </c>
    </row>
    <row r="82" spans="2:16" hidden="1" outlineLevel="1">
      <c r="B82" s="285" t="s">
        <v>448</v>
      </c>
      <c r="C82" s="315">
        <f>+C81+C80</f>
        <v>4353.3000000000011</v>
      </c>
    </row>
    <row r="83" spans="2:16" hidden="1" outlineLevel="1">
      <c r="B83" s="281" t="s">
        <v>445</v>
      </c>
      <c r="C83" s="315">
        <f>+C52</f>
        <v>1158.1410000000001</v>
      </c>
    </row>
    <row r="84" spans="2:16" hidden="1" outlineLevel="1">
      <c r="B84" s="281" t="s">
        <v>446</v>
      </c>
      <c r="C84" s="282">
        <f>+C53</f>
        <v>0</v>
      </c>
    </row>
    <row r="85" spans="2:16" hidden="1" outlineLevel="1">
      <c r="B85" s="285" t="s">
        <v>449</v>
      </c>
      <c r="C85" s="282">
        <f>+C84+C83</f>
        <v>1158.1410000000001</v>
      </c>
    </row>
    <row r="86" spans="2:16" hidden="1" outlineLevel="1">
      <c r="B86" s="281" t="s">
        <v>460</v>
      </c>
      <c r="C86" s="292">
        <v>0.05</v>
      </c>
    </row>
    <row r="87" spans="2:16" hidden="1" outlineLevel="1">
      <c r="B87" s="281" t="s">
        <v>461</v>
      </c>
      <c r="C87" s="292">
        <v>5.2499999999999998E-2</v>
      </c>
      <c r="E87" s="311"/>
      <c r="F87" s="311"/>
      <c r="G87" s="311"/>
    </row>
    <row r="88" spans="2:16" hidden="1" outlineLevel="1">
      <c r="B88" s="281" t="s">
        <v>462</v>
      </c>
      <c r="C88" s="330">
        <v>0.85</v>
      </c>
      <c r="E88" s="265"/>
    </row>
    <row r="89" spans="2:16" hidden="1" outlineLevel="1">
      <c r="B89" s="265" t="s">
        <v>463</v>
      </c>
      <c r="C89" s="312">
        <f>+C86+(C87*C88)</f>
        <v>9.4625000000000001E-2</v>
      </c>
      <c r="E89" s="265"/>
    </row>
    <row r="90" spans="2:16" hidden="1" outlineLevel="1">
      <c r="B90" s="281" t="s">
        <v>464</v>
      </c>
      <c r="C90" s="331">
        <v>0.21</v>
      </c>
    </row>
    <row r="91" spans="2:16" hidden="1" outlineLevel="1">
      <c r="B91" s="281" t="s">
        <v>465</v>
      </c>
      <c r="C91" s="331">
        <v>4.2000000000000003E-2</v>
      </c>
    </row>
    <row r="92" spans="2:16" hidden="1" outlineLevel="1">
      <c r="B92" s="281" t="s">
        <v>466</v>
      </c>
      <c r="C92" s="312">
        <f>C91+C86</f>
        <v>9.1999999999999998E-2</v>
      </c>
    </row>
    <row r="93" spans="2:16" hidden="1" outlineLevel="1">
      <c r="B93" s="265" t="s">
        <v>467</v>
      </c>
      <c r="C93" s="312">
        <f>+C92*(1-C90)</f>
        <v>7.2680000000000008E-2</v>
      </c>
    </row>
    <row r="94" spans="2:16" hidden="1" outlineLevel="1">
      <c r="B94" s="265" t="s">
        <v>468</v>
      </c>
      <c r="C94" s="332">
        <v>0.5</v>
      </c>
    </row>
    <row r="95" spans="2:16" hidden="1" outlineLevel="1">
      <c r="B95" s="265" t="s">
        <v>469</v>
      </c>
      <c r="C95" s="313">
        <f>(C94*C93)+((1-C94)*C89)</f>
        <v>8.3652500000000005E-2</v>
      </c>
      <c r="K95" s="861"/>
      <c r="L95" s="861"/>
      <c r="M95" s="861"/>
      <c r="N95" s="861"/>
      <c r="O95" s="861"/>
      <c r="P95" s="861"/>
    </row>
    <row r="96" spans="2:16" hidden="1" outlineLevel="1">
      <c r="B96" s="215" t="s">
        <v>470</v>
      </c>
      <c r="C96" s="292">
        <v>2.2499999999999999E-2</v>
      </c>
    </row>
    <row r="97" spans="2:17" hidden="1" outlineLevel="1">
      <c r="B97" s="215" t="s">
        <v>471</v>
      </c>
      <c r="C97" s="314">
        <v>43199</v>
      </c>
    </row>
    <row r="98" spans="2:17" hidden="1" outlineLevel="1"/>
    <row r="99" spans="2:17" hidden="1" outlineLevel="1">
      <c r="B99" s="215" t="s">
        <v>472</v>
      </c>
      <c r="D99" s="314">
        <v>43281</v>
      </c>
      <c r="E99" s="314">
        <v>43646</v>
      </c>
      <c r="F99" s="314">
        <v>44012</v>
      </c>
      <c r="G99" s="314">
        <v>44377</v>
      </c>
      <c r="H99" s="314">
        <v>44742</v>
      </c>
      <c r="I99" s="314">
        <v>45107</v>
      </c>
      <c r="J99" s="314">
        <v>45473</v>
      </c>
      <c r="K99" s="314">
        <v>45838</v>
      </c>
      <c r="L99" s="314">
        <v>46203</v>
      </c>
      <c r="M99" s="314">
        <v>46568</v>
      </c>
      <c r="N99" s="314">
        <v>46934</v>
      </c>
      <c r="O99" s="314">
        <v>47299</v>
      </c>
      <c r="P99" s="314">
        <v>47664</v>
      </c>
      <c r="Q99" s="314">
        <f>+P99</f>
        <v>47664</v>
      </c>
    </row>
    <row r="100" spans="2:17" hidden="1" outlineLevel="1">
      <c r="B100" s="265" t="s">
        <v>473</v>
      </c>
      <c r="D100" s="266" t="s">
        <v>15</v>
      </c>
      <c r="E100" s="266" t="s">
        <v>18</v>
      </c>
      <c r="F100" s="266" t="s">
        <v>21</v>
      </c>
      <c r="G100" s="266" t="s">
        <v>24</v>
      </c>
      <c r="H100" s="266" t="s">
        <v>27</v>
      </c>
      <c r="I100" s="266" t="s">
        <v>30</v>
      </c>
      <c r="J100" s="266" t="s">
        <v>33</v>
      </c>
      <c r="K100" s="266" t="s">
        <v>36</v>
      </c>
      <c r="L100" s="266" t="s">
        <v>39</v>
      </c>
      <c r="M100" s="266" t="s">
        <v>42</v>
      </c>
      <c r="N100" s="266" t="s">
        <v>45</v>
      </c>
      <c r="O100" s="266" t="s">
        <v>48</v>
      </c>
      <c r="P100" s="266" t="s">
        <v>51</v>
      </c>
      <c r="Q100" s="266" t="s">
        <v>474</v>
      </c>
    </row>
    <row r="101" spans="2:17" hidden="1" outlineLevel="1">
      <c r="B101" s="281" t="s">
        <v>57</v>
      </c>
      <c r="D101" s="282">
        <f>Model!AH11</f>
        <v>1144.1922581776539</v>
      </c>
      <c r="E101" s="282">
        <f>Model!AK11</f>
        <v>1244.4976810120766</v>
      </c>
      <c r="F101" s="282">
        <f>Model!AN11</f>
        <v>1327.8571416563282</v>
      </c>
      <c r="G101" s="282">
        <f>Model!AQ11</f>
        <v>1368.9375585822647</v>
      </c>
      <c r="H101" s="282">
        <f>Model!AT11</f>
        <v>1392.8004284522103</v>
      </c>
      <c r="I101" s="282">
        <f>Model!AW11</f>
        <v>1417.4502520465085</v>
      </c>
      <c r="J101" s="282">
        <f>Model!AZ11</f>
        <v>1442.913604993937</v>
      </c>
      <c r="K101" s="282">
        <f>Model!BC11</f>
        <v>1469.2181351125896</v>
      </c>
      <c r="L101" s="282">
        <f>Model!BF11</f>
        <v>1496.3926073444302</v>
      </c>
      <c r="M101" s="282">
        <f>Model!BI11</f>
        <v>1524.4669507068311</v>
      </c>
      <c r="N101" s="282">
        <f>Model!BL11</f>
        <v>1553.472307354866</v>
      </c>
      <c r="O101" s="282">
        <f>Model!BO11</f>
        <v>1583.4410838526344</v>
      </c>
      <c r="P101" s="282">
        <f>Model!BR11</f>
        <v>1614.4070047566495</v>
      </c>
      <c r="Q101" s="282">
        <f>+P101</f>
        <v>1614.4070047566495</v>
      </c>
    </row>
    <row r="102" spans="2:17" hidden="1" outlineLevel="1">
      <c r="B102" s="281" t="s">
        <v>475</v>
      </c>
      <c r="D102" s="282">
        <f>-Model!AH10</f>
        <v>370.59801833333341</v>
      </c>
      <c r="E102" s="282">
        <f>-Model!AK10</f>
        <v>373.65105876666678</v>
      </c>
      <c r="F102" s="282">
        <f>-Model!AN10</f>
        <v>392.09541195833344</v>
      </c>
      <c r="G102" s="282">
        <f>-Model!AQ10</f>
        <v>396.01636607791676</v>
      </c>
      <c r="H102" s="282">
        <f>-Model!AT10</f>
        <v>399.97652973869594</v>
      </c>
      <c r="I102" s="282">
        <f>-Model!AW10</f>
        <v>403.97629503608289</v>
      </c>
      <c r="J102" s="282">
        <f>-Model!AZ10</f>
        <v>408.01605798644374</v>
      </c>
      <c r="K102" s="282">
        <f>-Model!BC10</f>
        <v>412.09621856630815</v>
      </c>
      <c r="L102" s="282">
        <f>-Model!BF10</f>
        <v>416.21718075197128</v>
      </c>
      <c r="M102" s="282">
        <f>-Model!BI10</f>
        <v>420.379352559491</v>
      </c>
      <c r="N102" s="282">
        <f>-Model!BL10</f>
        <v>424.5831460850859</v>
      </c>
      <c r="O102" s="282">
        <f>-Model!BO10</f>
        <v>428.82897754593677</v>
      </c>
      <c r="P102" s="282">
        <f>-Model!BR10</f>
        <v>433.11726732139618</v>
      </c>
      <c r="Q102" s="282">
        <f>+P102</f>
        <v>433.11726732139618</v>
      </c>
    </row>
    <row r="103" spans="2:17" hidden="1" outlineLevel="1">
      <c r="B103" s="281" t="s">
        <v>476</v>
      </c>
      <c r="D103" s="282">
        <f>Model!AH61</f>
        <v>-172.65196013379915</v>
      </c>
      <c r="E103" s="282">
        <f>Model!AK61</f>
        <v>-209.78318433255282</v>
      </c>
      <c r="F103" s="282">
        <f>Model!AN61</f>
        <v>-221.69565258053356</v>
      </c>
      <c r="G103" s="282">
        <f>Model!AQ61</f>
        <v>-239.26813467112672</v>
      </c>
      <c r="H103" s="282">
        <f>Model!AT61</f>
        <v>-246.90256966246682</v>
      </c>
      <c r="I103" s="282">
        <f>Model!AW61</f>
        <v>-254.76941729134887</v>
      </c>
      <c r="J103" s="282">
        <f>Model!AZ61</f>
        <v>-262.89003086029953</v>
      </c>
      <c r="K103" s="282">
        <f>Model!BC61</f>
        <v>-271.08401458362908</v>
      </c>
      <c r="L103" s="282">
        <f>Model!BF61</f>
        <v>-278.70463631211811</v>
      </c>
      <c r="M103" s="282">
        <f>Model!BI61</f>
        <v>-285.73842436560744</v>
      </c>
      <c r="N103" s="282">
        <f>Model!BL61</f>
        <v>-292.99467113047552</v>
      </c>
      <c r="O103" s="282">
        <f>Model!BO61</f>
        <v>-300.47339757094886</v>
      </c>
      <c r="P103" s="282">
        <f>Model!BR61</f>
        <v>-308.20009273908568</v>
      </c>
      <c r="Q103" s="282">
        <f>+P103</f>
        <v>-308.20009273908568</v>
      </c>
    </row>
    <row r="104" spans="2:17" hidden="1" outlineLevel="1">
      <c r="B104" s="281" t="s">
        <v>96</v>
      </c>
      <c r="D104" s="283">
        <v>0</v>
      </c>
      <c r="E104" s="283">
        <v>0</v>
      </c>
      <c r="F104" s="283">
        <v>0</v>
      </c>
      <c r="G104" s="283">
        <v>0</v>
      </c>
      <c r="H104" s="283">
        <v>0</v>
      </c>
      <c r="I104" s="283">
        <v>0</v>
      </c>
      <c r="J104" s="283">
        <v>0</v>
      </c>
      <c r="K104" s="283">
        <v>0</v>
      </c>
      <c r="L104" s="283">
        <v>0</v>
      </c>
      <c r="M104" s="283">
        <v>0</v>
      </c>
      <c r="N104" s="283">
        <v>0</v>
      </c>
      <c r="O104" s="283">
        <v>0</v>
      </c>
      <c r="P104" s="283">
        <v>0</v>
      </c>
      <c r="Q104" s="215">
        <f>+P104</f>
        <v>0</v>
      </c>
    </row>
    <row r="105" spans="2:17" hidden="1" outlineLevel="1">
      <c r="B105" s="215" t="s">
        <v>477</v>
      </c>
      <c r="D105" s="282">
        <f>D104+D103+D102+D101</f>
        <v>1342.1383163771882</v>
      </c>
      <c r="E105" s="282">
        <f t="shared" ref="E105:P105" si="3">E104+E103+E102+E101</f>
        <v>1408.3655554461905</v>
      </c>
      <c r="F105" s="282">
        <f t="shared" si="3"/>
        <v>1498.2569010341281</v>
      </c>
      <c r="G105" s="282">
        <f t="shared" si="3"/>
        <v>1525.6857899890547</v>
      </c>
      <c r="H105" s="282">
        <f t="shared" si="3"/>
        <v>1545.8743885284393</v>
      </c>
      <c r="I105" s="282">
        <f t="shared" si="3"/>
        <v>1566.6571297912424</v>
      </c>
      <c r="J105" s="282">
        <f t="shared" si="3"/>
        <v>1588.0396321200813</v>
      </c>
      <c r="K105" s="282">
        <f t="shared" si="3"/>
        <v>1610.2303390952686</v>
      </c>
      <c r="L105" s="282">
        <f t="shared" si="3"/>
        <v>1633.9051517842834</v>
      </c>
      <c r="M105" s="282">
        <f t="shared" si="3"/>
        <v>1659.1078789007147</v>
      </c>
      <c r="N105" s="282">
        <f t="shared" si="3"/>
        <v>1685.0607823094763</v>
      </c>
      <c r="O105" s="282">
        <f t="shared" si="3"/>
        <v>1711.7966638276223</v>
      </c>
      <c r="P105" s="282">
        <f t="shared" si="3"/>
        <v>1739.32417933896</v>
      </c>
      <c r="Q105" s="282">
        <f>Q104+Q103+Q102+Q101</f>
        <v>1739.32417933896</v>
      </c>
    </row>
    <row r="106" spans="2:17" hidden="1" outlineLevel="1">
      <c r="B106" s="281" t="s">
        <v>190</v>
      </c>
      <c r="D106" s="282">
        <f>-Model!AH134</f>
        <v>-369.40766543859661</v>
      </c>
      <c r="E106" s="282">
        <f>-Model!AK134</f>
        <v>-362.92794032982465</v>
      </c>
      <c r="F106" s="282">
        <f>-Model!AN134</f>
        <v>-382.8076027938597</v>
      </c>
      <c r="G106" s="282">
        <f>-Model!AQ134</f>
        <v>-386.63567882179831</v>
      </c>
      <c r="H106" s="282">
        <f>-Model!AT134</f>
        <v>-390.50203561001626</v>
      </c>
      <c r="I106" s="282">
        <f>-Model!AW134</f>
        <v>-394.40705596611645</v>
      </c>
      <c r="J106" s="282">
        <f>-Model!AZ134</f>
        <v>-398.3511265257776</v>
      </c>
      <c r="K106" s="282">
        <f>-Model!BC134</f>
        <v>-402.33463779103539</v>
      </c>
      <c r="L106" s="282">
        <f>-Model!BF134</f>
        <v>-406.35798416894573</v>
      </c>
      <c r="M106" s="282">
        <f>-Model!BI134</f>
        <v>-410.42156401063522</v>
      </c>
      <c r="N106" s="282">
        <f>-Model!BL134</f>
        <v>-414.52577965074158</v>
      </c>
      <c r="O106" s="282">
        <f>-Model!BO134</f>
        <v>-418.67103744724903</v>
      </c>
      <c r="P106" s="282">
        <f>-Model!BR134</f>
        <v>-422.85774782172155</v>
      </c>
      <c r="Q106" s="282">
        <f>+P106</f>
        <v>-422.85774782172155</v>
      </c>
    </row>
    <row r="107" spans="2:17" hidden="1" outlineLevel="1">
      <c r="B107" s="281" t="s">
        <v>478</v>
      </c>
      <c r="D107" s="282">
        <f>Model!AH124</f>
        <v>-7.4918190026412503</v>
      </c>
      <c r="E107" s="282">
        <f>Model!AK124</f>
        <v>-3.5484480589593659</v>
      </c>
      <c r="F107" s="282">
        <f>Model!AN124</f>
        <v>-6.2089825679338446</v>
      </c>
      <c r="G107" s="282">
        <f>Model!AQ124</f>
        <v>-2.4741104031108989</v>
      </c>
      <c r="H107" s="282">
        <f>Model!AT124</f>
        <v>-2.6966150047137489</v>
      </c>
      <c r="I107" s="282">
        <f>Model!AW124</f>
        <v>-2.7813463621509982</v>
      </c>
      <c r="J107" s="282">
        <f>Model!AZ124</f>
        <v>-2.8688799789699715</v>
      </c>
      <c r="K107" s="282">
        <f>Model!BC124</f>
        <v>-2.9593258102465825</v>
      </c>
      <c r="L107" s="282">
        <f>Model!BF124</f>
        <v>-3.0527983196177502</v>
      </c>
      <c r="M107" s="282">
        <f>Model!BI124</f>
        <v>-3.1494166772392873</v>
      </c>
      <c r="N107" s="282">
        <f>Model!BL124</f>
        <v>-3.2493049667539253</v>
      </c>
      <c r="O107" s="282">
        <f>Model!BO124</f>
        <v>-9.6978020675335301</v>
      </c>
      <c r="P107" s="282">
        <f>Model!BR124</f>
        <v>-8.6164593624555437</v>
      </c>
      <c r="Q107" s="282">
        <f>+P107</f>
        <v>-8.6164593624555437</v>
      </c>
    </row>
    <row r="108" spans="2:17" hidden="1" outlineLevel="1">
      <c r="B108" s="215" t="s">
        <v>479</v>
      </c>
      <c r="D108" s="282">
        <f>+D107+D106</f>
        <v>-376.89948444123786</v>
      </c>
      <c r="E108" s="282">
        <f t="shared" ref="E108:P108" si="4">+E107+E106</f>
        <v>-366.47638838878402</v>
      </c>
      <c r="F108" s="282">
        <f t="shared" si="4"/>
        <v>-389.01658536179355</v>
      </c>
      <c r="G108" s="282">
        <f t="shared" si="4"/>
        <v>-389.10978922490921</v>
      </c>
      <c r="H108" s="282">
        <f t="shared" si="4"/>
        <v>-393.19865061473001</v>
      </c>
      <c r="I108" s="282">
        <f t="shared" si="4"/>
        <v>-397.18840232826744</v>
      </c>
      <c r="J108" s="282">
        <f t="shared" si="4"/>
        <v>-401.22000650474757</v>
      </c>
      <c r="K108" s="282">
        <f t="shared" si="4"/>
        <v>-405.29396360128197</v>
      </c>
      <c r="L108" s="282">
        <f t="shared" si="4"/>
        <v>-409.41078248856348</v>
      </c>
      <c r="M108" s="282">
        <f t="shared" si="4"/>
        <v>-413.57098068787451</v>
      </c>
      <c r="N108" s="282">
        <f t="shared" si="4"/>
        <v>-417.77508461749551</v>
      </c>
      <c r="O108" s="282">
        <f t="shared" si="4"/>
        <v>-428.36883951478256</v>
      </c>
      <c r="P108" s="282">
        <f t="shared" si="4"/>
        <v>-431.47420718417709</v>
      </c>
      <c r="Q108" s="282">
        <f>+Q107+Q106</f>
        <v>-431.47420718417709</v>
      </c>
    </row>
    <row r="109" spans="2:17" hidden="1" outlineLevel="1">
      <c r="B109" s="215" t="s">
        <v>480</v>
      </c>
      <c r="D109" s="282">
        <f>+D105+D108</f>
        <v>965.23883193595032</v>
      </c>
      <c r="E109" s="282">
        <f t="shared" ref="E109:Q109" si="5">+E105+E108</f>
        <v>1041.8891670574064</v>
      </c>
      <c r="F109" s="282">
        <f t="shared" si="5"/>
        <v>1109.2403156723344</v>
      </c>
      <c r="G109" s="282">
        <f>F109*1.02</f>
        <v>1131.4251219857811</v>
      </c>
      <c r="H109" s="282">
        <f t="shared" si="5"/>
        <v>1152.6757379137093</v>
      </c>
      <c r="I109" s="282">
        <f t="shared" si="5"/>
        <v>1169.468727462975</v>
      </c>
      <c r="J109" s="282">
        <f t="shared" si="5"/>
        <v>1186.8196256153337</v>
      </c>
      <c r="K109" s="282">
        <f t="shared" si="5"/>
        <v>1204.9363754939866</v>
      </c>
      <c r="L109" s="282">
        <f t="shared" si="5"/>
        <v>1224.4943692957199</v>
      </c>
      <c r="M109" s="282">
        <f t="shared" si="5"/>
        <v>1245.5368982128402</v>
      </c>
      <c r="N109" s="282">
        <f t="shared" si="5"/>
        <v>1267.2856976919807</v>
      </c>
      <c r="O109" s="282">
        <f t="shared" si="5"/>
        <v>1283.4278243128397</v>
      </c>
      <c r="P109" s="282">
        <f t="shared" si="5"/>
        <v>1307.8499721547828</v>
      </c>
      <c r="Q109" s="282">
        <f t="shared" si="5"/>
        <v>1307.8499721547828</v>
      </c>
    </row>
    <row r="110" spans="2:17" hidden="1" outlineLevel="1">
      <c r="B110" s="281" t="s">
        <v>481</v>
      </c>
      <c r="D110" s="268">
        <f>(D99-$C$97)/365</f>
        <v>0.22465753424657534</v>
      </c>
      <c r="E110" s="268">
        <f t="shared" ref="E110:P110" si="6">(E99-$C$97)/365</f>
        <v>1.2246575342465753</v>
      </c>
      <c r="F110" s="268">
        <f t="shared" si="6"/>
        <v>2.2273972602739724</v>
      </c>
      <c r="G110" s="268">
        <f t="shared" si="6"/>
        <v>3.2273972602739724</v>
      </c>
      <c r="H110" s="268">
        <f t="shared" si="6"/>
        <v>4.2273972602739729</v>
      </c>
      <c r="I110" s="268">
        <f t="shared" si="6"/>
        <v>5.2273972602739729</v>
      </c>
      <c r="J110" s="268">
        <f t="shared" si="6"/>
        <v>6.2301369863013702</v>
      </c>
      <c r="K110" s="268">
        <f t="shared" si="6"/>
        <v>7.2301369863013702</v>
      </c>
      <c r="L110" s="268">
        <f t="shared" si="6"/>
        <v>8.2301369863013694</v>
      </c>
      <c r="M110" s="268">
        <f t="shared" si="6"/>
        <v>9.2301369863013694</v>
      </c>
      <c r="N110" s="268">
        <f t="shared" si="6"/>
        <v>10.232876712328768</v>
      </c>
      <c r="O110" s="268">
        <f t="shared" si="6"/>
        <v>11.232876712328768</v>
      </c>
      <c r="P110" s="268">
        <f t="shared" si="6"/>
        <v>12.232876712328768</v>
      </c>
      <c r="Q110" s="268">
        <f>(Q99-$C$97)/365</f>
        <v>12.232876712328768</v>
      </c>
    </row>
    <row r="111" spans="2:17" hidden="1" outlineLevel="1">
      <c r="B111" s="281" t="s">
        <v>469</v>
      </c>
      <c r="D111" s="316">
        <f>+$C$95</f>
        <v>8.3652500000000005E-2</v>
      </c>
      <c r="E111" s="316">
        <f t="shared" ref="E111:P111" si="7">+$C$95</f>
        <v>8.3652500000000005E-2</v>
      </c>
      <c r="F111" s="316">
        <f t="shared" si="7"/>
        <v>8.3652500000000005E-2</v>
      </c>
      <c r="G111" s="316">
        <f t="shared" si="7"/>
        <v>8.3652500000000005E-2</v>
      </c>
      <c r="H111" s="316">
        <f t="shared" si="7"/>
        <v>8.3652500000000005E-2</v>
      </c>
      <c r="I111" s="316">
        <f t="shared" si="7"/>
        <v>8.3652500000000005E-2</v>
      </c>
      <c r="J111" s="316">
        <f t="shared" si="7"/>
        <v>8.3652500000000005E-2</v>
      </c>
      <c r="K111" s="316">
        <f t="shared" si="7"/>
        <v>8.3652500000000005E-2</v>
      </c>
      <c r="L111" s="316">
        <f t="shared" si="7"/>
        <v>8.3652500000000005E-2</v>
      </c>
      <c r="M111" s="316">
        <f t="shared" si="7"/>
        <v>8.3652500000000005E-2</v>
      </c>
      <c r="N111" s="316">
        <f t="shared" si="7"/>
        <v>8.3652500000000005E-2</v>
      </c>
      <c r="O111" s="316">
        <f t="shared" si="7"/>
        <v>8.3652500000000005E-2</v>
      </c>
      <c r="P111" s="316">
        <f t="shared" si="7"/>
        <v>8.3652500000000005E-2</v>
      </c>
      <c r="Q111" s="316">
        <f>+$C$95</f>
        <v>8.3652500000000005E-2</v>
      </c>
    </row>
    <row r="112" spans="2:17" hidden="1" outlineLevel="1">
      <c r="B112" s="281" t="s">
        <v>482</v>
      </c>
      <c r="D112" s="268">
        <f>1/((1+D111)^(D110))</f>
        <v>0.982113521312177</v>
      </c>
      <c r="E112" s="268">
        <f t="shared" ref="E112:P112" si="8">1/((1+E111)^(E110))</f>
        <v>0.90629931764304239</v>
      </c>
      <c r="F112" s="268">
        <f t="shared" si="8"/>
        <v>0.83615352816378652</v>
      </c>
      <c r="G112" s="268">
        <f t="shared" si="8"/>
        <v>0.77160669879300481</v>
      </c>
      <c r="H112" s="268">
        <f t="shared" si="8"/>
        <v>0.71204255865510835</v>
      </c>
      <c r="I112" s="268">
        <f t="shared" si="8"/>
        <v>0.65707646930645058</v>
      </c>
      <c r="J112" s="268">
        <f t="shared" si="8"/>
        <v>0.60622003943777369</v>
      </c>
      <c r="K112" s="268">
        <f t="shared" si="8"/>
        <v>0.55942291411478662</v>
      </c>
      <c r="L112" s="268">
        <f t="shared" si="8"/>
        <v>0.51623829051728909</v>
      </c>
      <c r="M112" s="268">
        <f t="shared" si="8"/>
        <v>0.47638730175705701</v>
      </c>
      <c r="N112" s="268">
        <f t="shared" si="8"/>
        <v>0.4395158590348604</v>
      </c>
      <c r="O112" s="268">
        <f t="shared" si="8"/>
        <v>0.40558745449750766</v>
      </c>
      <c r="P112" s="268">
        <f t="shared" si="8"/>
        <v>0.3742781514346229</v>
      </c>
      <c r="Q112" s="268">
        <f>1/((1+Q111)^(Q110))</f>
        <v>0.3742781514346229</v>
      </c>
    </row>
    <row r="113" spans="1:17" hidden="1" outlineLevel="1">
      <c r="B113" s="215" t="s">
        <v>483</v>
      </c>
      <c r="D113" s="317">
        <f>IF(D110&lt;0,0,(D112*D109))</f>
        <v>947.9741081398688</v>
      </c>
      <c r="E113" s="317">
        <f t="shared" ref="E113:P113" si="9">IF(E110&lt;0,0,(E112*E109))</f>
        <v>944.26344116380528</v>
      </c>
      <c r="F113" s="317">
        <f t="shared" si="9"/>
        <v>927.49520353093476</v>
      </c>
      <c r="G113" s="317">
        <f t="shared" si="9"/>
        <v>873.01520330692131</v>
      </c>
      <c r="H113" s="317">
        <f t="shared" si="9"/>
        <v>820.7541817237427</v>
      </c>
      <c r="I113" s="317">
        <f t="shared" si="9"/>
        <v>768.43038240567932</v>
      </c>
      <c r="J113" s="317">
        <f t="shared" si="9"/>
        <v>719.4738402460514</v>
      </c>
      <c r="K113" s="317">
        <f t="shared" si="9"/>
        <v>674.06901850175473</v>
      </c>
      <c r="L113" s="317">
        <f t="shared" si="9"/>
        <v>632.1308799532685</v>
      </c>
      <c r="M113" s="317">
        <f t="shared" si="9"/>
        <v>593.35796217846917</v>
      </c>
      <c r="N113" s="317">
        <f t="shared" si="9"/>
        <v>556.99216206368328</v>
      </c>
      <c r="O113" s="317">
        <f t="shared" si="9"/>
        <v>520.54222429431911</v>
      </c>
      <c r="P113" s="317">
        <f t="shared" si="9"/>
        <v>489.49966993191515</v>
      </c>
      <c r="Q113" s="318">
        <f>+P113</f>
        <v>489.49966993191515</v>
      </c>
    </row>
    <row r="114" spans="1:17" hidden="1" outlineLevel="1">
      <c r="B114" s="215" t="s">
        <v>484</v>
      </c>
      <c r="D114" s="319"/>
      <c r="E114" s="319"/>
      <c r="F114" s="319"/>
      <c r="G114" s="319"/>
      <c r="H114" s="319"/>
      <c r="I114" s="319"/>
      <c r="J114" s="319"/>
      <c r="K114" s="319"/>
      <c r="L114" s="319"/>
      <c r="M114" s="319"/>
      <c r="N114" s="319"/>
      <c r="O114" s="319"/>
      <c r="P114" s="319"/>
      <c r="Q114" s="282">
        <f>Q113/(C95-C96)</f>
        <v>8004.573319683007</v>
      </c>
    </row>
    <row r="115" spans="1:17" hidden="1" outlineLevel="1"/>
    <row r="116" spans="1:17" hidden="1" outlineLevel="1">
      <c r="B116" s="265" t="s">
        <v>421</v>
      </c>
      <c r="C116" s="320" t="s">
        <v>485</v>
      </c>
      <c r="D116" s="320" t="s">
        <v>486</v>
      </c>
    </row>
    <row r="117" spans="1:17" hidden="1" outlineLevel="1">
      <c r="B117" s="215" t="s">
        <v>487</v>
      </c>
      <c r="C117" s="282">
        <f>SUM(D113:P113)</f>
        <v>9467.9982774404125</v>
      </c>
      <c r="D117" s="321">
        <f>+C117/$C$85</f>
        <v>8.1751688934597873</v>
      </c>
      <c r="E117" s="861"/>
    </row>
    <row r="118" spans="1:17" hidden="1" outlineLevel="1">
      <c r="B118" s="215" t="s">
        <v>484</v>
      </c>
      <c r="C118" s="282">
        <f>+Q114</f>
        <v>8004.573319683007</v>
      </c>
      <c r="D118" s="321">
        <f t="shared" ref="D118:D124" si="10">+C118/$C$85</f>
        <v>6.9115706288638483</v>
      </c>
      <c r="E118" s="862"/>
    </row>
    <row r="119" spans="1:17" hidden="1" outlineLevel="1">
      <c r="B119" s="215" t="s">
        <v>488</v>
      </c>
      <c r="C119" s="282">
        <f>Model!AH12*10</f>
        <v>146.49</v>
      </c>
      <c r="D119" s="321">
        <f t="shared" si="10"/>
        <v>0.12648718938367609</v>
      </c>
    </row>
    <row r="120" spans="1:17" hidden="1" outlineLevel="1">
      <c r="B120" s="215" t="s">
        <v>96</v>
      </c>
      <c r="C120" s="288">
        <v>0</v>
      </c>
      <c r="D120" s="321">
        <f t="shared" si="10"/>
        <v>0</v>
      </c>
    </row>
    <row r="121" spans="1:17" hidden="1" outlineLevel="1">
      <c r="B121" s="215" t="s">
        <v>489</v>
      </c>
      <c r="C121" s="282">
        <f>+C120+C118+C117</f>
        <v>17472.57159712342</v>
      </c>
      <c r="D121" s="321">
        <f t="shared" si="10"/>
        <v>15.086739522323636</v>
      </c>
    </row>
    <row r="122" spans="1:17" hidden="1" outlineLevel="1">
      <c r="B122" s="215" t="s">
        <v>490</v>
      </c>
      <c r="C122" s="282">
        <f>-C82</f>
        <v>-4353.3000000000011</v>
      </c>
      <c r="D122" s="321">
        <f t="shared" si="10"/>
        <v>-3.758868738780512</v>
      </c>
    </row>
    <row r="123" spans="1:17" hidden="1" outlineLevel="1">
      <c r="B123" s="215" t="s">
        <v>447</v>
      </c>
      <c r="C123" s="282">
        <f>+C79</f>
        <v>69.599999999999994</v>
      </c>
      <c r="D123" s="321">
        <f t="shared" si="10"/>
        <v>6.0096309516716864E-2</v>
      </c>
    </row>
    <row r="124" spans="1:17" hidden="1" outlineLevel="1">
      <c r="B124" s="215" t="s">
        <v>96</v>
      </c>
      <c r="C124" s="282">
        <v>0</v>
      </c>
      <c r="D124" s="321">
        <f t="shared" si="10"/>
        <v>0</v>
      </c>
    </row>
    <row r="125" spans="1:17" hidden="1" outlineLevel="1">
      <c r="B125" s="265" t="s">
        <v>494</v>
      </c>
      <c r="C125" s="286">
        <f>+C121+C122-C123</f>
        <v>13049.671597123419</v>
      </c>
      <c r="D125" s="322">
        <f>ROUND(C125/$C$85,1)</f>
        <v>11.3</v>
      </c>
    </row>
    <row r="126" spans="1:17" hidden="1" outlineLevel="1">
      <c r="A126" s="256"/>
      <c r="B126" s="249" t="s">
        <v>493</v>
      </c>
      <c r="C126" s="256"/>
      <c r="D126" s="328">
        <f>D41</f>
        <v>0.77</v>
      </c>
      <c r="E126" s="256"/>
    </row>
    <row r="127" spans="1:17" hidden="1" outlineLevel="1">
      <c r="A127" s="256"/>
      <c r="B127" s="249" t="s">
        <v>495</v>
      </c>
      <c r="C127" s="256"/>
      <c r="D127" s="327">
        <f>ROUND(D125/D126,1)</f>
        <v>14.7</v>
      </c>
      <c r="E127" s="256"/>
    </row>
    <row r="128" spans="1:17">
      <c r="A128" s="256"/>
      <c r="B128" s="256"/>
      <c r="C128" s="256"/>
      <c r="D128" s="256"/>
      <c r="E128" s="256"/>
    </row>
  </sheetData>
  <mergeCells count="6">
    <mergeCell ref="A75:D75"/>
    <mergeCell ref="E3:F3"/>
    <mergeCell ref="G3:H3"/>
    <mergeCell ref="I3:J3"/>
    <mergeCell ref="A28:D28"/>
    <mergeCell ref="A44:D44"/>
  </mergeCells>
  <pageMargins left="0.7" right="0.7" top="0.75" bottom="0.75" header="0.3" footer="0.3"/>
  <pageSetup paperSize="9" scale="5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29.5703125" style="1074" bestFit="1" customWidth="1"/>
    <col min="2" max="2" width="19.85546875" style="1107" customWidth="1"/>
    <col min="3" max="3" width="12" style="1074" bestFit="1" customWidth="1"/>
    <col min="4" max="256" width="9.140625" style="1074"/>
    <col min="257" max="257" width="29.5703125" style="1074" bestFit="1" customWidth="1"/>
    <col min="258" max="258" width="19.85546875" style="1074" customWidth="1"/>
    <col min="259" max="259" width="12" style="1074" bestFit="1" customWidth="1"/>
    <col min="260" max="512" width="9.140625" style="1074"/>
    <col min="513" max="513" width="29.5703125" style="1074" bestFit="1" customWidth="1"/>
    <col min="514" max="514" width="19.85546875" style="1074" customWidth="1"/>
    <col min="515" max="515" width="12" style="1074" bestFit="1" customWidth="1"/>
    <col min="516" max="768" width="9.140625" style="1074"/>
    <col min="769" max="769" width="29.5703125" style="1074" bestFit="1" customWidth="1"/>
    <col min="770" max="770" width="19.85546875" style="1074" customWidth="1"/>
    <col min="771" max="771" width="12" style="1074" bestFit="1" customWidth="1"/>
    <col min="772" max="1024" width="9.140625" style="1074"/>
    <col min="1025" max="1025" width="29.5703125" style="1074" bestFit="1" customWidth="1"/>
    <col min="1026" max="1026" width="19.85546875" style="1074" customWidth="1"/>
    <col min="1027" max="1027" width="12" style="1074" bestFit="1" customWidth="1"/>
    <col min="1028" max="1280" width="9.140625" style="1074"/>
    <col min="1281" max="1281" width="29.5703125" style="1074" bestFit="1" customWidth="1"/>
    <col min="1282" max="1282" width="19.85546875" style="1074" customWidth="1"/>
    <col min="1283" max="1283" width="12" style="1074" bestFit="1" customWidth="1"/>
    <col min="1284" max="1536" width="9.140625" style="1074"/>
    <col min="1537" max="1537" width="29.5703125" style="1074" bestFit="1" customWidth="1"/>
    <col min="1538" max="1538" width="19.85546875" style="1074" customWidth="1"/>
    <col min="1539" max="1539" width="12" style="1074" bestFit="1" customWidth="1"/>
    <col min="1540" max="1792" width="9.140625" style="1074"/>
    <col min="1793" max="1793" width="29.5703125" style="1074" bestFit="1" customWidth="1"/>
    <col min="1794" max="1794" width="19.85546875" style="1074" customWidth="1"/>
    <col min="1795" max="1795" width="12" style="1074" bestFit="1" customWidth="1"/>
    <col min="1796" max="2048" width="9.140625" style="1074"/>
    <col min="2049" max="2049" width="29.5703125" style="1074" bestFit="1" customWidth="1"/>
    <col min="2050" max="2050" width="19.85546875" style="1074" customWidth="1"/>
    <col min="2051" max="2051" width="12" style="1074" bestFit="1" customWidth="1"/>
    <col min="2052" max="2304" width="9.140625" style="1074"/>
    <col min="2305" max="2305" width="29.5703125" style="1074" bestFit="1" customWidth="1"/>
    <col min="2306" max="2306" width="19.85546875" style="1074" customWidth="1"/>
    <col min="2307" max="2307" width="12" style="1074" bestFit="1" customWidth="1"/>
    <col min="2308" max="2560" width="9.140625" style="1074"/>
    <col min="2561" max="2561" width="29.5703125" style="1074" bestFit="1" customWidth="1"/>
    <col min="2562" max="2562" width="19.85546875" style="1074" customWidth="1"/>
    <col min="2563" max="2563" width="12" style="1074" bestFit="1" customWidth="1"/>
    <col min="2564" max="2816" width="9.140625" style="1074"/>
    <col min="2817" max="2817" width="29.5703125" style="1074" bestFit="1" customWidth="1"/>
    <col min="2818" max="2818" width="19.85546875" style="1074" customWidth="1"/>
    <col min="2819" max="2819" width="12" style="1074" bestFit="1" customWidth="1"/>
    <col min="2820" max="3072" width="9.140625" style="1074"/>
    <col min="3073" max="3073" width="29.5703125" style="1074" bestFit="1" customWidth="1"/>
    <col min="3074" max="3074" width="19.85546875" style="1074" customWidth="1"/>
    <col min="3075" max="3075" width="12" style="1074" bestFit="1" customWidth="1"/>
    <col min="3076" max="3328" width="9.140625" style="1074"/>
    <col min="3329" max="3329" width="29.5703125" style="1074" bestFit="1" customWidth="1"/>
    <col min="3330" max="3330" width="19.85546875" style="1074" customWidth="1"/>
    <col min="3331" max="3331" width="12" style="1074" bestFit="1" customWidth="1"/>
    <col min="3332" max="3584" width="9.140625" style="1074"/>
    <col min="3585" max="3585" width="29.5703125" style="1074" bestFit="1" customWidth="1"/>
    <col min="3586" max="3586" width="19.85546875" style="1074" customWidth="1"/>
    <col min="3587" max="3587" width="12" style="1074" bestFit="1" customWidth="1"/>
    <col min="3588" max="3840" width="9.140625" style="1074"/>
    <col min="3841" max="3841" width="29.5703125" style="1074" bestFit="1" customWidth="1"/>
    <col min="3842" max="3842" width="19.85546875" style="1074" customWidth="1"/>
    <col min="3843" max="3843" width="12" style="1074" bestFit="1" customWidth="1"/>
    <col min="3844" max="4096" width="9.140625" style="1074"/>
    <col min="4097" max="4097" width="29.5703125" style="1074" bestFit="1" customWidth="1"/>
    <col min="4098" max="4098" width="19.85546875" style="1074" customWidth="1"/>
    <col min="4099" max="4099" width="12" style="1074" bestFit="1" customWidth="1"/>
    <col min="4100" max="4352" width="9.140625" style="1074"/>
    <col min="4353" max="4353" width="29.5703125" style="1074" bestFit="1" customWidth="1"/>
    <col min="4354" max="4354" width="19.85546875" style="1074" customWidth="1"/>
    <col min="4355" max="4355" width="12" style="1074" bestFit="1" customWidth="1"/>
    <col min="4356" max="4608" width="9.140625" style="1074"/>
    <col min="4609" max="4609" width="29.5703125" style="1074" bestFit="1" customWidth="1"/>
    <col min="4610" max="4610" width="19.85546875" style="1074" customWidth="1"/>
    <col min="4611" max="4611" width="12" style="1074" bestFit="1" customWidth="1"/>
    <col min="4612" max="4864" width="9.140625" style="1074"/>
    <col min="4865" max="4865" width="29.5703125" style="1074" bestFit="1" customWidth="1"/>
    <col min="4866" max="4866" width="19.85546875" style="1074" customWidth="1"/>
    <col min="4867" max="4867" width="12" style="1074" bestFit="1" customWidth="1"/>
    <col min="4868" max="5120" width="9.140625" style="1074"/>
    <col min="5121" max="5121" width="29.5703125" style="1074" bestFit="1" customWidth="1"/>
    <col min="5122" max="5122" width="19.85546875" style="1074" customWidth="1"/>
    <col min="5123" max="5123" width="12" style="1074" bestFit="1" customWidth="1"/>
    <col min="5124" max="5376" width="9.140625" style="1074"/>
    <col min="5377" max="5377" width="29.5703125" style="1074" bestFit="1" customWidth="1"/>
    <col min="5378" max="5378" width="19.85546875" style="1074" customWidth="1"/>
    <col min="5379" max="5379" width="12" style="1074" bestFit="1" customWidth="1"/>
    <col min="5380" max="5632" width="9.140625" style="1074"/>
    <col min="5633" max="5633" width="29.5703125" style="1074" bestFit="1" customWidth="1"/>
    <col min="5634" max="5634" width="19.85546875" style="1074" customWidth="1"/>
    <col min="5635" max="5635" width="12" style="1074" bestFit="1" customWidth="1"/>
    <col min="5636" max="5888" width="9.140625" style="1074"/>
    <col min="5889" max="5889" width="29.5703125" style="1074" bestFit="1" customWidth="1"/>
    <col min="5890" max="5890" width="19.85546875" style="1074" customWidth="1"/>
    <col min="5891" max="5891" width="12" style="1074" bestFit="1" customWidth="1"/>
    <col min="5892" max="6144" width="9.140625" style="1074"/>
    <col min="6145" max="6145" width="29.5703125" style="1074" bestFit="1" customWidth="1"/>
    <col min="6146" max="6146" width="19.85546875" style="1074" customWidth="1"/>
    <col min="6147" max="6147" width="12" style="1074" bestFit="1" customWidth="1"/>
    <col min="6148" max="6400" width="9.140625" style="1074"/>
    <col min="6401" max="6401" width="29.5703125" style="1074" bestFit="1" customWidth="1"/>
    <col min="6402" max="6402" width="19.85546875" style="1074" customWidth="1"/>
    <col min="6403" max="6403" width="12" style="1074" bestFit="1" customWidth="1"/>
    <col min="6404" max="6656" width="9.140625" style="1074"/>
    <col min="6657" max="6657" width="29.5703125" style="1074" bestFit="1" customWidth="1"/>
    <col min="6658" max="6658" width="19.85546875" style="1074" customWidth="1"/>
    <col min="6659" max="6659" width="12" style="1074" bestFit="1" customWidth="1"/>
    <col min="6660" max="6912" width="9.140625" style="1074"/>
    <col min="6913" max="6913" width="29.5703125" style="1074" bestFit="1" customWidth="1"/>
    <col min="6914" max="6914" width="19.85546875" style="1074" customWidth="1"/>
    <col min="6915" max="6915" width="12" style="1074" bestFit="1" customWidth="1"/>
    <col min="6916" max="7168" width="9.140625" style="1074"/>
    <col min="7169" max="7169" width="29.5703125" style="1074" bestFit="1" customWidth="1"/>
    <col min="7170" max="7170" width="19.85546875" style="1074" customWidth="1"/>
    <col min="7171" max="7171" width="12" style="1074" bestFit="1" customWidth="1"/>
    <col min="7172" max="7424" width="9.140625" style="1074"/>
    <col min="7425" max="7425" width="29.5703125" style="1074" bestFit="1" customWidth="1"/>
    <col min="7426" max="7426" width="19.85546875" style="1074" customWidth="1"/>
    <col min="7427" max="7427" width="12" style="1074" bestFit="1" customWidth="1"/>
    <col min="7428" max="7680" width="9.140625" style="1074"/>
    <col min="7681" max="7681" width="29.5703125" style="1074" bestFit="1" customWidth="1"/>
    <col min="7682" max="7682" width="19.85546875" style="1074" customWidth="1"/>
    <col min="7683" max="7683" width="12" style="1074" bestFit="1" customWidth="1"/>
    <col min="7684" max="7936" width="9.140625" style="1074"/>
    <col min="7937" max="7937" width="29.5703125" style="1074" bestFit="1" customWidth="1"/>
    <col min="7938" max="7938" width="19.85546875" style="1074" customWidth="1"/>
    <col min="7939" max="7939" width="12" style="1074" bestFit="1" customWidth="1"/>
    <col min="7940" max="8192" width="9.140625" style="1074"/>
    <col min="8193" max="8193" width="29.5703125" style="1074" bestFit="1" customWidth="1"/>
    <col min="8194" max="8194" width="19.85546875" style="1074" customWidth="1"/>
    <col min="8195" max="8195" width="12" style="1074" bestFit="1" customWidth="1"/>
    <col min="8196" max="8448" width="9.140625" style="1074"/>
    <col min="8449" max="8449" width="29.5703125" style="1074" bestFit="1" customWidth="1"/>
    <col min="8450" max="8450" width="19.85546875" style="1074" customWidth="1"/>
    <col min="8451" max="8451" width="12" style="1074" bestFit="1" customWidth="1"/>
    <col min="8452" max="8704" width="9.140625" style="1074"/>
    <col min="8705" max="8705" width="29.5703125" style="1074" bestFit="1" customWidth="1"/>
    <col min="8706" max="8706" width="19.85546875" style="1074" customWidth="1"/>
    <col min="8707" max="8707" width="12" style="1074" bestFit="1" customWidth="1"/>
    <col min="8708" max="8960" width="9.140625" style="1074"/>
    <col min="8961" max="8961" width="29.5703125" style="1074" bestFit="1" customWidth="1"/>
    <col min="8962" max="8962" width="19.85546875" style="1074" customWidth="1"/>
    <col min="8963" max="8963" width="12" style="1074" bestFit="1" customWidth="1"/>
    <col min="8964" max="9216" width="9.140625" style="1074"/>
    <col min="9217" max="9217" width="29.5703125" style="1074" bestFit="1" customWidth="1"/>
    <col min="9218" max="9218" width="19.85546875" style="1074" customWidth="1"/>
    <col min="9219" max="9219" width="12" style="1074" bestFit="1" customWidth="1"/>
    <col min="9220" max="9472" width="9.140625" style="1074"/>
    <col min="9473" max="9473" width="29.5703125" style="1074" bestFit="1" customWidth="1"/>
    <col min="9474" max="9474" width="19.85546875" style="1074" customWidth="1"/>
    <col min="9475" max="9475" width="12" style="1074" bestFit="1" customWidth="1"/>
    <col min="9476" max="9728" width="9.140625" style="1074"/>
    <col min="9729" max="9729" width="29.5703125" style="1074" bestFit="1" customWidth="1"/>
    <col min="9730" max="9730" width="19.85546875" style="1074" customWidth="1"/>
    <col min="9731" max="9731" width="12" style="1074" bestFit="1" customWidth="1"/>
    <col min="9732" max="9984" width="9.140625" style="1074"/>
    <col min="9985" max="9985" width="29.5703125" style="1074" bestFit="1" customWidth="1"/>
    <col min="9986" max="9986" width="19.85546875" style="1074" customWidth="1"/>
    <col min="9987" max="9987" width="12" style="1074" bestFit="1" customWidth="1"/>
    <col min="9988" max="10240" width="9.140625" style="1074"/>
    <col min="10241" max="10241" width="29.5703125" style="1074" bestFit="1" customWidth="1"/>
    <col min="10242" max="10242" width="19.85546875" style="1074" customWidth="1"/>
    <col min="10243" max="10243" width="12" style="1074" bestFit="1" customWidth="1"/>
    <col min="10244" max="10496" width="9.140625" style="1074"/>
    <col min="10497" max="10497" width="29.5703125" style="1074" bestFit="1" customWidth="1"/>
    <col min="10498" max="10498" width="19.85546875" style="1074" customWidth="1"/>
    <col min="10499" max="10499" width="12" style="1074" bestFit="1" customWidth="1"/>
    <col min="10500" max="10752" width="9.140625" style="1074"/>
    <col min="10753" max="10753" width="29.5703125" style="1074" bestFit="1" customWidth="1"/>
    <col min="10754" max="10754" width="19.85546875" style="1074" customWidth="1"/>
    <col min="10755" max="10755" width="12" style="1074" bestFit="1" customWidth="1"/>
    <col min="10756" max="11008" width="9.140625" style="1074"/>
    <col min="11009" max="11009" width="29.5703125" style="1074" bestFit="1" customWidth="1"/>
    <col min="11010" max="11010" width="19.85546875" style="1074" customWidth="1"/>
    <col min="11011" max="11011" width="12" style="1074" bestFit="1" customWidth="1"/>
    <col min="11012" max="11264" width="9.140625" style="1074"/>
    <col min="11265" max="11265" width="29.5703125" style="1074" bestFit="1" customWidth="1"/>
    <col min="11266" max="11266" width="19.85546875" style="1074" customWidth="1"/>
    <col min="11267" max="11267" width="12" style="1074" bestFit="1" customWidth="1"/>
    <col min="11268" max="11520" width="9.140625" style="1074"/>
    <col min="11521" max="11521" width="29.5703125" style="1074" bestFit="1" customWidth="1"/>
    <col min="11522" max="11522" width="19.85546875" style="1074" customWidth="1"/>
    <col min="11523" max="11523" width="12" style="1074" bestFit="1" customWidth="1"/>
    <col min="11524" max="11776" width="9.140625" style="1074"/>
    <col min="11777" max="11777" width="29.5703125" style="1074" bestFit="1" customWidth="1"/>
    <col min="11778" max="11778" width="19.85546875" style="1074" customWidth="1"/>
    <col min="11779" max="11779" width="12" style="1074" bestFit="1" customWidth="1"/>
    <col min="11780" max="12032" width="9.140625" style="1074"/>
    <col min="12033" max="12033" width="29.5703125" style="1074" bestFit="1" customWidth="1"/>
    <col min="12034" max="12034" width="19.85546875" style="1074" customWidth="1"/>
    <col min="12035" max="12035" width="12" style="1074" bestFit="1" customWidth="1"/>
    <col min="12036" max="12288" width="9.140625" style="1074"/>
    <col min="12289" max="12289" width="29.5703125" style="1074" bestFit="1" customWidth="1"/>
    <col min="12290" max="12290" width="19.85546875" style="1074" customWidth="1"/>
    <col min="12291" max="12291" width="12" style="1074" bestFit="1" customWidth="1"/>
    <col min="12292" max="12544" width="9.140625" style="1074"/>
    <col min="12545" max="12545" width="29.5703125" style="1074" bestFit="1" customWidth="1"/>
    <col min="12546" max="12546" width="19.85546875" style="1074" customWidth="1"/>
    <col min="12547" max="12547" width="12" style="1074" bestFit="1" customWidth="1"/>
    <col min="12548" max="12800" width="9.140625" style="1074"/>
    <col min="12801" max="12801" width="29.5703125" style="1074" bestFit="1" customWidth="1"/>
    <col min="12802" max="12802" width="19.85546875" style="1074" customWidth="1"/>
    <col min="12803" max="12803" width="12" style="1074" bestFit="1" customWidth="1"/>
    <col min="12804" max="13056" width="9.140625" style="1074"/>
    <col min="13057" max="13057" width="29.5703125" style="1074" bestFit="1" customWidth="1"/>
    <col min="13058" max="13058" width="19.85546875" style="1074" customWidth="1"/>
    <col min="13059" max="13059" width="12" style="1074" bestFit="1" customWidth="1"/>
    <col min="13060" max="13312" width="9.140625" style="1074"/>
    <col min="13313" max="13313" width="29.5703125" style="1074" bestFit="1" customWidth="1"/>
    <col min="13314" max="13314" width="19.85546875" style="1074" customWidth="1"/>
    <col min="13315" max="13315" width="12" style="1074" bestFit="1" customWidth="1"/>
    <col min="13316" max="13568" width="9.140625" style="1074"/>
    <col min="13569" max="13569" width="29.5703125" style="1074" bestFit="1" customWidth="1"/>
    <col min="13570" max="13570" width="19.85546875" style="1074" customWidth="1"/>
    <col min="13571" max="13571" width="12" style="1074" bestFit="1" customWidth="1"/>
    <col min="13572" max="13824" width="9.140625" style="1074"/>
    <col min="13825" max="13825" width="29.5703125" style="1074" bestFit="1" customWidth="1"/>
    <col min="13826" max="13826" width="19.85546875" style="1074" customWidth="1"/>
    <col min="13827" max="13827" width="12" style="1074" bestFit="1" customWidth="1"/>
    <col min="13828" max="14080" width="9.140625" style="1074"/>
    <col min="14081" max="14081" width="29.5703125" style="1074" bestFit="1" customWidth="1"/>
    <col min="14082" max="14082" width="19.85546875" style="1074" customWidth="1"/>
    <col min="14083" max="14083" width="12" style="1074" bestFit="1" customWidth="1"/>
    <col min="14084" max="14336" width="9.140625" style="1074"/>
    <col min="14337" max="14337" width="29.5703125" style="1074" bestFit="1" customWidth="1"/>
    <col min="14338" max="14338" width="19.85546875" style="1074" customWidth="1"/>
    <col min="14339" max="14339" width="12" style="1074" bestFit="1" customWidth="1"/>
    <col min="14340" max="14592" width="9.140625" style="1074"/>
    <col min="14593" max="14593" width="29.5703125" style="1074" bestFit="1" customWidth="1"/>
    <col min="14594" max="14594" width="19.85546875" style="1074" customWidth="1"/>
    <col min="14595" max="14595" width="12" style="1074" bestFit="1" customWidth="1"/>
    <col min="14596" max="14848" width="9.140625" style="1074"/>
    <col min="14849" max="14849" width="29.5703125" style="1074" bestFit="1" customWidth="1"/>
    <col min="14850" max="14850" width="19.85546875" style="1074" customWidth="1"/>
    <col min="14851" max="14851" width="12" style="1074" bestFit="1" customWidth="1"/>
    <col min="14852" max="15104" width="9.140625" style="1074"/>
    <col min="15105" max="15105" width="29.5703125" style="1074" bestFit="1" customWidth="1"/>
    <col min="15106" max="15106" width="19.85546875" style="1074" customWidth="1"/>
    <col min="15107" max="15107" width="12" style="1074" bestFit="1" customWidth="1"/>
    <col min="15108" max="15360" width="9.140625" style="1074"/>
    <col min="15361" max="15361" width="29.5703125" style="1074" bestFit="1" customWidth="1"/>
    <col min="15362" max="15362" width="19.85546875" style="1074" customWidth="1"/>
    <col min="15363" max="15363" width="12" style="1074" bestFit="1" customWidth="1"/>
    <col min="15364" max="15616" width="9.140625" style="1074"/>
    <col min="15617" max="15617" width="29.5703125" style="1074" bestFit="1" customWidth="1"/>
    <col min="15618" max="15618" width="19.85546875" style="1074" customWidth="1"/>
    <col min="15619" max="15619" width="12" style="1074" bestFit="1" customWidth="1"/>
    <col min="15620" max="15872" width="9.140625" style="1074"/>
    <col min="15873" max="15873" width="29.5703125" style="1074" bestFit="1" customWidth="1"/>
    <col min="15874" max="15874" width="19.85546875" style="1074" customWidth="1"/>
    <col min="15875" max="15875" width="12" style="1074" bestFit="1" customWidth="1"/>
    <col min="15876" max="16128" width="9.140625" style="1074"/>
    <col min="16129" max="16129" width="29.5703125" style="1074" bestFit="1" customWidth="1"/>
    <col min="16130" max="16130" width="19.85546875" style="1074" customWidth="1"/>
    <col min="16131" max="16131" width="12" style="1074" bestFit="1" customWidth="1"/>
    <col min="16132" max="16384" width="9.140625" style="1074"/>
  </cols>
  <sheetData>
    <row r="1" spans="1:2">
      <c r="A1" s="1074" t="s">
        <v>1082</v>
      </c>
      <c r="B1" s="1106">
        <v>6.1</v>
      </c>
    </row>
    <row r="2" spans="1:2">
      <c r="A2" s="1074" t="s">
        <v>1083</v>
      </c>
      <c r="B2" s="1110">
        <v>43200.454594907409</v>
      </c>
    </row>
    <row r="3" spans="1:2">
      <c r="A3" s="1074" t="s">
        <v>1084</v>
      </c>
      <c r="B3" s="1107" t="s">
        <v>773</v>
      </c>
    </row>
    <row r="4" spans="1:2">
      <c r="A4" s="1074" t="s">
        <v>1085</v>
      </c>
      <c r="B4" s="1107" t="s">
        <v>1086</v>
      </c>
    </row>
    <row r="5" spans="1:2">
      <c r="A5" s="1074" t="s">
        <v>1087</v>
      </c>
      <c r="B5" s="1107" t="s">
        <v>1088</v>
      </c>
    </row>
    <row r="6" spans="1:2">
      <c r="A6" s="1074" t="s">
        <v>1089</v>
      </c>
    </row>
    <row r="7" spans="1:2">
      <c r="A7" s="1074" t="s">
        <v>1090</v>
      </c>
      <c r="B7" s="1107" t="s">
        <v>749</v>
      </c>
    </row>
    <row r="8" spans="1:2">
      <c r="A8" s="1074" t="s">
        <v>1091</v>
      </c>
      <c r="B8" s="1107" t="s">
        <v>1092</v>
      </c>
    </row>
    <row r="9" spans="1:2">
      <c r="A9" s="1074" t="s">
        <v>1093</v>
      </c>
      <c r="B9" s="1107" t="s">
        <v>1130</v>
      </c>
    </row>
    <row r="10" spans="1:2">
      <c r="A10" s="1074" t="s">
        <v>1094</v>
      </c>
    </row>
    <row r="11" spans="1:2">
      <c r="A11" s="1074" t="s">
        <v>1095</v>
      </c>
    </row>
    <row r="12" spans="1:2">
      <c r="A12" s="1074" t="s">
        <v>1096</v>
      </c>
    </row>
    <row r="13" spans="1:2">
      <c r="A13" s="1074" t="s">
        <v>1097</v>
      </c>
    </row>
    <row r="14" spans="1:2">
      <c r="A14" s="1074" t="s">
        <v>1098</v>
      </c>
    </row>
    <row r="15" spans="1:2">
      <c r="A15" s="1074" t="s">
        <v>1099</v>
      </c>
    </row>
    <row r="16" spans="1:2">
      <c r="A16" s="1074" t="s">
        <v>1100</v>
      </c>
    </row>
    <row r="17" spans="1:4">
      <c r="A17" s="1074" t="s">
        <v>1101</v>
      </c>
      <c r="B17" s="1107" t="s">
        <v>1131</v>
      </c>
    </row>
    <row r="18" spans="1:4">
      <c r="A18" s="1074" t="s">
        <v>1102</v>
      </c>
      <c r="B18" s="1107" t="s">
        <v>1134</v>
      </c>
    </row>
    <row r="19" spans="1:4">
      <c r="A19" s="1074" t="s">
        <v>1103</v>
      </c>
      <c r="B19" s="1107" t="s">
        <v>748</v>
      </c>
    </row>
    <row r="20" spans="1:4">
      <c r="A20" s="1074" t="s">
        <v>1104</v>
      </c>
      <c r="B20" s="1108" t="s">
        <v>1135</v>
      </c>
    </row>
    <row r="21" spans="1:4">
      <c r="A21" s="1074" t="s">
        <v>1105</v>
      </c>
      <c r="B21" s="1107" t="s">
        <v>748</v>
      </c>
    </row>
    <row r="22" spans="1:4">
      <c r="A22" s="1074" t="s">
        <v>1106</v>
      </c>
      <c r="B22" s="1108">
        <v>6066608</v>
      </c>
    </row>
    <row r="23" spans="1:4">
      <c r="A23" s="1074" t="s">
        <v>750</v>
      </c>
      <c r="B23" s="1106">
        <v>14.19</v>
      </c>
    </row>
    <row r="24" spans="1:4">
      <c r="A24" s="1074" t="s">
        <v>737</v>
      </c>
      <c r="B24" s="1107" t="s">
        <v>738</v>
      </c>
      <c r="D24" s="1074" t="s">
        <v>743</v>
      </c>
    </row>
    <row r="25" spans="1:4">
      <c r="A25" s="1074" t="s">
        <v>1107</v>
      </c>
      <c r="B25" s="1107" t="s">
        <v>1136</v>
      </c>
    </row>
    <row r="26" spans="1:4">
      <c r="A26" s="1074" t="s">
        <v>1108</v>
      </c>
      <c r="B26" s="1107">
        <v>0</v>
      </c>
    </row>
    <row r="27" spans="1:4">
      <c r="A27" s="1074" t="s">
        <v>1109</v>
      </c>
      <c r="B27" s="1107" t="s">
        <v>1110</v>
      </c>
    </row>
    <row r="28" spans="1:4">
      <c r="A28" s="1074" t="s">
        <v>1111</v>
      </c>
      <c r="B28" s="1107" t="s">
        <v>1112</v>
      </c>
    </row>
    <row r="29" spans="1:4">
      <c r="A29" s="1074" t="s">
        <v>1113</v>
      </c>
    </row>
    <row r="30" spans="1:4">
      <c r="A30" s="1074" t="s">
        <v>1114</v>
      </c>
    </row>
    <row r="31" spans="1:4">
      <c r="A31" s="1074" t="s">
        <v>1115</v>
      </c>
    </row>
    <row r="32" spans="1:4">
      <c r="A32" s="1074" t="s">
        <v>1116</v>
      </c>
      <c r="B32" s="1106"/>
    </row>
    <row r="33" spans="1:2">
      <c r="A33" s="1074" t="s">
        <v>1117</v>
      </c>
      <c r="B33" s="1106"/>
    </row>
    <row r="34" spans="1:2">
      <c r="A34" s="1074" t="s">
        <v>1118</v>
      </c>
      <c r="B34" s="1106"/>
    </row>
    <row r="35" spans="1:2">
      <c r="A35" s="1074" t="s">
        <v>1119</v>
      </c>
      <c r="B35" s="1107">
        <v>1000000</v>
      </c>
    </row>
    <row r="36" spans="1:2">
      <c r="A36" s="1074" t="s">
        <v>1120</v>
      </c>
      <c r="B36" s="1107" t="s">
        <v>1132</v>
      </c>
    </row>
    <row r="37" spans="1:2">
      <c r="A37" s="1074" t="s">
        <v>1121</v>
      </c>
      <c r="B37" s="1107" t="s">
        <v>1122</v>
      </c>
    </row>
    <row r="38" spans="1:2">
      <c r="A38" s="1074" t="s">
        <v>1123</v>
      </c>
      <c r="B38" s="1107" t="s">
        <v>1124</v>
      </c>
    </row>
    <row r="39" spans="1:2">
      <c r="A39" s="1074" t="s">
        <v>1125</v>
      </c>
      <c r="B39" s="1107" t="s">
        <v>1133</v>
      </c>
    </row>
    <row r="40" spans="1:2">
      <c r="A40" s="1074" t="s">
        <v>1126</v>
      </c>
      <c r="B40" s="1107">
        <v>1900000950</v>
      </c>
    </row>
    <row r="41" spans="1:2">
      <c r="A41" s="1074" t="s">
        <v>1127</v>
      </c>
      <c r="B41" s="1107">
        <v>5</v>
      </c>
    </row>
    <row r="42" spans="1:2">
      <c r="A42" s="1109" t="s">
        <v>1128</v>
      </c>
    </row>
    <row r="43" spans="1:2">
      <c r="A43" s="1074" t="s">
        <v>1129</v>
      </c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/>
  <cols>
    <col min="1" max="1" width="28.5703125" style="1074" bestFit="1" customWidth="1"/>
    <col min="2" max="256" width="9.140625" style="1074"/>
    <col min="257" max="257" width="28.5703125" style="1074" bestFit="1" customWidth="1"/>
    <col min="258" max="512" width="9.140625" style="1074"/>
    <col min="513" max="513" width="28.5703125" style="1074" bestFit="1" customWidth="1"/>
    <col min="514" max="768" width="9.140625" style="1074"/>
    <col min="769" max="769" width="28.5703125" style="1074" bestFit="1" customWidth="1"/>
    <col min="770" max="1024" width="9.140625" style="1074"/>
    <col min="1025" max="1025" width="28.5703125" style="1074" bestFit="1" customWidth="1"/>
    <col min="1026" max="1280" width="9.140625" style="1074"/>
    <col min="1281" max="1281" width="28.5703125" style="1074" bestFit="1" customWidth="1"/>
    <col min="1282" max="1536" width="9.140625" style="1074"/>
    <col min="1537" max="1537" width="28.5703125" style="1074" bestFit="1" customWidth="1"/>
    <col min="1538" max="1792" width="9.140625" style="1074"/>
    <col min="1793" max="1793" width="28.5703125" style="1074" bestFit="1" customWidth="1"/>
    <col min="1794" max="2048" width="9.140625" style="1074"/>
    <col min="2049" max="2049" width="28.5703125" style="1074" bestFit="1" customWidth="1"/>
    <col min="2050" max="2304" width="9.140625" style="1074"/>
    <col min="2305" max="2305" width="28.5703125" style="1074" bestFit="1" customWidth="1"/>
    <col min="2306" max="2560" width="9.140625" style="1074"/>
    <col min="2561" max="2561" width="28.5703125" style="1074" bestFit="1" customWidth="1"/>
    <col min="2562" max="2816" width="9.140625" style="1074"/>
    <col min="2817" max="2817" width="28.5703125" style="1074" bestFit="1" customWidth="1"/>
    <col min="2818" max="3072" width="9.140625" style="1074"/>
    <col min="3073" max="3073" width="28.5703125" style="1074" bestFit="1" customWidth="1"/>
    <col min="3074" max="3328" width="9.140625" style="1074"/>
    <col min="3329" max="3329" width="28.5703125" style="1074" bestFit="1" customWidth="1"/>
    <col min="3330" max="3584" width="9.140625" style="1074"/>
    <col min="3585" max="3585" width="28.5703125" style="1074" bestFit="1" customWidth="1"/>
    <col min="3586" max="3840" width="9.140625" style="1074"/>
    <col min="3841" max="3841" width="28.5703125" style="1074" bestFit="1" customWidth="1"/>
    <col min="3842" max="4096" width="9.140625" style="1074"/>
    <col min="4097" max="4097" width="28.5703125" style="1074" bestFit="1" customWidth="1"/>
    <col min="4098" max="4352" width="9.140625" style="1074"/>
    <col min="4353" max="4353" width="28.5703125" style="1074" bestFit="1" customWidth="1"/>
    <col min="4354" max="4608" width="9.140625" style="1074"/>
    <col min="4609" max="4609" width="28.5703125" style="1074" bestFit="1" customWidth="1"/>
    <col min="4610" max="4864" width="9.140625" style="1074"/>
    <col min="4865" max="4865" width="28.5703125" style="1074" bestFit="1" customWidth="1"/>
    <col min="4866" max="5120" width="9.140625" style="1074"/>
    <col min="5121" max="5121" width="28.5703125" style="1074" bestFit="1" customWidth="1"/>
    <col min="5122" max="5376" width="9.140625" style="1074"/>
    <col min="5377" max="5377" width="28.5703125" style="1074" bestFit="1" customWidth="1"/>
    <col min="5378" max="5632" width="9.140625" style="1074"/>
    <col min="5633" max="5633" width="28.5703125" style="1074" bestFit="1" customWidth="1"/>
    <col min="5634" max="5888" width="9.140625" style="1074"/>
    <col min="5889" max="5889" width="28.5703125" style="1074" bestFit="1" customWidth="1"/>
    <col min="5890" max="6144" width="9.140625" style="1074"/>
    <col min="6145" max="6145" width="28.5703125" style="1074" bestFit="1" customWidth="1"/>
    <col min="6146" max="6400" width="9.140625" style="1074"/>
    <col min="6401" max="6401" width="28.5703125" style="1074" bestFit="1" customWidth="1"/>
    <col min="6402" max="6656" width="9.140625" style="1074"/>
    <col min="6657" max="6657" width="28.5703125" style="1074" bestFit="1" customWidth="1"/>
    <col min="6658" max="6912" width="9.140625" style="1074"/>
    <col min="6913" max="6913" width="28.5703125" style="1074" bestFit="1" customWidth="1"/>
    <col min="6914" max="7168" width="9.140625" style="1074"/>
    <col min="7169" max="7169" width="28.5703125" style="1074" bestFit="1" customWidth="1"/>
    <col min="7170" max="7424" width="9.140625" style="1074"/>
    <col min="7425" max="7425" width="28.5703125" style="1074" bestFit="1" customWidth="1"/>
    <col min="7426" max="7680" width="9.140625" style="1074"/>
    <col min="7681" max="7681" width="28.5703125" style="1074" bestFit="1" customWidth="1"/>
    <col min="7682" max="7936" width="9.140625" style="1074"/>
    <col min="7937" max="7937" width="28.5703125" style="1074" bestFit="1" customWidth="1"/>
    <col min="7938" max="8192" width="9.140625" style="1074"/>
    <col min="8193" max="8193" width="28.5703125" style="1074" bestFit="1" customWidth="1"/>
    <col min="8194" max="8448" width="9.140625" style="1074"/>
    <col min="8449" max="8449" width="28.5703125" style="1074" bestFit="1" customWidth="1"/>
    <col min="8450" max="8704" width="9.140625" style="1074"/>
    <col min="8705" max="8705" width="28.5703125" style="1074" bestFit="1" customWidth="1"/>
    <col min="8706" max="8960" width="9.140625" style="1074"/>
    <col min="8961" max="8961" width="28.5703125" style="1074" bestFit="1" customWidth="1"/>
    <col min="8962" max="9216" width="9.140625" style="1074"/>
    <col min="9217" max="9217" width="28.5703125" style="1074" bestFit="1" customWidth="1"/>
    <col min="9218" max="9472" width="9.140625" style="1074"/>
    <col min="9473" max="9473" width="28.5703125" style="1074" bestFit="1" customWidth="1"/>
    <col min="9474" max="9728" width="9.140625" style="1074"/>
    <col min="9729" max="9729" width="28.5703125" style="1074" bestFit="1" customWidth="1"/>
    <col min="9730" max="9984" width="9.140625" style="1074"/>
    <col min="9985" max="9985" width="28.5703125" style="1074" bestFit="1" customWidth="1"/>
    <col min="9986" max="10240" width="9.140625" style="1074"/>
    <col min="10241" max="10241" width="28.5703125" style="1074" bestFit="1" customWidth="1"/>
    <col min="10242" max="10496" width="9.140625" style="1074"/>
    <col min="10497" max="10497" width="28.5703125" style="1074" bestFit="1" customWidth="1"/>
    <col min="10498" max="10752" width="9.140625" style="1074"/>
    <col min="10753" max="10753" width="28.5703125" style="1074" bestFit="1" customWidth="1"/>
    <col min="10754" max="11008" width="9.140625" style="1074"/>
    <col min="11009" max="11009" width="28.5703125" style="1074" bestFit="1" customWidth="1"/>
    <col min="11010" max="11264" width="9.140625" style="1074"/>
    <col min="11265" max="11265" width="28.5703125" style="1074" bestFit="1" customWidth="1"/>
    <col min="11266" max="11520" width="9.140625" style="1074"/>
    <col min="11521" max="11521" width="28.5703125" style="1074" bestFit="1" customWidth="1"/>
    <col min="11522" max="11776" width="9.140625" style="1074"/>
    <col min="11777" max="11777" width="28.5703125" style="1074" bestFit="1" customWidth="1"/>
    <col min="11778" max="12032" width="9.140625" style="1074"/>
    <col min="12033" max="12033" width="28.5703125" style="1074" bestFit="1" customWidth="1"/>
    <col min="12034" max="12288" width="9.140625" style="1074"/>
    <col min="12289" max="12289" width="28.5703125" style="1074" bestFit="1" customWidth="1"/>
    <col min="12290" max="12544" width="9.140625" style="1074"/>
    <col min="12545" max="12545" width="28.5703125" style="1074" bestFit="1" customWidth="1"/>
    <col min="12546" max="12800" width="9.140625" style="1074"/>
    <col min="12801" max="12801" width="28.5703125" style="1074" bestFit="1" customWidth="1"/>
    <col min="12802" max="13056" width="9.140625" style="1074"/>
    <col min="13057" max="13057" width="28.5703125" style="1074" bestFit="1" customWidth="1"/>
    <col min="13058" max="13312" width="9.140625" style="1074"/>
    <col min="13313" max="13313" width="28.5703125" style="1074" bestFit="1" customWidth="1"/>
    <col min="13314" max="13568" width="9.140625" style="1074"/>
    <col min="13569" max="13569" width="28.5703125" style="1074" bestFit="1" customWidth="1"/>
    <col min="13570" max="13824" width="9.140625" style="1074"/>
    <col min="13825" max="13825" width="28.5703125" style="1074" bestFit="1" customWidth="1"/>
    <col min="13826" max="14080" width="9.140625" style="1074"/>
    <col min="14081" max="14081" width="28.5703125" style="1074" bestFit="1" customWidth="1"/>
    <col min="14082" max="14336" width="9.140625" style="1074"/>
    <col min="14337" max="14337" width="28.5703125" style="1074" bestFit="1" customWidth="1"/>
    <col min="14338" max="14592" width="9.140625" style="1074"/>
    <col min="14593" max="14593" width="28.5703125" style="1074" bestFit="1" customWidth="1"/>
    <col min="14594" max="14848" width="9.140625" style="1074"/>
    <col min="14849" max="14849" width="28.5703125" style="1074" bestFit="1" customWidth="1"/>
    <col min="14850" max="15104" width="9.140625" style="1074"/>
    <col min="15105" max="15105" width="28.5703125" style="1074" bestFit="1" customWidth="1"/>
    <col min="15106" max="15360" width="9.140625" style="1074"/>
    <col min="15361" max="15361" width="28.5703125" style="1074" bestFit="1" customWidth="1"/>
    <col min="15362" max="15616" width="9.140625" style="1074"/>
    <col min="15617" max="15617" width="28.5703125" style="1074" bestFit="1" customWidth="1"/>
    <col min="15618" max="15872" width="9.140625" style="1074"/>
    <col min="15873" max="15873" width="28.5703125" style="1074" bestFit="1" customWidth="1"/>
    <col min="15874" max="16128" width="9.140625" style="1074"/>
    <col min="16129" max="16129" width="28.5703125" style="1074" bestFit="1" customWidth="1"/>
    <col min="16130" max="16384" width="9.140625" style="1074"/>
  </cols>
  <sheetData>
    <row r="1" spans="1:1">
      <c r="A1" s="1111" t="s">
        <v>1137</v>
      </c>
    </row>
    <row r="2" spans="1:1">
      <c r="A2" s="1111" t="s">
        <v>1142</v>
      </c>
    </row>
    <row r="3" spans="1:1">
      <c r="A3" s="1111" t="s">
        <v>1143</v>
      </c>
    </row>
    <row r="4" spans="1:1">
      <c r="A4" s="1111" t="s">
        <v>1144</v>
      </c>
    </row>
    <row r="5" spans="1:1">
      <c r="A5" s="1111" t="s">
        <v>1145</v>
      </c>
    </row>
    <row r="6" spans="1:1">
      <c r="A6" s="1111" t="s">
        <v>1138</v>
      </c>
    </row>
    <row r="7" spans="1:1">
      <c r="A7" s="1111" t="s">
        <v>1146</v>
      </c>
    </row>
    <row r="8" spans="1:1">
      <c r="A8" s="1111" t="s">
        <v>1147</v>
      </c>
    </row>
    <row r="9" spans="1:1">
      <c r="A9" s="1111" t="s">
        <v>1148</v>
      </c>
    </row>
    <row r="10" spans="1:1">
      <c r="A10" s="1111" t="s">
        <v>1139</v>
      </c>
    </row>
    <row r="11" spans="1:1">
      <c r="A11" s="1111" t="s">
        <v>1149</v>
      </c>
    </row>
    <row r="12" spans="1:1">
      <c r="A12" s="1111" t="s">
        <v>1140</v>
      </c>
    </row>
    <row r="13" spans="1:1">
      <c r="A13" s="1111" t="s">
        <v>1141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81</vt:i4>
      </vt:variant>
    </vt:vector>
  </HeadingPairs>
  <TitlesOfParts>
    <vt:vector size="87" baseType="lpstr">
      <vt:lpstr>ImportantDisclosures</vt:lpstr>
      <vt:lpstr>Model</vt:lpstr>
      <vt:lpstr>Financial Summary</vt:lpstr>
      <vt:lpstr>Valuation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interestcopy</vt:lpstr>
      <vt:lpstr>Interestpaste</vt:lpstr>
      <vt:lpstr>IndexInformation!KeepVersions</vt:lpstr>
      <vt:lpstr>LanguageCode</vt:lpstr>
      <vt:lpstr>ImportantDisclosures!LastCell</vt:lpstr>
      <vt:lpstr>Linking_1</vt:lpstr>
      <vt:lpstr>Linking_12</vt:lpstr>
      <vt:lpstr>Linking_16</vt:lpstr>
      <vt:lpstr>Linking_18</vt:lpstr>
      <vt:lpstr>Linking_19</vt:lpstr>
      <vt:lpstr>Linking_5</vt:lpstr>
      <vt:lpstr>Linking_7</vt:lpstr>
      <vt:lpstr>IndexInformation!MacroVersion</vt:lpstr>
      <vt:lpstr>modelhome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Model!Print_Area</vt:lpstr>
      <vt:lpstr>Valuation!Print_Area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2017-10-29T22:17:27Z</dcterms:created>
  <dc:creator>Lee, Vivienne (Research)</dc:creator>
  <cp:lastModifiedBy>Lee, Vivienne (Research)</cp:lastModifiedBy>
  <cp:lastPrinted>2018-04-09T06:22:37Z</cp:lastPrinted>
  <dcterms:modified xsi:type="dcterms:W3CDTF">2018-04-10T00:54:45Z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ERModPubTicket" pid="2">
    <vt:lpwstr>NA</vt:lpwstr>
  </property>
  <property fmtid="{D5CDD505-2E9C-101B-9397-08002B2CF9AE}" name="ERCompanyUploadState" pid="3">
    <vt:lpwstr>P</vt:lpwstr>
  </property>
  <property fmtid="{D5CDD505-2E9C-101B-9397-08002B2CF9AE}" name="ModelId" pid="4">
    <vt:lpwstr>760382</vt:lpwstr>
  </property>
  <property fmtid="{D5CDD505-2E9C-101B-9397-08002B2CF9AE}" name="ERModPubCompanyName" pid="5">
    <vt:lpwstr>Amcor</vt:lpwstr>
  </property>
  <property fmtid="{D5CDD505-2E9C-101B-9397-08002B2CF9AE}" name="MSDH34TAG" pid="6">
    <vt:lpwstr>.TEZUF76X5TAHATHESADREYAK-00-INB160+*94600-06=cfcb2394/-3c59/-11e8/-b3f7/-7a79cfe26848,MD=20180409210325/-0400,ZZ=000Z-0e7e.</vt:lpwstr>
  </property>
</Properties>
</file>